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Default Extension="emf" ContentType="image/x-emf"/>
  <Default Extension="png" ContentType="image/pn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w1_comments2.xml" ContentType="application/vnd.openxmlformats-officedocument.spreadsheetml.comments+xml"/>
  <Override PartName="/xl/w1_comments5.xml" ContentType="application/vnd.openxmlformats-officedocument.spreadsheetml.comments+xml"/>
  <Override PartName="/xl/w1_comments4.xml" ContentType="application/vnd.openxmlformats-officedocument.spreadsheetml.comments+xml"/>
  <Override PartName="/xl/w1_comments6.xml" ContentType="application/vnd.openxmlformats-officedocument.spreadsheetml.comments+xml"/>
  <Override PartName="/xl/w1_comments3.xml" ContentType="application/vnd.openxmlformats-officedocument.spreadsheetml.comments+xml"/>
  <Override PartName="/xl/w1_comments1.xml" ContentType="application/vnd.openxmlformats-officedocument.spreadsheetml.comments+xml"/>
  <Override PartName="/xl/worksheets/w1_sheet15.xml" ContentType="application/vnd.openxmlformats-officedocument.spreadsheetml.worksheet+xml"/>
  <Override PartName="/xl/worksheets/w1_sheet8.xml" ContentType="application/vnd.openxmlformats-officedocument.spreadsheetml.worksheet+xml"/>
  <Override PartName="/xl/worksheets/w1_sheet2.xml" ContentType="application/vnd.openxmlformats-officedocument.spreadsheetml.worksheet+xml"/>
  <Override PartName="/xl/worksheets/w1_sheet9.xml" ContentType="application/vnd.openxmlformats-officedocument.spreadsheetml.worksheet+xml"/>
  <Override PartName="/xl/worksheets/w1_sheet1.xml" ContentType="application/vnd.openxmlformats-officedocument.spreadsheetml.worksheet+xml"/>
  <Override PartName="/xl/worksheets/w1_sheet10.xml" ContentType="application/vnd.openxmlformats-officedocument.spreadsheetml.worksheet+xml"/>
  <Override PartName="/xl/worksheets/w1_sheet16.xml" ContentType="application/vnd.openxmlformats-officedocument.spreadsheetml.worksheet+xml"/>
  <Override PartName="/xl/worksheets/w1_sheet23.xml" ContentType="application/vnd.openxmlformats-officedocument.spreadsheetml.worksheet+xml"/>
  <Override PartName="/xl/worksheets/w1_sheet24.xml" ContentType="application/vnd.openxmlformats-officedocument.spreadsheetml.worksheet+xml"/>
  <Override PartName="/xl/worksheets/w1_sheet26.xml" ContentType="application/vnd.openxmlformats-officedocument.spreadsheetml.worksheet+xml"/>
  <Override PartName="/xl/worksheets/w1_sheet20.xml" ContentType="application/vnd.openxmlformats-officedocument.spreadsheetml.worksheet+xml"/>
  <Override PartName="/xl/worksheets/w1_sheet7.xml" ContentType="application/vnd.openxmlformats-officedocument.spreadsheetml.worksheet+xml"/>
  <Override PartName="/xl/worksheets/w1_sheet5.xml" ContentType="application/vnd.openxmlformats-officedocument.spreadsheetml.worksheet+xml"/>
  <Override PartName="/xl/worksheets/w1_sheet25.xml" ContentType="application/vnd.openxmlformats-officedocument.spreadsheetml.worksheet+xml"/>
  <Override PartName="/xl/worksheets/w1_sheet11.xml" ContentType="application/vnd.openxmlformats-officedocument.spreadsheetml.worksheet+xml"/>
  <Override PartName="/xl/worksheets/w1_sheet21.xml" ContentType="application/vnd.openxmlformats-officedocument.spreadsheetml.worksheet+xml"/>
  <Override PartName="/xl/worksheets/w1_sheet19.xml" ContentType="application/vnd.openxmlformats-officedocument.spreadsheetml.worksheet+xml"/>
  <Override PartName="/xl/worksheets/w1_sheet6.xml" ContentType="application/vnd.openxmlformats-officedocument.spreadsheetml.worksheet+xml"/>
  <Override PartName="/xl/worksheets/w1_sheet13.xml" ContentType="application/vnd.openxmlformats-officedocument.spreadsheetml.worksheet+xml"/>
  <Override PartName="/xl/worksheets/w1_sheet18.xml" ContentType="application/vnd.openxmlformats-officedocument.spreadsheetml.worksheet+xml"/>
  <Override PartName="/xl/worksheets/w1_sheet12.xml" ContentType="application/vnd.openxmlformats-officedocument.spreadsheetml.worksheet+xml"/>
  <Override PartName="/xl/worksheets/w1_sheet22.xml" ContentType="application/vnd.openxmlformats-officedocument.spreadsheetml.worksheet+xml"/>
  <Override PartName="/xl/worksheets/w1_sheet4.xml" ContentType="application/vnd.openxmlformats-officedocument.spreadsheetml.worksheet+xml"/>
  <Override PartName="/xl/worksheets/w1_sheet14.xml" ContentType="application/vnd.openxmlformats-officedocument.spreadsheetml.worksheet+xml"/>
  <Override PartName="/xl/worksheets/w1_sheet17.xml" ContentType="application/vnd.openxmlformats-officedocument.spreadsheetml.worksheet+xml"/>
  <Override PartName="/xl/worksheets/w1_sheet3.xml" ContentType="application/vnd.openxmlformats-officedocument.spreadsheetml.worksheet+xml"/>
  <Override PartName="/xl/drawings/w1_drawing3.xml" ContentType="application/vnd.openxmlformats-officedocument.drawing+xml"/>
  <Override PartName="/xl/drawings/w1_drawing1.xml" ContentType="application/vnd.openxmlformats-officedocument.drawing+xml"/>
  <Override PartName="/xl/drawings/w1_drawing4.xml" ContentType="application/vnd.openxmlformats-officedocument.drawing+xml"/>
  <Override PartName="/xl/drawings/w1_drawing2.xml" ContentType="application/vnd.openxmlformats-officedocument.drawing+xml"/>
  <Override PartName="/xl/drawings/w1_drawing6.xml" ContentType="application/vnd.openxmlformats-officedocument.drawing+xml"/>
  <Override PartName="/xl/drawings/w1_drawing7.xml" ContentType="application/vnd.openxmlformats-officedocument.drawing+xml"/>
  <Override PartName="/xl/drawings/w1_drawing8.xml" ContentType="application/vnd.openxmlformats-officedocument.drawing+xml"/>
  <Override PartName="/xl/drawings/w1_drawing5.xml" ContentType="application/vnd.openxmlformats-officedocument.drawing+xml"/>
  <Override PartName="/xl/w2_comments1.xml" ContentType="application/vnd.openxmlformats-officedocument.spreadsheetml.comments+xml"/>
  <Override PartName="/xl/worksheets/w2_sheet1.xml" ContentType="application/vnd.openxmlformats-officedocument.spreadsheetml.worksheet+xml"/>
  <Override PartName="/xl/worksheets/w3_sheet15.xml" ContentType="application/vnd.openxmlformats-officedocument.spreadsheetml.worksheet+xml"/>
  <Override PartName="/xl/worksheets/w3_sheet8.xml" ContentType="application/vnd.openxmlformats-officedocument.spreadsheetml.worksheet+xml"/>
  <Override PartName="/xl/worksheets/w3_sheet2.xml" ContentType="application/vnd.openxmlformats-officedocument.spreadsheetml.worksheet+xml"/>
  <Override PartName="/xl/worksheets/w3_sheet9.xml" ContentType="application/vnd.openxmlformats-officedocument.spreadsheetml.worksheet+xml"/>
  <Override PartName="/xl/worksheets/w3_sheet1.xml" ContentType="application/vnd.openxmlformats-officedocument.spreadsheetml.worksheet+xml"/>
  <Override PartName="/xl/worksheets/w3_sheet10.xml" ContentType="application/vnd.openxmlformats-officedocument.spreadsheetml.worksheet+xml"/>
  <Override PartName="/xl/worksheets/w3_sheet16.xml" ContentType="application/vnd.openxmlformats-officedocument.spreadsheetml.worksheet+xml"/>
  <Override PartName="/xl/worksheets/w3_sheet7.xml" ContentType="application/vnd.openxmlformats-officedocument.spreadsheetml.worksheet+xml"/>
  <Override PartName="/xl/worksheets/w3_sheet5.xml" ContentType="application/vnd.openxmlformats-officedocument.spreadsheetml.worksheet+xml"/>
  <Override PartName="/xl/worksheets/w3_sheet11.xml" ContentType="application/vnd.openxmlformats-officedocument.spreadsheetml.worksheet+xml"/>
  <Override PartName="/xl/worksheets/w3_sheet6.xml" ContentType="application/vnd.openxmlformats-officedocument.spreadsheetml.worksheet+xml"/>
  <Override PartName="/xl/worksheets/w3_sheet13.xml" ContentType="application/vnd.openxmlformats-officedocument.spreadsheetml.worksheet+xml"/>
  <Override PartName="/xl/worksheets/w3_sheet12.xml" ContentType="application/vnd.openxmlformats-officedocument.spreadsheetml.worksheet+xml"/>
  <Override PartName="/xl/worksheets/w3_sheet4.xml" ContentType="application/vnd.openxmlformats-officedocument.spreadsheetml.worksheet+xml"/>
  <Override PartName="/xl/worksheets/w3_sheet14.xml" ContentType="application/vnd.openxmlformats-officedocument.spreadsheetml.worksheet+xml"/>
  <Override PartName="/xl/worksheets/w3_sheet3.xml" ContentType="application/vnd.openxmlformats-officedocument.spreadsheetml.worksheet+xml"/>
  <Override PartName="/xl/w4_comments1.xml" ContentType="application/vnd.openxmlformats-officedocument.spreadsheetml.comments+xml"/>
  <Override PartName="/xl/worksheets/w4_sheet1.xml" ContentType="application/vnd.openxmlformats-officedocument.spreadsheetml.worksheet+xml"/>
  <Override PartName="/xl/w5_comments2.xml" ContentType="application/vnd.openxmlformats-officedocument.spreadsheetml.comments+xml"/>
  <Override PartName="/xl/w5_comments11.xml" ContentType="application/vnd.openxmlformats-officedocument.spreadsheetml.comments+xml"/>
  <Override PartName="/xl/w5_comments5.xml" ContentType="application/vnd.openxmlformats-officedocument.spreadsheetml.comments+xml"/>
  <Override PartName="/xl/w5_comments7.xml" ContentType="application/vnd.openxmlformats-officedocument.spreadsheetml.comments+xml"/>
  <Override PartName="/xl/w5_comments10.xml" ContentType="application/vnd.openxmlformats-officedocument.spreadsheetml.comments+xml"/>
  <Override PartName="/xl/w5_comments4.xml" ContentType="application/vnd.openxmlformats-officedocument.spreadsheetml.comments+xml"/>
  <Override PartName="/xl/w5_comments12.xml" ContentType="application/vnd.openxmlformats-officedocument.spreadsheetml.comments+xml"/>
  <Override PartName="/xl/w5_comments9.xml" ContentType="application/vnd.openxmlformats-officedocument.spreadsheetml.comments+xml"/>
  <Override PartName="/xl/w5_comments6.xml" ContentType="application/vnd.openxmlformats-officedocument.spreadsheetml.comments+xml"/>
  <Override PartName="/xl/w5_comments3.xml" ContentType="application/vnd.openxmlformats-officedocument.spreadsheetml.comments+xml"/>
  <Override PartName="/xl/w5_comments1.xml" ContentType="application/vnd.openxmlformats-officedocument.spreadsheetml.comments+xml"/>
  <Override PartName="/xl/w5_comments8.xml" ContentType="application/vnd.openxmlformats-officedocument.spreadsheetml.comments+xml"/>
  <Override PartName="/xl/worksheets/w5_sheet15.xml" ContentType="application/vnd.openxmlformats-officedocument.spreadsheetml.worksheet+xml"/>
  <Override PartName="/xl/worksheets/w5_sheet8.xml" ContentType="application/vnd.openxmlformats-officedocument.spreadsheetml.worksheet+xml"/>
  <Override PartName="/xl/worksheets/w5_sheet2.xml" ContentType="application/vnd.openxmlformats-officedocument.spreadsheetml.worksheet+xml"/>
  <Override PartName="/xl/worksheets/w5_sheet9.xml" ContentType="application/vnd.openxmlformats-officedocument.spreadsheetml.worksheet+xml"/>
  <Override PartName="/xl/worksheets/w5_sheet1.xml" ContentType="application/vnd.openxmlformats-officedocument.spreadsheetml.worksheet+xml"/>
  <Override PartName="/xl/worksheets/w5_sheet10.xml" ContentType="application/vnd.openxmlformats-officedocument.spreadsheetml.worksheet+xml"/>
  <Override PartName="/xl/worksheets/w5_sheet7.xml" ContentType="application/vnd.openxmlformats-officedocument.spreadsheetml.worksheet+xml"/>
  <Override PartName="/xl/worksheets/w5_sheet5.xml" ContentType="application/vnd.openxmlformats-officedocument.spreadsheetml.worksheet+xml"/>
  <Override PartName="/xl/worksheets/w5_sheet11.xml" ContentType="application/vnd.openxmlformats-officedocument.spreadsheetml.worksheet+xml"/>
  <Override PartName="/xl/worksheets/w5_sheet6.xml" ContentType="application/vnd.openxmlformats-officedocument.spreadsheetml.worksheet+xml"/>
  <Override PartName="/xl/worksheets/w5_sheet13.xml" ContentType="application/vnd.openxmlformats-officedocument.spreadsheetml.worksheet+xml"/>
  <Override PartName="/xl/worksheets/w5_sheet12.xml" ContentType="application/vnd.openxmlformats-officedocument.spreadsheetml.worksheet+xml"/>
  <Override PartName="/xl/worksheets/w5_sheet4.xml" ContentType="application/vnd.openxmlformats-officedocument.spreadsheetml.worksheet+xml"/>
  <Override PartName="/xl/worksheets/w5_sheet14.xml" ContentType="application/vnd.openxmlformats-officedocument.spreadsheetml.worksheet+xml"/>
  <Override PartName="/xl/worksheets/w5_sheet3.xml" ContentType="application/vnd.openxmlformats-officedocument.spreadsheetml.worksheet+xml"/>
  <Override PartName="/xl/drawings/w5_drawing10.xml" ContentType="application/vnd.openxmlformats-officedocument.drawing+xml"/>
  <Override PartName="/xl/drawings/w5_drawing3.xml" ContentType="application/vnd.openxmlformats-officedocument.drawing+xml"/>
  <Override PartName="/xl/drawings/w5_drawing1.xml" ContentType="application/vnd.openxmlformats-officedocument.drawing+xml"/>
  <Override PartName="/xl/drawings/w5_drawing4.xml" ContentType="application/vnd.openxmlformats-officedocument.drawing+xml"/>
  <Override PartName="/xl/drawings/w5_drawing11.xml" ContentType="application/vnd.openxmlformats-officedocument.drawing+xml"/>
  <Override PartName="/xl/drawings/w5_drawing9.xml" ContentType="application/vnd.openxmlformats-officedocument.drawing+xml"/>
  <Override PartName="/xl/drawings/w5_drawing2.xml" ContentType="application/vnd.openxmlformats-officedocument.drawing+xml"/>
  <Override PartName="/xl/drawings/w5_drawing6.xml" ContentType="application/vnd.openxmlformats-officedocument.drawing+xml"/>
  <Override PartName="/xl/drawings/w5_drawing12.xml" ContentType="application/vnd.openxmlformats-officedocument.drawing+xml"/>
  <Override PartName="/xl/drawings/w5_drawing7.xml" ContentType="application/vnd.openxmlformats-officedocument.drawing+xml"/>
  <Override PartName="/xl/drawings/w5_drawing8.xml" ContentType="application/vnd.openxmlformats-officedocument.drawing+xml"/>
  <Override PartName="/xl/drawings/w5_drawing5.xml" ContentType="application/vnd.openxmlformats-officedocument.drawing+xml"/>
  <Override PartName="/xl/w6_comments2.xml" ContentType="application/vnd.openxmlformats-officedocument.spreadsheetml.comments+xml"/>
  <Override PartName="/xl/w6_comments15.xml" ContentType="application/vnd.openxmlformats-officedocument.spreadsheetml.comments+xml"/>
  <Override PartName="/xl/w6_comments11.xml" ContentType="application/vnd.openxmlformats-officedocument.spreadsheetml.comments+xml"/>
  <Override PartName="/xl/w6_comments5.xml" ContentType="application/vnd.openxmlformats-officedocument.spreadsheetml.comments+xml"/>
  <Override PartName="/xl/w6_comments19.xml" ContentType="application/vnd.openxmlformats-officedocument.spreadsheetml.comments+xml"/>
  <Override PartName="/xl/w6_comments13.xml" ContentType="application/vnd.openxmlformats-officedocument.spreadsheetml.comments+xml"/>
  <Override PartName="/xl/w6_comments14.xml" ContentType="application/vnd.openxmlformats-officedocument.spreadsheetml.comments+xml"/>
  <Override PartName="/xl/w6_comments21.xml" ContentType="application/vnd.openxmlformats-officedocument.spreadsheetml.comments+xml"/>
  <Override PartName="/xl/w6_comments7.xml" ContentType="application/vnd.openxmlformats-officedocument.spreadsheetml.comments+xml"/>
  <Override PartName="/xl/w6_comments10.xml" ContentType="application/vnd.openxmlformats-officedocument.spreadsheetml.comments+xml"/>
  <Override PartName="/xl/w6_comments4.xml" ContentType="application/vnd.openxmlformats-officedocument.spreadsheetml.comments+xml"/>
  <Override PartName="/xl/w6_comments12.xml" ContentType="application/vnd.openxmlformats-officedocument.spreadsheetml.comments+xml"/>
  <Override PartName="/xl/w6_comments17.xml" ContentType="application/vnd.openxmlformats-officedocument.spreadsheetml.comments+xml"/>
  <Override PartName="/xl/w6_comments9.xml" ContentType="application/vnd.openxmlformats-officedocument.spreadsheetml.comments+xml"/>
  <Override PartName="/xl/w6_comments16.xml" ContentType="application/vnd.openxmlformats-officedocument.spreadsheetml.comments+xml"/>
  <Override PartName="/xl/w6_comments18.xml" ContentType="application/vnd.openxmlformats-officedocument.spreadsheetml.comments+xml"/>
  <Override PartName="/xl/w6_comments6.xml" ContentType="application/vnd.openxmlformats-officedocument.spreadsheetml.comments+xml"/>
  <Override PartName="/xl/w6_comments3.xml" ContentType="application/vnd.openxmlformats-officedocument.spreadsheetml.comments+xml"/>
  <Override PartName="/xl/w6_comments1.xml" ContentType="application/vnd.openxmlformats-officedocument.spreadsheetml.comments+xml"/>
  <Override PartName="/xl/w6_comments20.xml" ContentType="application/vnd.openxmlformats-officedocument.spreadsheetml.comments+xml"/>
  <Override PartName="/xl/w6_comments8.xml" ContentType="application/vnd.openxmlformats-officedocument.spreadsheetml.comments+xml"/>
  <Override PartName="/xl/worksheets/w6_sheet15.xml" ContentType="application/vnd.openxmlformats-officedocument.spreadsheetml.worksheet+xml"/>
  <Override PartName="/xl/worksheets/w6_sheet8.xml" ContentType="application/vnd.openxmlformats-officedocument.spreadsheetml.worksheet+xml"/>
  <Override PartName="/xl/worksheets/w6_sheet2.xml" ContentType="application/vnd.openxmlformats-officedocument.spreadsheetml.worksheet+xml"/>
  <Override PartName="/xl/worksheets/w6_sheet9.xml" ContentType="application/vnd.openxmlformats-officedocument.spreadsheetml.worksheet+xml"/>
  <Override PartName="/xl/worksheets/w6_sheet1.xml" ContentType="application/vnd.openxmlformats-officedocument.spreadsheetml.worksheet+xml"/>
  <Override PartName="/xl/worksheets/w6_sheet10.xml" ContentType="application/vnd.openxmlformats-officedocument.spreadsheetml.worksheet+xml"/>
  <Override PartName="/xl/worksheets/w6_sheet16.xml" ContentType="application/vnd.openxmlformats-officedocument.spreadsheetml.worksheet+xml"/>
  <Override PartName="/xl/worksheets/w6_sheet23.xml" ContentType="application/vnd.openxmlformats-officedocument.spreadsheetml.worksheet+xml"/>
  <Override PartName="/xl/worksheets/w6_sheet24.xml" ContentType="application/vnd.openxmlformats-officedocument.spreadsheetml.worksheet+xml"/>
  <Override PartName="/xl/worksheets/w6_sheet20.xml" ContentType="application/vnd.openxmlformats-officedocument.spreadsheetml.worksheet+xml"/>
  <Override PartName="/xl/worksheets/w6_sheet7.xml" ContentType="application/vnd.openxmlformats-officedocument.spreadsheetml.worksheet+xml"/>
  <Override PartName="/xl/worksheets/w6_sheet5.xml" ContentType="application/vnd.openxmlformats-officedocument.spreadsheetml.worksheet+xml"/>
  <Override PartName="/xl/worksheets/w6_sheet11.xml" ContentType="application/vnd.openxmlformats-officedocument.spreadsheetml.worksheet+xml"/>
  <Override PartName="/xl/worksheets/w6_sheet21.xml" ContentType="application/vnd.openxmlformats-officedocument.spreadsheetml.worksheet+xml"/>
  <Override PartName="/xl/worksheets/w6_sheet19.xml" ContentType="application/vnd.openxmlformats-officedocument.spreadsheetml.worksheet+xml"/>
  <Override PartName="/xl/worksheets/w6_sheet6.xml" ContentType="application/vnd.openxmlformats-officedocument.spreadsheetml.worksheet+xml"/>
  <Override PartName="/xl/worksheets/w6_sheet13.xml" ContentType="application/vnd.openxmlformats-officedocument.spreadsheetml.worksheet+xml"/>
  <Override PartName="/xl/worksheets/w6_sheet18.xml" ContentType="application/vnd.openxmlformats-officedocument.spreadsheetml.worksheet+xml"/>
  <Override PartName="/xl/worksheets/w6_sheet12.xml" ContentType="application/vnd.openxmlformats-officedocument.spreadsheetml.worksheet+xml"/>
  <Override PartName="/xl/worksheets/w6_sheet22.xml" ContentType="application/vnd.openxmlformats-officedocument.spreadsheetml.worksheet+xml"/>
  <Override PartName="/xl/worksheets/w6_sheet4.xml" ContentType="application/vnd.openxmlformats-officedocument.spreadsheetml.worksheet+xml"/>
  <Override PartName="/xl/worksheets/w6_sheet14.xml" ContentType="application/vnd.openxmlformats-officedocument.spreadsheetml.worksheet+xml"/>
  <Override PartName="/xl/worksheets/w6_sheet17.xml" ContentType="application/vnd.openxmlformats-officedocument.spreadsheetml.worksheet+xml"/>
  <Override PartName="/xl/worksheets/w6_sheet3.xml" ContentType="application/vnd.openxmlformats-officedocument.spreadsheetml.worksheet+xml"/>
  <Override PartName="/xl/drawings/w6_drawing13.xml" ContentType="application/vnd.openxmlformats-officedocument.drawing+xml"/>
  <Override PartName="/xl/drawings/w6_drawing10.xml" ContentType="application/vnd.openxmlformats-officedocument.drawing+xml"/>
  <Override PartName="/xl/drawings/w6_drawing3.xml" ContentType="application/vnd.openxmlformats-officedocument.drawing+xml"/>
  <Override PartName="/xl/drawings/w6_drawing16.xml" ContentType="application/vnd.openxmlformats-officedocument.drawing+xml"/>
  <Override PartName="/xl/drawings/w6_drawing1.xml" ContentType="application/vnd.openxmlformats-officedocument.drawing+xml"/>
  <Override PartName="/xl/drawings/w6_drawing4.xml" ContentType="application/vnd.openxmlformats-officedocument.drawing+xml"/>
  <Override PartName="/xl/drawings/w6_drawing11.xml" ContentType="application/vnd.openxmlformats-officedocument.drawing+xml"/>
  <Override PartName="/xl/drawings/w6_drawing9.xml" ContentType="application/vnd.openxmlformats-officedocument.drawing+xml"/>
  <Override PartName="/xl/drawings/w6_drawing15.xml" ContentType="application/vnd.openxmlformats-officedocument.drawing+xml"/>
  <Override PartName="/xl/drawings/w6_drawing2.xml" ContentType="application/vnd.openxmlformats-officedocument.drawing+xml"/>
  <Override PartName="/xl/drawings/w6_drawing6.xml" ContentType="application/vnd.openxmlformats-officedocument.drawing+xml"/>
  <Override PartName="/xl/drawings/w6_drawing12.xml" ContentType="application/vnd.openxmlformats-officedocument.drawing+xml"/>
  <Override PartName="/xl/drawings/w6_drawing7.xml" ContentType="application/vnd.openxmlformats-officedocument.drawing+xml"/>
  <Override PartName="/xl/drawings/w6_drawing14.xml" ContentType="application/vnd.openxmlformats-officedocument.drawing+xml"/>
  <Override PartName="/xl/drawings/w6_drawing8.xml" ContentType="application/vnd.openxmlformats-officedocument.drawing+xml"/>
  <Override PartName="/xl/drawings/w6_drawing5.xml" ContentType="application/vnd.openxmlformats-officedocument.drawing+xml"/>
  <Override PartName="/xl/w7_comments2.xml" ContentType="application/vnd.openxmlformats-officedocument.spreadsheetml.comments+xml"/>
  <Override PartName="/xl/w7_comments11.xml" ContentType="application/vnd.openxmlformats-officedocument.spreadsheetml.comments+xml"/>
  <Override PartName="/xl/w7_comments5.xml" ContentType="application/vnd.openxmlformats-officedocument.spreadsheetml.comments+xml"/>
  <Override PartName="/xl/w7_comments7.xml" ContentType="application/vnd.openxmlformats-officedocument.spreadsheetml.comments+xml"/>
  <Override PartName="/xl/w7_comments10.xml" ContentType="application/vnd.openxmlformats-officedocument.spreadsheetml.comments+xml"/>
  <Override PartName="/xl/w7_comments4.xml" ContentType="application/vnd.openxmlformats-officedocument.spreadsheetml.comments+xml"/>
  <Override PartName="/xl/w7_comments9.xml" ContentType="application/vnd.openxmlformats-officedocument.spreadsheetml.comments+xml"/>
  <Override PartName="/xl/w7_comments6.xml" ContentType="application/vnd.openxmlformats-officedocument.spreadsheetml.comments+xml"/>
  <Override PartName="/xl/w7_comments3.xml" ContentType="application/vnd.openxmlformats-officedocument.spreadsheetml.comments+xml"/>
  <Override PartName="/xl/w7_comments1.xml" ContentType="application/vnd.openxmlformats-officedocument.spreadsheetml.comments+xml"/>
  <Override PartName="/xl/w7_comments8.xml" ContentType="application/vnd.openxmlformats-officedocument.spreadsheetml.comments+xml"/>
  <Override PartName="/xl/worksheets/w7_sheet8.xml" ContentType="application/vnd.openxmlformats-officedocument.spreadsheetml.worksheet+xml"/>
  <Override PartName="/xl/worksheets/w7_sheet2.xml" ContentType="application/vnd.openxmlformats-officedocument.spreadsheetml.worksheet+xml"/>
  <Override PartName="/xl/worksheets/w7_sheet9.xml" ContentType="application/vnd.openxmlformats-officedocument.spreadsheetml.worksheet+xml"/>
  <Override PartName="/xl/worksheets/w7_sheet1.xml" ContentType="application/vnd.openxmlformats-officedocument.spreadsheetml.worksheet+xml"/>
  <Override PartName="/xl/worksheets/w7_sheet10.xml" ContentType="application/vnd.openxmlformats-officedocument.spreadsheetml.worksheet+xml"/>
  <Override PartName="/xl/worksheets/w7_sheet7.xml" ContentType="application/vnd.openxmlformats-officedocument.spreadsheetml.worksheet+xml"/>
  <Override PartName="/xl/worksheets/w7_sheet5.xml" ContentType="application/vnd.openxmlformats-officedocument.spreadsheetml.worksheet+xml"/>
  <Override PartName="/xl/worksheets/w7_sheet11.xml" ContentType="application/vnd.openxmlformats-officedocument.spreadsheetml.worksheet+xml"/>
  <Override PartName="/xl/worksheets/w7_sheet6.xml" ContentType="application/vnd.openxmlformats-officedocument.spreadsheetml.worksheet+xml"/>
  <Override PartName="/xl/worksheets/w7_sheet13.xml" ContentType="application/vnd.openxmlformats-officedocument.spreadsheetml.worksheet+xml"/>
  <Override PartName="/xl/worksheets/w7_sheet12.xml" ContentType="application/vnd.openxmlformats-officedocument.spreadsheetml.worksheet+xml"/>
  <Override PartName="/xl/worksheets/w7_sheet4.xml" ContentType="application/vnd.openxmlformats-officedocument.spreadsheetml.worksheet+xml"/>
  <Override PartName="/xl/worksheets/w7_sheet14.xml" ContentType="application/vnd.openxmlformats-officedocument.spreadsheetml.worksheet+xml"/>
  <Override PartName="/xl/worksheets/w7_sheet3.xml" ContentType="application/vnd.openxmlformats-officedocument.spreadsheetml.worksheet+xml"/>
  <Override PartName="/xl/drawings/w7_drawing3.xml" ContentType="application/vnd.openxmlformats-officedocument.drawing+xml"/>
  <Override PartName="/xl/drawings/w7_drawing1.xml" ContentType="application/vnd.openxmlformats-officedocument.drawing+xml"/>
  <Override PartName="/xl/drawings/w7_drawing4.xml" ContentType="application/vnd.openxmlformats-officedocument.drawing+xml"/>
  <Override PartName="/xl/drawings/w7_drawing9.xml" ContentType="application/vnd.openxmlformats-officedocument.drawing+xml"/>
  <Override PartName="/xl/drawings/w7_drawing2.xml" ContentType="application/vnd.openxmlformats-officedocument.drawing+xml"/>
  <Override PartName="/xl/drawings/w7_drawing6.xml" ContentType="application/vnd.openxmlformats-officedocument.drawing+xml"/>
  <Override PartName="/xl/drawings/w7_drawing7.xml" ContentType="application/vnd.openxmlformats-officedocument.drawing+xml"/>
  <Override PartName="/xl/drawings/w7_drawing8.xml" ContentType="application/vnd.openxmlformats-officedocument.drawing+xml"/>
  <Override PartName="/xl/drawings/w7_drawing5.xml" ContentType="application/vnd.openxmlformats-officedocument.drawing+xml"/>
  <Override PartName="/xl/w8_comments2.xml" ContentType="application/vnd.openxmlformats-officedocument.spreadsheetml.comments+xml"/>
  <Override PartName="/xl/w8_comments15.xml" ContentType="application/vnd.openxmlformats-officedocument.spreadsheetml.comments+xml"/>
  <Override PartName="/xl/w8_comments11.xml" ContentType="application/vnd.openxmlformats-officedocument.spreadsheetml.comments+xml"/>
  <Override PartName="/xl/w8_comments5.xml" ContentType="application/vnd.openxmlformats-officedocument.spreadsheetml.comments+xml"/>
  <Override PartName="/xl/w8_comments13.xml" ContentType="application/vnd.openxmlformats-officedocument.spreadsheetml.comments+xml"/>
  <Override PartName="/xl/w8_comments14.xml" ContentType="application/vnd.openxmlformats-officedocument.spreadsheetml.comments+xml"/>
  <Override PartName="/xl/w8_comments7.xml" ContentType="application/vnd.openxmlformats-officedocument.spreadsheetml.comments+xml"/>
  <Override PartName="/xl/w8_comments10.xml" ContentType="application/vnd.openxmlformats-officedocument.spreadsheetml.comments+xml"/>
  <Override PartName="/xl/w8_comments4.xml" ContentType="application/vnd.openxmlformats-officedocument.spreadsheetml.comments+xml"/>
  <Override PartName="/xl/w8_comments12.xml" ContentType="application/vnd.openxmlformats-officedocument.spreadsheetml.comments+xml"/>
  <Override PartName="/xl/w8_comments9.xml" ContentType="application/vnd.openxmlformats-officedocument.spreadsheetml.comments+xml"/>
  <Override PartName="/xl/w8_comments6.xml" ContentType="application/vnd.openxmlformats-officedocument.spreadsheetml.comments+xml"/>
  <Override PartName="/xl/w8_comments3.xml" ContentType="application/vnd.openxmlformats-officedocument.spreadsheetml.comments+xml"/>
  <Override PartName="/xl/w8_comments1.xml" ContentType="application/vnd.openxmlformats-officedocument.spreadsheetml.comments+xml"/>
  <Override PartName="/xl/w8_comments8.xml" ContentType="application/vnd.openxmlformats-officedocument.spreadsheetml.comments+xml"/>
  <Override PartName="/xl/worksheets/w8_sheet15.xml" ContentType="application/vnd.openxmlformats-officedocument.spreadsheetml.worksheet+xml"/>
  <Override PartName="/xl/worksheets/w8_sheet8.xml" ContentType="application/vnd.openxmlformats-officedocument.spreadsheetml.worksheet+xml"/>
  <Override PartName="/xl/worksheets/w8_sheet2.xml" ContentType="application/vnd.openxmlformats-officedocument.spreadsheetml.worksheet+xml"/>
  <Override PartName="/xl/worksheets/w8_sheet9.xml" ContentType="application/vnd.openxmlformats-officedocument.spreadsheetml.worksheet+xml"/>
  <Override PartName="/xl/worksheets/w8_sheet1.xml" ContentType="application/vnd.openxmlformats-officedocument.spreadsheetml.worksheet+xml"/>
  <Override PartName="/xl/worksheets/w8_sheet10.xml" ContentType="application/vnd.openxmlformats-officedocument.spreadsheetml.worksheet+xml"/>
  <Override PartName="/xl/worksheets/w8_sheet16.xml" ContentType="application/vnd.openxmlformats-officedocument.spreadsheetml.worksheet+xml"/>
  <Override PartName="/xl/worksheets/w8_sheet7.xml" ContentType="application/vnd.openxmlformats-officedocument.spreadsheetml.worksheet+xml"/>
  <Override PartName="/xl/worksheets/w8_sheet5.xml" ContentType="application/vnd.openxmlformats-officedocument.spreadsheetml.worksheet+xml"/>
  <Override PartName="/xl/worksheets/w8_sheet11.xml" ContentType="application/vnd.openxmlformats-officedocument.spreadsheetml.worksheet+xml"/>
  <Override PartName="/xl/worksheets/w8_sheet6.xml" ContentType="application/vnd.openxmlformats-officedocument.spreadsheetml.worksheet+xml"/>
  <Override PartName="/xl/worksheets/w8_sheet13.xml" ContentType="application/vnd.openxmlformats-officedocument.spreadsheetml.worksheet+xml"/>
  <Override PartName="/xl/worksheets/w8_sheet12.xml" ContentType="application/vnd.openxmlformats-officedocument.spreadsheetml.worksheet+xml"/>
  <Override PartName="/xl/worksheets/w8_sheet4.xml" ContentType="application/vnd.openxmlformats-officedocument.spreadsheetml.worksheet+xml"/>
  <Override PartName="/xl/worksheets/w8_sheet14.xml" ContentType="application/vnd.openxmlformats-officedocument.spreadsheetml.worksheet+xml"/>
  <Override PartName="/xl/worksheets/w8_sheet3.xml" ContentType="application/vnd.openxmlformats-officedocument.spreadsheetml.worksheet+xml"/>
  <Override PartName="/xl/drawings/w8_drawing13.xml" ContentType="application/vnd.openxmlformats-officedocument.drawing+xml"/>
  <Override PartName="/xl/drawings/w8_drawing10.xml" ContentType="application/vnd.openxmlformats-officedocument.drawing+xml"/>
  <Override PartName="/xl/drawings/w8_drawing3.xml" ContentType="application/vnd.openxmlformats-officedocument.drawing+xml"/>
  <Override PartName="/xl/drawings/w8_drawing1.xml" ContentType="application/vnd.openxmlformats-officedocument.drawing+xml"/>
  <Override PartName="/xl/drawings/w8_drawing4.xml" ContentType="application/vnd.openxmlformats-officedocument.drawing+xml"/>
  <Override PartName="/xl/drawings/w8_drawing11.xml" ContentType="application/vnd.openxmlformats-officedocument.drawing+xml"/>
  <Override PartName="/xl/drawings/w8_drawing9.xml" ContentType="application/vnd.openxmlformats-officedocument.drawing+xml"/>
  <Override PartName="/xl/drawings/w8_drawing2.xml" ContentType="application/vnd.openxmlformats-officedocument.drawing+xml"/>
  <Override PartName="/xl/drawings/w8_drawing6.xml" ContentType="application/vnd.openxmlformats-officedocument.drawing+xml"/>
  <Override PartName="/xl/drawings/w8_drawing12.xml" ContentType="application/vnd.openxmlformats-officedocument.drawing+xml"/>
  <Override PartName="/xl/drawings/w8_drawing7.xml" ContentType="application/vnd.openxmlformats-officedocument.drawing+xml"/>
  <Override PartName="/xl/drawings/w8_drawing8.xml" ContentType="application/vnd.openxmlformats-officedocument.drawing+xml"/>
  <Override PartName="/xl/drawings/w8_drawing5.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0" yWindow="0" windowWidth="28800" windowHeight="12360" tabRatio="743" activeTab="0"/>
  </bookViews>
  <sheets>
    <sheet name="年度" sheetId="1" r:id="rId1"/>
    <sheet name="全伝票" sheetId="2" r:id="rId2"/>
    <sheet name="災害伝票" sheetId="3" r:id="rId3"/>
    <sheet name="3条支出" sheetId="4" r:id="rId4"/>
    <sheet name="管" sheetId="5" r:id="rId5"/>
    <sheet name="水質" sheetId="6" r:id="rId6"/>
    <sheet name="ポ" sheetId="7" r:id="rId7"/>
    <sheet name="処" sheetId="8" r:id="rId8"/>
    <sheet name="受工" sheetId="9" r:id="rId9"/>
    <sheet name="普及" sheetId="10" r:id="rId10"/>
    <sheet name="貸付" sheetId="11" r:id="rId11"/>
    <sheet name="業務" sheetId="12" r:id="rId12"/>
    <sheet name="総係" sheetId="13" r:id="rId13"/>
    <sheet name="特環" sheetId="14" r:id="rId14"/>
    <sheet name="農集" sheetId="15" r:id="rId15"/>
    <sheet name="浄化" sheetId="16" r:id="rId16"/>
    <sheet name="災" sheetId="17" r:id="rId17"/>
    <sheet name="減価" sheetId="18" r:id="rId18"/>
    <sheet name="減耗" sheetId="19" r:id="rId19"/>
    <sheet name="営外" sheetId="20" r:id="rId20"/>
    <sheet name="特損" sheetId="21" r:id="rId21"/>
    <sheet name="3条支出(共通按分後)" sheetId="22" r:id="rId22"/>
    <sheet name="総係(共通按分後)" sheetId="23" r:id="rId23"/>
    <sheet name="特環(共通按分後)" sheetId="24" r:id="rId24"/>
    <sheet name="農集(共通按分後)" sheetId="25" r:id="rId25"/>
    <sheet name="浄化(共通按分後)" sheetId="26" r:id="rId26"/>
    <sheet name="3条収入" sheetId="27" r:id="rId27"/>
    <sheet name="4条支出" sheetId="28" r:id="rId28"/>
    <sheet name="公整" sheetId="29" r:id="rId29"/>
    <sheet name="受益" sheetId="30" r:id="rId30"/>
    <sheet name="排水" sheetId="31" r:id="rId31"/>
    <sheet name="都下" sheetId="32" r:id="rId32"/>
    <sheet name="流下" sheetId="33" r:id="rId33"/>
    <sheet name="諸公" sheetId="34" r:id="rId34"/>
    <sheet name="諸特" sheetId="35" r:id="rId35"/>
    <sheet name="諸農" sheetId="36" r:id="rId36"/>
    <sheet name="建利" sheetId="37" r:id="rId37"/>
    <sheet name="特整" sheetId="38" r:id="rId38"/>
    <sheet name="農整" sheetId="39" r:id="rId39"/>
    <sheet name="浄整" sheetId="40" r:id="rId40"/>
    <sheet name="償還" sheetId="41" r:id="rId41"/>
    <sheet name="水洗" sheetId="42" r:id="rId42"/>
    <sheet name="返還" sheetId="43" r:id="rId43"/>
    <sheet name="4条収入" sheetId="44" r:id="rId44"/>
    <sheet name="雨汚水" sheetId="45" r:id="rId45"/>
    <sheet name="雨汚収入" sheetId="46" r:id="rId46"/>
    <sheet name="雨汚支出" sheetId="47" r:id="rId47"/>
    <sheet name="補助補給" sheetId="48" r:id="rId48"/>
    <sheet name="3条税込み" sheetId="49" r:id="rId49"/>
    <sheet name="3条税抜き" sheetId="50" r:id="rId50"/>
    <sheet name="3条税抜き (消費税雑支出加算)" sheetId="51" r:id="rId51"/>
    <sheet name="収入税込" sheetId="52" r:id="rId52"/>
    <sheet name="収入税抜き" sheetId="53" r:id="rId53"/>
    <sheet name="収入税抜き (消費税雑収入加算）)" sheetId="54" r:id="rId54"/>
    <sheet name="雨汚水(共通按分後)" sheetId="55" r:id="rId55"/>
    <sheet name="3条税込み(共通按分後)" sheetId="56" r:id="rId56"/>
    <sheet name="3条税抜き(共通按分後)" sheetId="57" r:id="rId57"/>
    <sheet name="3条税抜き (消費税雑支出加算)(共通按分後)" sheetId="58" r:id="rId58"/>
    <sheet name="雨汚水(共通按分後) (確認用)" sheetId="59" r:id="rId59"/>
    <sheet name="税務署提出用" sheetId="60" r:id="rId60"/>
    <sheet name="総括表(不課税)" sheetId="61" r:id="rId61"/>
    <sheet name="3条一般会計" sheetId="62" r:id="rId62"/>
    <sheet name="3条補助金" sheetId="63" r:id="rId63"/>
    <sheet name="3条他会計" sheetId="64" r:id="rId64"/>
    <sheet name="3条その他" sheetId="65" r:id="rId65"/>
    <sheet name="3条災害補助" sheetId="66" r:id="rId66"/>
    <sheet name="4条補助（公）" sheetId="67" r:id="rId67"/>
    <sheet name="4条補助（特）" sheetId="68" r:id="rId68"/>
    <sheet name="4条補助（農）" sheetId="69" r:id="rId69"/>
    <sheet name="4条補助（浄）" sheetId="70" r:id="rId70"/>
    <sheet name="受益（公）" sheetId="71" r:id="rId71"/>
    <sheet name="受益（区域外）" sheetId="72" r:id="rId72"/>
    <sheet name="4条その他" sheetId="73" r:id="rId73"/>
    <sheet name="4条工事負担金" sheetId="74" r:id="rId74"/>
    <sheet name="工事負担金（所属別内訳）" sheetId="75" r:id="rId75"/>
    <sheet name="工事負担金（元金償還分)" sheetId="76" r:id="rId76"/>
    <sheet name="西風" sheetId="77" r:id="rId77"/>
    <sheet name="海田" sheetId="78" r:id="rId78"/>
    <sheet name="府中青崎" sheetId="79" r:id="rId79"/>
    <sheet name="府中大須" sheetId="80" r:id="rId80"/>
    <sheet name="大須（共通）" sheetId="81" r:id="rId81"/>
    <sheet name="廿日市" sheetId="82" r:id="rId82"/>
    <sheet name="年度別調書" sheetId="83" r:id="rId83"/>
    <sheet name="(申)3%" sheetId="84" r:id="rId84"/>
    <sheet name="(申)5%" sheetId="85" r:id="rId85"/>
    <sheet name="(申)8%" sheetId="86" r:id="rId86"/>
    <sheet name="(申)軽8%" sheetId="87" r:id="rId87"/>
    <sheet name="(申)10%" sheetId="88" r:id="rId88"/>
    <sheet name="(申)計" sheetId="89" r:id="rId89"/>
    <sheet name="消費税旧" sheetId="90" r:id="rId90"/>
    <sheet name="対価返還" sheetId="91" r:id="rId91"/>
    <sheet name="基礎数値" sheetId="92" r:id="rId92"/>
    <sheet name="消費税" sheetId="93" r:id="rId93"/>
    <sheet name="4条圧縮" sheetId="94" r:id="rId94"/>
    <sheet name="仮受仮払" sheetId="95" r:id="rId95"/>
    <sheet name="精算表" sheetId="96" r:id="rId96"/>
    <sheet name="振替表" sheetId="97" r:id="rId97"/>
    <sheet name="最終チェック（資本的支出の財源内訳と照合）" sheetId="98" r:id="rId98"/>
    <sheet name="(繰)案" sheetId="99" r:id="rId99"/>
    <sheet name="(繰)精算書" sheetId="100" r:id="rId100"/>
    <sheet name="(繰)繰入金" sheetId="101" r:id="rId101"/>
    <sheet name="(繰)対前年" sheetId="102" r:id="rId102"/>
    <sheet name="(繰)3条収入" sheetId="103" r:id="rId103"/>
    <sheet name="(繰)3条支出 " sheetId="104" r:id="rId104"/>
    <sheet name="(繰)4条収入" sheetId="105" r:id="rId105"/>
    <sheet name="(繰)4条支出 " sheetId="106" r:id="rId106"/>
    <sheet name="出資金しくみ" sheetId="107" r:id="rId107"/>
    <sheet name="総括表 (メモなし)" sheetId="108" r:id="rId108"/>
    <sheet name="総括表" sheetId="109" r:id="rId109"/>
    <sheet name="３条 税抜" sheetId="110" r:id="rId110"/>
    <sheet name="3条税込" sheetId="111" r:id="rId111"/>
    <sheet name="４条（みなし）" sheetId="112" r:id="rId112"/>
    <sheet name="４条（決算）" sheetId="113" r:id="rId113"/>
  </sheets>
  <definedNames>
    <definedName name="_xlnm._FilterDatabase" localSheetId="2" hidden="1">災害伝票!$A$15:$AT$183</definedName>
    <definedName name="_xlnm._FilterDatabase" localSheetId="1" hidden="1">全伝票!$A$2:$Q$1642</definedName>
    <definedName name="_xlnm.Print_Area" localSheetId="3">'3条支出'!$D$1:$T$79</definedName>
    <definedName name="_xlnm.Print_Area" localSheetId="21">'3条支出(共通按分後)'!$D$1:$T$45</definedName>
    <definedName name="_xlnm.Print_Area" localSheetId="6">ポ!$D$1:$T$38</definedName>
    <definedName name="_xlnm.Print_Area" localSheetId="19">営外!$D$1:$T$40</definedName>
    <definedName name="_xlnm.Print_Area" localSheetId="4">管!$D$1:$T$38</definedName>
    <definedName name="_xlnm.Print_Area" localSheetId="11">業務!$D$1:$T$38</definedName>
    <definedName name="_xlnm.Print_Area" localSheetId="17">減価!$D$1:$T$40</definedName>
    <definedName name="_xlnm.Print_Area" localSheetId="18">減耗!$D$1:$T$40</definedName>
    <definedName name="_xlnm.Print_Area" localSheetId="16">災!$D$1:$T$40</definedName>
    <definedName name="_xlnm.Print_Area" localSheetId="8">受工!$D$1:$T$38</definedName>
    <definedName name="_xlnm.Print_Area" localSheetId="7">処!$D$1:$T$38</definedName>
    <definedName name="_xlnm.Print_Area" localSheetId="15">浄化!$D$1:$T$39</definedName>
    <definedName name="_xlnm.Print_Area" localSheetId="25">'浄化(共通按分後)'!$D$1:$T$39</definedName>
    <definedName name="_xlnm.Print_Area" localSheetId="5">水質!$D$1:$T$38</definedName>
    <definedName name="_xlnm.Print_Area" localSheetId="12">総係!$D$1:$T$39</definedName>
    <definedName name="_xlnm.Print_Area" localSheetId="22">'総係(共通按分後)'!$D$1:$T$39</definedName>
    <definedName name="_xlnm.Print_Area" localSheetId="10">貸付!$D$1:$T$38</definedName>
    <definedName name="_xlnm.Print_Area" localSheetId="13">特環!$D$1:$T$39</definedName>
    <definedName name="_xlnm.Print_Area" localSheetId="23">'特環(共通按分後)'!$D$1:$T$39</definedName>
    <definedName name="_xlnm.Print_Area" localSheetId="20">特損!$D$1:$T$42</definedName>
    <definedName name="_xlnm.Print_Area" localSheetId="14">農集!$D$1:$T$39</definedName>
    <definedName name="_xlnm.Print_Area" localSheetId="24">'農集(共通按分後)'!$D$1:$T$39</definedName>
    <definedName name="_xlnm.Print_Area" localSheetId="9">普及!$D$1:$T$38</definedName>
    <definedName name="_xlnm.Print_Area" localSheetId="26">'3条収入'!$A$1:$AI$72</definedName>
    <definedName name="_xlnm.Print_Area" localSheetId="27">'4条支出'!$D$1:$T$43</definedName>
    <definedName name="_xlnm.Print_Area" localSheetId="36">建利!$D$1:$T$43</definedName>
    <definedName name="_xlnm.Print_Area" localSheetId="28">公整!$D$1:$T$43</definedName>
    <definedName name="_xlnm.Print_Area" localSheetId="29">受益!$D$1:$T$43</definedName>
    <definedName name="_xlnm.Print_Area" localSheetId="33">諸公!$D$1:$T$43</definedName>
    <definedName name="_xlnm.Print_Area" localSheetId="34">諸特!$D$1:$T$43</definedName>
    <definedName name="_xlnm.Print_Area" localSheetId="35">諸農!$D$1:$T$43</definedName>
    <definedName name="_xlnm.Print_Area" localSheetId="40">償還!$D$1:$T$43</definedName>
    <definedName name="_xlnm.Print_Area" localSheetId="39">浄整!$D$1:$T$43</definedName>
    <definedName name="_xlnm.Print_Area" localSheetId="41">水洗!$D$1:$T$43</definedName>
    <definedName name="_xlnm.Print_Area" localSheetId="31">都下!$D$1:$T$43</definedName>
    <definedName name="_xlnm.Print_Area" localSheetId="37">特整!$D$1:$T$43</definedName>
    <definedName name="_xlnm.Print_Area" localSheetId="38">農整!$D$1:$T$43</definedName>
    <definedName name="_xlnm.Print_Area" localSheetId="30">排水!$D$1:$T$43</definedName>
    <definedName name="_xlnm.Print_Area" localSheetId="42">返還!$D$1:$T$43</definedName>
    <definedName name="_xlnm.Print_Area" localSheetId="32">流下!$D$1:$T$43</definedName>
    <definedName name="_xlnm.Print_Area" localSheetId="43">'4条収入'!$D$1:$AI$93</definedName>
    <definedName name="_xlnm.Print_Titles" localSheetId="43">'4条収入'!$1:$9</definedName>
    <definedName name="_xlnm._FilterDatabase" localSheetId="46" hidden="1">雨汚支出!$A$12:$BU$118</definedName>
    <definedName name="_xlnm._FilterDatabase" localSheetId="45" hidden="1">雨汚収入!$A$69:$BT$902</definedName>
    <definedName name="_xlnm._FilterDatabase" localSheetId="47" hidden="1">補助補給!$A$15:$AT$244</definedName>
    <definedName name="_xlnm.Print_Area" localSheetId="48">'3条税込み'!$A$1:$K$44</definedName>
    <definedName name="_xlnm.Print_Area" localSheetId="55">'3条税込み(共通按分後)'!$A$1:$K$44</definedName>
    <definedName name="_xlnm.Print_Area" localSheetId="49">'3条税抜き'!$A$1:$K$44</definedName>
    <definedName name="_xlnm.Print_Area" localSheetId="50">'3条税抜き (消費税雑支出加算)'!$A$1:$K$44</definedName>
    <definedName name="_xlnm.Print_Area" localSheetId="57">'3条税抜き (消費税雑支出加算)(共通按分後)'!$A$1:$K$44</definedName>
    <definedName name="_xlnm.Print_Area" localSheetId="56">'3条税抜き(共通按分後)'!$A$1:$K$44</definedName>
    <definedName name="_xlnm.Print_Area" localSheetId="45">雨汚収入!$P$1:$BO$67</definedName>
    <definedName name="_xlnm.Print_Area" localSheetId="44">雨汚水!$A$1:$AL$140</definedName>
    <definedName name="_xlnm.Print_Area" localSheetId="51">収入税込!$A$1:$W$47</definedName>
    <definedName name="_xlnm.Print_Area" localSheetId="52">収入税抜き!$A$1:$K$47</definedName>
    <definedName name="_xlnm.Print_Area" localSheetId="53">'収入税抜き (消費税雑収入加算）)'!$A$1:$K$47</definedName>
    <definedName name="_xlnm.Print_Titles" localSheetId="48">'3条税込み'!$A:$C</definedName>
    <definedName name="_xlnm.Print_Titles" localSheetId="55">'3条税込み(共通按分後)'!$A:$C</definedName>
    <definedName name="_xlnm.Print_Titles" localSheetId="49">'3条税抜き'!$A:$C</definedName>
    <definedName name="_xlnm.Print_Titles" localSheetId="50">'3条税抜き (消費税雑支出加算)'!$A:$C</definedName>
    <definedName name="_xlnm.Print_Titles" localSheetId="57">'3条税抜き (消費税雑支出加算)(共通按分後)'!$A:$C</definedName>
    <definedName name="_xlnm.Print_Titles" localSheetId="56">'3条税抜き(共通按分後)'!$A:$C</definedName>
    <definedName name="_xlnm._FilterDatabase" localSheetId="74" hidden="1">'工事負担金（所属別内訳）'!$A$5:$T$106</definedName>
    <definedName name="_xlnm.Print_Area" localSheetId="64">'3条その他'!$A$1:$N$56</definedName>
    <definedName name="_xlnm.Print_Area" localSheetId="61">'3条一般会計'!$A$1:$I$29</definedName>
    <definedName name="_xlnm.Print_Area" localSheetId="63">'3条他会計'!$A$1:$I$11</definedName>
    <definedName name="_xlnm.Print_Area" localSheetId="62">'3条補助金'!$A$1:$I$21</definedName>
    <definedName name="_xlnm.Print_Area" localSheetId="73">'4条工事負担金'!$A$1:$V$25</definedName>
    <definedName name="_xlnm.Print_Area" localSheetId="66">'4条補助（公）'!$A$1:$U$43</definedName>
    <definedName name="_xlnm.Print_Area" localSheetId="69">'4条補助（浄）'!$A$1:$U$43</definedName>
    <definedName name="_xlnm.Print_Area" localSheetId="67">'4条補助（特）'!$A$1:$U$43</definedName>
    <definedName name="_xlnm.Print_Area" localSheetId="77">海田!$A$1:$AC$49</definedName>
    <definedName name="_xlnm.Print_Area" localSheetId="75">'工事負担金（元金償還分)'!$A$1:$I$14</definedName>
    <definedName name="_xlnm.Print_Area" localSheetId="74">'工事負担金（所属別内訳）'!$A$1:$R$105</definedName>
    <definedName name="_xlnm.Print_Area" localSheetId="71">'受益（区域外）'!$A$1:$U$77</definedName>
    <definedName name="_xlnm.Print_Area" localSheetId="70">'受益（公）'!$A$1:$U$18</definedName>
    <definedName name="_xlnm.Print_Area" localSheetId="60">'総括表(不課税)'!$A$1:$J$173</definedName>
    <definedName name="_xlnm.Print_Area" localSheetId="80">'大須（共通）'!$A$1:$AC$49</definedName>
    <definedName name="_xlnm.Print_Area" localSheetId="81">廿日市!$A$1:$AC$49</definedName>
    <definedName name="_xlnm.Print_Area" localSheetId="82">年度別調書!$A$2:$N$37</definedName>
    <definedName name="_xlnm.Print_Area" localSheetId="78">府中青崎!$A$1:$AC$49</definedName>
    <definedName name="_xlnm.Print_Area" localSheetId="79">府中大須!$A$1:$AC$49</definedName>
    <definedName name="_xlnm.Print_Titles" localSheetId="60">'総括表(不課税)'!$4:$5</definedName>
    <definedName name="_xlnm._FilterDatabase" localSheetId="96" hidden="1">振替表!$A$2:$J$2</definedName>
    <definedName name="_xlnm._FilterDatabase" localSheetId="90" hidden="1">対価返還!$A$18:$BT$363</definedName>
    <definedName name="_xlnm.Print_Area" localSheetId="88">'(申)計'!$A$1:$BA$160</definedName>
    <definedName name="_xlnm.Print_Area" localSheetId="94">仮受仮払!$A$1:$I$98</definedName>
    <definedName name="_xlnm.Print_Area" localSheetId="92">消費税!$A$3:$AF$125</definedName>
    <definedName name="_xlnm.Print_Area" localSheetId="96">振替表!$A:$J</definedName>
    <definedName name="_xlnm.Print_Area" localSheetId="95">精算表!$A$2:$D$15</definedName>
    <definedName name="_xlnm.Print_Area" localSheetId="90">対価返還!$S$1:$BO$16</definedName>
    <definedName name="_xlnm.Print_Titles" localSheetId="87">'(申)10%'!$1:$2</definedName>
    <definedName name="_xlnm.Print_Titles" localSheetId="83">'(申)3%'!$1:$2</definedName>
    <definedName name="_xlnm.Print_Titles" localSheetId="84">'(申)5%'!$1:$2</definedName>
    <definedName name="_xlnm.Print_Titles" localSheetId="85">'(申)8%'!$1:$2</definedName>
    <definedName name="_xlnm.Print_Titles" localSheetId="88">'(申)計'!$1:$2</definedName>
    <definedName name="_xlnm.Print_Titles" localSheetId="86">'(申)軽8%'!$1:$2</definedName>
    <definedName name="_xlnm.Print_Titles" localSheetId="92">消費税!$3:$7</definedName>
    <definedName name="_xlnm._FilterDatabase" localSheetId="100" hidden="1">'(繰)繰入金'!$A$3:$K$38</definedName>
    <definedName name="_xlnm._FilterDatabase" localSheetId="99" hidden="1">'(繰)精算書'!$A$10:$N$62</definedName>
    <definedName name="_xlnm._FilterDatabase" localSheetId="101" hidden="1">'(繰)対前年'!$A$4:$R$47</definedName>
    <definedName name="_xlnm._FilterDatabase" localSheetId="109" hidden="1">'３条 税抜'!$A$8:$W$64</definedName>
    <definedName name="_xlnm._FilterDatabase" localSheetId="110" hidden="1">'3条税込'!$A$8:$W$66</definedName>
    <definedName name="_xlnm._FilterDatabase" localSheetId="111" hidden="1">'４条（みなし）'!$A$6:$Z$90</definedName>
    <definedName name="_xlnm._FilterDatabase" localSheetId="112" hidden="1">'４条（決算）'!$A$6:$U$91</definedName>
    <definedName name="_xlnm.Print_Area" localSheetId="103">'(繰)3条支出 '!$A$1:$I$30</definedName>
    <definedName name="_xlnm.Print_Area" localSheetId="102">'(繰)3条収入'!$A$1:$H$23</definedName>
    <definedName name="_xlnm.Print_Area" localSheetId="105">'(繰)4条支出 '!$A$1:$K$23</definedName>
    <definedName name="_xlnm.Print_Area" localSheetId="104">'(繰)4条収入'!$A$1:$M$33</definedName>
    <definedName name="_xlnm.Print_Area" localSheetId="98">'(繰)案'!$A$1:$G$42</definedName>
    <definedName name="_xlnm.Print_Area" localSheetId="100">'(繰)繰入金'!$A$1:$J$44</definedName>
    <definedName name="_xlnm.Print_Area" localSheetId="99">'(繰)精算書'!$A$1:$J$58</definedName>
    <definedName name="_xlnm.Print_Area" localSheetId="101">'(繰)対前年'!$A$1:$Q$46</definedName>
    <definedName name="_xlnm.Print_Area" localSheetId="109">'３条 税抜'!$A$1:$O$68</definedName>
    <definedName name="_xlnm.Print_Area" localSheetId="110">'3条税込'!$A$1:$O$64</definedName>
    <definedName name="_xlnm.Print_Area" localSheetId="111">'４条（みなし）'!$A$1:$P$90</definedName>
    <definedName name="_xlnm.Print_Area" localSheetId="112">'４条（決算）'!$A$1:$P$91</definedName>
    <definedName name="_xlnm.Print_Area" localSheetId="97">'最終チェック（資本的支出の財源内訳と照合）'!$A$1:$H$21</definedName>
    <definedName name="_xlnm.Print_Area" localSheetId="106">出資金しくみ!$A$1:$R$50</definedName>
    <definedName name="_xlnm.Print_Area" localSheetId="108">総括表!$A$1:$O$59</definedName>
    <definedName name="_xlnm.Print_Area" localSheetId="107">'総括表 (メモなし)'!$A$1:$M$46</definedName>
    <definedName name="_xlnm.Print_Titles" localSheetId="109">'３条 税抜'!$A:$D,'３条 税抜'!$3:$7</definedName>
    <definedName name="_xlnm.Print_Titles" localSheetId="110">'3条税込'!$A:$D,'3条税込'!$3:$7</definedName>
    <definedName name="_xlnm.Print_Titles" localSheetId="111">'４条（みなし）'!$A:$D,'４条（みなし）'!$1:$5</definedName>
    <definedName name="_xlnm.Print_Titles" localSheetId="112">'４条（決算）'!$A:$D,'４条（決算）'!$1:$5</definedName>
  </definedNames>
  <calcPr calcId="162913" fullCalcOnLoad="1"/>
</workbook>
</file>

<file path=xl/sharedStrings.xml><?xml version="1.0" encoding="utf-8"?>
<sst xmlns="http://schemas.openxmlformats.org/spreadsheetml/2006/main" count="7221" uniqueCount="7221">
  <si>
    <t>税込決算額</t>
    <rPh sb="0" eb="2">
      <t>ゼイコミ</t>
    </rPh>
    <rPh sb="2" eb="4">
      <t>ケッサン</t>
    </rPh>
    <rPh sb="4" eb="5">
      <t>ガク</t>
    </rPh>
    <phoneticPr fontId="3"/>
  </si>
  <si>
    <t>総額検算</t>
    <rPh sb="0" eb="2">
      <t>ソウガク</t>
    </rPh>
    <rPh sb="2" eb="4">
      <t>ケンザン</t>
    </rPh>
    <phoneticPr fontId="3"/>
  </si>
  <si>
    <t>計</t>
    <rPh sb="0" eb="1">
      <t>ケイ</t>
    </rPh>
    <phoneticPr fontId="3"/>
  </si>
  <si>
    <t>　その他特別損失</t>
  </si>
  <si>
    <t>　過年度損益修正損</t>
    <phoneticPr fontId="3"/>
  </si>
  <si>
    <t>特別損失</t>
  </si>
  <si>
    <t>　雑支出</t>
  </si>
  <si>
    <t>　一時借入金利息</t>
  </si>
  <si>
    <t>営業外費用</t>
  </si>
  <si>
    <t>　資産減耗費（撤去費）</t>
    <rPh sb="7" eb="9">
      <t>テッキョ</t>
    </rPh>
    <rPh sb="9" eb="10">
      <t>ヒ</t>
    </rPh>
    <phoneticPr fontId="3"/>
  </si>
  <si>
    <t>　災害復旧費</t>
    <rPh sb="1" eb="3">
      <t>サイガイ</t>
    </rPh>
    <rPh sb="3" eb="5">
      <t>フッキュウ</t>
    </rPh>
    <rPh sb="5" eb="6">
      <t>ヒ</t>
    </rPh>
    <phoneticPr fontId="3"/>
  </si>
  <si>
    <t>　浄化槽費</t>
    <rPh sb="1" eb="4">
      <t>ジョウカソウ</t>
    </rPh>
    <phoneticPr fontId="3"/>
  </si>
  <si>
    <t>　農集費</t>
    <rPh sb="1" eb="2">
      <t>ノウ</t>
    </rPh>
    <rPh sb="2" eb="3">
      <t>シュウ</t>
    </rPh>
    <phoneticPr fontId="3"/>
  </si>
  <si>
    <t>　特環費</t>
    <rPh sb="1" eb="3">
      <t>トッカン</t>
    </rPh>
    <phoneticPr fontId="3"/>
  </si>
  <si>
    <t>　総係費</t>
  </si>
  <si>
    <t>　業務費</t>
  </si>
  <si>
    <t>　水洗化貸付事業費</t>
  </si>
  <si>
    <t>　普及促進費</t>
  </si>
  <si>
    <t>　受託工事費</t>
  </si>
  <si>
    <t>　処理場費</t>
  </si>
  <si>
    <t>　ポンプ場費</t>
  </si>
  <si>
    <t>　水質指導費</t>
  </si>
  <si>
    <t>　管きょ費</t>
  </si>
  <si>
    <t>営業費用</t>
    <rPh sb="0" eb="2">
      <t>エイギョウ</t>
    </rPh>
    <rPh sb="2" eb="4">
      <t>ヒヨウ</t>
    </rPh>
    <phoneticPr fontId="3"/>
  </si>
  <si>
    <t>課税支出</t>
    <rPh sb="0" eb="2">
      <t>カゼイ</t>
    </rPh>
    <rPh sb="2" eb="4">
      <t>シシュツ</t>
    </rPh>
    <phoneticPr fontId="3"/>
  </si>
  <si>
    <t>水質・普及・水洗化</t>
    <phoneticPr fontId="3"/>
  </si>
  <si>
    <t>汚水基準外</t>
    <rPh sb="0" eb="1">
      <t>ブン</t>
    </rPh>
    <rPh sb="2" eb="3">
      <t>ガイ</t>
    </rPh>
    <phoneticPr fontId="3"/>
  </si>
  <si>
    <t>雨水+汚水基準内+一般行政経費（水質・普及・水洗化を除く）</t>
    <rPh sb="0" eb="1">
      <t>ウスイ</t>
    </rPh>
    <rPh sb="2" eb="4">
      <t>オスイ</t>
    </rPh>
    <rPh sb="4" eb="6">
      <t>キジュン</t>
    </rPh>
    <rPh sb="6" eb="7">
      <t>ナイ</t>
    </rPh>
    <rPh sb="9" eb="11">
      <t>イッパン</t>
    </rPh>
    <rPh sb="11" eb="13">
      <t>ギョウセイ</t>
    </rPh>
    <rPh sb="13" eb="15">
      <t>ケイヒ</t>
    </rPh>
    <rPh sb="16" eb="18">
      <t>スイシツ</t>
    </rPh>
    <rPh sb="19" eb="21">
      <t>フキュウ</t>
    </rPh>
    <rPh sb="22" eb="25">
      <t>スイセンカ</t>
    </rPh>
    <rPh sb="26" eb="27">
      <t>ノゾ</t>
    </rPh>
    <phoneticPr fontId="3"/>
  </si>
  <si>
    <t>費目</t>
    <rPh sb="0" eb="2">
      <t>ヒモク</t>
    </rPh>
    <phoneticPr fontId="3"/>
  </si>
  <si>
    <t>【特定収入に係る課税仕入れ・課税仕入れ以外の特定のために使用する課税支出割合算出表】</t>
    <rPh sb="1" eb="3">
      <t>トクテイ</t>
    </rPh>
    <rPh sb="3" eb="5">
      <t>シュウニュウ</t>
    </rPh>
    <rPh sb="6" eb="7">
      <t>カカ</t>
    </rPh>
    <rPh sb="8" eb="10">
      <t>カゼイ</t>
    </rPh>
    <rPh sb="10" eb="12">
      <t>シイ</t>
    </rPh>
    <rPh sb="14" eb="16">
      <t>カゼイ</t>
    </rPh>
    <rPh sb="16" eb="18">
      <t>シイ</t>
    </rPh>
    <rPh sb="19" eb="21">
      <t>イガイ</t>
    </rPh>
    <rPh sb="22" eb="24">
      <t>トクテイ</t>
    </rPh>
    <rPh sb="28" eb="30">
      <t>シヨウ</t>
    </rPh>
    <rPh sb="32" eb="34">
      <t>カゼイ</t>
    </rPh>
    <rPh sb="34" eb="36">
      <t>シシュツ</t>
    </rPh>
    <rPh sb="36" eb="38">
      <t>ワリアイ</t>
    </rPh>
    <rPh sb="38" eb="40">
      <t>サンシュツ</t>
    </rPh>
    <rPh sb="40" eb="41">
      <t>ヒョウ</t>
    </rPh>
    <phoneticPr fontId="3"/>
  </si>
  <si>
    <t>←仕入控除税額の算定にあたり、仮払消費税額×課税売上割合しか計上できないことにより控除できない額（マイナス表示）</t>
    <rPh sb="53" eb="55">
      <t>ヒョウジ</t>
    </rPh>
    <phoneticPr fontId="3"/>
  </si>
  <si>
    <t>仕入税額控除不可消費税</t>
  </si>
  <si>
    <t>消費税中間</t>
    <rPh sb="0" eb="3">
      <t>ショウヒゼイ</t>
    </rPh>
    <rPh sb="3" eb="5">
      <t>チュウカン</t>
    </rPh>
    <phoneticPr fontId="3"/>
  </si>
  <si>
    <t>消費税及び地方消費税</t>
    <rPh sb="0" eb="3">
      <t>ショウヒゼイ</t>
    </rPh>
    <rPh sb="3" eb="4">
      <t>オヨ</t>
    </rPh>
    <rPh sb="5" eb="7">
      <t>チホウ</t>
    </rPh>
    <rPh sb="7" eb="10">
      <t>ショウヒゼイ</t>
    </rPh>
    <phoneticPr fontId="3"/>
  </si>
  <si>
    <t>　減損損失</t>
    <rPh sb="1" eb="3">
      <t>ゲンソン</t>
    </rPh>
    <rPh sb="3" eb="5">
      <t>ソンシツ</t>
    </rPh>
    <phoneticPr fontId="3"/>
  </si>
  <si>
    <t>　固定資産売却損</t>
  </si>
  <si>
    <t>　過年度損益修正損</t>
  </si>
  <si>
    <t>　支払利息・取扱費</t>
    <rPh sb="6" eb="8">
      <t>トリアツカ</t>
    </rPh>
    <phoneticPr fontId="3"/>
  </si>
  <si>
    <t>　資産減耗費</t>
  </si>
  <si>
    <t>　減価償却費</t>
  </si>
  <si>
    <t>消費税　調整額</t>
    <rPh sb="0" eb="3">
      <t>ショウヒゼイ</t>
    </rPh>
    <rPh sb="4" eb="6">
      <t>チョウセイ</t>
    </rPh>
    <rPh sb="6" eb="7">
      <t>ガク</t>
    </rPh>
    <phoneticPr fontId="3"/>
  </si>
  <si>
    <t>消費税端数調整ランク</t>
    <rPh sb="0" eb="3">
      <t>ショウヒゼイ</t>
    </rPh>
    <rPh sb="3" eb="5">
      <t>ハスウ</t>
    </rPh>
    <rPh sb="5" eb="7">
      <t>チョウセイ</t>
    </rPh>
    <phoneticPr fontId="3"/>
  </si>
  <si>
    <t>消費税　端数確認</t>
    <rPh sb="0" eb="3">
      <t>ショウヒゼイ</t>
    </rPh>
    <rPh sb="4" eb="6">
      <t>ハスウ</t>
    </rPh>
    <rPh sb="6" eb="8">
      <t>カクニン</t>
    </rPh>
    <phoneticPr fontId="3"/>
  </si>
  <si>
    <t>消費税</t>
    <rPh sb="0" eb="3">
      <t>ショウヒゼイ</t>
    </rPh>
    <phoneticPr fontId="3"/>
  </si>
  <si>
    <t>税抜決算額</t>
    <rPh sb="0" eb="2">
      <t>ゼイヌキ</t>
    </rPh>
    <rPh sb="2" eb="4">
      <t>ケッサン</t>
    </rPh>
    <rPh sb="4" eb="5">
      <t>ガク</t>
    </rPh>
    <phoneticPr fontId="3"/>
  </si>
  <si>
    <t>不課税支出</t>
    <rPh sb="0" eb="1">
      <t>フ</t>
    </rPh>
    <rPh sb="1" eb="3">
      <t>カゼイ</t>
    </rPh>
    <rPh sb="3" eb="5">
      <t>シシュツ</t>
    </rPh>
    <phoneticPr fontId="3"/>
  </si>
  <si>
    <t>非課税支出</t>
    <rPh sb="0" eb="3">
      <t>ヒカゼイ</t>
    </rPh>
    <rPh sb="3" eb="5">
      <t>シシュツ</t>
    </rPh>
    <phoneticPr fontId="3"/>
  </si>
  <si>
    <t>細節</t>
    <rPh sb="0" eb="2">
      <t>サイセツ</t>
    </rPh>
    <phoneticPr fontId="3"/>
  </si>
  <si>
    <t>節</t>
    <rPh sb="0" eb="1">
      <t>セツ</t>
    </rPh>
    <phoneticPr fontId="3"/>
  </si>
  <si>
    <t>事業</t>
    <rPh sb="0" eb="2">
      <t>ジギョウ</t>
    </rPh>
    <phoneticPr fontId="3"/>
  </si>
  <si>
    <t>【３条支出総括】</t>
    <rPh sb="2" eb="3">
      <t>ジョウ</t>
    </rPh>
    <rPh sb="3" eb="5">
      <t>シシュツ</t>
    </rPh>
    <rPh sb="5" eb="7">
      <t>ソウカツ</t>
    </rPh>
    <phoneticPr fontId="3"/>
  </si>
  <si>
    <t>貸倒引当金繰入額</t>
    <rPh sb="0" eb="2">
      <t>カシダオレ</t>
    </rPh>
    <phoneticPr fontId="3"/>
  </si>
  <si>
    <t>8830243</t>
  </si>
  <si>
    <t>賞与引当金繰入額</t>
  </si>
  <si>
    <t>8830242</t>
  </si>
  <si>
    <t>雑費</t>
  </si>
  <si>
    <t>公課費</t>
  </si>
  <si>
    <t>8830240</t>
  </si>
  <si>
    <t>損害保険料</t>
  </si>
  <si>
    <t>8830239</t>
  </si>
  <si>
    <t>食糧費</t>
  </si>
  <si>
    <t>8830237</t>
  </si>
  <si>
    <t>負担金、補助及び交付金</t>
  </si>
  <si>
    <t>8830231</t>
  </si>
  <si>
    <t>補償金</t>
  </si>
  <si>
    <t>8830230</t>
  </si>
  <si>
    <t>薬品費</t>
  </si>
  <si>
    <t>8830229</t>
  </si>
  <si>
    <t>動力用燃料費</t>
    <rPh sb="0" eb="3">
      <t>ドウリョクヨウ</t>
    </rPh>
    <rPh sb="3" eb="6">
      <t>ネンリョウヒ</t>
    </rPh>
    <phoneticPr fontId="3"/>
  </si>
  <si>
    <t>883022867</t>
  </si>
  <si>
    <t>8830228</t>
  </si>
  <si>
    <t>電力費</t>
    <rPh sb="0" eb="2">
      <t>デンリョク</t>
    </rPh>
    <rPh sb="2" eb="3">
      <t>ヒ</t>
    </rPh>
    <phoneticPr fontId="3"/>
  </si>
  <si>
    <t>883022866</t>
  </si>
  <si>
    <t>路面復旧費</t>
  </si>
  <si>
    <t>8830226</t>
  </si>
  <si>
    <t>工事請負費</t>
  </si>
  <si>
    <t>8830225</t>
  </si>
  <si>
    <t>材料費</t>
  </si>
  <si>
    <t>8830224</t>
  </si>
  <si>
    <t>修繕費</t>
  </si>
  <si>
    <t>8830223</t>
  </si>
  <si>
    <t>委託料</t>
  </si>
  <si>
    <t>8830221</t>
  </si>
  <si>
    <t>賃借料</t>
  </si>
  <si>
    <t>8830220</t>
  </si>
  <si>
    <t>手数料</t>
  </si>
  <si>
    <t>8830219</t>
  </si>
  <si>
    <t>通信運搬費</t>
  </si>
  <si>
    <t>8830217</t>
  </si>
  <si>
    <t>光熱水費</t>
  </si>
  <si>
    <t>8830215</t>
  </si>
  <si>
    <t>燃料費</t>
  </si>
  <si>
    <t>8830214</t>
  </si>
  <si>
    <t>備消品費</t>
  </si>
  <si>
    <t>8830213</t>
  </si>
  <si>
    <t>特別旅費</t>
  </si>
  <si>
    <t>883021002</t>
  </si>
  <si>
    <t>8830210</t>
  </si>
  <si>
    <t>普通旅費</t>
  </si>
  <si>
    <t>883021001</t>
  </si>
  <si>
    <t>報償費</t>
  </si>
  <si>
    <t>8830208</t>
  </si>
  <si>
    <t>賃金</t>
  </si>
  <si>
    <t>8830207</t>
  </si>
  <si>
    <t>災害補償費</t>
  </si>
  <si>
    <t>8830205</t>
  </si>
  <si>
    <t>法定福利費</t>
  </si>
  <si>
    <t>8830204</t>
  </si>
  <si>
    <t>手当等</t>
  </si>
  <si>
    <t>8830203</t>
  </si>
  <si>
    <t>給料</t>
  </si>
  <si>
    <t>8830202</t>
  </si>
  <si>
    <t>報酬</t>
  </si>
  <si>
    <t>8830201</t>
  </si>
  <si>
    <t>【管きょ費】</t>
    <rPh sb="1" eb="2">
      <t>カン</t>
    </rPh>
    <rPh sb="4" eb="5">
      <t>ヒ</t>
    </rPh>
    <phoneticPr fontId="3"/>
  </si>
  <si>
    <t>8830443</t>
  </si>
  <si>
    <t>8830442</t>
  </si>
  <si>
    <t>8830440</t>
  </si>
  <si>
    <t>8830439</t>
  </si>
  <si>
    <t>8830437</t>
  </si>
  <si>
    <t>8830431</t>
  </si>
  <si>
    <t>8830430</t>
  </si>
  <si>
    <t>8830429</t>
  </si>
  <si>
    <t>883042867</t>
  </si>
  <si>
    <t>8830428</t>
  </si>
  <si>
    <t>883042866</t>
  </si>
  <si>
    <t>8830426</t>
  </si>
  <si>
    <t>8830425</t>
  </si>
  <si>
    <t>8830424</t>
  </si>
  <si>
    <t>8830423</t>
  </si>
  <si>
    <t>8830421</t>
  </si>
  <si>
    <t>8830420</t>
  </si>
  <si>
    <t>8830419</t>
  </si>
  <si>
    <t>8830417</t>
  </si>
  <si>
    <t>8830415</t>
  </si>
  <si>
    <t>8830414</t>
  </si>
  <si>
    <t>8830413</t>
  </si>
  <si>
    <t>883041002</t>
  </si>
  <si>
    <t>8830410</t>
  </si>
  <si>
    <t>883041001</t>
  </si>
  <si>
    <t>8830408</t>
  </si>
  <si>
    <t>8830407</t>
  </si>
  <si>
    <t>8830405</t>
  </si>
  <si>
    <t>8830404</t>
  </si>
  <si>
    <t>8830403</t>
  </si>
  <si>
    <t>8830402</t>
  </si>
  <si>
    <t>8830401</t>
  </si>
  <si>
    <t>【水質指導費】</t>
    <rPh sb="1" eb="3">
      <t>スイシツ</t>
    </rPh>
    <rPh sb="3" eb="5">
      <t>シドウ</t>
    </rPh>
    <rPh sb="5" eb="6">
      <t>ヒ</t>
    </rPh>
    <phoneticPr fontId="3"/>
  </si>
  <si>
    <t>8830643</t>
  </si>
  <si>
    <t>8830642</t>
  </si>
  <si>
    <t>8830640</t>
  </si>
  <si>
    <t>8830639</t>
  </si>
  <si>
    <t>8830637</t>
  </si>
  <si>
    <t>8830631</t>
  </si>
  <si>
    <t>8830630</t>
  </si>
  <si>
    <t>8830629</t>
  </si>
  <si>
    <t>883062867</t>
  </si>
  <si>
    <t>8830628</t>
  </si>
  <si>
    <t>883062866</t>
  </si>
  <si>
    <t>8830626</t>
  </si>
  <si>
    <t>8830625</t>
  </si>
  <si>
    <t>8830624</t>
  </si>
  <si>
    <t>8830623</t>
  </si>
  <si>
    <t>8830621</t>
  </si>
  <si>
    <t>8830620</t>
  </si>
  <si>
    <t>8830619</t>
  </si>
  <si>
    <t>8830617</t>
  </si>
  <si>
    <t>8830615</t>
  </si>
  <si>
    <t>8830614</t>
  </si>
  <si>
    <t>8830613</t>
  </si>
  <si>
    <t>883061002</t>
  </si>
  <si>
    <t>8830610</t>
  </si>
  <si>
    <t>883061001</t>
  </si>
  <si>
    <t>8830608</t>
  </si>
  <si>
    <t>8830607</t>
  </si>
  <si>
    <t>8830605</t>
  </si>
  <si>
    <t>8830604</t>
  </si>
  <si>
    <t>8830603</t>
  </si>
  <si>
    <t>8830602</t>
  </si>
  <si>
    <t>8830601</t>
  </si>
  <si>
    <t>【ポンプ場費】</t>
    <rPh sb="4" eb="5">
      <t>ジョウ</t>
    </rPh>
    <rPh sb="5" eb="6">
      <t>ヒ</t>
    </rPh>
    <phoneticPr fontId="3"/>
  </si>
  <si>
    <t>8830843</t>
  </si>
  <si>
    <t>8830842</t>
  </si>
  <si>
    <t>8830840</t>
  </si>
  <si>
    <t>8830839</t>
  </si>
  <si>
    <t>8830837</t>
  </si>
  <si>
    <t>8830831</t>
  </si>
  <si>
    <t>8830830</t>
  </si>
  <si>
    <t>8830829</t>
  </si>
  <si>
    <t>883082867</t>
  </si>
  <si>
    <t>8830828</t>
  </si>
  <si>
    <t>883082866</t>
  </si>
  <si>
    <t>8830826</t>
  </si>
  <si>
    <t>8830825</t>
  </si>
  <si>
    <t>8830824</t>
  </si>
  <si>
    <t>8830823</t>
  </si>
  <si>
    <t>8830821</t>
  </si>
  <si>
    <t>8830820</t>
  </si>
  <si>
    <t>8830819</t>
  </si>
  <si>
    <t>8830817</t>
  </si>
  <si>
    <t>8830815</t>
  </si>
  <si>
    <t>8830814</t>
  </si>
  <si>
    <t>8830813</t>
  </si>
  <si>
    <t>883081002</t>
  </si>
  <si>
    <t>8830810</t>
  </si>
  <si>
    <t>883081001</t>
  </si>
  <si>
    <t>8830808</t>
  </si>
  <si>
    <t>8830807</t>
  </si>
  <si>
    <t>8830805</t>
  </si>
  <si>
    <t>8830804</t>
  </si>
  <si>
    <t>8830803</t>
  </si>
  <si>
    <t>8830802</t>
  </si>
  <si>
    <t>8830801</t>
  </si>
  <si>
    <t>【処理場費】</t>
    <rPh sb="1" eb="4">
      <t>ショリジョウ</t>
    </rPh>
    <rPh sb="4" eb="5">
      <t>ヒ</t>
    </rPh>
    <phoneticPr fontId="3"/>
  </si>
  <si>
    <t>8831043</t>
  </si>
  <si>
    <t>8831042</t>
  </si>
  <si>
    <t>8831040</t>
  </si>
  <si>
    <t>8831039</t>
  </si>
  <si>
    <t>8831037</t>
  </si>
  <si>
    <t>8831031</t>
  </si>
  <si>
    <t>8831030</t>
  </si>
  <si>
    <t>8831029</t>
  </si>
  <si>
    <t>883102867</t>
  </si>
  <si>
    <t>8831028</t>
  </si>
  <si>
    <t>883102866</t>
  </si>
  <si>
    <t>8831026</t>
  </si>
  <si>
    <t>8831025</t>
  </si>
  <si>
    <t>8831024</t>
  </si>
  <si>
    <t>8831023</t>
  </si>
  <si>
    <t>8831021</t>
  </si>
  <si>
    <t>8831020</t>
  </si>
  <si>
    <t>8831019</t>
  </si>
  <si>
    <t>8831017</t>
  </si>
  <si>
    <t>8831015</t>
  </si>
  <si>
    <t>8831014</t>
  </si>
  <si>
    <t>8831013</t>
  </si>
  <si>
    <t>883101002</t>
  </si>
  <si>
    <t>8831010</t>
  </si>
  <si>
    <t>883101001</t>
  </si>
  <si>
    <t>8831008</t>
  </si>
  <si>
    <t>8831007</t>
  </si>
  <si>
    <t>8831005</t>
  </si>
  <si>
    <t>8831004</t>
  </si>
  <si>
    <t>8831003</t>
  </si>
  <si>
    <t>8831002</t>
  </si>
  <si>
    <t>8831001</t>
  </si>
  <si>
    <t>【受託工事費】</t>
    <rPh sb="1" eb="3">
      <t>ジュタク</t>
    </rPh>
    <rPh sb="3" eb="5">
      <t>コウジ</t>
    </rPh>
    <rPh sb="5" eb="6">
      <t>ヒ</t>
    </rPh>
    <phoneticPr fontId="3"/>
  </si>
  <si>
    <t>8831243</t>
  </si>
  <si>
    <t>8831242</t>
  </si>
  <si>
    <t>8831240</t>
  </si>
  <si>
    <t>8831239</t>
  </si>
  <si>
    <t>8831237</t>
  </si>
  <si>
    <t>8831231</t>
  </si>
  <si>
    <t>8831230</t>
  </si>
  <si>
    <t>8831229</t>
  </si>
  <si>
    <t>883122867</t>
  </si>
  <si>
    <t>8831228</t>
  </si>
  <si>
    <t>883122866</t>
  </si>
  <si>
    <t>8831226</t>
  </si>
  <si>
    <t>8831225</t>
  </si>
  <si>
    <t>8831224</t>
  </si>
  <si>
    <t>8831223</t>
  </si>
  <si>
    <t>8831221</t>
  </si>
  <si>
    <t>8831220</t>
  </si>
  <si>
    <t>8831219</t>
  </si>
  <si>
    <t>8831217</t>
  </si>
  <si>
    <t>8831215</t>
  </si>
  <si>
    <t>8831214</t>
  </si>
  <si>
    <t>8831213</t>
  </si>
  <si>
    <t>883121002</t>
  </si>
  <si>
    <t>8831210</t>
  </si>
  <si>
    <t>883121001</t>
  </si>
  <si>
    <t>8831208</t>
  </si>
  <si>
    <t>8831207</t>
  </si>
  <si>
    <t>8831205</t>
  </si>
  <si>
    <t>8831204</t>
  </si>
  <si>
    <t>8831203</t>
  </si>
  <si>
    <t>8831202</t>
  </si>
  <si>
    <t>8831201</t>
  </si>
  <si>
    <t>【普及促進費】</t>
    <rPh sb="1" eb="3">
      <t>フキュウ</t>
    </rPh>
    <rPh sb="3" eb="5">
      <t>ソクシン</t>
    </rPh>
    <rPh sb="5" eb="6">
      <t>ヒ</t>
    </rPh>
    <phoneticPr fontId="3"/>
  </si>
  <si>
    <t>8831343</t>
  </si>
  <si>
    <t>8831342</t>
  </si>
  <si>
    <t>8831340</t>
  </si>
  <si>
    <t>8831339</t>
  </si>
  <si>
    <t>8831337</t>
  </si>
  <si>
    <t>8831331</t>
  </si>
  <si>
    <t>8831330</t>
  </si>
  <si>
    <t>8831329</t>
  </si>
  <si>
    <t>883132867</t>
  </si>
  <si>
    <t>8831328</t>
  </si>
  <si>
    <t>883132866</t>
  </si>
  <si>
    <t>8831326</t>
  </si>
  <si>
    <t>8831325</t>
  </si>
  <si>
    <t>8831324</t>
  </si>
  <si>
    <t>8831323</t>
  </si>
  <si>
    <t>8831321</t>
  </si>
  <si>
    <t>8831320</t>
  </si>
  <si>
    <t>8831319</t>
  </si>
  <si>
    <t>8831317</t>
  </si>
  <si>
    <t>8831315</t>
  </si>
  <si>
    <t>8831314</t>
  </si>
  <si>
    <t>8831313</t>
  </si>
  <si>
    <t>883131002</t>
  </si>
  <si>
    <t>8831310</t>
  </si>
  <si>
    <t>883131001</t>
  </si>
  <si>
    <t>8831308</t>
  </si>
  <si>
    <t>8831307</t>
  </si>
  <si>
    <t>8831305</t>
  </si>
  <si>
    <t>8831304</t>
  </si>
  <si>
    <t>8831303</t>
  </si>
  <si>
    <t>8831302</t>
  </si>
  <si>
    <t>8831301</t>
  </si>
  <si>
    <t>水洗化貸付事業費】</t>
    <rPh sb="0" eb="3">
      <t>スイセンカ</t>
    </rPh>
    <rPh sb="3" eb="5">
      <t>カシツケ</t>
    </rPh>
    <rPh sb="5" eb="7">
      <t>ジギョウ</t>
    </rPh>
    <rPh sb="7" eb="8">
      <t>ヒ</t>
    </rPh>
    <phoneticPr fontId="3"/>
  </si>
  <si>
    <t>8831443</t>
  </si>
  <si>
    <t>8831442</t>
  </si>
  <si>
    <t>8831440</t>
  </si>
  <si>
    <t>8831439</t>
  </si>
  <si>
    <t>8831437</t>
  </si>
  <si>
    <t>8831431</t>
  </si>
  <si>
    <t>8831430</t>
  </si>
  <si>
    <t>8831429</t>
  </si>
  <si>
    <t>883142867</t>
  </si>
  <si>
    <t>8831428</t>
  </si>
  <si>
    <t>883142866</t>
  </si>
  <si>
    <t>8831426</t>
  </si>
  <si>
    <t>8831425</t>
  </si>
  <si>
    <t>8831424</t>
  </si>
  <si>
    <t>8831423</t>
  </si>
  <si>
    <t>8831421</t>
  </si>
  <si>
    <t>8831420</t>
  </si>
  <si>
    <t>8831419</t>
  </si>
  <si>
    <t>8831417</t>
  </si>
  <si>
    <t>8831415</t>
  </si>
  <si>
    <t>8831414</t>
  </si>
  <si>
    <t>8831413</t>
  </si>
  <si>
    <t>883141002</t>
  </si>
  <si>
    <t>8831410</t>
  </si>
  <si>
    <t>883141001</t>
  </si>
  <si>
    <t>8831408</t>
  </si>
  <si>
    <t>8831407</t>
  </si>
  <si>
    <t>8831405</t>
  </si>
  <si>
    <t>8831404</t>
  </si>
  <si>
    <t>8831403</t>
  </si>
  <si>
    <t>8831402</t>
  </si>
  <si>
    <t>8831401</t>
  </si>
  <si>
    <t>【業務費】</t>
    <rPh sb="1" eb="3">
      <t>ギョウム</t>
    </rPh>
    <rPh sb="3" eb="4">
      <t>ヒ</t>
    </rPh>
    <phoneticPr fontId="3"/>
  </si>
  <si>
    <t>8831643</t>
  </si>
  <si>
    <t>8831642</t>
  </si>
  <si>
    <t>8831641</t>
  </si>
  <si>
    <t>8831640</t>
  </si>
  <si>
    <t>8831639</t>
  </si>
  <si>
    <t>8831637</t>
  </si>
  <si>
    <t>8831631</t>
  </si>
  <si>
    <t>8831630</t>
  </si>
  <si>
    <t>8831629</t>
  </si>
  <si>
    <t>883162867</t>
  </si>
  <si>
    <t>8831628</t>
  </si>
  <si>
    <t>883162866</t>
  </si>
  <si>
    <t>8831626</t>
  </si>
  <si>
    <t>8831625</t>
  </si>
  <si>
    <t>8831624</t>
  </si>
  <si>
    <t>8831623</t>
  </si>
  <si>
    <t>8831621</t>
  </si>
  <si>
    <t>8831620</t>
  </si>
  <si>
    <t>8831619</t>
  </si>
  <si>
    <t>8831617</t>
  </si>
  <si>
    <t>8831615</t>
  </si>
  <si>
    <t>8831614</t>
  </si>
  <si>
    <t>8831613</t>
  </si>
  <si>
    <t>883161002</t>
  </si>
  <si>
    <t>8831610</t>
  </si>
  <si>
    <t>883161001</t>
  </si>
  <si>
    <t>8831608</t>
  </si>
  <si>
    <t>8831607</t>
  </si>
  <si>
    <t>8831605</t>
  </si>
  <si>
    <t>8831604</t>
  </si>
  <si>
    <t>8831603</t>
  </si>
  <si>
    <t>8831602</t>
  </si>
  <si>
    <t>8831601</t>
  </si>
  <si>
    <t>【総係費】</t>
    <rPh sb="1" eb="2">
      <t>ソウ</t>
    </rPh>
    <rPh sb="2" eb="3">
      <t>カカリ</t>
    </rPh>
    <rPh sb="3" eb="4">
      <t>ヒ</t>
    </rPh>
    <phoneticPr fontId="3"/>
  </si>
  <si>
    <t>8831743</t>
  </si>
  <si>
    <t>8831742</t>
  </si>
  <si>
    <t>8831741</t>
  </si>
  <si>
    <t>8831740</t>
  </si>
  <si>
    <t>8831739</t>
  </si>
  <si>
    <t>8831737</t>
  </si>
  <si>
    <t>8831731</t>
  </si>
  <si>
    <t>8831730</t>
  </si>
  <si>
    <t>8831729</t>
  </si>
  <si>
    <t>883172867</t>
  </si>
  <si>
    <t>8831728</t>
  </si>
  <si>
    <t>883172866</t>
  </si>
  <si>
    <t>8831726</t>
  </si>
  <si>
    <t>8831725</t>
  </si>
  <si>
    <t>8831724</t>
  </si>
  <si>
    <t>8831723</t>
  </si>
  <si>
    <t>8831721</t>
  </si>
  <si>
    <t>8831720</t>
  </si>
  <si>
    <t>8831719</t>
  </si>
  <si>
    <t>8831717</t>
  </si>
  <si>
    <t>8831715</t>
  </si>
  <si>
    <t>8831714</t>
  </si>
  <si>
    <t>8831713</t>
  </si>
  <si>
    <t>883171002</t>
  </si>
  <si>
    <t>8831710</t>
  </si>
  <si>
    <t>883171001</t>
  </si>
  <si>
    <t>8831708</t>
  </si>
  <si>
    <t>8831707</t>
  </si>
  <si>
    <t>8831705</t>
  </si>
  <si>
    <t>8831704</t>
  </si>
  <si>
    <t>8831703</t>
  </si>
  <si>
    <t>8831702</t>
  </si>
  <si>
    <t>8831701</t>
  </si>
  <si>
    <t>【特環公共下水道費】</t>
    <rPh sb="1" eb="3">
      <t>トッカン</t>
    </rPh>
    <rPh sb="3" eb="8">
      <t>コウキョウ</t>
    </rPh>
    <rPh sb="8" eb="9">
      <t>ヒ</t>
    </rPh>
    <phoneticPr fontId="3"/>
  </si>
  <si>
    <t>8831843</t>
  </si>
  <si>
    <t>8831842</t>
  </si>
  <si>
    <t>8831841</t>
  </si>
  <si>
    <t>8831840</t>
  </si>
  <si>
    <t>8831839</t>
  </si>
  <si>
    <t>8831837</t>
  </si>
  <si>
    <t>8831831</t>
  </si>
  <si>
    <t>8831830</t>
  </si>
  <si>
    <t>8831829</t>
  </si>
  <si>
    <t>883182867</t>
  </si>
  <si>
    <t>8831828</t>
  </si>
  <si>
    <t>883182866</t>
  </si>
  <si>
    <t>8831826</t>
  </si>
  <si>
    <t>8831825</t>
  </si>
  <si>
    <t>8831824</t>
  </si>
  <si>
    <t>8831823</t>
  </si>
  <si>
    <t>8831821</t>
  </si>
  <si>
    <t>8831820</t>
  </si>
  <si>
    <t>8831819</t>
  </si>
  <si>
    <t>8831817</t>
  </si>
  <si>
    <t>8831815</t>
  </si>
  <si>
    <t>8831814</t>
  </si>
  <si>
    <t>8831813</t>
  </si>
  <si>
    <t>883181002</t>
  </si>
  <si>
    <t>8831810</t>
  </si>
  <si>
    <t>883181001</t>
  </si>
  <si>
    <t>8831808</t>
  </si>
  <si>
    <t>8831807</t>
  </si>
  <si>
    <t>8831805</t>
  </si>
  <si>
    <t>8831804</t>
  </si>
  <si>
    <t>8831803</t>
  </si>
  <si>
    <t>8831802</t>
  </si>
  <si>
    <t>8831801</t>
  </si>
  <si>
    <t>【農業集落排水費】</t>
    <rPh sb="1" eb="3">
      <t>ノウギョウ</t>
    </rPh>
    <rPh sb="3" eb="5">
      <t>シュウラク</t>
    </rPh>
    <rPh sb="5" eb="7">
      <t>ハイスイ</t>
    </rPh>
    <rPh sb="7" eb="8">
      <t>ヒ</t>
    </rPh>
    <phoneticPr fontId="3"/>
  </si>
  <si>
    <t>8831943</t>
  </si>
  <si>
    <t>8831942</t>
  </si>
  <si>
    <t>8831941</t>
  </si>
  <si>
    <t>8831940</t>
  </si>
  <si>
    <t>8831939</t>
  </si>
  <si>
    <t>8831937</t>
  </si>
  <si>
    <t>8831931</t>
  </si>
  <si>
    <t>8831930</t>
  </si>
  <si>
    <t>8831929</t>
  </si>
  <si>
    <t>883192867</t>
  </si>
  <si>
    <t>8831928</t>
  </si>
  <si>
    <t>883192866</t>
  </si>
  <si>
    <t>8831926</t>
  </si>
  <si>
    <t>8831925</t>
  </si>
  <si>
    <t>8831924</t>
  </si>
  <si>
    <t>8831923</t>
  </si>
  <si>
    <t>8831921</t>
  </si>
  <si>
    <t>8831920</t>
  </si>
  <si>
    <t>8831919</t>
  </si>
  <si>
    <t>8831917</t>
  </si>
  <si>
    <t>8831915</t>
  </si>
  <si>
    <t>8831914</t>
  </si>
  <si>
    <t>8831913</t>
  </si>
  <si>
    <t>883191002</t>
  </si>
  <si>
    <t>8831910</t>
  </si>
  <si>
    <t>883191001</t>
  </si>
  <si>
    <t>8831908</t>
  </si>
  <si>
    <t>8831907</t>
  </si>
  <si>
    <t>8831905</t>
  </si>
  <si>
    <t>8831904</t>
  </si>
  <si>
    <t>8831903</t>
  </si>
  <si>
    <t>8831902</t>
  </si>
  <si>
    <t>8831901</t>
  </si>
  <si>
    <t>【浄化槽費】</t>
    <rPh sb="1" eb="4">
      <t>ジョウカソウ</t>
    </rPh>
    <rPh sb="4" eb="5">
      <t>ヒ</t>
    </rPh>
    <phoneticPr fontId="3"/>
  </si>
  <si>
    <t>【災害復旧費】</t>
    <rPh sb="1" eb="3">
      <t>サイガイ</t>
    </rPh>
    <rPh sb="3" eb="5">
      <t>フッキュウ</t>
    </rPh>
    <rPh sb="5" eb="6">
      <t>ヒ</t>
    </rPh>
    <phoneticPr fontId="3"/>
  </si>
  <si>
    <t>著作権償却費</t>
  </si>
  <si>
    <t>ソフトウェア償却費</t>
  </si>
  <si>
    <t>施設利用権償却費</t>
  </si>
  <si>
    <t>地上権償却費</t>
  </si>
  <si>
    <t>借地権償却費</t>
  </si>
  <si>
    <t>工具・器具及び備品償却費</t>
  </si>
  <si>
    <t>車両運搬具償却費</t>
  </si>
  <si>
    <t>機械及び装置償却費</t>
  </si>
  <si>
    <t>構築物償却費</t>
  </si>
  <si>
    <t>建物償却費</t>
  </si>
  <si>
    <t>【減価償却費（全事業）】</t>
    <rPh sb="1" eb="3">
      <t>ゲンカ</t>
    </rPh>
    <rPh sb="3" eb="5">
      <t>ショウキャク</t>
    </rPh>
    <rPh sb="5" eb="6">
      <t>ヒ</t>
    </rPh>
    <rPh sb="7" eb="10">
      <t>ゼンジギョウ</t>
    </rPh>
    <phoneticPr fontId="3"/>
  </si>
  <si>
    <t>固定資産撤去費</t>
  </si>
  <si>
    <t>固定資産除却費</t>
  </si>
  <si>
    <t>【資産減耗費（全事業）】</t>
    <rPh sb="1" eb="3">
      <t>シサン</t>
    </rPh>
    <rPh sb="3" eb="5">
      <t>ゲンモウ</t>
    </rPh>
    <rPh sb="5" eb="6">
      <t>ヒ</t>
    </rPh>
    <rPh sb="7" eb="10">
      <t>ゼンジギョウ</t>
    </rPh>
    <phoneticPr fontId="3"/>
  </si>
  <si>
    <t>※その他雑支出のうち、災害支援経費等（再掲）</t>
    <rPh sb="3" eb="4">
      <t>タ</t>
    </rPh>
    <rPh sb="4" eb="5">
      <t>ザツ</t>
    </rPh>
    <rPh sb="5" eb="7">
      <t>シシュツ</t>
    </rPh>
    <rPh sb="11" eb="13">
      <t>サイガイ</t>
    </rPh>
    <rPh sb="13" eb="15">
      <t>シエン</t>
    </rPh>
    <rPh sb="15" eb="17">
      <t>ケイヒ</t>
    </rPh>
    <rPh sb="17" eb="18">
      <t>トウ</t>
    </rPh>
    <rPh sb="19" eb="21">
      <t>サイケイ</t>
    </rPh>
    <phoneticPr fontId="3"/>
  </si>
  <si>
    <t>　その他雑支出</t>
    <phoneticPr fontId="3"/>
  </si>
  <si>
    <t>　還付加算金</t>
    <phoneticPr fontId="3"/>
  </si>
  <si>
    <t>雑支出</t>
    <rPh sb="0" eb="1">
      <t>ザツ</t>
    </rPh>
    <rPh sb="1" eb="3">
      <t>シシュツ</t>
    </rPh>
    <phoneticPr fontId="3"/>
  </si>
  <si>
    <t>企業債発行差金</t>
  </si>
  <si>
    <t>一時借入金利息</t>
  </si>
  <si>
    <t>長期借入金利息</t>
  </si>
  <si>
    <t>企業債手数料及び取扱費</t>
  </si>
  <si>
    <t>　企業債発行差金</t>
    <phoneticPr fontId="3"/>
  </si>
  <si>
    <t>　貸付資金企業債</t>
    <phoneticPr fontId="3"/>
  </si>
  <si>
    <t>　建設企業債</t>
    <phoneticPr fontId="3"/>
  </si>
  <si>
    <t>企業債利息</t>
    <rPh sb="0" eb="2">
      <t>キギョウ</t>
    </rPh>
    <rPh sb="2" eb="3">
      <t>サイ</t>
    </rPh>
    <rPh sb="3" eb="5">
      <t>リソク</t>
    </rPh>
    <phoneticPr fontId="3"/>
  </si>
  <si>
    <t>【営業外費用（全事業）】</t>
    <rPh sb="1" eb="4">
      <t>エイギョウガイ</t>
    </rPh>
    <rPh sb="4" eb="6">
      <t>ヒヨウ</t>
    </rPh>
    <rPh sb="7" eb="10">
      <t>ゼンジギョウ</t>
    </rPh>
    <phoneticPr fontId="3"/>
  </si>
  <si>
    <t>減損損失</t>
    <rPh sb="0" eb="2">
      <t>ゲンソン</t>
    </rPh>
    <rPh sb="2" eb="4">
      <t>ソンシツ</t>
    </rPh>
    <phoneticPr fontId="3"/>
  </si>
  <si>
    <t>固定資産売却損</t>
    <rPh sb="0" eb="2">
      <t>コテイ</t>
    </rPh>
    <rPh sb="2" eb="4">
      <t>シサン</t>
    </rPh>
    <rPh sb="4" eb="7">
      <t>バイキャクゾン</t>
    </rPh>
    <phoneticPr fontId="3"/>
  </si>
  <si>
    <t>その他　検算</t>
    <rPh sb="4" eb="6">
      <t>ケンザン</t>
    </rPh>
    <phoneticPr fontId="3"/>
  </si>
  <si>
    <t>平成２７年度　６月期末勤勉手当に係る特別損失</t>
  </si>
  <si>
    <t>(所得税の源泉徴収もれ延滞税に伴う損失)　　　　　　　　　</t>
  </si>
  <si>
    <t>(所得税の源泉徴収もれ不納付加算税に伴う損失)　　　　　　</t>
  </si>
  <si>
    <t>(未収工事受託金その他特別損失への計上)</t>
  </si>
  <si>
    <t>(公共下水道敷等の占用料過誤調定の修正)</t>
    <rPh sb="12" eb="14">
      <t>カゴ</t>
    </rPh>
    <rPh sb="17" eb="19">
      <t>シュウセイ</t>
    </rPh>
    <phoneticPr fontId="3"/>
  </si>
  <si>
    <t>（水洗便所設備資金貸付金過年度不納欠損）</t>
    <rPh sb="12" eb="13">
      <t>カ</t>
    </rPh>
    <rPh sb="13" eb="15">
      <t>ネンド</t>
    </rPh>
    <rPh sb="15" eb="17">
      <t>フノウ</t>
    </rPh>
    <rPh sb="17" eb="19">
      <t>ケッソン</t>
    </rPh>
    <phoneticPr fontId="3"/>
  </si>
  <si>
    <t>（受益者負担金過誤納還付金）</t>
  </si>
  <si>
    <t>（受益者負担金の賦課取消等に伴う損失）</t>
  </si>
  <si>
    <t>（受益者負担金過年度不納欠損）</t>
  </si>
  <si>
    <t>（受益者負担金過年度調定減額）</t>
  </si>
  <si>
    <t>その他特別損失</t>
  </si>
  <si>
    <t>修正損　検算</t>
    <rPh sb="0" eb="2">
      <t>シュウセイ</t>
    </rPh>
    <rPh sb="2" eb="3">
      <t>ソン</t>
    </rPh>
    <rPh sb="4" eb="6">
      <t>ケンザン</t>
    </rPh>
    <phoneticPr fontId="3"/>
  </si>
  <si>
    <t>（下水道使用料過誤納還付金）</t>
  </si>
  <si>
    <t>（下水道使用料調定減額）</t>
  </si>
  <si>
    <t>過年度損益修正損</t>
  </si>
  <si>
    <t>【特別損失（全事業）】</t>
    <rPh sb="1" eb="3">
      <t>トクベツ</t>
    </rPh>
    <rPh sb="3" eb="5">
      <t>ソンシツ</t>
    </rPh>
    <rPh sb="6" eb="9">
      <t>ゼンジギョウ</t>
    </rPh>
    <phoneticPr fontId="3"/>
  </si>
  <si>
    <t>予算コード</t>
    <rPh sb="0" eb="2">
      <t>ヨサン</t>
    </rPh>
    <phoneticPr fontId="3"/>
  </si>
  <si>
    <t>項</t>
  </si>
  <si>
    <t>目</t>
  </si>
  <si>
    <t>節</t>
  </si>
  <si>
    <t>細節</t>
  </si>
  <si>
    <t>執行額</t>
    <rPh sb="0" eb="2">
      <t>シッコウ</t>
    </rPh>
    <rPh sb="2" eb="3">
      <t>ガク</t>
    </rPh>
    <phoneticPr fontId="3"/>
  </si>
  <si>
    <t>非課税</t>
    <rPh sb="0" eb="3">
      <t>ヒカゼイ</t>
    </rPh>
    <phoneticPr fontId="3"/>
  </si>
  <si>
    <t>不課税</t>
    <rPh sb="0" eb="1">
      <t>フ</t>
    </rPh>
    <rPh sb="1" eb="3">
      <t>カゼイ</t>
    </rPh>
    <phoneticPr fontId="3"/>
  </si>
  <si>
    <t>　消費税雑支出</t>
    <rPh sb="4" eb="5">
      <t>ザツ</t>
    </rPh>
    <rPh sb="5" eb="7">
      <t>シシュツ</t>
    </rPh>
    <phoneticPr fontId="3"/>
  </si>
  <si>
    <t>下水道事業費用</t>
  </si>
  <si>
    <t>営業費用</t>
  </si>
  <si>
    <t>特環公共下水道費</t>
  </si>
  <si>
    <t>農業集落排水費</t>
  </si>
  <si>
    <t>浄化槽費</t>
  </si>
  <si>
    <t>【３条支出総括】（共通経費按分後）</t>
    <rPh sb="2" eb="3">
      <t>ジョウ</t>
    </rPh>
    <rPh sb="3" eb="5">
      <t>シシュツ</t>
    </rPh>
    <rPh sb="5" eb="7">
      <t>ソウカツ</t>
    </rPh>
    <phoneticPr fontId="3"/>
  </si>
  <si>
    <t>【総係費】（共通経費按分後）</t>
    <rPh sb="1" eb="2">
      <t>ソウ</t>
    </rPh>
    <rPh sb="2" eb="3">
      <t>カカリ</t>
    </rPh>
    <rPh sb="3" eb="4">
      <t>ヒ</t>
    </rPh>
    <phoneticPr fontId="3"/>
  </si>
  <si>
    <t>【特環公共下水道費】（共通経費按分後）</t>
    <rPh sb="1" eb="3">
      <t>トッカン</t>
    </rPh>
    <rPh sb="3" eb="8">
      <t>コウキョウ</t>
    </rPh>
    <rPh sb="8" eb="9">
      <t>ヒ</t>
    </rPh>
    <phoneticPr fontId="3"/>
  </si>
  <si>
    <t>【農業集落排水費】（共通経費按分後）</t>
    <rPh sb="1" eb="3">
      <t>ノウギョウ</t>
    </rPh>
    <rPh sb="3" eb="5">
      <t>シュウラク</t>
    </rPh>
    <rPh sb="5" eb="7">
      <t>ハイスイ</t>
    </rPh>
    <rPh sb="7" eb="8">
      <t>ヒ</t>
    </rPh>
    <phoneticPr fontId="3"/>
  </si>
  <si>
    <t>【浄化槽費】（共通経費按分後）</t>
    <rPh sb="1" eb="4">
      <t>ジョウカソウ</t>
    </rPh>
    <rPh sb="4" eb="5">
      <t>ヒ</t>
    </rPh>
    <phoneticPr fontId="3"/>
  </si>
  <si>
    <t>3条支出シートとの照合</t>
    <rPh sb="9" eb="11">
      <t>ショウゴウ</t>
    </rPh>
    <phoneticPr fontId="3"/>
  </si>
  <si>
    <t>年度</t>
    <rPh sb="0" eb="2">
      <t>ネンド</t>
    </rPh>
    <phoneticPr fontId="3"/>
  </si>
  <si>
    <t>（過年度分公有財産使用料）</t>
    <phoneticPr fontId="3"/>
  </si>
  <si>
    <t>（勘定科目「預かり諸税等」の修正）</t>
    <rPh sb="1" eb="3">
      <t>カンジョウ</t>
    </rPh>
    <rPh sb="3" eb="5">
      <t>カモク</t>
    </rPh>
    <rPh sb="6" eb="7">
      <t>アズ</t>
    </rPh>
    <rPh sb="9" eb="12">
      <t>ショゼイナド</t>
    </rPh>
    <rPh sb="14" eb="16">
      <t>シュウセイ</t>
    </rPh>
    <phoneticPr fontId="3"/>
  </si>
  <si>
    <t>　仕入控除できない消費税額</t>
    <rPh sb="1" eb="3">
      <t>シイレ</t>
    </rPh>
    <rPh sb="3" eb="5">
      <t>コウジョ</t>
    </rPh>
    <rPh sb="9" eb="12">
      <t>ショウヒゼイ</t>
    </rPh>
    <rPh sb="12" eb="13">
      <t>ガク</t>
    </rPh>
    <phoneticPr fontId="2"/>
  </si>
  <si>
    <t>　課税売上割合を乗じることにより控除できなくなった額等</t>
    <rPh sb="1" eb="3">
      <t>カゼイ</t>
    </rPh>
    <rPh sb="3" eb="5">
      <t>ウリアゲ</t>
    </rPh>
    <rPh sb="5" eb="7">
      <t>ワリアイ</t>
    </rPh>
    <rPh sb="8" eb="9">
      <t>ジョウ</t>
    </rPh>
    <rPh sb="16" eb="18">
      <t>コウジョ</t>
    </rPh>
    <rPh sb="25" eb="26">
      <t>ガク</t>
    </rPh>
    <rPh sb="26" eb="27">
      <t>トウ</t>
    </rPh>
    <phoneticPr fontId="2"/>
  </si>
  <si>
    <t>集計表（全体）</t>
    <rPh sb="0" eb="2">
      <t>シュウケイ</t>
    </rPh>
    <rPh sb="2" eb="3">
      <t>ヒョウ</t>
    </rPh>
    <rPh sb="4" eb="5">
      <t>ゼン</t>
    </rPh>
    <rPh sb="5" eb="6">
      <t>タイ</t>
    </rPh>
    <phoneticPr fontId="3"/>
  </si>
  <si>
    <t>現年分</t>
    <rPh sb="0" eb="2">
      <t>ゲンネン</t>
    </rPh>
    <rPh sb="2" eb="3">
      <t>ブン</t>
    </rPh>
    <phoneticPr fontId="3"/>
  </si>
  <si>
    <t>税率別税込額</t>
    <rPh sb="0" eb="2">
      <t>ゼイリツ</t>
    </rPh>
    <rPh sb="2" eb="3">
      <t>ベツ</t>
    </rPh>
    <rPh sb="3" eb="4">
      <t>ゼイ</t>
    </rPh>
    <rPh sb="5" eb="6">
      <t>ガク</t>
    </rPh>
    <phoneticPr fontId="3"/>
  </si>
  <si>
    <t>事故繰分</t>
    <rPh sb="0" eb="2">
      <t>ジコ</t>
    </rPh>
    <rPh sb="2" eb="3">
      <t>クリ</t>
    </rPh>
    <rPh sb="3" eb="4">
      <t>ブン</t>
    </rPh>
    <phoneticPr fontId="3"/>
  </si>
  <si>
    <t>チェック</t>
    <phoneticPr fontId="3"/>
  </si>
  <si>
    <t>管きょ費</t>
    <rPh sb="0" eb="1">
      <t>カン</t>
    </rPh>
    <rPh sb="3" eb="4">
      <t>ヒ</t>
    </rPh>
    <phoneticPr fontId="3"/>
  </si>
  <si>
    <t>ポンプ場費</t>
    <rPh sb="3" eb="4">
      <t>ジョウ</t>
    </rPh>
    <rPh sb="4" eb="5">
      <t>ヒ</t>
    </rPh>
    <phoneticPr fontId="3"/>
  </si>
  <si>
    <t>処理場費</t>
    <rPh sb="0" eb="3">
      <t>ショリジョウ</t>
    </rPh>
    <rPh sb="3" eb="4">
      <t>ヒ</t>
    </rPh>
    <phoneticPr fontId="3"/>
  </si>
  <si>
    <t>----</t>
  </si>
  <si>
    <t/>
  </si>
  <si>
    <t>事業区分</t>
  </si>
  <si>
    <t>所属</t>
  </si>
  <si>
    <t>所属名</t>
  </si>
  <si>
    <t>主管課</t>
  </si>
  <si>
    <t>主管課名</t>
  </si>
  <si>
    <t>年月日</t>
  </si>
  <si>
    <t>振替年月日</t>
  </si>
  <si>
    <t>事項</t>
  </si>
  <si>
    <t>種別</t>
  </si>
  <si>
    <t>伝票番号</t>
  </si>
  <si>
    <t>枝番</t>
  </si>
  <si>
    <t>内訳番号</t>
  </si>
  <si>
    <t>現繰</t>
  </si>
  <si>
    <t>予算科目</t>
  </si>
  <si>
    <t>款名称</t>
  </si>
  <si>
    <t>項名称</t>
  </si>
  <si>
    <t>目名称</t>
  </si>
  <si>
    <t>節名称</t>
  </si>
  <si>
    <t>細節名称</t>
  </si>
  <si>
    <t>事業コード</t>
  </si>
  <si>
    <t>事業名</t>
  </si>
  <si>
    <t>予算額</t>
  </si>
  <si>
    <t>概算額</t>
  </si>
  <si>
    <t>確定額</t>
  </si>
  <si>
    <t>執行額</t>
  </si>
  <si>
    <t>借方勘定</t>
  </si>
  <si>
    <t>借方勘定科目</t>
  </si>
  <si>
    <t>借方金額</t>
  </si>
  <si>
    <t>貸方勘定</t>
  </si>
  <si>
    <t>貸方勘定科目</t>
  </si>
  <si>
    <t>貸方金額</t>
  </si>
  <si>
    <t>税区分</t>
  </si>
  <si>
    <t>税率</t>
  </si>
  <si>
    <t>税額</t>
  </si>
  <si>
    <t>税抜金額</t>
  </si>
  <si>
    <t>債権者</t>
  </si>
  <si>
    <t>うち、災害復旧事業分（現年分）</t>
    <rPh sb="3" eb="5">
      <t>サイガイ</t>
    </rPh>
    <rPh sb="5" eb="7">
      <t>フッキュウ</t>
    </rPh>
    <rPh sb="7" eb="9">
      <t>ジギョウ</t>
    </rPh>
    <rPh sb="9" eb="10">
      <t>ブン</t>
    </rPh>
    <rPh sb="11" eb="13">
      <t>ゲンネン</t>
    </rPh>
    <rPh sb="13" eb="14">
      <t>ブン</t>
    </rPh>
    <phoneticPr fontId="3"/>
  </si>
  <si>
    <t>特環費</t>
    <rPh sb="0" eb="2">
      <t>トッカン</t>
    </rPh>
    <rPh sb="2" eb="3">
      <t>ヒ</t>
    </rPh>
    <phoneticPr fontId="3"/>
  </si>
  <si>
    <t>農集費</t>
    <rPh sb="0" eb="2">
      <t>ノウシュウ</t>
    </rPh>
    <rPh sb="2" eb="3">
      <t>ヒ</t>
    </rPh>
    <phoneticPr fontId="3"/>
  </si>
  <si>
    <t>浄化槽費</t>
    <rPh sb="0" eb="3">
      <t>ジョウカソウ</t>
    </rPh>
    <rPh sb="3" eb="4">
      <t>ヒ</t>
    </rPh>
    <phoneticPr fontId="3"/>
  </si>
  <si>
    <t>うち、災害復旧事業分（事故繰越分）</t>
    <rPh sb="3" eb="5">
      <t>サイガイ</t>
    </rPh>
    <rPh sb="5" eb="7">
      <t>フッキュウ</t>
    </rPh>
    <rPh sb="7" eb="9">
      <t>ジギョウ</t>
    </rPh>
    <rPh sb="9" eb="10">
      <t>ブン</t>
    </rPh>
    <rPh sb="11" eb="13">
      <t>ジコ</t>
    </rPh>
    <rPh sb="13" eb="15">
      <t>クリコシ</t>
    </rPh>
    <rPh sb="15" eb="16">
      <t>ブン</t>
    </rPh>
    <phoneticPr fontId="3"/>
  </si>
  <si>
    <t>（受益者分担金過年度調定減額）</t>
    <rPh sb="4" eb="7">
      <t>ブンタンキン</t>
    </rPh>
    <phoneticPr fontId="3"/>
  </si>
  <si>
    <t>（排水設備取付管設置工事受託収入の未収金の時効完成による欠損）</t>
    <rPh sb="1" eb="8">
      <t>ハイスイセツビトリツケカン</t>
    </rPh>
    <rPh sb="8" eb="10">
      <t>セッチ</t>
    </rPh>
    <rPh sb="10" eb="12">
      <t>コウジ</t>
    </rPh>
    <rPh sb="12" eb="14">
      <t>ジュタク</t>
    </rPh>
    <rPh sb="14" eb="16">
      <t>シュウニュウ</t>
    </rPh>
    <rPh sb="17" eb="20">
      <t>ミシュウキン</t>
    </rPh>
    <rPh sb="21" eb="23">
      <t>ジコウ</t>
    </rPh>
    <rPh sb="23" eb="25">
      <t>カンセイ</t>
    </rPh>
    <rPh sb="28" eb="30">
      <t>ケッソン</t>
    </rPh>
    <phoneticPr fontId="3"/>
  </si>
  <si>
    <t>（過年度分占用料等の過誤納還付金）</t>
    <rPh sb="1" eb="4">
      <t>カネンド</t>
    </rPh>
    <rPh sb="4" eb="5">
      <t>ブン</t>
    </rPh>
    <rPh sb="8" eb="9">
      <t>トウ</t>
    </rPh>
    <rPh sb="10" eb="13">
      <t>カゴノウ</t>
    </rPh>
    <rPh sb="15" eb="16">
      <t>キン</t>
    </rPh>
    <phoneticPr fontId="3"/>
  </si>
  <si>
    <t>費用弁償</t>
    <rPh sb="0" eb="2">
      <t>ヒヨウ</t>
    </rPh>
    <rPh sb="2" eb="4">
      <t>ベンショウ</t>
    </rPh>
    <phoneticPr fontId="3"/>
  </si>
  <si>
    <t>費用弁償</t>
    <rPh sb="0" eb="4">
      <t>ヒヨウベンショウ</t>
    </rPh>
    <phoneticPr fontId="3"/>
  </si>
  <si>
    <t>令和3年度決算　消費税算出資料</t>
    <rPh sb="0" eb="2">
      <t>レイワ</t>
    </rPh>
    <phoneticPr fontId="3"/>
  </si>
  <si>
    <t>青崎区画整理事業に係る工事負担金の返還</t>
  </si>
  <si>
    <t>複合伝票番号</t>
    <rPh sb="0" eb="2">
      <t>フクゴウ</t>
    </rPh>
    <rPh sb="2" eb="4">
      <t>デンピョウ</t>
    </rPh>
    <rPh sb="4" eb="6">
      <t>バンゴウ</t>
    </rPh>
    <phoneticPr fontId="2"/>
  </si>
  <si>
    <t>重複</t>
    <rPh sb="0" eb="2">
      <t>チョウフク</t>
    </rPh>
    <phoneticPr fontId="2"/>
  </si>
  <si>
    <t>集計用課税区分</t>
    <rPh sb="0" eb="3">
      <t>シュウケイヨウ</t>
    </rPh>
    <rPh sb="3" eb="5">
      <t>カゼイ</t>
    </rPh>
    <rPh sb="5" eb="7">
      <t>クブン</t>
    </rPh>
    <phoneticPr fontId="2"/>
  </si>
  <si>
    <t>集計用税率</t>
    <rPh sb="0" eb="3">
      <t>シュウケイヨウ</t>
    </rPh>
    <rPh sb="3" eb="5">
      <t>ゼイリツ</t>
    </rPh>
    <phoneticPr fontId="2"/>
  </si>
  <si>
    <t>雨 区域内</t>
    <rPh sb="0" eb="1">
      <t>アメ</t>
    </rPh>
    <rPh sb="2" eb="5">
      <t>クイキナイ</t>
    </rPh>
    <phoneticPr fontId="3"/>
  </si>
  <si>
    <t>雨 区域外</t>
    <rPh sb="2" eb="5">
      <t>クイキガイ</t>
    </rPh>
    <phoneticPr fontId="3"/>
  </si>
  <si>
    <t>雨 一般行政</t>
  </si>
  <si>
    <t>雨水 計</t>
    <rPh sb="3" eb="4">
      <t>ケイ</t>
    </rPh>
    <phoneticPr fontId="3"/>
  </si>
  <si>
    <t>汚 基準内</t>
    <rPh sb="0" eb="1">
      <t>オ</t>
    </rPh>
    <rPh sb="2" eb="4">
      <t>キジュン</t>
    </rPh>
    <rPh sb="4" eb="5">
      <t>ナイ</t>
    </rPh>
    <phoneticPr fontId="3"/>
  </si>
  <si>
    <t>汚 基準外</t>
    <rPh sb="2" eb="4">
      <t>キジュン</t>
    </rPh>
    <rPh sb="4" eb="5">
      <t>ガイ</t>
    </rPh>
    <phoneticPr fontId="3"/>
  </si>
  <si>
    <t>汚水 計</t>
    <rPh sb="3" eb="4">
      <t>ケイ</t>
    </rPh>
    <phoneticPr fontId="3"/>
  </si>
  <si>
    <t>合計</t>
    <rPh sb="0" eb="2">
      <t>ゴウケイ</t>
    </rPh>
    <phoneticPr fontId="2"/>
  </si>
  <si>
    <t>チェック</t>
  </si>
  <si>
    <t>備考</t>
    <rPh sb="0" eb="2">
      <t>ビコウ</t>
    </rPh>
    <phoneticPr fontId="2"/>
  </si>
  <si>
    <t>雨汚水分け対象1</t>
    <rPh sb="0" eb="3">
      <t>ウオスイ</t>
    </rPh>
    <rPh sb="3" eb="4">
      <t>ワ</t>
    </rPh>
    <rPh sb="5" eb="7">
      <t>タイショウ</t>
    </rPh>
    <phoneticPr fontId="2"/>
  </si>
  <si>
    <t>雨汚水分け対象2</t>
    <rPh sb="0" eb="3">
      <t>ウオスイ</t>
    </rPh>
    <rPh sb="3" eb="4">
      <t>ワ</t>
    </rPh>
    <rPh sb="5" eb="7">
      <t>タイショウ</t>
    </rPh>
    <phoneticPr fontId="2"/>
  </si>
  <si>
    <t>雨汚水分け対象3</t>
    <rPh sb="0" eb="3">
      <t>ウオスイ</t>
    </rPh>
    <rPh sb="3" eb="4">
      <t>ワ</t>
    </rPh>
    <rPh sb="5" eb="7">
      <t>タイショウ</t>
    </rPh>
    <phoneticPr fontId="2"/>
  </si>
  <si>
    <t>判定</t>
    <rPh sb="0" eb="2">
      <t>ハンテイ</t>
    </rPh>
    <phoneticPr fontId="2"/>
  </si>
  <si>
    <t>水道事業受益者負担金及び下水道事業分担金に係る納入通知書等の作成・封緘について単価誤り</t>
    <rPh sb="33" eb="35">
      <t>フウカン</t>
    </rPh>
    <rPh sb="39" eb="41">
      <t>タンカ</t>
    </rPh>
    <rPh sb="41" eb="42">
      <t>アヤマ</t>
    </rPh>
    <phoneticPr fontId="3"/>
  </si>
  <si>
    <t>資本的収入</t>
  </si>
  <si>
    <t>企業債</t>
  </si>
  <si>
    <t>建設企業債</t>
  </si>
  <si>
    <t>公共下水道事業債</t>
  </si>
  <si>
    <t>一般債</t>
  </si>
  <si>
    <t>特別債</t>
  </si>
  <si>
    <t>一般債（復興関連）</t>
  </si>
  <si>
    <t>特定資金公共事業債</t>
  </si>
  <si>
    <t>流域下水道事業債</t>
  </si>
  <si>
    <t>資本費平準化債</t>
  </si>
  <si>
    <t>その他事業債</t>
  </si>
  <si>
    <t>災害復旧事業債</t>
  </si>
  <si>
    <t>借換債</t>
  </si>
  <si>
    <t>公共下水道事業借換債</t>
  </si>
  <si>
    <t>公営企業借換債</t>
  </si>
  <si>
    <t>補償金免除繰上償還借換債</t>
  </si>
  <si>
    <t>資本費平準化債（拡大分）借換債</t>
  </si>
  <si>
    <t>出資債</t>
  </si>
  <si>
    <t>公営企業出資債</t>
  </si>
  <si>
    <t>長期借入金</t>
  </si>
  <si>
    <t>一般会計借入金</t>
  </si>
  <si>
    <t>一般会計出資金</t>
  </si>
  <si>
    <t>下水道建設費出資金</t>
  </si>
  <si>
    <t>その他出資金</t>
  </si>
  <si>
    <t>国庫補助金</t>
  </si>
  <si>
    <t>公共下水道整備国庫補助金</t>
  </si>
  <si>
    <t>公共下水道整備国庫補助金（復興関連）</t>
  </si>
  <si>
    <t>その他国庫補助金</t>
  </si>
  <si>
    <t>国庫委託金</t>
  </si>
  <si>
    <t>県委託金</t>
  </si>
  <si>
    <t>一般会計補助金</t>
  </si>
  <si>
    <t>工事受託金</t>
  </si>
  <si>
    <t>負担金</t>
  </si>
  <si>
    <t>受益者負担金</t>
  </si>
  <si>
    <t>工事負担金</t>
  </si>
  <si>
    <t>寄附金</t>
  </si>
  <si>
    <t>建設費寄附金</t>
  </si>
  <si>
    <t>水洗化貸付事業収入</t>
  </si>
  <si>
    <t>貸付企業債</t>
  </si>
  <si>
    <t>水洗便所貸付資金事業債</t>
  </si>
  <si>
    <t>水洗便所改造資金貸付借入金</t>
  </si>
  <si>
    <t>し尿浄化槽廃止資金貸付借入金</t>
  </si>
  <si>
    <t>排水設備改修資金貸付借入金</t>
  </si>
  <si>
    <t>貸付金回収金</t>
  </si>
  <si>
    <t>水洗便所改造資金貸付回収金</t>
  </si>
  <si>
    <t>し尿浄化槽廃止資金貸付回収金</t>
  </si>
  <si>
    <t>排水設備改修資金貸付回収金</t>
  </si>
  <si>
    <t>投資</t>
  </si>
  <si>
    <t>投資有価証券</t>
  </si>
  <si>
    <t>固定資産売却代金</t>
  </si>
  <si>
    <t>土地売却代金</t>
  </si>
  <si>
    <t>建物売却代金</t>
  </si>
  <si>
    <t>その他資本的収入</t>
  </si>
  <si>
    <t>債券償還収入</t>
  </si>
  <si>
    <t>消費税及び地方消費税還付金</t>
  </si>
  <si>
    <t>下水道事業収益</t>
  </si>
  <si>
    <t>営業収益</t>
  </si>
  <si>
    <t>下水道使用料</t>
  </si>
  <si>
    <t>一般会計負担金</t>
  </si>
  <si>
    <t>雨水処理負担金</t>
  </si>
  <si>
    <t>維持管理費分</t>
  </si>
  <si>
    <t>減価償却費分</t>
  </si>
  <si>
    <t>支払利息分</t>
  </si>
  <si>
    <t>災害復旧応援分</t>
  </si>
  <si>
    <t>水質指導費負担金</t>
  </si>
  <si>
    <t>普及促進費負担金</t>
  </si>
  <si>
    <t>貸付事業費負担金</t>
  </si>
  <si>
    <t>その他負担金</t>
  </si>
  <si>
    <t>受託工事収益</t>
  </si>
  <si>
    <t>その他営業収益</t>
  </si>
  <si>
    <t>産物売却代金</t>
  </si>
  <si>
    <t>下水処理負担金</t>
  </si>
  <si>
    <t>業務受託収益</t>
  </si>
  <si>
    <t>証明手数料</t>
  </si>
  <si>
    <t>指定業者登録等手数料</t>
  </si>
  <si>
    <t>その他手数料</t>
  </si>
  <si>
    <t>雑収益</t>
  </si>
  <si>
    <t>営業外収益</t>
  </si>
  <si>
    <t>受取利息</t>
  </si>
  <si>
    <t>預金利息</t>
  </si>
  <si>
    <t>貸付金利息</t>
  </si>
  <si>
    <t>有価証券利息</t>
  </si>
  <si>
    <t>下水道緊急整備費国庫補助金</t>
  </si>
  <si>
    <t>水洗便所改造国庫補助金</t>
  </si>
  <si>
    <t>県補助金</t>
  </si>
  <si>
    <t>施設管理負担金</t>
  </si>
  <si>
    <t>他会計負担金</t>
  </si>
  <si>
    <t>汚水処理補助金</t>
  </si>
  <si>
    <t>下水道使用料減免分</t>
  </si>
  <si>
    <t>災害復旧補助金</t>
  </si>
  <si>
    <t>その他補助金</t>
  </si>
  <si>
    <t>不用品売却収益</t>
  </si>
  <si>
    <t>その他雑収益</t>
  </si>
  <si>
    <t>長期前受金戻入</t>
  </si>
  <si>
    <t>受贈財産評価額</t>
  </si>
  <si>
    <t>その他資本剰余金</t>
  </si>
  <si>
    <t>特別利益</t>
  </si>
  <si>
    <t>固定資産売却益</t>
  </si>
  <si>
    <t>過年度損益修正益</t>
  </si>
  <si>
    <t>その他特別利益</t>
  </si>
  <si>
    <t>貸倒引当金戻入益</t>
  </si>
  <si>
    <t>賞与引当金戻入益</t>
  </si>
  <si>
    <t>長期前受金戻入益</t>
  </si>
  <si>
    <t>資本的支出</t>
  </si>
  <si>
    <t>建設改良費</t>
  </si>
  <si>
    <t>公共下水道整備費</t>
  </si>
  <si>
    <t>委員報酬</t>
  </si>
  <si>
    <t>非常勤嘱託員報酬</t>
  </si>
  <si>
    <t>常勤嘱託員報酬</t>
  </si>
  <si>
    <t>会計年度任用職員報酬</t>
  </si>
  <si>
    <t>一般職給</t>
  </si>
  <si>
    <t>地域手当</t>
  </si>
  <si>
    <t>扶養手当</t>
  </si>
  <si>
    <t>期末勤勉手当</t>
  </si>
  <si>
    <t>通勤手当</t>
  </si>
  <si>
    <t>管理職手当</t>
  </si>
  <si>
    <t>初任給調整手当</t>
  </si>
  <si>
    <t>特殊勤務手当</t>
  </si>
  <si>
    <t>時間外勤務手当</t>
  </si>
  <si>
    <t>夜間勤務手当</t>
  </si>
  <si>
    <t>住居手当</t>
  </si>
  <si>
    <t>児童手当</t>
  </si>
  <si>
    <t>管理職員特別勤務手当</t>
  </si>
  <si>
    <t>単身赴任手当</t>
  </si>
  <si>
    <t>共済組合負担金</t>
  </si>
  <si>
    <t>互助会補助金</t>
  </si>
  <si>
    <t>健康保険料負担金</t>
  </si>
  <si>
    <t>地方公務員災害補償負担金</t>
  </si>
  <si>
    <t>雇用保険料</t>
  </si>
  <si>
    <t>厚生年金保険料</t>
  </si>
  <si>
    <t>児童手当拠出金</t>
  </si>
  <si>
    <t>共済組合負担金短期分</t>
  </si>
  <si>
    <t>労災保険料</t>
  </si>
  <si>
    <t>旅費</t>
  </si>
  <si>
    <t>費用弁償</t>
  </si>
  <si>
    <t>用地購入費並びに補償費</t>
  </si>
  <si>
    <t>車両購入費</t>
  </si>
  <si>
    <t>器具備品購入費</t>
  </si>
  <si>
    <t>借地権購入費</t>
  </si>
  <si>
    <t>地上権購入費</t>
  </si>
  <si>
    <t>施設利用権購入費</t>
  </si>
  <si>
    <t>電話加入権</t>
  </si>
  <si>
    <t>施設工事費</t>
  </si>
  <si>
    <t>工事補償金</t>
  </si>
  <si>
    <t>設計委託料</t>
  </si>
  <si>
    <t>工事委託料</t>
  </si>
  <si>
    <t>受益者負担金業務費</t>
  </si>
  <si>
    <t>調査費</t>
  </si>
  <si>
    <t>排水設備整備費</t>
  </si>
  <si>
    <t>都市下水路整備費</t>
  </si>
  <si>
    <t>流域下水道整備費</t>
  </si>
  <si>
    <t>新市街地下水道整備費</t>
  </si>
  <si>
    <t>諸設備新設改良費</t>
  </si>
  <si>
    <t>災害復旧費</t>
  </si>
  <si>
    <t>建設利息</t>
  </si>
  <si>
    <t>公共下水道建設企業債利息</t>
  </si>
  <si>
    <t>流域下水道建設企業債利息</t>
  </si>
  <si>
    <t>償還金</t>
  </si>
  <si>
    <t>企業債償還金</t>
  </si>
  <si>
    <t>企業債償還積立金</t>
  </si>
  <si>
    <t>一般会計借入金償還金</t>
  </si>
  <si>
    <t>水洗化貸付事業費</t>
  </si>
  <si>
    <t>貸付金</t>
  </si>
  <si>
    <t>水洗便所改造資金貸付金</t>
  </si>
  <si>
    <t>し尿浄化槽廃止資金貸付金</t>
  </si>
  <si>
    <t>排水設備改修資金貸付金</t>
  </si>
  <si>
    <t>貸付資金企業債償還金</t>
  </si>
  <si>
    <t>水洗便所改造資金貸付借入金償還金</t>
  </si>
  <si>
    <t>し尿浄化槽資金貸付借入金償還金</t>
  </si>
  <si>
    <t>排水設備改修資金貸付借入金償還金</t>
  </si>
  <si>
    <t>繰延勘定支払金</t>
  </si>
  <si>
    <t>開発費</t>
  </si>
  <si>
    <t>災害損失</t>
  </si>
  <si>
    <t>出資金</t>
  </si>
  <si>
    <t>長期借入金返済金</t>
  </si>
  <si>
    <t>返還金</t>
  </si>
  <si>
    <t>国庫補助金返還金</t>
  </si>
  <si>
    <t>その他投資</t>
  </si>
  <si>
    <t>予備費</t>
  </si>
  <si>
    <t>管きょ費</t>
  </si>
  <si>
    <t>動力費</t>
  </si>
  <si>
    <t>電力費</t>
  </si>
  <si>
    <t>動力用燃料費</t>
  </si>
  <si>
    <t>水質指導費</t>
  </si>
  <si>
    <t>ポンプ場費</t>
  </si>
  <si>
    <t>宿日直手当</t>
  </si>
  <si>
    <t>処理場費</t>
  </si>
  <si>
    <t>受託工事費</t>
  </si>
  <si>
    <t>普及促進費</t>
  </si>
  <si>
    <t>業務費</t>
  </si>
  <si>
    <t>総係費</t>
  </si>
  <si>
    <t>研修費</t>
  </si>
  <si>
    <t>交際費</t>
  </si>
  <si>
    <t>貸倒引当金繰入額</t>
  </si>
  <si>
    <t>883164306</t>
  </si>
  <si>
    <t>減価償却費</t>
  </si>
  <si>
    <t>有形固定資産減価償却費</t>
  </si>
  <si>
    <t>無形固定資産減価償却費</t>
  </si>
  <si>
    <t>資産減耗費</t>
  </si>
  <si>
    <t>支払利息及び企業債取扱諸費</t>
  </si>
  <si>
    <t>企業債利息</t>
  </si>
  <si>
    <t>貸付資金企業債</t>
  </si>
  <si>
    <t>繰延勘定償却</t>
  </si>
  <si>
    <t>企業債発行差金償却</t>
  </si>
  <si>
    <t>開発費償却</t>
  </si>
  <si>
    <t>災害損失償却</t>
  </si>
  <si>
    <t>消費税及び地方消費税</t>
  </si>
  <si>
    <t>雑支出</t>
  </si>
  <si>
    <t>還付加算金</t>
  </si>
  <si>
    <t>その他雑支出</t>
  </si>
  <si>
    <t>固定資産売却損</t>
  </si>
  <si>
    <t>臨時損失</t>
  </si>
  <si>
    <t>減損損失</t>
  </si>
  <si>
    <t>市街化区域外汚水処理施設事業債</t>
  </si>
  <si>
    <t>公共国庫補助金（特環）</t>
  </si>
  <si>
    <t>汚水処理施設整備交付金</t>
  </si>
  <si>
    <t>受益者分担金</t>
  </si>
  <si>
    <t>水洗便所貸付回収金（特環）</t>
  </si>
  <si>
    <t>し尿浄化槽貸付回収金（特環）</t>
  </si>
  <si>
    <t>排水設備貸付回収金（特環）</t>
  </si>
  <si>
    <t>市街化区域外汚水処理施設整備費</t>
  </si>
  <si>
    <t>水洗便所改造資金貸付金（特環）</t>
  </si>
  <si>
    <t>し尿浄化槽廃止資金貸付金特環</t>
  </si>
  <si>
    <t>排水設備改修資金貸付金（特環）</t>
  </si>
  <si>
    <t>農業集落排水施設整備県補助金</t>
  </si>
  <si>
    <t>水洗便所貸付回収金（農集）</t>
  </si>
  <si>
    <t>し尿浄化槽貸付回収金（農集）</t>
  </si>
  <si>
    <t>排水設備貸付回収金（農集）</t>
  </si>
  <si>
    <t>会計年度任用職員</t>
  </si>
  <si>
    <t>水洗便所改造資金貸付金（農集）</t>
  </si>
  <si>
    <t>し尿浄化槽廃止資金貸付金（農集</t>
  </si>
  <si>
    <t>排水設備改修資金貸付金（農集）</t>
  </si>
  <si>
    <t>管理職職員特別勤務手当</t>
  </si>
  <si>
    <t>水洗便所貸付回収金（浄化槽）</t>
  </si>
  <si>
    <t>し尿浄化槽貸付回収金（浄化槽）</t>
  </si>
  <si>
    <t>排水設備貸付回収金（浄化槽）</t>
  </si>
  <si>
    <t>交際費</t>
    <rPh sb="0" eb="3">
      <t>コウサイヒ</t>
    </rPh>
    <phoneticPr fontId="3"/>
  </si>
  <si>
    <t>交際費</t>
    <rPh sb="0" eb="3">
      <t>コウサイヒ</t>
    </rPh>
    <phoneticPr fontId="3"/>
  </si>
  <si>
    <t>（過年度分労災保険料の修正）</t>
  </si>
  <si>
    <t>（破産更生債権の不納欠損）</t>
  </si>
  <si>
    <t>款</t>
  </si>
  <si>
    <t>執行額</t>
    <rPh sb="0" eb="2">
      <t>シッコウ</t>
    </rPh>
    <rPh sb="2" eb="3">
      <t>ガク</t>
    </rPh>
    <phoneticPr fontId="17"/>
  </si>
  <si>
    <t>課税</t>
    <rPh sb="0" eb="2">
      <t>カゼイ</t>
    </rPh>
    <phoneticPr fontId="17"/>
  </si>
  <si>
    <t>非課税</t>
    <rPh sb="0" eb="3">
      <t>ヒカゼイ</t>
    </rPh>
    <phoneticPr fontId="17"/>
  </si>
  <si>
    <t>不課税</t>
    <rPh sb="0" eb="1">
      <t>フ</t>
    </rPh>
    <rPh sb="1" eb="3">
      <t>カゼイ</t>
    </rPh>
    <phoneticPr fontId="17"/>
  </si>
  <si>
    <t>2024/5/12 とりあえず手入力</t>
    <rPh sb="15" eb="18">
      <t>テニュウリョク</t>
    </rPh>
    <phoneticPr fontId="3"/>
  </si>
  <si>
    <t>災害復旧事業債償還金</t>
    <rPh sb="0" eb="2">
      <t>サイガイ</t>
    </rPh>
    <rPh sb="2" eb="6">
      <t>フッキュウジギョウ</t>
    </rPh>
    <phoneticPr fontId="1"/>
  </si>
  <si>
    <t>循環型社会形成推進交付金</t>
    <rPh sb="0" eb="12">
      <t>ジュンカンガタシャカイケイセイスイシンコウフキン</t>
    </rPh>
    <phoneticPr fontId="1"/>
  </si>
  <si>
    <t>　免税事業者に係る控除不能額</t>
    <rPh sb="1" eb="6">
      <t>メンゼイジギョウシャ</t>
    </rPh>
    <rPh sb="7" eb="8">
      <t>カカ</t>
    </rPh>
    <rPh sb="9" eb="14">
      <t>コウジョフノウガク</t>
    </rPh>
    <phoneticPr fontId="3"/>
  </si>
  <si>
    <t>節</t>
    <rPh sb="0" eb="1">
      <t>セツ</t>
    </rPh>
    <phoneticPr fontId="3"/>
  </si>
  <si>
    <t>細節</t>
    <rPh sb="0" eb="2">
      <t>サイセツ</t>
    </rPh>
    <phoneticPr fontId="3"/>
  </si>
  <si>
    <t>事業</t>
    <rPh sb="0" eb="2">
      <t>ジギョウ</t>
    </rPh>
    <phoneticPr fontId="3"/>
  </si>
  <si>
    <t>税込決算額</t>
    <rPh sb="0" eb="2">
      <t>ゼイコミ</t>
    </rPh>
    <rPh sb="2" eb="4">
      <t>ケッサン</t>
    </rPh>
    <rPh sb="4" eb="5">
      <t>ガク</t>
    </rPh>
    <phoneticPr fontId="3"/>
  </si>
  <si>
    <t>税抜決算額</t>
    <rPh sb="0" eb="2">
      <t>ゼイヌキ</t>
    </rPh>
    <rPh sb="2" eb="4">
      <t>ケッサン</t>
    </rPh>
    <rPh sb="4" eb="5">
      <t>ガク</t>
    </rPh>
    <phoneticPr fontId="3"/>
  </si>
  <si>
    <t>計</t>
    <rPh sb="0" eb="1">
      <t>ケイ</t>
    </rPh>
    <phoneticPr fontId="3"/>
  </si>
  <si>
    <t>総額検算</t>
    <rPh sb="0" eb="2">
      <t>ソウガク</t>
    </rPh>
    <rPh sb="2" eb="4">
      <t>ケンザン</t>
    </rPh>
    <phoneticPr fontId="3"/>
  </si>
  <si>
    <t>費目</t>
    <rPh sb="0" eb="2">
      <t>ヒモク</t>
    </rPh>
    <phoneticPr fontId="3"/>
  </si>
  <si>
    <t>消費税及び地方消費税還付金</t>
    <rPh sb="0" eb="3">
      <t>ショウヒゼイ</t>
    </rPh>
    <rPh sb="3" eb="4">
      <t>オヨ</t>
    </rPh>
    <rPh sb="5" eb="7">
      <t>チホウ</t>
    </rPh>
    <rPh sb="7" eb="10">
      <t>ショウヒゼイ</t>
    </rPh>
    <rPh sb="10" eb="13">
      <t>カンプキン</t>
    </rPh>
    <phoneticPr fontId="3"/>
  </si>
  <si>
    <t>消費税　端数確認</t>
    <rPh sb="0" eb="3">
      <t>ショウヒゼイ</t>
    </rPh>
    <rPh sb="4" eb="6">
      <t>ハスウ</t>
    </rPh>
    <rPh sb="6" eb="8">
      <t>カクニン</t>
    </rPh>
    <phoneticPr fontId="3"/>
  </si>
  <si>
    <t>消費税　調整額</t>
    <rPh sb="0" eb="3">
      <t>ショウヒゼイ</t>
    </rPh>
    <rPh sb="4" eb="6">
      <t>チョウセイ</t>
    </rPh>
    <rPh sb="6" eb="7">
      <t>ガク</t>
    </rPh>
    <phoneticPr fontId="3"/>
  </si>
  <si>
    <t>下水道使用料</t>
    <rPh sb="0" eb="3">
      <t>ゲスイドウ</t>
    </rPh>
    <rPh sb="3" eb="6">
      <t>シヨウリョウ</t>
    </rPh>
    <phoneticPr fontId="3"/>
  </si>
  <si>
    <t>受託工事収益</t>
    <rPh sb="0" eb="2">
      <t>ジュタク</t>
    </rPh>
    <rPh sb="2" eb="4">
      <t>コウジ</t>
    </rPh>
    <rPh sb="4" eb="6">
      <t>シュウエキ</t>
    </rPh>
    <phoneticPr fontId="3"/>
  </si>
  <si>
    <t>その他営業収益</t>
    <rPh sb="2" eb="3">
      <t>タ</t>
    </rPh>
    <rPh sb="3" eb="5">
      <t>エイギョウ</t>
    </rPh>
    <rPh sb="5" eb="7">
      <t>シュウエキ</t>
    </rPh>
    <phoneticPr fontId="3"/>
  </si>
  <si>
    <t>受取利息</t>
    <rPh sb="0" eb="2">
      <t>ウケトリ</t>
    </rPh>
    <rPh sb="2" eb="4">
      <t>リソク</t>
    </rPh>
    <phoneticPr fontId="3"/>
  </si>
  <si>
    <t>国庫補助金</t>
    <rPh sb="0" eb="2">
      <t>コッコ</t>
    </rPh>
    <rPh sb="2" eb="5">
      <t>ホジョキン</t>
    </rPh>
    <phoneticPr fontId="3"/>
  </si>
  <si>
    <t>負担金</t>
    <rPh sb="0" eb="3">
      <t>フタンキン</t>
    </rPh>
    <phoneticPr fontId="3"/>
  </si>
  <si>
    <t>一般会計補助金</t>
    <rPh sb="0" eb="2">
      <t>イッパン</t>
    </rPh>
    <rPh sb="2" eb="4">
      <t>カイケイ</t>
    </rPh>
    <rPh sb="4" eb="7">
      <t>ホジョキン</t>
    </rPh>
    <phoneticPr fontId="3"/>
  </si>
  <si>
    <t>　その他補助金</t>
    <rPh sb="3" eb="4">
      <t>タ</t>
    </rPh>
    <rPh sb="4" eb="7">
      <t>ホジョキン</t>
    </rPh>
    <phoneticPr fontId="3"/>
  </si>
  <si>
    <t>　消費税及び地方消費税還付金</t>
    <rPh sb="1" eb="4">
      <t>ショウヒゼイ</t>
    </rPh>
    <rPh sb="4" eb="5">
      <t>オヨ</t>
    </rPh>
    <rPh sb="6" eb="8">
      <t>チホウ</t>
    </rPh>
    <rPh sb="8" eb="11">
      <t>ショウヒゼイ</t>
    </rPh>
    <rPh sb="11" eb="14">
      <t>カンプキン</t>
    </rPh>
    <phoneticPr fontId="3"/>
  </si>
  <si>
    <t>雑収益</t>
    <rPh sb="0" eb="1">
      <t>ザツ</t>
    </rPh>
    <rPh sb="1" eb="3">
      <t>シュウエキ</t>
    </rPh>
    <phoneticPr fontId="3"/>
  </si>
  <si>
    <t>長期前受金戻入益</t>
    <rPh sb="0" eb="2">
      <t>チョウキ</t>
    </rPh>
    <rPh sb="2" eb="5">
      <t>マエウケキン</t>
    </rPh>
    <rPh sb="5" eb="7">
      <t>レイニュウ</t>
    </rPh>
    <rPh sb="7" eb="8">
      <t>エキ</t>
    </rPh>
    <phoneticPr fontId="3"/>
  </si>
  <si>
    <t>長期前受金戻入</t>
    <rPh sb="0" eb="2">
      <t>チョウキ</t>
    </rPh>
    <rPh sb="2" eb="5">
      <t>マエウケキン</t>
    </rPh>
    <rPh sb="5" eb="7">
      <t>レイニュウ</t>
    </rPh>
    <phoneticPr fontId="3"/>
  </si>
  <si>
    <t>　長期前受金戻入(減償･除却)</t>
    <rPh sb="9" eb="10">
      <t>ゲン</t>
    </rPh>
    <rPh sb="10" eb="11">
      <t>ショウ</t>
    </rPh>
    <rPh sb="12" eb="14">
      <t>ジョキャク</t>
    </rPh>
    <phoneticPr fontId="3"/>
  </si>
  <si>
    <t>　長期前受金戻入益(減損)</t>
    <rPh sb="1" eb="3">
      <t>チョウキ</t>
    </rPh>
    <rPh sb="3" eb="6">
      <t>マエウケキン</t>
    </rPh>
    <rPh sb="6" eb="8">
      <t>レイニュウ</t>
    </rPh>
    <rPh sb="8" eb="9">
      <t>エキ</t>
    </rPh>
    <rPh sb="10" eb="12">
      <t>ゲンソン</t>
    </rPh>
    <phoneticPr fontId="3"/>
  </si>
  <si>
    <t>仮受消費税</t>
    <rPh sb="0" eb="2">
      <t>カリウ</t>
    </rPh>
    <rPh sb="2" eb="5">
      <t>ショウヒゼイ</t>
    </rPh>
    <phoneticPr fontId="3"/>
  </si>
  <si>
    <t>計</t>
  </si>
  <si>
    <t>特定収入以外
の不課税収入</t>
    <rPh sb="0" eb="2">
      <t>トクテイ</t>
    </rPh>
    <rPh sb="2" eb="4">
      <t>シュウニュウ</t>
    </rPh>
    <rPh sb="4" eb="6">
      <t>イガイ</t>
    </rPh>
    <rPh sb="8" eb="9">
      <t>フ</t>
    </rPh>
    <rPh sb="9" eb="11">
      <t>カゼイ</t>
    </rPh>
    <rPh sb="11" eb="13">
      <t>シュウニュウ</t>
    </rPh>
    <phoneticPr fontId="3"/>
  </si>
  <si>
    <t>【３条収入内訳】</t>
    <rPh sb="2" eb="3">
      <t>ジョウ</t>
    </rPh>
    <rPh sb="3" eb="5">
      <t>シュウニュウ</t>
    </rPh>
    <rPh sb="5" eb="7">
      <t>ウチワケ</t>
    </rPh>
    <phoneticPr fontId="3"/>
  </si>
  <si>
    <t>　その他雑収益（仕入控除差額）</t>
    <rPh sb="8" eb="10">
      <t>シイレ</t>
    </rPh>
    <rPh sb="10" eb="12">
      <t>コウジョ</t>
    </rPh>
    <rPh sb="12" eb="14">
      <t>サガク</t>
    </rPh>
    <phoneticPr fontId="3"/>
  </si>
  <si>
    <t>営業収益</t>
    <rPh sb="0" eb="2">
      <t>エイギョウ</t>
    </rPh>
    <rPh sb="2" eb="4">
      <t>シュウエキ</t>
    </rPh>
    <phoneticPr fontId="3"/>
  </si>
  <si>
    <t>特別利益</t>
    <rPh sb="0" eb="2">
      <t>トクベツ</t>
    </rPh>
    <rPh sb="2" eb="4">
      <t>リエキ</t>
    </rPh>
    <phoneticPr fontId="3"/>
  </si>
  <si>
    <t>課税売上げ</t>
    <rPh sb="0" eb="2">
      <t>カゼイ</t>
    </rPh>
    <rPh sb="2" eb="4">
      <t>ウリアゲ</t>
    </rPh>
    <phoneticPr fontId="3"/>
  </si>
  <si>
    <t>特定収入</t>
    <rPh sb="0" eb="2">
      <t>トクテイ</t>
    </rPh>
    <rPh sb="2" eb="4">
      <t>シュウニュウ</t>
    </rPh>
    <phoneticPr fontId="3"/>
  </si>
  <si>
    <t>課税仕入れ等に係る特定収入</t>
    <rPh sb="0" eb="2">
      <t>カゼイ</t>
    </rPh>
    <rPh sb="2" eb="4">
      <t>シイ</t>
    </rPh>
    <rPh sb="5" eb="6">
      <t>トウ</t>
    </rPh>
    <rPh sb="7" eb="8">
      <t>カカ</t>
    </rPh>
    <rPh sb="9" eb="11">
      <t>トクテイ</t>
    </rPh>
    <rPh sb="11" eb="13">
      <t>シュウニュウ</t>
    </rPh>
    <phoneticPr fontId="3"/>
  </si>
  <si>
    <t>課税仕入れ等に係る特定収入以外</t>
    <rPh sb="0" eb="2">
      <t>カゼイ</t>
    </rPh>
    <rPh sb="2" eb="4">
      <t>シイ</t>
    </rPh>
    <rPh sb="5" eb="6">
      <t>トウ</t>
    </rPh>
    <rPh sb="7" eb="8">
      <t>カカ</t>
    </rPh>
    <rPh sb="9" eb="11">
      <t>トクテイ</t>
    </rPh>
    <rPh sb="11" eb="13">
      <t>シュウニュウ</t>
    </rPh>
    <rPh sb="13" eb="15">
      <t>イガイ</t>
    </rPh>
    <phoneticPr fontId="3"/>
  </si>
  <si>
    <t>不課税収入（資産の譲渡等の対価以外の収入（対価性のない収入））</t>
    <rPh sb="0" eb="1">
      <t>フ</t>
    </rPh>
    <rPh sb="1" eb="3">
      <t>カゼイ</t>
    </rPh>
    <rPh sb="3" eb="5">
      <t>シュウニュウ</t>
    </rPh>
    <rPh sb="6" eb="8">
      <t>シサン</t>
    </rPh>
    <rPh sb="9" eb="11">
      <t>ジョウト</t>
    </rPh>
    <rPh sb="11" eb="12">
      <t>トウ</t>
    </rPh>
    <rPh sb="13" eb="15">
      <t>タイカ</t>
    </rPh>
    <rPh sb="15" eb="17">
      <t>イガイ</t>
    </rPh>
    <rPh sb="18" eb="20">
      <t>シュウニュウ</t>
    </rPh>
    <rPh sb="21" eb="23">
      <t>タイカ</t>
    </rPh>
    <rPh sb="23" eb="24">
      <t>セイ</t>
    </rPh>
    <rPh sb="27" eb="29">
      <t>シュウニュウ</t>
    </rPh>
    <phoneticPr fontId="3"/>
  </si>
  <si>
    <t>特定収入に係る課税仕入れ等に係る消費税額</t>
    <rPh sb="12" eb="13">
      <t>トウ</t>
    </rPh>
    <phoneticPr fontId="3"/>
  </si>
  <si>
    <t>全事業</t>
    <rPh sb="0" eb="3">
      <t>ゼンジギョウ</t>
    </rPh>
    <phoneticPr fontId="3"/>
  </si>
  <si>
    <t>公共</t>
    <rPh sb="0" eb="2">
      <t>コウキョウ</t>
    </rPh>
    <phoneticPr fontId="3"/>
  </si>
  <si>
    <t>特環</t>
    <rPh sb="0" eb="2">
      <t>トッカン</t>
    </rPh>
    <phoneticPr fontId="3"/>
  </si>
  <si>
    <t>農集</t>
    <rPh sb="0" eb="2">
      <t>ノウシュウ</t>
    </rPh>
    <phoneticPr fontId="3"/>
  </si>
  <si>
    <t>浄化槽</t>
    <rPh sb="0" eb="3">
      <t>ジョウカソウ</t>
    </rPh>
    <phoneticPr fontId="3"/>
  </si>
  <si>
    <t>使用料減免充当額　配賦表</t>
    <rPh sb="0" eb="3">
      <t>シヨウリョウ</t>
    </rPh>
    <rPh sb="3" eb="5">
      <t>ゲンメン</t>
    </rPh>
    <rPh sb="5" eb="7">
      <t>ジュウトウ</t>
    </rPh>
    <rPh sb="7" eb="8">
      <t>ガク</t>
    </rPh>
    <rPh sb="9" eb="11">
      <t>ハイフ</t>
    </rPh>
    <rPh sb="11" eb="12">
      <t>ヒョウ</t>
    </rPh>
    <phoneticPr fontId="3"/>
  </si>
  <si>
    <t>管理課資料</t>
    <rPh sb="0" eb="3">
      <t>カンリカ</t>
    </rPh>
    <rPh sb="3" eb="5">
      <t>シリョウ</t>
    </rPh>
    <phoneticPr fontId="3"/>
  </si>
  <si>
    <t>災害減免も加算すること！</t>
    <rPh sb="0" eb="2">
      <t>サイガイ</t>
    </rPh>
    <rPh sb="2" eb="4">
      <t>ゲンメン</t>
    </rPh>
    <rPh sb="5" eb="7">
      <t>カサン</t>
    </rPh>
    <phoneticPr fontId="3"/>
  </si>
  <si>
    <t>実配賦額</t>
    <rPh sb="0" eb="1">
      <t>ジツ</t>
    </rPh>
    <rPh sb="1" eb="3">
      <t>ハイフ</t>
    </rPh>
    <rPh sb="3" eb="4">
      <t>ガク</t>
    </rPh>
    <phoneticPr fontId="3"/>
  </si>
  <si>
    <t>　下水道使用料</t>
  </si>
  <si>
    <t>　一般会計負担金</t>
    <rPh sb="1" eb="3">
      <t>イッパン</t>
    </rPh>
    <rPh sb="3" eb="5">
      <t>カイケイ</t>
    </rPh>
    <rPh sb="5" eb="8">
      <t>フタンキン</t>
    </rPh>
    <phoneticPr fontId="3"/>
  </si>
  <si>
    <t>　雨水処理負担金</t>
  </si>
  <si>
    <t>　　維持管理費分</t>
  </si>
  <si>
    <t>　　減価償却費分</t>
  </si>
  <si>
    <t>　　支払利息分</t>
  </si>
  <si>
    <t>　水質指導費負担金</t>
  </si>
  <si>
    <t>　普及促進費負担金</t>
  </si>
  <si>
    <t>　貸付事業費負担金</t>
  </si>
  <si>
    <t>　受託工事収益</t>
  </si>
  <si>
    <t>　業務受託収益</t>
  </si>
  <si>
    <t>　産物売却代金</t>
  </si>
  <si>
    <t>　手数料</t>
  </si>
  <si>
    <t>　　証明手数料</t>
  </si>
  <si>
    <t>　　指定業者登録等手数料</t>
  </si>
  <si>
    <t>　　その他手数料</t>
  </si>
  <si>
    <t>　預金利息</t>
  </si>
  <si>
    <t>　貸付金利息</t>
  </si>
  <si>
    <t>　有価証券利息</t>
  </si>
  <si>
    <t>　下水緊急整備国庫補助金</t>
  </si>
  <si>
    <t>　施設管理負担金</t>
  </si>
  <si>
    <t>　他会計負担金</t>
  </si>
  <si>
    <t>　不用品売却収益</t>
  </si>
  <si>
    <t>　その他雑収益</t>
  </si>
  <si>
    <t>　固定資産売却益</t>
  </si>
  <si>
    <t>　過年度損益修正益</t>
  </si>
  <si>
    <t>　その他特別利益</t>
  </si>
  <si>
    <t>　貸倒引当金戻入益</t>
  </si>
  <si>
    <t>　賞与引当金戻入益</t>
  </si>
  <si>
    <t>雑収益</t>
    <phoneticPr fontId="3"/>
  </si>
  <si>
    <t>　その他国庫補助金(災害)</t>
    <rPh sb="10" eb="12">
      <t>サイガイ</t>
    </rPh>
    <phoneticPr fontId="3"/>
  </si>
  <si>
    <t>　汚水処理補助金</t>
    <phoneticPr fontId="3"/>
  </si>
  <si>
    <t>　　下水道使用料減免分</t>
    <phoneticPr fontId="3"/>
  </si>
  <si>
    <t>営業外収益</t>
    <rPh sb="0" eb="2">
      <t>エイギョウ</t>
    </rPh>
    <rPh sb="2" eb="3">
      <t>ガイ</t>
    </rPh>
    <rPh sb="3" eb="5">
      <t>シュウエキ</t>
    </rPh>
    <phoneticPr fontId="3"/>
  </si>
  <si>
    <t>固定資産売却益</t>
    <phoneticPr fontId="3"/>
  </si>
  <si>
    <t>過年度損益修正益</t>
    <phoneticPr fontId="3"/>
  </si>
  <si>
    <t>その他特別利益</t>
    <phoneticPr fontId="3"/>
  </si>
  <si>
    <t>区域外赤字補塡額</t>
    <rPh sb="0" eb="2">
      <t>クイキ</t>
    </rPh>
    <rPh sb="2" eb="3">
      <t>ガイ</t>
    </rPh>
    <rPh sb="3" eb="5">
      <t>アカジ</t>
    </rPh>
    <rPh sb="5" eb="6">
      <t>ホ</t>
    </rPh>
    <rPh sb="6" eb="7">
      <t>テン</t>
    </rPh>
    <rPh sb="7" eb="8">
      <t>ガク</t>
    </rPh>
    <phoneticPr fontId="3"/>
  </si>
  <si>
    <t>消費税端数調整ランク</t>
    <rPh sb="0" eb="3">
      <t>ショウヒゼイ</t>
    </rPh>
    <rPh sb="3" eb="5">
      <t>ハスウ</t>
    </rPh>
    <rPh sb="5" eb="7">
      <t>チョウセイ</t>
    </rPh>
    <phoneticPr fontId="3"/>
  </si>
  <si>
    <t>課税支出に係る特定収入に係る消費税の調整</t>
    <rPh sb="0" eb="2">
      <t>カゼイ</t>
    </rPh>
    <rPh sb="2" eb="4">
      <t>シシュツ</t>
    </rPh>
    <rPh sb="5" eb="6">
      <t>カカ</t>
    </rPh>
    <rPh sb="7" eb="9">
      <t>トクテイ</t>
    </rPh>
    <rPh sb="9" eb="11">
      <t>シュウニュウ</t>
    </rPh>
    <rPh sb="12" eb="13">
      <t>カカ</t>
    </rPh>
    <rPh sb="14" eb="17">
      <t>ショウヒゼイ</t>
    </rPh>
    <rPh sb="18" eb="20">
      <t>チョウセイ</t>
    </rPh>
    <phoneticPr fontId="3"/>
  </si>
  <si>
    <t>3条税込み支出(消費税加算後）</t>
    <rPh sb="1" eb="2">
      <t>ジョウ</t>
    </rPh>
    <rPh sb="2" eb="3">
      <t>ゼイ</t>
    </rPh>
    <rPh sb="3" eb="4">
      <t>コ</t>
    </rPh>
    <rPh sb="5" eb="7">
      <t>シシュツ</t>
    </rPh>
    <rPh sb="8" eb="11">
      <t>ショウヒゼイ</t>
    </rPh>
    <rPh sb="11" eb="13">
      <t>カサン</t>
    </rPh>
    <rPh sb="13" eb="14">
      <t>ゴ</t>
    </rPh>
    <phoneticPr fontId="3"/>
  </si>
  <si>
    <t>チェック</t>
    <phoneticPr fontId="3"/>
  </si>
  <si>
    <t>←税込決算から算出した純利益</t>
    <rPh sb="1" eb="3">
      <t>ゼイコ</t>
    </rPh>
    <rPh sb="3" eb="5">
      <t>ケッサン</t>
    </rPh>
    <rPh sb="7" eb="9">
      <t>サンシュツ</t>
    </rPh>
    <rPh sb="11" eb="14">
      <t>ジュンリエキ</t>
    </rPh>
    <phoneticPr fontId="3"/>
  </si>
  <si>
    <t>非課税
売上げ</t>
    <rPh sb="0" eb="3">
      <t>ヒカゼイ</t>
    </rPh>
    <rPh sb="4" eb="6">
      <t>ウリアゲ</t>
    </rPh>
    <phoneticPr fontId="3"/>
  </si>
  <si>
    <t>免税
売上げ</t>
    <rPh sb="0" eb="2">
      <t>メンゼイ</t>
    </rPh>
    <rPh sb="3" eb="5">
      <t>ウリア</t>
    </rPh>
    <phoneticPr fontId="3"/>
  </si>
  <si>
    <t>　　公共</t>
    <rPh sb="2" eb="4">
      <t>コウキョウ</t>
    </rPh>
    <phoneticPr fontId="3"/>
  </si>
  <si>
    <t>　　特環</t>
    <rPh sb="2" eb="4">
      <t>トッカン</t>
    </rPh>
    <phoneticPr fontId="3"/>
  </si>
  <si>
    <t>　　農集</t>
    <rPh sb="2" eb="4">
      <t>ノウシュウ</t>
    </rPh>
    <phoneticPr fontId="3"/>
  </si>
  <si>
    <t>　　浄化槽</t>
    <rPh sb="2" eb="5">
      <t>ジョウカソウ</t>
    </rPh>
    <phoneticPr fontId="3"/>
  </si>
  <si>
    <t>3条税抜き支出（消費税雑支出加算後）</t>
    <rPh sb="1" eb="2">
      <t>ジョウ</t>
    </rPh>
    <rPh sb="2" eb="3">
      <t>ゼイ</t>
    </rPh>
    <rPh sb="3" eb="4">
      <t>ヌ</t>
    </rPh>
    <rPh sb="5" eb="7">
      <t>シシュツ</t>
    </rPh>
    <rPh sb="8" eb="11">
      <t>ショウヒゼイ</t>
    </rPh>
    <rPh sb="11" eb="12">
      <t>ザツ</t>
    </rPh>
    <rPh sb="12" eb="14">
      <t>シシュツ</t>
    </rPh>
    <rPh sb="14" eb="16">
      <t>カサン</t>
    </rPh>
    <rPh sb="16" eb="17">
      <t>ゴ</t>
    </rPh>
    <phoneticPr fontId="3"/>
  </si>
  <si>
    <t>純利益</t>
    <rPh sb="0" eb="3">
      <t>ジュンリエキ</t>
    </rPh>
    <phoneticPr fontId="3"/>
  </si>
  <si>
    <t>総額検算</t>
    <rPh sb="0" eb="2">
      <t>ソウガク</t>
    </rPh>
    <rPh sb="2" eb="4">
      <t>ケンザン</t>
    </rPh>
    <phoneticPr fontId="2"/>
  </si>
  <si>
    <t>計</t>
    <rPh sb="0" eb="1">
      <t>ケイ</t>
    </rPh>
    <phoneticPr fontId="2"/>
  </si>
  <si>
    <t>返還金</t>
    <rPh sb="0" eb="3">
      <t>ヘンカンキン</t>
    </rPh>
    <phoneticPr fontId="2"/>
  </si>
  <si>
    <t>　一般会計借入金償還金</t>
    <rPh sb="1" eb="3">
      <t>イッパン</t>
    </rPh>
    <rPh sb="3" eb="5">
      <t>カイケイ</t>
    </rPh>
    <rPh sb="5" eb="7">
      <t>カリイレ</t>
    </rPh>
    <rPh sb="7" eb="8">
      <t>キン</t>
    </rPh>
    <phoneticPr fontId="2"/>
  </si>
  <si>
    <t>　貸付資金企業債償還金</t>
  </si>
  <si>
    <t>　貸付金</t>
  </si>
  <si>
    <t>水洗化貸付事業費</t>
  </si>
  <si>
    <t>企業債償還金</t>
  </si>
  <si>
    <t>　市街化区域外整備費</t>
    <rPh sb="1" eb="4">
      <t>シガイカ</t>
    </rPh>
    <rPh sb="4" eb="7">
      <t>クイキガイ</t>
    </rPh>
    <rPh sb="7" eb="10">
      <t>セイビヒ</t>
    </rPh>
    <phoneticPr fontId="2"/>
  </si>
  <si>
    <t>　建設利息</t>
  </si>
  <si>
    <t>　諸設備新設改良費</t>
  </si>
  <si>
    <t>　流域下水道整備費</t>
  </si>
  <si>
    <t>　都市下水路整備費</t>
  </si>
  <si>
    <t>　排水設備整備費</t>
  </si>
  <si>
    <t>　受益者負担金業務費</t>
  </si>
  <si>
    <t>　公共下水道整備費</t>
  </si>
  <si>
    <t>建設改良費</t>
  </si>
  <si>
    <t>消費税　調整額</t>
    <rPh sb="0" eb="3">
      <t>ショウヒゼイ</t>
    </rPh>
    <rPh sb="4" eb="6">
      <t>チョウセイ</t>
    </rPh>
    <rPh sb="6" eb="7">
      <t>ガク</t>
    </rPh>
    <phoneticPr fontId="2"/>
  </si>
  <si>
    <t>消費税端数調整ランク</t>
    <rPh sb="0" eb="3">
      <t>ショウヒゼイ</t>
    </rPh>
    <rPh sb="3" eb="5">
      <t>ハスウ</t>
    </rPh>
    <rPh sb="5" eb="7">
      <t>チョウセイ</t>
    </rPh>
    <phoneticPr fontId="2"/>
  </si>
  <si>
    <t>消費税　端数確認</t>
    <rPh sb="0" eb="3">
      <t>ショウヒゼイ</t>
    </rPh>
    <rPh sb="4" eb="6">
      <t>ハスウ</t>
    </rPh>
    <rPh sb="6" eb="8">
      <t>カクニン</t>
    </rPh>
    <phoneticPr fontId="2"/>
  </si>
  <si>
    <t>消費税</t>
    <rPh sb="0" eb="3">
      <t>ショウヒゼイ</t>
    </rPh>
    <phoneticPr fontId="2"/>
  </si>
  <si>
    <t>税抜決算額</t>
    <rPh sb="0" eb="2">
      <t>ゼイヌキ</t>
    </rPh>
    <rPh sb="2" eb="4">
      <t>ケッサン</t>
    </rPh>
    <rPh sb="4" eb="5">
      <t>ガク</t>
    </rPh>
    <phoneticPr fontId="2"/>
  </si>
  <si>
    <t>不課税支出</t>
    <rPh sb="0" eb="1">
      <t>フ</t>
    </rPh>
    <rPh sb="1" eb="3">
      <t>カゼイ</t>
    </rPh>
    <rPh sb="3" eb="5">
      <t>シシュツ</t>
    </rPh>
    <phoneticPr fontId="2"/>
  </si>
  <si>
    <t>非課税支出</t>
    <rPh sb="0" eb="3">
      <t>ヒカゼイ</t>
    </rPh>
    <rPh sb="3" eb="5">
      <t>シシュツ</t>
    </rPh>
    <phoneticPr fontId="2"/>
  </si>
  <si>
    <t>課税支出</t>
    <rPh sb="0" eb="2">
      <t>カゼイ</t>
    </rPh>
    <rPh sb="2" eb="4">
      <t>シシュツ</t>
    </rPh>
    <phoneticPr fontId="2"/>
  </si>
  <si>
    <t>税込決算額</t>
    <rPh sb="0" eb="2">
      <t>ゼイコミ</t>
    </rPh>
    <rPh sb="2" eb="4">
      <t>ケッサン</t>
    </rPh>
    <rPh sb="4" eb="5">
      <t>ガク</t>
    </rPh>
    <phoneticPr fontId="2"/>
  </si>
  <si>
    <t>費目</t>
    <rPh sb="0" eb="2">
      <t>ヒモク</t>
    </rPh>
    <phoneticPr fontId="2"/>
  </si>
  <si>
    <t>細節</t>
    <rPh sb="0" eb="2">
      <t>サイセツ</t>
    </rPh>
    <phoneticPr fontId="2"/>
  </si>
  <si>
    <t>節</t>
    <rPh sb="0" eb="1">
      <t>セツ</t>
    </rPh>
    <phoneticPr fontId="2"/>
  </si>
  <si>
    <t>事業</t>
    <rPh sb="0" eb="2">
      <t>ジギョウ</t>
    </rPh>
    <phoneticPr fontId="2"/>
  </si>
  <si>
    <t>【４条支出総括】</t>
    <rPh sb="2" eb="3">
      <t>ジョウ</t>
    </rPh>
    <rPh sb="3" eb="5">
      <t>シシュツ</t>
    </rPh>
    <rPh sb="5" eb="7">
      <t>ソウカツ</t>
    </rPh>
    <phoneticPr fontId="2"/>
  </si>
  <si>
    <t>路面復旧費</t>
  </si>
  <si>
    <t>615327588</t>
  </si>
  <si>
    <t>6153275</t>
  </si>
  <si>
    <t>工事負担金</t>
  </si>
  <si>
    <t>615327587</t>
  </si>
  <si>
    <t>工事委託料</t>
  </si>
  <si>
    <t>615327586</t>
  </si>
  <si>
    <t>設計委託料</t>
  </si>
  <si>
    <t>615327585</t>
  </si>
  <si>
    <t>工事補償金</t>
  </si>
  <si>
    <t>615327584</t>
  </si>
  <si>
    <t>工事請負費</t>
  </si>
  <si>
    <t>615327583</t>
  </si>
  <si>
    <t>電話加入権</t>
  </si>
  <si>
    <t>6153274</t>
  </si>
  <si>
    <t>施設利用権購入費</t>
  </si>
  <si>
    <t>6153273</t>
  </si>
  <si>
    <t>地上権購入費</t>
  </si>
  <si>
    <t>6153272</t>
  </si>
  <si>
    <t>借地権購入費</t>
  </si>
  <si>
    <t>6153271</t>
  </si>
  <si>
    <t>器具備品購入費</t>
  </si>
  <si>
    <t>6153270</t>
  </si>
  <si>
    <t>車両購入費</t>
  </si>
  <si>
    <t>6153269</t>
  </si>
  <si>
    <t>用地購入費並びに補償費</t>
  </si>
  <si>
    <t>6153265</t>
  </si>
  <si>
    <t>公課費</t>
  </si>
  <si>
    <t>6153240</t>
  </si>
  <si>
    <t>損害保険料</t>
  </si>
  <si>
    <t>6153239</t>
  </si>
  <si>
    <t>食糧費</t>
  </si>
  <si>
    <t>6153237</t>
  </si>
  <si>
    <t>負担金、補助及び交付金</t>
  </si>
  <si>
    <t>6153231</t>
  </si>
  <si>
    <t>材料費</t>
  </si>
  <si>
    <t>6153224</t>
  </si>
  <si>
    <t>修繕費</t>
  </si>
  <si>
    <t>6153223</t>
  </si>
  <si>
    <t>委託料</t>
  </si>
  <si>
    <t>6153221</t>
  </si>
  <si>
    <t>賃借料</t>
  </si>
  <si>
    <t>6153220</t>
  </si>
  <si>
    <t>手数料</t>
  </si>
  <si>
    <t>6153219</t>
  </si>
  <si>
    <t>通信運搬費</t>
  </si>
  <si>
    <t>6153217</t>
  </si>
  <si>
    <t>光熱水費</t>
  </si>
  <si>
    <t>6153215</t>
  </si>
  <si>
    <t>燃料費</t>
  </si>
  <si>
    <t>6153214</t>
  </si>
  <si>
    <t>備消品費</t>
  </si>
  <si>
    <t>6153213</t>
  </si>
  <si>
    <t>特別旅費</t>
  </si>
  <si>
    <t>615321002</t>
  </si>
  <si>
    <t>6153210</t>
  </si>
  <si>
    <t>普通旅費</t>
  </si>
  <si>
    <t>615321001</t>
  </si>
  <si>
    <t>報償費</t>
  </si>
  <si>
    <t>6153208</t>
  </si>
  <si>
    <t>賃金</t>
  </si>
  <si>
    <t>6153207</t>
  </si>
  <si>
    <t>災害補償費</t>
  </si>
  <si>
    <t>6153205</t>
  </si>
  <si>
    <t>法定福利費</t>
  </si>
  <si>
    <t>6153204</t>
  </si>
  <si>
    <t>手当等</t>
  </si>
  <si>
    <t>6153203</t>
  </si>
  <si>
    <t>給料</t>
  </si>
  <si>
    <t>6153202</t>
  </si>
  <si>
    <t>報酬</t>
  </si>
  <si>
    <t>6153201</t>
  </si>
  <si>
    <t>【公共下水道整備費】</t>
    <rPh sb="1" eb="3">
      <t>コウキョウ</t>
    </rPh>
    <rPh sb="3" eb="6">
      <t>ゲスイドウ</t>
    </rPh>
    <rPh sb="6" eb="8">
      <t>セイビ</t>
    </rPh>
    <rPh sb="8" eb="9">
      <t>ヒ</t>
    </rPh>
    <phoneticPr fontId="2"/>
  </si>
  <si>
    <t>615387588</t>
  </si>
  <si>
    <t>6153875</t>
  </si>
  <si>
    <t>615387587</t>
  </si>
  <si>
    <t>615387586</t>
  </si>
  <si>
    <t>615387585</t>
  </si>
  <si>
    <t>615387584</t>
  </si>
  <si>
    <t>615387583</t>
  </si>
  <si>
    <t>6153874</t>
  </si>
  <si>
    <t>6153873</t>
  </si>
  <si>
    <t>6153872</t>
  </si>
  <si>
    <t>6153871</t>
  </si>
  <si>
    <t>6153870</t>
  </si>
  <si>
    <t>6153869</t>
  </si>
  <si>
    <t>6153865</t>
  </si>
  <si>
    <t>6153840</t>
  </si>
  <si>
    <t>6153839</t>
  </si>
  <si>
    <t>6153837</t>
  </si>
  <si>
    <t>6153831</t>
  </si>
  <si>
    <t>6153824</t>
  </si>
  <si>
    <t>6153823</t>
  </si>
  <si>
    <t>6153821</t>
  </si>
  <si>
    <t>6153820</t>
  </si>
  <si>
    <t>6153819</t>
  </si>
  <si>
    <t>6153817</t>
  </si>
  <si>
    <t>6153815</t>
  </si>
  <si>
    <t>6153814</t>
  </si>
  <si>
    <t>6153813</t>
  </si>
  <si>
    <t>615381002</t>
  </si>
  <si>
    <t>6153810</t>
  </si>
  <si>
    <t>615381001</t>
  </si>
  <si>
    <t>6153808</t>
  </si>
  <si>
    <t>6153807</t>
  </si>
  <si>
    <t>6153805</t>
  </si>
  <si>
    <t>6153804</t>
  </si>
  <si>
    <t>6153803</t>
  </si>
  <si>
    <t>6153802</t>
  </si>
  <si>
    <t>6153801</t>
  </si>
  <si>
    <t>【受益者負担金業務費】</t>
    <rPh sb="1" eb="10">
      <t>ジュエキシャ</t>
    </rPh>
    <rPh sb="9" eb="10">
      <t>ヒ</t>
    </rPh>
    <phoneticPr fontId="2"/>
  </si>
  <si>
    <t>615427588</t>
  </si>
  <si>
    <t>6154275</t>
  </si>
  <si>
    <t>615427587</t>
  </si>
  <si>
    <t>615427586</t>
  </si>
  <si>
    <t>615427585</t>
  </si>
  <si>
    <t>615427584</t>
  </si>
  <si>
    <t>615427583</t>
  </si>
  <si>
    <t>6154274</t>
  </si>
  <si>
    <t>6154273</t>
  </si>
  <si>
    <t>6154272</t>
  </si>
  <si>
    <t>6154271</t>
  </si>
  <si>
    <t>6154270</t>
  </si>
  <si>
    <t>6154269</t>
  </si>
  <si>
    <t>6154265</t>
  </si>
  <si>
    <t>6154240</t>
  </si>
  <si>
    <t>6154239</t>
  </si>
  <si>
    <t>6154237</t>
  </si>
  <si>
    <t>6154231</t>
  </si>
  <si>
    <t>6154224</t>
  </si>
  <si>
    <t>6154223</t>
  </si>
  <si>
    <t>6154221</t>
  </si>
  <si>
    <t>6154220</t>
  </si>
  <si>
    <t>6154219</t>
  </si>
  <si>
    <t>6154217</t>
  </si>
  <si>
    <t>6154215</t>
  </si>
  <si>
    <t>6154214</t>
  </si>
  <si>
    <t>6154213</t>
  </si>
  <si>
    <t>615421002</t>
  </si>
  <si>
    <t>6154210</t>
  </si>
  <si>
    <t>615421001</t>
  </si>
  <si>
    <t>6154208</t>
  </si>
  <si>
    <t>6154207</t>
  </si>
  <si>
    <t>6154205</t>
  </si>
  <si>
    <t>6154204</t>
  </si>
  <si>
    <t>6154203</t>
  </si>
  <si>
    <t>6154202</t>
  </si>
  <si>
    <t>6154201</t>
  </si>
  <si>
    <t>【排水設備整備費】</t>
    <rPh sb="1" eb="8">
      <t>ハイスイ</t>
    </rPh>
    <phoneticPr fontId="2"/>
  </si>
  <si>
    <t>615467588</t>
  </si>
  <si>
    <t>6154675</t>
  </si>
  <si>
    <t>615467587</t>
  </si>
  <si>
    <t>615467586</t>
  </si>
  <si>
    <t>615467585</t>
  </si>
  <si>
    <t>615467584</t>
  </si>
  <si>
    <t>615467583</t>
  </si>
  <si>
    <t>6154674</t>
  </si>
  <si>
    <t>6154673</t>
  </si>
  <si>
    <t>6154672</t>
  </si>
  <si>
    <t>6154671</t>
  </si>
  <si>
    <t>6154670</t>
  </si>
  <si>
    <t>6154669</t>
  </si>
  <si>
    <t>6154665</t>
  </si>
  <si>
    <t>6154640</t>
  </si>
  <si>
    <t>6154639</t>
  </si>
  <si>
    <t>6154637</t>
  </si>
  <si>
    <t>6154631</t>
  </si>
  <si>
    <t>6154624</t>
  </si>
  <si>
    <t>6154623</t>
  </si>
  <si>
    <t>6154621</t>
  </si>
  <si>
    <t>6154620</t>
  </si>
  <si>
    <t>6154619</t>
  </si>
  <si>
    <t>6154617</t>
  </si>
  <si>
    <t>6154615</t>
  </si>
  <si>
    <t>6154614</t>
  </si>
  <si>
    <t>6154613</t>
  </si>
  <si>
    <t>615461002</t>
  </si>
  <si>
    <t>6154610</t>
  </si>
  <si>
    <t>615461001</t>
  </si>
  <si>
    <t>6154608</t>
  </si>
  <si>
    <t>6154607</t>
  </si>
  <si>
    <t>6154605</t>
  </si>
  <si>
    <t>6154604</t>
  </si>
  <si>
    <t>6154603</t>
  </si>
  <si>
    <t>6154602</t>
  </si>
  <si>
    <t>6154601</t>
  </si>
  <si>
    <t>【都市下水路整備費】</t>
    <rPh sb="1" eb="3">
      <t>トシ</t>
    </rPh>
    <rPh sb="3" eb="5">
      <t>ゲスイ</t>
    </rPh>
    <rPh sb="5" eb="6">
      <t>ロ</t>
    </rPh>
    <rPh sb="6" eb="8">
      <t>セイビ</t>
    </rPh>
    <rPh sb="8" eb="9">
      <t>ヒ</t>
    </rPh>
    <phoneticPr fontId="2"/>
  </si>
  <si>
    <t>615477588</t>
  </si>
  <si>
    <t>6154775</t>
  </si>
  <si>
    <t>615477587</t>
  </si>
  <si>
    <t>615477586</t>
  </si>
  <si>
    <t>615477585</t>
  </si>
  <si>
    <t>615477584</t>
  </si>
  <si>
    <t>615477583</t>
  </si>
  <si>
    <t>6154774</t>
  </si>
  <si>
    <t>6154773</t>
  </si>
  <si>
    <t>6154772</t>
  </si>
  <si>
    <t>6154771</t>
  </si>
  <si>
    <t>6154770</t>
  </si>
  <si>
    <t>6154769</t>
  </si>
  <si>
    <t>6154765</t>
  </si>
  <si>
    <t>6154740</t>
  </si>
  <si>
    <t>6154739</t>
  </si>
  <si>
    <t>6154737</t>
  </si>
  <si>
    <t>6154731</t>
  </si>
  <si>
    <t>6154724</t>
  </si>
  <si>
    <t>6154723</t>
  </si>
  <si>
    <t>6154721</t>
  </si>
  <si>
    <t>6154720</t>
  </si>
  <si>
    <t>6154719</t>
  </si>
  <si>
    <t>6154717</t>
  </si>
  <si>
    <t>6154715</t>
  </si>
  <si>
    <t>6154714</t>
  </si>
  <si>
    <t>6154713</t>
  </si>
  <si>
    <t>615471002</t>
  </si>
  <si>
    <t>6154710</t>
  </si>
  <si>
    <t>615471001</t>
  </si>
  <si>
    <t>6154708</t>
  </si>
  <si>
    <t>6154707</t>
  </si>
  <si>
    <t>6154705</t>
  </si>
  <si>
    <t>6154704</t>
  </si>
  <si>
    <t>6154703</t>
  </si>
  <si>
    <t>6154702</t>
  </si>
  <si>
    <t>6154701</t>
  </si>
  <si>
    <t>【流域下水道整備費】</t>
    <rPh sb="1" eb="3">
      <t>リュウイキ</t>
    </rPh>
    <rPh sb="3" eb="5">
      <t>ゲスイ</t>
    </rPh>
    <rPh sb="5" eb="6">
      <t>ドウ</t>
    </rPh>
    <rPh sb="6" eb="8">
      <t>セイビ</t>
    </rPh>
    <rPh sb="8" eb="9">
      <t>ヒ</t>
    </rPh>
    <phoneticPr fontId="2"/>
  </si>
  <si>
    <t>615507588</t>
  </si>
  <si>
    <t>6155075</t>
  </si>
  <si>
    <t>615507587</t>
  </si>
  <si>
    <t>615507586</t>
  </si>
  <si>
    <t>615507585</t>
  </si>
  <si>
    <t>615507584</t>
  </si>
  <si>
    <t>615507583</t>
  </si>
  <si>
    <t>6155074</t>
  </si>
  <si>
    <t>6155073</t>
  </si>
  <si>
    <t>6155072</t>
  </si>
  <si>
    <t>6155071</t>
  </si>
  <si>
    <t>6155070</t>
  </si>
  <si>
    <t>6155069</t>
  </si>
  <si>
    <t>6155065</t>
  </si>
  <si>
    <t>6155040</t>
  </si>
  <si>
    <t>6155039</t>
  </si>
  <si>
    <t>6155037</t>
  </si>
  <si>
    <t>6155031</t>
  </si>
  <si>
    <t>6155024</t>
  </si>
  <si>
    <t>6155023</t>
  </si>
  <si>
    <t>6155021</t>
  </si>
  <si>
    <t>6155020</t>
  </si>
  <si>
    <t>6155019</t>
  </si>
  <si>
    <t>6155017</t>
  </si>
  <si>
    <t>6155015</t>
  </si>
  <si>
    <t>6155014</t>
  </si>
  <si>
    <t>6155013</t>
  </si>
  <si>
    <t>615501002</t>
  </si>
  <si>
    <t>6155010</t>
  </si>
  <si>
    <t>615501001</t>
  </si>
  <si>
    <t>6155008</t>
  </si>
  <si>
    <t>6155007</t>
  </si>
  <si>
    <t>6155005</t>
  </si>
  <si>
    <t>6155004</t>
  </si>
  <si>
    <t>6155003</t>
  </si>
  <si>
    <t>6155002</t>
  </si>
  <si>
    <t>6155001</t>
  </si>
  <si>
    <t>【諸設備新設改良費（公共）】</t>
    <rPh sb="1" eb="9">
      <t>ショシン</t>
    </rPh>
    <rPh sb="10" eb="12">
      <t>コウキョウ</t>
    </rPh>
    <phoneticPr fontId="2"/>
  </si>
  <si>
    <t>【諸設備新設改良費（特環）】</t>
    <rPh sb="1" eb="9">
      <t>ショシン</t>
    </rPh>
    <rPh sb="10" eb="12">
      <t>トッカン</t>
    </rPh>
    <phoneticPr fontId="2"/>
  </si>
  <si>
    <t>【諸設備新設改良費（農集）】</t>
    <rPh sb="1" eb="9">
      <t>ショシン</t>
    </rPh>
    <rPh sb="10" eb="12">
      <t>ノウシュウ</t>
    </rPh>
    <phoneticPr fontId="2"/>
  </si>
  <si>
    <t>建設利息</t>
    <rPh sb="0" eb="2">
      <t>ケンセツ</t>
    </rPh>
    <rPh sb="2" eb="4">
      <t>リソク</t>
    </rPh>
    <phoneticPr fontId="2"/>
  </si>
  <si>
    <t>6155277</t>
  </si>
  <si>
    <t>【建設利息】</t>
    <rPh sb="1" eb="3">
      <t>ケンセツ</t>
    </rPh>
    <rPh sb="3" eb="5">
      <t>リソク</t>
    </rPh>
    <phoneticPr fontId="2"/>
  </si>
  <si>
    <t>615537588</t>
  </si>
  <si>
    <t>6155375</t>
  </si>
  <si>
    <t>615537587</t>
  </si>
  <si>
    <t>615537586</t>
  </si>
  <si>
    <t>615537585</t>
  </si>
  <si>
    <t>615537584</t>
  </si>
  <si>
    <t>615537583</t>
  </si>
  <si>
    <t>6155374</t>
  </si>
  <si>
    <t>6155373</t>
  </si>
  <si>
    <t>6155372</t>
  </si>
  <si>
    <t>6155371</t>
  </si>
  <si>
    <t>6155370</t>
  </si>
  <si>
    <t>6155369</t>
  </si>
  <si>
    <t>6155365</t>
  </si>
  <si>
    <t>6155340</t>
  </si>
  <si>
    <t>6155339</t>
  </si>
  <si>
    <t>6155337</t>
  </si>
  <si>
    <t>6155331</t>
  </si>
  <si>
    <t>6155324</t>
  </si>
  <si>
    <t>6155323</t>
  </si>
  <si>
    <t>6155321</t>
  </si>
  <si>
    <t>6155320</t>
  </si>
  <si>
    <t>6155319</t>
  </si>
  <si>
    <t>6155317</t>
  </si>
  <si>
    <t>6155315</t>
  </si>
  <si>
    <t>6155314</t>
  </si>
  <si>
    <t>6155313</t>
  </si>
  <si>
    <t>615531002</t>
  </si>
  <si>
    <t>6155310</t>
  </si>
  <si>
    <t>615531001</t>
  </si>
  <si>
    <t>6155308</t>
  </si>
  <si>
    <t>6155307</t>
  </si>
  <si>
    <t>6155305</t>
  </si>
  <si>
    <t>6155304</t>
  </si>
  <si>
    <t>6155303</t>
  </si>
  <si>
    <t>6155302</t>
  </si>
  <si>
    <t>6155301</t>
  </si>
  <si>
    <t>【市街化区域外汚水処理施設整備費（特環）】</t>
    <rPh sb="1" eb="16">
      <t>クイキガイ</t>
    </rPh>
    <rPh sb="17" eb="19">
      <t>トッカン</t>
    </rPh>
    <phoneticPr fontId="2"/>
  </si>
  <si>
    <t>【市街化区域外汚水処理施設整備費（農集）】</t>
    <rPh sb="1" eb="16">
      <t>クイキガイ</t>
    </rPh>
    <rPh sb="17" eb="19">
      <t>ノウシュウ</t>
    </rPh>
    <phoneticPr fontId="2"/>
  </si>
  <si>
    <t>【市街化区域外汚水処理施設整備費（浄化槽）】</t>
    <rPh sb="1" eb="16">
      <t>クイキガイ</t>
    </rPh>
    <rPh sb="17" eb="20">
      <t>ジョウカソウ</t>
    </rPh>
    <phoneticPr fontId="2"/>
  </si>
  <si>
    <t>企業債償還積立金</t>
  </si>
  <si>
    <t>6160202</t>
  </si>
  <si>
    <t>6160101</t>
  </si>
  <si>
    <t>【企業債償還金】</t>
    <rPh sb="1" eb="3">
      <t>キギョウ</t>
    </rPh>
    <rPh sb="3" eb="4">
      <t>サイ</t>
    </rPh>
    <rPh sb="4" eb="7">
      <t>ショウカンキン</t>
    </rPh>
    <phoneticPr fontId="2"/>
  </si>
  <si>
    <t>一般会計借入金償還金</t>
  </si>
  <si>
    <t>貸付資金企業債償還金</t>
  </si>
  <si>
    <t>　浄化槽</t>
    <rPh sb="1" eb="4">
      <t>ジョウカソウ</t>
    </rPh>
    <phoneticPr fontId="2"/>
  </si>
  <si>
    <t>　農集</t>
    <rPh sb="1" eb="3">
      <t>ノウシュウ</t>
    </rPh>
    <phoneticPr fontId="2"/>
  </si>
  <si>
    <t>　特環</t>
    <rPh sb="1" eb="3">
      <t>トッカン</t>
    </rPh>
    <phoneticPr fontId="2"/>
  </si>
  <si>
    <t>　公共</t>
    <rPh sb="1" eb="3">
      <t>コウキョウ</t>
    </rPh>
    <phoneticPr fontId="2"/>
  </si>
  <si>
    <t>排水設備改修資金貸付金</t>
    <phoneticPr fontId="2"/>
  </si>
  <si>
    <t>し尿浄化槽廃止資金貸付金</t>
    <phoneticPr fontId="2"/>
  </si>
  <si>
    <t>水洗便所改造資金貸付金</t>
    <phoneticPr fontId="2"/>
  </si>
  <si>
    <t>貸付金　計</t>
    <rPh sb="0" eb="2">
      <t>カシツケ</t>
    </rPh>
    <rPh sb="2" eb="3">
      <t>キン</t>
    </rPh>
    <rPh sb="4" eb="5">
      <t>ケイ</t>
    </rPh>
    <phoneticPr fontId="2"/>
  </si>
  <si>
    <t>【水洗化貸付事業費】</t>
    <rPh sb="1" eb="4">
      <t>スイセンカ</t>
    </rPh>
    <rPh sb="4" eb="6">
      <t>カシツケ</t>
    </rPh>
    <rPh sb="6" eb="8">
      <t>ジギョウ</t>
    </rPh>
    <rPh sb="8" eb="9">
      <t>ヒ</t>
    </rPh>
    <phoneticPr fontId="2"/>
  </si>
  <si>
    <t>国庫補助金返還金</t>
  </si>
  <si>
    <t>【返還金】</t>
    <rPh sb="1" eb="4">
      <t>ヘンカンキン</t>
    </rPh>
    <phoneticPr fontId="2"/>
  </si>
  <si>
    <t>水洗借入金償還金（特環）</t>
    <rPh sb="9" eb="11">
      <t>トッカン</t>
    </rPh>
    <phoneticPr fontId="2"/>
  </si>
  <si>
    <t>し尿借入金償還金（特環）</t>
    <phoneticPr fontId="2"/>
  </si>
  <si>
    <t>排水借入金償還金（特環）</t>
    <rPh sb="9" eb="11">
      <t>トッカン</t>
    </rPh>
    <phoneticPr fontId="2"/>
  </si>
  <si>
    <t>水洗借入金償還金（農集）</t>
    <rPh sb="9" eb="11">
      <t>ノウシュウ</t>
    </rPh>
    <phoneticPr fontId="2"/>
  </si>
  <si>
    <t>し尿借入金償還金（農集）</t>
    <phoneticPr fontId="2"/>
  </si>
  <si>
    <t>排水借入金償還金（農集）</t>
    <phoneticPr fontId="2"/>
  </si>
  <si>
    <t>水洗借入金償還金（浄化槽）</t>
    <rPh sb="9" eb="12">
      <t>ジョウカソウ</t>
    </rPh>
    <phoneticPr fontId="2"/>
  </si>
  <si>
    <t>し尿借入金償還金（浄化槽）</t>
    <phoneticPr fontId="2"/>
  </si>
  <si>
    <t>排水借入金償還金（浄化槽）</t>
    <rPh sb="9" eb="12">
      <t>ジョウカソウ</t>
    </rPh>
    <phoneticPr fontId="2"/>
  </si>
  <si>
    <t>　　公共</t>
    <rPh sb="2" eb="4">
      <t>コウキョウ</t>
    </rPh>
    <phoneticPr fontId="2"/>
  </si>
  <si>
    <t>　　特環</t>
    <rPh sb="2" eb="4">
      <t>トッカン</t>
    </rPh>
    <phoneticPr fontId="2"/>
  </si>
  <si>
    <t>　　農集</t>
    <rPh sb="2" eb="4">
      <t>ノウシュウ</t>
    </rPh>
    <phoneticPr fontId="2"/>
  </si>
  <si>
    <t>　　浄化槽</t>
    <rPh sb="2" eb="5">
      <t>ジョウカソウ</t>
    </rPh>
    <phoneticPr fontId="2"/>
  </si>
  <si>
    <t>災害復旧事業債償還金</t>
    <rPh sb="0" eb="2">
      <t>サイガイ</t>
    </rPh>
    <rPh sb="2" eb="4">
      <t>フッキュウ</t>
    </rPh>
    <rPh sb="4" eb="6">
      <t>ジギョウ</t>
    </rPh>
    <rPh sb="6" eb="7">
      <t>サイ</t>
    </rPh>
    <phoneticPr fontId="2"/>
  </si>
  <si>
    <t>費用弁償</t>
    <rPh sb="0" eb="4">
      <t>ヒヨウベンショウ</t>
    </rPh>
    <phoneticPr fontId="2"/>
  </si>
  <si>
    <t>費用弁償</t>
    <rPh sb="0" eb="4">
      <t>ヒヨウベンショウ</t>
    </rPh>
    <phoneticPr fontId="2"/>
  </si>
  <si>
    <t>総額検算</t>
    <rPh sb="0" eb="2">
      <t>ソウガク</t>
    </rPh>
    <rPh sb="2" eb="4">
      <t>ケンザン</t>
    </rPh>
    <phoneticPr fontId="2"/>
  </si>
  <si>
    <t>計</t>
    <rPh sb="0" eb="1">
      <t>ケイ</t>
    </rPh>
    <phoneticPr fontId="2"/>
  </si>
  <si>
    <t xml:space="preserve"> その他資本的収入</t>
    <rPh sb="3" eb="4">
      <t>タ</t>
    </rPh>
    <rPh sb="4" eb="7">
      <t>シホンテキ</t>
    </rPh>
    <rPh sb="7" eb="9">
      <t>シュウニュウ</t>
    </rPh>
    <phoneticPr fontId="2"/>
  </si>
  <si>
    <t>その他資本的収入</t>
    <rPh sb="3" eb="6">
      <t>シホンテキ</t>
    </rPh>
    <rPh sb="6" eb="8">
      <t>シュウニュウ</t>
    </rPh>
    <phoneticPr fontId="2"/>
  </si>
  <si>
    <t xml:space="preserve"> 土地売却代金</t>
    <rPh sb="1" eb="3">
      <t>トチ</t>
    </rPh>
    <rPh sb="3" eb="5">
      <t>バイキャク</t>
    </rPh>
    <rPh sb="5" eb="7">
      <t>ダイキン</t>
    </rPh>
    <phoneticPr fontId="2"/>
  </si>
  <si>
    <t>固定資産売却代金</t>
    <rPh sb="6" eb="8">
      <t>ダイキン</t>
    </rPh>
    <phoneticPr fontId="2"/>
  </si>
  <si>
    <t>　 浄化槽</t>
    <rPh sb="2" eb="5">
      <t>ジョウカソウ</t>
    </rPh>
    <phoneticPr fontId="2"/>
  </si>
  <si>
    <t>　 農集</t>
    <rPh sb="2" eb="4">
      <t>ノウシュウ</t>
    </rPh>
    <phoneticPr fontId="2"/>
  </si>
  <si>
    <t>　 特環</t>
    <rPh sb="2" eb="4">
      <t>トッカン</t>
    </rPh>
    <phoneticPr fontId="2"/>
  </si>
  <si>
    <t>　 公共</t>
    <rPh sb="2" eb="4">
      <t>コウキョウ</t>
    </rPh>
    <phoneticPr fontId="2"/>
  </si>
  <si>
    <t>　排水設備改修資金貸付回収金</t>
    <phoneticPr fontId="2"/>
  </si>
  <si>
    <t>　し尿浄化槽廃止資金貸付回収金</t>
    <phoneticPr fontId="2"/>
  </si>
  <si>
    <t>　水洗便所改造資金貸付回収金</t>
    <phoneticPr fontId="2"/>
  </si>
  <si>
    <t xml:space="preserve"> 貸付金回収金</t>
    <rPh sb="1" eb="3">
      <t>カシツケ</t>
    </rPh>
    <rPh sb="3" eb="4">
      <t>キン</t>
    </rPh>
    <rPh sb="4" eb="6">
      <t>カイシュウ</t>
    </rPh>
    <rPh sb="6" eb="7">
      <t>キン</t>
    </rPh>
    <phoneticPr fontId="2"/>
  </si>
  <si>
    <t>　排水設備改造貸付借入金</t>
    <phoneticPr fontId="2"/>
  </si>
  <si>
    <t>　し尿浄化槽廃止貸付借入金</t>
    <phoneticPr fontId="2"/>
  </si>
  <si>
    <t xml:space="preserve">  水洗便所貸付借入金</t>
    <phoneticPr fontId="2"/>
  </si>
  <si>
    <t xml:space="preserve"> 一般会計借入金</t>
    <rPh sb="1" eb="3">
      <t>イッパン</t>
    </rPh>
    <rPh sb="3" eb="5">
      <t>カイケイ</t>
    </rPh>
    <rPh sb="5" eb="7">
      <t>カリイレ</t>
    </rPh>
    <rPh sb="7" eb="8">
      <t>キン</t>
    </rPh>
    <phoneticPr fontId="2"/>
  </si>
  <si>
    <t>　水洗便所貸付事業債</t>
    <rPh sb="1" eb="3">
      <t>スイセン</t>
    </rPh>
    <rPh sb="3" eb="4">
      <t>ベン</t>
    </rPh>
    <rPh sb="4" eb="5">
      <t>ショ</t>
    </rPh>
    <rPh sb="5" eb="7">
      <t>カシツケ</t>
    </rPh>
    <rPh sb="7" eb="9">
      <t>ジギョウ</t>
    </rPh>
    <rPh sb="9" eb="10">
      <t>サイ</t>
    </rPh>
    <phoneticPr fontId="2"/>
  </si>
  <si>
    <t xml:space="preserve"> 貸付企業債</t>
    <rPh sb="3" eb="5">
      <t>キギョウ</t>
    </rPh>
    <rPh sb="5" eb="6">
      <t>サイ</t>
    </rPh>
    <phoneticPr fontId="2"/>
  </si>
  <si>
    <t>水洗化貸付事業収入</t>
    <rPh sb="0" eb="3">
      <t>スイセンカ</t>
    </rPh>
    <rPh sb="3" eb="5">
      <t>カシツケ</t>
    </rPh>
    <rPh sb="5" eb="7">
      <t>ジギョウ</t>
    </rPh>
    <rPh sb="7" eb="9">
      <t>シュウニュウ</t>
    </rPh>
    <phoneticPr fontId="2"/>
  </si>
  <si>
    <t xml:space="preserve"> 工事負担金</t>
    <rPh sb="1" eb="3">
      <t>コウジ</t>
    </rPh>
    <rPh sb="3" eb="6">
      <t>フタンキン</t>
    </rPh>
    <phoneticPr fontId="2"/>
  </si>
  <si>
    <t>　受益者分担金</t>
    <rPh sb="1" eb="7">
      <t>ジュエキシャ</t>
    </rPh>
    <phoneticPr fontId="2"/>
  </si>
  <si>
    <t xml:space="preserve"> 受益者分担金</t>
    <rPh sb="1" eb="7">
      <t>ジュエキシャ</t>
    </rPh>
    <phoneticPr fontId="2"/>
  </si>
  <si>
    <t>　受益者負担金</t>
    <rPh sb="1" eb="7">
      <t>ジュエキシャ</t>
    </rPh>
    <phoneticPr fontId="2"/>
  </si>
  <si>
    <t xml:space="preserve"> 受益者負担金</t>
    <rPh sb="1" eb="7">
      <t>ジュエキシャ</t>
    </rPh>
    <phoneticPr fontId="2"/>
  </si>
  <si>
    <t>負担金</t>
    <rPh sb="0" eb="3">
      <t>フタンキン</t>
    </rPh>
    <phoneticPr fontId="2"/>
  </si>
  <si>
    <t xml:space="preserve"> 工事受託金</t>
    <rPh sb="1" eb="3">
      <t>コウジ</t>
    </rPh>
    <rPh sb="3" eb="5">
      <t>ジュタク</t>
    </rPh>
    <rPh sb="5" eb="6">
      <t>キン</t>
    </rPh>
    <phoneticPr fontId="2"/>
  </si>
  <si>
    <t>工事受託金</t>
    <rPh sb="0" eb="2">
      <t>コウジ</t>
    </rPh>
    <rPh sb="2" eb="4">
      <t>ジュタク</t>
    </rPh>
    <rPh sb="4" eb="5">
      <t>キン</t>
    </rPh>
    <phoneticPr fontId="2"/>
  </si>
  <si>
    <t xml:space="preserve"> 県補助金</t>
    <rPh sb="1" eb="2">
      <t>ケン</t>
    </rPh>
    <rPh sb="2" eb="5">
      <t>ホジョキン</t>
    </rPh>
    <phoneticPr fontId="2"/>
  </si>
  <si>
    <t>県補助金</t>
    <rPh sb="0" eb="1">
      <t>ケン</t>
    </rPh>
    <rPh sb="1" eb="4">
      <t>ホジョキン</t>
    </rPh>
    <phoneticPr fontId="2"/>
  </si>
  <si>
    <t>　その他国庫補助金</t>
    <rPh sb="4" eb="6">
      <t>コッコ</t>
    </rPh>
    <rPh sb="6" eb="9">
      <t>ホジョキン</t>
    </rPh>
    <phoneticPr fontId="2"/>
  </si>
  <si>
    <t>　公共下水道事整備国庫補助金</t>
    <rPh sb="1" eb="3">
      <t>コウキョウ</t>
    </rPh>
    <rPh sb="3" eb="6">
      <t>ゲスイドウ</t>
    </rPh>
    <rPh sb="6" eb="7">
      <t>コト</t>
    </rPh>
    <rPh sb="7" eb="9">
      <t>セイビ</t>
    </rPh>
    <rPh sb="9" eb="11">
      <t>コッコ</t>
    </rPh>
    <rPh sb="11" eb="14">
      <t>ホジョキン</t>
    </rPh>
    <phoneticPr fontId="2"/>
  </si>
  <si>
    <t xml:space="preserve"> 国庫補助金</t>
    <rPh sb="1" eb="3">
      <t>コッコ</t>
    </rPh>
    <rPh sb="3" eb="6">
      <t>ホジョキン</t>
    </rPh>
    <phoneticPr fontId="2"/>
  </si>
  <si>
    <t>国庫補助金</t>
    <rPh sb="0" eb="2">
      <t>コッコ</t>
    </rPh>
    <rPh sb="2" eb="5">
      <t>ホジョキン</t>
    </rPh>
    <phoneticPr fontId="2"/>
  </si>
  <si>
    <t xml:space="preserve"> 下水道建設費出資金</t>
    <rPh sb="1" eb="4">
      <t>ゲスイドウ</t>
    </rPh>
    <rPh sb="4" eb="6">
      <t>ケンセツ</t>
    </rPh>
    <rPh sb="6" eb="7">
      <t>ヒ</t>
    </rPh>
    <rPh sb="7" eb="10">
      <t>シュッシキン</t>
    </rPh>
    <phoneticPr fontId="2"/>
  </si>
  <si>
    <t>一般会計出資金</t>
    <rPh sb="0" eb="2">
      <t>イッパン</t>
    </rPh>
    <rPh sb="2" eb="4">
      <t>カイケイ</t>
    </rPh>
    <rPh sb="4" eb="7">
      <t>シュッシキン</t>
    </rPh>
    <phoneticPr fontId="2"/>
  </si>
  <si>
    <t xml:space="preserve"> 出資債</t>
    <rPh sb="1" eb="3">
      <t>シュッシ</t>
    </rPh>
    <rPh sb="3" eb="4">
      <t>サイ</t>
    </rPh>
    <phoneticPr fontId="2"/>
  </si>
  <si>
    <t>　公共下水道事業借換債</t>
    <rPh sb="1" eb="3">
      <t>コウキョウ</t>
    </rPh>
    <rPh sb="3" eb="6">
      <t>ゲスイドウ</t>
    </rPh>
    <rPh sb="6" eb="8">
      <t>ジギョウ</t>
    </rPh>
    <rPh sb="8" eb="10">
      <t>カリカエ</t>
    </rPh>
    <rPh sb="10" eb="11">
      <t>サイ</t>
    </rPh>
    <phoneticPr fontId="2"/>
  </si>
  <si>
    <t xml:space="preserve"> 公共下水道事業借換債</t>
    <rPh sb="1" eb="3">
      <t>コウキョウ</t>
    </rPh>
    <rPh sb="3" eb="6">
      <t>ゲスイドウ</t>
    </rPh>
    <rPh sb="6" eb="8">
      <t>ジギョウ</t>
    </rPh>
    <rPh sb="8" eb="10">
      <t>カリカエ</t>
    </rPh>
    <rPh sb="10" eb="11">
      <t>サイ</t>
    </rPh>
    <phoneticPr fontId="2"/>
  </si>
  <si>
    <t>　資本費平準化債</t>
    <rPh sb="1" eb="3">
      <t>シホン</t>
    </rPh>
    <rPh sb="3" eb="4">
      <t>ヒ</t>
    </rPh>
    <rPh sb="4" eb="7">
      <t>ヘイジュンカ</t>
    </rPh>
    <rPh sb="7" eb="8">
      <t>サイ</t>
    </rPh>
    <phoneticPr fontId="2"/>
  </si>
  <si>
    <t>　流域下水道事業債</t>
    <rPh sb="1" eb="3">
      <t>リュウイキ</t>
    </rPh>
    <rPh sb="3" eb="6">
      <t>ゲスイドウ</t>
    </rPh>
    <rPh sb="6" eb="8">
      <t>ジギョウ</t>
    </rPh>
    <rPh sb="8" eb="9">
      <t>サイ</t>
    </rPh>
    <phoneticPr fontId="2"/>
  </si>
  <si>
    <t>　市街化区域外事業債</t>
    <rPh sb="1" eb="4">
      <t>シガイカ</t>
    </rPh>
    <rPh sb="4" eb="7">
      <t>クイキガイ</t>
    </rPh>
    <rPh sb="7" eb="9">
      <t>ジギョウ</t>
    </rPh>
    <rPh sb="9" eb="10">
      <t>サイ</t>
    </rPh>
    <phoneticPr fontId="2"/>
  </si>
  <si>
    <t>　 特別債</t>
    <rPh sb="2" eb="4">
      <t>トクベツ</t>
    </rPh>
    <rPh sb="4" eb="5">
      <t>サイ</t>
    </rPh>
    <phoneticPr fontId="2"/>
  </si>
  <si>
    <t>　 一般債</t>
    <rPh sb="2" eb="4">
      <t>イッパン</t>
    </rPh>
    <rPh sb="4" eb="5">
      <t>サイ</t>
    </rPh>
    <phoneticPr fontId="2"/>
  </si>
  <si>
    <t>　公共下水道事業債</t>
    <rPh sb="1" eb="3">
      <t>コウキョウ</t>
    </rPh>
    <rPh sb="3" eb="6">
      <t>ゲスイドウ</t>
    </rPh>
    <rPh sb="6" eb="8">
      <t>ジギョウ</t>
    </rPh>
    <rPh sb="8" eb="9">
      <t>サイ</t>
    </rPh>
    <phoneticPr fontId="2"/>
  </si>
  <si>
    <t xml:space="preserve"> 建設企業債</t>
    <rPh sb="1" eb="3">
      <t>ケンセツ</t>
    </rPh>
    <rPh sb="3" eb="5">
      <t>キギョウ</t>
    </rPh>
    <rPh sb="5" eb="6">
      <t>サイ</t>
    </rPh>
    <phoneticPr fontId="2"/>
  </si>
  <si>
    <t>企業債</t>
    <rPh sb="0" eb="2">
      <t>キギョウ</t>
    </rPh>
    <rPh sb="2" eb="3">
      <t>サイ</t>
    </rPh>
    <phoneticPr fontId="2"/>
  </si>
  <si>
    <t>計</t>
  </si>
  <si>
    <t>消費税　調整額</t>
    <rPh sb="0" eb="3">
      <t>ショウヒゼイ</t>
    </rPh>
    <rPh sb="4" eb="6">
      <t>チョウセイ</t>
    </rPh>
    <rPh sb="6" eb="7">
      <t>ガク</t>
    </rPh>
    <phoneticPr fontId="2"/>
  </si>
  <si>
    <t>消費税端数調整ランク</t>
    <rPh sb="0" eb="3">
      <t>ショウヒゼイ</t>
    </rPh>
    <rPh sb="3" eb="5">
      <t>ハスウ</t>
    </rPh>
    <rPh sb="5" eb="7">
      <t>チョウセイ</t>
    </rPh>
    <phoneticPr fontId="2"/>
  </si>
  <si>
    <t>消費税　端数確認</t>
    <rPh sb="0" eb="3">
      <t>ショウヒゼイ</t>
    </rPh>
    <rPh sb="4" eb="6">
      <t>ハスウ</t>
    </rPh>
    <rPh sb="6" eb="8">
      <t>カクニン</t>
    </rPh>
    <phoneticPr fontId="2"/>
  </si>
  <si>
    <t>課税仕入れ等に係る特定収入以外</t>
    <rPh sb="0" eb="2">
      <t>カゼイ</t>
    </rPh>
    <rPh sb="2" eb="4">
      <t>シイ</t>
    </rPh>
    <rPh sb="5" eb="6">
      <t>トウ</t>
    </rPh>
    <rPh sb="7" eb="8">
      <t>カカ</t>
    </rPh>
    <rPh sb="9" eb="11">
      <t>トクテイ</t>
    </rPh>
    <rPh sb="11" eb="13">
      <t>シュウニュウ</t>
    </rPh>
    <rPh sb="13" eb="15">
      <t>イガイ</t>
    </rPh>
    <phoneticPr fontId="2"/>
  </si>
  <si>
    <t>課税仕入れ等に係る特定収入</t>
    <rPh sb="0" eb="2">
      <t>カゼイ</t>
    </rPh>
    <rPh sb="2" eb="4">
      <t>シイ</t>
    </rPh>
    <rPh sb="5" eb="6">
      <t>トウ</t>
    </rPh>
    <rPh sb="7" eb="8">
      <t>カカ</t>
    </rPh>
    <rPh sb="9" eb="11">
      <t>トクテイ</t>
    </rPh>
    <rPh sb="11" eb="13">
      <t>シュウニュウ</t>
    </rPh>
    <phoneticPr fontId="2"/>
  </si>
  <si>
    <t>特定収入以外
の不課税収入</t>
    <rPh sb="0" eb="2">
      <t>トクテイ</t>
    </rPh>
    <rPh sb="2" eb="4">
      <t>シュウニュウ</t>
    </rPh>
    <rPh sb="4" eb="6">
      <t>イガイ</t>
    </rPh>
    <rPh sb="8" eb="9">
      <t>フ</t>
    </rPh>
    <rPh sb="9" eb="11">
      <t>カゼイ</t>
    </rPh>
    <rPh sb="11" eb="13">
      <t>シュウニュウ</t>
    </rPh>
    <phoneticPr fontId="2"/>
  </si>
  <si>
    <t>特定収入</t>
    <rPh sb="0" eb="2">
      <t>トクテイ</t>
    </rPh>
    <rPh sb="2" eb="4">
      <t>シュウニュウ</t>
    </rPh>
    <phoneticPr fontId="2"/>
  </si>
  <si>
    <t>課税支出に係る特定収入に係る消費税の調整</t>
    <rPh sb="0" eb="2">
      <t>カゼイ</t>
    </rPh>
    <rPh sb="2" eb="4">
      <t>シシュツ</t>
    </rPh>
    <rPh sb="5" eb="6">
      <t>カカ</t>
    </rPh>
    <rPh sb="7" eb="9">
      <t>トクテイ</t>
    </rPh>
    <rPh sb="9" eb="11">
      <t>シュウニュウ</t>
    </rPh>
    <rPh sb="12" eb="13">
      <t>カカ</t>
    </rPh>
    <rPh sb="14" eb="17">
      <t>ショウヒゼイ</t>
    </rPh>
    <rPh sb="18" eb="20">
      <t>チョウセイ</t>
    </rPh>
    <phoneticPr fontId="2"/>
  </si>
  <si>
    <t>仮受け消費税の調整</t>
    <rPh sb="0" eb="2">
      <t>カリウ</t>
    </rPh>
    <rPh sb="3" eb="6">
      <t>ショウヒゼイ</t>
    </rPh>
    <rPh sb="7" eb="9">
      <t>チョウセイ</t>
    </rPh>
    <phoneticPr fontId="2"/>
  </si>
  <si>
    <t>税抜決算額</t>
    <rPh sb="0" eb="2">
      <t>ゼイヌキ</t>
    </rPh>
    <rPh sb="2" eb="4">
      <t>ケッサン</t>
    </rPh>
    <rPh sb="4" eb="5">
      <t>ガク</t>
    </rPh>
    <phoneticPr fontId="2"/>
  </si>
  <si>
    <t>特定収入に係る課税仕入れ等に係る消費税額</t>
    <rPh sb="12" eb="13">
      <t>トウ</t>
    </rPh>
    <phoneticPr fontId="2"/>
  </si>
  <si>
    <t>仮受消費税</t>
    <rPh sb="0" eb="2">
      <t>カリウ</t>
    </rPh>
    <rPh sb="2" eb="5">
      <t>ショウヒゼイ</t>
    </rPh>
    <phoneticPr fontId="2"/>
  </si>
  <si>
    <t>不課税収入（資産の譲渡等の対価以外の収入（対価性のない収入））</t>
    <rPh sb="0" eb="1">
      <t>フ</t>
    </rPh>
    <rPh sb="1" eb="3">
      <t>カゼイ</t>
    </rPh>
    <rPh sb="3" eb="5">
      <t>シュウニュウ</t>
    </rPh>
    <rPh sb="6" eb="8">
      <t>シサン</t>
    </rPh>
    <rPh sb="9" eb="11">
      <t>ジョウト</t>
    </rPh>
    <rPh sb="11" eb="12">
      <t>トウ</t>
    </rPh>
    <rPh sb="13" eb="15">
      <t>タイカ</t>
    </rPh>
    <rPh sb="15" eb="17">
      <t>イガイ</t>
    </rPh>
    <rPh sb="18" eb="20">
      <t>シュウニュウ</t>
    </rPh>
    <rPh sb="21" eb="23">
      <t>タイカ</t>
    </rPh>
    <rPh sb="23" eb="24">
      <t>セイ</t>
    </rPh>
    <rPh sb="27" eb="29">
      <t>シュウニュウ</t>
    </rPh>
    <phoneticPr fontId="2"/>
  </si>
  <si>
    <t>課税売上げ</t>
    <rPh sb="0" eb="2">
      <t>カゼイ</t>
    </rPh>
    <rPh sb="2" eb="4">
      <t>ウリアゲ</t>
    </rPh>
    <phoneticPr fontId="2"/>
  </si>
  <si>
    <t>税込決算額</t>
    <rPh sb="0" eb="2">
      <t>ゼイコミ</t>
    </rPh>
    <rPh sb="2" eb="4">
      <t>ケッサン</t>
    </rPh>
    <rPh sb="4" eb="5">
      <t>ガク</t>
    </rPh>
    <phoneticPr fontId="2"/>
  </si>
  <si>
    <t>費目</t>
    <rPh sb="0" eb="2">
      <t>ヒモク</t>
    </rPh>
    <phoneticPr fontId="2"/>
  </si>
  <si>
    <t>細節</t>
    <rPh sb="0" eb="2">
      <t>サイセツ</t>
    </rPh>
    <phoneticPr fontId="2"/>
  </si>
  <si>
    <t>節</t>
    <rPh sb="0" eb="1">
      <t>セツ</t>
    </rPh>
    <phoneticPr fontId="2"/>
  </si>
  <si>
    <t>事業</t>
    <rPh sb="0" eb="2">
      <t>ジギョウ</t>
    </rPh>
    <phoneticPr fontId="2"/>
  </si>
  <si>
    <t>【４条収入内訳】</t>
    <rPh sb="2" eb="3">
      <t>ジョウ</t>
    </rPh>
    <rPh sb="3" eb="5">
      <t>シュウニュウ</t>
    </rPh>
    <rPh sb="5" eb="7">
      <t>ウチワケ</t>
    </rPh>
    <phoneticPr fontId="2"/>
  </si>
  <si>
    <t>非課税
売上げ</t>
    <rPh sb="0" eb="3">
      <t>ヒカゼイ</t>
    </rPh>
    <rPh sb="4" eb="6">
      <t>ウリアゲ</t>
    </rPh>
    <phoneticPr fontId="2"/>
  </si>
  <si>
    <t>免税
売上げ</t>
    <rPh sb="0" eb="2">
      <t>メンゼイ</t>
    </rPh>
    <rPh sb="3" eb="5">
      <t>ウリア</t>
    </rPh>
    <phoneticPr fontId="2"/>
  </si>
  <si>
    <r>
      <t>　</t>
    </r>
    <r>
      <rPr>
        <sz val="9.5"/>
        <rFont val="ＭＳ ゴシック"/>
        <family val="3"/>
        <charset val="128"/>
      </rPr>
      <t>資本費平準化債(拡大分)借換債</t>
    </r>
    <rPh sb="1" eb="3">
      <t>シホン</t>
    </rPh>
    <rPh sb="3" eb="4">
      <t>ヒ</t>
    </rPh>
    <rPh sb="4" eb="7">
      <t>ヘイジュンカ</t>
    </rPh>
    <rPh sb="7" eb="8">
      <t>サイ</t>
    </rPh>
    <rPh sb="9" eb="11">
      <t>カクダイ</t>
    </rPh>
    <rPh sb="11" eb="12">
      <t>ブン</t>
    </rPh>
    <rPh sb="13" eb="16">
      <t>カリカエサイ</t>
    </rPh>
    <phoneticPr fontId="2"/>
  </si>
  <si>
    <r>
      <t>　</t>
    </r>
    <r>
      <rPr>
        <sz val="10"/>
        <rFont val="ＭＳ ゴシック"/>
        <family val="3"/>
        <charset val="128"/>
      </rPr>
      <t>補償金免除繰上償還借換債</t>
    </r>
    <rPh sb="1" eb="4">
      <t>ホショウキン</t>
    </rPh>
    <rPh sb="4" eb="6">
      <t>メンジョ</t>
    </rPh>
    <rPh sb="6" eb="7">
      <t>ク</t>
    </rPh>
    <rPh sb="7" eb="8">
      <t>ア</t>
    </rPh>
    <rPh sb="8" eb="10">
      <t>ショウカン</t>
    </rPh>
    <rPh sb="10" eb="13">
      <t>カリカエサイ</t>
    </rPh>
    <phoneticPr fontId="2"/>
  </si>
  <si>
    <t>　災害復旧事業債</t>
    <phoneticPr fontId="2"/>
  </si>
  <si>
    <t>　公共下水道事整備国庫補助金ほか</t>
    <rPh sb="1" eb="3">
      <t>コウキョウ</t>
    </rPh>
    <rPh sb="3" eb="6">
      <t>ゲスイドウ</t>
    </rPh>
    <rPh sb="6" eb="7">
      <t>コト</t>
    </rPh>
    <rPh sb="7" eb="9">
      <t>セイビ</t>
    </rPh>
    <rPh sb="9" eb="11">
      <t>コッコ</t>
    </rPh>
    <rPh sb="11" eb="14">
      <t>ホジョキン</t>
    </rPh>
    <phoneticPr fontId="2"/>
  </si>
  <si>
    <t>総額検算</t>
    <rPh sb="0" eb="2">
      <t>ソウガク</t>
    </rPh>
    <rPh sb="2" eb="4">
      <t>ケンザン</t>
    </rPh>
    <phoneticPr fontId="3"/>
  </si>
  <si>
    <t>うち、資本費分　計</t>
    <rPh sb="3" eb="5">
      <t>シホン</t>
    </rPh>
    <rPh sb="5" eb="6">
      <t>ヒ</t>
    </rPh>
    <rPh sb="6" eb="7">
      <t>ブン</t>
    </rPh>
    <rPh sb="8" eb="9">
      <t>ケイ</t>
    </rPh>
    <phoneticPr fontId="3"/>
  </si>
  <si>
    <t>資本</t>
    <rPh sb="0" eb="2">
      <t>シホン</t>
    </rPh>
    <phoneticPr fontId="3"/>
  </si>
  <si>
    <t>うち、維持管理費分　計</t>
    <rPh sb="3" eb="5">
      <t>イジ</t>
    </rPh>
    <rPh sb="5" eb="7">
      <t>カンリ</t>
    </rPh>
    <rPh sb="7" eb="8">
      <t>ヒ</t>
    </rPh>
    <rPh sb="8" eb="9">
      <t>ブン</t>
    </rPh>
    <rPh sb="10" eb="11">
      <t>ケイ</t>
    </rPh>
    <phoneticPr fontId="3"/>
  </si>
  <si>
    <t>維持</t>
    <rPh sb="0" eb="2">
      <t>イジ</t>
    </rPh>
    <phoneticPr fontId="3"/>
  </si>
  <si>
    <t>合　計</t>
    <rPh sb="0" eb="1">
      <t>ゴウ</t>
    </rPh>
    <rPh sb="2" eb="3">
      <t>ケイ</t>
    </rPh>
    <phoneticPr fontId="3"/>
  </si>
  <si>
    <t>長期前受金戻入益（減損分）</t>
    <rPh sb="0" eb="8">
      <t>チョウキ</t>
    </rPh>
    <rPh sb="9" eb="11">
      <t>ゲンソン</t>
    </rPh>
    <rPh sb="11" eb="12">
      <t>ブン</t>
    </rPh>
    <phoneticPr fontId="3"/>
  </si>
  <si>
    <t>減損損失</t>
    <rPh sb="0" eb="2">
      <t>ゲンソン</t>
    </rPh>
    <rPh sb="2" eb="4">
      <t>ソンシツ</t>
    </rPh>
    <phoneticPr fontId="3"/>
  </si>
  <si>
    <t>特別</t>
    <rPh sb="0" eb="2">
      <t>トクベツ</t>
    </rPh>
    <phoneticPr fontId="3"/>
  </si>
  <si>
    <t>その他特別利益</t>
    <rPh sb="3" eb="5">
      <t>トクベツ</t>
    </rPh>
    <rPh sb="5" eb="7">
      <t>リエキ</t>
    </rPh>
    <phoneticPr fontId="3"/>
  </si>
  <si>
    <t>その他特別損失</t>
  </si>
  <si>
    <t>過年度損益修正益</t>
    <rPh sb="0" eb="3">
      <t>カネンド</t>
    </rPh>
    <rPh sb="3" eb="5">
      <t>ソンエキ</t>
    </rPh>
    <rPh sb="5" eb="7">
      <t>シュウセイ</t>
    </rPh>
    <rPh sb="7" eb="8">
      <t>エキ</t>
    </rPh>
    <phoneticPr fontId="3"/>
  </si>
  <si>
    <t>過年度損益修正損</t>
    <phoneticPr fontId="3"/>
  </si>
  <si>
    <t>雑支出（控除不可消費税等）資本費分</t>
    <rPh sb="0" eb="1">
      <t>ザツ</t>
    </rPh>
    <rPh sb="1" eb="3">
      <t>シシュツ</t>
    </rPh>
    <rPh sb="4" eb="6">
      <t>コウジョ</t>
    </rPh>
    <rPh sb="6" eb="8">
      <t>フカ</t>
    </rPh>
    <rPh sb="8" eb="11">
      <t>ショウヒゼイ</t>
    </rPh>
    <rPh sb="11" eb="12">
      <t>トウ</t>
    </rPh>
    <rPh sb="13" eb="15">
      <t>シホン</t>
    </rPh>
    <rPh sb="15" eb="16">
      <t>ヒ</t>
    </rPh>
    <rPh sb="16" eb="17">
      <t>ブン</t>
    </rPh>
    <phoneticPr fontId="3"/>
  </si>
  <si>
    <t>営外</t>
    <rPh sb="0" eb="1">
      <t>エイ</t>
    </rPh>
    <rPh sb="1" eb="2">
      <t>ガイ</t>
    </rPh>
    <phoneticPr fontId="3"/>
  </si>
  <si>
    <t>他会計負担金（減免分）</t>
    <rPh sb="0" eb="1">
      <t>タ</t>
    </rPh>
    <rPh sb="1" eb="3">
      <t>カイケイ</t>
    </rPh>
    <rPh sb="3" eb="6">
      <t>フタンキン</t>
    </rPh>
    <rPh sb="7" eb="9">
      <t>ゲンメン</t>
    </rPh>
    <rPh sb="9" eb="10">
      <t>ブン</t>
    </rPh>
    <phoneticPr fontId="3"/>
  </si>
  <si>
    <t>企業債手数料及び取扱費</t>
  </si>
  <si>
    <t>他会計負担金（利息償還分）</t>
    <rPh sb="0" eb="1">
      <t>タ</t>
    </rPh>
    <rPh sb="1" eb="3">
      <t>カイケイ</t>
    </rPh>
    <rPh sb="3" eb="6">
      <t>フタンキン</t>
    </rPh>
    <rPh sb="7" eb="9">
      <t>リソク</t>
    </rPh>
    <rPh sb="9" eb="11">
      <t>ショウカン</t>
    </rPh>
    <rPh sb="11" eb="12">
      <t>ブン</t>
    </rPh>
    <phoneticPr fontId="3"/>
  </si>
  <si>
    <t>支払利息及び企業債取扱諸費</t>
    <rPh sb="1" eb="2">
      <t>ハラ</t>
    </rPh>
    <phoneticPr fontId="3"/>
  </si>
  <si>
    <t>長期前受金戻入額
（除却分）</t>
    <rPh sb="0" eb="2">
      <t>チョウキ</t>
    </rPh>
    <rPh sb="2" eb="5">
      <t>マエウケキン</t>
    </rPh>
    <rPh sb="5" eb="7">
      <t>レイニュウ</t>
    </rPh>
    <rPh sb="7" eb="8">
      <t>ガク</t>
    </rPh>
    <rPh sb="10" eb="12">
      <t>ジョキャク</t>
    </rPh>
    <rPh sb="12" eb="13">
      <t>ブン</t>
    </rPh>
    <phoneticPr fontId="4"/>
  </si>
  <si>
    <t>資産減耗費（固定資産除却費）</t>
    <rPh sb="6" eb="8">
      <t>コテイ</t>
    </rPh>
    <rPh sb="8" eb="10">
      <t>シサン</t>
    </rPh>
    <rPh sb="10" eb="12">
      <t>ジョキャク</t>
    </rPh>
    <rPh sb="12" eb="13">
      <t>ヒ</t>
    </rPh>
    <phoneticPr fontId="3"/>
  </si>
  <si>
    <t>営業</t>
    <rPh sb="0" eb="2">
      <t>エイギョウ</t>
    </rPh>
    <phoneticPr fontId="3"/>
  </si>
  <si>
    <t>長期前受金戻入額（償却分）</t>
    <rPh sb="0" eb="2">
      <t>チョウキ</t>
    </rPh>
    <rPh sb="2" eb="5">
      <t>マエウケキン</t>
    </rPh>
    <rPh sb="5" eb="7">
      <t>レイニュウ</t>
    </rPh>
    <rPh sb="7" eb="8">
      <t>ガク</t>
    </rPh>
    <rPh sb="9" eb="11">
      <t>ショウキャク</t>
    </rPh>
    <rPh sb="11" eb="12">
      <t>ブン</t>
    </rPh>
    <phoneticPr fontId="4"/>
  </si>
  <si>
    <t>減価償却費</t>
  </si>
  <si>
    <t>その他特利（賞与引当戻入）</t>
    <rPh sb="3" eb="5">
      <t>トクリ</t>
    </rPh>
    <rPh sb="6" eb="8">
      <t>ショウヨ</t>
    </rPh>
    <rPh sb="8" eb="10">
      <t>ヒキアテ</t>
    </rPh>
    <rPh sb="10" eb="12">
      <t>レイニュウ</t>
    </rPh>
    <phoneticPr fontId="3"/>
  </si>
  <si>
    <t>その他特利（貸倒引当戻入）</t>
    <rPh sb="3" eb="6">
      <t>トクリ</t>
    </rPh>
    <rPh sb="6" eb="8">
      <t>カシダオレ</t>
    </rPh>
    <rPh sb="8" eb="10">
      <t>ヒキアテ</t>
    </rPh>
    <rPh sb="10" eb="12">
      <t>レイニュウ</t>
    </rPh>
    <phoneticPr fontId="3"/>
  </si>
  <si>
    <t>その他特利（その他）</t>
    <rPh sb="3" eb="6">
      <t>トクリ</t>
    </rPh>
    <rPh sb="8" eb="9">
      <t>タ</t>
    </rPh>
    <phoneticPr fontId="3"/>
  </si>
  <si>
    <t>過年度損益修正損</t>
  </si>
  <si>
    <t>純利益（△は純損失）</t>
    <rPh sb="0" eb="3">
      <t>ジュンリエキ</t>
    </rPh>
    <rPh sb="6" eb="7">
      <t>ジュン</t>
    </rPh>
    <rPh sb="7" eb="9">
      <t>ソンシツ</t>
    </rPh>
    <phoneticPr fontId="3"/>
  </si>
  <si>
    <t>固定資産売却益</t>
    <rPh sb="0" eb="2">
      <t>コテイ</t>
    </rPh>
    <rPh sb="2" eb="4">
      <t>シサン</t>
    </rPh>
    <rPh sb="4" eb="7">
      <t>バイキャクエキ</t>
    </rPh>
    <phoneticPr fontId="3"/>
  </si>
  <si>
    <t>固定資産売却損</t>
    <rPh sb="0" eb="2">
      <t>コテイ</t>
    </rPh>
    <rPh sb="2" eb="4">
      <t>シサン</t>
    </rPh>
    <rPh sb="4" eb="7">
      <t>バイキャクソン</t>
    </rPh>
    <phoneticPr fontId="3"/>
  </si>
  <si>
    <t>支払利息分</t>
    <rPh sb="0" eb="2">
      <t>シハライ</t>
    </rPh>
    <rPh sb="2" eb="4">
      <t>リソク</t>
    </rPh>
    <rPh sb="4" eb="5">
      <t>ブン</t>
    </rPh>
    <phoneticPr fontId="3"/>
  </si>
  <si>
    <t>減価償却費分</t>
    <rPh sb="0" eb="2">
      <t>ゲンカ</t>
    </rPh>
    <rPh sb="2" eb="4">
      <t>ショウキャク</t>
    </rPh>
    <rPh sb="4" eb="5">
      <t>ヒ</t>
    </rPh>
    <rPh sb="5" eb="6">
      <t>ブン</t>
    </rPh>
    <phoneticPr fontId="3"/>
  </si>
  <si>
    <t>汚水基準外の収支</t>
    <rPh sb="0" eb="2">
      <t>オスイ</t>
    </rPh>
    <rPh sb="2" eb="4">
      <t>キジュン</t>
    </rPh>
    <rPh sb="4" eb="5">
      <t>ガイ</t>
    </rPh>
    <rPh sb="6" eb="8">
      <t>シュウシ</t>
    </rPh>
    <phoneticPr fontId="3"/>
  </si>
  <si>
    <t>維持管理費分</t>
    <rPh sb="0" eb="2">
      <t>イジ</t>
    </rPh>
    <rPh sb="2" eb="4">
      <t>カンリ</t>
    </rPh>
    <rPh sb="4" eb="5">
      <t>ヒ</t>
    </rPh>
    <rPh sb="5" eb="6">
      <t>ブン</t>
    </rPh>
    <phoneticPr fontId="3"/>
  </si>
  <si>
    <t>雑支出（控除不可消費税等）維持費分</t>
    <rPh sb="0" eb="1">
      <t>ザツ</t>
    </rPh>
    <rPh sb="1" eb="3">
      <t>シシュツ</t>
    </rPh>
    <rPh sb="4" eb="6">
      <t>コウジョ</t>
    </rPh>
    <rPh sb="6" eb="8">
      <t>フカ</t>
    </rPh>
    <rPh sb="8" eb="11">
      <t>ショウヒゼイ</t>
    </rPh>
    <rPh sb="11" eb="12">
      <t>トウ</t>
    </rPh>
    <rPh sb="13" eb="15">
      <t>イジ</t>
    </rPh>
    <rPh sb="15" eb="16">
      <t>ヒ</t>
    </rPh>
    <rPh sb="16" eb="17">
      <t>ブン</t>
    </rPh>
    <phoneticPr fontId="3"/>
  </si>
  <si>
    <t>消費税及び地方消費税還付金</t>
    <rPh sb="0" eb="3">
      <t>ショウヒゼイ</t>
    </rPh>
    <rPh sb="3" eb="4">
      <t>オヨ</t>
    </rPh>
    <rPh sb="5" eb="7">
      <t>チホウ</t>
    </rPh>
    <rPh sb="7" eb="10">
      <t>ショウヒゼイ</t>
    </rPh>
    <rPh sb="10" eb="13">
      <t>カンプキン</t>
    </rPh>
    <phoneticPr fontId="3"/>
  </si>
  <si>
    <t>雑収益</t>
    <rPh sb="0" eb="3">
      <t>ザツシュウエキ</t>
    </rPh>
    <phoneticPr fontId="3"/>
  </si>
  <si>
    <t>雑支出（災害支援経費等）</t>
    <rPh sb="4" eb="6">
      <t>サイガイ</t>
    </rPh>
    <rPh sb="6" eb="8">
      <t>シエン</t>
    </rPh>
    <rPh sb="8" eb="10">
      <t>ケイヒ</t>
    </rPh>
    <rPh sb="10" eb="11">
      <t>トウ</t>
    </rPh>
    <phoneticPr fontId="3"/>
  </si>
  <si>
    <t>　その他補助金</t>
    <rPh sb="3" eb="4">
      <t>タ</t>
    </rPh>
    <rPh sb="4" eb="7">
      <t>ホジョキン</t>
    </rPh>
    <phoneticPr fontId="3"/>
  </si>
  <si>
    <t>雑支出（還付加算金+その他）</t>
    <rPh sb="4" eb="6">
      <t>カンプ</t>
    </rPh>
    <rPh sb="6" eb="9">
      <t>カサンキン</t>
    </rPh>
    <rPh sb="12" eb="13">
      <t>タ</t>
    </rPh>
    <phoneticPr fontId="3"/>
  </si>
  <si>
    <t>　　使用料減免分</t>
    <rPh sb="2" eb="5">
      <t>シヨウリョウ</t>
    </rPh>
    <rPh sb="5" eb="7">
      <t>ゲンメン</t>
    </rPh>
    <rPh sb="7" eb="8">
      <t>ブン</t>
    </rPh>
    <phoneticPr fontId="3"/>
  </si>
  <si>
    <t>受取利息</t>
  </si>
  <si>
    <t>一時借入金利息</t>
  </si>
  <si>
    <t>　　支払利息分</t>
    <rPh sb="2" eb="4">
      <t>シハライ</t>
    </rPh>
    <rPh sb="4" eb="6">
      <t>リソク</t>
    </rPh>
    <rPh sb="6" eb="7">
      <t>ブン</t>
    </rPh>
    <phoneticPr fontId="3"/>
  </si>
  <si>
    <t>　　減価償却費分</t>
    <rPh sb="2" eb="4">
      <t>ゲンカ</t>
    </rPh>
    <rPh sb="4" eb="6">
      <t>ショウキャク</t>
    </rPh>
    <rPh sb="6" eb="7">
      <t>ヒ</t>
    </rPh>
    <rPh sb="7" eb="8">
      <t>ブン</t>
    </rPh>
    <phoneticPr fontId="3"/>
  </si>
  <si>
    <t>資産減耗費（固定資産撤去費）</t>
    <rPh sb="6" eb="8">
      <t>コテイ</t>
    </rPh>
    <rPh sb="8" eb="10">
      <t>シサン</t>
    </rPh>
    <rPh sb="10" eb="12">
      <t>テッキョ</t>
    </rPh>
    <rPh sb="12" eb="13">
      <t>ヒ</t>
    </rPh>
    <phoneticPr fontId="3"/>
  </si>
  <si>
    <t>　　維持管理費分</t>
    <rPh sb="2" eb="4">
      <t>イジ</t>
    </rPh>
    <rPh sb="4" eb="6">
      <t>カンリ</t>
    </rPh>
    <rPh sb="6" eb="7">
      <t>ヒ</t>
    </rPh>
    <rPh sb="7" eb="8">
      <t>ブン</t>
    </rPh>
    <phoneticPr fontId="3"/>
  </si>
  <si>
    <t>国庫補助金(災害)</t>
    <rPh sb="0" eb="2">
      <t>コッコ</t>
    </rPh>
    <rPh sb="2" eb="5">
      <t>ホジョキン</t>
    </rPh>
    <rPh sb="6" eb="8">
      <t>サイガイ</t>
    </rPh>
    <phoneticPr fontId="3"/>
  </si>
  <si>
    <t>災害復旧費</t>
    <rPh sb="0" eb="2">
      <t>サイガイ</t>
    </rPh>
    <rPh sb="2" eb="4">
      <t>フッキュウ</t>
    </rPh>
    <rPh sb="4" eb="5">
      <t>ヒ</t>
    </rPh>
    <phoneticPr fontId="3"/>
  </si>
  <si>
    <t>　汚水処理補助金</t>
    <rPh sb="1" eb="3">
      <t>オスイ</t>
    </rPh>
    <rPh sb="3" eb="5">
      <t>ショリ</t>
    </rPh>
    <rPh sb="5" eb="8">
      <t>ホジョキン</t>
    </rPh>
    <phoneticPr fontId="3"/>
  </si>
  <si>
    <t>浄化槽費</t>
    <rPh sb="0" eb="3">
      <t>ジョウカソウ</t>
    </rPh>
    <phoneticPr fontId="3"/>
  </si>
  <si>
    <t>一般会計補助金</t>
    <rPh sb="0" eb="2">
      <t>イッパン</t>
    </rPh>
    <rPh sb="2" eb="4">
      <t>カイケイ</t>
    </rPh>
    <rPh sb="4" eb="7">
      <t>ホジョキン</t>
    </rPh>
    <phoneticPr fontId="3"/>
  </si>
  <si>
    <t>農集費</t>
    <rPh sb="0" eb="1">
      <t>ノウ</t>
    </rPh>
    <rPh sb="1" eb="2">
      <t>シュウ</t>
    </rPh>
    <phoneticPr fontId="3"/>
  </si>
  <si>
    <t>　貸付事業費負担金</t>
    <rPh sb="1" eb="3">
      <t>カシツケ</t>
    </rPh>
    <rPh sb="3" eb="5">
      <t>ジギョウ</t>
    </rPh>
    <rPh sb="5" eb="6">
      <t>ヒ</t>
    </rPh>
    <rPh sb="6" eb="9">
      <t>フタンキン</t>
    </rPh>
    <phoneticPr fontId="3"/>
  </si>
  <si>
    <t>特環費</t>
    <rPh sb="0" eb="2">
      <t>トッカン</t>
    </rPh>
    <phoneticPr fontId="3"/>
  </si>
  <si>
    <t>　普及促進費負担金</t>
    <phoneticPr fontId="3"/>
  </si>
  <si>
    <t>下水道使用料</t>
    <rPh sb="0" eb="3">
      <t>ゲスイドウ</t>
    </rPh>
    <rPh sb="3" eb="6">
      <t>シヨウリョウ</t>
    </rPh>
    <phoneticPr fontId="3"/>
  </si>
  <si>
    <t>総係費</t>
  </si>
  <si>
    <t>　水質指導費負担金</t>
    <rPh sb="1" eb="3">
      <t>スイシツ</t>
    </rPh>
    <rPh sb="3" eb="5">
      <t>シドウ</t>
    </rPh>
    <rPh sb="5" eb="6">
      <t>ヒ</t>
    </rPh>
    <rPh sb="6" eb="8">
      <t>フタン</t>
    </rPh>
    <rPh sb="8" eb="9">
      <t>キン</t>
    </rPh>
    <phoneticPr fontId="3"/>
  </si>
  <si>
    <t>業務費</t>
  </si>
  <si>
    <t>　　　企業債手数料等</t>
    <rPh sb="3" eb="5">
      <t>キギョウ</t>
    </rPh>
    <rPh sb="5" eb="6">
      <t>サイ</t>
    </rPh>
    <rPh sb="6" eb="9">
      <t>テスウリョウ</t>
    </rPh>
    <rPh sb="9" eb="10">
      <t>トウ</t>
    </rPh>
    <phoneticPr fontId="3"/>
  </si>
  <si>
    <t>水洗化貸付事業費</t>
  </si>
  <si>
    <t>　　　企業債利息分</t>
    <rPh sb="3" eb="5">
      <t>キギョウ</t>
    </rPh>
    <rPh sb="5" eb="6">
      <t>サイ</t>
    </rPh>
    <rPh sb="6" eb="8">
      <t>リソク</t>
    </rPh>
    <rPh sb="8" eb="9">
      <t>ブン</t>
    </rPh>
    <phoneticPr fontId="3"/>
  </si>
  <si>
    <t>その他 手数料（指定工事店登録）</t>
    <rPh sb="4" eb="7">
      <t>テスウリョウ</t>
    </rPh>
    <rPh sb="8" eb="10">
      <t>シテイ</t>
    </rPh>
    <rPh sb="10" eb="12">
      <t>コウジ</t>
    </rPh>
    <rPh sb="12" eb="13">
      <t>テン</t>
    </rPh>
    <rPh sb="13" eb="15">
      <t>トウロク</t>
    </rPh>
    <phoneticPr fontId="3"/>
  </si>
  <si>
    <t>普及促進費</t>
  </si>
  <si>
    <t>受託工事収益</t>
    <rPh sb="0" eb="2">
      <t>ジュタク</t>
    </rPh>
    <rPh sb="2" eb="4">
      <t>コウジ</t>
    </rPh>
    <rPh sb="4" eb="6">
      <t>シュウエキ</t>
    </rPh>
    <phoneticPr fontId="3"/>
  </si>
  <si>
    <t>受託工事費</t>
  </si>
  <si>
    <t>その他 産物売却代金</t>
    <rPh sb="2" eb="3">
      <t>タ</t>
    </rPh>
    <rPh sb="4" eb="6">
      <t>サンブツ</t>
    </rPh>
    <rPh sb="6" eb="8">
      <t>バイキャク</t>
    </rPh>
    <rPh sb="8" eb="10">
      <t>ダイキン</t>
    </rPh>
    <phoneticPr fontId="3"/>
  </si>
  <si>
    <t>処理場費</t>
  </si>
  <si>
    <t>施設管理負担金</t>
    <rPh sb="0" eb="2">
      <t>シセツ</t>
    </rPh>
    <rPh sb="2" eb="4">
      <t>カンリ</t>
    </rPh>
    <rPh sb="4" eb="7">
      <t>フタンキン</t>
    </rPh>
    <phoneticPr fontId="3"/>
  </si>
  <si>
    <t>ポンプ場費</t>
  </si>
  <si>
    <t>　雨水処理負担金</t>
    <rPh sb="1" eb="3">
      <t>ウスイ</t>
    </rPh>
    <rPh sb="3" eb="5">
      <t>ショリ</t>
    </rPh>
    <rPh sb="5" eb="8">
      <t>フタンキン</t>
    </rPh>
    <phoneticPr fontId="3"/>
  </si>
  <si>
    <t>その他 業務受託収入</t>
    <rPh sb="4" eb="6">
      <t>ギョウム</t>
    </rPh>
    <rPh sb="6" eb="8">
      <t>ジュタク</t>
    </rPh>
    <rPh sb="8" eb="10">
      <t>シュウニュウ</t>
    </rPh>
    <phoneticPr fontId="3"/>
  </si>
  <si>
    <t>水質指導費</t>
  </si>
  <si>
    <t>一般会計負担金</t>
    <rPh sb="0" eb="2">
      <t>イッパン</t>
    </rPh>
    <rPh sb="2" eb="4">
      <t>カイケイ</t>
    </rPh>
    <rPh sb="4" eb="7">
      <t>フタンキン</t>
    </rPh>
    <phoneticPr fontId="3"/>
  </si>
  <si>
    <t>その他 手数料（境界証明等）</t>
    <rPh sb="2" eb="3">
      <t>タ</t>
    </rPh>
    <rPh sb="4" eb="7">
      <t>テスウリョウ</t>
    </rPh>
    <rPh sb="8" eb="10">
      <t>キョウカイ</t>
    </rPh>
    <rPh sb="10" eb="12">
      <t>ショウメイ</t>
    </rPh>
    <rPh sb="12" eb="13">
      <t>トウ</t>
    </rPh>
    <phoneticPr fontId="3"/>
  </si>
  <si>
    <t>管きょ費</t>
  </si>
  <si>
    <t>使用料徴収区域内</t>
    <rPh sb="0" eb="3">
      <t>シヨウリョウ</t>
    </rPh>
    <rPh sb="3" eb="5">
      <t>チョウシュウ</t>
    </rPh>
    <rPh sb="5" eb="8">
      <t>クイキナイ</t>
    </rPh>
    <phoneticPr fontId="3"/>
  </si>
  <si>
    <t>使用料徴収区域外</t>
    <rPh sb="0" eb="3">
      <t>シヨウリョウ</t>
    </rPh>
    <rPh sb="3" eb="5">
      <t>チョウシュウ</t>
    </rPh>
    <rPh sb="5" eb="8">
      <t>クイキガイ</t>
    </rPh>
    <phoneticPr fontId="3"/>
  </si>
  <si>
    <t>繰出基準外</t>
    <rPh sb="0" eb="1">
      <t>クリ</t>
    </rPh>
    <rPh sb="1" eb="2">
      <t>ダ</t>
    </rPh>
    <rPh sb="2" eb="4">
      <t>キジュン</t>
    </rPh>
    <rPh sb="4" eb="5">
      <t>ガイ</t>
    </rPh>
    <phoneticPr fontId="3"/>
  </si>
  <si>
    <t>計</t>
    <rPh sb="0" eb="1">
      <t>ケイ</t>
    </rPh>
    <phoneticPr fontId="3"/>
  </si>
  <si>
    <t>繰出基準内</t>
    <rPh sb="0" eb="1">
      <t>クリ</t>
    </rPh>
    <rPh sb="1" eb="2">
      <t>ダ</t>
    </rPh>
    <rPh sb="2" eb="4">
      <t>キジュン</t>
    </rPh>
    <rPh sb="4" eb="5">
      <t>ナイ</t>
    </rPh>
    <phoneticPr fontId="3"/>
  </si>
  <si>
    <t>チェック</t>
    <phoneticPr fontId="3"/>
  </si>
  <si>
    <t>一般行政経費</t>
  </si>
  <si>
    <t>汚水</t>
    <rPh sb="0" eb="2">
      <t>オスイ</t>
    </rPh>
    <phoneticPr fontId="3"/>
  </si>
  <si>
    <t>雨水</t>
    <rPh sb="0" eb="2">
      <t>ウスイ</t>
    </rPh>
    <phoneticPr fontId="3"/>
  </si>
  <si>
    <t>税抜決算額
【最終繰入額】</t>
    <rPh sb="0" eb="1">
      <t>ゼイ</t>
    </rPh>
    <rPh sb="1" eb="2">
      <t>ヌ</t>
    </rPh>
    <rPh sb="2" eb="4">
      <t>ケッサン</t>
    </rPh>
    <rPh sb="4" eb="5">
      <t>ガク</t>
    </rPh>
    <rPh sb="7" eb="9">
      <t>サイシュウ</t>
    </rPh>
    <rPh sb="9" eb="11">
      <t>クリイレ</t>
    </rPh>
    <rPh sb="11" eb="12">
      <t>ガク</t>
    </rPh>
    <phoneticPr fontId="3"/>
  </si>
  <si>
    <t>チェック</t>
    <phoneticPr fontId="3"/>
  </si>
  <si>
    <t>税抜決算額</t>
    <rPh sb="0" eb="1">
      <t>ゼイ</t>
    </rPh>
    <rPh sb="1" eb="2">
      <t>ヌ</t>
    </rPh>
    <rPh sb="2" eb="4">
      <t>ケッサン</t>
    </rPh>
    <rPh sb="4" eb="5">
      <t>ガク</t>
    </rPh>
    <phoneticPr fontId="3"/>
  </si>
  <si>
    <t>税込決算額</t>
    <rPh sb="0" eb="2">
      <t>ゼイコミ</t>
    </rPh>
    <rPh sb="2" eb="4">
      <t>ケッサン</t>
    </rPh>
    <rPh sb="4" eb="5">
      <t>ガク</t>
    </rPh>
    <phoneticPr fontId="3"/>
  </si>
  <si>
    <t>税抜決算額</t>
    <rPh sb="0" eb="2">
      <t>ゼイヌキ</t>
    </rPh>
    <rPh sb="2" eb="4">
      <t>ケッサン</t>
    </rPh>
    <rPh sb="4" eb="5">
      <t>ガク</t>
    </rPh>
    <phoneticPr fontId="3"/>
  </si>
  <si>
    <t>一般会計繰入金　税抜き決算額　（控除不可消費税等の雑支出の配分後　最終）</t>
    <rPh sb="0" eb="2">
      <t>イッパン</t>
    </rPh>
    <rPh sb="2" eb="4">
      <t>カイケイ</t>
    </rPh>
    <rPh sb="4" eb="6">
      <t>クリイレ</t>
    </rPh>
    <rPh sb="6" eb="7">
      <t>キン</t>
    </rPh>
    <rPh sb="8" eb="9">
      <t>シュウゼイ</t>
    </rPh>
    <rPh sb="9" eb="10">
      <t>ヌ</t>
    </rPh>
    <rPh sb="11" eb="13">
      <t>ケッサン</t>
    </rPh>
    <rPh sb="13" eb="14">
      <t>ガク</t>
    </rPh>
    <rPh sb="31" eb="32">
      <t>ゴ</t>
    </rPh>
    <rPh sb="33" eb="35">
      <t>サイシュウ</t>
    </rPh>
    <phoneticPr fontId="3"/>
  </si>
  <si>
    <t>収入の名目</t>
    <rPh sb="0" eb="2">
      <t>シュウニュウ</t>
    </rPh>
    <rPh sb="3" eb="5">
      <t>メイモク</t>
    </rPh>
    <phoneticPr fontId="3"/>
  </si>
  <si>
    <t>３条収入　税抜き</t>
    <rPh sb="1" eb="2">
      <t>ジョウ</t>
    </rPh>
    <rPh sb="2" eb="4">
      <t>シュウニュウ</t>
    </rPh>
    <rPh sb="5" eb="6">
      <t>ゼイ</t>
    </rPh>
    <rPh sb="6" eb="7">
      <t>ヌ</t>
    </rPh>
    <phoneticPr fontId="3"/>
  </si>
  <si>
    <t>費目</t>
    <rPh sb="0" eb="2">
      <t>ヒモク</t>
    </rPh>
    <phoneticPr fontId="3"/>
  </si>
  <si>
    <t>３条収入　税込み</t>
    <rPh sb="1" eb="2">
      <t>ジョウ</t>
    </rPh>
    <rPh sb="2" eb="4">
      <t>シュウニュウ</t>
    </rPh>
    <rPh sb="5" eb="7">
      <t>ゼイコ</t>
    </rPh>
    <phoneticPr fontId="3"/>
  </si>
  <si>
    <t>３条支出　税抜き</t>
    <rPh sb="1" eb="2">
      <t>ジョウ</t>
    </rPh>
    <rPh sb="2" eb="4">
      <t>シシュツ</t>
    </rPh>
    <rPh sb="5" eb="6">
      <t>ゼイ</t>
    </rPh>
    <rPh sb="6" eb="7">
      <t>ヌ</t>
    </rPh>
    <phoneticPr fontId="3"/>
  </si>
  <si>
    <t>３条支出　税込み</t>
    <rPh sb="1" eb="2">
      <t>ジョウ</t>
    </rPh>
    <rPh sb="2" eb="4">
      <t>シシュツ</t>
    </rPh>
    <rPh sb="5" eb="7">
      <t>ゼイコ</t>
    </rPh>
    <phoneticPr fontId="3"/>
  </si>
  <si>
    <t>区分</t>
    <rPh sb="0" eb="2">
      <t>クブン</t>
    </rPh>
    <phoneticPr fontId="3"/>
  </si>
  <si>
    <t>【３条収入雨汚水分け表】</t>
    <rPh sb="2" eb="3">
      <t>ジョウ</t>
    </rPh>
    <rPh sb="3" eb="5">
      <t>シュウニュウ</t>
    </rPh>
    <rPh sb="5" eb="6">
      <t>ウ</t>
    </rPh>
    <rPh sb="6" eb="8">
      <t>オスイ</t>
    </rPh>
    <rPh sb="8" eb="9">
      <t>ワ</t>
    </rPh>
    <rPh sb="10" eb="11">
      <t>ヒョウ</t>
    </rPh>
    <phoneticPr fontId="3"/>
  </si>
  <si>
    <t>【３条支出雨汚水分け表】（消費税雑支出加算後）</t>
    <rPh sb="2" eb="3">
      <t>ジョウ</t>
    </rPh>
    <rPh sb="3" eb="5">
      <t>シシュツ</t>
    </rPh>
    <rPh sb="5" eb="6">
      <t>ウ</t>
    </rPh>
    <rPh sb="6" eb="8">
      <t>オスイ</t>
    </rPh>
    <rPh sb="8" eb="9">
      <t>ワ</t>
    </rPh>
    <rPh sb="10" eb="11">
      <t>ヒョウ</t>
    </rPh>
    <rPh sb="13" eb="16">
      <t>ショウヒゼイ</t>
    </rPh>
    <rPh sb="16" eb="17">
      <t>ザツ</t>
    </rPh>
    <rPh sb="17" eb="19">
      <t>シシュツ</t>
    </rPh>
    <rPh sb="19" eb="21">
      <t>カサン</t>
    </rPh>
    <rPh sb="21" eb="22">
      <t>ゴ</t>
    </rPh>
    <phoneticPr fontId="3"/>
  </si>
  <si>
    <t>雑収益（消費税）の充当額</t>
    <rPh sb="0" eb="1">
      <t>ザツ</t>
    </rPh>
    <rPh sb="4" eb="7">
      <t>ショウヒゼイ</t>
    </rPh>
    <rPh sb="9" eb="11">
      <t>ジュウトウ</t>
    </rPh>
    <rPh sb="11" eb="12">
      <t>ガク</t>
    </rPh>
    <phoneticPr fontId="3"/>
  </si>
  <si>
    <t>汚水基準外への充当額</t>
    <rPh sb="0" eb="2">
      <t>オスイ</t>
    </rPh>
    <rPh sb="2" eb="4">
      <t>キジュン</t>
    </rPh>
    <rPh sb="4" eb="5">
      <t>ガイ</t>
    </rPh>
    <rPh sb="7" eb="9">
      <t>ジュウトウ</t>
    </rPh>
    <rPh sb="9" eb="10">
      <t>ガク</t>
    </rPh>
    <phoneticPr fontId="3"/>
  </si>
  <si>
    <t>過年度損益修正損</t>
    <phoneticPr fontId="3"/>
  </si>
  <si>
    <t>　普及促進費負担金</t>
    <phoneticPr fontId="3"/>
  </si>
  <si>
    <t>企業債利息</t>
    <rPh sb="3" eb="5">
      <t>リソク</t>
    </rPh>
    <phoneticPr fontId="3"/>
  </si>
  <si>
    <t>⓪-④</t>
    <phoneticPr fontId="3"/>
  </si>
  <si>
    <t>チェック</t>
    <phoneticPr fontId="3"/>
  </si>
  <si>
    <t>控除不可消費税等雑支出の割付</t>
    <rPh sb="0" eb="2">
      <t>コウジョ</t>
    </rPh>
    <rPh sb="2" eb="4">
      <t>フカ</t>
    </rPh>
    <rPh sb="4" eb="7">
      <t>ショウヒゼイ</t>
    </rPh>
    <rPh sb="7" eb="8">
      <t>トウ</t>
    </rPh>
    <rPh sb="8" eb="9">
      <t>ザツ</t>
    </rPh>
    <rPh sb="9" eb="11">
      <t>シシュツ</t>
    </rPh>
    <rPh sb="12" eb="14">
      <t>ワリツケ</t>
    </rPh>
    <phoneticPr fontId="3"/>
  </si>
  <si>
    <t>税込額との調整</t>
    <rPh sb="0" eb="2">
      <t>ゼイコ</t>
    </rPh>
    <rPh sb="2" eb="3">
      <t>ガク</t>
    </rPh>
    <rPh sb="5" eb="7">
      <t>チョウセイ</t>
    </rPh>
    <phoneticPr fontId="3"/>
  </si>
  <si>
    <t>①+②+③=④</t>
    <phoneticPr fontId="3"/>
  </si>
  <si>
    <t>課税売上割合を乗じることにより控除できなくなった額③</t>
    <phoneticPr fontId="3"/>
  </si>
  <si>
    <t>特定収入に係る課税仕入れに係る消費税額②</t>
    <rPh sb="0" eb="2">
      <t>トクテイ</t>
    </rPh>
    <rPh sb="2" eb="4">
      <t>シュウニュウ</t>
    </rPh>
    <rPh sb="5" eb="6">
      <t>カカ</t>
    </rPh>
    <rPh sb="7" eb="9">
      <t>カゼイ</t>
    </rPh>
    <rPh sb="9" eb="11">
      <t>シイ</t>
    </rPh>
    <rPh sb="13" eb="14">
      <t>カカ</t>
    </rPh>
    <rPh sb="15" eb="18">
      <t>ショウヒゼイ</t>
    </rPh>
    <rPh sb="18" eb="19">
      <t>ガク</t>
    </rPh>
    <phoneticPr fontId="3"/>
  </si>
  <si>
    <t>控除不可消費税等の雑支出の配分</t>
    <rPh sb="0" eb="2">
      <t>コウジョ</t>
    </rPh>
    <rPh sb="2" eb="4">
      <t>フカ</t>
    </rPh>
    <rPh sb="4" eb="7">
      <t>ショウヒゼイ</t>
    </rPh>
    <rPh sb="7" eb="8">
      <t>トウ</t>
    </rPh>
    <rPh sb="9" eb="10">
      <t>ザツ</t>
    </rPh>
    <rPh sb="10" eb="12">
      <t>シシュツ</t>
    </rPh>
    <rPh sb="13" eb="15">
      <t>ハイブン</t>
    </rPh>
    <phoneticPr fontId="3"/>
  </si>
  <si>
    <t>差引不足額（充足は0）→</t>
    <rPh sb="0" eb="2">
      <t>サシヒキ</t>
    </rPh>
    <rPh sb="2" eb="4">
      <t>ブソク</t>
    </rPh>
    <rPh sb="4" eb="5">
      <t>ガク</t>
    </rPh>
    <rPh sb="6" eb="8">
      <t>ジュウソク</t>
    </rPh>
    <phoneticPr fontId="3"/>
  </si>
  <si>
    <t>営外</t>
  </si>
  <si>
    <t>維持</t>
  </si>
  <si>
    <t>農業集落排水費</t>
    <rPh sb="0" eb="2">
      <t>ノウギョウ</t>
    </rPh>
    <rPh sb="2" eb="4">
      <t>シュウラク</t>
    </rPh>
    <rPh sb="4" eb="6">
      <t>ハイスイ</t>
    </rPh>
    <rPh sb="6" eb="7">
      <t>ヒ</t>
    </rPh>
    <phoneticPr fontId="3"/>
  </si>
  <si>
    <t>特環公共下水道費</t>
    <rPh sb="0" eb="2">
      <t>トッカン</t>
    </rPh>
    <rPh sb="2" eb="4">
      <t>コウキョウ</t>
    </rPh>
    <rPh sb="4" eb="7">
      <t>ゲスイドウ</t>
    </rPh>
    <rPh sb="7" eb="8">
      <t>ヒ</t>
    </rPh>
    <phoneticPr fontId="3"/>
  </si>
  <si>
    <t>チェック</t>
    <phoneticPr fontId="3"/>
  </si>
  <si>
    <t>税抜決算額①</t>
    <rPh sb="0" eb="1">
      <t>ゼイ</t>
    </rPh>
    <rPh sb="1" eb="2">
      <t>ヌ</t>
    </rPh>
    <rPh sb="2" eb="4">
      <t>ケッサン</t>
    </rPh>
    <rPh sb="4" eb="5">
      <t>ガク</t>
    </rPh>
    <phoneticPr fontId="3"/>
  </si>
  <si>
    <t>税込額⓪
（支出-特財）</t>
    <rPh sb="0" eb="1">
      <t>ゼイ</t>
    </rPh>
    <rPh sb="1" eb="2">
      <t>コ</t>
    </rPh>
    <rPh sb="2" eb="3">
      <t>ガク</t>
    </rPh>
    <rPh sb="6" eb="8">
      <t>シシュツ</t>
    </rPh>
    <rPh sb="9" eb="10">
      <t>トク</t>
    </rPh>
    <rPh sb="10" eb="11">
      <t>ザイ</t>
    </rPh>
    <phoneticPr fontId="3"/>
  </si>
  <si>
    <t>一般会計繰入金　税抜き決算額　（控除不可消費税等の雑支出の配分前）</t>
    <rPh sb="0" eb="2">
      <t>イッパン</t>
    </rPh>
    <rPh sb="2" eb="4">
      <t>カイケイ</t>
    </rPh>
    <rPh sb="4" eb="6">
      <t>クリイレ</t>
    </rPh>
    <rPh sb="6" eb="7">
      <t>キン</t>
    </rPh>
    <rPh sb="8" eb="9">
      <t>シュウゼイ</t>
    </rPh>
    <rPh sb="9" eb="10">
      <t>ヌ</t>
    </rPh>
    <rPh sb="11" eb="13">
      <t>ケッサン</t>
    </rPh>
    <rPh sb="13" eb="14">
      <t>ガク</t>
    </rPh>
    <rPh sb="31" eb="32">
      <t>マエ</t>
    </rPh>
    <phoneticPr fontId="3"/>
  </si>
  <si>
    <t>【一般会計繰入金】</t>
    <rPh sb="1" eb="3">
      <t>イッパン</t>
    </rPh>
    <rPh sb="3" eb="5">
      <t>カイケイ</t>
    </rPh>
    <rPh sb="5" eb="7">
      <t>クリイレ</t>
    </rPh>
    <rPh sb="7" eb="8">
      <t>キン</t>
    </rPh>
    <phoneticPr fontId="3"/>
  </si>
  <si>
    <t>【３条支出雨汚水分け表】</t>
    <rPh sb="2" eb="3">
      <t>ジョウ</t>
    </rPh>
    <rPh sb="3" eb="5">
      <t>シシュツ</t>
    </rPh>
    <rPh sb="5" eb="6">
      <t>ウ</t>
    </rPh>
    <rPh sb="6" eb="8">
      <t>オスイ</t>
    </rPh>
    <rPh sb="8" eb="9">
      <t>ワ</t>
    </rPh>
    <rPh sb="10" eb="11">
      <t>ヒョウ</t>
    </rPh>
    <phoneticPr fontId="3"/>
  </si>
  <si>
    <t>賞与引当金戻入益</t>
  </si>
  <si>
    <t>その他特別利益</t>
  </si>
  <si>
    <t>特別利益</t>
  </si>
  <si>
    <t>下水道事業収益</t>
  </si>
  <si>
    <t>483060800</t>
  </si>
  <si>
    <t>貸倒引当金戻入益</t>
  </si>
  <si>
    <t>483060700</t>
  </si>
  <si>
    <t>483060600</t>
  </si>
  <si>
    <t>過年度損益修正益</t>
  </si>
  <si>
    <t>483040400</t>
  </si>
  <si>
    <t>その他雑収益</t>
  </si>
  <si>
    <t>雑収益</t>
  </si>
  <si>
    <t>営業外収益</t>
  </si>
  <si>
    <t>482124000</t>
  </si>
  <si>
    <t>他会計負担金</t>
  </si>
  <si>
    <t>負担金</t>
  </si>
  <si>
    <t>482093300</t>
  </si>
  <si>
    <t>施設管理負担金</t>
  </si>
  <si>
    <t>482093200</t>
  </si>
  <si>
    <t>預金利息</t>
  </si>
  <si>
    <t>482022100</t>
  </si>
  <si>
    <t>指定業者登録等手数料</t>
  </si>
  <si>
    <t>手数料</t>
  </si>
  <si>
    <t>その他営業収益</t>
  </si>
  <si>
    <t>営業収益</t>
  </si>
  <si>
    <t>481141916</t>
  </si>
  <si>
    <t>証明手数料</t>
  </si>
  <si>
    <t>481141915</t>
  </si>
  <si>
    <t>業務受託収益</t>
  </si>
  <si>
    <t>481141700</t>
  </si>
  <si>
    <t>産物売却代金</t>
  </si>
  <si>
    <t>481141500</t>
  </si>
  <si>
    <t>計</t>
    <rPh sb="0" eb="1">
      <t>ケイ</t>
    </rPh>
    <phoneticPr fontId="15"/>
  </si>
  <si>
    <t>基準外</t>
    <rPh sb="0" eb="2">
      <t>キジュン</t>
    </rPh>
    <rPh sb="2" eb="3">
      <t>ガイ</t>
    </rPh>
    <phoneticPr fontId="15"/>
  </si>
  <si>
    <t>基準内</t>
    <rPh sb="0" eb="2">
      <t>キジュン</t>
    </rPh>
    <rPh sb="2" eb="3">
      <t>ナイ</t>
    </rPh>
    <phoneticPr fontId="15"/>
  </si>
  <si>
    <t>区域外</t>
    <rPh sb="0" eb="3">
      <t>クイキガイ</t>
    </rPh>
    <phoneticPr fontId="15"/>
  </si>
  <si>
    <t>区域内</t>
    <rPh sb="0" eb="3">
      <t>クイキナイ</t>
    </rPh>
    <phoneticPr fontId="15"/>
  </si>
  <si>
    <t>集計用税率</t>
    <rPh sb="0" eb="3">
      <t>シュウケイヨウ</t>
    </rPh>
    <rPh sb="3" eb="5">
      <t>ゼイリツ</t>
    </rPh>
    <phoneticPr fontId="15"/>
  </si>
  <si>
    <t>集計用課税区分</t>
    <rPh sb="0" eb="3">
      <t>シュウケイヨウ</t>
    </rPh>
    <rPh sb="3" eb="5">
      <t>カゼイ</t>
    </rPh>
    <rPh sb="5" eb="7">
      <t>クブン</t>
    </rPh>
    <phoneticPr fontId="15"/>
  </si>
  <si>
    <t>重複</t>
    <rPh sb="0" eb="2">
      <t>チョウフク</t>
    </rPh>
    <phoneticPr fontId="15"/>
  </si>
  <si>
    <t>備考</t>
  </si>
  <si>
    <t>正しい税率</t>
    <rPh sb="3" eb="5">
      <t>ゼイリツ</t>
    </rPh>
    <phoneticPr fontId="15"/>
  </si>
  <si>
    <t>正しい課税区分</t>
  </si>
  <si>
    <t>確認状況</t>
  </si>
  <si>
    <t>複合伝票番号</t>
    <rPh sb="0" eb="2">
      <t>フクゴウ</t>
    </rPh>
    <rPh sb="2" eb="4">
      <t>デンピョウ</t>
    </rPh>
    <rPh sb="4" eb="6">
      <t>バンゴウ</t>
    </rPh>
    <phoneticPr fontId="15"/>
  </si>
  <si>
    <t>債権者</t>
  </si>
  <si>
    <t>税抜金額</t>
  </si>
  <si>
    <t>税額</t>
  </si>
  <si>
    <t>税率</t>
  </si>
  <si>
    <t>税区分</t>
  </si>
  <si>
    <t>貸方金額</t>
  </si>
  <si>
    <t>貸方勘定科目</t>
  </si>
  <si>
    <t>貸方勘定</t>
  </si>
  <si>
    <t>借方金額</t>
  </si>
  <si>
    <t>借方勘定科目</t>
  </si>
  <si>
    <t>借方勘定</t>
  </si>
  <si>
    <t>執行額</t>
  </si>
  <si>
    <t>確定額</t>
  </si>
  <si>
    <t>概算額</t>
  </si>
  <si>
    <t>予算額</t>
  </si>
  <si>
    <t>事業名</t>
  </si>
  <si>
    <t>事業コード</t>
  </si>
  <si>
    <t>細節名称</t>
  </si>
  <si>
    <t>節名称</t>
  </si>
  <si>
    <t>目名称</t>
  </si>
  <si>
    <t>項名称</t>
  </si>
  <si>
    <t>款名称</t>
  </si>
  <si>
    <t>予算科目</t>
  </si>
  <si>
    <t>現繰</t>
  </si>
  <si>
    <t>内訳番号</t>
  </si>
  <si>
    <t>枝番</t>
  </si>
  <si>
    <t>伝票番号</t>
  </si>
  <si>
    <t>種別</t>
  </si>
  <si>
    <t>事項</t>
  </si>
  <si>
    <t>振替年月日</t>
  </si>
  <si>
    <t>年月日</t>
  </si>
  <si>
    <t>主管課名</t>
  </si>
  <si>
    <t>主管課</t>
  </si>
  <si>
    <t>所属名</t>
  </si>
  <si>
    <t>所属</t>
  </si>
  <si>
    <t>事業区分</t>
  </si>
  <si>
    <t>備考</t>
    <rPh sb="0" eb="2">
      <t>ビコウ</t>
    </rPh>
    <phoneticPr fontId="3"/>
  </si>
  <si>
    <t>合計
（税抜）</t>
    <rPh sb="0" eb="2">
      <t>ゴウケイ</t>
    </rPh>
    <phoneticPr fontId="15"/>
  </si>
  <si>
    <t>汚水（税抜）</t>
    <rPh sb="0" eb="2">
      <t>オスイ</t>
    </rPh>
    <phoneticPr fontId="15"/>
  </si>
  <si>
    <t>チェック</t>
    <phoneticPr fontId="15"/>
  </si>
  <si>
    <t>合計
（税込）</t>
    <rPh sb="0" eb="2">
      <t>ゴウケイ</t>
    </rPh>
    <phoneticPr fontId="15"/>
  </si>
  <si>
    <t>汚水（税込）</t>
    <rPh sb="0" eb="2">
      <t>オスイ</t>
    </rPh>
    <phoneticPr fontId="15"/>
  </si>
  <si>
    <t>雨水（税込）</t>
    <rPh sb="0" eb="2">
      <t>ウスイ</t>
    </rPh>
    <rPh sb="3" eb="5">
      <t>ゼイコミ</t>
    </rPh>
    <phoneticPr fontId="15"/>
  </si>
  <si>
    <t/>
  </si>
  <si>
    <t>----</t>
  </si>
  <si>
    <t>固定資産売却益</t>
  </si>
  <si>
    <t>483020200</t>
  </si>
  <si>
    <t>不用品売却収益</t>
    <phoneticPr fontId="3"/>
  </si>
  <si>
    <t>482123600</t>
    <phoneticPr fontId="3"/>
  </si>
  <si>
    <t>482113700</t>
  </si>
  <si>
    <t>481121400</t>
    <phoneticPr fontId="3"/>
  </si>
  <si>
    <t>3条収入ｼｰﾄ集計値</t>
    <rPh sb="1" eb="2">
      <t>ジョウ</t>
    </rPh>
    <rPh sb="2" eb="4">
      <t>シュウニュウ</t>
    </rPh>
    <rPh sb="7" eb="9">
      <t>シュウケイ</t>
    </rPh>
    <rPh sb="9" eb="10">
      <t>チ</t>
    </rPh>
    <phoneticPr fontId="3"/>
  </si>
  <si>
    <t>税抜き
要調整額</t>
    <rPh sb="0" eb="1">
      <t>ゼイ</t>
    </rPh>
    <rPh sb="1" eb="2">
      <t>ヌ</t>
    </rPh>
    <rPh sb="4" eb="5">
      <t>ヨウ</t>
    </rPh>
    <rPh sb="5" eb="7">
      <t>チョウセイ</t>
    </rPh>
    <rPh sb="7" eb="8">
      <t>ガク</t>
    </rPh>
    <phoneticPr fontId="3"/>
  </si>
  <si>
    <t>チェック</t>
    <phoneticPr fontId="15"/>
  </si>
  <si>
    <t>不課税分に係る特定収入仮払消費税額の配賦表↓</t>
    <rPh sb="0" eb="1">
      <t>フ</t>
    </rPh>
    <rPh sb="1" eb="3">
      <t>カゼイ</t>
    </rPh>
    <rPh sb="3" eb="4">
      <t>ブン</t>
    </rPh>
    <rPh sb="5" eb="6">
      <t>カカ</t>
    </rPh>
    <rPh sb="7" eb="9">
      <t>トクテイ</t>
    </rPh>
    <rPh sb="9" eb="11">
      <t>シュウニュウ</t>
    </rPh>
    <rPh sb="11" eb="13">
      <t>カリバラ</t>
    </rPh>
    <rPh sb="13" eb="15">
      <t>ショウヒ</t>
    </rPh>
    <rPh sb="15" eb="17">
      <t>ゼイガク</t>
    </rPh>
    <rPh sb="18" eb="20">
      <t>ハイフ</t>
    </rPh>
    <rPh sb="20" eb="21">
      <t>ヒョウ</t>
    </rPh>
    <phoneticPr fontId="3"/>
  </si>
  <si>
    <t>集計表（うち、不課税分）↓</t>
    <rPh sb="0" eb="2">
      <t>シュウケイ</t>
    </rPh>
    <rPh sb="2" eb="3">
      <t>ヒョウ</t>
    </rPh>
    <rPh sb="7" eb="8">
      <t>フ</t>
    </rPh>
    <rPh sb="8" eb="10">
      <t>カゼイ</t>
    </rPh>
    <rPh sb="10" eb="11">
      <t>ブン</t>
    </rPh>
    <phoneticPr fontId="3"/>
  </si>
  <si>
    <t>集計表（全体）↓</t>
    <rPh sb="0" eb="2">
      <t>シュウケイ</t>
    </rPh>
    <rPh sb="2" eb="3">
      <t>ヒョウ</t>
    </rPh>
    <rPh sb="4" eb="5">
      <t>ゼン</t>
    </rPh>
    <rPh sb="5" eb="6">
      <t>タイ</t>
    </rPh>
    <phoneticPr fontId="3"/>
  </si>
  <si>
    <t>特別損失</t>
  </si>
  <si>
    <t>下水道事業費用</t>
  </si>
  <si>
    <t>885060600</t>
  </si>
  <si>
    <t>雑支出</t>
  </si>
  <si>
    <t>営業外費用</t>
  </si>
  <si>
    <t>884066300</t>
  </si>
  <si>
    <t>還付加算金</t>
  </si>
  <si>
    <t>884066200</t>
  </si>
  <si>
    <t>支払利息及び企業債取扱諸費</t>
  </si>
  <si>
    <t>884025400</t>
  </si>
  <si>
    <t>885080800</t>
  </si>
  <si>
    <t>固定資産売却損</t>
    <rPh sb="6" eb="7">
      <t>ソン</t>
    </rPh>
    <phoneticPr fontId="3"/>
  </si>
  <si>
    <t>885020200</t>
    <phoneticPr fontId="3"/>
  </si>
  <si>
    <t>3条支出ｼｰﾄ集計値</t>
    <rPh sb="1" eb="2">
      <t>ジョウ</t>
    </rPh>
    <rPh sb="2" eb="4">
      <t>シシュツ</t>
    </rPh>
    <rPh sb="7" eb="9">
      <t>シュウケイ</t>
    </rPh>
    <rPh sb="9" eb="10">
      <t>チ</t>
    </rPh>
    <phoneticPr fontId="3"/>
  </si>
  <si>
    <t>集計表（全体）</t>
    <rPh sb="0" eb="2">
      <t>シュウケイ</t>
    </rPh>
    <rPh sb="2" eb="3">
      <t>ヒョウ</t>
    </rPh>
    <rPh sb="4" eb="5">
      <t>ゼン</t>
    </rPh>
    <rPh sb="5" eb="6">
      <t>タイ</t>
    </rPh>
    <phoneticPr fontId="3"/>
  </si>
  <si>
    <t>浄化槽費</t>
  </si>
  <si>
    <t>営業費用</t>
  </si>
  <si>
    <t>農業集落排水費</t>
  </si>
  <si>
    <t>特環公共下水道費</t>
  </si>
  <si>
    <t>執行額</t>
    <rPh sb="0" eb="2">
      <t>シッコウ</t>
    </rPh>
    <rPh sb="2" eb="3">
      <t>ガク</t>
    </rPh>
    <phoneticPr fontId="3"/>
  </si>
  <si>
    <t>税率別税抜き額</t>
    <rPh sb="0" eb="2">
      <t>ゼイリツ</t>
    </rPh>
    <rPh sb="2" eb="3">
      <t>ベツ</t>
    </rPh>
    <rPh sb="3" eb="4">
      <t>ゼイ</t>
    </rPh>
    <rPh sb="4" eb="5">
      <t>ヌ</t>
    </rPh>
    <rPh sb="6" eb="7">
      <t>ガク</t>
    </rPh>
    <phoneticPr fontId="3"/>
  </si>
  <si>
    <t>合　　　　　計</t>
  </si>
  <si>
    <t>・その他特別損失の資本費・汚水分（受益者負担金過誤納還付金、排水設備取付管設置工事受託収入の調定誤りの修正）</t>
    <rPh sb="13" eb="15">
      <t>オスイ</t>
    </rPh>
    <phoneticPr fontId="18"/>
  </si>
  <si>
    <t>小　　　　計</t>
  </si>
  <si>
    <t>汚水</t>
    <rPh sb="0" eb="2">
      <t>オスイ</t>
    </rPh>
    <phoneticPr fontId="18"/>
  </si>
  <si>
    <t>雨水</t>
    <rPh sb="0" eb="2">
      <t>ウスイ</t>
    </rPh>
    <phoneticPr fontId="18"/>
  </si>
  <si>
    <t>水便以外</t>
    <rPh sb="0" eb="1">
      <t>スイ</t>
    </rPh>
    <rPh sb="1" eb="2">
      <t>ベン</t>
    </rPh>
    <rPh sb="2" eb="4">
      <t>イガイ</t>
    </rPh>
    <phoneticPr fontId="18"/>
  </si>
  <si>
    <t>平成２８年度決算における遊休資産に係る減損損失等総括表</t>
    <rPh sb="0" eb="2">
      <t>ヘイセイ</t>
    </rPh>
    <rPh sb="4" eb="6">
      <t>ネンド</t>
    </rPh>
    <rPh sb="6" eb="8">
      <t>ケッサン</t>
    </rPh>
    <rPh sb="12" eb="14">
      <t>ユウキュウ</t>
    </rPh>
    <rPh sb="14" eb="16">
      <t>シサン</t>
    </rPh>
    <rPh sb="17" eb="18">
      <t>カカ</t>
    </rPh>
    <rPh sb="19" eb="21">
      <t>ゲンソン</t>
    </rPh>
    <rPh sb="21" eb="24">
      <t>ソンシツナド</t>
    </rPh>
    <rPh sb="24" eb="27">
      <t>ソウカツヒョウ</t>
    </rPh>
    <phoneticPr fontId="18"/>
  </si>
  <si>
    <t>資本雨水利息</t>
  </si>
  <si>
    <t>水便</t>
  </si>
  <si>
    <t>基準外</t>
    <rPh sb="0" eb="2">
      <t>キジュン</t>
    </rPh>
    <rPh sb="2" eb="3">
      <t>ガイ</t>
    </rPh>
    <phoneticPr fontId="18"/>
  </si>
  <si>
    <t>基準内</t>
    <rPh sb="0" eb="2">
      <t>キジュン</t>
    </rPh>
    <rPh sb="2" eb="3">
      <t>ナイ</t>
    </rPh>
    <phoneticPr fontId="18"/>
  </si>
  <si>
    <t>区域外</t>
    <rPh sb="0" eb="3">
      <t>クイキガイガイ</t>
    </rPh>
    <phoneticPr fontId="18"/>
  </si>
  <si>
    <t>区域内</t>
    <rPh sb="0" eb="3">
      <t>クイキナイ</t>
    </rPh>
    <phoneticPr fontId="18"/>
  </si>
  <si>
    <t>過年度損益修正損
（減損損益含む）</t>
    <rPh sb="10" eb="12">
      <t>ゲンソン</t>
    </rPh>
    <rPh sb="12" eb="14">
      <t>ソンエキ</t>
    </rPh>
    <rPh sb="14" eb="15">
      <t>フク</t>
    </rPh>
    <phoneticPr fontId="18"/>
  </si>
  <si>
    <t>耐用年数の登録誤りによる過年度損益修正に係る雨・汚水分け</t>
    <rPh sb="0" eb="2">
      <t>タイヨウ</t>
    </rPh>
    <rPh sb="2" eb="4">
      <t>ネンスウ</t>
    </rPh>
    <rPh sb="5" eb="7">
      <t>トウロク</t>
    </rPh>
    <rPh sb="7" eb="8">
      <t>アヤマ</t>
    </rPh>
    <rPh sb="12" eb="15">
      <t>カネンド</t>
    </rPh>
    <rPh sb="15" eb="17">
      <t>ソンエキ</t>
    </rPh>
    <rPh sb="17" eb="19">
      <t>シュウセイ</t>
    </rPh>
    <rPh sb="20" eb="21">
      <t>カカ</t>
    </rPh>
    <rPh sb="22" eb="26">
      <t>ウオスイ</t>
    </rPh>
    <rPh sb="26" eb="27">
      <t>ワ</t>
    </rPh>
    <phoneticPr fontId="18"/>
  </si>
  <si>
    <t>雑支出(消費税分)</t>
  </si>
  <si>
    <t>H28決算　減償雨汚　減価償却費算定シート.xlsx]公共（全）による雨水・汚水の基準内・基準外の按分率）</t>
    <rPh sb="35" eb="37">
      <t>ウスイ</t>
    </rPh>
    <rPh sb="38" eb="40">
      <t>オスイ</t>
    </rPh>
    <rPh sb="41" eb="43">
      <t>キジュン</t>
    </rPh>
    <rPh sb="43" eb="44">
      <t>ナイ</t>
    </rPh>
    <rPh sb="45" eb="47">
      <t>キジュン</t>
    </rPh>
    <rPh sb="47" eb="48">
      <t>ガイ</t>
    </rPh>
    <rPh sb="49" eb="51">
      <t>アンブン</t>
    </rPh>
    <rPh sb="51" eb="52">
      <t>リツ</t>
    </rPh>
    <phoneticPr fontId="18"/>
  </si>
  <si>
    <t>支払利息</t>
  </si>
  <si>
    <t>資産減耗(除却)</t>
  </si>
  <si>
    <t>資本雨水減価</t>
    <rPh sb="4" eb="5">
      <t>ゲン</t>
    </rPh>
    <rPh sb="5" eb="6">
      <t>カ</t>
    </rPh>
    <phoneticPr fontId="18"/>
  </si>
  <si>
    <t>維持雨水</t>
  </si>
  <si>
    <t>予備費</t>
  </si>
  <si>
    <t>過年度損益修正損
固定資産売却損</t>
    <rPh sb="9" eb="11">
      <t>コテイ</t>
    </rPh>
    <rPh sb="11" eb="13">
      <t>シサン</t>
    </rPh>
    <rPh sb="13" eb="15">
      <t>バイキャク</t>
    </rPh>
    <rPh sb="15" eb="16">
      <t>ソン</t>
    </rPh>
    <phoneticPr fontId="18"/>
  </si>
  <si>
    <t>雑支出(災害支援経費)</t>
    <rPh sb="4" eb="6">
      <t>サイガイ</t>
    </rPh>
    <rPh sb="6" eb="8">
      <t>シエン</t>
    </rPh>
    <rPh sb="8" eb="10">
      <t>ケイヒ</t>
    </rPh>
    <phoneticPr fontId="3"/>
  </si>
  <si>
    <t>支払利息(一借)</t>
  </si>
  <si>
    <t>資産減耗(撤去)</t>
  </si>
  <si>
    <t>災害復旧費</t>
    <rPh sb="0" eb="2">
      <t>サイガイ</t>
    </rPh>
    <rPh sb="2" eb="4">
      <t>フッキュウ</t>
    </rPh>
    <rPh sb="4" eb="5">
      <t>ヒ</t>
    </rPh>
    <phoneticPr fontId="18"/>
  </si>
  <si>
    <t>浄化槽費</t>
    <rPh sb="0" eb="3">
      <t>ジョウカソウ</t>
    </rPh>
    <rPh sb="3" eb="4">
      <t>ヒ</t>
    </rPh>
    <phoneticPr fontId="18"/>
  </si>
  <si>
    <t>農業集落排水費</t>
    <rPh sb="0" eb="2">
      <t>ノウギョウ</t>
    </rPh>
    <rPh sb="2" eb="4">
      <t>シュウラク</t>
    </rPh>
    <rPh sb="4" eb="6">
      <t>ハイスイ</t>
    </rPh>
    <rPh sb="6" eb="7">
      <t>ヒ</t>
    </rPh>
    <phoneticPr fontId="18"/>
  </si>
  <si>
    <t>特環公共下水道費</t>
    <rPh sb="0" eb="2">
      <t>トッカン</t>
    </rPh>
    <rPh sb="2" eb="4">
      <t>コウキョウ</t>
    </rPh>
    <rPh sb="4" eb="6">
      <t>ゲスイ</t>
    </rPh>
    <rPh sb="6" eb="7">
      <t>ドウ</t>
    </rPh>
    <rPh sb="7" eb="8">
      <t>ヒ</t>
    </rPh>
    <phoneticPr fontId="18"/>
  </si>
  <si>
    <t>貸倒引当金を除く</t>
    <rPh sb="0" eb="2">
      <t>カシダオレ</t>
    </rPh>
    <rPh sb="2" eb="4">
      <t>ヒキアテ</t>
    </rPh>
    <rPh sb="4" eb="5">
      <t>キン</t>
    </rPh>
    <rPh sb="6" eb="7">
      <t>ノゾ</t>
    </rPh>
    <phoneticPr fontId="18"/>
  </si>
  <si>
    <t>水洗化</t>
    <rPh sb="0" eb="3">
      <t>スイセンカ</t>
    </rPh>
    <phoneticPr fontId="18"/>
  </si>
  <si>
    <t>普及</t>
  </si>
  <si>
    <t>使用料徴収
区域内</t>
  </si>
  <si>
    <t>(一般行政経費)</t>
  </si>
  <si>
    <t>使用料徴収
区域外</t>
  </si>
  <si>
    <t>計</t>
  </si>
  <si>
    <t>繰出基準外</t>
  </si>
  <si>
    <t>繰出基準内</t>
  </si>
  <si>
    <t>汚水分</t>
  </si>
  <si>
    <t>雨水分</t>
  </si>
  <si>
    <t>所 要 額</t>
  </si>
  <si>
    <t>区　　　　　分</t>
  </si>
  <si>
    <t>単位：円</t>
    <phoneticPr fontId="18"/>
  </si>
  <si>
    <t>(支出)</t>
  </si>
  <si>
    <t>資本雨水</t>
  </si>
  <si>
    <t>消費税</t>
  </si>
  <si>
    <t>平成２７年度決算における遊休資産に係る減損損失等総括表</t>
    <rPh sb="0" eb="2">
      <t>ヘイセイ</t>
    </rPh>
    <rPh sb="4" eb="6">
      <t>ネンド</t>
    </rPh>
    <rPh sb="6" eb="8">
      <t>ケッサン</t>
    </rPh>
    <rPh sb="12" eb="14">
      <t>ユウキュウ</t>
    </rPh>
    <rPh sb="14" eb="16">
      <t>シサン</t>
    </rPh>
    <rPh sb="17" eb="18">
      <t>カカ</t>
    </rPh>
    <rPh sb="19" eb="21">
      <t>ゲンソン</t>
    </rPh>
    <rPh sb="21" eb="24">
      <t>ソンシツナド</t>
    </rPh>
    <rPh sb="24" eb="27">
      <t>ソウカツヒョウ</t>
    </rPh>
    <phoneticPr fontId="18"/>
  </si>
  <si>
    <t>計　　</t>
    <rPh sb="0" eb="1">
      <t>ケイ</t>
    </rPh>
    <phoneticPr fontId="18"/>
  </si>
  <si>
    <t>支払利息分</t>
    <rPh sb="0" eb="2">
      <t>シハライ</t>
    </rPh>
    <rPh sb="2" eb="4">
      <t>リソク</t>
    </rPh>
    <rPh sb="4" eb="5">
      <t>ブン</t>
    </rPh>
    <phoneticPr fontId="18"/>
  </si>
  <si>
    <t>減価償却費分</t>
    <rPh sb="0" eb="2">
      <t>ゲンカ</t>
    </rPh>
    <rPh sb="2" eb="4">
      <t>ショウキャク</t>
    </rPh>
    <rPh sb="4" eb="5">
      <t>ヒ</t>
    </rPh>
    <rPh sb="5" eb="6">
      <t>ブン</t>
    </rPh>
    <phoneticPr fontId="18"/>
  </si>
  <si>
    <t>使用料減免分の充当額</t>
    <rPh sb="0" eb="2">
      <t>シヨウ</t>
    </rPh>
    <rPh sb="2" eb="3">
      <t>リョウ</t>
    </rPh>
    <rPh sb="3" eb="5">
      <t>ゲンメン</t>
    </rPh>
    <rPh sb="5" eb="6">
      <t>ブン</t>
    </rPh>
    <rPh sb="7" eb="9">
      <t>ジュウトウ</t>
    </rPh>
    <rPh sb="9" eb="10">
      <t>ガク</t>
    </rPh>
    <phoneticPr fontId="18"/>
  </si>
  <si>
    <t>←資本費算入率</t>
    <rPh sb="1" eb="3">
      <t>シホン</t>
    </rPh>
    <rPh sb="3" eb="4">
      <t>ヒ</t>
    </rPh>
    <rPh sb="4" eb="6">
      <t>サンニュウ</t>
    </rPh>
    <rPh sb="6" eb="7">
      <t>リツ</t>
    </rPh>
    <phoneticPr fontId="18"/>
  </si>
  <si>
    <t>支払利息分　（Ａ×Ｃ／Ｄ）</t>
    <rPh sb="0" eb="2">
      <t>シハライ</t>
    </rPh>
    <rPh sb="2" eb="4">
      <t>リソク</t>
    </rPh>
    <rPh sb="4" eb="5">
      <t>ブン</t>
    </rPh>
    <phoneticPr fontId="18"/>
  </si>
  <si>
    <t>減価償却費分（Ａ×Ｂ／Ｄ）</t>
    <rPh sb="0" eb="2">
      <t>ゲンカ</t>
    </rPh>
    <rPh sb="2" eb="4">
      <t>ショウキャク</t>
    </rPh>
    <rPh sb="4" eb="5">
      <t>ヒ</t>
    </rPh>
    <rPh sb="5" eb="6">
      <t>ブン</t>
    </rPh>
    <phoneticPr fontId="18"/>
  </si>
  <si>
    <t>（Ａ）の充当額</t>
    <rPh sb="4" eb="6">
      <t>ジュウトウ</t>
    </rPh>
    <rPh sb="6" eb="7">
      <t>ガク</t>
    </rPh>
    <phoneticPr fontId="18"/>
  </si>
  <si>
    <t>計　　　（Ｄ）</t>
    <rPh sb="0" eb="1">
      <t>ケイ</t>
    </rPh>
    <phoneticPr fontId="18"/>
  </si>
  <si>
    <t>特財充当後支払利息　（Ｃ）</t>
    <rPh sb="0" eb="1">
      <t>トク</t>
    </rPh>
    <rPh sb="1" eb="2">
      <t>ザイ</t>
    </rPh>
    <rPh sb="2" eb="4">
      <t>ジュウトウ</t>
    </rPh>
    <rPh sb="4" eb="5">
      <t>ゴ</t>
    </rPh>
    <rPh sb="5" eb="7">
      <t>シハライ</t>
    </rPh>
    <rPh sb="7" eb="9">
      <t>リソク</t>
    </rPh>
    <phoneticPr fontId="18"/>
  </si>
  <si>
    <t>特財充当後減価償却費　（Ｂ）</t>
    <rPh sb="0" eb="1">
      <t>トク</t>
    </rPh>
    <rPh sb="1" eb="2">
      <t>ザイ</t>
    </rPh>
    <rPh sb="2" eb="4">
      <t>ジュウトウ</t>
    </rPh>
    <rPh sb="4" eb="5">
      <t>ゴ</t>
    </rPh>
    <rPh sb="5" eb="7">
      <t>ゲンカ</t>
    </rPh>
    <rPh sb="7" eb="9">
      <t>ショウキャク</t>
    </rPh>
    <rPh sb="9" eb="10">
      <t>ヒ</t>
    </rPh>
    <phoneticPr fontId="18"/>
  </si>
  <si>
    <t>資本費充当可能使用料額　（Ａ）</t>
    <rPh sb="0" eb="2">
      <t>シホン</t>
    </rPh>
    <rPh sb="2" eb="3">
      <t>ヒ</t>
    </rPh>
    <rPh sb="3" eb="5">
      <t>ジュウトウ</t>
    </rPh>
    <rPh sb="5" eb="7">
      <t>カノウ</t>
    </rPh>
    <rPh sb="7" eb="9">
      <t>シヨウ</t>
    </rPh>
    <rPh sb="9" eb="10">
      <t>リョウ</t>
    </rPh>
    <rPh sb="10" eb="11">
      <t>ガク</t>
    </rPh>
    <phoneticPr fontId="18"/>
  </si>
  <si>
    <t>汚水基準外充当分</t>
    <rPh sb="0" eb="2">
      <t>オスイ</t>
    </rPh>
    <rPh sb="2" eb="4">
      <t>キジュン</t>
    </rPh>
    <rPh sb="4" eb="5">
      <t>ガイ</t>
    </rPh>
    <rPh sb="5" eb="7">
      <t>ジュウトウ</t>
    </rPh>
    <rPh sb="7" eb="8">
      <t>ブン</t>
    </rPh>
    <phoneticPr fontId="3"/>
  </si>
  <si>
    <t>その他補助金</t>
    <rPh sb="2" eb="3">
      <t>タ</t>
    </rPh>
    <rPh sb="3" eb="6">
      <t>ホジョキン</t>
    </rPh>
    <phoneticPr fontId="18"/>
  </si>
  <si>
    <t>入力忘れずに</t>
    <rPh sb="0" eb="2">
      <t>ニュウリョク</t>
    </rPh>
    <rPh sb="2" eb="3">
      <t>ワス</t>
    </rPh>
    <phoneticPr fontId="18"/>
  </si>
  <si>
    <t>使用料減免分</t>
    <rPh sb="0" eb="2">
      <t>シヨウ</t>
    </rPh>
    <rPh sb="2" eb="3">
      <t>リョウ</t>
    </rPh>
    <rPh sb="3" eb="5">
      <t>ゲンメン</t>
    </rPh>
    <rPh sb="5" eb="6">
      <t>ブン</t>
    </rPh>
    <phoneticPr fontId="3"/>
  </si>
  <si>
    <t>源</t>
  </si>
  <si>
    <t>汚水処理補助金</t>
    <rPh sb="0" eb="2">
      <t>オスイ</t>
    </rPh>
    <rPh sb="2" eb="4">
      <t>ショリ</t>
    </rPh>
    <rPh sb="4" eb="7">
      <t>ホジョキン</t>
    </rPh>
    <phoneticPr fontId="3"/>
  </si>
  <si>
    <t>特別利益</t>
    <phoneticPr fontId="18"/>
  </si>
  <si>
    <t>財</t>
  </si>
  <si>
    <t>長期前受金戻入額
（除却分）</t>
    <rPh sb="0" eb="2">
      <t>チョウキ</t>
    </rPh>
    <rPh sb="2" eb="5">
      <t>マエウケキン</t>
    </rPh>
    <rPh sb="5" eb="7">
      <t>レイニュウ</t>
    </rPh>
    <rPh sb="7" eb="8">
      <t>ガク</t>
    </rPh>
    <rPh sb="10" eb="12">
      <t>ジョキャク</t>
    </rPh>
    <rPh sb="12" eb="13">
      <t>ブン</t>
    </rPh>
    <phoneticPr fontId="18"/>
  </si>
  <si>
    <t>当</t>
  </si>
  <si>
    <t>長期前受金戻入額</t>
    <rPh sb="0" eb="2">
      <t>チョウキ</t>
    </rPh>
    <rPh sb="2" eb="5">
      <t>マエウケキン</t>
    </rPh>
    <rPh sb="5" eb="7">
      <t>レイニュウ</t>
    </rPh>
    <rPh sb="7" eb="8">
      <t>ガク</t>
    </rPh>
    <phoneticPr fontId="18"/>
  </si>
  <si>
    <t>充</t>
  </si>
  <si>
    <t>負担金</t>
    <phoneticPr fontId="18"/>
  </si>
  <si>
    <t>費</t>
  </si>
  <si>
    <t>貸付事業費負担金
〈下段は利息分を除いた額〉</t>
    <rPh sb="0" eb="2">
      <t>カシツケ</t>
    </rPh>
    <rPh sb="2" eb="5">
      <t>ジギョウヒ</t>
    </rPh>
    <rPh sb="5" eb="8">
      <t>フタンキン</t>
    </rPh>
    <rPh sb="11" eb="13">
      <t>ゲダン</t>
    </rPh>
    <rPh sb="14" eb="17">
      <t>リソクブン</t>
    </rPh>
    <rPh sb="18" eb="19">
      <t>ノゾ</t>
    </rPh>
    <rPh sb="21" eb="22">
      <t>ガク</t>
    </rPh>
    <phoneticPr fontId="3"/>
  </si>
  <si>
    <t>本</t>
  </si>
  <si>
    <t>国庫補助金</t>
  </si>
  <si>
    <t>資</t>
  </si>
  <si>
    <t>普及促進費負担金</t>
    <rPh sb="0" eb="2">
      <t>フキュウ</t>
    </rPh>
    <rPh sb="2" eb="5">
      <t>ソクシンヒ</t>
    </rPh>
    <rPh sb="5" eb="8">
      <t>フタンキン</t>
    </rPh>
    <phoneticPr fontId="3"/>
  </si>
  <si>
    <t>水質指導費負担金</t>
    <rPh sb="0" eb="2">
      <t>スイシツ</t>
    </rPh>
    <rPh sb="2" eb="4">
      <t>シドウ</t>
    </rPh>
    <rPh sb="4" eb="5">
      <t>ヒ</t>
    </rPh>
    <rPh sb="5" eb="8">
      <t>フタンキン</t>
    </rPh>
    <phoneticPr fontId="3"/>
  </si>
  <si>
    <t>　</t>
  </si>
  <si>
    <t>災害補助金</t>
    <rPh sb="0" eb="2">
      <t>サイガイ</t>
    </rPh>
    <phoneticPr fontId="18"/>
  </si>
  <si>
    <t>特別利益</t>
    <phoneticPr fontId="18"/>
  </si>
  <si>
    <t>理</t>
  </si>
  <si>
    <t>管</t>
  </si>
  <si>
    <t>持</t>
  </si>
  <si>
    <t>維持管理費分</t>
    <rPh sb="0" eb="2">
      <t>イジ</t>
    </rPh>
    <rPh sb="2" eb="5">
      <t>カンリヒ</t>
    </rPh>
    <rPh sb="5" eb="6">
      <t>ブン</t>
    </rPh>
    <phoneticPr fontId="3"/>
  </si>
  <si>
    <t>受託工事収益</t>
  </si>
  <si>
    <t>維</t>
  </si>
  <si>
    <t>下水道使用料</t>
  </si>
  <si>
    <t>雨水処理負担金</t>
    <rPh sb="0" eb="2">
      <t>ウスイ</t>
    </rPh>
    <rPh sb="2" eb="4">
      <t>ショリ</t>
    </rPh>
    <rPh sb="4" eb="7">
      <t>フタンキン</t>
    </rPh>
    <phoneticPr fontId="3"/>
  </si>
  <si>
    <t>調整後消費税
雑支出加算額</t>
    <rPh sb="0" eb="2">
      <t>チョウセイ</t>
    </rPh>
    <rPh sb="2" eb="3">
      <t>ゴ</t>
    </rPh>
    <rPh sb="3" eb="6">
      <t>ショウヒゼイ</t>
    </rPh>
    <rPh sb="7" eb="8">
      <t>ザツ</t>
    </rPh>
    <rPh sb="8" eb="10">
      <t>シシュツ</t>
    </rPh>
    <rPh sb="10" eb="13">
      <t>カサンガク</t>
    </rPh>
    <phoneticPr fontId="18"/>
  </si>
  <si>
    <t>最終繰入金額</t>
    <rPh sb="0" eb="2">
      <t>サイシュウ</t>
    </rPh>
    <rPh sb="2" eb="4">
      <t>クリイレ</t>
    </rPh>
    <rPh sb="4" eb="5">
      <t>キン</t>
    </rPh>
    <rPh sb="5" eb="6">
      <t>ガク</t>
    </rPh>
    <phoneticPr fontId="18"/>
  </si>
  <si>
    <t>税込額との
調整額</t>
    <rPh sb="0" eb="2">
      <t>ゼイコミ</t>
    </rPh>
    <rPh sb="2" eb="3">
      <t>ガク</t>
    </rPh>
    <rPh sb="6" eb="8">
      <t>チョウセイ</t>
    </rPh>
    <rPh sb="8" eb="9">
      <t>ガク</t>
    </rPh>
    <phoneticPr fontId="18"/>
  </si>
  <si>
    <t>計</t>
    <rPh sb="0" eb="1">
      <t>ケイ</t>
    </rPh>
    <phoneticPr fontId="18"/>
  </si>
  <si>
    <t>調整前消費税
雑支出加算額</t>
    <rPh sb="0" eb="2">
      <t>チョウセイ</t>
    </rPh>
    <rPh sb="2" eb="3">
      <t>ゼン</t>
    </rPh>
    <rPh sb="3" eb="6">
      <t>ショウヒゼイ</t>
    </rPh>
    <rPh sb="7" eb="8">
      <t>ザツ</t>
    </rPh>
    <rPh sb="8" eb="10">
      <t>シシュツ</t>
    </rPh>
    <rPh sb="10" eb="13">
      <t>カサンガク</t>
    </rPh>
    <phoneticPr fontId="18"/>
  </si>
  <si>
    <t>消費税雑支出
加算前</t>
    <rPh sb="0" eb="3">
      <t>ショウヒゼイ</t>
    </rPh>
    <rPh sb="3" eb="4">
      <t>ザツ</t>
    </rPh>
    <rPh sb="4" eb="6">
      <t>シシュツ</t>
    </rPh>
    <rPh sb="7" eb="9">
      <t>カサン</t>
    </rPh>
    <rPh sb="9" eb="10">
      <t>ゼン</t>
    </rPh>
    <phoneticPr fontId="18"/>
  </si>
  <si>
    <t>区　　　分</t>
  </si>
  <si>
    <t>単位：円</t>
  </si>
  <si>
    <t>（収入）</t>
  </si>
  <si>
    <t>２８年度一般会計繰入金</t>
    <rPh sb="2" eb="4">
      <t>ネンド</t>
    </rPh>
    <rPh sb="4" eb="6">
      <t>イッパン</t>
    </rPh>
    <rPh sb="6" eb="8">
      <t>カイケイ</t>
    </rPh>
    <rPh sb="8" eb="10">
      <t>クリイレ</t>
    </rPh>
    <rPh sb="10" eb="11">
      <t>キン</t>
    </rPh>
    <phoneticPr fontId="18"/>
  </si>
  <si>
    <t>特別利益</t>
    <phoneticPr fontId="18"/>
  </si>
  <si>
    <t>負担金</t>
    <phoneticPr fontId="18"/>
  </si>
  <si>
    <t>貸付事業費負担金</t>
    <rPh sb="0" eb="2">
      <t>カシツケ</t>
    </rPh>
    <rPh sb="2" eb="5">
      <t>ジギョウヒ</t>
    </rPh>
    <rPh sb="5" eb="8">
      <t>フタンキン</t>
    </rPh>
    <phoneticPr fontId="3"/>
  </si>
  <si>
    <t>支払利息分計</t>
    <rPh sb="0" eb="2">
      <t>シハライ</t>
    </rPh>
    <rPh sb="2" eb="4">
      <t>リソク</t>
    </rPh>
    <rPh sb="4" eb="5">
      <t>ブン</t>
    </rPh>
    <rPh sb="5" eb="6">
      <t>ケイ</t>
    </rPh>
    <phoneticPr fontId="18"/>
  </si>
  <si>
    <t>単位：円</t>
    <phoneticPr fontId="18"/>
  </si>
  <si>
    <t>【３条収入雨汚水分け表】（消費税雑収益加算後）</t>
    <rPh sb="2" eb="3">
      <t>ジョウ</t>
    </rPh>
    <rPh sb="3" eb="5">
      <t>シュウニュウ</t>
    </rPh>
    <rPh sb="5" eb="6">
      <t>ウ</t>
    </rPh>
    <rPh sb="6" eb="8">
      <t>オスイ</t>
    </rPh>
    <rPh sb="8" eb="9">
      <t>ワ</t>
    </rPh>
    <rPh sb="10" eb="11">
      <t>ヒョウ</t>
    </rPh>
    <rPh sb="17" eb="19">
      <t>シュウエキ</t>
    </rPh>
    <phoneticPr fontId="3"/>
  </si>
  <si>
    <t>不用品売却収益</t>
    <rPh sb="0" eb="3">
      <t>フヨウヒン</t>
    </rPh>
    <rPh sb="3" eb="5">
      <t>バイキャク</t>
    </rPh>
    <rPh sb="5" eb="7">
      <t>シュウエキ</t>
    </rPh>
    <phoneticPr fontId="2"/>
  </si>
  <si>
    <t>その他雑収益</t>
    <rPh sb="2" eb="3">
      <t>タ</t>
    </rPh>
    <rPh sb="3" eb="6">
      <t>ザツシュウエキ</t>
    </rPh>
    <phoneticPr fontId="3"/>
  </si>
  <si>
    <t>その他雑収益（消費税）</t>
    <rPh sb="3" eb="4">
      <t>ザツ</t>
    </rPh>
    <rPh sb="7" eb="10">
      <t>ショウヒゼイ</t>
    </rPh>
    <phoneticPr fontId="3"/>
  </si>
  <si>
    <t>一般行政</t>
    <phoneticPr fontId="2"/>
  </si>
  <si>
    <t>←差引不足額（充足は0）</t>
    <rPh sb="1" eb="3">
      <t>サシヒキ</t>
    </rPh>
    <rPh sb="3" eb="5">
      <t>ブソク</t>
    </rPh>
    <rPh sb="5" eb="6">
      <t>ガク</t>
    </rPh>
    <rPh sb="7" eb="9">
      <t>ジュウソク</t>
    </rPh>
    <phoneticPr fontId="3"/>
  </si>
  <si>
    <t>雑収益（消費税分）</t>
    <rPh sb="4" eb="7">
      <t>ショウヒゼイ</t>
    </rPh>
    <rPh sb="7" eb="8">
      <t>ブン</t>
    </rPh>
    <phoneticPr fontId="2"/>
  </si>
  <si>
    <t>雑収益</t>
    <phoneticPr fontId="2"/>
  </si>
  <si>
    <t>国庫補助金</t>
    <rPh sb="0" eb="2">
      <t>コッコ</t>
    </rPh>
    <rPh sb="2" eb="5">
      <t>ホジョキン</t>
    </rPh>
    <phoneticPr fontId="2"/>
  </si>
  <si>
    <t>481142000</t>
    <phoneticPr fontId="2"/>
  </si>
  <si>
    <t>482042900</t>
    <phoneticPr fontId="2"/>
  </si>
  <si>
    <t>その他国庫補助金(災害)</t>
    <rPh sb="9" eb="11">
      <t>サイガイ</t>
    </rPh>
    <phoneticPr fontId="3"/>
  </si>
  <si>
    <t>雨水（税抜）</t>
    <rPh sb="0" eb="2">
      <t>ウスイ</t>
    </rPh>
    <phoneticPr fontId="15"/>
  </si>
  <si>
    <t>うち、汚水基準外以外への充当額</t>
    <rPh sb="3" eb="5">
      <t>オスイ</t>
    </rPh>
    <rPh sb="5" eb="7">
      <t>キジュン</t>
    </rPh>
    <rPh sb="7" eb="8">
      <t>ガイ</t>
    </rPh>
    <rPh sb="8" eb="10">
      <t>イガイ</t>
    </rPh>
    <rPh sb="12" eb="14">
      <t>ジュウトウ</t>
    </rPh>
    <rPh sb="14" eb="15">
      <t>ガク</t>
    </rPh>
    <phoneticPr fontId="3"/>
  </si>
  <si>
    <t>雑収益、特別利益分の特定収入に係る課税仕入れ等に係る消費税額等の配分</t>
    <rPh sb="0" eb="3">
      <t>ザツシュウエキ</t>
    </rPh>
    <rPh sb="4" eb="6">
      <t>トクベツ</t>
    </rPh>
    <rPh sb="6" eb="8">
      <t>リエキ</t>
    </rPh>
    <rPh sb="8" eb="9">
      <t>ブン</t>
    </rPh>
    <rPh sb="10" eb="12">
      <t>トクテイ</t>
    </rPh>
    <rPh sb="12" eb="14">
      <t>シュウニュウ</t>
    </rPh>
    <rPh sb="15" eb="16">
      <t>カカ</t>
    </rPh>
    <rPh sb="22" eb="23">
      <t>トウ</t>
    </rPh>
    <rPh sb="30" eb="31">
      <t>トウ</t>
    </rPh>
    <rPh sb="32" eb="34">
      <t>ハイブン</t>
    </rPh>
    <phoneticPr fontId="3"/>
  </si>
  <si>
    <t>その他雑収益</t>
    <rPh sb="3" eb="4">
      <t>ザツ</t>
    </rPh>
    <phoneticPr fontId="3"/>
  </si>
  <si>
    <t>その他雑収益（消費税）</t>
    <rPh sb="2" eb="3">
      <t>タ</t>
    </rPh>
    <rPh sb="3" eb="6">
      <t>ザツシュウエキ</t>
    </rPh>
    <phoneticPr fontId="3"/>
  </si>
  <si>
    <t>【一般会計繰入金】（最終繰入額）</t>
    <rPh sb="1" eb="3">
      <t>イッパン</t>
    </rPh>
    <rPh sb="3" eb="5">
      <t>カイケイ</t>
    </rPh>
    <rPh sb="5" eb="7">
      <t>クリイレ</t>
    </rPh>
    <rPh sb="7" eb="8">
      <t>キン</t>
    </rPh>
    <rPh sb="10" eb="12">
      <t>サイシュウ</t>
    </rPh>
    <rPh sb="12" eb="14">
      <t>クリイレ</t>
    </rPh>
    <rPh sb="14" eb="15">
      <t>ガク</t>
    </rPh>
    <phoneticPr fontId="3"/>
  </si>
  <si>
    <t>【一般会計繰入金】（控除不可消費税等の雑支出の配分前（特定収入の算定基礎数値））</t>
    <rPh sb="1" eb="3">
      <t>イッパン</t>
    </rPh>
    <rPh sb="3" eb="5">
      <t>カイケイ</t>
    </rPh>
    <rPh sb="5" eb="7">
      <t>クリイレ</t>
    </rPh>
    <rPh sb="7" eb="8">
      <t>キン</t>
    </rPh>
    <rPh sb="27" eb="29">
      <t>トクテイ</t>
    </rPh>
    <rPh sb="29" eb="31">
      <t>シュウニュウ</t>
    </rPh>
    <rPh sb="32" eb="34">
      <t>サンテイ</t>
    </rPh>
    <rPh sb="34" eb="36">
      <t>キソ</t>
    </rPh>
    <rPh sb="36" eb="38">
      <t>スウチ</t>
    </rPh>
    <phoneticPr fontId="3"/>
  </si>
  <si>
    <t>執行額</t>
    <phoneticPr fontId="2"/>
  </si>
  <si>
    <t>雨水（税抜）</t>
    <rPh sb="0" eb="2">
      <t>ウスイ</t>
    </rPh>
    <rPh sb="3" eb="5">
      <t>ゼイヌキ</t>
    </rPh>
    <phoneticPr fontId="15"/>
  </si>
  <si>
    <t>3年度経費（雨水・汚水）区分調 (決算・税込み)</t>
    <rPh sb="1" eb="3">
      <t>ネンド</t>
    </rPh>
    <phoneticPr fontId="18"/>
  </si>
  <si>
    <t>その他雑支出</t>
    <phoneticPr fontId="2"/>
  </si>
  <si>
    <t>1</t>
  </si>
  <si>
    <t xml:space="preserve">    </t>
  </si>
  <si>
    <t>1502113000</t>
  </si>
  <si>
    <t>西部水資源再生センター</t>
  </si>
  <si>
    <t>R05/11/10</t>
  </si>
  <si>
    <t>消化ガス売却収入（令和５年１０月分）</t>
  </si>
  <si>
    <t>振替伝票（調定）</t>
  </si>
  <si>
    <t>20000946</t>
  </si>
  <si>
    <t>000</t>
  </si>
  <si>
    <t>001</t>
  </si>
  <si>
    <t>0481141500</t>
  </si>
  <si>
    <t>999999</t>
  </si>
  <si>
    <t>共通</t>
  </si>
  <si>
    <t>021402001010010000</t>
  </si>
  <si>
    <t>未収その他営業収益</t>
  </si>
  <si>
    <t>048114001015000000</t>
  </si>
  <si>
    <t>17</t>
  </si>
  <si>
    <t>10</t>
  </si>
  <si>
    <t>月島ＪＦＥアクアソリューション株式会社　中国支店</t>
  </si>
  <si>
    <t>20000946-000-001-1-0481141500-999999-17</t>
  </si>
  <si>
    <t>R05/12/08</t>
  </si>
  <si>
    <t>消化ガス売却収入（令和５年１１月分）</t>
  </si>
  <si>
    <t>20001038</t>
  </si>
  <si>
    <t>20001038-000-001-1-0481141500-999999-17</t>
  </si>
  <si>
    <t>R06/01/10</t>
  </si>
  <si>
    <t>消化ガス売却収入（令和５年１２月分）</t>
  </si>
  <si>
    <t>20001162</t>
  </si>
  <si>
    <t>20001162-000-001-1-0481141500-999999-17</t>
  </si>
  <si>
    <t>R05/05/10</t>
  </si>
  <si>
    <t>消化ガス売却収入（令和５年４月分）</t>
  </si>
  <si>
    <t>20000142</t>
  </si>
  <si>
    <t>月島アクアソリューション株式会社　広島営業所</t>
  </si>
  <si>
    <t>20000142-000-001-1-0481141500-999999-17</t>
  </si>
  <si>
    <t>R05/06/09</t>
  </si>
  <si>
    <t>消化ガス売却収入（令和５年５月分）</t>
  </si>
  <si>
    <t>20000304</t>
  </si>
  <si>
    <t>20000304-000-001-1-0481141500-999999-17</t>
  </si>
  <si>
    <t>R05/07/10</t>
  </si>
  <si>
    <t>消化ガス売却収入（令和５年６月分）</t>
  </si>
  <si>
    <t>20000438</t>
  </si>
  <si>
    <t>20000438-000-001-1-0481141500-999999-17</t>
  </si>
  <si>
    <t>R05/08/10</t>
  </si>
  <si>
    <t>消化ガス売却収入（令和５年７月分）</t>
  </si>
  <si>
    <t>20000540</t>
  </si>
  <si>
    <t>20000540-000-001-1-0481141500-999999-17</t>
  </si>
  <si>
    <t>R05/09/08</t>
  </si>
  <si>
    <t>消化ガス売却収入（令和５年８月分）</t>
  </si>
  <si>
    <t>20000686</t>
  </si>
  <si>
    <t>20000686-000-001-1-0481141500-999999-17</t>
  </si>
  <si>
    <t>R05/10/10</t>
  </si>
  <si>
    <t>消化ガス売却収入（令和５年９月分）</t>
  </si>
  <si>
    <t>20000824</t>
  </si>
  <si>
    <t>20000824-000-001-1-0481141500-999999-17</t>
  </si>
  <si>
    <t>R06/02/09</t>
  </si>
  <si>
    <t>消化ガス売却収入（令和６年１月分）</t>
  </si>
  <si>
    <t>20001276</t>
  </si>
  <si>
    <t>20001276-000-001-1-0481141500-999999-17</t>
  </si>
  <si>
    <t>R06/03/08</t>
  </si>
  <si>
    <t xml:space="preserve">消化ガス売却収入（令和６年２月分）                                              </t>
  </si>
  <si>
    <t>20001431</t>
  </si>
  <si>
    <t>20001431-000-001-1-0481141500-999999-17</t>
  </si>
  <si>
    <t>R06/03/31</t>
  </si>
  <si>
    <t xml:space="preserve">消化ガス売却収入（令和６年３月分）                                              </t>
  </si>
  <si>
    <t>20001612</t>
  </si>
  <si>
    <t>月島ＪＦＥアクアソリューション株式会社中国支店</t>
  </si>
  <si>
    <t>20001612-000-001-1-0481141500-999999-17</t>
  </si>
  <si>
    <t>燃料化物の売払い収入（令和５年１０月分）</t>
  </si>
  <si>
    <t>20000925</t>
  </si>
  <si>
    <t>（株）バイオコール広島西部　</t>
  </si>
  <si>
    <t>20000925-000-001-1-0481141500-999999-17</t>
  </si>
  <si>
    <t>燃料化物の売払い収入（令和５年１１月分）</t>
  </si>
  <si>
    <t>20001043</t>
  </si>
  <si>
    <t>20001043-000-001-1-0481141500-999999-17</t>
  </si>
  <si>
    <t>燃料化物の売払い収入（令和５年１２月分）</t>
  </si>
  <si>
    <t>20001186</t>
  </si>
  <si>
    <t>20001186-000-001-1-0481141500-999999-17</t>
  </si>
  <si>
    <t>燃料化物の売払い収入（令和５年４月分）</t>
  </si>
  <si>
    <t>20000159</t>
  </si>
  <si>
    <t>20000159-000-001-1-0481141500-999999-17</t>
  </si>
  <si>
    <t>燃料化物の売払い収入（令和５年５月分）</t>
  </si>
  <si>
    <t>20000285</t>
  </si>
  <si>
    <t>20000285-000-001-1-0481141500-999999-17</t>
  </si>
  <si>
    <t>燃料化物の売払い収入（令和５年６月分）</t>
  </si>
  <si>
    <t>20000444</t>
  </si>
  <si>
    <t>20000444-000-001-1-0481141500-999999-17</t>
  </si>
  <si>
    <t>燃料化物の売払い収入（令和５年７月分）</t>
  </si>
  <si>
    <t>20000552</t>
  </si>
  <si>
    <t>（株）バイオコール広島西部</t>
  </si>
  <si>
    <t>20000552-000-001-1-0481141500-999999-17</t>
  </si>
  <si>
    <t>燃料化物の売払い収入（令和５年８月分）</t>
  </si>
  <si>
    <t>20000680</t>
  </si>
  <si>
    <t>20000680-000-001-1-0481141500-999999-17</t>
  </si>
  <si>
    <t>燃料化物の売払い収入（令和５年９月分）</t>
  </si>
  <si>
    <t>20000814</t>
  </si>
  <si>
    <t>20000814-000-001-1-0481141500-999999-17</t>
  </si>
  <si>
    <t>燃料化物の売払い収入（令和６年１月分）</t>
  </si>
  <si>
    <t>20001280</t>
  </si>
  <si>
    <t>20001280-000-001-1-0481141500-999999-17</t>
  </si>
  <si>
    <t xml:space="preserve">燃料化物の売払い収入（令和６年２月分）                                          </t>
  </si>
  <si>
    <t>20001437</t>
  </si>
  <si>
    <t>20001437-000-001-1-0481141500-999999-17</t>
  </si>
  <si>
    <t xml:space="preserve">燃料化物の売払い収入（令和６年３月分）                                          </t>
  </si>
  <si>
    <t>20001593</t>
  </si>
  <si>
    <t>20001593-000-001-1-0481141500-999999-17</t>
  </si>
  <si>
    <t>1863110500</t>
  </si>
  <si>
    <t>安佐北・維持管理</t>
  </si>
  <si>
    <t xml:space="preserve">一級河川太田川水系指定区間落合川に存する河川管理施設（玖村樋門）操作受託収入    </t>
  </si>
  <si>
    <t>20001588</t>
  </si>
  <si>
    <t>0481141700</t>
  </si>
  <si>
    <t>048114001017000000</t>
  </si>
  <si>
    <t>広島県西部建設事務所長</t>
  </si>
  <si>
    <t>20001588-000-001-1-0481141700-999999-17</t>
  </si>
  <si>
    <t>1873110500</t>
  </si>
  <si>
    <t>安芸・維持管理</t>
  </si>
  <si>
    <t xml:space="preserve">貫道排水樋門操作受託収入                                                        </t>
  </si>
  <si>
    <t>20001525</t>
  </si>
  <si>
    <t>20001525-000-001-1-0481141700-999999-17</t>
  </si>
  <si>
    <t>1502111000</t>
  </si>
  <si>
    <t>維持課</t>
  </si>
  <si>
    <t xml:space="preserve">樋門の操作及び点検費用（下半期）                                                </t>
  </si>
  <si>
    <t>20001500</t>
  </si>
  <si>
    <t>国土交通省中国地方整備局太田川河川事務所</t>
  </si>
  <si>
    <t>20001500-000-001-1-0481141700-999999-17</t>
  </si>
  <si>
    <t>上半期は税区分が旧コードになっていた</t>
  </si>
  <si>
    <t>R05/11/16</t>
  </si>
  <si>
    <t>樋門の操作及び点検費用（上半期）</t>
  </si>
  <si>
    <t>20000970</t>
  </si>
  <si>
    <t>14</t>
  </si>
  <si>
    <t>20000970-000-001-1-0481141700-999999-14</t>
  </si>
  <si>
    <t>下半期は問題なし</t>
  </si>
  <si>
    <t>1883110500</t>
  </si>
  <si>
    <t>佐伯・維持管理</t>
  </si>
  <si>
    <t>R06/02/27</t>
  </si>
  <si>
    <t xml:space="preserve">下水道境界証明手数料                                                            </t>
  </si>
  <si>
    <t>収入伝票（事後調定・予算外）</t>
  </si>
  <si>
    <t>20001415</t>
  </si>
  <si>
    <t>0481141915</t>
  </si>
  <si>
    <t>021202001001000000</t>
  </si>
  <si>
    <t>現金</t>
  </si>
  <si>
    <t>048114001019015000</t>
  </si>
  <si>
    <t>21</t>
  </si>
  <si>
    <t>0</t>
  </si>
  <si>
    <t>堀尾　哲雄</t>
  </si>
  <si>
    <t>20001415-000-001-1-0481141915-999999-21</t>
  </si>
  <si>
    <t>R06/01/19</t>
  </si>
  <si>
    <t>下水道境界証明手数料</t>
  </si>
  <si>
    <t>20001221</t>
  </si>
  <si>
    <t>井上　宏一</t>
  </si>
  <si>
    <t>20001221-000-001-1-0481141915-999999-21</t>
  </si>
  <si>
    <t>R06/01/26</t>
  </si>
  <si>
    <t>20001262</t>
  </si>
  <si>
    <t>二井　章文</t>
  </si>
  <si>
    <t>20001262-000-001-1-0481141915-999999-21</t>
  </si>
  <si>
    <t>002</t>
  </si>
  <si>
    <t>株式会社サンエス不動産</t>
  </si>
  <si>
    <t>20001262-000-002-1-0481141915-999999-21</t>
  </si>
  <si>
    <t>R06/02/07</t>
  </si>
  <si>
    <t>20001307</t>
  </si>
  <si>
    <t>株式会社　ベストパーソン</t>
  </si>
  <si>
    <t>20001307-000-001-1-0481141915-999999-21</t>
  </si>
  <si>
    <t>R06/02/22</t>
  </si>
  <si>
    <t>20001380</t>
  </si>
  <si>
    <t>羽田野　かおり</t>
  </si>
  <si>
    <t>20001380-000-001-1-0481141915-999999-21</t>
  </si>
  <si>
    <t>1833110500</t>
  </si>
  <si>
    <t>南・維持管理課</t>
  </si>
  <si>
    <t>R06/03/05</t>
  </si>
  <si>
    <t>20001450</t>
  </si>
  <si>
    <t>20001450-000-001-1-0481141915-999999-21</t>
  </si>
  <si>
    <t>R06/03/29</t>
  </si>
  <si>
    <t>20001573</t>
  </si>
  <si>
    <t>藤井　英喜</t>
  </si>
  <si>
    <t>20001573-000-001-1-0481141915-999999-21</t>
  </si>
  <si>
    <t>橋本　浩子</t>
  </si>
  <si>
    <t>20001573-000-002-1-0481141915-999999-21</t>
  </si>
  <si>
    <t>003</t>
  </si>
  <si>
    <t>岸川　佳弘</t>
  </si>
  <si>
    <t>20001573-000-003-1-0481141915-999999-21</t>
  </si>
  <si>
    <t>004</t>
  </si>
  <si>
    <t>中本　淨子</t>
  </si>
  <si>
    <t>20001573-000-004-1-0481141915-999999-21</t>
  </si>
  <si>
    <t>R05/06/05</t>
  </si>
  <si>
    <t>20000319</t>
  </si>
  <si>
    <t>金澤　キヌエ</t>
  </si>
  <si>
    <t>20000319-000-001-1-0481141915-999999-21</t>
  </si>
  <si>
    <t>R05/06/06</t>
  </si>
  <si>
    <t>20000320</t>
  </si>
  <si>
    <t>原田　森道</t>
  </si>
  <si>
    <t>20000320-000-001-1-0481141915-999999-21</t>
  </si>
  <si>
    <t>R05/07/13</t>
  </si>
  <si>
    <t>20000487</t>
  </si>
  <si>
    <t>末石　道江</t>
  </si>
  <si>
    <t>20000487-000-001-1-0481141915-999999-21</t>
  </si>
  <si>
    <t>R05/12/18</t>
  </si>
  <si>
    <t>20001108</t>
  </si>
  <si>
    <t>國田　啓子</t>
  </si>
  <si>
    <t>20001108-000-001-1-0481141915-999999-21</t>
  </si>
  <si>
    <t>R05/12/22</t>
  </si>
  <si>
    <t>20001109</t>
  </si>
  <si>
    <t>山田　真</t>
  </si>
  <si>
    <t>20001109-000-001-1-0481141915-999999-21</t>
  </si>
  <si>
    <t>R05/04/07</t>
  </si>
  <si>
    <t>20000043</t>
  </si>
  <si>
    <t>代表取締役　神原　雅弘</t>
  </si>
  <si>
    <t>20000043-000-001-1-0481141915-999999-21</t>
  </si>
  <si>
    <t>R05/04/03</t>
  </si>
  <si>
    <t>20000045</t>
  </si>
  <si>
    <t>鈴木　順子</t>
  </si>
  <si>
    <t>20000045-000-001-1-0481141915-999999-21</t>
  </si>
  <si>
    <t>延正　絹子</t>
  </si>
  <si>
    <t>20000045-000-002-1-0481141915-999999-21</t>
  </si>
  <si>
    <t>R05/12/27</t>
  </si>
  <si>
    <t>20001158</t>
  </si>
  <si>
    <t>寄田　滿子　ほか２名</t>
  </si>
  <si>
    <t>20001158-000-001-1-0481141915-999999-21</t>
  </si>
  <si>
    <t>R05/04/11</t>
  </si>
  <si>
    <t>20000072</t>
  </si>
  <si>
    <t>澤原　克豊</t>
  </si>
  <si>
    <t>20000072-000-001-1-0481141915-999999-21</t>
  </si>
  <si>
    <t>R05/04/12</t>
  </si>
  <si>
    <t>20000073</t>
  </si>
  <si>
    <t>阿比留　時彦</t>
  </si>
  <si>
    <t>20000073-000-001-1-0481141915-999999-21</t>
  </si>
  <si>
    <t>R05/04/14</t>
  </si>
  <si>
    <t>20000074</t>
  </si>
  <si>
    <t>石本　信行</t>
  </si>
  <si>
    <t>20000074-000-001-1-0481141915-999999-21</t>
  </si>
  <si>
    <t>髙橋　一輝　</t>
  </si>
  <si>
    <t>20000074-000-002-1-0481141915-999999-21</t>
  </si>
  <si>
    <t>R05/04/26</t>
  </si>
  <si>
    <t>20000146</t>
  </si>
  <si>
    <t>寺尾　芳惠</t>
  </si>
  <si>
    <t>20000146-000-001-1-0481141915-999999-21</t>
  </si>
  <si>
    <t>R05/05/11</t>
  </si>
  <si>
    <t>20000187</t>
  </si>
  <si>
    <t>藤富　道子</t>
  </si>
  <si>
    <t>20000187-000-001-1-0481141915-999999-21</t>
  </si>
  <si>
    <t>R05/05/02</t>
  </si>
  <si>
    <t>20000155</t>
  </si>
  <si>
    <t>木野　伸一郎</t>
  </si>
  <si>
    <t>20000155-000-001-1-0481141915-999999-21</t>
  </si>
  <si>
    <t>20000971</t>
  </si>
  <si>
    <t>植西　ちよ子</t>
  </si>
  <si>
    <t>20000971-000-001-1-0481141915-999999-21</t>
  </si>
  <si>
    <t>R05/10/30</t>
  </si>
  <si>
    <t>20000933</t>
  </si>
  <si>
    <t>今中　晃</t>
  </si>
  <si>
    <t>20000933-000-001-1-0481141915-999999-21</t>
  </si>
  <si>
    <t>R05/11/15</t>
  </si>
  <si>
    <t>20000981</t>
  </si>
  <si>
    <t>畠田　恒次</t>
  </si>
  <si>
    <t>20000981-000-001-1-0481141915-999999-21</t>
  </si>
  <si>
    <t>平田　陽子</t>
  </si>
  <si>
    <t>20000981-000-002-1-0481141915-999999-21</t>
  </si>
  <si>
    <t>R05/07/27</t>
  </si>
  <si>
    <t>20000534</t>
  </si>
  <si>
    <t>20000534-000-001-1-0481141915-999999-21</t>
  </si>
  <si>
    <t>20000571</t>
  </si>
  <si>
    <t>有吉　美知子</t>
  </si>
  <si>
    <t>20000571-000-001-1-0481141915-999999-21</t>
  </si>
  <si>
    <t>R05/09/11</t>
  </si>
  <si>
    <t>20000744</t>
  </si>
  <si>
    <t>杉田　康司</t>
  </si>
  <si>
    <t>20000744-000-001-1-0481141915-999999-21</t>
  </si>
  <si>
    <t>R05/08/28</t>
  </si>
  <si>
    <t>20000682</t>
  </si>
  <si>
    <t>東陽ハウジング株式会社</t>
  </si>
  <si>
    <t>20000682-000-001-1-0481141915-999999-21</t>
  </si>
  <si>
    <t>R05/08/29</t>
  </si>
  <si>
    <t>20000683</t>
  </si>
  <si>
    <t>ライトハウス有限会社</t>
  </si>
  <si>
    <t>20000683-000-001-1-0481141915-999999-21</t>
  </si>
  <si>
    <t>R06/01/24</t>
  </si>
  <si>
    <t>下水道敷境界証明手数料</t>
  </si>
  <si>
    <t>20001219</t>
  </si>
  <si>
    <t>代表役員　アタミ一般社団法人</t>
  </si>
  <si>
    <t>20001219-000-001-1-0481141915-999999-21</t>
  </si>
  <si>
    <t>R06/01/18</t>
  </si>
  <si>
    <t>20001193</t>
  </si>
  <si>
    <t>株式会社　日本製鋼所</t>
  </si>
  <si>
    <t>20001193-000-001-1-0481141915-999999-21</t>
  </si>
  <si>
    <t>R06/01/15</t>
  </si>
  <si>
    <t>20001187</t>
  </si>
  <si>
    <t>谷本　義雄　外１名</t>
  </si>
  <si>
    <t>20001187-000-001-1-0481141915-999999-21</t>
  </si>
  <si>
    <t>R05/12/13</t>
  </si>
  <si>
    <t>20001097</t>
  </si>
  <si>
    <t>久保田　浩史</t>
  </si>
  <si>
    <t>20001097-000-001-1-0481141915-999999-21</t>
  </si>
  <si>
    <t>1853110500</t>
  </si>
  <si>
    <t>安佐南・維持管理</t>
  </si>
  <si>
    <t>R06/02/21</t>
  </si>
  <si>
    <t xml:space="preserve">下水道敷境界証明手数料                                                          </t>
  </si>
  <si>
    <t>20001364</t>
  </si>
  <si>
    <t>宮田　光惠</t>
  </si>
  <si>
    <t>20001364-000-001-1-0481141915-999999-21</t>
  </si>
  <si>
    <t>R06/01/23</t>
  </si>
  <si>
    <t>20001259</t>
  </si>
  <si>
    <t>勝田　弘司</t>
  </si>
  <si>
    <t>20001259-000-001-1-0481141915-999999-21</t>
  </si>
  <si>
    <t>R06/01/25</t>
  </si>
  <si>
    <t>20001260</t>
  </si>
  <si>
    <t>有限会社エステートはやし</t>
  </si>
  <si>
    <t>20001260-000-001-1-0481141915-999999-21</t>
  </si>
  <si>
    <t>R06/01/11</t>
  </si>
  <si>
    <t>20001181</t>
  </si>
  <si>
    <t>横林　数磨</t>
  </si>
  <si>
    <t>20001181-000-001-1-0481141915-999999-21</t>
  </si>
  <si>
    <t>R06/01/09</t>
  </si>
  <si>
    <t>20001183</t>
  </si>
  <si>
    <t>中村　俊治</t>
  </si>
  <si>
    <t>20001183-000-001-1-0481141915-999999-21</t>
  </si>
  <si>
    <t>R06/02/26</t>
  </si>
  <si>
    <t>20001347</t>
  </si>
  <si>
    <t>平原 迪枝</t>
  </si>
  <si>
    <t>20001347-000-001-1-0481141915-999999-21</t>
  </si>
  <si>
    <t>R06/02/19</t>
  </si>
  <si>
    <t>20001348</t>
  </si>
  <si>
    <t>池田　英彦　外１名</t>
  </si>
  <si>
    <t>20001348-000-001-1-0481141915-999999-21</t>
  </si>
  <si>
    <t>R06/02/20</t>
  </si>
  <si>
    <t>20001349</t>
  </si>
  <si>
    <t>保田　智子　外１名</t>
  </si>
  <si>
    <t>20001349-000-001-1-0481141915-999999-21</t>
  </si>
  <si>
    <t>R06/02/16</t>
  </si>
  <si>
    <t>20001333</t>
  </si>
  <si>
    <t>新川　芳江</t>
  </si>
  <si>
    <t>20001333-000-001-1-0481141915-999999-21</t>
  </si>
  <si>
    <t>R06/02/15</t>
  </si>
  <si>
    <t>20001306</t>
  </si>
  <si>
    <t>久保田　敦子　外１名</t>
  </si>
  <si>
    <t>20001306-000-001-1-0481141915-999999-21</t>
  </si>
  <si>
    <t>R06/02/01</t>
  </si>
  <si>
    <t>20001285</t>
  </si>
  <si>
    <t>山本　秀樹</t>
  </si>
  <si>
    <t>20001285-000-001-1-0481141915-999999-21</t>
  </si>
  <si>
    <t>西本　泉</t>
  </si>
  <si>
    <t>20001285-000-002-1-0481141915-999999-21</t>
  </si>
  <si>
    <t>R05/06/08</t>
  </si>
  <si>
    <t>20000295</t>
  </si>
  <si>
    <t>近藤　裕子</t>
  </si>
  <si>
    <t>20000295-000-001-1-0481141915-999999-21</t>
  </si>
  <si>
    <t>20001563</t>
  </si>
  <si>
    <t>広島市長</t>
  </si>
  <si>
    <t>20001563-000-001-1-0481141915-999999-21</t>
  </si>
  <si>
    <t>R06/03/06</t>
  </si>
  <si>
    <t>20001435</t>
  </si>
  <si>
    <t>曽里　忠昭</t>
  </si>
  <si>
    <t>20001435-000-001-1-0481141915-999999-21</t>
  </si>
  <si>
    <t>R06/03/14</t>
  </si>
  <si>
    <t>20001455</t>
  </si>
  <si>
    <t>矢神興産株式会社</t>
  </si>
  <si>
    <t>20001455-000-001-1-0481141915-999999-21</t>
  </si>
  <si>
    <t>R06/03/12</t>
  </si>
  <si>
    <t>20001458</t>
  </si>
  <si>
    <t>Ｓｕｎｄｏホールディングス株式会社</t>
  </si>
  <si>
    <t>20001458-000-001-1-0481141915-999999-21</t>
  </si>
  <si>
    <t>20001459</t>
  </si>
  <si>
    <t>有限会社バースト</t>
  </si>
  <si>
    <t>20001459-000-001-1-0481141915-999999-21</t>
  </si>
  <si>
    <t>20001460</t>
  </si>
  <si>
    <t>吉村　千恵美 外４名</t>
  </si>
  <si>
    <t>20001460-000-001-1-0481141915-999999-21</t>
  </si>
  <si>
    <t>R05/06/26</t>
  </si>
  <si>
    <t>20000384</t>
  </si>
  <si>
    <t>梅野　佳代子</t>
  </si>
  <si>
    <t>20000384-000-001-1-0481141915-999999-21</t>
  </si>
  <si>
    <t>R06/03/21</t>
  </si>
  <si>
    <t>20001520</t>
  </si>
  <si>
    <t>小田　省吾</t>
  </si>
  <si>
    <t>20001520-000-001-1-0481141915-999999-21</t>
  </si>
  <si>
    <t>R05/06/15</t>
  </si>
  <si>
    <t>20000347</t>
  </si>
  <si>
    <t>天満　洋子</t>
  </si>
  <si>
    <t>20000347-000-001-1-0481141915-999999-21</t>
  </si>
  <si>
    <t>沖野　光彦</t>
  </si>
  <si>
    <t>20000347-000-002-1-0481141915-999999-21</t>
  </si>
  <si>
    <t>R05/06/20</t>
  </si>
  <si>
    <t>20000348</t>
  </si>
  <si>
    <t>株式会社トーシン住宅</t>
  </si>
  <si>
    <t>20000348-000-001-1-0481141915-999999-21</t>
  </si>
  <si>
    <t>R05/06/16</t>
  </si>
  <si>
    <t>20000350</t>
  </si>
  <si>
    <t>山根　朱美</t>
  </si>
  <si>
    <t>20000350-000-001-1-0481141915-999999-21</t>
  </si>
  <si>
    <t>20001466</t>
  </si>
  <si>
    <t>三分一　努　外１名</t>
  </si>
  <si>
    <t>20001466-000-001-1-0481141915-999999-21</t>
  </si>
  <si>
    <t>R06/03/27</t>
  </si>
  <si>
    <t>20001557</t>
  </si>
  <si>
    <t>光本　ヤエコ</t>
  </si>
  <si>
    <t>20001557-000-001-1-0481141915-999999-21</t>
  </si>
  <si>
    <t>株式会社ホゼナル</t>
  </si>
  <si>
    <t>20001557-000-002-1-0481141915-999999-21</t>
  </si>
  <si>
    <t>R06/03/26</t>
  </si>
  <si>
    <t>20001529</t>
  </si>
  <si>
    <t>木村　洋</t>
  </si>
  <si>
    <t>20001529-000-001-1-0481141915-999999-21</t>
  </si>
  <si>
    <t>R05/06/28</t>
  </si>
  <si>
    <t>20000433</t>
  </si>
  <si>
    <t>遠藤　つばさ</t>
  </si>
  <si>
    <t>20000433-000-001-1-0481141915-999999-21</t>
  </si>
  <si>
    <t>20000446</t>
  </si>
  <si>
    <t>野村　美代子</t>
  </si>
  <si>
    <t>20000446-000-001-1-0481141915-999999-21</t>
  </si>
  <si>
    <t>20000447</t>
  </si>
  <si>
    <t>大林　正典</t>
  </si>
  <si>
    <t>20000447-000-001-1-0481141915-999999-21</t>
  </si>
  <si>
    <t>R05/07/14</t>
  </si>
  <si>
    <t>20000478</t>
  </si>
  <si>
    <t>天宝商事株式会社</t>
  </si>
  <si>
    <t>20000478-000-001-1-0481141915-999999-21</t>
  </si>
  <si>
    <t>R05/07/19</t>
  </si>
  <si>
    <t>20000483</t>
  </si>
  <si>
    <t>株式会社　山村不動産開発</t>
  </si>
  <si>
    <t>20000483-000-001-1-0481141915-999999-21</t>
  </si>
  <si>
    <t>R05/07/12</t>
  </si>
  <si>
    <t>20000485</t>
  </si>
  <si>
    <t>新中　康司</t>
  </si>
  <si>
    <t>20000485-000-001-1-0481141915-999999-21</t>
  </si>
  <si>
    <t>20000486</t>
  </si>
  <si>
    <t>瀬川　祐一</t>
  </si>
  <si>
    <t>20000486-000-001-1-0481141915-999999-21</t>
  </si>
  <si>
    <t>R05/06/02</t>
  </si>
  <si>
    <t>20000275</t>
  </si>
  <si>
    <t>槙林　基樹</t>
  </si>
  <si>
    <t>20000275-000-001-1-0481141915-999999-21</t>
  </si>
  <si>
    <t>R05/06/07</t>
  </si>
  <si>
    <t>20000322</t>
  </si>
  <si>
    <t>岩本　八千恵</t>
  </si>
  <si>
    <t>20000322-000-001-1-0481141915-999999-21</t>
  </si>
  <si>
    <t>R05/12/15</t>
  </si>
  <si>
    <t>20001102</t>
  </si>
  <si>
    <t>蓮池　美智子</t>
  </si>
  <si>
    <t>20001102-000-001-1-0481141915-999999-21</t>
  </si>
  <si>
    <t>20001103</t>
  </si>
  <si>
    <t>原　康彦</t>
  </si>
  <si>
    <t>20001103-000-001-1-0481141915-999999-21</t>
  </si>
  <si>
    <t>R05/12/19</t>
  </si>
  <si>
    <t>20001104</t>
  </si>
  <si>
    <t>竹岡　公男</t>
  </si>
  <si>
    <t>20001104-000-001-1-0481141915-999999-21</t>
  </si>
  <si>
    <t>R05/12/21</t>
  </si>
  <si>
    <t>20001105</t>
  </si>
  <si>
    <t>株式会社信和ホーム</t>
  </si>
  <si>
    <t>20001105-000-001-1-0481141915-999999-21</t>
  </si>
  <si>
    <t>R05/12/26</t>
  </si>
  <si>
    <t>20001106</t>
  </si>
  <si>
    <t>髙島　由佳</t>
  </si>
  <si>
    <t>20001106-000-001-1-0481141915-999999-21</t>
  </si>
  <si>
    <t>20001107</t>
  </si>
  <si>
    <t>株式会社フォルテ</t>
  </si>
  <si>
    <t>20001107-000-001-1-0481141915-999999-21</t>
  </si>
  <si>
    <t>20000011</t>
  </si>
  <si>
    <t>中道　正弘</t>
  </si>
  <si>
    <t>20000011-000-001-1-0481141915-999999-21</t>
  </si>
  <si>
    <t>R05/04/06</t>
  </si>
  <si>
    <t>20000021</t>
  </si>
  <si>
    <t>齋　邦子　外１名</t>
  </si>
  <si>
    <t>20000021-000-001-1-0481141915-999999-21</t>
  </si>
  <si>
    <t>20000022</t>
  </si>
  <si>
    <t>山口　千恵　外１名</t>
  </si>
  <si>
    <t>20000022-000-001-1-0481141915-999999-21</t>
  </si>
  <si>
    <t>R05/04/20</t>
  </si>
  <si>
    <t>20000076</t>
  </si>
  <si>
    <t>福永　秀</t>
  </si>
  <si>
    <t>20000076-000-001-1-0481141915-999999-21</t>
  </si>
  <si>
    <t>R05/04/28</t>
  </si>
  <si>
    <t>20000137</t>
  </si>
  <si>
    <t>井原　渉　ほか１名</t>
  </si>
  <si>
    <t>20000137-000-001-1-0481141915-999999-21</t>
  </si>
  <si>
    <t>20000066</t>
  </si>
  <si>
    <t>小野村　安正</t>
  </si>
  <si>
    <t>20000066-000-001-1-0481141915-999999-21</t>
  </si>
  <si>
    <t>20000088</t>
  </si>
  <si>
    <t>新澤　護</t>
  </si>
  <si>
    <t>20000088-000-001-1-0481141915-999999-21</t>
  </si>
  <si>
    <t>R05/05/31</t>
  </si>
  <si>
    <t>20000240</t>
  </si>
  <si>
    <t>菅野　隆之　外１名</t>
  </si>
  <si>
    <t>20000240-000-001-1-0481141915-999999-21</t>
  </si>
  <si>
    <t>佐久間　朋典</t>
  </si>
  <si>
    <t>20000240-000-002-1-0481141915-999999-21</t>
  </si>
  <si>
    <t>R05/05/23</t>
  </si>
  <si>
    <t>20000205</t>
  </si>
  <si>
    <t>小林　達也</t>
  </si>
  <si>
    <t>20000205-000-001-1-0481141915-999999-21</t>
  </si>
  <si>
    <t>R05/05/09</t>
  </si>
  <si>
    <t>20000167</t>
  </si>
  <si>
    <t>近藤　裕子　ほか１名</t>
  </si>
  <si>
    <t>20000167-000-001-1-0481141915-999999-21</t>
  </si>
  <si>
    <t>20000168</t>
  </si>
  <si>
    <t>岩本　ほずみ</t>
  </si>
  <si>
    <t>20000168-000-001-1-0481141915-999999-21</t>
  </si>
  <si>
    <t>R05/05/12</t>
  </si>
  <si>
    <t>20000169</t>
  </si>
  <si>
    <t>児玉　光成</t>
  </si>
  <si>
    <t>20000169-000-001-1-0481141915-999999-21</t>
  </si>
  <si>
    <t>藤本　孝実</t>
  </si>
  <si>
    <t>20000169-000-002-1-0481141915-999999-21</t>
  </si>
  <si>
    <t>20000160</t>
  </si>
  <si>
    <t>中野　美鈴</t>
  </si>
  <si>
    <t>20000160-000-001-1-0481141915-999999-21</t>
  </si>
  <si>
    <t>後藤　博文</t>
  </si>
  <si>
    <t>20000160-000-002-1-0481141915-999999-21</t>
  </si>
  <si>
    <t>R05/07/11</t>
  </si>
  <si>
    <t>20000469</t>
  </si>
  <si>
    <t>武政　志保</t>
  </si>
  <si>
    <t>20000469-000-001-1-0481141915-999999-21</t>
  </si>
  <si>
    <t>20000470</t>
  </si>
  <si>
    <t>山縣　紀子</t>
  </si>
  <si>
    <t>20000470-000-001-1-0481141915-999999-21</t>
  </si>
  <si>
    <t>R05/10/27</t>
  </si>
  <si>
    <t>20000911</t>
  </si>
  <si>
    <t>青野　重信</t>
  </si>
  <si>
    <t>20000911-000-001-1-0481141915-999999-21</t>
  </si>
  <si>
    <t>R05/10/25</t>
  </si>
  <si>
    <t>20000915</t>
  </si>
  <si>
    <t>光田　佐千子</t>
  </si>
  <si>
    <t>20000915-000-001-1-0481141915-999999-21</t>
  </si>
  <si>
    <t>R05/10/16</t>
  </si>
  <si>
    <t>20000868</t>
  </si>
  <si>
    <t>広島アルミニウム工業株式会社</t>
  </si>
  <si>
    <t>20000868-000-001-1-0481141915-999999-21</t>
  </si>
  <si>
    <t>R05/09/29</t>
  </si>
  <si>
    <t>20000796</t>
  </si>
  <si>
    <t>由茅　英次　外２名</t>
  </si>
  <si>
    <t>20000796-000-001-1-0481141915-999999-21</t>
  </si>
  <si>
    <t>眞藤　明</t>
  </si>
  <si>
    <t>20000796-000-002-1-0481141915-999999-21</t>
  </si>
  <si>
    <t>20000796-000-003-1-0481141915-999999-21</t>
  </si>
  <si>
    <t>真藤　和明</t>
  </si>
  <si>
    <t>20000796-000-004-1-0481141915-999999-21</t>
  </si>
  <si>
    <t>R05/10/04</t>
  </si>
  <si>
    <t>20000821</t>
  </si>
  <si>
    <t>小林　寿之</t>
  </si>
  <si>
    <t>20000821-000-001-1-0481141915-999999-21</t>
  </si>
  <si>
    <t>R05/10/06</t>
  </si>
  <si>
    <t>20000831</t>
  </si>
  <si>
    <t>川井建設株式会社</t>
  </si>
  <si>
    <t>20000831-000-001-1-0481141915-999999-21</t>
  </si>
  <si>
    <t>R05/11/07</t>
  </si>
  <si>
    <t>20000942</t>
  </si>
  <si>
    <t>松野　数子</t>
  </si>
  <si>
    <t>20000942-000-001-1-0481141915-999999-21</t>
  </si>
  <si>
    <t>R05/11/06</t>
  </si>
  <si>
    <t>20000943</t>
  </si>
  <si>
    <t>野北　良弘</t>
  </si>
  <si>
    <t>20000943-000-001-1-0481141915-999999-21</t>
  </si>
  <si>
    <t>R05/11/08</t>
  </si>
  <si>
    <t>20000944</t>
  </si>
  <si>
    <t>木藤　紀子　外１名</t>
  </si>
  <si>
    <t>20000944-000-001-1-0481141915-999999-21</t>
  </si>
  <si>
    <t>福永　美栄子</t>
  </si>
  <si>
    <t>20000944-000-002-1-0481141915-999999-21</t>
  </si>
  <si>
    <t>R05/09/13</t>
  </si>
  <si>
    <t>20000747</t>
  </si>
  <si>
    <t>有限会社マルケン</t>
  </si>
  <si>
    <t>20000747-000-001-1-0481141915-999999-21</t>
  </si>
  <si>
    <t>R05/11/09</t>
  </si>
  <si>
    <t>20000948</t>
  </si>
  <si>
    <t>中田　民子　外３名</t>
  </si>
  <si>
    <t>20000948-000-001-1-0481141915-999999-21</t>
  </si>
  <si>
    <t>R05/11/29</t>
  </si>
  <si>
    <t>20001060</t>
  </si>
  <si>
    <t>広島市南区建設部建築課（区）出納員　納</t>
  </si>
  <si>
    <t>20001060-000-001-1-0481141915-999999-21</t>
  </si>
  <si>
    <t>20001065</t>
  </si>
  <si>
    <t>株式会社　富士ハウス広島</t>
  </si>
  <si>
    <t>20001065-000-001-1-0481141915-999999-21</t>
  </si>
  <si>
    <t>R05/08/22</t>
  </si>
  <si>
    <t>20000611</t>
  </si>
  <si>
    <t>石山　雅子</t>
  </si>
  <si>
    <t>20000611-000-001-1-0481141915-999999-21</t>
  </si>
  <si>
    <t>R05/08/18</t>
  </si>
  <si>
    <t>20000616</t>
  </si>
  <si>
    <t>株式会社ＹＯＵＭＥコーポレーション</t>
  </si>
  <si>
    <t>20000616-000-001-1-0481141915-999999-21</t>
  </si>
  <si>
    <t>R05/08/08</t>
  </si>
  <si>
    <t>20000576</t>
  </si>
  <si>
    <t>植野　春江</t>
  </si>
  <si>
    <t>20000576-000-001-1-0481141915-999999-21</t>
  </si>
  <si>
    <t>20000742</t>
  </si>
  <si>
    <t>髙原　勝</t>
  </si>
  <si>
    <t>20000742-000-001-1-0481141915-999999-21</t>
  </si>
  <si>
    <t>R05/10/26</t>
  </si>
  <si>
    <t>20000908</t>
  </si>
  <si>
    <t>末澤　公彦</t>
  </si>
  <si>
    <t>20000908-000-001-1-0481141915-999999-21</t>
  </si>
  <si>
    <t>松井　裕</t>
  </si>
  <si>
    <t>20000908-000-002-1-0481141915-999999-21</t>
  </si>
  <si>
    <t>東　貴治</t>
  </si>
  <si>
    <t>20000908-000-003-1-0481141915-999999-21</t>
  </si>
  <si>
    <t>R05/09/19</t>
  </si>
  <si>
    <t>20000782</t>
  </si>
  <si>
    <t>養祖　秀男</t>
  </si>
  <si>
    <t>20000782-000-001-1-0481141915-999999-21</t>
  </si>
  <si>
    <t>R05/09/25</t>
  </si>
  <si>
    <t>20000792</t>
  </si>
  <si>
    <t>川本　一夫</t>
  </si>
  <si>
    <t>20000792-000-001-1-0481141915-999999-21</t>
  </si>
  <si>
    <t>20000649</t>
  </si>
  <si>
    <t>鳴本　なつ枝　外１名</t>
  </si>
  <si>
    <t>20000649-000-001-1-0481141915-999999-21</t>
  </si>
  <si>
    <t>鳴本　幸和</t>
  </si>
  <si>
    <t>20000649-000-002-1-0481141915-999999-21</t>
  </si>
  <si>
    <t>R05/09/06</t>
  </si>
  <si>
    <t>20000698</t>
  </si>
  <si>
    <t>シバタ工業株式会社</t>
  </si>
  <si>
    <t>20000698-000-001-1-0481141915-999999-21</t>
  </si>
  <si>
    <t>20000701</t>
  </si>
  <si>
    <t>成年後見人　倉田　潤平</t>
  </si>
  <si>
    <t>20000701-000-001-1-0481141915-999999-21</t>
  </si>
  <si>
    <t>R05/09/12</t>
  </si>
  <si>
    <t>20000702</t>
  </si>
  <si>
    <t>福光　信治郎　外１名</t>
  </si>
  <si>
    <t>20000702-000-001-1-0481141915-999999-21</t>
  </si>
  <si>
    <t>株式会社良和ハウス</t>
  </si>
  <si>
    <t>20000702-000-002-1-0481141915-999999-21</t>
  </si>
  <si>
    <t>1823110500</t>
  </si>
  <si>
    <t>東・維持管理課</t>
  </si>
  <si>
    <t>境界証明手数料</t>
  </si>
  <si>
    <t>20001265</t>
  </si>
  <si>
    <t>和田森　スミヨ　</t>
  </si>
  <si>
    <t>20001265-000-001-1-0481141915-999999-21</t>
  </si>
  <si>
    <t xml:space="preserve">境界証明手数料                                                                  </t>
  </si>
  <si>
    <t>20001429</t>
  </si>
  <si>
    <t>山田　博光</t>
  </si>
  <si>
    <t>20001429-000-001-1-0481141915-999999-21</t>
  </si>
  <si>
    <t>R06/02/29</t>
  </si>
  <si>
    <t>20001430</t>
  </si>
  <si>
    <t>藤田　富子</t>
  </si>
  <si>
    <t>20001430-000-001-1-0481141915-999999-21</t>
  </si>
  <si>
    <t>山田　忠義</t>
  </si>
  <si>
    <t>20001430-000-002-1-0481141915-999999-21</t>
  </si>
  <si>
    <t>R06/01/29</t>
  </si>
  <si>
    <t>20001289</t>
  </si>
  <si>
    <t>川口　洋子</t>
  </si>
  <si>
    <t>20001289-000-001-1-0481141915-999999-21</t>
  </si>
  <si>
    <t>20000445</t>
  </si>
  <si>
    <t>有限会社アスカプランニング</t>
  </si>
  <si>
    <t>20000445-000-001-1-0481141915-999999-21</t>
  </si>
  <si>
    <t>20000495</t>
  </si>
  <si>
    <t>山本　澄枝　外１名</t>
  </si>
  <si>
    <t>20000495-000-001-1-0481141915-999999-21</t>
  </si>
  <si>
    <t>R05/07/18</t>
  </si>
  <si>
    <t>20000496</t>
  </si>
  <si>
    <t>植田　耕三</t>
  </si>
  <si>
    <t>20000496-000-001-1-0481141915-999999-21</t>
  </si>
  <si>
    <t>R05/07/04</t>
  </si>
  <si>
    <t>20000479</t>
  </si>
  <si>
    <t>大原　健嗣</t>
  </si>
  <si>
    <t>20000479-000-001-1-0481141915-999999-21</t>
  </si>
  <si>
    <t>R05/05/25</t>
  </si>
  <si>
    <t>20000284</t>
  </si>
  <si>
    <t>大西　文子</t>
  </si>
  <si>
    <t>20000284-000-001-1-0481141915-999999-21</t>
  </si>
  <si>
    <t>20000143</t>
  </si>
  <si>
    <t>坂本　靖夫</t>
  </si>
  <si>
    <t>20000143-000-001-1-0481141915-999999-21</t>
  </si>
  <si>
    <t>20000144</t>
  </si>
  <si>
    <t>中土井　重治</t>
  </si>
  <si>
    <t>20000144-000-001-1-0481141915-999999-21</t>
  </si>
  <si>
    <t>中土井　重治　外１名</t>
  </si>
  <si>
    <t>20000144-000-002-1-0481141915-999999-21</t>
  </si>
  <si>
    <t>20000145</t>
  </si>
  <si>
    <t>金行　恒雄</t>
  </si>
  <si>
    <t>20000145-000-001-1-0481141915-999999-21</t>
  </si>
  <si>
    <t>吉田　考志</t>
  </si>
  <si>
    <t>20000145-000-002-1-0481141915-999999-21</t>
  </si>
  <si>
    <t>R05/04/13</t>
  </si>
  <si>
    <t>20000126</t>
  </si>
  <si>
    <t>石津　仁也　外１名</t>
  </si>
  <si>
    <t>20000126-000-001-1-0481141915-999999-21</t>
  </si>
  <si>
    <t>20000129</t>
  </si>
  <si>
    <t>宮本　章弘</t>
  </si>
  <si>
    <t>20000129-000-001-1-0481141915-999999-21</t>
  </si>
  <si>
    <t>20000972</t>
  </si>
  <si>
    <t>吉野　元章</t>
  </si>
  <si>
    <t>20000972-000-001-1-0481141915-999999-21</t>
  </si>
  <si>
    <t>20000795</t>
  </si>
  <si>
    <t>島屋不動産株式会社</t>
  </si>
  <si>
    <t>20000795-000-001-1-0481141915-999999-21</t>
  </si>
  <si>
    <t>20000815</t>
  </si>
  <si>
    <t>片山　冬樹</t>
  </si>
  <si>
    <t>20000815-000-001-1-0481141915-999999-21</t>
  </si>
  <si>
    <t>R05/09/26</t>
  </si>
  <si>
    <t>20000816</t>
  </si>
  <si>
    <t>株式会社ディライトデスク</t>
  </si>
  <si>
    <t>20000816-000-001-1-0481141915-999999-21</t>
  </si>
  <si>
    <t>20001044</t>
  </si>
  <si>
    <t>森垣　涼子</t>
  </si>
  <si>
    <t>20001044-000-001-1-0481141915-999999-21</t>
  </si>
  <si>
    <t>20000935</t>
  </si>
  <si>
    <t>有限会社トラスティ</t>
  </si>
  <si>
    <t>20000935-000-001-1-0481141915-999999-21</t>
  </si>
  <si>
    <t>20000936</t>
  </si>
  <si>
    <t>増田　亮</t>
  </si>
  <si>
    <t>20000936-000-001-1-0481141915-999999-21</t>
  </si>
  <si>
    <t>R05/11/22</t>
  </si>
  <si>
    <t>20000984</t>
  </si>
  <si>
    <t>前西　公一</t>
  </si>
  <si>
    <t>20000984-000-001-1-0481141915-999999-21</t>
  </si>
  <si>
    <t>20000985</t>
  </si>
  <si>
    <t>德本　千晶　外３名</t>
  </si>
  <si>
    <t>20000985-000-001-1-0481141915-999999-21</t>
  </si>
  <si>
    <t>R05/10/02</t>
  </si>
  <si>
    <t>20000836</t>
  </si>
  <si>
    <t>株式会社フリート</t>
  </si>
  <si>
    <t>20000836-000-001-1-0481141915-999999-21</t>
  </si>
  <si>
    <t>森田　善仁</t>
  </si>
  <si>
    <t>20000836-000-002-1-0481141915-999999-21</t>
  </si>
  <si>
    <t>R05/10/19</t>
  </si>
  <si>
    <t>20000906</t>
  </si>
  <si>
    <t>丸和不動産販売株式会社</t>
  </si>
  <si>
    <t>20000906-000-001-1-0481141915-999999-21</t>
  </si>
  <si>
    <t>R05/08/24</t>
  </si>
  <si>
    <t>20000697</t>
  </si>
  <si>
    <t>渡田　明子</t>
  </si>
  <si>
    <t>20000697-000-001-1-0481141915-999999-21</t>
  </si>
  <si>
    <t>1502112500</t>
  </si>
  <si>
    <t>旭町水資源再生センター</t>
  </si>
  <si>
    <t>境界線（区域線）証明手数料（旭町水資源再生センター）</t>
  </si>
  <si>
    <t>20000324</t>
  </si>
  <si>
    <t>仁井　和子</t>
  </si>
  <si>
    <t>20000324-000-001-1-0481141915-999999-21</t>
  </si>
  <si>
    <t>R05/06/21</t>
  </si>
  <si>
    <t>境界線（区域線）証明手数料（己斐中継ポンプ場）</t>
  </si>
  <si>
    <t>20000388</t>
  </si>
  <si>
    <t>代表取締役　春木　泰行</t>
  </si>
  <si>
    <t>20000388-000-001-1-0481141915-999999-21</t>
  </si>
  <si>
    <t>1843110500</t>
  </si>
  <si>
    <t>西・維持管理課</t>
  </si>
  <si>
    <t>境界線証明手数料　</t>
  </si>
  <si>
    <t>20001194</t>
  </si>
  <si>
    <t>楠　七海雄</t>
  </si>
  <si>
    <t>20001194-000-001-1-0481141915-999999-21</t>
  </si>
  <si>
    <t>R06/01/17</t>
  </si>
  <si>
    <t>20001225</t>
  </si>
  <si>
    <t>古川　博</t>
  </si>
  <si>
    <t>20001225-000-001-1-0481141915-999999-21</t>
  </si>
  <si>
    <t xml:space="preserve">境界線証明手数料                                                                </t>
  </si>
  <si>
    <t>20001457</t>
  </si>
  <si>
    <t>田中　淳</t>
  </si>
  <si>
    <t>20001457-000-001-1-0481141915-999999-21</t>
  </si>
  <si>
    <t>20000328</t>
  </si>
  <si>
    <t>新田　米造</t>
  </si>
  <si>
    <t>20000328-000-001-1-0481141915-999999-21</t>
  </si>
  <si>
    <t>20000331</t>
  </si>
  <si>
    <t>鈴木　清明　ほか</t>
  </si>
  <si>
    <t>20000331-000-001-1-0481141915-999999-21</t>
  </si>
  <si>
    <t>20000492</t>
  </si>
  <si>
    <t>松本　吉信　ほか１名</t>
  </si>
  <si>
    <t>20000492-000-001-1-0481141915-999999-21</t>
  </si>
  <si>
    <t>R05/07/05</t>
  </si>
  <si>
    <t>20000474</t>
  </si>
  <si>
    <t>株式会社　シニア・ハウス</t>
  </si>
  <si>
    <t>20000474-000-001-1-0481141915-999999-21</t>
  </si>
  <si>
    <t>R05/05/17</t>
  </si>
  <si>
    <t>20000268</t>
  </si>
  <si>
    <t>田村　信子　ほか１名</t>
  </si>
  <si>
    <t>20000268-000-001-1-0481141915-999999-21</t>
  </si>
  <si>
    <t>20001136</t>
  </si>
  <si>
    <t>髙野　賢二</t>
  </si>
  <si>
    <t>20001136-000-001-1-0481141915-999999-21</t>
  </si>
  <si>
    <t>R05/05/08</t>
  </si>
  <si>
    <t>20000209</t>
  </si>
  <si>
    <t>中村　慎吾</t>
  </si>
  <si>
    <t>20000209-000-001-1-0481141915-999999-21</t>
  </si>
  <si>
    <t>20000811</t>
  </si>
  <si>
    <t>濱岡　清司ほか１名</t>
  </si>
  <si>
    <t>20000811-000-001-1-0481141915-999999-21</t>
  </si>
  <si>
    <t>R05/10/05</t>
  </si>
  <si>
    <t>20000834</t>
  </si>
  <si>
    <t>和田　清明</t>
  </si>
  <si>
    <t>20000834-000-001-1-0481141915-999999-21</t>
  </si>
  <si>
    <t>20000853</t>
  </si>
  <si>
    <t>藤井　洋子</t>
  </si>
  <si>
    <t>20000853-000-001-1-0481141915-999999-21</t>
  </si>
  <si>
    <t>20000650</t>
  </si>
  <si>
    <t>金村　澄子</t>
  </si>
  <si>
    <t>20000650-000-001-1-0481141915-999999-21</t>
  </si>
  <si>
    <t>R05/07/28</t>
  </si>
  <si>
    <t>実績証明手数料</t>
  </si>
  <si>
    <t>20000532</t>
  </si>
  <si>
    <t>株式会社中尾鉄工所　</t>
  </si>
  <si>
    <t>20000532-000-001-1-0481141915-999999-21</t>
  </si>
  <si>
    <t>1502110500</t>
  </si>
  <si>
    <t>管理課</t>
  </si>
  <si>
    <t>R05/09/05</t>
  </si>
  <si>
    <t>指定工事店登録手数料収入</t>
  </si>
  <si>
    <t>20000714</t>
  </si>
  <si>
    <t>0481141916</t>
  </si>
  <si>
    <t>048114001019016000</t>
  </si>
  <si>
    <t>建装工業㈲</t>
  </si>
  <si>
    <t>20000714-000-001-1-0481141916-999999-21</t>
  </si>
  <si>
    <t>R05/09/07</t>
  </si>
  <si>
    <t>20000715</t>
  </si>
  <si>
    <t>㈲沖田住宅設備　外１件</t>
  </si>
  <si>
    <t>20000715-000-001-1-0481141916-999999-21</t>
  </si>
  <si>
    <t>R05/08/07</t>
  </si>
  <si>
    <t>20000605</t>
  </si>
  <si>
    <t>㈱ことぶき住設</t>
  </si>
  <si>
    <t>20000605-000-001-1-0481141916-999999-21</t>
  </si>
  <si>
    <t>R05/08/09</t>
  </si>
  <si>
    <t>20000606</t>
  </si>
  <si>
    <t>㈱オクマサ商事</t>
  </si>
  <si>
    <t>20000606-000-001-1-0481141916-999999-21</t>
  </si>
  <si>
    <t>R05/08/04</t>
  </si>
  <si>
    <t>20000573</t>
  </si>
  <si>
    <t>㈲Ａ・Ｙ・Ａ設備</t>
  </si>
  <si>
    <t>20000573-000-001-1-0481141916-999999-21</t>
  </si>
  <si>
    <t>R05/10/03</t>
  </si>
  <si>
    <t>20000833</t>
  </si>
  <si>
    <t>㈲ワイケイ技研</t>
  </si>
  <si>
    <t>20000833-000-001-1-0481141916-999999-21</t>
  </si>
  <si>
    <t>R05/12/06</t>
  </si>
  <si>
    <t>20001069</t>
  </si>
  <si>
    <t>㈲中本興業　外２件</t>
  </si>
  <si>
    <t>20001069-000-001-1-0481141916-999999-21</t>
  </si>
  <si>
    <t>20000938</t>
  </si>
  <si>
    <t>ソーワ工業㈲</t>
  </si>
  <si>
    <t>20000938-000-001-1-0481141916-999999-21</t>
  </si>
  <si>
    <t>20000809</t>
  </si>
  <si>
    <t>㈲三基工業</t>
  </si>
  <si>
    <t>20000809-000-001-1-0481141916-999999-21</t>
  </si>
  <si>
    <t>20000932</t>
  </si>
  <si>
    <t>ニッカホーム西日本㈱　広島安佐南営業所</t>
  </si>
  <si>
    <t>20000932-000-001-1-0481141916-999999-21</t>
  </si>
  <si>
    <t>R05/10/24</t>
  </si>
  <si>
    <t>20000927</t>
  </si>
  <si>
    <t>日本冷熱工業㈱　外１件</t>
  </si>
  <si>
    <t>20000927-000-001-1-0481141916-999999-21</t>
  </si>
  <si>
    <t>20000856</t>
  </si>
  <si>
    <t>㈲デルタコンサルタント</t>
  </si>
  <si>
    <t>20000856-000-001-1-0481141916-999999-21</t>
  </si>
  <si>
    <t>20000803</t>
  </si>
  <si>
    <t>㈱ジール　安佐支店</t>
  </si>
  <si>
    <t>20000803-000-001-1-0481141916-999999-21</t>
  </si>
  <si>
    <t>20000804</t>
  </si>
  <si>
    <t>㈱ヒロキタ</t>
  </si>
  <si>
    <t>20000804-000-001-1-0481141916-999999-21</t>
  </si>
  <si>
    <t>R05/09/27</t>
  </si>
  <si>
    <t>20000805</t>
  </si>
  <si>
    <t>㈲清水設備工業</t>
  </si>
  <si>
    <t>20000805-000-001-1-0481141916-999999-21</t>
  </si>
  <si>
    <t>R05/09/28</t>
  </si>
  <si>
    <t>20000806</t>
  </si>
  <si>
    <t>㈲河野鉄工所　外１件</t>
  </si>
  <si>
    <t>20000806-000-001-1-0481141916-999999-21</t>
  </si>
  <si>
    <t>R05/10/17</t>
  </si>
  <si>
    <t>20000874</t>
  </si>
  <si>
    <t>㈱ＳＥＩＷＡ</t>
  </si>
  <si>
    <t>20000874-000-001-1-0481141916-999999-21</t>
  </si>
  <si>
    <t>R05/10/18</t>
  </si>
  <si>
    <t>20000875</t>
  </si>
  <si>
    <t>㈲せとうち設備</t>
  </si>
  <si>
    <t>20000875-000-001-1-0481141916-999999-21</t>
  </si>
  <si>
    <t>R05/09/15</t>
  </si>
  <si>
    <t>20000746</t>
  </si>
  <si>
    <t>㈲清美工業所</t>
  </si>
  <si>
    <t>20000746-000-001-1-0481141916-999999-21</t>
  </si>
  <si>
    <t>R05/11/01</t>
  </si>
  <si>
    <t>20000960</t>
  </si>
  <si>
    <t>㈲おばた設備</t>
  </si>
  <si>
    <t>20000960-000-001-1-0481141916-999999-21</t>
  </si>
  <si>
    <t>R05/11/02</t>
  </si>
  <si>
    <t>20000961</t>
  </si>
  <si>
    <t>㈲玖田設備工業</t>
  </si>
  <si>
    <t>20000961-000-001-1-0481141916-999999-21</t>
  </si>
  <si>
    <t>20000963</t>
  </si>
  <si>
    <t>（同）ニューネクストスタイル</t>
  </si>
  <si>
    <t>20000963-000-001-1-0481141916-999999-21</t>
  </si>
  <si>
    <t>20000964</t>
  </si>
  <si>
    <t>寿総業㈱</t>
  </si>
  <si>
    <t>20000964-000-001-1-0481141916-999999-21</t>
  </si>
  <si>
    <t>R05/10/11</t>
  </si>
  <si>
    <t>20000858</t>
  </si>
  <si>
    <t>㈲クレヨン</t>
  </si>
  <si>
    <t>20000858-000-001-1-0481141916-999999-21</t>
  </si>
  <si>
    <t>R05/10/13</t>
  </si>
  <si>
    <t>20000859</t>
  </si>
  <si>
    <t>㈱サンテック</t>
  </si>
  <si>
    <t>20000859-000-001-1-0481141916-999999-21</t>
  </si>
  <si>
    <t>R05/06/19</t>
  </si>
  <si>
    <t>20000426</t>
  </si>
  <si>
    <t>㈱ムラナカ設備</t>
  </si>
  <si>
    <t>20000426-000-001-1-0481141916-999999-21</t>
  </si>
  <si>
    <t>R05/04/24</t>
  </si>
  <si>
    <t>20000151</t>
  </si>
  <si>
    <t>アイビッグチェーン広島店</t>
  </si>
  <si>
    <t>20000151-000-001-1-0481141916-999999-21</t>
  </si>
  <si>
    <t>20000153</t>
  </si>
  <si>
    <t>㈱タイト設備</t>
  </si>
  <si>
    <t>20000153-000-001-1-0481141916-999999-21</t>
  </si>
  <si>
    <t>20000165</t>
  </si>
  <si>
    <t>藍原設備㈲　外２件</t>
  </si>
  <si>
    <t>20000165-000-001-1-0481141916-999999-21</t>
  </si>
  <si>
    <t>20000054</t>
  </si>
  <si>
    <t>千代田設備</t>
  </si>
  <si>
    <t>20000054-000-001-1-0481141916-999999-21</t>
  </si>
  <si>
    <t>20000190</t>
  </si>
  <si>
    <t>㈱高政商会　外１件</t>
  </si>
  <si>
    <t>20000190-000-001-1-0481141916-999999-21</t>
  </si>
  <si>
    <t>R05/04/21</t>
  </si>
  <si>
    <t>20000130</t>
  </si>
  <si>
    <t>㈲浜崎工業所</t>
  </si>
  <si>
    <t>20000130-000-001-1-0481141916-999999-21</t>
  </si>
  <si>
    <t>20000077</t>
  </si>
  <si>
    <t>中本建設㈱　外１件</t>
  </si>
  <si>
    <t>20000077-000-001-1-0481141916-999999-21</t>
  </si>
  <si>
    <t>20000078</t>
  </si>
  <si>
    <t>㈱武田電設</t>
  </si>
  <si>
    <t>20000078-000-001-1-0481141916-999999-21</t>
  </si>
  <si>
    <t>20000051</t>
  </si>
  <si>
    <t>若山工業㈱　外２件</t>
  </si>
  <si>
    <t>20000051-000-001-1-0481141916-999999-21</t>
  </si>
  <si>
    <t>R05/12/12</t>
  </si>
  <si>
    <t>20001094</t>
  </si>
  <si>
    <t>㈲安佐企業</t>
  </si>
  <si>
    <t>20001094-000-001-1-0481141916-999999-21</t>
  </si>
  <si>
    <t>R05/12/25</t>
  </si>
  <si>
    <t>20001155</t>
  </si>
  <si>
    <t>石本設備㈱</t>
  </si>
  <si>
    <t>20001155-000-001-1-0481141916-999999-21</t>
  </si>
  <si>
    <t>20001156</t>
  </si>
  <si>
    <t>㈱カシワ設備</t>
  </si>
  <si>
    <t>20001156-000-001-1-0481141916-999999-21</t>
  </si>
  <si>
    <t>R05/05/24</t>
  </si>
  <si>
    <t>20000269</t>
  </si>
  <si>
    <t>㈱竹野工業</t>
  </si>
  <si>
    <t>20000269-000-001-1-0481141916-999999-21</t>
  </si>
  <si>
    <t>20000270</t>
  </si>
  <si>
    <t>㈱オガワ総合建設</t>
  </si>
  <si>
    <t>20000270-000-001-1-0481141916-999999-21</t>
  </si>
  <si>
    <t>R05/06/01</t>
  </si>
  <si>
    <t>20000325</t>
  </si>
  <si>
    <t>㈱興祈設備　外１件</t>
  </si>
  <si>
    <t>20000325-000-001-1-0481141916-999999-21</t>
  </si>
  <si>
    <t>20000326</t>
  </si>
  <si>
    <t>㈱伊藤組</t>
  </si>
  <si>
    <t>20000326-000-001-1-0481141916-999999-21</t>
  </si>
  <si>
    <t>R05/06/27</t>
  </si>
  <si>
    <t>20000442</t>
  </si>
  <si>
    <t>山陽空調工業㈱</t>
  </si>
  <si>
    <t>20000442-000-001-1-0481141916-999999-21</t>
  </si>
  <si>
    <t>R06/03/11</t>
  </si>
  <si>
    <t xml:space="preserve">指定工事店登録手数料収入                                                        </t>
  </si>
  <si>
    <t>20001474</t>
  </si>
  <si>
    <t>㈲相野水道工事　外１件</t>
  </si>
  <si>
    <t>20001474-000-001-1-0481141916-999999-21</t>
  </si>
  <si>
    <t>20001475</t>
  </si>
  <si>
    <t>㈲永濵工業　外１件</t>
  </si>
  <si>
    <t>20001475-000-001-1-0481141916-999999-21</t>
  </si>
  <si>
    <t>R06/03/13</t>
  </si>
  <si>
    <t>20001476</t>
  </si>
  <si>
    <t>㈱新陽建設</t>
  </si>
  <si>
    <t>20001476-000-001-1-0481141916-999999-21</t>
  </si>
  <si>
    <t>20001477</t>
  </si>
  <si>
    <t>いのもと産業㈱</t>
  </si>
  <si>
    <t>20001477-000-001-1-0481141916-999999-21</t>
  </si>
  <si>
    <t>R06/03/15</t>
  </si>
  <si>
    <t>20001478</t>
  </si>
  <si>
    <t>シロヤマ住宅設備 外１件</t>
  </si>
  <si>
    <t>20001478-000-001-1-0481141916-999999-21</t>
  </si>
  <si>
    <t>20000359</t>
  </si>
  <si>
    <t>㈱東豊建設</t>
  </si>
  <si>
    <t>20000359-000-001-1-0481141916-999999-21</t>
  </si>
  <si>
    <t>R06/03/19</t>
  </si>
  <si>
    <t>20001521</t>
  </si>
  <si>
    <t>㈲中田設備</t>
  </si>
  <si>
    <t>20001521-000-001-1-0481141916-999999-21</t>
  </si>
  <si>
    <t>20001522</t>
  </si>
  <si>
    <t>エミーコーポレーション㈱　外２件</t>
  </si>
  <si>
    <t>20001522-000-001-1-0481141916-999999-21</t>
  </si>
  <si>
    <t>R06/03/22</t>
  </si>
  <si>
    <t>20001523</t>
  </si>
  <si>
    <t>アワタ工業㈱ 外１件</t>
  </si>
  <si>
    <t>20001523-000-001-1-0481141916-999999-21</t>
  </si>
  <si>
    <t>R06/03/25</t>
  </si>
  <si>
    <t>20001584</t>
  </si>
  <si>
    <t xml:space="preserve"> ㈲商栄</t>
  </si>
  <si>
    <t>20001584-000-001-1-0481141916-999999-21</t>
  </si>
  <si>
    <t>20001585</t>
  </si>
  <si>
    <t>広島ガス高田販売㈱</t>
  </si>
  <si>
    <t>20001585-000-001-1-0481141916-999999-21</t>
  </si>
  <si>
    <t>R06/03/28</t>
  </si>
  <si>
    <t>20001586</t>
  </si>
  <si>
    <t xml:space="preserve"> イワタニ山陽㈱　外２件</t>
  </si>
  <si>
    <t>20001586-000-001-1-0481141916-999999-21</t>
  </si>
  <si>
    <t>20001587</t>
  </si>
  <si>
    <t>㈲竹之内土木　外３件</t>
  </si>
  <si>
    <t>20001587-000-001-1-0481141916-999999-21</t>
  </si>
  <si>
    <t>R06/03/04</t>
  </si>
  <si>
    <t>20001446</t>
  </si>
  <si>
    <t>広島ガス湯来販売㈱　外１件</t>
  </si>
  <si>
    <t>20001446-000-001-1-0481141916-999999-21</t>
  </si>
  <si>
    <t>20001447</t>
  </si>
  <si>
    <t>佐古建設㈱</t>
  </si>
  <si>
    <t>20001447-000-001-1-0481141916-999999-21</t>
  </si>
  <si>
    <t>20001448</t>
  </si>
  <si>
    <t>㈲上野建設　外２件</t>
  </si>
  <si>
    <t>20001448-000-001-1-0481141916-999999-21</t>
  </si>
  <si>
    <t>20001449</t>
  </si>
  <si>
    <t>㈲ヒロシ工業　外１件</t>
  </si>
  <si>
    <t>20001449-000-001-1-0481141916-999999-21</t>
  </si>
  <si>
    <t>20001383</t>
  </si>
  <si>
    <t>湯来建材㈱ 外２件</t>
  </si>
  <si>
    <t>20001383-000-001-1-0481141916-999999-21</t>
  </si>
  <si>
    <t>20001384</t>
  </si>
  <si>
    <t>㈲友和管工</t>
  </si>
  <si>
    <t>20001384-000-001-1-0481141916-999999-21</t>
  </si>
  <si>
    <t>20001385</t>
  </si>
  <si>
    <t xml:space="preserve"> ㈲森本ボーリング工業</t>
  </si>
  <si>
    <t>20001385-000-001-1-0481141916-999999-21</t>
  </si>
  <si>
    <t>20001413</t>
  </si>
  <si>
    <t>㈱田尾設備</t>
  </si>
  <si>
    <t>20001413-000-001-1-0481141916-999999-21</t>
  </si>
  <si>
    <t>R06/01/31</t>
  </si>
  <si>
    <t>20001293</t>
  </si>
  <si>
    <t>廿日市上水道工事所</t>
  </si>
  <si>
    <t>20001293-000-001-1-0481141916-999999-21</t>
  </si>
  <si>
    <t>R06/02/08</t>
  </si>
  <si>
    <t>20001308</t>
  </si>
  <si>
    <t>㈲中西組</t>
  </si>
  <si>
    <t>20001308-000-001-1-0481141916-999999-21</t>
  </si>
  <si>
    <t>20001309</t>
  </si>
  <si>
    <t>㈱アサ・テクノ</t>
  </si>
  <si>
    <t>20001309-000-001-1-0481141916-999999-21</t>
  </si>
  <si>
    <t>20001291</t>
  </si>
  <si>
    <t>㈲サンヱイ工業　外１件</t>
  </si>
  <si>
    <t>20001291-000-001-1-0481141916-999999-21</t>
  </si>
  <si>
    <t>20001342</t>
  </si>
  <si>
    <t>富士整備㈱　外１件</t>
  </si>
  <si>
    <t>20001342-000-001-1-0481141916-999999-21</t>
  </si>
  <si>
    <t>20001343</t>
  </si>
  <si>
    <t>山根水利工業㈲</t>
  </si>
  <si>
    <t>20001343-000-001-1-0481141916-999999-21</t>
  </si>
  <si>
    <t>R06/02/13</t>
  </si>
  <si>
    <t>20001339</t>
  </si>
  <si>
    <t>ホクエイ設備工業㈱</t>
  </si>
  <si>
    <t>20001339-000-001-1-0481141916-999999-21</t>
  </si>
  <si>
    <t>R06/01/16</t>
  </si>
  <si>
    <t>20001223</t>
  </si>
  <si>
    <t>㈲パンネックス　外１件</t>
  </si>
  <si>
    <t>20001223-000-001-1-0481141916-999999-21</t>
  </si>
  <si>
    <t>20001224</t>
  </si>
  <si>
    <t>㈲畑賀建設</t>
  </si>
  <si>
    <t>20001224-000-001-1-0481141916-999999-21</t>
  </si>
  <si>
    <t>20001417</t>
  </si>
  <si>
    <t>ヒロプランニング</t>
  </si>
  <si>
    <t>20001417-000-001-1-0481141916-999999-21</t>
  </si>
  <si>
    <t>20001202</t>
  </si>
  <si>
    <t>㈲鳥取工業　外１件</t>
  </si>
  <si>
    <t>20001202-000-001-1-0481141916-999999-21</t>
  </si>
  <si>
    <t>R06/02/28</t>
  </si>
  <si>
    <t>20001424</t>
  </si>
  <si>
    <t xml:space="preserve"> ㈱邦友</t>
  </si>
  <si>
    <t>20001424-000-001-1-0481141916-999999-21</t>
  </si>
  <si>
    <t>R06/01/12</t>
  </si>
  <si>
    <t>20001204</t>
  </si>
  <si>
    <t>㈱クラシアン</t>
  </si>
  <si>
    <t>20001204-000-001-1-0481141916-999999-21</t>
  </si>
  <si>
    <t>1501110500</t>
  </si>
  <si>
    <t>経営企画課</t>
  </si>
  <si>
    <t>R05/11/30</t>
  </si>
  <si>
    <t>預金利子収入（譲渡性預金：令和５年１０月３０日～１１月３０日運用分）</t>
  </si>
  <si>
    <t>20001035</t>
  </si>
  <si>
    <t>0482022100</t>
  </si>
  <si>
    <t>048202001021000000</t>
  </si>
  <si>
    <t>広島信用金庫</t>
  </si>
  <si>
    <t>20001035-000-001-1-0482022100-999999-21</t>
  </si>
  <si>
    <t>利息　非課税</t>
  </si>
  <si>
    <t>R05/08/31</t>
  </si>
  <si>
    <t>預金利子収入（大口定期：令和５年６月２９日～８月３１日運用分）</t>
  </si>
  <si>
    <t>20000676</t>
  </si>
  <si>
    <t>20000676-000-001-1-0482022100-999999-21</t>
  </si>
  <si>
    <t xml:space="preserve">預金利子収入（別段預金：令和５年１０月１日～令和６年３月３１日）                </t>
  </si>
  <si>
    <t>20001594</t>
  </si>
  <si>
    <t>021406001002000000</t>
  </si>
  <si>
    <t>未収受取利息</t>
  </si>
  <si>
    <t>広島市下水道事業出納取扱金融機関　株式会社広島銀行</t>
  </si>
  <si>
    <t>20001594-000-001-1-0482022100-999999-21</t>
  </si>
  <si>
    <t>預金利子収入（別段預金：令和５年４月１日～９月３０日）</t>
  </si>
  <si>
    <t>20000813</t>
  </si>
  <si>
    <t>20000813-000-001-1-0482022100-999999-21</t>
  </si>
  <si>
    <t>令和５年度広島市の公の施設利用に伴う海田町負担の維持管理負担金（概算請求分）</t>
  </si>
  <si>
    <t>20000843</t>
  </si>
  <si>
    <t>0482093200</t>
  </si>
  <si>
    <t>021406001008000000</t>
  </si>
  <si>
    <t>未収負担金</t>
  </si>
  <si>
    <t>048209001032000000</t>
  </si>
  <si>
    <t>11</t>
  </si>
  <si>
    <t>海田町長　西田　祐三</t>
  </si>
  <si>
    <t>20000843-000-001-1-0482093200-999999-11</t>
  </si>
  <si>
    <t>令和５年度広島市の公の施設利用に伴う坂町負担の維持管理負担金（概算請求分）</t>
  </si>
  <si>
    <t>20000844</t>
  </si>
  <si>
    <t>坂町長　吉田　隆行</t>
  </si>
  <si>
    <t>20000844-000-001-1-0482093200-999999-11</t>
  </si>
  <si>
    <t>令和５年度広島市の公の施設利用に伴う府中町負担の維持管理負担金（概算請求分）</t>
  </si>
  <si>
    <t>20000842</t>
  </si>
  <si>
    <t>府中町長　佐藤　信治</t>
  </si>
  <si>
    <t>20000842-000-001-1-0482093200-999999-17</t>
  </si>
  <si>
    <t>令和５年度府中町大須地区に係る施設維持管理負担金（概算請求分）</t>
  </si>
  <si>
    <t>20000845</t>
  </si>
  <si>
    <t>20000845-000-001-1-0482093200-999999-17</t>
  </si>
  <si>
    <t>1503110200</t>
  </si>
  <si>
    <t>計画調整課</t>
  </si>
  <si>
    <t>31</t>
  </si>
  <si>
    <t>R05/09/01</t>
  </si>
  <si>
    <t xml:space="preserve">令和５年度　下水道局鉄くず（自動車・原動機付自転車・不用物品）の売払い          </t>
  </si>
  <si>
    <t>20001334</t>
  </si>
  <si>
    <t>0482123600</t>
  </si>
  <si>
    <t>不用品売却収益</t>
  </si>
  <si>
    <t>048212001036000000</t>
  </si>
  <si>
    <t>丸本鋼材株式会社</t>
  </si>
  <si>
    <t>20001334-000-001-1-0482123600-999999-17</t>
  </si>
  <si>
    <t xml:space="preserve">ＡＩを活用した下水処理場運転操作の先進的支援技術に関する実証研究に係る研究額    </t>
  </si>
  <si>
    <t>20001524</t>
  </si>
  <si>
    <t>0482124000</t>
  </si>
  <si>
    <t>021406001011010000</t>
  </si>
  <si>
    <t>未収雑収益０</t>
  </si>
  <si>
    <t>048212001040000000</t>
  </si>
  <si>
    <t>代表者　株式会社明電舎</t>
  </si>
  <si>
    <t>20001524-000-001-1-0482124000-999999-17</t>
  </si>
  <si>
    <t>さくらサーカス駐車場用地使用料</t>
  </si>
  <si>
    <t>20001179</t>
  </si>
  <si>
    <t>ＳＡＫＵＲＡ　ＰＲＯＤＵＣＴＩＯＮ　株式会社</t>
  </si>
  <si>
    <t>20001179-000-001-1-0482124000-999999-21</t>
  </si>
  <si>
    <t xml:space="preserve">さくらサーカス駐車場用地使用料の振替                                            </t>
  </si>
  <si>
    <t>振替伝票（予算振替）</t>
  </si>
  <si>
    <t>37000322</t>
  </si>
  <si>
    <t>051806001001000000</t>
  </si>
  <si>
    <t>営業外前受金</t>
  </si>
  <si>
    <t>37000322-000-001-1-0482124000-999999-21</t>
  </si>
  <si>
    <t>さくらサーカス歩行者誘導通路使用料</t>
  </si>
  <si>
    <t>20001264</t>
  </si>
  <si>
    <t>20001264-000-001-1-0482124000-999999-21</t>
  </si>
  <si>
    <t xml:space="preserve">さくらサーカス歩行者誘導通路使用料の振替                                        </t>
  </si>
  <si>
    <t>37000323</t>
  </si>
  <si>
    <t>37000323-000-001-1-0482124000-999999-21</t>
  </si>
  <si>
    <t>R06/01/05</t>
  </si>
  <si>
    <t>し尿浄化槽廃止資金貸付金に係る延滞利子収入</t>
  </si>
  <si>
    <t>20001201</t>
  </si>
  <si>
    <t>岡　マリ子　外１件</t>
  </si>
  <si>
    <t>20001201-000-001-1-0482124000-999999-21</t>
  </si>
  <si>
    <t>貸付金に係る利息　非課税</t>
  </si>
  <si>
    <t>R06/03/01</t>
  </si>
  <si>
    <t xml:space="preserve">し尿浄化槽廃止資金貸付金に係る延滞利子収入                                      </t>
  </si>
  <si>
    <t>20001443</t>
  </si>
  <si>
    <t>20001443-000-001-1-0482124000-999999-21</t>
  </si>
  <si>
    <t>20001445</t>
  </si>
  <si>
    <t>岡田　豊</t>
  </si>
  <si>
    <t>20001445-000-001-1-0482124000-999999-21</t>
  </si>
  <si>
    <t>R05/05/30</t>
  </si>
  <si>
    <t>20000290</t>
  </si>
  <si>
    <t>岡田　豊　外１件</t>
  </si>
  <si>
    <t>20000290-000-001-1-0482124000-999999-21</t>
  </si>
  <si>
    <t>R05/07/03</t>
  </si>
  <si>
    <t>20000473</t>
  </si>
  <si>
    <t>岡　マリ子　外７件</t>
  </si>
  <si>
    <t>20000473-000-001-1-0482124000-999999-21</t>
  </si>
  <si>
    <t>20000441</t>
  </si>
  <si>
    <t>山田　春男</t>
  </si>
  <si>
    <t>20000441-000-001-1-0482124000-999999-21</t>
  </si>
  <si>
    <t>20001157</t>
  </si>
  <si>
    <t>藤元　充子</t>
  </si>
  <si>
    <t>20001157-000-001-1-0482124000-999999-21</t>
  </si>
  <si>
    <t>20001095</t>
  </si>
  <si>
    <t>宇津川　健二</t>
  </si>
  <si>
    <t>20001095-000-001-1-0482124000-999999-21</t>
  </si>
  <si>
    <t>20001139</t>
  </si>
  <si>
    <t>高山　惠</t>
  </si>
  <si>
    <t>20001139-000-001-1-0482124000-999999-21</t>
  </si>
  <si>
    <t>R05/12/20</t>
  </si>
  <si>
    <t>20001140</t>
  </si>
  <si>
    <t>20001140-000-001-1-0482124000-999999-21</t>
  </si>
  <si>
    <t>R05/12/28</t>
  </si>
  <si>
    <t>20001159</t>
  </si>
  <si>
    <t>峯本　早苗</t>
  </si>
  <si>
    <t>20001159-000-001-1-0482124000-999999-21</t>
  </si>
  <si>
    <t>R05/04/17</t>
  </si>
  <si>
    <t>20000124</t>
  </si>
  <si>
    <t>20000124-000-001-1-0482124000-999999-21</t>
  </si>
  <si>
    <t>R05/04/18</t>
  </si>
  <si>
    <t>20000125</t>
  </si>
  <si>
    <t>野上　充子</t>
  </si>
  <si>
    <t>20000125-000-001-1-0482124000-999999-21</t>
  </si>
  <si>
    <t>20000189</t>
  </si>
  <si>
    <t>岡田　豊　外２件</t>
  </si>
  <si>
    <t>20000189-000-001-1-0482124000-999999-21</t>
  </si>
  <si>
    <t>R05/05/18</t>
  </si>
  <si>
    <t>20000208</t>
  </si>
  <si>
    <t>山根　美津江　外３件</t>
  </si>
  <si>
    <t>20000208-000-001-1-0482124000-999999-21</t>
  </si>
  <si>
    <t>20000128</t>
  </si>
  <si>
    <t>20000128-000-001-1-0482124000-999999-21</t>
  </si>
  <si>
    <t>20000427</t>
  </si>
  <si>
    <t>20000427-000-001-1-0482124000-999999-21</t>
  </si>
  <si>
    <t>20000425</t>
  </si>
  <si>
    <t>20000425-000-001-1-0482124000-999999-21</t>
  </si>
  <si>
    <t>R05/05/01</t>
  </si>
  <si>
    <t>20000162</t>
  </si>
  <si>
    <t>岡　マリ子</t>
  </si>
  <si>
    <t>20000162-000-001-1-0482124000-999999-21</t>
  </si>
  <si>
    <t>20000164</t>
  </si>
  <si>
    <t>藤本　晃司　外８件</t>
  </si>
  <si>
    <t>20000164-000-001-1-0482124000-999999-21</t>
  </si>
  <si>
    <t>20000937</t>
  </si>
  <si>
    <t>20000937-000-001-1-0482124000-999999-21</t>
  </si>
  <si>
    <t>R05/12/11</t>
  </si>
  <si>
    <t>20001093</t>
  </si>
  <si>
    <t>山根　美津江　外２件</t>
  </si>
  <si>
    <t>20001093-000-001-1-0482124000-999999-21</t>
  </si>
  <si>
    <t>20001042</t>
  </si>
  <si>
    <t>20001042-000-001-1-0482124000-999999-21</t>
  </si>
  <si>
    <t>20000928</t>
  </si>
  <si>
    <t>20000928-000-001-1-0482124000-999999-21</t>
  </si>
  <si>
    <t>20000930</t>
  </si>
  <si>
    <t>20000930-000-001-1-0482124000-999999-21</t>
  </si>
  <si>
    <t>20000931</t>
  </si>
  <si>
    <t>20000931-000-001-1-0482124000-999999-21</t>
  </si>
  <si>
    <t>20000808</t>
  </si>
  <si>
    <t>20000808-000-001-1-0482124000-999999-21</t>
  </si>
  <si>
    <t>20000962</t>
  </si>
  <si>
    <t>20000962-000-001-1-0482124000-999999-21</t>
  </si>
  <si>
    <t>20000873</t>
  </si>
  <si>
    <t>20000873-000-001-1-0482124000-999999-21</t>
  </si>
  <si>
    <t>R05/08/02</t>
  </si>
  <si>
    <t>20000562</t>
  </si>
  <si>
    <t>20000562-000-001-1-0482124000-999999-21</t>
  </si>
  <si>
    <t>R05/08/03</t>
  </si>
  <si>
    <t>20000564</t>
  </si>
  <si>
    <t>20000564-000-001-1-0482124000-999999-21</t>
  </si>
  <si>
    <t>20000793</t>
  </si>
  <si>
    <t>20000793-000-001-1-0482124000-999999-21</t>
  </si>
  <si>
    <t>20000855</t>
  </si>
  <si>
    <t>20000855-000-001-1-0482124000-999999-21</t>
  </si>
  <si>
    <t>R05/08/21</t>
  </si>
  <si>
    <t>20000652</t>
  </si>
  <si>
    <t>20000652-000-001-1-0482124000-999999-21</t>
  </si>
  <si>
    <t>20000711</t>
  </si>
  <si>
    <t>20000711-000-001-1-0482124000-999999-21</t>
  </si>
  <si>
    <t>R05/09/04</t>
  </si>
  <si>
    <t>20000712</t>
  </si>
  <si>
    <t>20000712-000-001-1-0482124000-999999-21</t>
  </si>
  <si>
    <t>3</t>
  </si>
  <si>
    <t>20000690</t>
  </si>
  <si>
    <t>濵木　勝　　外８件</t>
  </si>
  <si>
    <t>20000690-000-001-1-0482124000-999999-21</t>
  </si>
  <si>
    <t>20000691</t>
  </si>
  <si>
    <t>濵木　勝　外１件</t>
  </si>
  <si>
    <t>20000691-000-001-1-0482124000-999999-21</t>
  </si>
  <si>
    <t>1502111500</t>
  </si>
  <si>
    <t>千田水資源再生センター</t>
  </si>
  <si>
    <t>R05/12/07</t>
  </si>
  <si>
    <t>屋上テニスコート自動販売機光熱水費（１０・１１月分）</t>
  </si>
  <si>
    <t>20001034</t>
  </si>
  <si>
    <t>会長　中野　徹</t>
  </si>
  <si>
    <t>20001034-000-001-1-0482124000-999999-17</t>
  </si>
  <si>
    <t>R06/02/05</t>
  </si>
  <si>
    <t>屋上テニスコート自動販売機光熱水費（１２・１月分）</t>
  </si>
  <si>
    <t>20001278</t>
  </si>
  <si>
    <t>20001278-000-001-1-0482124000-999999-17</t>
  </si>
  <si>
    <t xml:space="preserve">屋上テニスコート自動販売機光熱水費（２・３月分）                                </t>
  </si>
  <si>
    <t>20001564</t>
  </si>
  <si>
    <t>20001564-000-001-1-0482124000-999999-17</t>
  </si>
  <si>
    <t>屋上テニスコート自動販売機光熱水費（４・５月分）</t>
  </si>
  <si>
    <t>20000287</t>
  </si>
  <si>
    <t>20000287-000-001-1-0482124000-999999-17</t>
  </si>
  <si>
    <t>屋上テニスコート自動販売機光熱水費（６・７月分）</t>
  </si>
  <si>
    <t>20000533</t>
  </si>
  <si>
    <t>20000533-000-001-1-0482124000-999999-17</t>
  </si>
  <si>
    <t>屋上テニスコート自動販売機光熱水費（８・９月分）</t>
  </si>
  <si>
    <t>20000802</t>
  </si>
  <si>
    <t>20000802-000-001-1-0482124000-999999-17</t>
  </si>
  <si>
    <t>R05/11/24</t>
  </si>
  <si>
    <t>下水道事業受益者分担金に係る延滞金（農集）</t>
  </si>
  <si>
    <t>20000997</t>
  </si>
  <si>
    <t>99</t>
  </si>
  <si>
    <t>静間　五男</t>
  </si>
  <si>
    <t>20000997-000-001-1-0482124000-999999-99</t>
  </si>
  <si>
    <t>遅延損害金　非課税</t>
  </si>
  <si>
    <t>R05/05/15</t>
  </si>
  <si>
    <t>20000212</t>
  </si>
  <si>
    <t>20000212-000-001-1-0482124000-999999-99</t>
  </si>
  <si>
    <t xml:space="preserve">下水道事業受益者分担金に係る延滞金(農集）                                       </t>
  </si>
  <si>
    <t>20001340</t>
  </si>
  <si>
    <t>山口　弘司</t>
  </si>
  <si>
    <t>20001340-000-001-1-0482124000-999999-21</t>
  </si>
  <si>
    <t>下水道賠償責任保険</t>
  </si>
  <si>
    <t>20001185</t>
  </si>
  <si>
    <t>損害保険ジャパン株式会社</t>
  </si>
  <si>
    <t>20001185-000-001-1-0482124000-999999-31</t>
  </si>
  <si>
    <t>保険金や共済金収入（対価性なし）　不課税</t>
  </si>
  <si>
    <t xml:space="preserve">下水道用歩掛検討委員会に係る旅費（令和５年度下期分）                            </t>
  </si>
  <si>
    <t>20001438</t>
  </si>
  <si>
    <t>公益（社）日本下水道協会　</t>
  </si>
  <si>
    <t>20001438-000-001-1-0482124000-999999-17</t>
  </si>
  <si>
    <t>下水道用歩掛検討委員会に係る旅費（令和５年度上半期分）</t>
  </si>
  <si>
    <t>20000799</t>
  </si>
  <si>
    <t>20000799-000-001-1-0482124000-999999-17</t>
  </si>
  <si>
    <t>R05/07/25</t>
  </si>
  <si>
    <t>旧翠光台団地処理場用地賃貸借料</t>
  </si>
  <si>
    <t>20000538</t>
  </si>
  <si>
    <t>株式会社曽根川施工</t>
  </si>
  <si>
    <t>20000538-000-001-1-0482124000-999999-21</t>
  </si>
  <si>
    <t>R05/04/01</t>
  </si>
  <si>
    <t>旧東浄団地下水処理場賃貸借料（令和５年度）</t>
  </si>
  <si>
    <t>37000003</t>
  </si>
  <si>
    <t>37000003-000-001-1-0482124000-999999-21</t>
  </si>
  <si>
    <t xml:space="preserve">雇用保険料預り金の更正                                                          </t>
  </si>
  <si>
    <t>37000635</t>
  </si>
  <si>
    <t>052002001006009000</t>
  </si>
  <si>
    <t>雇用保険料</t>
  </si>
  <si>
    <t>37000635-000-001-1-0482124000-999999-21</t>
  </si>
  <si>
    <t>光熱水費等実費相当額（令和５年度１０・１１月分）</t>
  </si>
  <si>
    <t>20001055</t>
  </si>
  <si>
    <t>株式会社ウォーターエージェンシー　広島オ　ペレーションセンター広島営業所</t>
  </si>
  <si>
    <t>20001055-000-001-1-0482124000-999999-17</t>
  </si>
  <si>
    <t xml:space="preserve">光熱水費等実費相当額（令和５年度１２・１月分）                                  </t>
  </si>
  <si>
    <t>20001301</t>
  </si>
  <si>
    <t>20001301-000-001-1-0482124000-999999-17</t>
  </si>
  <si>
    <t xml:space="preserve">光熱水費等実費相当額（令和５年度２・３月分）                                    </t>
  </si>
  <si>
    <t>20001600</t>
  </si>
  <si>
    <t>株式会社ウォーターエージェンシー　広島オペレーションセンター広島営業所</t>
  </si>
  <si>
    <t>20001600-000-001-1-0482124000-999999-17</t>
  </si>
  <si>
    <t>R05/06/14</t>
  </si>
  <si>
    <t>光熱水費等実費相当額（令和５年度４・５月分）</t>
  </si>
  <si>
    <t>20000307</t>
  </si>
  <si>
    <t>株式会社ウォーターエージェンシー　広島オ　ペレーションセンター</t>
  </si>
  <si>
    <t>20000307-000-001-1-0482124000-999999-17</t>
  </si>
  <si>
    <t>光熱水費等実費相当額（令和５年度６・７月分）</t>
  </si>
  <si>
    <t>20000549</t>
  </si>
  <si>
    <t>20000549-000-001-1-0482124000-999999-17</t>
  </si>
  <si>
    <t>光熱水費等実費相当額（令和５年度８・９月分）</t>
  </si>
  <si>
    <t>20000827</t>
  </si>
  <si>
    <t>20000827-000-001-1-0482124000-999999-17</t>
  </si>
  <si>
    <t>公共下水道占用料　令和５年度</t>
  </si>
  <si>
    <t>20000345</t>
  </si>
  <si>
    <t>ヴェルディ五日市八幡リバーサイド管理組合</t>
  </si>
  <si>
    <t>20000345-000-001-1-0482124000-999999-21</t>
  </si>
  <si>
    <t>20000018</t>
  </si>
  <si>
    <t>株式会社イズミ</t>
  </si>
  <si>
    <t>20000018-000-001-1-0482124000-999999-21</t>
  </si>
  <si>
    <t>20001091</t>
  </si>
  <si>
    <t>西日本電信電話株式会社</t>
  </si>
  <si>
    <t>20001091-000-001-1-0482124000-999999-21</t>
  </si>
  <si>
    <t>公共下水道占用料（１０１１４）</t>
  </si>
  <si>
    <t>37000007</t>
  </si>
  <si>
    <t>37000007-000-001-1-0482124000-999999-21</t>
  </si>
  <si>
    <t>1502112000</t>
  </si>
  <si>
    <t>江波水資源再生センター</t>
  </si>
  <si>
    <t>公共下水道占用料（支線１条）</t>
  </si>
  <si>
    <t>20000157</t>
  </si>
  <si>
    <t>西日本電信電話　株式会社　</t>
  </si>
  <si>
    <t>20000157-000-001-1-0482124000-999999-21</t>
  </si>
  <si>
    <t>公共下水道占用料（支線２条）</t>
  </si>
  <si>
    <t>20000158</t>
  </si>
  <si>
    <t>中国電力ネットワーク株式会社　広島ネットワークセンター</t>
  </si>
  <si>
    <t>20000158-000-001-1-0482124000-999999-21</t>
  </si>
  <si>
    <t>公共下水道占用料（電柱１本、架空支線２条）</t>
  </si>
  <si>
    <t>20000156</t>
  </si>
  <si>
    <t>20000156-000-001-1-0482124000-999999-21</t>
  </si>
  <si>
    <t>公共下水道等占用料（３００３４）</t>
  </si>
  <si>
    <t>20000904</t>
  </si>
  <si>
    <t>株式会社共立　</t>
  </si>
  <si>
    <t>20000904-000-001-1-0482124000-999999-21</t>
  </si>
  <si>
    <t>公共下水道等占用料（Ｒ２－４期目）</t>
  </si>
  <si>
    <t>20000280</t>
  </si>
  <si>
    <t>西日本電信電話（株）　</t>
  </si>
  <si>
    <t>20000280-000-001-1-0482124000-999999-21</t>
  </si>
  <si>
    <t>公共下水道等占用料（ふじビレッジ）</t>
  </si>
  <si>
    <t>20000004</t>
  </si>
  <si>
    <t>中国電力ネットワーク（株）　広島北ネットワークセンター</t>
  </si>
  <si>
    <t>20000004-000-001-1-0482124000-999999-21</t>
  </si>
  <si>
    <t>公共下水道等占用料（上三田農集）</t>
  </si>
  <si>
    <t>20000008</t>
  </si>
  <si>
    <t>（株）エネルギア・コミュニケーションズ　ソリューション事業統括本部</t>
  </si>
  <si>
    <t>20000008-000-001-1-0482124000-999999-21</t>
  </si>
  <si>
    <t>20000003</t>
  </si>
  <si>
    <t>20000003-000-001-1-0482124000-999999-21</t>
  </si>
  <si>
    <t>公共下水道等占用料（須沢農集）</t>
  </si>
  <si>
    <t>20000005</t>
  </si>
  <si>
    <t>20000005-000-001-1-0482124000-999999-21</t>
  </si>
  <si>
    <t>公共下水道等占用料（太田部農集）</t>
  </si>
  <si>
    <t>20000006</t>
  </si>
  <si>
    <t>20000006-000-001-1-0482124000-999999-21</t>
  </si>
  <si>
    <t>20000007</t>
  </si>
  <si>
    <t>20000007-000-001-1-0482124000-999999-21</t>
  </si>
  <si>
    <t>20000002</t>
  </si>
  <si>
    <t>20000002-000-001-1-0482124000-999999-21</t>
  </si>
  <si>
    <t>公共下水道等占用料３９３１　令和５年度分</t>
  </si>
  <si>
    <t>20000367</t>
  </si>
  <si>
    <t>住田　智</t>
  </si>
  <si>
    <t>20000367-000-001-1-0482124000-999999-99</t>
  </si>
  <si>
    <t>公共下水道等占用料３９３７　令和５年度分</t>
  </si>
  <si>
    <t>20000368</t>
  </si>
  <si>
    <t>藤光　ユリコ</t>
  </si>
  <si>
    <t>20000368-000-001-1-0482124000-999999-99</t>
  </si>
  <si>
    <t>公共下水道等占用料３９５３－１</t>
  </si>
  <si>
    <t>20000838</t>
  </si>
  <si>
    <t>20000838-000-001-1-0482124000-999999-21</t>
  </si>
  <si>
    <t>公共下水道敷等占用料</t>
  </si>
  <si>
    <t>20000351</t>
  </si>
  <si>
    <t>20000351-000-001-1-0482124000-999999-21</t>
  </si>
  <si>
    <t>20000239</t>
  </si>
  <si>
    <t>宗教法人　眞光寺</t>
  </si>
  <si>
    <t>20000239-000-001-1-0482124000-999999-21</t>
  </si>
  <si>
    <t>20000289</t>
  </si>
  <si>
    <t>20000289-000-001-1-0482124000-999999-21</t>
  </si>
  <si>
    <t>R05/05/22</t>
  </si>
  <si>
    <t>20000203</t>
  </si>
  <si>
    <t>（株）堀田組</t>
  </si>
  <si>
    <t>20000203-000-001-1-0482124000-999999-21</t>
  </si>
  <si>
    <t>20000437</t>
  </si>
  <si>
    <t>20000437-000-001-1-0482124000-999999-21</t>
  </si>
  <si>
    <t>20000015</t>
  </si>
  <si>
    <t>株式会社ちゅピＣＯＭ</t>
  </si>
  <si>
    <t>20000015-000-001-1-0482124000-999999-21</t>
  </si>
  <si>
    <t>R05/04/04</t>
  </si>
  <si>
    <t>20000019</t>
  </si>
  <si>
    <t>株式会社堀田組</t>
  </si>
  <si>
    <t>20000019-000-001-1-0482124000-999999-21</t>
  </si>
  <si>
    <t>公共下水道敷等占用料（Ｈ３１－５期目）</t>
  </si>
  <si>
    <t>20000279</t>
  </si>
  <si>
    <t>広島ガス株式会社　</t>
  </si>
  <si>
    <t>20000279-000-001-1-0482124000-999999-21</t>
  </si>
  <si>
    <t>公共下水道敷等占用料（Ｒ４－２期目）</t>
  </si>
  <si>
    <t>20000278</t>
  </si>
  <si>
    <t>20000278-000-001-1-0482124000-999999-21</t>
  </si>
  <si>
    <t>公共下水道敷等占用料（Ｒ５―８３１３）</t>
  </si>
  <si>
    <t>20000211</t>
  </si>
  <si>
    <t>広島ガス株式会社</t>
  </si>
  <si>
    <t>20000211-000-001-1-0482124000-999999-21</t>
  </si>
  <si>
    <t>R05/07/31</t>
  </si>
  <si>
    <t>公共下水道敷等占用料（Ｒ５―８３２４）</t>
  </si>
  <si>
    <t>20000529</t>
  </si>
  <si>
    <t>20000529-000-001-1-0482124000-999999-21</t>
  </si>
  <si>
    <t>公共下水道敷等占用料（Ｒ５―８３２６）</t>
  </si>
  <si>
    <t>20000651</t>
  </si>
  <si>
    <t>20000651-000-001-1-0482124000-999999-21</t>
  </si>
  <si>
    <t>公共下水道敷等占用料（Ｒ５―８３４８）</t>
  </si>
  <si>
    <t>20001182</t>
  </si>
  <si>
    <t>20001182-000-001-1-0482124000-999999-21</t>
  </si>
  <si>
    <t>公共下水道敷等占用料（Ｒ５―Ｋ００１）</t>
  </si>
  <si>
    <t>20000387</t>
  </si>
  <si>
    <t>20000387-000-001-1-0482124000-999999-21</t>
  </si>
  <si>
    <t>公共下水道敷等占用料（Ｒ５―Ｋ００３）</t>
  </si>
  <si>
    <t>20000392</t>
  </si>
  <si>
    <t>20000392-000-001-1-0482124000-999999-21</t>
  </si>
  <si>
    <t>公共下水道敷等占用料（Ｒ５―Ｋ００４）</t>
  </si>
  <si>
    <t>20000391</t>
  </si>
  <si>
    <t>20000391-000-001-1-0482124000-999999-21</t>
  </si>
  <si>
    <t>公共下水道敷等占用料（Ｒ５―Ｋ００５）</t>
  </si>
  <si>
    <t>20000386</t>
  </si>
  <si>
    <t>株式会社エネルギア・コミュニケーションズ　</t>
  </si>
  <si>
    <t>20000386-000-001-1-0482124000-999999-21</t>
  </si>
  <si>
    <t>公共下水道敷等占用料（Ｒ５―Ｋ００６）</t>
  </si>
  <si>
    <t>20000385</t>
  </si>
  <si>
    <t>中国電力ネットワーク㈱広島北ネットワークセンター　</t>
  </si>
  <si>
    <t>20000385-000-001-1-0482124000-999999-21</t>
  </si>
  <si>
    <t>R05/05/29</t>
  </si>
  <si>
    <t>公共下水道敷等占用料（第１３２０１号）令和４年度許可分</t>
  </si>
  <si>
    <t>20000228</t>
  </si>
  <si>
    <t>20000228-000-001-1-0482124000-999999-21</t>
  </si>
  <si>
    <t>公共下水道敷等占用料（第１３２０２号）令和４年度許可分</t>
  </si>
  <si>
    <t>20000229</t>
  </si>
  <si>
    <t>中国電力ネットワーク株式会社</t>
  </si>
  <si>
    <t>20000229-000-001-1-0482124000-999999-21</t>
  </si>
  <si>
    <t>公共下水道敷等占用料（第１３２０３号）令和４年度許可分</t>
  </si>
  <si>
    <t>20000230</t>
  </si>
  <si>
    <t>20000230-000-001-1-0482124000-999999-21</t>
  </si>
  <si>
    <t>公共下水道敷等占用料（第１３２０４号）令和４年度許可分</t>
  </si>
  <si>
    <t>20000231</t>
  </si>
  <si>
    <t>20000231-000-001-1-0482124000-999999-21</t>
  </si>
  <si>
    <t>公共下水道敷等占用料（第１３２０５号）令和３年度許可分</t>
  </si>
  <si>
    <t>20000222</t>
  </si>
  <si>
    <t>山口　義利</t>
  </si>
  <si>
    <t>20000222-000-001-1-0482124000-999999-21</t>
  </si>
  <si>
    <t>公共下水道敷等占用料（第１３２０６号）令和５年度許可分</t>
  </si>
  <si>
    <t>20000087</t>
  </si>
  <si>
    <t>切戸　瑞穂</t>
  </si>
  <si>
    <t>20000087-000-001-1-0482124000-999999-21</t>
  </si>
  <si>
    <t>公共下水道敷等占用料（第１３２０７号）令和５年度許可分</t>
  </si>
  <si>
    <t>20000089</t>
  </si>
  <si>
    <t>池田　一美</t>
  </si>
  <si>
    <t>20000089-000-001-1-0482124000-999999-21</t>
  </si>
  <si>
    <t>公共下水道敷等占用料（第１３２０８号）令和３年度許可分</t>
  </si>
  <si>
    <t>20000223</t>
  </si>
  <si>
    <t>学校法人龍花学園</t>
  </si>
  <si>
    <t>20000223-000-001-1-0482124000-999999-21</t>
  </si>
  <si>
    <t>公共下水道敷等占用料（第１３２０９号）令和４年度許可分</t>
  </si>
  <si>
    <t>20000232</t>
  </si>
  <si>
    <t>池田　裕子</t>
  </si>
  <si>
    <t>20000232-000-001-1-0482124000-999999-21</t>
  </si>
  <si>
    <t>公共下水道敷等占用料（第１３２１０号）</t>
  </si>
  <si>
    <t>20000012</t>
  </si>
  <si>
    <t>20000012-000-001-1-0482124000-999999-21</t>
  </si>
  <si>
    <t>公共下水道敷等占用料（第１３２１２号）令和４年度許可分</t>
  </si>
  <si>
    <t>20000235</t>
  </si>
  <si>
    <t>ＫＤＤＩ株式会社</t>
  </si>
  <si>
    <t>20000235-000-001-1-0482124000-999999-21</t>
  </si>
  <si>
    <t>公共下水道敷等占用料（第１３２１４号）令和５年度許可分</t>
  </si>
  <si>
    <t>20000094</t>
  </si>
  <si>
    <t>株式会社菊浜</t>
  </si>
  <si>
    <t>20000094-000-001-1-0482124000-999999-21</t>
  </si>
  <si>
    <t>公共下水道敷等占用料（第１３２１５号）令和５年度許可分</t>
  </si>
  <si>
    <t>20000091</t>
  </si>
  <si>
    <t>医療法人社団仁和会　児玉病院</t>
  </si>
  <si>
    <t>20000091-000-001-1-0482124000-999999-21</t>
  </si>
  <si>
    <t>公共下水道敷等占用料（第１３２１７号）令和５年度許可分</t>
  </si>
  <si>
    <t>20000092</t>
  </si>
  <si>
    <t>久都内　壽</t>
  </si>
  <si>
    <t>20000092-000-001-1-0482124000-999999-21</t>
  </si>
  <si>
    <t>公共下水道敷等占用料（第１８２号）令和３年度許可分</t>
  </si>
  <si>
    <t>20000224</t>
  </si>
  <si>
    <t>株式会社センゴク木材</t>
  </si>
  <si>
    <t>20000224-000-001-1-0482124000-999999-21</t>
  </si>
  <si>
    <t>公共下水道敷等占用料（第１８６号）令和３年度許可分</t>
  </si>
  <si>
    <t>20000227</t>
  </si>
  <si>
    <t>鈴木　佳奈子</t>
  </si>
  <si>
    <t>20000227-000-001-1-0482124000-999999-21</t>
  </si>
  <si>
    <t>公共下水道敷等占用料（第３１０２号）</t>
  </si>
  <si>
    <t>20000349</t>
  </si>
  <si>
    <t>北来　洋子</t>
  </si>
  <si>
    <t>20000349-000-001-1-0482124000-999999-21</t>
  </si>
  <si>
    <t>公共下水道敷等占用料（第３１０４号）令和４年度許可分</t>
  </si>
  <si>
    <t>20000238</t>
  </si>
  <si>
    <t>20000238-000-001-1-0482124000-999999-21</t>
  </si>
  <si>
    <t xml:space="preserve">公共下水道敷等占用料（第３１１１号）                                            </t>
  </si>
  <si>
    <t>20001315</t>
  </si>
  <si>
    <t>住友林業ホームテック株式会社　広島支店</t>
  </si>
  <si>
    <t>20001315-000-001-1-0482124000-999999-21</t>
  </si>
  <si>
    <t>公共下水道敷等占用料（第３２００６号）令和４年度許可分</t>
  </si>
  <si>
    <t>20000233</t>
  </si>
  <si>
    <t>20000233-000-001-1-0482124000-999999-21</t>
  </si>
  <si>
    <t>公共下水道敷等占用料（第４４号）令和４年度許可分</t>
  </si>
  <si>
    <t>20000236</t>
  </si>
  <si>
    <t>株式会社片岡屋</t>
  </si>
  <si>
    <t>20000236-000-001-1-0482124000-999999-21</t>
  </si>
  <si>
    <t>公共下水道敷等占用料（第５５号）令和４年度許可分</t>
  </si>
  <si>
    <t>20000237</t>
  </si>
  <si>
    <t>20000237-000-001-1-0482124000-999999-21</t>
  </si>
  <si>
    <t>公共下水道敷等占用料（第６２号）令和３年度許可分</t>
  </si>
  <si>
    <t>20000225</t>
  </si>
  <si>
    <t>医療社団法人仁和会　児玉病院</t>
  </si>
  <si>
    <t>20000225-000-001-1-0482124000-999999-21</t>
  </si>
  <si>
    <t>公共下水道敷等占用料（第８４号）令和３年度許可分</t>
  </si>
  <si>
    <t>20000226</t>
  </si>
  <si>
    <t>株式会社匠輝</t>
  </si>
  <si>
    <t>20000226-000-001-1-0482124000-999999-21</t>
  </si>
  <si>
    <t>公共下水道敷等占用料（令和５年度―８００２）</t>
  </si>
  <si>
    <t>20000294</t>
  </si>
  <si>
    <t>（株）三輝　</t>
  </si>
  <si>
    <t>20000294-000-001-1-0482124000-999999-21</t>
  </si>
  <si>
    <t>公共下水道敷等占用料（令和５年度―８００２－２）</t>
  </si>
  <si>
    <t>20000543</t>
  </si>
  <si>
    <t>（株）　三輝　</t>
  </si>
  <si>
    <t>20000543-000-001-1-0482124000-999999-21</t>
  </si>
  <si>
    <t>公共下水道敷等占用料（令和５年度―８００３）</t>
  </si>
  <si>
    <t>20000366</t>
  </si>
  <si>
    <t>株式会社アパックスホーム</t>
  </si>
  <si>
    <t>20000366-000-001-1-0482124000-999999-21</t>
  </si>
  <si>
    <t>公共下水道敷等占用料（令和５年度―８００４）</t>
  </si>
  <si>
    <t>20000615</t>
  </si>
  <si>
    <t>20000615-000-001-1-0482124000-999999-21</t>
  </si>
  <si>
    <t>公共下水道敷等占用料（令和５年度―８００５）</t>
  </si>
  <si>
    <t>20000749</t>
  </si>
  <si>
    <t>（株）テクシード　</t>
  </si>
  <si>
    <t>20000749-000-001-1-0482124000-999999-21</t>
  </si>
  <si>
    <t xml:space="preserve">公共下水道敷等占用料（令和５年度―８００６）                                    </t>
  </si>
  <si>
    <t>20001420</t>
  </si>
  <si>
    <t>株式会社ブライトシステム</t>
  </si>
  <si>
    <t>20001420-000-001-1-0482124000-999999-21</t>
  </si>
  <si>
    <t>R05/09/14</t>
  </si>
  <si>
    <t>公共下水道敷等占用料（令和５年度―８３３２）</t>
  </si>
  <si>
    <t>20000751</t>
  </si>
  <si>
    <t>（株）信和ホーム　</t>
  </si>
  <si>
    <t>20000751-000-001-1-0482124000-999999-21</t>
  </si>
  <si>
    <t>公共下水道敷等占用料（令和５年度―８３３３）</t>
  </si>
  <si>
    <t>20000750</t>
  </si>
  <si>
    <t>20000750-000-001-1-0482124000-999999-21</t>
  </si>
  <si>
    <t>公共下水道敷等占用料（令和５年度―Ｔ７００３）</t>
  </si>
  <si>
    <t>20001137</t>
  </si>
  <si>
    <t>（株）フジ　</t>
  </si>
  <si>
    <t>20001137-000-001-1-0482124000-999999-21</t>
  </si>
  <si>
    <t>公共下水道敷等占用料（令和５年度―Ｔ７００４）</t>
  </si>
  <si>
    <t>20001142</t>
  </si>
  <si>
    <t>（株）花りあ　</t>
  </si>
  <si>
    <t>20001142-000-001-1-0482124000-999999-21</t>
  </si>
  <si>
    <t>公共下水道敷等占用料（令和５年度―Ｔ７００５）</t>
  </si>
  <si>
    <t>20001146</t>
  </si>
  <si>
    <t>（株）ツルハグループ　ドラッグ＆ファーマシー西日本</t>
  </si>
  <si>
    <t>20001146-000-001-1-0482124000-999999-21</t>
  </si>
  <si>
    <t>公共下水道敷等占用料（令和５年度―Ｔ７００６）</t>
  </si>
  <si>
    <t>20001149</t>
  </si>
  <si>
    <t>（株）ホワイト舎　</t>
  </si>
  <si>
    <t>20001149-000-001-1-0482124000-999999-21</t>
  </si>
  <si>
    <t>公共下水道敷等占用料（令和５年度―Ｔ７００７）</t>
  </si>
  <si>
    <t>20001150</t>
  </si>
  <si>
    <t>友愛不動産建設（株）　</t>
  </si>
  <si>
    <t>20001150-000-001-1-0482124000-999999-21</t>
  </si>
  <si>
    <t>江波水資源再生センター自動販売機（１階玄関口Ａ）に係る電気料金（１０・１１月分）</t>
  </si>
  <si>
    <t>20001100</t>
  </si>
  <si>
    <t>（株）フジタ商事広島支店　</t>
  </si>
  <si>
    <t>20001100-000-001-1-0482124000-999999-17</t>
  </si>
  <si>
    <t xml:space="preserve">江波水資源再生センター自動販売機（１階玄関口Ａ）に係る電気料金（１２・１月分）  </t>
  </si>
  <si>
    <t>20001310</t>
  </si>
  <si>
    <t>（株）フジタ商事広島支店</t>
  </si>
  <si>
    <t>20001310-000-001-1-0482124000-999999-17</t>
  </si>
  <si>
    <t xml:space="preserve">江波水資源再生センター自動販売機（１階玄関口Ａ）に係る電気料金（２・３月分）    </t>
  </si>
  <si>
    <t>20001605</t>
  </si>
  <si>
    <t>20001605-000-001-1-0482124000-999999-17</t>
  </si>
  <si>
    <t>江波水資源再生センター自動販売機（１階玄関口Ａ）に係る電気料金（４・５月分）</t>
  </si>
  <si>
    <t>20000342</t>
  </si>
  <si>
    <t>20000342-000-001-1-0482124000-999999-17</t>
  </si>
  <si>
    <t>R05/08/17</t>
  </si>
  <si>
    <t>江波水資源再生センター自動販売機（１階玄関口Ａ）に係る電気料金（６・７月分）</t>
  </si>
  <si>
    <t>20000580</t>
  </si>
  <si>
    <t>20000580-000-001-1-0482124000-999999-17</t>
  </si>
  <si>
    <t>江波水資源再生センター自動販売機（１階玄関口Ａ）に係る電気料金（８・９月分）</t>
  </si>
  <si>
    <t>20000840</t>
  </si>
  <si>
    <t>20000840-000-001-1-0482124000-999999-17</t>
  </si>
  <si>
    <t>江波水資源再生センター自動販売機（１階玄関口Ｂ）に係る電気料金（１０・１１月分）</t>
  </si>
  <si>
    <t>20001101</t>
  </si>
  <si>
    <t>ダイコーフーズ株式会社　</t>
  </si>
  <si>
    <t>20001101-000-001-1-0482124000-999999-17</t>
  </si>
  <si>
    <t xml:space="preserve">江波水資源再生センター自動販売機（１階玄関口Ｂ）に係る電気料金（１２・１月分）  </t>
  </si>
  <si>
    <t>20001311</t>
  </si>
  <si>
    <t>ダイコーフーズ株式会社</t>
  </si>
  <si>
    <t>20001311-000-001-1-0482124000-999999-17</t>
  </si>
  <si>
    <t xml:space="preserve">江波水資源再生センター自動販売機（１階玄関口Ｂ）に係る電気料金（２・３月分）    </t>
  </si>
  <si>
    <t>20001606</t>
  </si>
  <si>
    <t>20001606-000-001-1-0482124000-999999-17</t>
  </si>
  <si>
    <t>江波水資源再生センター自動販売機（１階玄関口Ｂ）に係る電気料金（４・５月分）</t>
  </si>
  <si>
    <t>20000343</t>
  </si>
  <si>
    <t>20000343-000-001-1-0482124000-999999-17</t>
  </si>
  <si>
    <t>江波水資源再生センター自動販売機（１階玄関口Ｂ）に係る電気料金（６・７月分）</t>
  </si>
  <si>
    <t>20000575</t>
  </si>
  <si>
    <t>20000575-000-001-1-0482124000-999999-17</t>
  </si>
  <si>
    <t>江波水資源再生センター自動販売機（１階玄関口Ｂ）に係る電気料金（８・９月分）</t>
  </si>
  <si>
    <t>20000841</t>
  </si>
  <si>
    <t>20000841-000-001-1-0482124000-999999-17</t>
  </si>
  <si>
    <t>行政財産（下水道暗渠）の使用料の納入について</t>
  </si>
  <si>
    <t>20000020</t>
  </si>
  <si>
    <t>㈱ちゅピＣＯＭ　</t>
  </si>
  <si>
    <t>20000020-000-001-1-0482124000-999999-17</t>
  </si>
  <si>
    <t>管路課に確認_構造物（管きょ）の貸付料　課税</t>
  </si>
  <si>
    <t>行政財産（下水道敷地）の使用料の納入について</t>
  </si>
  <si>
    <t>20000001</t>
  </si>
  <si>
    <t>広島市長　松井　一實　（教育委員会総務部施設課）</t>
  </si>
  <si>
    <t>20000001-000-001-1-0482124000-999999-21</t>
  </si>
  <si>
    <t xml:space="preserve">行政財産の使用に伴う請求について                                                </t>
  </si>
  <si>
    <t>20001403</t>
  </si>
  <si>
    <t>ＳＡＫＵＲＡ　ＰＲＯＤＵＣＴＩＯＮ株式会社</t>
  </si>
  <si>
    <t>20001403-000-001-1-0482124000-999999-21</t>
  </si>
  <si>
    <t>R06/03/18</t>
  </si>
  <si>
    <t xml:space="preserve">行政財産の使用料の納入について                                                  </t>
  </si>
  <si>
    <t>20001559</t>
  </si>
  <si>
    <t>20001559-000-001-1-0482124000-999999-21</t>
  </si>
  <si>
    <t>行政財産の使用料の納入について</t>
  </si>
  <si>
    <t>20000071</t>
  </si>
  <si>
    <t>広島県警察本部警備部サミット対策課長</t>
  </si>
  <si>
    <t>20000071-000-001-1-0482124000-999999-21</t>
  </si>
  <si>
    <t>20000274</t>
  </si>
  <si>
    <t>日本郵政グループ労働組合</t>
  </si>
  <si>
    <t>20000274-000-001-1-0482124000-999999-17</t>
  </si>
  <si>
    <t>20001267</t>
  </si>
  <si>
    <t>20001267-000-001-1-0482124000-999999-21</t>
  </si>
  <si>
    <t>20001404</t>
  </si>
  <si>
    <t>20001404-000-001-1-0482124000-999999-21</t>
  </si>
  <si>
    <t>20001180</t>
  </si>
  <si>
    <t>20001180-000-001-1-0482124000-999999-21</t>
  </si>
  <si>
    <t>20001079</t>
  </si>
  <si>
    <t>広島市長　松井　一實</t>
  </si>
  <si>
    <t>20001079-000-001-1-0482124000-999999-21</t>
  </si>
  <si>
    <t xml:space="preserve">行政財産の使用料の納入について（収入金の更生）                                  </t>
  </si>
  <si>
    <t>37000464</t>
  </si>
  <si>
    <t>37000464-000-001-1-0482124000-999999-21</t>
  </si>
  <si>
    <t>さくらサーカス（R6分を前受計上）</t>
  </si>
  <si>
    <t>37000465</t>
  </si>
  <si>
    <t>37000465-000-001-1-0482124000-999999-21</t>
  </si>
  <si>
    <t>37000466</t>
  </si>
  <si>
    <t>37000466-000-001-1-0482124000-999999-21</t>
  </si>
  <si>
    <t>行政財産の目的外使用料（吉見園下水道敷地）</t>
  </si>
  <si>
    <t>20000080</t>
  </si>
  <si>
    <t>ライオンズマンション吉見園管理組合</t>
  </si>
  <si>
    <t>20000080-000-001-1-0482124000-999999-21</t>
  </si>
  <si>
    <t>20000185</t>
  </si>
  <si>
    <t>株式会社プラニング・Ｋ</t>
  </si>
  <si>
    <t>20000185-000-001-1-0482124000-999999-21</t>
  </si>
  <si>
    <t xml:space="preserve">行政財産の目的外使用料（吉見園下水道敷地）                                      </t>
  </si>
  <si>
    <t>20001299</t>
  </si>
  <si>
    <t>株式会社　沖田　</t>
  </si>
  <si>
    <t>20001299-000-001-1-0482124000-999999-17</t>
  </si>
  <si>
    <t>20000812</t>
  </si>
  <si>
    <t>有限会社　リプルクリエイト</t>
  </si>
  <si>
    <t>20000812-000-001-1-0482124000-999999-21</t>
  </si>
  <si>
    <t>行政財産の目的外使用料（用悪水路）</t>
  </si>
  <si>
    <t>20000013</t>
  </si>
  <si>
    <t>大和ハウス工業株式会社</t>
  </si>
  <si>
    <t>20000013-000-001-1-0482124000-999999-21</t>
  </si>
  <si>
    <t>行政財産目的外使用許可（カープ坊や）クッション外１２件に係る使用料</t>
  </si>
  <si>
    <t>20000300</t>
  </si>
  <si>
    <t>株式会社　エイジレス</t>
  </si>
  <si>
    <t>20000300-000-001-1-0482124000-999999-17</t>
  </si>
  <si>
    <t xml:space="preserve">行政財産目的外使用許可（カープ坊やネックレス外１１件）                          </t>
  </si>
  <si>
    <t>20001418</t>
  </si>
  <si>
    <t>株式会社エイジレス</t>
  </si>
  <si>
    <t>20001418-000-001-1-0482124000-999999-17</t>
  </si>
  <si>
    <t>R05/05/16</t>
  </si>
  <si>
    <t>市有地貸付料（令和５年度～令和７年度）</t>
  </si>
  <si>
    <t>20000210</t>
  </si>
  <si>
    <t>20000210-000-001-1-0482124000-999999-21</t>
  </si>
  <si>
    <t>市有地貸付料（令和５年度～令和７年度の３か年分）</t>
  </si>
  <si>
    <t>20000477</t>
  </si>
  <si>
    <t>中国電力ネットワーク（株）</t>
  </si>
  <si>
    <t>20000477-000-001-1-0482124000-999999-21</t>
  </si>
  <si>
    <t>市有地貸付料（令和６年度～令和８年度分）</t>
  </si>
  <si>
    <t>20001257</t>
  </si>
  <si>
    <t>Ｗｉｒｅｌｅｓｓ　Ｃｉｔｙ　Ｐｌａｎｎｉｇ（株）</t>
  </si>
  <si>
    <t>20001257-000-001-1-0482124000-999999-21</t>
  </si>
  <si>
    <t>自動販売機光熱水費（ダイコーフーズ別館Ｂ　１０・１１月分）</t>
  </si>
  <si>
    <t>20001056</t>
  </si>
  <si>
    <t>ダイコーフーズ（株）　</t>
  </si>
  <si>
    <t>20001056-000-001-1-0482124000-999999-17</t>
  </si>
  <si>
    <t>自動販売機光熱水費（ダイコーフーズ別館Ｂ　１２・１月分）</t>
  </si>
  <si>
    <t>20001296</t>
  </si>
  <si>
    <t>20001296-000-001-1-0482124000-999999-17</t>
  </si>
  <si>
    <t xml:space="preserve">自動販売機光熱水費（ダイコーフーズ別館Ｂ　２・３月分）                          </t>
  </si>
  <si>
    <t>20001591</t>
  </si>
  <si>
    <t>ダイコーフーズ（株）</t>
  </si>
  <si>
    <t>20001591-000-001-1-0482124000-999999-17</t>
  </si>
  <si>
    <t>自動販売機光熱水費（ダイコーフーズ別館Ｂ　４・５月分）</t>
  </si>
  <si>
    <t>20000302</t>
  </si>
  <si>
    <t>20000302-000-001-1-0482124000-999999-17</t>
  </si>
  <si>
    <t>自動販売機光熱水費（ダイコーフーズ別館Ｂ　６・７月分）</t>
  </si>
  <si>
    <t>20000547</t>
  </si>
  <si>
    <t>20000547-000-001-1-0482124000-999999-17</t>
  </si>
  <si>
    <t>自動販売機光熱水費（ダイコーフーズ別館Ｂ　８・９月分）</t>
  </si>
  <si>
    <t>20000829</t>
  </si>
  <si>
    <t>20000829-000-001-1-0482124000-999999-17</t>
  </si>
  <si>
    <t>自動販売機光熱水費（ダイコーフーズ本館　１０・１１月分）</t>
  </si>
  <si>
    <t>20001057</t>
  </si>
  <si>
    <t>20001057-000-001-1-0482124000-999999-17</t>
  </si>
  <si>
    <t>自動販売機光熱水費（ダイコーフーズ本館　１２・１月分）</t>
  </si>
  <si>
    <t>20001297</t>
  </si>
  <si>
    <t>20001297-000-001-1-0482124000-999999-17</t>
  </si>
  <si>
    <t xml:space="preserve">自動販売機光熱水費（ダイコーフーズ本館　２・３月分）                            </t>
  </si>
  <si>
    <t>20001590</t>
  </si>
  <si>
    <t>20001590-000-001-1-0482124000-999999-17</t>
  </si>
  <si>
    <t>自動販売機光熱水費（ダイコーフーズ本館　４・５月分）</t>
  </si>
  <si>
    <t>20000303</t>
  </si>
  <si>
    <t>20000303-000-001-1-0482124000-999999-17</t>
  </si>
  <si>
    <t>自動販売機光熱水費（ダイコーフーズ本館　６・７月分）</t>
  </si>
  <si>
    <t>20000546</t>
  </si>
  <si>
    <t>20000546-000-001-1-0482124000-999999-17</t>
  </si>
  <si>
    <t>自動販売機光熱水費（ダイコーフーズ本館　８・９月分）</t>
  </si>
  <si>
    <t>20000830</t>
  </si>
  <si>
    <t>20000830-000-001-1-0482124000-999999-17</t>
  </si>
  <si>
    <t>自動販売機光熱水費（フジタ商事広島支店　１０・１１月分）</t>
  </si>
  <si>
    <t>20001058</t>
  </si>
  <si>
    <t>（株）フジタ商事　広島支店</t>
  </si>
  <si>
    <t>20001058-000-001-1-0482124000-999999-17</t>
  </si>
  <si>
    <t>自動販売機光熱水費（フジタ商事広島支店　１２・１月分）</t>
  </si>
  <si>
    <t>20001295</t>
  </si>
  <si>
    <t>20001295-000-001-1-0482124000-999999-17</t>
  </si>
  <si>
    <t xml:space="preserve">自動販売機光熱水費（フジタ商事広島支店　２・３月分）                            </t>
  </si>
  <si>
    <t>20001592</t>
  </si>
  <si>
    <t>20001592-000-001-1-0482124000-999999-17</t>
  </si>
  <si>
    <t>自動販売機光熱水費（フジタ商事広島支店　４・５月分）</t>
  </si>
  <si>
    <t>20000301</t>
  </si>
  <si>
    <t>20000301-000-001-1-0482124000-999999-17</t>
  </si>
  <si>
    <t>自動販売機光熱水費（フジタ商事広島支店　６・７月分）</t>
  </si>
  <si>
    <t>20000548</t>
  </si>
  <si>
    <t>20000548-000-001-1-0482124000-999999-17</t>
  </si>
  <si>
    <t>自動販売機光熱水費（フジタ商事広島支店　８・９月分）</t>
  </si>
  <si>
    <t>20000828</t>
  </si>
  <si>
    <t>20000828-000-001-1-0482124000-999999-17</t>
  </si>
  <si>
    <t>自動販売機使用電気料金（令和５年度１０・１１月分）</t>
  </si>
  <si>
    <t>20001053</t>
  </si>
  <si>
    <t>ダイドードリンコ株式会社　西日本第一営業部</t>
  </si>
  <si>
    <t>20001053-000-001-1-0482124000-999999-17</t>
  </si>
  <si>
    <t>20001054</t>
  </si>
  <si>
    <t>ネオス（株）　</t>
  </si>
  <si>
    <t>20001054-000-001-1-0482124000-999999-17</t>
  </si>
  <si>
    <t>R06/02/14</t>
  </si>
  <si>
    <t xml:space="preserve">自動販売機使用電気料金（令和５年度１２・１月分）                                </t>
  </si>
  <si>
    <t>20001302</t>
  </si>
  <si>
    <t>20001302-000-001-1-0482124000-999999-17</t>
  </si>
  <si>
    <t>20001303</t>
  </si>
  <si>
    <t>20001303-000-001-1-0482124000-999999-17</t>
  </si>
  <si>
    <t xml:space="preserve">自動販売機使用電気料金（令和５年度２・３月分）                                  </t>
  </si>
  <si>
    <t>20001601</t>
  </si>
  <si>
    <t>20001601-000-001-1-0482124000-999999-17</t>
  </si>
  <si>
    <t>20001602</t>
  </si>
  <si>
    <t>ネオス（株）</t>
  </si>
  <si>
    <t>20001602-000-001-1-0482124000-999999-17</t>
  </si>
  <si>
    <t>自動販売機使用電気料金（令和５年度４・５月分）</t>
  </si>
  <si>
    <t>20000305</t>
  </si>
  <si>
    <t>20000305-000-001-1-0482124000-999999-17</t>
  </si>
  <si>
    <t>20000306</t>
  </si>
  <si>
    <t>20000306-000-001-1-0482124000-999999-17</t>
  </si>
  <si>
    <t>自動販売機使用電気料金（令和５年度６・７月分）</t>
  </si>
  <si>
    <t>20000550</t>
  </si>
  <si>
    <t>20000550-000-001-1-0482124000-999999-17</t>
  </si>
  <si>
    <t>20000551</t>
  </si>
  <si>
    <t>20000551-000-001-1-0482124000-999999-17</t>
  </si>
  <si>
    <t>自動販売機使用電気料金（令和５年度８・９月分）</t>
  </si>
  <si>
    <t>20000825</t>
  </si>
  <si>
    <t>20000825-000-001-1-0482124000-999999-17</t>
  </si>
  <si>
    <t>20000826</t>
  </si>
  <si>
    <t>20000826-000-001-1-0482124000-999999-17</t>
  </si>
  <si>
    <t>自動販売機使用電力料金（１０・１１月分）</t>
  </si>
  <si>
    <t>20001049</t>
  </si>
  <si>
    <t>ダイドードリンコ（株）　中四国営業部</t>
  </si>
  <si>
    <t>20001049-000-001-1-0482124000-999999-17</t>
  </si>
  <si>
    <t>20001050</t>
  </si>
  <si>
    <t>20001050-000-001-1-0482124000-999999-17</t>
  </si>
  <si>
    <t>自動販売機使用電力料金（１２・１月分）</t>
  </si>
  <si>
    <t>20001283</t>
  </si>
  <si>
    <t>20001283-000-001-1-0482124000-999999-17</t>
  </si>
  <si>
    <t>20001284</t>
  </si>
  <si>
    <t>20001284-000-001-1-0482124000-999999-17</t>
  </si>
  <si>
    <t xml:space="preserve">自動販売機使用電力料金（２・３月分）                                            </t>
  </si>
  <si>
    <t>20001608</t>
  </si>
  <si>
    <t>ダイドードリンコ（株）中四国営業部</t>
  </si>
  <si>
    <t>20001608-000-001-1-0482124000-999999-21</t>
  </si>
  <si>
    <t>20001609</t>
  </si>
  <si>
    <t>20001609-000-001-1-0482124000-999999-21</t>
  </si>
  <si>
    <t>自動販売機使用電力料金（４・５月分）</t>
  </si>
  <si>
    <t>20000297</t>
  </si>
  <si>
    <t>ダイドードリンコ（株）西日本第一営業部　</t>
  </si>
  <si>
    <t>20000297-000-001-1-0482124000-999999-17</t>
  </si>
  <si>
    <t>20000298</t>
  </si>
  <si>
    <t>20000298-000-001-1-0482124000-999999-17</t>
  </si>
  <si>
    <t>自動販売機使用電力料金（６・７月分）</t>
  </si>
  <si>
    <t>20000544</t>
  </si>
  <si>
    <t>20000544-000-001-1-0482124000-999999-17</t>
  </si>
  <si>
    <t>20000545</t>
  </si>
  <si>
    <t>20000545-000-001-1-0482124000-999999-17</t>
  </si>
  <si>
    <t>自動販売機使用電力料金（８・９月分）</t>
  </si>
  <si>
    <t>20000817</t>
  </si>
  <si>
    <t>20000817-000-001-1-0482124000-999999-17</t>
  </si>
  <si>
    <t>20000818</t>
  </si>
  <si>
    <t>20000818-000-001-1-0482124000-999999-17</t>
  </si>
  <si>
    <t>執筆に係る原稿料</t>
  </si>
  <si>
    <t>20000849</t>
  </si>
  <si>
    <t>㈱日本水道新聞社　</t>
  </si>
  <si>
    <t>20000849-000-001-1-0482124000-999999-17</t>
  </si>
  <si>
    <t>20001032</t>
  </si>
  <si>
    <t>20001032-000-001-1-0482124000-999999-17</t>
  </si>
  <si>
    <t xml:space="preserve">収入金の更正（雇用保険料預り金）                                                </t>
  </si>
  <si>
    <t>37000574</t>
  </si>
  <si>
    <t>37000574-000-001-1-0482124000-999999-21</t>
  </si>
  <si>
    <t>修正振替（元20000120）</t>
  </si>
  <si>
    <t>消化ガス発電事業に係る工事期間中の事業用地、仮設事務所等の占用料</t>
  </si>
  <si>
    <t>20000138</t>
  </si>
  <si>
    <t>20000138-000-001-1-0482124000-999999-21</t>
  </si>
  <si>
    <t>消化ガス発電事業に係る電線類及びドレン管設置使用料</t>
  </si>
  <si>
    <t>37000031</t>
  </si>
  <si>
    <t>37000031-000-001-1-0482124000-999999-21</t>
  </si>
  <si>
    <t>水洗便所改造資金金に係る延滞利子収入</t>
  </si>
  <si>
    <t>20000152</t>
  </si>
  <si>
    <t>原尾　春義</t>
  </si>
  <si>
    <t>20000152-000-001-1-0482124000-999999-21</t>
  </si>
  <si>
    <t>水洗便所改造資金貸付金に係る延滞利子収入</t>
  </si>
  <si>
    <t>20001292</t>
  </si>
  <si>
    <t>佐々木　孝昌</t>
  </si>
  <si>
    <t>20001292-000-001-1-0482124000-999999-21</t>
  </si>
  <si>
    <t>20001203</t>
  </si>
  <si>
    <t>小田　一士</t>
  </si>
  <si>
    <t>20001203-000-001-1-0482124000-999999-21</t>
  </si>
  <si>
    <t xml:space="preserve">水洗便所改造資金貸付金に係る延滞利子収入                                        </t>
  </si>
  <si>
    <t>20001416</t>
  </si>
  <si>
    <t>原尾　春義　外１件</t>
  </si>
  <si>
    <t>20001416-000-001-1-0482124000-999999-21</t>
  </si>
  <si>
    <t>20001200</t>
  </si>
  <si>
    <t>原尾　春義　外２件</t>
  </si>
  <si>
    <t>20001200-000-001-1-0482124000-999999-21</t>
  </si>
  <si>
    <t>20001261</t>
  </si>
  <si>
    <t>富樫　順子　外１件</t>
  </si>
  <si>
    <t>20001261-000-001-1-0482124000-999999-21</t>
  </si>
  <si>
    <t>20001442</t>
  </si>
  <si>
    <t>横田　茂子</t>
  </si>
  <si>
    <t>20001442-000-001-1-0482124000-999999-21</t>
  </si>
  <si>
    <t>20001444</t>
  </si>
  <si>
    <t>平久　博</t>
  </si>
  <si>
    <t>20001444-000-001-1-0482124000-999999-21</t>
  </si>
  <si>
    <t>R05/06/29</t>
  </si>
  <si>
    <t>20000443</t>
  </si>
  <si>
    <t>中川　茂</t>
  </si>
  <si>
    <t>20000443-000-001-1-0482124000-999999-21</t>
  </si>
  <si>
    <t>20000323</t>
  </si>
  <si>
    <t>平久　博　外３件</t>
  </si>
  <si>
    <t>20000323-000-001-1-0482124000-999999-21</t>
  </si>
  <si>
    <t>20000288</t>
  </si>
  <si>
    <t>寺岡　昭彦　外２件</t>
  </si>
  <si>
    <t>20000288-000-001-1-0482124000-999999-21</t>
  </si>
  <si>
    <t>R05/05/26</t>
  </si>
  <si>
    <t>20000271</t>
  </si>
  <si>
    <t>20000271-000-001-1-0482124000-999999-21</t>
  </si>
  <si>
    <t>20000475</t>
  </si>
  <si>
    <t>20000475-000-001-1-0482124000-999999-21</t>
  </si>
  <si>
    <t>R05/07/06</t>
  </si>
  <si>
    <t>20000476</t>
  </si>
  <si>
    <t>中村　寿美</t>
  </si>
  <si>
    <t>20000476-000-001-1-0482124000-999999-21</t>
  </si>
  <si>
    <t>20000440</t>
  </si>
  <si>
    <t>富樫　順子</t>
  </si>
  <si>
    <t>20000440-000-001-1-0482124000-999999-21</t>
  </si>
  <si>
    <t>20000050</t>
  </si>
  <si>
    <t>中川　茂　外１件</t>
  </si>
  <si>
    <t>20000050-000-001-1-0482124000-999999-21</t>
  </si>
  <si>
    <t>20001138</t>
  </si>
  <si>
    <t>20001138-000-001-1-0482124000-999999-21</t>
  </si>
  <si>
    <t>20000052</t>
  </si>
  <si>
    <t>矢野　美惠子</t>
  </si>
  <si>
    <t>20000052-000-001-1-0482124000-999999-21</t>
  </si>
  <si>
    <t>R05/04/05</t>
  </si>
  <si>
    <t>20000053</t>
  </si>
  <si>
    <t>平久　博　外１件</t>
  </si>
  <si>
    <t>20000053-000-001-1-0482124000-999999-21</t>
  </si>
  <si>
    <t>20000188</t>
  </si>
  <si>
    <t>20000188-000-001-1-0482124000-999999-21</t>
  </si>
  <si>
    <t>20000161</t>
  </si>
  <si>
    <t>20000161-000-001-1-0482124000-999999-21</t>
  </si>
  <si>
    <t>20000163</t>
  </si>
  <si>
    <t>20000163-000-001-1-0482124000-999999-21</t>
  </si>
  <si>
    <t>20000150</t>
  </si>
  <si>
    <t>熊野　政之</t>
  </si>
  <si>
    <t>20000150-000-001-1-0482124000-999999-21</t>
  </si>
  <si>
    <t>R05/12/05</t>
  </si>
  <si>
    <t>20001068</t>
  </si>
  <si>
    <t>20001068-000-001-1-0482124000-999999-21</t>
  </si>
  <si>
    <t>20000929</t>
  </si>
  <si>
    <t>20000929-000-001-1-0482124000-999999-21</t>
  </si>
  <si>
    <t>20000966</t>
  </si>
  <si>
    <t>20000966-000-001-1-0482124000-999999-21</t>
  </si>
  <si>
    <t>20000807</t>
  </si>
  <si>
    <t>20000807-000-001-1-0482124000-999999-21</t>
  </si>
  <si>
    <t>20000563</t>
  </si>
  <si>
    <t>20000563-000-001-1-0482124000-999999-21</t>
  </si>
  <si>
    <t>20000854</t>
  </si>
  <si>
    <t>20000854-000-001-1-0482124000-999999-21</t>
  </si>
  <si>
    <t>20000835</t>
  </si>
  <si>
    <t>20000835-000-001-1-0482124000-999999-21</t>
  </si>
  <si>
    <t>20000837</t>
  </si>
  <si>
    <t>20000837-000-001-1-0482124000-999999-21</t>
  </si>
  <si>
    <t>R05/08/14</t>
  </si>
  <si>
    <t>20000640</t>
  </si>
  <si>
    <t>20000640-000-001-1-0482124000-999999-21</t>
  </si>
  <si>
    <t>20000689</t>
  </si>
  <si>
    <t>20000689-000-001-1-0482124000-999999-21</t>
  </si>
  <si>
    <t>R05/08/23</t>
  </si>
  <si>
    <t>20000653</t>
  </si>
  <si>
    <t>20000653-000-001-1-0482124000-999999-21</t>
  </si>
  <si>
    <t>20000710</t>
  </si>
  <si>
    <t>20000710-000-001-1-0482124000-999999-21</t>
  </si>
  <si>
    <t>20000713</t>
  </si>
  <si>
    <t>20000713-000-001-1-0482124000-999999-21</t>
  </si>
  <si>
    <t>2</t>
  </si>
  <si>
    <t>20001222</t>
  </si>
  <si>
    <t>松永　京子</t>
  </si>
  <si>
    <t>20001222-000-001-1-0482124000-999999-21</t>
  </si>
  <si>
    <t>20001341</t>
  </si>
  <si>
    <t>20001341-000-001-1-0482124000-999999-21</t>
  </si>
  <si>
    <t>20001479</t>
  </si>
  <si>
    <t>20001479-000-001-1-0482124000-999999-21</t>
  </si>
  <si>
    <t>20000327</t>
  </si>
  <si>
    <t>20000327-000-001-1-0482124000-999999-21</t>
  </si>
  <si>
    <t>20000493</t>
  </si>
  <si>
    <t>20000493-000-001-1-0482124000-999999-21</t>
  </si>
  <si>
    <t>20000191</t>
  </si>
  <si>
    <t>20000191-000-001-1-0482124000-999999-21</t>
  </si>
  <si>
    <t>20001141</t>
  </si>
  <si>
    <t>20001141-000-001-1-0482124000-999999-21</t>
  </si>
  <si>
    <t>20000965</t>
  </si>
  <si>
    <t>20000965-000-001-1-0482124000-999999-21</t>
  </si>
  <si>
    <t>R05/11/21</t>
  </si>
  <si>
    <t>20001027</t>
  </si>
  <si>
    <t>20001027-000-001-1-0482124000-999999-21</t>
  </si>
  <si>
    <t>20000857</t>
  </si>
  <si>
    <t>20000857-000-001-1-0482124000-999999-21</t>
  </si>
  <si>
    <t>20000565</t>
  </si>
  <si>
    <t>20000565-000-001-1-0482124000-999999-21</t>
  </si>
  <si>
    <t>水洗便所設備資金貸付金に係る延滞利子収入</t>
  </si>
  <si>
    <t>20000127</t>
  </si>
  <si>
    <t>20000127-000-001-1-0482124000-999999-21</t>
  </si>
  <si>
    <t>20001040</t>
  </si>
  <si>
    <t>20001040-000-001-1-0482124000-999999-21</t>
  </si>
  <si>
    <t>20001041</t>
  </si>
  <si>
    <t>20001041-000-001-1-0482124000-999999-21</t>
  </si>
  <si>
    <t>20000079</t>
  </si>
  <si>
    <t>20000079-000-001-1-0482124000-999999-21</t>
  </si>
  <si>
    <t>水道使用料金（令和５年度３期分）</t>
  </si>
  <si>
    <t>20000847</t>
  </si>
  <si>
    <t>株式会社新枝建設　</t>
  </si>
  <si>
    <t>20000847-000-001-1-0482124000-999999-17</t>
  </si>
  <si>
    <t>水道使用料金（令和５年度４期分）</t>
  </si>
  <si>
    <t>20001048</t>
  </si>
  <si>
    <t>20001048-000-001-1-0482124000-999999-17</t>
  </si>
  <si>
    <t>R06/02/06</t>
  </si>
  <si>
    <t>水道使用料金（令和５年度５期分）</t>
  </si>
  <si>
    <t>20001286</t>
  </si>
  <si>
    <t>20001286-000-001-1-0482124000-999999-17</t>
  </si>
  <si>
    <t xml:space="preserve">水道使用料金（令和５年度６期分）                                                </t>
  </si>
  <si>
    <t>20001604</t>
  </si>
  <si>
    <t>株式会社新枝建設</t>
  </si>
  <si>
    <t>20001604-000-001-1-0482124000-999999-17</t>
  </si>
  <si>
    <t xml:space="preserve">西部水資源再生センターし尿等受入業務に係る光熱水費（令和５年度分）              </t>
  </si>
  <si>
    <t>20001596</t>
  </si>
  <si>
    <t>広島市長（環境局業務部業務第二課）</t>
  </si>
  <si>
    <t>20001596-000-001-1-0482124000-999999-21</t>
  </si>
  <si>
    <t xml:space="preserve">西部水資源再生センター管理棟３階事務室等に係る光熱水費等（令和５年度）          </t>
  </si>
  <si>
    <t>20001589</t>
  </si>
  <si>
    <t>一般財団法人　広島市都市整備公社　</t>
  </si>
  <si>
    <t>20001589-000-001-1-0482124000-999999-21</t>
  </si>
  <si>
    <t xml:space="preserve">西部水資源再生センター消化ガス発電施設に係る光熱水費等（令和５年度）            </t>
  </si>
  <si>
    <t>20001597</t>
  </si>
  <si>
    <t>20001597-000-001-1-0482124000-999999-21</t>
  </si>
  <si>
    <t>占用料（可部ポンプ場）</t>
  </si>
  <si>
    <t>20000036</t>
  </si>
  <si>
    <t>20000036-000-001-1-0482124000-999999-21</t>
  </si>
  <si>
    <t>20000037</t>
  </si>
  <si>
    <t>20000037-000-001-1-0482124000-999999-21</t>
  </si>
  <si>
    <t>占用料（牛田ポンプ場ほか５か所）</t>
  </si>
  <si>
    <t>20000035</t>
  </si>
  <si>
    <t>西日本電信電話株式会社中国支店</t>
  </si>
  <si>
    <t>20000035-000-001-1-0482124000-999999-21</t>
  </si>
  <si>
    <t>R05/12/01</t>
  </si>
  <si>
    <t>占用料（舟木ポンプ場）</t>
  </si>
  <si>
    <t>20001045</t>
  </si>
  <si>
    <t>20001045-000-001-1-0482124000-999999-21</t>
  </si>
  <si>
    <t>占用料（大原ポンプ場）</t>
  </si>
  <si>
    <t>20001046</t>
  </si>
  <si>
    <t>20001046-000-001-1-0482124000-999999-21</t>
  </si>
  <si>
    <t>占用料（大州雨水貯留池ほか５か所）</t>
  </si>
  <si>
    <t>20000033</t>
  </si>
  <si>
    <t>20000033-000-001-1-0482124000-999999-21</t>
  </si>
  <si>
    <t>占用料（東原ポンプ場ほか２か所）</t>
  </si>
  <si>
    <t>20000034</t>
  </si>
  <si>
    <t>中国電力ネットワーク株式会社　広島北ネットワークセンター</t>
  </si>
  <si>
    <t>20000034-000-001-1-0482124000-999999-21</t>
  </si>
  <si>
    <t>組合事務室の使用に伴う警備料金（１０・１１月分）</t>
  </si>
  <si>
    <t>20001066</t>
  </si>
  <si>
    <t>全水道広島下水道労働組合</t>
  </si>
  <si>
    <t>20001066-000-001-1-0482124000-999999-17</t>
  </si>
  <si>
    <t>組合事務室の使用に伴う警備料金（１２・１月分）</t>
  </si>
  <si>
    <t>20001300</t>
  </si>
  <si>
    <t>20001300-000-001-1-0482124000-999999-17</t>
  </si>
  <si>
    <t xml:space="preserve">組合事務室の使用に伴う警備料金（２・３月分）                                    </t>
  </si>
  <si>
    <t>20001617</t>
  </si>
  <si>
    <t>20001617-000-001-1-0482124000-999999-17</t>
  </si>
  <si>
    <t>R05/06/13</t>
  </si>
  <si>
    <t>組合事務室の使用に伴う警備料金（４・５月分）</t>
  </si>
  <si>
    <t>20000341</t>
  </si>
  <si>
    <t>20000341-000-001-1-0482124000-999999-17</t>
  </si>
  <si>
    <t>組合事務室の使用に伴う警備料金（６・７月分）</t>
  </si>
  <si>
    <t>20000566</t>
  </si>
  <si>
    <t>20000566-000-001-1-0482124000-999999-17</t>
  </si>
  <si>
    <t>組合事務室の使用に伴う警備料金（８．９月分）</t>
  </si>
  <si>
    <t>20000850</t>
  </si>
  <si>
    <t>20000850-000-001-1-0482124000-999999-17</t>
  </si>
  <si>
    <t>組合事務室の使用に伴う光熱水費等について（１０・１１月分）</t>
  </si>
  <si>
    <t>20001059</t>
  </si>
  <si>
    <t>20001059-000-001-1-0482124000-999999-14</t>
  </si>
  <si>
    <t>組合事務室の使用に伴う光熱水費等について（１２・１月分）</t>
  </si>
  <si>
    <t>20001298</t>
  </si>
  <si>
    <t>20001298-000-001-1-0482124000-999999-14</t>
  </si>
  <si>
    <t xml:space="preserve">組合事務室の使用に伴う光熱水費等について（２・３月分）                          </t>
  </si>
  <si>
    <t>20001607</t>
  </si>
  <si>
    <t>20001607-000-001-1-0482124000-999999-17</t>
  </si>
  <si>
    <t>組合事務室の使用に伴う光熱水費等について（４・５月分）</t>
  </si>
  <si>
    <t>20000308</t>
  </si>
  <si>
    <t>20000308-000-001-1-0482124000-999999-14</t>
  </si>
  <si>
    <t>組合事務室の使用に伴う光熱水費等について（６・７月分）</t>
  </si>
  <si>
    <t>20000560</t>
  </si>
  <si>
    <t>20000560-000-001-1-0482124000-999999-14</t>
  </si>
  <si>
    <t>組合事務室の使用に伴う光熱水費等について（８・９月分）</t>
  </si>
  <si>
    <t>20000839</t>
  </si>
  <si>
    <t>20000839-000-001-1-0482124000-999999-14</t>
  </si>
  <si>
    <t>南観音遊水池賃貸借料</t>
  </si>
  <si>
    <t>20001277</t>
  </si>
  <si>
    <t>ＪＲ西日本プロパティーズ株式会社</t>
  </si>
  <si>
    <t>20001277-000-001-1-0482124000-999999-14</t>
  </si>
  <si>
    <t>1ヵ月未満の土地貸付　課税</t>
  </si>
  <si>
    <t xml:space="preserve">南観音遊水池賃貸借料                                                            </t>
  </si>
  <si>
    <t>20001423</t>
  </si>
  <si>
    <t>20001423-000-001-1-0482124000-999999-17</t>
  </si>
  <si>
    <t>20001192</t>
  </si>
  <si>
    <t>河井建設工業（株）</t>
  </si>
  <si>
    <t>20001192-000-001-1-0482124000-999999-14</t>
  </si>
  <si>
    <t>20000281</t>
  </si>
  <si>
    <t>20000281-000-001-1-0482124000-999999-21</t>
  </si>
  <si>
    <t>1ヵ月以上の土地貸付　非課税</t>
  </si>
  <si>
    <t>20000282</t>
  </si>
  <si>
    <t>20000282-000-001-1-0482124000-999999-14</t>
  </si>
  <si>
    <t>20000420</t>
  </si>
  <si>
    <t>20000420-000-001-1-0482124000-999999-14</t>
  </si>
  <si>
    <t>20000147</t>
  </si>
  <si>
    <t>株式会社　共立</t>
  </si>
  <si>
    <t>20000147-000-001-1-0482124000-999999-99</t>
  </si>
  <si>
    <t>20000206</t>
  </si>
  <si>
    <t>支出負担行為担当官　広島県警察会計担当者　森元　良幸</t>
  </si>
  <si>
    <t>20000206-000-001-1-0482124000-999999-21</t>
  </si>
  <si>
    <t>20000207</t>
  </si>
  <si>
    <t>8</t>
  </si>
  <si>
    <t>20000207-000-001-1-0482124000-999999-14</t>
  </si>
  <si>
    <t>20000095</t>
  </si>
  <si>
    <t>20000095-000-001-1-0482124000-999999-14</t>
  </si>
  <si>
    <t>R05/11/28</t>
  </si>
  <si>
    <t>20001037</t>
  </si>
  <si>
    <t>20001037-000-001-1-0482124000-999999-14</t>
  </si>
  <si>
    <t>R05/10/31</t>
  </si>
  <si>
    <t>20000934</t>
  </si>
  <si>
    <t>20000934-000-001-1-0482124000-999999-14</t>
  </si>
  <si>
    <t>20000951</t>
  </si>
  <si>
    <t>幹栄建設工業（株）</t>
  </si>
  <si>
    <t>20000951-000-001-1-0482124000-999999-17</t>
  </si>
  <si>
    <t>20000952</t>
  </si>
  <si>
    <t>ＰＥＡＣＥＳＴＯＣＫ実行委員会</t>
  </si>
  <si>
    <t>20000952-000-001-1-0482124000-999999-14</t>
  </si>
  <si>
    <t>20000748</t>
  </si>
  <si>
    <t>20000748-000-001-1-0482124000-999999-14</t>
  </si>
  <si>
    <t>20000819</t>
  </si>
  <si>
    <t>20000819-000-001-1-0482124000-999999-21</t>
  </si>
  <si>
    <t>20000539</t>
  </si>
  <si>
    <t>20000539-000-001-1-0482124000-999999-14</t>
  </si>
  <si>
    <t>20000577</t>
  </si>
  <si>
    <t>ＦＵＬＬ　ＰＯＷＥＲ　ＦＥＳＴ実行委員会</t>
  </si>
  <si>
    <t>20000577-000-001-1-0482124000-999999-14</t>
  </si>
  <si>
    <t>20000673</t>
  </si>
  <si>
    <t>20000673-000-001-1-0482124000-999999-14</t>
  </si>
  <si>
    <t>南観音遊水池賃貸借料（令和５年度）</t>
  </si>
  <si>
    <t>37000002</t>
  </si>
  <si>
    <t>37000002-000-001-1-0482124000-999999-14</t>
  </si>
  <si>
    <t>37000006</t>
  </si>
  <si>
    <t>37000006-000-001-1-0482124000-999999-21</t>
  </si>
  <si>
    <t>1813110500</t>
  </si>
  <si>
    <t>中・維持管理課</t>
  </si>
  <si>
    <t>賠償責任保険</t>
  </si>
  <si>
    <t>20000135</t>
  </si>
  <si>
    <t>日新火災海上保険株式会社　広島サービス支店</t>
  </si>
  <si>
    <t>20000135-000-001-1-0482124000-999999-99</t>
  </si>
  <si>
    <t>20000311</t>
  </si>
  <si>
    <t>20000311-000-001-1-0482124000-999999-21</t>
  </si>
  <si>
    <t>令和５年３月実績分報酬に係る雇用保険料</t>
  </si>
  <si>
    <t>20000082</t>
  </si>
  <si>
    <t>20000082-000-001-1-0482124000-999999-21</t>
  </si>
  <si>
    <t>誤り伝票</t>
  </si>
  <si>
    <t>令和５年３月分給与等に係る雇用保険料</t>
  </si>
  <si>
    <t>20000120</t>
  </si>
  <si>
    <t>20000120-000-001-1-0482124000-999999-21</t>
  </si>
  <si>
    <t>誤り伝票（正37000574）</t>
  </si>
  <si>
    <t>R05/04/19</t>
  </si>
  <si>
    <t>令和５年度　公共下水道占用料（１０００２）　</t>
  </si>
  <si>
    <t>20000075</t>
  </si>
  <si>
    <t>有限会社　新久組</t>
  </si>
  <si>
    <t>20000075-000-001-1-0482124000-999999-21</t>
  </si>
  <si>
    <t>令和５年度　公共下水道占用料（１０００４）　</t>
  </si>
  <si>
    <t>20000083</t>
  </si>
  <si>
    <t>リフォーム「ラック」廿日市店</t>
  </si>
  <si>
    <t>20000083-000-001-1-0482124000-999999-17</t>
  </si>
  <si>
    <t>令和５年度　公共下水道占用料（１０００７）　</t>
  </si>
  <si>
    <t>20000360</t>
  </si>
  <si>
    <t>広島ガス株式会社　導管事業部</t>
  </si>
  <si>
    <t>20000360-000-001-1-0482124000-999999-21</t>
  </si>
  <si>
    <t>R05/06/30</t>
  </si>
  <si>
    <t>令和５年度　公共下水道占用料（１０００９）　</t>
  </si>
  <si>
    <t>20000431</t>
  </si>
  <si>
    <t>20000431-000-001-1-0482124000-999999-21</t>
  </si>
  <si>
    <t>令和５年度　公共下水道占用料（１００１１）　</t>
  </si>
  <si>
    <t>20000600</t>
  </si>
  <si>
    <t>中国電力ネットワーク株式会社廿日市ネットワークセンター</t>
  </si>
  <si>
    <t>20000600-000-001-1-0482124000-999999-21</t>
  </si>
  <si>
    <t>令和５年度　公共下水道占用料（１００１９）　</t>
  </si>
  <si>
    <t>20001178</t>
  </si>
  <si>
    <t>ダイレックス株式会社</t>
  </si>
  <si>
    <t>20001178-000-001-1-0482124000-999999-21</t>
  </si>
  <si>
    <t>令和５年度　公共下水道敷占用料</t>
  </si>
  <si>
    <t>20000058</t>
  </si>
  <si>
    <t>20000058-000-001-1-0482124000-999999-21</t>
  </si>
  <si>
    <t>20000059</t>
  </si>
  <si>
    <t>20000059-000-001-1-0482124000-999999-21</t>
  </si>
  <si>
    <t>20000060</t>
  </si>
  <si>
    <t>広島電鉄株式会社</t>
  </si>
  <si>
    <t>20000060-000-001-1-0482124000-999999-21</t>
  </si>
  <si>
    <t>20000061</t>
  </si>
  <si>
    <t>20000061-000-001-1-0482124000-999999-21</t>
  </si>
  <si>
    <t>20000062</t>
  </si>
  <si>
    <t>20000062-000-001-1-0482124000-999999-21</t>
  </si>
  <si>
    <t>20000063</t>
  </si>
  <si>
    <t>20000063-000-001-1-0482124000-999999-21</t>
  </si>
  <si>
    <t>令和５年度下水道敷地占用料（支線２条）</t>
  </si>
  <si>
    <t>20000181</t>
  </si>
  <si>
    <t>西日本電信電話㈱中国支店　</t>
  </si>
  <si>
    <t>20000181-000-001-1-0482124000-999999-21</t>
  </si>
  <si>
    <t>令和５年度下水道敷地占用料（電柱２本）</t>
  </si>
  <si>
    <t>20000182</t>
  </si>
  <si>
    <t>中国電力ネットワーク㈱</t>
  </si>
  <si>
    <t>20000182-000-001-1-0482124000-999999-21</t>
  </si>
  <si>
    <t>令和５年度下水道敷地占用料（電柱への共架電線２本）</t>
  </si>
  <si>
    <t>20000009</t>
  </si>
  <si>
    <t>20000009-000-001-1-0482124000-999999-21</t>
  </si>
  <si>
    <t>令和５年度継続分公共下水道等占用料（２０００２）</t>
  </si>
  <si>
    <t>20000699</t>
  </si>
  <si>
    <t>20000699-000-001-1-0482124000-999999-21</t>
  </si>
  <si>
    <t>令和５年度継続分公共下水道等占用料（２０００５）</t>
  </si>
  <si>
    <t>20000700</t>
  </si>
  <si>
    <t>20000700-000-001-1-0482124000-999999-21</t>
  </si>
  <si>
    <t>令和５年度継続分公共下水道等占用料（２０００７）</t>
  </si>
  <si>
    <t>20000703</t>
  </si>
  <si>
    <t>中国電力ネットワーク（株）　広島ネットワークセンター</t>
  </si>
  <si>
    <t>20000703-000-001-1-0482124000-999999-21</t>
  </si>
  <si>
    <t>令和５年度継続分公共下水道等占用料（２００７１）</t>
  </si>
  <si>
    <t>20000064</t>
  </si>
  <si>
    <t>20000064-000-001-1-0482124000-999999-21</t>
  </si>
  <si>
    <t>令和５年度継続分公共下水道等占用料（２００７９）</t>
  </si>
  <si>
    <t>20000065</t>
  </si>
  <si>
    <t>20000065-000-001-1-0482124000-999999-21</t>
  </si>
  <si>
    <t>令和５年度公共下水道等占用に係る占用料</t>
  </si>
  <si>
    <t>20000340</t>
  </si>
  <si>
    <t>20000340-000-001-1-0482124000-999999-21</t>
  </si>
  <si>
    <t>令和５年度公共下水道等占用料３８０１</t>
  </si>
  <si>
    <t>20000369</t>
  </si>
  <si>
    <t>20000369-000-001-1-0482124000-999999-99</t>
  </si>
  <si>
    <t>令和５年度公共下水道等占用料３８０２</t>
  </si>
  <si>
    <t>20000370</t>
  </si>
  <si>
    <t>エヌ・ティ・ティ・インフラネット株式会社　西日本事業本部　中国事業部</t>
  </si>
  <si>
    <t>20000370-000-001-1-0482124000-999999-99</t>
  </si>
  <si>
    <t>令和５年度公共下水道等占用料３８０３</t>
  </si>
  <si>
    <t>20000371</t>
  </si>
  <si>
    <t>20000371-000-001-1-0482124000-999999-99</t>
  </si>
  <si>
    <t>令和５年度公共下水道等占用料３８０５</t>
  </si>
  <si>
    <t>20000373</t>
  </si>
  <si>
    <t>20000373-000-001-1-0482124000-999999-99</t>
  </si>
  <si>
    <t>令和５年度公共下水道等占用料３８０６</t>
  </si>
  <si>
    <t>20000374</t>
  </si>
  <si>
    <t>20000374-000-001-1-0482124000-999999-99</t>
  </si>
  <si>
    <t>令和５年度公共下水道等占用料３８０７</t>
  </si>
  <si>
    <t>20000375</t>
  </si>
  <si>
    <t>20000375-000-001-1-0482124000-999999-99</t>
  </si>
  <si>
    <t>令和５年度公共下水道等占用料３８１０</t>
  </si>
  <si>
    <t>20000376</t>
  </si>
  <si>
    <t>20000376-000-001-1-0482124000-999999-99</t>
  </si>
  <si>
    <t>令和５年度公共下水道等占用料３８１１</t>
  </si>
  <si>
    <t>20000377</t>
  </si>
  <si>
    <t>株式会社エネルギア・コミュニケーションズ</t>
  </si>
  <si>
    <t>20000377-000-001-1-0482124000-999999-99</t>
  </si>
  <si>
    <t>令和５年度公共下水道等占用料３８１２</t>
  </si>
  <si>
    <t>20000378</t>
  </si>
  <si>
    <t>ＫＤＤＩ株式会社　西日本テクニカルセンター</t>
  </si>
  <si>
    <t>20000378-000-001-1-0482124000-999999-99</t>
  </si>
  <si>
    <t>令和５年度公共下水道等占用料３８１３</t>
  </si>
  <si>
    <t>20000379</t>
  </si>
  <si>
    <t>ソフトバンク株式会社　エリアネットワーク本部　中国ネットワーク技術部</t>
  </si>
  <si>
    <t>20000379-000-001-1-0482124000-999999-99</t>
  </si>
  <si>
    <t>令和５年度公共下水道等占用料３８１４</t>
  </si>
  <si>
    <t>20000380</t>
  </si>
  <si>
    <t>20000380-000-001-1-0482124000-999999-99</t>
  </si>
  <si>
    <t>令和５年度公共下水道等占用料３９２１</t>
  </si>
  <si>
    <t>20000381</t>
  </si>
  <si>
    <t>マツダ株式会社</t>
  </si>
  <si>
    <t>20000381-000-001-1-0482124000-999999-99</t>
  </si>
  <si>
    <t>令和５年度公共下水道等占用料３９５１</t>
  </si>
  <si>
    <t>20000421</t>
  </si>
  <si>
    <t>20000421-000-001-1-0482124000-999999-99</t>
  </si>
  <si>
    <t>令和５年度分ＬＥＣＴ店舗出入口用通路及び案内標識占用料</t>
  </si>
  <si>
    <t>20000030</t>
  </si>
  <si>
    <t>株式会社イズミ　</t>
  </si>
  <si>
    <t>20000030-000-001-1-0482124000-999999-21</t>
  </si>
  <si>
    <t>令和５年度分屋外自動販売機設置に係る貸付料（１階玄関口Ａ）</t>
  </si>
  <si>
    <t>37000017</t>
  </si>
  <si>
    <t>37000017-000-001-1-0482124000-999999-21</t>
  </si>
  <si>
    <t>屋外自販機　土地の貸付　非課税</t>
  </si>
  <si>
    <t>令和５年度分屋外自動販売機設置に係る貸付料（１階玄関口Ｂ）</t>
  </si>
  <si>
    <t>37000011</t>
  </si>
  <si>
    <t>37000011-000-001-1-0482124000-999999-21</t>
  </si>
  <si>
    <t>令和５年度分屋内自動販売機設置に係る貸付料（管千－</t>
  </si>
  <si>
    <t>37000008</t>
  </si>
  <si>
    <t>37000008-000-001-1-0482124000-999999-17</t>
  </si>
  <si>
    <t>屋内自販機　建物の貸付　課税</t>
  </si>
  <si>
    <t>37000009</t>
  </si>
  <si>
    <t>37000009-000-001-1-0482124000-999999-17</t>
  </si>
  <si>
    <t>37000014</t>
  </si>
  <si>
    <t>37000014-000-001-1-0482124000-999999-17</t>
  </si>
  <si>
    <t>令和５年度分屋内自動販売機設置に係る貸付料（年額）</t>
  </si>
  <si>
    <t>37000001</t>
  </si>
  <si>
    <t>37000001-000-001-1-0482124000-999999-17</t>
  </si>
  <si>
    <t>37000012</t>
  </si>
  <si>
    <t>37000012-000-001-1-0482124000-999999-17</t>
  </si>
  <si>
    <t>令和５年度分己斐中継ポンプ場に係る都市ガス本管占用料（２６ｍ分）</t>
  </si>
  <si>
    <t>20000032</t>
  </si>
  <si>
    <t>広島ガス株式会社供給設備部長　</t>
  </si>
  <si>
    <t>20000032-000-001-1-0482124000-999999-21</t>
  </si>
  <si>
    <t>令和５年度分公共下水道等占用料３９１５</t>
  </si>
  <si>
    <t>20000382</t>
  </si>
  <si>
    <t>中国電力ネットワーク　広島ネットワークセンター</t>
  </si>
  <si>
    <t>20000382-000-001-1-0482124000-999999-99</t>
  </si>
  <si>
    <t>令和５年度分公共下水道等占用料３９３２</t>
  </si>
  <si>
    <t>20000383</t>
  </si>
  <si>
    <t>20000383-000-001-1-0482124000-999999-99</t>
  </si>
  <si>
    <t xml:space="preserve">令和５年度分公共下水道敷等占用料（令和３年度－８３０８）                        </t>
  </si>
  <si>
    <t>20001505</t>
  </si>
  <si>
    <t>加美　正紀</t>
  </si>
  <si>
    <t>20001505-000-001-1-0482124000-999999-21</t>
  </si>
  <si>
    <t xml:space="preserve">令和５年度分公共下水道敷等占用料（令和３年度－８３１７）                        </t>
  </si>
  <si>
    <t>20001507</t>
  </si>
  <si>
    <t>株式会社フジ</t>
  </si>
  <si>
    <t>20001507-000-001-1-0482124000-999999-21</t>
  </si>
  <si>
    <t xml:space="preserve">令和５年度分公共下水道敷等占用料（令和３年度－８３３１）                        </t>
  </si>
  <si>
    <t>20001509</t>
  </si>
  <si>
    <t>中須コーポラス管理組合</t>
  </si>
  <si>
    <t>20001509-000-001-1-0482124000-999999-21</t>
  </si>
  <si>
    <t xml:space="preserve">令和５年度分公共下水道敷等占用料（令和３年度－Ｔ５００１）                      </t>
  </si>
  <si>
    <t>20001503</t>
  </si>
  <si>
    <t>ホクエイ設備工業（株）</t>
  </si>
  <si>
    <t>20001503-000-001-1-0482124000-999999-21</t>
  </si>
  <si>
    <t xml:space="preserve">令和５年度分公共下水道敷等占用料（令和３年度－Ｔ５００２）                      </t>
  </si>
  <si>
    <t>20001504</t>
  </si>
  <si>
    <t>河部　俊行</t>
  </si>
  <si>
    <t>20001504-000-001-1-0482124000-999999-21</t>
  </si>
  <si>
    <t xml:space="preserve">令和５年度分公共下水道敷等占用料（令和３年度―８３１２）                        </t>
  </si>
  <si>
    <t>20001506</t>
  </si>
  <si>
    <t>ホクエイ設備工業株式会社</t>
  </si>
  <si>
    <t>20001506-000-001-1-0482124000-999999-21</t>
  </si>
  <si>
    <t xml:space="preserve">令和５年度分公共下水道敷等占用料（令和３年度―８３２４）                        </t>
  </si>
  <si>
    <t>20001508</t>
  </si>
  <si>
    <t>三菱ＨＣキャピタルエステートプラス株式会社</t>
  </si>
  <si>
    <t>20001508-000-001-1-0482124000-999999-21</t>
  </si>
  <si>
    <t xml:space="preserve">令和５年度分公共下水道敷等占用料（令和３年度―８３５５）                        </t>
  </si>
  <si>
    <t>20001510</t>
  </si>
  <si>
    <t>ウエルシア薬局株式会社</t>
  </si>
  <si>
    <t>20001510-000-001-1-0482124000-999999-21</t>
  </si>
  <si>
    <t xml:space="preserve">令和５年度分公共下水道敷等占用料（令和４年度－Ｔ６００１）                      </t>
  </si>
  <si>
    <t>20001513</t>
  </si>
  <si>
    <t>西村ジョイ（株）</t>
  </si>
  <si>
    <t>20001513-000-001-1-0482124000-999999-21</t>
  </si>
  <si>
    <t xml:space="preserve">令和５年度分公共下水道敷等占用料（令和４年度－Ｔ６００２）                      </t>
  </si>
  <si>
    <t>20001514</t>
  </si>
  <si>
    <t>20001514-000-001-1-0482124000-999999-21</t>
  </si>
  <si>
    <t xml:space="preserve">令和５年度分公共下水道敷等占用料（令和４年度－Ｔ６００３）                      </t>
  </si>
  <si>
    <t>20001515</t>
  </si>
  <si>
    <t>株式会社共立</t>
  </si>
  <si>
    <t>20001515-000-001-1-0482124000-999999-21</t>
  </si>
  <si>
    <t xml:space="preserve">令和５年度分公共下水道敷等占用料（令和４年度－Ｔ６００４）                      </t>
  </si>
  <si>
    <t>20001516</t>
  </si>
  <si>
    <t>中原　みどり</t>
  </si>
  <si>
    <t>20001516-000-001-1-0482124000-999999-21</t>
  </si>
  <si>
    <t xml:space="preserve">令和５年度分公共下水道敷等占用料（令和４年度－Ｔ６００５）                      </t>
  </si>
  <si>
    <t>20001517</t>
  </si>
  <si>
    <t>株式会社サコダ車輌</t>
  </si>
  <si>
    <t>20001517-000-001-1-0482124000-999999-21</t>
  </si>
  <si>
    <t xml:space="preserve">令和５年度分公共下水道敷等占用料（令和４年度－Ｔ６００６）                      </t>
  </si>
  <si>
    <t>20001518</t>
  </si>
  <si>
    <t>株式会社ＧＭアソシエ（ソシオ緑井リバーシーン）</t>
  </si>
  <si>
    <t>20001518-000-001-1-0482124000-999999-21</t>
  </si>
  <si>
    <t xml:space="preserve">令和５年度分公共下水道敷等占用料（令和４年度―８３０３－２）                    </t>
  </si>
  <si>
    <t>20001511</t>
  </si>
  <si>
    <t>（株）イズミ</t>
  </si>
  <si>
    <t>20001511-000-001-1-0482124000-999999-21</t>
  </si>
  <si>
    <t xml:space="preserve">令和５年度分公共下水道敷等占用料（令和４年度―８３０５）                        </t>
  </si>
  <si>
    <t>20001512</t>
  </si>
  <si>
    <t>20001512-000-001-1-0482124000-999999-21</t>
  </si>
  <si>
    <t>令和５年度分消化ガス発電事業に係る事業用地の貸付料</t>
  </si>
  <si>
    <t>20000016</t>
  </si>
  <si>
    <t>20000016-000-001-1-0482124000-999999-21</t>
  </si>
  <si>
    <t>R05/10/01</t>
  </si>
  <si>
    <t>令和５年度分消化ガス発電事業に係る事業用地の貸付料（増設分）</t>
  </si>
  <si>
    <t>20000797</t>
  </si>
  <si>
    <t>20000797-000-001-1-0482124000-999999-21</t>
  </si>
  <si>
    <t>令和５年度分消化ガス発電事業に係る電線類及びドレン管設置使用料（増設分）</t>
  </si>
  <si>
    <t>20000810</t>
  </si>
  <si>
    <t>20000810-000-001-1-0482124000-999999-21</t>
  </si>
  <si>
    <t>令和５年度分西部水資源再生センターに係る電柱占用料（２本分）</t>
  </si>
  <si>
    <t>20000031</t>
  </si>
  <si>
    <t>中国電力ネットワーク株式会社　広島ネットワークセンター　</t>
  </si>
  <si>
    <t>20000031-000-001-1-0482124000-999999-21</t>
  </si>
  <si>
    <t>令和５年度分西部水資源再生センター屋内自動販売機設置に係る貸付料</t>
  </si>
  <si>
    <t>37000013</t>
  </si>
  <si>
    <t>37000013-000-001-1-0482124000-999999-17</t>
  </si>
  <si>
    <t>37000015</t>
  </si>
  <si>
    <t>37000015-000-001-1-0482124000-999999-17</t>
  </si>
  <si>
    <t>給与改定に伴う公務（通勤）災害に係る休業期間中に支給した給与の返納</t>
  </si>
  <si>
    <t>20000528</t>
  </si>
  <si>
    <t>0483040400</t>
  </si>
  <si>
    <t>021408001028000000</t>
  </si>
  <si>
    <t>その他未収金</t>
  </si>
  <si>
    <t>048304001004000000</t>
  </si>
  <si>
    <t>中川　敦</t>
  </si>
  <si>
    <t>20000528-000-001-1-0483040400-999999-31</t>
  </si>
  <si>
    <t>固定資産の取得に係る修正振替（Ｒ４年度購入分）</t>
  </si>
  <si>
    <t>37000097</t>
  </si>
  <si>
    <t>011526001002000000</t>
  </si>
  <si>
    <t>工具・器具及び備品</t>
  </si>
  <si>
    <t>37000097-000-001-1-0483040400-999999-31</t>
  </si>
  <si>
    <t>R05/08/01</t>
  </si>
  <si>
    <t>固定資産の取得に係る修正振替（令和４年度購入分）</t>
  </si>
  <si>
    <t>37000129</t>
  </si>
  <si>
    <t>37000129-000-001-1-0483040400-999999-31</t>
  </si>
  <si>
    <t>37000130</t>
  </si>
  <si>
    <t>37000130-000-001-1-0483040400-999999-31</t>
  </si>
  <si>
    <t>R05/10/12</t>
  </si>
  <si>
    <t>自動車損害共済返戻金</t>
  </si>
  <si>
    <t>20000852</t>
  </si>
  <si>
    <t>（公社）全国市有物件災害共済会　中国地区事務局</t>
  </si>
  <si>
    <t>20000852-000-001-1-0483040400-999999-21</t>
  </si>
  <si>
    <t>平成３０年度下水道使用料調定　１件</t>
  </si>
  <si>
    <t>20000732</t>
  </si>
  <si>
    <t>021402001002015000</t>
  </si>
  <si>
    <t>未収下水道使用料５</t>
  </si>
  <si>
    <t>広島市水道事業管理者</t>
  </si>
  <si>
    <t>20000732-000-001-1-0483040400-999999-14</t>
  </si>
  <si>
    <t>平成３０年度下水道使用料調定　２件</t>
  </si>
  <si>
    <t>20000994</t>
  </si>
  <si>
    <t>20000994-000-001-1-0483040400-999999-14</t>
  </si>
  <si>
    <t>平成３０年度下水道使用料調定（農集）　３件</t>
  </si>
  <si>
    <t>20000735</t>
  </si>
  <si>
    <t>20000735-000-001-1-0483040400-999999-14</t>
  </si>
  <si>
    <t xml:space="preserve">平成３１年４月～令和５年３月分扶養手当対象者の減員による戻入                    </t>
  </si>
  <si>
    <t>20001451</t>
  </si>
  <si>
    <t>横山　広行</t>
  </si>
  <si>
    <t>20001451-000-001-1-0483040400-999999-31</t>
  </si>
  <si>
    <t>平成３１年度下水道使用料調定　２件</t>
  </si>
  <si>
    <t>20000993</t>
  </si>
  <si>
    <t>021402001002014000</t>
  </si>
  <si>
    <t>未収下水道使用料４</t>
  </si>
  <si>
    <t>20000993-000-001-1-0483040400-999999-14</t>
  </si>
  <si>
    <t>平成３１年度下水道使用料調定　４件</t>
  </si>
  <si>
    <t>20000992</t>
  </si>
  <si>
    <t>20000992-000-001-1-0483040400-999999-14</t>
  </si>
  <si>
    <t>平成３１年度下水道使用料調定（農集）　２件</t>
  </si>
  <si>
    <t>20000736</t>
  </si>
  <si>
    <t>20000736-000-001-1-0483040400-999999-17</t>
  </si>
  <si>
    <t>平成３１年度下水道使用料調定（農集）　４件</t>
  </si>
  <si>
    <t>20000737</t>
  </si>
  <si>
    <t>20000737-000-001-1-0483040400-999999-14</t>
  </si>
  <si>
    <t>R06/01/01</t>
  </si>
  <si>
    <t>令和２年度下水道使用料調定　１件</t>
  </si>
  <si>
    <t>20001218</t>
  </si>
  <si>
    <t>021402001002013000</t>
  </si>
  <si>
    <t>未収下水道使用料３</t>
  </si>
  <si>
    <t>20001218-000-001-1-0483040400-999999-17</t>
  </si>
  <si>
    <t>20000599</t>
  </si>
  <si>
    <t>20000599-000-001-1-0483040400-999999-17</t>
  </si>
  <si>
    <t>令和２年度下水道使用料調定　６件</t>
  </si>
  <si>
    <t>20000991</t>
  </si>
  <si>
    <t>20000991-000-001-1-0483040400-999999-17</t>
  </si>
  <si>
    <t xml:space="preserve">令和２年度下水道使用料調定　６件                                                </t>
  </si>
  <si>
    <t>20001572</t>
  </si>
  <si>
    <t>20001572-000-001-1-0483040400-999999-17</t>
  </si>
  <si>
    <t>令和２年度下水道使用料調定　８件</t>
  </si>
  <si>
    <t>20001275</t>
  </si>
  <si>
    <t>20001275-000-001-1-0483040400-999999-17</t>
  </si>
  <si>
    <t>令和２年度下水道使用料調定（農集）　６件</t>
  </si>
  <si>
    <t>20000738</t>
  </si>
  <si>
    <t>20000738-000-001-1-0483040400-999999-17</t>
  </si>
  <si>
    <t>令和３年度下水道使用料調定　１２件</t>
  </si>
  <si>
    <t>20001274</t>
  </si>
  <si>
    <t>021402001002012000</t>
  </si>
  <si>
    <t>未収下水道使用料２</t>
  </si>
  <si>
    <t>20001274-000-001-1-0483040400-999999-17</t>
  </si>
  <si>
    <t>令和３年度下水道使用料調定　１件</t>
  </si>
  <si>
    <t>20000922</t>
  </si>
  <si>
    <t>20000922-000-001-1-0483040400-999999-17</t>
  </si>
  <si>
    <t xml:space="preserve">令和３年度下水道使用料調定　５件                                                </t>
  </si>
  <si>
    <t>20001571</t>
  </si>
  <si>
    <t>20001571-000-001-1-0483040400-999999-17</t>
  </si>
  <si>
    <t>令和３年度下水道使用料調定　６件</t>
  </si>
  <si>
    <t>20000990</t>
  </si>
  <si>
    <t>20000990-000-001-1-0483040400-999999-17</t>
  </si>
  <si>
    <t>20001217</t>
  </si>
  <si>
    <t>20001217-000-001-1-0483040400-999999-17</t>
  </si>
  <si>
    <t>令和３年度下水道使用料調定（農集）　６件</t>
  </si>
  <si>
    <t>20000734</t>
  </si>
  <si>
    <t>20000734-000-001-1-0483040400-999999-17</t>
  </si>
  <si>
    <t>令和３年度労災保険料確定に伴う概算払い金の精算の更正</t>
  </si>
  <si>
    <t>37000114</t>
  </si>
  <si>
    <t>051410001001000000</t>
  </si>
  <si>
    <t>その他未払金</t>
  </si>
  <si>
    <t>37000114-000-001-1-0483040400-999999-99</t>
  </si>
  <si>
    <t>令和４年度以前分下水道使用料　下水道使用状況調査分以外　１件</t>
  </si>
  <si>
    <t>20000569</t>
  </si>
  <si>
    <t>021402001002011000</t>
  </si>
  <si>
    <t>未収下水道使用料１</t>
  </si>
  <si>
    <t>有限会社ホームドライアサヒ</t>
  </si>
  <si>
    <t>20000569-000-001-1-0483040400-999999-17</t>
  </si>
  <si>
    <t>20000570</t>
  </si>
  <si>
    <t>20000570-000-001-1-0483040400-999999-14</t>
  </si>
  <si>
    <t>令和４年度下水道使用料調定　１１件</t>
  </si>
  <si>
    <t>20000989</t>
  </si>
  <si>
    <t>20000989-000-001-1-0483040400-999999-17</t>
  </si>
  <si>
    <t>令和４年度下水道使用料調定　１２件</t>
  </si>
  <si>
    <t>20001273</t>
  </si>
  <si>
    <t>20001273-000-001-1-0483040400-999999-17</t>
  </si>
  <si>
    <t>令和４年度下水道使用料調定　１件</t>
  </si>
  <si>
    <t>20001026</t>
  </si>
  <si>
    <t>20001026-000-001-1-0483040400-999999-17</t>
  </si>
  <si>
    <t>20000726</t>
  </si>
  <si>
    <t>20000726-000-001-1-0483040400-999999-17</t>
  </si>
  <si>
    <t>20000721</t>
  </si>
  <si>
    <t>20000721-000-001-1-0483040400-999999-17</t>
  </si>
  <si>
    <t>20000672</t>
  </si>
  <si>
    <t>20000672-000-001-1-0483040400-999999-17</t>
  </si>
  <si>
    <t xml:space="preserve">令和４年度下水道使用料調定　１件                                                </t>
  </si>
  <si>
    <t>20001332</t>
  </si>
  <si>
    <t>20001332-000-001-1-0483040400-999999-17</t>
  </si>
  <si>
    <t>20001212</t>
  </si>
  <si>
    <t>20001212-000-001-1-0483040400-999999-17</t>
  </si>
  <si>
    <t>20001409</t>
  </si>
  <si>
    <t>20001409-000-001-1-0483040400-999999-17</t>
  </si>
  <si>
    <t>令和４年度下水道使用料調定　２１件</t>
  </si>
  <si>
    <t>20000595</t>
  </si>
  <si>
    <t>20000595-000-001-1-0483040400-999999-17</t>
  </si>
  <si>
    <t>R05/04/10</t>
  </si>
  <si>
    <t>令和４年度下水道使用料調定　２５件</t>
  </si>
  <si>
    <t>20000314</t>
  </si>
  <si>
    <t>20000314-000-001-1-0483040400-999999-17</t>
  </si>
  <si>
    <t>令和４年度下水道使用料調定　２件</t>
  </si>
  <si>
    <t>20000918</t>
  </si>
  <si>
    <t>20000918-000-001-1-0483040400-999999-17</t>
  </si>
  <si>
    <t>20000662</t>
  </si>
  <si>
    <t>20000662-000-001-1-0483040400-999999-17</t>
  </si>
  <si>
    <t>令和４年度下水道使用料調定　３１件</t>
  </si>
  <si>
    <t>20000591</t>
  </si>
  <si>
    <t>20000591-000-001-1-0483040400-999999-17</t>
  </si>
  <si>
    <t>令和４年度下水道使用料調定　３４件</t>
  </si>
  <si>
    <t>20000332</t>
  </si>
  <si>
    <t>20000332-000-001-1-0483040400-999999-17</t>
  </si>
  <si>
    <t>令和４年度下水道使用料調定　３件</t>
  </si>
  <si>
    <t>20000598</t>
  </si>
  <si>
    <t>20000598-000-001-1-0483040400-999999-17</t>
  </si>
  <si>
    <t>令和４年度下水道使用料調定　４件</t>
  </si>
  <si>
    <t>20001148</t>
  </si>
  <si>
    <t>20001148-000-001-1-0483040400-999999-17</t>
  </si>
  <si>
    <t>20000667</t>
  </si>
  <si>
    <t>20000667-000-001-1-0483040400-999999-17</t>
  </si>
  <si>
    <t>20000604</t>
  </si>
  <si>
    <t>20000604-000-001-1-0483040400-999999-17</t>
  </si>
  <si>
    <t>令和４年度下水道使用料調定　５件</t>
  </si>
  <si>
    <t>20000588</t>
  </si>
  <si>
    <t>20000588-000-001-1-0483040400-999999-17</t>
  </si>
  <si>
    <t>令和４年度下水道使用料調定　６件</t>
  </si>
  <si>
    <t>20000921</t>
  </si>
  <si>
    <t>20000921-000-001-1-0483040400-999999-17</t>
  </si>
  <si>
    <t>20001216</t>
  </si>
  <si>
    <t>20001216-000-001-1-0483040400-999999-17</t>
  </si>
  <si>
    <t xml:space="preserve">令和４年度下水道使用料調定　６件                                                </t>
  </si>
  <si>
    <t>20001583</t>
  </si>
  <si>
    <t>20001583-000-001-1-0483040400-999999-17</t>
  </si>
  <si>
    <t>令和４年度下水道使用料調定　８件</t>
  </si>
  <si>
    <t>20000657</t>
  </si>
  <si>
    <t>20000657-000-001-1-0483040400-999999-17</t>
  </si>
  <si>
    <t>令和４年度下水道使用料調定　９件</t>
  </si>
  <si>
    <t>20000731</t>
  </si>
  <si>
    <t>20000731-000-001-1-0483040400-999999-17</t>
  </si>
  <si>
    <t>R05/09/10</t>
  </si>
  <si>
    <t>20000787</t>
  </si>
  <si>
    <t>20000787-000-001-1-0483040400-999999-17</t>
  </si>
  <si>
    <t>R05/04/30</t>
  </si>
  <si>
    <t>20000363</t>
  </si>
  <si>
    <t>20000363-000-001-1-0483040400-999999-17</t>
  </si>
  <si>
    <t>令和４年度下水道使用料調定（特環）　１件</t>
  </si>
  <si>
    <t>20000339</t>
  </si>
  <si>
    <t>20000339-000-001-1-0483040400-999999-17</t>
  </si>
  <si>
    <t>令和４年度下水道使用料調定（農集）　６件</t>
  </si>
  <si>
    <t>20000733</t>
  </si>
  <si>
    <t>20000733-000-001-1-0483040400-999999-17</t>
  </si>
  <si>
    <t>令和４年度決算の消費税算出額と申告額の差額が生じたことによる過年度収益</t>
  </si>
  <si>
    <t>37000075</t>
  </si>
  <si>
    <t>051408001001000000</t>
  </si>
  <si>
    <t>未払消費税</t>
  </si>
  <si>
    <t>37000075-000-001-1-0483040400-999999-31</t>
  </si>
  <si>
    <t>税差額　不課税</t>
  </si>
  <si>
    <t xml:space="preserve">令和４年度分扶養手当対象者の減員による戻入                                      </t>
  </si>
  <si>
    <t>20001352</t>
  </si>
  <si>
    <t>山中　信二</t>
  </si>
  <si>
    <t>20001352-000-001-1-0483040400-999999-31</t>
  </si>
  <si>
    <t>扶養手当返納のため不課税</t>
  </si>
  <si>
    <t>令和５年１月～３月分扶養手当対象者の減員による戻入</t>
  </si>
  <si>
    <t>20000390</t>
  </si>
  <si>
    <t>藤田　章</t>
  </si>
  <si>
    <t>20000390-000-001-1-0483040400-999999-31</t>
  </si>
  <si>
    <t>地域手当、扶養手当、期末勤勉手当の返納のため不課税</t>
  </si>
  <si>
    <t>元管路施設（南区宇品海岸三丁目）の有償所属替え代金</t>
  </si>
  <si>
    <t>20000674</t>
  </si>
  <si>
    <t>0483060600</t>
  </si>
  <si>
    <t>048306001006000000</t>
  </si>
  <si>
    <t>経済観光局競輪事務局</t>
  </si>
  <si>
    <t>20000674-000-001-1-0483060600-999999-31</t>
  </si>
  <si>
    <t>官公庁同士のため不課税（旧広報ラインの整理）→この整理はおかしいので実質的な補償金であるといった整理になると思われる。</t>
  </si>
  <si>
    <t xml:space="preserve">貸倒引当金戻入益の計上（し尿浄化槽廃止資金回収金）                              </t>
  </si>
  <si>
    <t>37000631</t>
  </si>
  <si>
    <t>0483060700</t>
  </si>
  <si>
    <t>021502001002004000</t>
  </si>
  <si>
    <t>水洗便所改造資金貸付金</t>
  </si>
  <si>
    <t>048306001007000000</t>
  </si>
  <si>
    <t>37000631-000-001-1-0483060700-999999-31</t>
  </si>
  <si>
    <t>取り崩し後の賞与引当金の残額処理</t>
  </si>
  <si>
    <t>37000135</t>
  </si>
  <si>
    <t>0483060800</t>
  </si>
  <si>
    <t>051602001002002000</t>
  </si>
  <si>
    <t>法定福利費</t>
  </si>
  <si>
    <t>048306001008000000</t>
  </si>
  <si>
    <t>37000135-000-001-1-0483060800-999999-31</t>
  </si>
  <si>
    <t>下水道使用料返還金の支出</t>
  </si>
  <si>
    <t>振替伝票（未払計上）</t>
  </si>
  <si>
    <t>34005121</t>
  </si>
  <si>
    <t>0884066300</t>
  </si>
  <si>
    <t>その他雑支出</t>
  </si>
  <si>
    <t>921472</t>
  </si>
  <si>
    <t>下水道使用料賦課（返還金）</t>
  </si>
  <si>
    <t>088406001063000000</t>
  </si>
  <si>
    <t>15</t>
  </si>
  <si>
    <t>田畑　美香</t>
  </si>
  <si>
    <t>34005121-000-001-1-0884066300-921472-15</t>
  </si>
  <si>
    <t>34005121-000-002-1-0884066300-921472-31</t>
  </si>
  <si>
    <t xml:space="preserve">令和６年能登半島地震の応援派遣に伴う経費（時間外勤務手当）                      </t>
  </si>
  <si>
    <t>37000606</t>
  </si>
  <si>
    <t>912477</t>
  </si>
  <si>
    <t>災害派遣対応</t>
  </si>
  <si>
    <t>011632001003010000</t>
  </si>
  <si>
    <t>時間外勤務手当</t>
  </si>
  <si>
    <t>37000606-000-001-1-0884066300-912477-31</t>
  </si>
  <si>
    <t>011642001003010000</t>
  </si>
  <si>
    <t>37000606-000-002-1-0884066300-912477-31</t>
  </si>
  <si>
    <t>088302001003010000</t>
  </si>
  <si>
    <t>37000606-000-003-1-0884066300-912477-31</t>
  </si>
  <si>
    <t xml:space="preserve">令和６年能登半島地震の応援派遣に伴う経費（旅費等）その２                        </t>
  </si>
  <si>
    <t>37000612</t>
  </si>
  <si>
    <t>051402001002000000</t>
  </si>
  <si>
    <t>諸経費未払金</t>
  </si>
  <si>
    <t>18</t>
  </si>
  <si>
    <t>37000612-000-001-1-0884066300-912477-18</t>
  </si>
  <si>
    <t>37000612-000-002-1-0884066300-912477-31</t>
  </si>
  <si>
    <t>軽油取引税分</t>
  </si>
  <si>
    <t xml:space="preserve">市有地公募売却に伴う固定資産売却損（東区戸坂新町二丁目３０８番２６４外１筆）    </t>
  </si>
  <si>
    <t>37000359</t>
  </si>
  <si>
    <t>0885020200</t>
  </si>
  <si>
    <t>固定資産売却損</t>
  </si>
  <si>
    <t>912475</t>
  </si>
  <si>
    <t>旧団地処理場等施設管理運営　　</t>
  </si>
  <si>
    <t>088502001002000000</t>
  </si>
  <si>
    <t>011502001006000000</t>
  </si>
  <si>
    <t>施設用用地</t>
  </si>
  <si>
    <t>37000359-000-001-1-0885020200-912475-31</t>
  </si>
  <si>
    <t>下水道使用料過誤納還付金の精算（１０月分）</t>
  </si>
  <si>
    <t>37000234</t>
  </si>
  <si>
    <t>0885060600</t>
  </si>
  <si>
    <t>921481</t>
  </si>
  <si>
    <t>下水道使用料賦課徴収　　　　　</t>
  </si>
  <si>
    <t>088506001006000000</t>
  </si>
  <si>
    <t>022602001006000000</t>
  </si>
  <si>
    <t>下水道使用料還付前渡資金</t>
  </si>
  <si>
    <t>37000234-000-001-1-0885060600-921481-18</t>
  </si>
  <si>
    <t>37000235</t>
  </si>
  <si>
    <t>37000235-000-001-1-0885060600-921481-18</t>
  </si>
  <si>
    <t>37000236</t>
  </si>
  <si>
    <t>37000236-000-001-1-0885060600-921481-18</t>
  </si>
  <si>
    <t>下水道使用料過誤納還付金の精算（１１月分）</t>
  </si>
  <si>
    <t>37000266</t>
  </si>
  <si>
    <t>37000266-000-001-1-0885060600-921481-18</t>
  </si>
  <si>
    <t>37000267</t>
  </si>
  <si>
    <t>37000267-000-001-1-0885060600-921481-18</t>
  </si>
  <si>
    <t>37000268</t>
  </si>
  <si>
    <t>37000268-000-001-1-0885060600-921481-18</t>
  </si>
  <si>
    <t>下水道使用料過誤納還付金の精算（１２月分）</t>
  </si>
  <si>
    <t>37000289</t>
  </si>
  <si>
    <t>37000289-000-001-1-0885060600-921481-18</t>
  </si>
  <si>
    <t>37000290</t>
  </si>
  <si>
    <t>37000290-000-001-1-0885060600-921481-18</t>
  </si>
  <si>
    <t xml:space="preserve">下水道使用料過誤納還付金の精算（１月分）                                        </t>
  </si>
  <si>
    <t>37000354</t>
  </si>
  <si>
    <t>37000354-000-001-1-0885060600-921481-18</t>
  </si>
  <si>
    <t>37000355</t>
  </si>
  <si>
    <t>37000355-000-001-1-0885060600-921481-18</t>
  </si>
  <si>
    <t xml:space="preserve">下水道使用料過誤納還付金の精算（２月分）                                        </t>
  </si>
  <si>
    <t>37000368</t>
  </si>
  <si>
    <t>37000368-000-001-1-0885060600-921481-18</t>
  </si>
  <si>
    <t>37000369</t>
  </si>
  <si>
    <t>37000369-000-001-1-0885060600-921481-18</t>
  </si>
  <si>
    <t xml:space="preserve">下水道使用料過誤納還付金の精算（３月分）                                        </t>
  </si>
  <si>
    <t>37000505</t>
  </si>
  <si>
    <t>37000505-000-001-1-0885060600-921481-18</t>
  </si>
  <si>
    <t>下水道使用料過誤納還付金の精算（４月分）</t>
  </si>
  <si>
    <t>37000043</t>
  </si>
  <si>
    <t>37000043-000-001-1-0885060600-921481-18</t>
  </si>
  <si>
    <t>37000044</t>
  </si>
  <si>
    <t>37000044-000-001-1-0885060600-921481-18</t>
  </si>
  <si>
    <t>37000045</t>
  </si>
  <si>
    <t>37000045-000-001-1-0885060600-921481-18</t>
  </si>
  <si>
    <t>37000046</t>
  </si>
  <si>
    <t>37000046-000-001-1-0885060600-921481-18</t>
  </si>
  <si>
    <t>下水道使用料過誤納還付金の精算（５月分）</t>
  </si>
  <si>
    <t>37000061</t>
  </si>
  <si>
    <t>37000061-000-001-1-0885060600-921481-18</t>
  </si>
  <si>
    <t>37000063</t>
  </si>
  <si>
    <t>37000063-000-001-1-0885060600-921481-18</t>
  </si>
  <si>
    <t>37000064</t>
  </si>
  <si>
    <t>37000064-000-001-1-0885060600-921481-18</t>
  </si>
  <si>
    <t>37000065</t>
  </si>
  <si>
    <t>37000065-000-001-1-0885060600-921481-18</t>
  </si>
  <si>
    <t>R05/07/01</t>
  </si>
  <si>
    <t>下水道使用料過誤納還付金の精算（６月分）</t>
  </si>
  <si>
    <t>37000106</t>
  </si>
  <si>
    <t>37000106-000-001-1-0885060600-921481-18</t>
  </si>
  <si>
    <t>37000107</t>
  </si>
  <si>
    <t>37000107-000-001-1-0885060600-921481-18</t>
  </si>
  <si>
    <t>37000108</t>
  </si>
  <si>
    <t>37000108-000-001-1-0885060600-921481-18</t>
  </si>
  <si>
    <t>37000109</t>
  </si>
  <si>
    <t>37000109-000-001-1-0885060600-921481-18</t>
  </si>
  <si>
    <t>37000110</t>
  </si>
  <si>
    <t>37000110-000-001-1-0885060600-921481-18</t>
  </si>
  <si>
    <t>下水道使用料過誤納還付金の精算（７月分）</t>
  </si>
  <si>
    <t>37000157</t>
  </si>
  <si>
    <t>37000157-000-001-1-0885060600-921481-18</t>
  </si>
  <si>
    <t>37000158</t>
  </si>
  <si>
    <t>37000158-000-001-1-0885060600-921481-18</t>
  </si>
  <si>
    <t>37000159</t>
  </si>
  <si>
    <t>37000159-000-001-1-0885060600-921481-18</t>
  </si>
  <si>
    <t>37000160</t>
  </si>
  <si>
    <t>37000160-000-001-1-0885060600-921481-18</t>
  </si>
  <si>
    <t>37000161</t>
  </si>
  <si>
    <t>37000161-000-001-1-0885060600-921481-18</t>
  </si>
  <si>
    <t>下水道使用料過誤納還付金の精算（８月分）</t>
  </si>
  <si>
    <t>37000183</t>
  </si>
  <si>
    <t>37000183-000-001-1-0885060600-921481-18</t>
  </si>
  <si>
    <t>37000184</t>
  </si>
  <si>
    <t>37000184-000-001-1-0885060600-921481-18</t>
  </si>
  <si>
    <t>37000185</t>
  </si>
  <si>
    <t>37000185-000-001-1-0885060600-921481-18</t>
  </si>
  <si>
    <t>37000186</t>
  </si>
  <si>
    <t>37000186-000-001-1-0885060600-921481-18</t>
  </si>
  <si>
    <t>下水道使用料過誤納還付金の精算（９月分）</t>
  </si>
  <si>
    <t>37000205</t>
  </si>
  <si>
    <t>37000205-000-001-1-0885060600-921481-18</t>
  </si>
  <si>
    <t>37000206</t>
  </si>
  <si>
    <t>37000206-000-001-1-0885060600-921481-18</t>
  </si>
  <si>
    <t>37000207</t>
  </si>
  <si>
    <t>37000207-000-001-1-0885060600-921481-18</t>
  </si>
  <si>
    <t>37000208</t>
  </si>
  <si>
    <t>37000208-000-001-1-0885060600-921481-18</t>
  </si>
  <si>
    <t>過年度分下水道使用料過誤納還付金（口座還付分）</t>
  </si>
  <si>
    <t>37000037</t>
  </si>
  <si>
    <t>021402001002010000</t>
  </si>
  <si>
    <t>未収下水道使用料０</t>
  </si>
  <si>
    <t>37000037-000-001-1-0885060600-921481-18</t>
  </si>
  <si>
    <t>37000038</t>
  </si>
  <si>
    <t>37000038-000-001-1-0885060600-921481-15</t>
  </si>
  <si>
    <t>37000039</t>
  </si>
  <si>
    <t>37000039-000-001-1-0885060600-921481-15</t>
  </si>
  <si>
    <t xml:space="preserve">過年度分下水道使用料過誤納還付金（口座還付分）                                  </t>
  </si>
  <si>
    <t>37000411</t>
  </si>
  <si>
    <t>37000411-000-001-1-0885060600-921481-18</t>
  </si>
  <si>
    <t>37000338</t>
  </si>
  <si>
    <t>37000338-000-001-1-0885060600-921481-18</t>
  </si>
  <si>
    <t>37000356</t>
  </si>
  <si>
    <t>37000356-000-001-1-0885060600-921481-18</t>
  </si>
  <si>
    <t>37000269</t>
  </si>
  <si>
    <t>37000269-000-001-1-0885060600-921481-18</t>
  </si>
  <si>
    <t>37000296</t>
  </si>
  <si>
    <t>37000296-000-001-1-0885060600-921481-18</t>
  </si>
  <si>
    <t>37000297</t>
  </si>
  <si>
    <t>37000297-000-001-1-0885060600-921481-15</t>
  </si>
  <si>
    <t>37000302</t>
  </si>
  <si>
    <t>37000302-000-001-1-0885060600-921481-18</t>
  </si>
  <si>
    <t>37000252</t>
  </si>
  <si>
    <t>37000252-000-001-1-0885060600-921481-18</t>
  </si>
  <si>
    <t>37000237</t>
  </si>
  <si>
    <t>37000237-000-001-1-0885060600-921481-15</t>
  </si>
  <si>
    <t>37000098</t>
  </si>
  <si>
    <t>37000098-000-001-1-0885060600-921481-18</t>
  </si>
  <si>
    <t>37000099</t>
  </si>
  <si>
    <t>37000099-000-001-1-0885060600-921481-18</t>
  </si>
  <si>
    <t>37000100</t>
  </si>
  <si>
    <t>37000100-000-001-1-0885060600-921481-15</t>
  </si>
  <si>
    <t>37000101</t>
  </si>
  <si>
    <t>37000101-000-001-1-0885060600-921481-18</t>
  </si>
  <si>
    <t>37000102</t>
  </si>
  <si>
    <t>37000102-000-001-1-0885060600-921481-18</t>
  </si>
  <si>
    <t>37000103</t>
  </si>
  <si>
    <t>37000103-000-001-1-0885060600-921481-18</t>
  </si>
  <si>
    <t>37000104</t>
  </si>
  <si>
    <t>37000104-000-001-1-0885060600-921481-18</t>
  </si>
  <si>
    <t>37000194</t>
  </si>
  <si>
    <t>37000194-000-001-1-0885060600-921481-18</t>
  </si>
  <si>
    <t>37000162</t>
  </si>
  <si>
    <t>37000162-000-001-1-0885060600-921481-18</t>
  </si>
  <si>
    <t>37000163</t>
  </si>
  <si>
    <t>37000163-000-001-1-0885060600-921481-18</t>
  </si>
  <si>
    <t>37000164</t>
  </si>
  <si>
    <t>37000164-000-001-1-0885060600-921481-18</t>
  </si>
  <si>
    <t>R05/08/16</t>
  </si>
  <si>
    <t>37000165</t>
  </si>
  <si>
    <t>37000165-000-001-1-0885060600-921481-18</t>
  </si>
  <si>
    <t>37000166</t>
  </si>
  <si>
    <t>37000166-000-001-1-0885060600-921481-18</t>
  </si>
  <si>
    <t>37000182</t>
  </si>
  <si>
    <t>37000182-000-001-1-0885060600-921481-18</t>
  </si>
  <si>
    <t>37000218</t>
  </si>
  <si>
    <t>37000218-000-001-1-0885060600-921481-15</t>
  </si>
  <si>
    <t xml:space="preserve">庁舎使用料（令和４年度使用分の追加徴収）                                        </t>
  </si>
  <si>
    <t>34005568</t>
  </si>
  <si>
    <t>912500</t>
  </si>
  <si>
    <t>局の庶務事務</t>
  </si>
  <si>
    <t>34005568-000-001-1-0885060600-912500-18</t>
  </si>
  <si>
    <t>破産手続終結に伴う破産更生債権等の不納欠損処理（株式会社ホープエナジー）</t>
  </si>
  <si>
    <t>37000265</t>
  </si>
  <si>
    <t>926362</t>
  </si>
  <si>
    <t>課の総括事務（過年度修正損）</t>
  </si>
  <si>
    <t>013006001006007000</t>
  </si>
  <si>
    <t>その他破産更生債権等</t>
  </si>
  <si>
    <t>37000265-000-001-1-0885060600-926362-31</t>
  </si>
  <si>
    <t>平成３０年度下水道使用料減額調定　１件</t>
  </si>
  <si>
    <t>37000181</t>
  </si>
  <si>
    <t>37000181-000-001-1-0885060600-921481-15</t>
  </si>
  <si>
    <t xml:space="preserve">令和２年度下水道使用料減額調定　１件                                            </t>
  </si>
  <si>
    <t>37000471</t>
  </si>
  <si>
    <t>37000471-000-001-1-0885060600-921481-18</t>
  </si>
  <si>
    <t>令和２年度下水道使用料減額調定　１件</t>
  </si>
  <si>
    <t>37000240</t>
  </si>
  <si>
    <t>37000240-000-001-1-0885060600-921481-15</t>
  </si>
  <si>
    <t>37000245</t>
  </si>
  <si>
    <t>37000245-000-001-1-0885060600-921481-18</t>
  </si>
  <si>
    <t>37000145</t>
  </si>
  <si>
    <t>37000145-000-001-1-0885060600-921481-18</t>
  </si>
  <si>
    <t>令和２年度下水道使用料減額調定　３件</t>
  </si>
  <si>
    <t>37000300</t>
  </si>
  <si>
    <t>37000300-000-001-1-0885060600-921481-18</t>
  </si>
  <si>
    <t>令和３年度下水道使用料減額調定　２件</t>
  </si>
  <si>
    <t>37000180</t>
  </si>
  <si>
    <t>37000180-000-001-1-0885060600-921481-18</t>
  </si>
  <si>
    <t>R05/10/20</t>
  </si>
  <si>
    <t>令和３年度雇用保険料の修正による追加納付</t>
  </si>
  <si>
    <t>支出伝票（兼支出負担行為伺）</t>
  </si>
  <si>
    <t>34003083</t>
  </si>
  <si>
    <t>912493</t>
  </si>
  <si>
    <t>局の経理事務　　　　　　　　　</t>
  </si>
  <si>
    <t>労働保険特別会計歳入徴収官</t>
  </si>
  <si>
    <t>34003083-000-001-1-0885060600-912493-21</t>
  </si>
  <si>
    <t>雇用保険のため非課税</t>
  </si>
  <si>
    <t>令和３年度労災保険料の修正による追加納付</t>
  </si>
  <si>
    <t>34003431</t>
  </si>
  <si>
    <t>34003431-000-001-1-0885060600-912493-21</t>
  </si>
  <si>
    <t>令和４年度下水道使用料減額調定　１０件</t>
  </si>
  <si>
    <t>37000060</t>
  </si>
  <si>
    <t>37000060-000-001-1-0885060600-921481-18</t>
  </si>
  <si>
    <t>令和４年度下水道使用料減額調定　１３件</t>
  </si>
  <si>
    <t>37000059</t>
  </si>
  <si>
    <t>37000059-000-001-1-0885060600-921481-18</t>
  </si>
  <si>
    <t>令和４年度下水道使用料減額調定　１件</t>
  </si>
  <si>
    <t>37000279</t>
  </si>
  <si>
    <t>37000279-000-001-1-0885060600-921481-18</t>
  </si>
  <si>
    <t>37000301</t>
  </si>
  <si>
    <t>37000301-000-001-1-0885060600-921481-18</t>
  </si>
  <si>
    <t>37000151</t>
  </si>
  <si>
    <t>37000151-000-001-1-0885060600-921481-18</t>
  </si>
  <si>
    <t>37000147</t>
  </si>
  <si>
    <t>37000147-000-001-1-0885060600-921481-18</t>
  </si>
  <si>
    <t>37000178</t>
  </si>
  <si>
    <t>37000178-000-001-1-0885060600-921481-18</t>
  </si>
  <si>
    <t>令和４年度下水道使用料減額調定　２件</t>
  </si>
  <si>
    <t>37000153</t>
  </si>
  <si>
    <t>37000153-000-001-1-0885060600-921481-18</t>
  </si>
  <si>
    <t>令和４年度下水道使用料減額調定　３件</t>
  </si>
  <si>
    <t>37000152</t>
  </si>
  <si>
    <t>37000152-000-001-1-0885060600-921481-18</t>
  </si>
  <si>
    <t>令和４年度下水道使用料減額調定　４件</t>
  </si>
  <si>
    <t>37000142</t>
  </si>
  <si>
    <t>37000142-000-001-1-0885060600-921481-18</t>
  </si>
  <si>
    <t>37000144</t>
  </si>
  <si>
    <t>37000144-000-001-1-0885060600-921481-18</t>
  </si>
  <si>
    <t>令和４年度下水道使用料減額調定　６件</t>
  </si>
  <si>
    <t>37000146</t>
  </si>
  <si>
    <t>37000146-000-001-1-0885060600-921481-18</t>
  </si>
  <si>
    <t>令和４年度下水道使用料減額調定　７件</t>
  </si>
  <si>
    <t>37000076</t>
  </si>
  <si>
    <t>37000076-000-001-1-0885060600-921481-18</t>
  </si>
  <si>
    <t>令和４年度下水道使用料減額調定　８件</t>
  </si>
  <si>
    <t>37000150</t>
  </si>
  <si>
    <t>37000150-000-001-1-0885060600-921481-18</t>
  </si>
  <si>
    <t>37000143</t>
  </si>
  <si>
    <t>37000143-000-001-1-0885060600-921481-18</t>
  </si>
  <si>
    <t>令和４年度下水道使用料減額調定　９件</t>
  </si>
  <si>
    <t>37000179</t>
  </si>
  <si>
    <t>37000179-000-001-1-0885060600-921481-18</t>
  </si>
  <si>
    <t>令和４年度下水道使用料減額調定（特環）　１件</t>
  </si>
  <si>
    <t>37000066</t>
  </si>
  <si>
    <t>921516</t>
  </si>
  <si>
    <t>下水道使用料賦課修正損（特環）</t>
  </si>
  <si>
    <t>37000066-000-001-1-0885060600-921516-18</t>
  </si>
  <si>
    <t>令和４年度下水道使用料減額調定（農集）　０件</t>
  </si>
  <si>
    <t>37000069</t>
  </si>
  <si>
    <t>921614</t>
  </si>
  <si>
    <t>下水道使用料賦課修正損（農集）</t>
  </si>
  <si>
    <t>37000069-000-001-1-0885060600-921614-18</t>
  </si>
  <si>
    <t>R05/08/30</t>
  </si>
  <si>
    <t>令和４年度労災保険料確定の修正による支出</t>
  </si>
  <si>
    <t>34002368</t>
  </si>
  <si>
    <t>34002368-000-001-1-0885060600-912493-21</t>
  </si>
  <si>
    <t xml:space="preserve">歳計現金の一時繰替金利子                                                        </t>
  </si>
  <si>
    <t>34007041</t>
  </si>
  <si>
    <t>0884025400</t>
  </si>
  <si>
    <t>912464</t>
  </si>
  <si>
    <t>局の経理事務（一時借入金利息）</t>
  </si>
  <si>
    <t>088402001054000000</t>
  </si>
  <si>
    <t>34007041-000-001-1-0884025400-912464-21</t>
  </si>
  <si>
    <t>4</t>
  </si>
  <si>
    <t>912496</t>
  </si>
  <si>
    <t>34007041-000-002-1-0884025400-912496-21</t>
  </si>
  <si>
    <t>合流管を競輪事務局に売り払いしたもの
管きょの除却費同じ扱いとする
（雨水：汚水　＝　68％：32％）</t>
  </si>
  <si>
    <t>令和５年度経費（雨水・汚水）区分調 (決算・税込み)</t>
    <rPh sb="0" eb="2">
      <t>レイワ</t>
    </rPh>
    <rPh sb="3" eb="5">
      <t>ネンド</t>
    </rPh>
    <phoneticPr fontId="18"/>
  </si>
  <si>
    <t>一般会計負担金分</t>
    <rPh sb="0" eb="7">
      <t>イッパンカイケイフタンキン</t>
    </rPh>
    <rPh sb="7" eb="8">
      <t>ブン</t>
    </rPh>
    <phoneticPr fontId="2"/>
  </si>
  <si>
    <t>決算見込</t>
    <rPh sb="0" eb="4">
      <t>ケッサンミコミ</t>
    </rPh>
    <phoneticPr fontId="2"/>
  </si>
  <si>
    <t>#=SUM('[4-04 集計表.xlsx]3条集計(税抜)'!R24:T24)</t>
  </si>
  <si>
    <t>#=SUM('[4-04 集計表.xlsx]3条集計(税抜)'!R25:T25)</t>
  </si>
  <si>
    <t>#=SUM('[4-04 集計表.xlsx]3条集計(税抜)'!R26:T26)</t>
  </si>
  <si>
    <t>#=SUM('[4-04 集計表.xlsx]3条集計(税抜)'!R27:T27)</t>
  </si>
  <si>
    <t>#=SUM('[4-04 集計表.xlsx]3条集計(税抜)'!R28:T28)</t>
  </si>
  <si>
    <t>#=SUM('[4-04 集計表.xlsx]3条集計(税抜)'!R29:T29)</t>
  </si>
  <si>
    <t>#=SUM('[4-04 集計表.xlsx]3条集計(税抜)'!R30:T30)</t>
  </si>
  <si>
    <t>#=SUM('[4-04 集計表.xlsx]3条集計(税抜)'!R31:T31)</t>
  </si>
  <si>
    <t>#=SUM('[4-04 集計表.xlsx]3条集計(税抜)'!R32:T32)</t>
  </si>
  <si>
    <t>#=SUM('[4-04 集計表.xlsx]3条集計(税抜)'!R33:T33)</t>
  </si>
  <si>
    <t>#=SUM('[4-04 集計表.xlsx]3条集計(税抜)'!R34:T34)</t>
  </si>
  <si>
    <t>#=SUM('[4-04 集計表.xlsx]3条集計(税抜)'!R39:T39)</t>
  </si>
  <si>
    <t>#=SUM('[4-04 集計表.xlsx]3条集計(税抜)'!R40:T40)</t>
  </si>
  <si>
    <t>#=SUM('[4-04 集計表.xlsx]3条集計(税抜)'!R42:T42)</t>
  </si>
  <si>
    <t>#=SUM('[4-04 集計表.xlsx]3条集計(税抜)'!R43:T43)</t>
  </si>
  <si>
    <t>#=SUM('[4-04 集計表.xlsx]3条集計(税抜)'!R44:T44)</t>
  </si>
  <si>
    <t>#=SUM('[4-04 集計表.xlsx]3条集計(税抜)'!R45:T45)</t>
  </si>
  <si>
    <t>#=SUM('[4-04 集計表.xlsx]3条集計(税抜)'!R47:T47)</t>
  </si>
  <si>
    <t>#=SUM('[4-04 集計表.xlsx]3条集計(税抜)'!R5:T5)</t>
  </si>
  <si>
    <t>#=SUM('[4-04 集計表.xlsx]3条集計(税抜)'!R7:T7)</t>
  </si>
  <si>
    <t>#=SUM('[4-04 集計表.xlsx]3条集計(税抜)'!R8:T8)</t>
  </si>
  <si>
    <t>#=SUM('[4-04 集計表.xlsx]3条集計(税抜)'!R9:T9)</t>
  </si>
  <si>
    <t>#=SUM('[4-04 集計表.xlsx]3条集計(税抜)'!R10:T10)</t>
  </si>
  <si>
    <t>#=SUM('[4-04 集計表.xlsx]3条集計(税抜)'!R11:T11)</t>
  </si>
  <si>
    <t>#=SUM('[4-04 集計表.xlsx]3条集計(税抜)'!R17:T17)</t>
  </si>
  <si>
    <t xml:space="preserve">令和５年度広島市の公の施設利用に伴う海田町負担の維持管理費の精算（戻出）        </t>
  </si>
  <si>
    <t>37000674</t>
  </si>
  <si>
    <t>37000674-000-001-1-0482093200-999999-18</t>
  </si>
  <si>
    <t xml:space="preserve">令和５年度広島市の公の施設利用に伴う坂町負担の維持管理費の精算（戻出）          </t>
  </si>
  <si>
    <t>37000675</t>
  </si>
  <si>
    <t>37000675-000-001-1-0482093200-999999-18</t>
  </si>
  <si>
    <t>令和５年度広島市の公の施設利用に伴う府中町負担の維持管理費の精算（施設管理負担金</t>
  </si>
  <si>
    <t>20001627</t>
  </si>
  <si>
    <t>20001627-000-001-1-0482093200-999999-17</t>
  </si>
  <si>
    <t xml:space="preserve">令和５年度広島市の施設利用に伴う廿日市市負担の維持管理費（雨水分）の精算        </t>
  </si>
  <si>
    <t>20001624</t>
  </si>
  <si>
    <t>廿日市市長　松本　太郎</t>
  </si>
  <si>
    <t>20001624-000-001-1-0482093200-999999-17</t>
  </si>
  <si>
    <t xml:space="preserve">令和５年度広島市の施設利用に伴う廿日市市負担の維持管理費（汚水分）の精算        </t>
  </si>
  <si>
    <t>20001625</t>
  </si>
  <si>
    <t>20001625-000-001-1-0482093200-999999-17</t>
  </si>
  <si>
    <t xml:space="preserve">令和５年度府中町大須地区に係る維持管理費の精算（戻出）                          </t>
  </si>
  <si>
    <t>37000676</t>
  </si>
  <si>
    <t>37000676-000-001-1-0482093200-999999-18</t>
  </si>
  <si>
    <t>052002001014010000</t>
  </si>
  <si>
    <t>過誤納還付金０</t>
  </si>
  <si>
    <t>AA</t>
    <phoneticPr fontId="2"/>
  </si>
  <si>
    <t>AA</t>
    <phoneticPr fontId="2"/>
  </si>
  <si>
    <t>雑支出（免税事業者に係る控除不能額）</t>
    <rPh sb="0" eb="1">
      <t>ザツ</t>
    </rPh>
    <rPh sb="1" eb="3">
      <t>シシュツ</t>
    </rPh>
    <rPh sb="4" eb="9">
      <t>メンゼイジギョウシャ</t>
    </rPh>
    <rPh sb="10" eb="11">
      <t>カカ</t>
    </rPh>
    <rPh sb="12" eb="17">
      <t>コウジョフノウガク</t>
    </rPh>
    <phoneticPr fontId="3"/>
  </si>
  <si>
    <t>4月決見</t>
    <rPh sb="1" eb="4">
      <t>ガツケツミ</t>
    </rPh>
    <phoneticPr fontId="2"/>
  </si>
  <si>
    <t>当初予算</t>
    <rPh sb="0" eb="4">
      <t>トウショヨサン</t>
    </rPh>
    <phoneticPr fontId="2"/>
  </si>
  <si>
    <t xml:space="preserve">貸倒引当金（下水道使用料）の計上誤りの修正                                      </t>
  </si>
  <si>
    <t>37000702</t>
  </si>
  <si>
    <t>021502001002001000</t>
  </si>
  <si>
    <t>37000702-000-002-1-0483060700-999999-31</t>
  </si>
  <si>
    <t>37000703</t>
  </si>
  <si>
    <t>37000703-000-002-1-0483060700-999999-31</t>
  </si>
  <si>
    <t>雨水処理負担金</t>
    <rPh sb="0" eb="2">
      <t>ウスイ</t>
    </rPh>
    <rPh sb="2" eb="4">
      <t>ショリ</t>
    </rPh>
    <rPh sb="4" eb="7">
      <t>フタンキン</t>
    </rPh>
    <phoneticPr fontId="2"/>
  </si>
  <si>
    <t>維持管理費分</t>
    <rPh sb="0" eb="2">
      <t>イジ</t>
    </rPh>
    <rPh sb="2" eb="5">
      <t>カンリヒ</t>
    </rPh>
    <rPh sb="5" eb="6">
      <t>ブン</t>
    </rPh>
    <phoneticPr fontId="2"/>
  </si>
  <si>
    <t>負担金</t>
    <rPh sb="0" eb="3">
      <t>フタンキン</t>
    </rPh>
    <phoneticPr fontId="2"/>
  </si>
  <si>
    <t>汚水処理補助金</t>
    <rPh sb="0" eb="2">
      <t>オスイ</t>
    </rPh>
    <rPh sb="2" eb="4">
      <t>ショリ</t>
    </rPh>
    <rPh sb="4" eb="7">
      <t>ホジョキン</t>
    </rPh>
    <phoneticPr fontId="2"/>
  </si>
  <si>
    <t>国庫補助金</t>
    <rPh sb="0" eb="2">
      <t>コッコ</t>
    </rPh>
    <rPh sb="2" eb="5">
      <t>ホジョキン</t>
    </rPh>
    <phoneticPr fontId="2"/>
  </si>
  <si>
    <t>管路等・一般</t>
    <rPh sb="0" eb="1">
      <t>カン</t>
    </rPh>
    <rPh sb="1" eb="2">
      <t>ロ</t>
    </rPh>
    <rPh sb="2" eb="3">
      <t>トウ</t>
    </rPh>
    <rPh sb="4" eb="6">
      <t>イッパン</t>
    </rPh>
    <phoneticPr fontId="2"/>
  </si>
  <si>
    <t>管路等・用地国債</t>
    <rPh sb="0" eb="1">
      <t>カン</t>
    </rPh>
    <rPh sb="1" eb="2">
      <t>ロ</t>
    </rPh>
    <rPh sb="2" eb="3">
      <t>トウ</t>
    </rPh>
    <rPh sb="4" eb="6">
      <t>ヨウチ</t>
    </rPh>
    <rPh sb="6" eb="8">
      <t>コクサイ</t>
    </rPh>
    <phoneticPr fontId="2"/>
  </si>
  <si>
    <t>管路等・特債</t>
    <rPh sb="0" eb="1">
      <t>カン</t>
    </rPh>
    <rPh sb="1" eb="2">
      <t>ロ</t>
    </rPh>
    <rPh sb="2" eb="3">
      <t>トウ</t>
    </rPh>
    <rPh sb="4" eb="5">
      <t>トク</t>
    </rPh>
    <rPh sb="5" eb="6">
      <t>サイ</t>
    </rPh>
    <phoneticPr fontId="2"/>
  </si>
  <si>
    <t>処理場・一般・高率</t>
    <rPh sb="0" eb="3">
      <t>ショリジョウ</t>
    </rPh>
    <rPh sb="4" eb="6">
      <t>イッパン</t>
    </rPh>
    <rPh sb="7" eb="9">
      <t>コウリツ</t>
    </rPh>
    <phoneticPr fontId="2"/>
  </si>
  <si>
    <t>処理場・一般・低率</t>
    <rPh sb="0" eb="3">
      <t>ショリジョウ</t>
    </rPh>
    <rPh sb="4" eb="6">
      <t>イッパン</t>
    </rPh>
    <rPh sb="7" eb="8">
      <t>テイ</t>
    </rPh>
    <rPh sb="8" eb="9">
      <t>コウリツ</t>
    </rPh>
    <phoneticPr fontId="2"/>
  </si>
  <si>
    <t>処理場・用地国債</t>
    <rPh sb="0" eb="3">
      <t>ショリジョウ</t>
    </rPh>
    <rPh sb="4" eb="6">
      <t>ヨウチ</t>
    </rPh>
    <rPh sb="6" eb="8">
      <t>コクサイ</t>
    </rPh>
    <phoneticPr fontId="2"/>
  </si>
  <si>
    <t>処理場・特債・高率</t>
    <rPh sb="0" eb="3">
      <t>ショリジョウ</t>
    </rPh>
    <rPh sb="4" eb="5">
      <t>トク</t>
    </rPh>
    <rPh sb="5" eb="6">
      <t>サイ</t>
    </rPh>
    <rPh sb="7" eb="9">
      <t>コウリツ</t>
    </rPh>
    <phoneticPr fontId="2"/>
  </si>
  <si>
    <t>処理場・特債・低率</t>
    <rPh sb="0" eb="3">
      <t>ショリジョウ</t>
    </rPh>
    <rPh sb="4" eb="5">
      <t>トク</t>
    </rPh>
    <rPh sb="5" eb="6">
      <t>サイ</t>
    </rPh>
    <rPh sb="7" eb="8">
      <t>テイ</t>
    </rPh>
    <rPh sb="8" eb="9">
      <t>コウリツ</t>
    </rPh>
    <phoneticPr fontId="2"/>
  </si>
  <si>
    <t>過年度補助金</t>
    <rPh sb="0" eb="3">
      <t>カネンド</t>
    </rPh>
    <rPh sb="3" eb="6">
      <t>ホジョキン</t>
    </rPh>
    <phoneticPr fontId="2"/>
  </si>
  <si>
    <t>(単位：円)</t>
    <rPh sb="1" eb="3">
      <t>タンイ</t>
    </rPh>
    <rPh sb="4" eb="5">
      <t>エン</t>
    </rPh>
    <phoneticPr fontId="2"/>
  </si>
  <si>
    <t>区分</t>
    <rPh sb="0" eb="2">
      <t>クブン</t>
    </rPh>
    <phoneticPr fontId="2"/>
  </si>
  <si>
    <t>特定収入</t>
    <rPh sb="0" eb="2">
      <t>トクテイ</t>
    </rPh>
    <rPh sb="2" eb="4">
      <t>シュウニュウ</t>
    </rPh>
    <phoneticPr fontId="2"/>
  </si>
  <si>
    <t>特定収入
以外</t>
  </si>
  <si>
    <t>減価償却費分</t>
    <rPh sb="0" eb="2">
      <t>ゲンカ</t>
    </rPh>
    <rPh sb="2" eb="4">
      <t>ショウキャク</t>
    </rPh>
    <rPh sb="4" eb="5">
      <t>ヒ</t>
    </rPh>
    <rPh sb="5" eb="6">
      <t>ブン</t>
    </rPh>
    <phoneticPr fontId="2"/>
  </si>
  <si>
    <t>水質指導費負担金</t>
    <rPh sb="0" eb="2">
      <t>スイシツ</t>
    </rPh>
    <rPh sb="2" eb="4">
      <t>シドウ</t>
    </rPh>
    <rPh sb="4" eb="5">
      <t>ヒ</t>
    </rPh>
    <rPh sb="5" eb="8">
      <t>フタンキン</t>
    </rPh>
    <phoneticPr fontId="2"/>
  </si>
  <si>
    <t>普及促進費負担金</t>
    <rPh sb="0" eb="2">
      <t>フキュウ</t>
    </rPh>
    <rPh sb="2" eb="5">
      <t>ソクシンヒ</t>
    </rPh>
    <rPh sb="5" eb="8">
      <t>フタンキン</t>
    </rPh>
    <phoneticPr fontId="2"/>
  </si>
  <si>
    <t>貸付事業費負担金</t>
    <rPh sb="0" eb="2">
      <t>カシツケ</t>
    </rPh>
    <rPh sb="2" eb="5">
      <t>ジギョウヒ</t>
    </rPh>
    <rPh sb="5" eb="8">
      <t>フタンキン</t>
    </rPh>
    <phoneticPr fontId="2"/>
  </si>
  <si>
    <t>国庫補助金</t>
    <rPh sb="0" eb="2">
      <t>コッコ</t>
    </rPh>
    <rPh sb="2" eb="5">
      <t>ホジョキン</t>
    </rPh>
    <phoneticPr fontId="2"/>
  </si>
  <si>
    <t>他会計負担金</t>
    <rPh sb="0" eb="1">
      <t>タカイ</t>
    </rPh>
    <rPh sb="1" eb="3">
      <t>カイケイ</t>
    </rPh>
    <rPh sb="3" eb="6">
      <t>フタンキン</t>
    </rPh>
    <phoneticPr fontId="2"/>
  </si>
  <si>
    <t>一般会計補助金</t>
    <rPh sb="0" eb="2">
      <t>イッパン</t>
    </rPh>
    <rPh sb="2" eb="4">
      <t>カイケイ</t>
    </rPh>
    <rPh sb="4" eb="7">
      <t>ホジョキン</t>
    </rPh>
    <phoneticPr fontId="2"/>
  </si>
  <si>
    <t>使用料減免分</t>
    <rPh sb="0" eb="2">
      <t>シヨウ</t>
    </rPh>
    <rPh sb="2" eb="3">
      <t>リョウ</t>
    </rPh>
    <rPh sb="3" eb="5">
      <t>ゲンメン</t>
    </rPh>
    <rPh sb="5" eb="6">
      <t>ブン</t>
    </rPh>
    <phoneticPr fontId="2"/>
  </si>
  <si>
    <t>計</t>
    <rPh sb="0" eb="1">
      <t>ケイ</t>
    </rPh>
    <phoneticPr fontId="2"/>
  </si>
  <si>
    <t>一般会計負担金</t>
    <rPh sb="0" eb="2">
      <t>イッパン</t>
    </rPh>
    <rPh sb="2" eb="4">
      <t>カイケイ</t>
    </rPh>
    <rPh sb="4" eb="7">
      <t>フタンキン</t>
    </rPh>
    <phoneticPr fontId="2"/>
  </si>
  <si>
    <t>減価償却費分</t>
    <rPh sb="0" eb="2">
      <t>ゲンカ</t>
    </rPh>
    <rPh sb="2" eb="4">
      <t>ショウキャク</t>
    </rPh>
    <rPh sb="4" eb="5">
      <t>ヒ</t>
    </rPh>
    <rPh sb="5" eb="6">
      <t>ブン</t>
    </rPh>
    <phoneticPr fontId="2"/>
  </si>
  <si>
    <t>管路等・促進・工事国債</t>
    <rPh sb="0" eb="1">
      <t>カン</t>
    </rPh>
    <rPh sb="1" eb="2">
      <t>ロ</t>
    </rPh>
    <rPh sb="2" eb="3">
      <t>トウ</t>
    </rPh>
    <rPh sb="4" eb="6">
      <t>ソクシン</t>
    </rPh>
    <rPh sb="7" eb="9">
      <t>コウジ</t>
    </rPh>
    <rPh sb="9" eb="11">
      <t>コクサイ</t>
    </rPh>
    <phoneticPr fontId="2"/>
  </si>
  <si>
    <t>受益者負担金</t>
    <rPh sb="0" eb="3">
      <t>ジュエキシャ</t>
    </rPh>
    <rPh sb="3" eb="6">
      <t>フタンキン</t>
    </rPh>
    <phoneticPr fontId="2"/>
  </si>
  <si>
    <t>公共下水道
起債事業充当分</t>
    <rPh sb="0" eb="2">
      <t>コウキョウ</t>
    </rPh>
    <rPh sb="2" eb="5">
      <t>ゲスイドウ</t>
    </rPh>
    <rPh sb="6" eb="8">
      <t>キサイ</t>
    </rPh>
    <rPh sb="8" eb="10">
      <t>ジギョウ</t>
    </rPh>
    <rPh sb="10" eb="12">
      <t>ジュウトウ</t>
    </rPh>
    <rPh sb="12" eb="13">
      <t>ブン</t>
    </rPh>
    <phoneticPr fontId="2"/>
  </si>
  <si>
    <t>工事負担金</t>
    <rPh sb="0" eb="2">
      <t>コウジ</t>
    </rPh>
    <rPh sb="2" eb="5">
      <t>フタンキン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</si>
  <si>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</si>
  <si>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計</t>
    <rPh sb="0" eb="1">
      <t>ケイ</t>
    </rPh>
    <phoneticPr fontId="2"/>
  </si>
  <si>
    <t>合計</t>
    <rPh sb="0" eb="2">
      <t>ゴウケイ</t>
    </rPh>
    <phoneticPr fontId="2"/>
  </si>
  <si>
    <t>雨水施設に係る
減価償却費分</t>
    <rPh sb="0" eb="2">
      <t>ウスイ</t>
    </rPh>
    <rPh sb="2" eb="4">
      <t>シセツ</t>
    </rPh>
    <rPh sb="5" eb="6">
      <t>カカ</t>
    </rPh>
    <rPh sb="8" eb="10">
      <t>ゲンカ</t>
    </rPh>
    <rPh sb="10" eb="12">
      <t>ショウキャク</t>
    </rPh>
    <rPh sb="12" eb="13">
      <t>カンリヒ</t>
    </rPh>
    <rPh sb="13" eb="14">
      <t>ブン</t>
    </rPh>
    <phoneticPr fontId="2"/>
  </si>
  <si>
    <t>下水道緊急整備費に
対する利子補給</t>
    <rPh sb="0" eb="3">
      <t>ゲスイドウ</t>
    </rPh>
    <rPh sb="3" eb="5">
      <t>キンキュウ</t>
    </rPh>
    <rPh sb="5" eb="8">
      <t>セイビヒ</t>
    </rPh>
    <rPh sb="10" eb="11">
      <t>タイ</t>
    </rPh>
    <rPh sb="13" eb="15">
      <t>リシ</t>
    </rPh>
    <rPh sb="15" eb="17">
      <t>ホキュウ</t>
    </rPh>
    <phoneticPr fontId="2"/>
  </si>
  <si>
    <t>元金償還金充当分</t>
    <rPh sb="0" eb="2">
      <t>ガンキン</t>
    </rPh>
    <rPh sb="2" eb="5">
      <t>ショウカンキン</t>
    </rPh>
    <rPh sb="5" eb="7">
      <t>ジュウトウ</t>
    </rPh>
    <rPh sb="7" eb="8">
      <t>ブン</t>
    </rPh>
    <phoneticPr fontId="2"/>
  </si>
  <si>
    <t>起債年度の課税支出割合</t>
    <rPh sb="0" eb="2">
      <t>キサイ</t>
    </rPh>
    <rPh sb="2" eb="4">
      <t>ネンド</t>
    </rPh>
    <rPh sb="5" eb="7">
      <t>カゼイ</t>
    </rPh>
    <rPh sb="7" eb="9">
      <t>シシュツ</t>
    </rPh>
    <rPh sb="9" eb="11">
      <t>ワリアイ</t>
    </rPh>
    <phoneticPr fontId="2"/>
  </si>
  <si>
    <t xml:space="preserve">
公
共
下
水
道</t>
    <rPh sb="1" eb="5">
      <t>コウキョウ</t>
    </rPh>
    <rPh sb="7" eb="14">
      <t>ゲスイドウ</t>
    </rPh>
    <phoneticPr fontId="2"/>
  </si>
  <si>
    <t>区分</t>
    <rPh sb="0" eb="2">
      <t>クブン</t>
    </rPh>
    <phoneticPr fontId="2"/>
  </si>
  <si>
    <t>特定収入</t>
    <rPh sb="0" eb="2">
      <t>トクテイ</t>
    </rPh>
    <rPh sb="2" eb="4">
      <t>シュウニュウ</t>
    </rPh>
    <phoneticPr fontId="2"/>
  </si>
  <si>
    <t>区分</t>
    <rPh sb="0" eb="2">
      <t>クブン</t>
    </rPh>
    <phoneticPr fontId="2"/>
  </si>
  <si>
    <t>対象経費</t>
    <rPh sb="0" eb="2">
      <t>タイショウ</t>
    </rPh>
    <rPh sb="2" eb="4">
      <t>ケイヒ</t>
    </rPh>
    <phoneticPr fontId="2"/>
  </si>
  <si>
    <t>按分方法</t>
    <rPh sb="0" eb="2">
      <t>アンブン</t>
    </rPh>
    <rPh sb="2" eb="4">
      <t>ホウホウ</t>
    </rPh>
    <phoneticPr fontId="2"/>
  </si>
  <si>
    <t>特定収入
以外</t>
    <rPh sb="0" eb="2">
      <t>トクテイ</t>
    </rPh>
    <rPh sb="2" eb="4">
      <t>シュウニュウ</t>
    </rPh>
    <rPh sb="5" eb="7">
      <t>イガイ</t>
    </rPh>
    <phoneticPr fontId="2"/>
  </si>
  <si>
    <t>不課税収入額</t>
    <rPh sb="0" eb="1">
      <t>フ</t>
    </rPh>
    <rPh sb="1" eb="3">
      <t>カゼイ</t>
    </rPh>
    <rPh sb="3" eb="5">
      <t>シュウニュウ</t>
    </rPh>
    <rPh sb="5" eb="6">
      <t>キンガク</t>
    </rPh>
    <phoneticPr fontId="2"/>
  </si>
  <si>
    <t>区分</t>
  </si>
  <si>
    <t>特定収入</t>
    <rPh sb="0" eb="2">
      <t>トクテイ</t>
    </rPh>
    <rPh sb="2" eb="4">
      <t>シュウニュウ</t>
    </rPh>
    <phoneticPr fontId="2"/>
  </si>
  <si>
    <t>特定収入
以外</t>
    <rPh sb="0" eb="2">
      <t>トクテイ</t>
    </rPh>
    <rPh sb="2" eb="4">
      <t>シュウニュウ</t>
    </rPh>
    <rPh sb="5" eb="7">
      <t>イガイ</t>
    </rPh>
    <phoneticPr fontId="2"/>
  </si>
  <si>
    <t>一般会計負担金</t>
    <rPh sb="0" eb="2">
      <t>イッパン</t>
    </rPh>
    <rPh sb="2" eb="4">
      <t>カイケイ</t>
    </rPh>
    <rPh sb="4" eb="7">
      <t>フタンキン</t>
    </rPh>
    <phoneticPr fontId="2"/>
  </si>
  <si>
    <t>雨水処理に係る維持管理費
の課税支出割合</t>
    <rPh sb="14" eb="16">
      <t>カゼイ</t>
    </rPh>
    <rPh sb="16" eb="18">
      <t>シシュツ</t>
    </rPh>
    <rPh sb="18" eb="20">
      <t>ワリアイ</t>
    </rPh>
    <phoneticPr fontId="2"/>
  </si>
  <si>
    <t>支払利息分</t>
    <rPh sb="0" eb="2">
      <t>シハライ</t>
    </rPh>
    <rPh sb="2" eb="4">
      <t>リソク</t>
    </rPh>
    <rPh sb="4" eb="5">
      <t>ブン</t>
    </rPh>
    <phoneticPr fontId="2"/>
  </si>
  <si>
    <t>雨水施設に係る
支払利息等充当分</t>
    <rPh sb="0" eb="2">
      <t>ウスイ</t>
    </rPh>
    <rPh sb="2" eb="4">
      <t>シセツ</t>
    </rPh>
    <rPh sb="5" eb="6">
      <t>カカ</t>
    </rPh>
    <rPh sb="8" eb="10">
      <t>シハライ</t>
    </rPh>
    <rPh sb="10" eb="12">
      <t>リソク</t>
    </rPh>
    <rPh sb="12" eb="13">
      <t>トウ</t>
    </rPh>
    <rPh sb="13" eb="15">
      <t>ジュウトウ</t>
    </rPh>
    <rPh sb="15" eb="16">
      <t>ブン</t>
    </rPh>
    <phoneticPr fontId="2"/>
  </si>
  <si>
    <t>水質指導費負担金</t>
    <rPh sb="0" eb="2">
      <t>スイシツ</t>
    </rPh>
    <rPh sb="2" eb="4">
      <t>シドウ</t>
    </rPh>
    <rPh sb="4" eb="5">
      <t>ヒ</t>
    </rPh>
    <rPh sb="5" eb="8">
      <t>フタンキン</t>
    </rPh>
    <phoneticPr fontId="2"/>
  </si>
  <si>
    <t>水質規制に係る経費</t>
    <rPh sb="0" eb="2">
      <t>スイシツ</t>
    </rPh>
    <rPh sb="2" eb="4">
      <t>キセイ</t>
    </rPh>
    <rPh sb="5" eb="6">
      <t>カカ</t>
    </rPh>
    <rPh sb="7" eb="9">
      <t>ケイヒ</t>
    </rPh>
    <phoneticPr fontId="2"/>
  </si>
  <si>
    <t>水質規制に係る経費の
課税支出割合</t>
    <rPh sb="11" eb="13">
      <t>カゼイ</t>
    </rPh>
    <rPh sb="13" eb="15">
      <t>シシュツ</t>
    </rPh>
    <rPh sb="15" eb="17">
      <t>ワリアイ</t>
    </rPh>
    <phoneticPr fontId="2"/>
  </si>
  <si>
    <t>普及促進費負担金</t>
    <rPh sb="0" eb="2">
      <t>フキュウ</t>
    </rPh>
    <rPh sb="2" eb="5">
      <t>ソクシンヒ</t>
    </rPh>
    <rPh sb="5" eb="8">
      <t>フタンキン</t>
    </rPh>
    <phoneticPr fontId="2"/>
  </si>
  <si>
    <t>水洗化普及促進に係る経費</t>
    <rPh sb="0" eb="3">
      <t>スイセンカ</t>
    </rPh>
    <rPh sb="3" eb="5">
      <t>フキュウ</t>
    </rPh>
    <rPh sb="5" eb="7">
      <t>ソクシン</t>
    </rPh>
    <rPh sb="8" eb="9">
      <t>カカ</t>
    </rPh>
    <rPh sb="10" eb="12">
      <t>ケイヒ</t>
    </rPh>
    <phoneticPr fontId="2"/>
  </si>
  <si>
    <t>水洗化普及促進に係る経費
の課税支出割合</t>
    <rPh sb="14" eb="16">
      <t>カゼイ</t>
    </rPh>
    <rPh sb="16" eb="18">
      <t>シシュツ</t>
    </rPh>
    <rPh sb="18" eb="20">
      <t>ワリアイ</t>
    </rPh>
    <phoneticPr fontId="2"/>
  </si>
  <si>
    <t>水洗化貸付業務に係る経費</t>
    <rPh sb="0" eb="3">
      <t>スイセンカ</t>
    </rPh>
    <rPh sb="3" eb="5">
      <t>カシツケ</t>
    </rPh>
    <rPh sb="5" eb="7">
      <t>ギョウム</t>
    </rPh>
    <rPh sb="8" eb="9">
      <t>カカ</t>
    </rPh>
    <rPh sb="10" eb="12">
      <t>ケイヒ</t>
    </rPh>
    <phoneticPr fontId="2"/>
  </si>
  <si>
    <t>区分</t>
    <rPh sb="0" eb="2">
      <t>クブン</t>
    </rPh>
    <phoneticPr fontId="2"/>
  </si>
  <si>
    <t>雨水処理に係る
維持管理費分</t>
    <rPh sb="0" eb="2">
      <t>ウスイ</t>
    </rPh>
    <rPh sb="2" eb="4">
      <t>ショリ</t>
    </rPh>
    <rPh sb="5" eb="6">
      <t>カカ</t>
    </rPh>
    <rPh sb="8" eb="10">
      <t>イジ</t>
    </rPh>
    <rPh sb="10" eb="13">
      <t>カンリヒ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</si>
  <si>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</si>
  <si>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課税支出額</t>
  </si>
  <si>
    <t>課税支出額</t>
    <rPh sb="0" eb="2">
      <t>カゼイ</t>
    </rPh>
    <rPh sb="2" eb="4">
      <t>シシュツ</t>
    </rPh>
    <rPh sb="4" eb="5">
      <t>ガク</t>
    </rPh>
    <phoneticPr fontId="2"/>
  </si>
  <si>
    <t>支出額合計</t>
  </si>
  <si>
    <t>支出額合計</t>
    <rPh sb="0" eb="2">
      <t>シシュツ</t>
    </rPh>
    <rPh sb="2" eb="3">
      <t>ガク</t>
    </rPh>
    <rPh sb="3" eb="5">
      <t>ゴウケイ</t>
    </rPh>
    <phoneticPr fontId="2"/>
  </si>
  <si>
    <t>支出額合計</t>
    <rPh sb="0" eb="2">
      <t>シシュツ</t>
    </rPh>
    <rPh sb="2" eb="3">
      <t>ガク</t>
    </rPh>
    <rPh sb="3" eb="5">
      <t>ゴウケイ</t>
    </rPh>
    <phoneticPr fontId="2"/>
  </si>
  <si>
    <t>汚水施設に係る
支払利息等充当分</t>
    <rPh sb="0" eb="2">
      <t>オスイ</t>
    </rPh>
    <rPh sb="2" eb="4">
      <t>シセツ</t>
    </rPh>
    <rPh sb="5" eb="6">
      <t>カカ</t>
    </rPh>
    <rPh sb="8" eb="10">
      <t>シハライ</t>
    </rPh>
    <rPh sb="10" eb="12">
      <t>リソク</t>
    </rPh>
    <rPh sb="12" eb="13">
      <t>トウ</t>
    </rPh>
    <rPh sb="13" eb="15">
      <t>ジュウトウ</t>
    </rPh>
    <rPh sb="15" eb="16">
      <t>ブン</t>
    </rPh>
    <phoneticPr fontId="2"/>
  </si>
  <si>
    <t>使用料減免分</t>
    <rPh sb="0" eb="2">
      <t>シヨウ</t>
    </rPh>
    <rPh sb="2" eb="3">
      <t>リョウ</t>
    </rPh>
    <rPh sb="3" eb="5">
      <t>ゲンメン</t>
    </rPh>
    <rPh sb="5" eb="6">
      <t>ブン</t>
    </rPh>
    <phoneticPr fontId="2"/>
  </si>
  <si>
    <t>下水道使用料減免分</t>
    <rPh sb="0" eb="3">
      <t>ゲスイドウ</t>
    </rPh>
    <rPh sb="3" eb="5">
      <t>シヨウ</t>
    </rPh>
    <rPh sb="5" eb="6">
      <t>リョウ</t>
    </rPh>
    <rPh sb="6" eb="8">
      <t>ゲンメン</t>
    </rPh>
    <rPh sb="8" eb="9">
      <t>ブン</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</si>
  <si>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</si>
  <si>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</si>
  <si>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</si>
  <si>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</si>
  <si>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一般会計補助金</t>
    <rPh sb="0" eb="2">
      <t>イッパン</t>
    </rPh>
    <rPh sb="2" eb="4">
      <t>カイケイ</t>
    </rPh>
    <rPh sb="4" eb="7">
      <t>ホジョキン</t>
    </rPh>
    <phoneticPr fontId="2"/>
  </si>
  <si>
    <t>減価償却費分</t>
    <rPh sb="0" eb="2">
      <t>ゲンカ</t>
    </rPh>
    <rPh sb="2" eb="4">
      <t>ショウキャク</t>
    </rPh>
    <rPh sb="4" eb="5">
      <t>ヒ</t>
    </rPh>
    <rPh sb="5" eb="6">
      <t>ブン</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</si>
  <si>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</si>
  <si>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起債年度の課税支出割合
(別紙算出表)</t>
    <rPh sb="0" eb="2">
      <t>キサイ</t>
    </rPh>
    <rPh sb="2" eb="4">
      <t>ネンド</t>
    </rPh>
    <rPh sb="5" eb="7">
      <t>カゼイ</t>
    </rPh>
    <rPh sb="7" eb="9">
      <t>シシュツ</t>
    </rPh>
    <rPh sb="9" eb="11">
      <t>ワリアイ</t>
    </rPh>
    <rPh sb="13" eb="15">
      <t>ベッシ</t>
    </rPh>
    <rPh sb="15" eb="17">
      <t>サンシュツ</t>
    </rPh>
    <rPh sb="17" eb="18">
      <t>ヒョウ</t>
    </rPh>
    <phoneticPr fontId="2"/>
  </si>
  <si>
    <t>課税支出割合</t>
    <rPh sb="0" eb="2">
      <t>カゼイ</t>
    </rPh>
    <rPh sb="2" eb="4">
      <t>シシュツ</t>
    </rPh>
    <rPh sb="4" eb="6">
      <t>ワリアイ</t>
    </rPh>
    <phoneticPr fontId="2"/>
  </si>
  <si>
    <t>非課税支出額</t>
    <rPh sb="0" eb="3">
      <t>ヒカゼイ</t>
    </rPh>
    <rPh sb="3" eb="5">
      <t>シシュツ</t>
    </rPh>
    <rPh sb="5" eb="6">
      <t>ガク</t>
    </rPh>
    <phoneticPr fontId="2"/>
  </si>
  <si>
    <t>不課税支出額</t>
    <rPh sb="0" eb="1">
      <t>フ</t>
    </rPh>
    <rPh sb="1" eb="3">
      <t>カゼイ</t>
    </rPh>
    <rPh sb="3" eb="5">
      <t>シシュツ</t>
    </rPh>
    <rPh sb="5" eb="6">
      <t>ガク</t>
    </rPh>
    <phoneticPr fontId="2"/>
  </si>
  <si>
    <t>支出額合計</t>
    <rPh sb="0" eb="2">
      <t>シシュツ</t>
    </rPh>
    <rPh sb="2" eb="3">
      <t>ガク</t>
    </rPh>
    <rPh sb="3" eb="5">
      <t>ゴウケイ</t>
    </rPh>
    <phoneticPr fontId="2"/>
  </si>
  <si>
    <t>収益的支出</t>
    <rPh sb="0" eb="3">
      <t>シュウエキテキ</t>
    </rPh>
    <rPh sb="3" eb="5">
      <t>シシュツ</t>
    </rPh>
    <phoneticPr fontId="2"/>
  </si>
  <si>
    <t>資本的支出</t>
    <rPh sb="0" eb="3">
      <t>シホンテキ</t>
    </rPh>
    <rPh sb="3" eb="5">
      <t>シシュツ</t>
    </rPh>
    <phoneticPr fontId="2"/>
  </si>
  <si>
    <t>合計</t>
  </si>
  <si>
    <t>合計</t>
    <rPh sb="0" eb="2">
      <t>ゴウケイ</t>
    </rPh>
    <phoneticPr fontId="2"/>
  </si>
  <si>
    <t>元金</t>
  </si>
  <si>
    <t>起債償還額</t>
  </si>
  <si>
    <t>特定収入</t>
  </si>
  <si>
    <t>普通交付税
相当額</t>
  </si>
  <si>
    <t>年度</t>
  </si>
  <si>
    <t>計</t>
  </si>
  <si>
    <t>元金分普通
交付税相当額</t>
  </si>
  <si>
    <t>元金</t>
    <rPh sb="0" eb="2">
      <t>ガンキン</t>
    </rPh>
    <phoneticPr fontId="2"/>
  </si>
  <si>
    <t>合計</t>
    <rPh sb="0" eb="2">
      <t>ゴウケイ</t>
    </rPh>
    <phoneticPr fontId="2"/>
  </si>
  <si>
    <t>(単位：円)</t>
    <rPh sb="1" eb="3">
      <t>タンイ</t>
    </rPh>
    <rPh sb="4" eb="5">
      <t>エン</t>
    </rPh>
    <phoneticPr fontId="2"/>
  </si>
  <si>
    <t>起債償還額</t>
    <rPh sb="0" eb="2">
      <t>キサイ</t>
    </rPh>
    <rPh sb="2" eb="4">
      <t>ショウカン</t>
    </rPh>
    <rPh sb="4" eb="5">
      <t>ガク</t>
    </rPh>
    <phoneticPr fontId="2"/>
  </si>
  <si>
    <t>普通交付税
相当額</t>
    <rPh sb="0" eb="2">
      <t>フツウ</t>
    </rPh>
    <rPh sb="2" eb="5">
      <t>コウフゼイ</t>
    </rPh>
    <rPh sb="6" eb="8">
      <t>ソウトウ</t>
    </rPh>
    <rPh sb="8" eb="9">
      <t>ガク</t>
    </rPh>
    <phoneticPr fontId="2"/>
  </si>
  <si>
    <t>元金分普通
交付税相当額</t>
    <rPh sb="0" eb="2">
      <t>ガンキン</t>
    </rPh>
    <rPh sb="2" eb="3">
      <t>ブン</t>
    </rPh>
    <rPh sb="3" eb="5">
      <t>フツウ</t>
    </rPh>
    <rPh sb="6" eb="9">
      <t>コウフゼイ</t>
    </rPh>
    <rPh sb="9" eb="11">
      <t>ソウトウ</t>
    </rPh>
    <rPh sb="11" eb="12">
      <t>ガク</t>
    </rPh>
    <phoneticPr fontId="2"/>
  </si>
  <si>
    <t>海田町</t>
    <rPh sb="0" eb="3">
      <t>カイタチョウ</t>
    </rPh>
    <phoneticPr fontId="2"/>
  </si>
  <si>
    <t>海田地区</t>
    <rPh sb="0" eb="2">
      <t>カイタ</t>
    </rPh>
    <rPh sb="2" eb="4">
      <t>チク</t>
    </rPh>
    <phoneticPr fontId="2"/>
  </si>
  <si>
    <t>府中町</t>
    <rPh sb="0" eb="3">
      <t>フチュウチョウ</t>
    </rPh>
    <phoneticPr fontId="2"/>
  </si>
  <si>
    <t>青崎地区</t>
    <rPh sb="0" eb="2">
      <t>アオサキ</t>
    </rPh>
    <rPh sb="2" eb="4">
      <t>チク</t>
    </rPh>
    <phoneticPr fontId="2"/>
  </si>
  <si>
    <t>大須地区</t>
    <rPh sb="0" eb="2">
      <t>オオス</t>
    </rPh>
    <rPh sb="2" eb="4">
      <t>チク</t>
    </rPh>
    <phoneticPr fontId="2"/>
  </si>
  <si>
    <t>廿日市市</t>
    <rPh sb="0" eb="4">
      <t>ハツカイチシ</t>
    </rPh>
    <phoneticPr fontId="2"/>
  </si>
  <si>
    <t>合計</t>
    <rPh sb="0" eb="2">
      <t>ゴウケイ</t>
    </rPh>
    <phoneticPr fontId="2"/>
  </si>
  <si>
    <t>大須地区(共通分）</t>
    <rPh sb="0" eb="2">
      <t>オオス</t>
    </rPh>
    <rPh sb="2" eb="4">
      <t>チク</t>
    </rPh>
    <rPh sb="5" eb="7">
      <t>キョウツウ</t>
    </rPh>
    <rPh sb="7" eb="8">
      <t>ブン</t>
    </rPh>
    <phoneticPr fontId="2"/>
  </si>
  <si>
    <t xml:space="preserve">
９
月
分</t>
  </si>
  <si>
    <t>支払利息分</t>
    <rPh sb="0" eb="2">
      <t>シハライ</t>
    </rPh>
    <rPh sb="2" eb="4">
      <t>リソク</t>
    </rPh>
    <rPh sb="4" eb="5">
      <t>ブン</t>
    </rPh>
    <phoneticPr fontId="2"/>
  </si>
  <si>
    <t>その他(特定収入以外)</t>
    <rPh sb="0" eb="3">
      <t>ソノタ</t>
    </rPh>
    <rPh sb="4" eb="6">
      <t>トクテイ</t>
    </rPh>
    <rPh sb="6" eb="8">
      <t>シュウニュウ</t>
    </rPh>
    <rPh sb="8" eb="10">
      <t>イガイ</t>
    </rPh>
    <phoneticPr fontId="2"/>
  </si>
  <si>
    <t>その他の収益的収入中の不課税収入</t>
    <rPh sb="0" eb="3">
      <t>ソノタ</t>
    </rPh>
    <rPh sb="4" eb="6">
      <t>シュウエキ</t>
    </rPh>
    <rPh sb="6" eb="7">
      <t>テキ</t>
    </rPh>
    <rPh sb="7" eb="9">
      <t>シュウニュウ</t>
    </rPh>
    <rPh sb="9" eb="10">
      <t>チュウ</t>
    </rPh>
    <rPh sb="11" eb="12">
      <t>フ</t>
    </rPh>
    <rPh sb="12" eb="14">
      <t>カゼイ</t>
    </rPh>
    <rPh sb="14" eb="16">
      <t>シュウニュウ</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</si>
  <si>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</si>
  <si>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</si>
  <si>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</si>
  <si>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</si>
  <si>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計</t>
    <rPh sb="0" eb="1">
      <t>ケイ</t>
    </rPh>
    <phoneticPr fontId="2"/>
  </si>
  <si>
    <t>収益的支出の
課税支出割合</t>
    <rPh sb="0" eb="3">
      <t>シュウエキテキ</t>
    </rPh>
    <rPh sb="3" eb="5">
      <t>シシュツ</t>
    </rPh>
    <rPh sb="7" eb="9">
      <t>カゼイ</t>
    </rPh>
    <rPh sb="9" eb="11">
      <t>シシュツ</t>
    </rPh>
    <rPh sb="11" eb="13">
      <t>ワリアイ</t>
    </rPh>
    <phoneticPr fontId="2"/>
  </si>
  <si>
    <t>処理場・特債・高率
(繰越分)</t>
    <rPh sb="0" eb="3">
      <t>ショリジョウ</t>
    </rPh>
    <rPh sb="4" eb="5">
      <t>トク</t>
    </rPh>
    <rPh sb="5" eb="6">
      <t>サイ</t>
    </rPh>
    <rPh sb="7" eb="9">
      <t>コウリツ</t>
    </rPh>
    <rPh sb="11" eb="13">
      <t>クリコシ</t>
    </rPh>
    <rPh sb="13" eb="14">
      <t>ブン</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</si>
  <si>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</si>
  <si>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</si>
  <si>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</si>
  <si>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</si>
  <si>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国庫補助金</t>
    <rPh sb="0" eb="2">
      <t>コッコ</t>
    </rPh>
    <rPh sb="2" eb="5">
      <t>ホジョキン</t>
    </rPh>
    <phoneticPr fontId="2"/>
  </si>
  <si>
    <t xml:space="preserve">
公
共
下
水
道</t>
    <rPh sb="1" eb="5">
      <t>コウキョウ</t>
    </rPh>
    <rPh sb="7" eb="14">
      <t>ゲスイドウ</t>
    </rPh>
    <phoneticPr fontId="2"/>
  </si>
  <si>
    <t>管路等・一般</t>
    <rPh sb="0" eb="1">
      <t>カン</t>
    </rPh>
    <rPh sb="1" eb="2">
      <t>ロ</t>
    </rPh>
    <rPh sb="2" eb="3">
      <t>トウ</t>
    </rPh>
    <rPh sb="4" eb="6">
      <t>イッパン</t>
    </rPh>
    <phoneticPr fontId="2"/>
  </si>
  <si>
    <t>管路等・促進・工事国債</t>
    <rPh sb="0" eb="1">
      <t>カン</t>
    </rPh>
    <rPh sb="1" eb="2">
      <t>ロ</t>
    </rPh>
    <rPh sb="2" eb="3">
      <t>トウ</t>
    </rPh>
    <rPh sb="4" eb="6">
      <t>ソクシン</t>
    </rPh>
    <rPh sb="7" eb="9">
      <t>コウジ</t>
    </rPh>
    <rPh sb="9" eb="11">
      <t>コクサイ</t>
    </rPh>
    <phoneticPr fontId="2"/>
  </si>
  <si>
    <t>管路等・一般(繰越分)</t>
    <rPh sb="0" eb="1">
      <t>カン</t>
    </rPh>
    <rPh sb="1" eb="2">
      <t>ロ</t>
    </rPh>
    <rPh sb="2" eb="3">
      <t>トウ</t>
    </rPh>
    <rPh sb="4" eb="6">
      <t>イッパン</t>
    </rPh>
    <rPh sb="7" eb="9">
      <t>クリコシ</t>
    </rPh>
    <rPh sb="9" eb="10">
      <t>ブン</t>
    </rPh>
    <phoneticPr fontId="2"/>
  </si>
  <si>
    <t>処理場・一般・高率
(繰越分)</t>
    <rPh sb="0" eb="3">
      <t>ショリジョウ</t>
    </rPh>
    <rPh sb="4" eb="6">
      <t>イッパン</t>
    </rPh>
    <rPh sb="7" eb="9">
      <t>コウリツ</t>
    </rPh>
    <rPh sb="11" eb="13">
      <t>クリコシ</t>
    </rPh>
    <rPh sb="13" eb="14">
      <t>ブン</t>
    </rPh>
    <phoneticPr fontId="2"/>
  </si>
  <si>
    <t>補助事業分(現年)</t>
    <rPh sb="0" eb="2">
      <t>ホジョ</t>
    </rPh>
    <rPh sb="2" eb="4">
      <t>ジギョウ</t>
    </rPh>
    <rPh sb="4" eb="5">
      <t>ブン</t>
    </rPh>
    <rPh sb="6" eb="7">
      <t>ゲン</t>
    </rPh>
    <rPh sb="7" eb="8">
      <t>ネン</t>
    </rPh>
    <phoneticPr fontId="2"/>
  </si>
  <si>
    <t>起債事業分(現年)</t>
    <rPh sb="0" eb="2">
      <t>キサイ</t>
    </rPh>
    <rPh sb="2" eb="4">
      <t>ジギョウ</t>
    </rPh>
    <rPh sb="4" eb="5">
      <t>ブン</t>
    </rPh>
    <rPh sb="6" eb="7">
      <t>ゲン</t>
    </rPh>
    <rPh sb="7" eb="8">
      <t>ネン</t>
    </rPh>
    <phoneticPr fontId="2"/>
  </si>
  <si>
    <t>(単位：円)</t>
    <rPh sb="1" eb="3">
      <t>タンイ</t>
    </rPh>
    <rPh sb="4" eb="5">
      <t>エン</t>
    </rPh>
    <phoneticPr fontId="2"/>
  </si>
  <si>
    <t>不課税収入額</t>
    <rPh sb="0" eb="1">
      <t>フ</t>
    </rPh>
    <rPh sb="1" eb="3">
      <t>カゼイ</t>
    </rPh>
    <rPh sb="3" eb="5">
      <t>シュウニュウ</t>
    </rPh>
    <rPh sb="5" eb="6">
      <t>キンガク</t>
    </rPh>
    <phoneticPr fontId="2"/>
  </si>
  <si>
    <t>受益者負担金</t>
    <rPh sb="0" eb="3">
      <t>ジュエキシャ</t>
    </rPh>
    <rPh sb="3" eb="6">
      <t>フタンキン</t>
    </rPh>
    <phoneticPr fontId="2"/>
  </si>
  <si>
    <t>公共下水道
補助事業充当分</t>
    <rPh sb="0" eb="2">
      <t>コウキョウ</t>
    </rPh>
    <rPh sb="2" eb="5">
      <t>ゲスイドウ</t>
    </rPh>
    <rPh sb="6" eb="8">
      <t>ホジョ</t>
    </rPh>
    <rPh sb="8" eb="10">
      <t>ジギョウ</t>
    </rPh>
    <rPh sb="10" eb="12">
      <t>ジュウトウ</t>
    </rPh>
    <rPh sb="12" eb="13">
      <t>トウブン</t>
    </rPh>
    <phoneticPr fontId="2"/>
  </si>
  <si>
    <t>区分</t>
    <rPh sb="0" eb="2">
      <t>クブン</t>
    </rPh>
    <phoneticPr fontId="2"/>
  </si>
  <si>
    <t>支出額</t>
    <rPh sb="0" eb="2">
      <t>シシュツ</t>
    </rPh>
    <rPh sb="2" eb="3">
      <t>ガク</t>
    </rPh>
    <phoneticPr fontId="2"/>
  </si>
  <si>
    <t>受益者負担金の事業別金額</t>
    <rPh sb="0" eb="3">
      <t>ジュエキシャ</t>
    </rPh>
    <rPh sb="3" eb="6">
      <t>フタンキン</t>
    </rPh>
    <rPh sb="7" eb="9">
      <t>ジギョウ</t>
    </rPh>
    <rPh sb="9" eb="10">
      <t>ベツ</t>
    </rPh>
    <rPh sb="10" eb="12">
      <t>キンガク</t>
    </rPh>
    <phoneticPr fontId="2"/>
  </si>
  <si>
    <t>西風新都開発者</t>
    <rPh sb="0" eb="1">
      <t>ニシ</t>
    </rPh>
    <rPh sb="1" eb="2">
      <t>セイフウ</t>
    </rPh>
    <rPh sb="2" eb="3">
      <t>シン</t>
    </rPh>
    <rPh sb="3" eb="4">
      <t>ミヤコ</t>
    </rPh>
    <rPh sb="4" eb="7">
      <t>カイハツシャ</t>
    </rPh>
    <phoneticPr fontId="2"/>
  </si>
  <si>
    <t>元金償還
負担額</t>
    <rPh sb="0" eb="2">
      <t>ガンキン</t>
    </rPh>
    <rPh sb="2" eb="4">
      <t>ショウカン</t>
    </rPh>
    <phoneticPr fontId="2"/>
  </si>
  <si>
    <t>元金償還
負担額</t>
    <rPh sb="0" eb="2">
      <t>ガンキン</t>
    </rPh>
    <rPh sb="2" eb="4">
      <t>ショウカン</t>
    </rPh>
    <rPh sb="5" eb="7">
      <t>フタン</t>
    </rPh>
    <rPh sb="7" eb="8">
      <t>ガク</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</si>
  <si>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</si>
  <si>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雨水施設に係る
支払利息等充当分</t>
    <rPh sb="0" eb="1">
      <t>アメ</t>
    </rPh>
    <rPh sb="1" eb="2">
      <t>オスイ</t>
    </rPh>
    <rPh sb="2" eb="4">
      <t>シセツ</t>
    </rPh>
    <rPh sb="5" eb="6">
      <t>カカ</t>
    </rPh>
    <rPh sb="8" eb="10">
      <t>シハライ</t>
    </rPh>
    <rPh sb="10" eb="12">
      <t>リソク</t>
    </rPh>
    <rPh sb="12" eb="13">
      <t>トウ</t>
    </rPh>
    <rPh sb="13" eb="15">
      <t>ジュウトウ</t>
    </rPh>
    <rPh sb="15" eb="16">
      <t>ブン</t>
    </rPh>
    <phoneticPr fontId="2"/>
  </si>
  <si>
    <t>水質規制に係る経費</t>
    <rPh sb="0" eb="2">
      <t>スイシツ</t>
    </rPh>
    <rPh sb="2" eb="4">
      <t>キセイ</t>
    </rPh>
    <rPh sb="5" eb="6">
      <t>カカ</t>
    </rPh>
    <rPh sb="7" eb="9">
      <t>ケイヒ</t>
    </rPh>
    <phoneticPr fontId="2"/>
  </si>
  <si>
    <t>水洗化普及促進に係る経費</t>
    <rPh sb="0" eb="3">
      <t>スイセンカ</t>
    </rPh>
    <rPh sb="3" eb="5">
      <t>フキュウ</t>
    </rPh>
    <rPh sb="5" eb="7">
      <t>ソクシン</t>
    </rPh>
    <rPh sb="8" eb="9">
      <t>カカ</t>
    </rPh>
    <rPh sb="10" eb="12">
      <t>ケイヒ</t>
    </rPh>
    <phoneticPr fontId="2"/>
  </si>
  <si>
    <t>水洗化貸付業務に係る経費</t>
    <rPh sb="0" eb="3">
      <t>スイセンカ</t>
    </rPh>
    <rPh sb="3" eb="5">
      <t>カシツケ</t>
    </rPh>
    <rPh sb="5" eb="7">
      <t>ギョウム</t>
    </rPh>
    <rPh sb="8" eb="9">
      <t>カカ</t>
    </rPh>
    <rPh sb="10" eb="12">
      <t>ケイヒ</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</si>
  <si>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</si>
  <si>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支払利息に対する補給金
のため特定収入以外</t>
    <rPh sb="0" eb="2">
      <t>シハライ</t>
    </rPh>
    <rPh sb="2" eb="6">
      <t>リソクニタイ</t>
    </rPh>
    <rPh sb="8" eb="11">
      <t>ホキュウキン</t>
    </rPh>
    <rPh sb="15" eb="17">
      <t>トクテイ</t>
    </rPh>
    <rPh sb="17" eb="19">
      <t>シュウニュウ</t>
    </rPh>
    <rPh sb="19" eb="21">
      <t>イガイ</t>
    </rPh>
    <phoneticPr fontId="2"/>
  </si>
  <si>
    <t>企業債利息償還金に
対する他町負担金</t>
    <rPh sb="0" eb="2">
      <t>キギョウ</t>
    </rPh>
    <rPh sb="2" eb="3">
      <t>サイ</t>
    </rPh>
    <rPh sb="3" eb="5">
      <t>リソク</t>
    </rPh>
    <rPh sb="5" eb="8">
      <t>ショウカンキン</t>
    </rPh>
    <rPh sb="10" eb="11">
      <t>タイ</t>
    </rPh>
    <rPh sb="13" eb="14">
      <t>タ</t>
    </rPh>
    <rPh sb="14" eb="15">
      <t>チョウ</t>
    </rPh>
    <rPh sb="15" eb="18">
      <t>フタンキン</t>
    </rPh>
    <phoneticPr fontId="2"/>
  </si>
  <si>
    <t>支払利息に対する負担金
のため特定収入以外</t>
    <rPh sb="0" eb="2">
      <t>シハライ</t>
    </rPh>
    <rPh sb="2" eb="6">
      <t>リソクニタイ</t>
    </rPh>
    <rPh sb="8" eb="10">
      <t>フタン</t>
    </rPh>
    <rPh sb="10" eb="11">
      <t>ホキュウキン</t>
    </rPh>
    <rPh sb="15" eb="17">
      <t>トクテイ</t>
    </rPh>
    <rPh sb="17" eb="19">
      <t>シュウニュウ</t>
    </rPh>
    <rPh sb="19" eb="21">
      <t>イガイ</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</si>
  <si>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</si>
  <si>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</si>
  <si>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下水道使用料減免分</t>
    <rPh sb="0" eb="3">
      <t>ゲスイドウ</t>
    </rPh>
    <rPh sb="3" eb="5">
      <t>シヨウ</t>
    </rPh>
    <rPh sb="5" eb="6">
      <t>リョウ</t>
    </rPh>
    <rPh sb="6" eb="8">
      <t>ゲンメン</t>
    </rPh>
    <rPh sb="8" eb="9">
      <t>ブン</t>
    </rPh>
    <phoneticPr fontId="2"/>
  </si>
  <si>
    <t>収
益
的
収
入</t>
    <rPh sb="0" eb="11">
      <t>シュウエキテキ</t>
    </rPh>
    <rPh sb="15" eb="21">
      <t>シュウニュウ</t>
    </rPh>
    <phoneticPr fontId="2"/>
  </si>
  <si>
    <t>資
本
的
収
入</t>
    <rPh sb="0" eb="11">
      <t>シホンテキ</t>
    </rPh>
    <rPh sb="15" eb="21">
      <t>シュウニュウ</t>
    </rPh>
    <phoneticPr fontId="2"/>
  </si>
  <si>
    <t>排水設備整備事業
充当分</t>
    <rPh sb="0" eb="2">
      <t>ハイスイ</t>
    </rPh>
    <rPh sb="2" eb="4">
      <t>セツビ</t>
    </rPh>
    <rPh sb="4" eb="6">
      <t>セイビ</t>
    </rPh>
    <rPh sb="6" eb="8">
      <t>ジギョウ</t>
    </rPh>
    <rPh sb="9" eb="11">
      <t>ジュウトウ</t>
    </rPh>
    <rPh sb="11" eb="12">
      <t>ブン</t>
    </rPh>
    <phoneticPr fontId="2"/>
  </si>
  <si>
    <t>下水道緊急整備費
国庫補助金</t>
    <rPh sb="0" eb="3">
      <t>ゲスイドウ</t>
    </rPh>
    <rPh sb="3" eb="5">
      <t>キンキュウ</t>
    </rPh>
    <rPh sb="5" eb="7">
      <t>セイビ</t>
    </rPh>
    <rPh sb="7" eb="8">
      <t>ヒ</t>
    </rPh>
    <rPh sb="9" eb="11">
      <t>コッコ</t>
    </rPh>
    <rPh sb="11" eb="14">
      <t>ホジョキン</t>
    </rPh>
    <phoneticPr fontId="2"/>
  </si>
  <si>
    <t>処理場・一般・高率
(繰越分)</t>
    <rPh sb="0" eb="3">
      <t>ショリジョウ</t>
    </rPh>
    <rPh sb="4" eb="6">
      <t>イッパン</t>
    </rPh>
    <rPh sb="7" eb="9">
      <t>コウリツ</t>
    </rPh>
    <rPh sb="11" eb="13">
      <t>クリコシ</t>
    </rPh>
    <rPh sb="13" eb="14">
      <t>ブン</t>
    </rPh>
    <phoneticPr fontId="2"/>
  </si>
  <si>
    <t>処理場・一般・低率
(繰越分)</t>
    <rPh sb="0" eb="3">
      <t>ショリジョウ</t>
    </rPh>
    <rPh sb="4" eb="6">
      <t>イッパン</t>
    </rPh>
    <rPh sb="7" eb="8">
      <t>テイ</t>
    </rPh>
    <rPh sb="8" eb="9">
      <t>コウリツ</t>
    </rPh>
    <rPh sb="11" eb="13">
      <t>クリコシ</t>
    </rPh>
    <rPh sb="13" eb="14">
      <t>ブン</t>
    </rPh>
    <phoneticPr fontId="2"/>
  </si>
  <si>
    <t>公共下水道
単市事業充当分</t>
    <rPh sb="0" eb="2">
      <t>コウキョウ</t>
    </rPh>
    <rPh sb="2" eb="5">
      <t>ゲスイドウ</t>
    </rPh>
    <rPh sb="6" eb="7">
      <t>タン</t>
    </rPh>
    <rPh sb="7" eb="8">
      <t>シ</t>
    </rPh>
    <rPh sb="8" eb="10">
      <t>ジギョウ</t>
    </rPh>
    <rPh sb="10" eb="12">
      <t>ジュウトウ</t>
    </rPh>
    <rPh sb="12" eb="13">
      <t>ブン</t>
    </rPh>
    <phoneticPr fontId="2"/>
  </si>
  <si>
    <t>排水設備整備事業
充当分</t>
    <rPh sb="0" eb="2">
      <t>ハイスイ</t>
    </rPh>
    <rPh sb="2" eb="4">
      <t>セツビ</t>
    </rPh>
    <rPh sb="4" eb="6">
      <t>セイビ</t>
    </rPh>
    <rPh sb="6" eb="8">
      <t>ジギョウ</t>
    </rPh>
    <rPh sb="9" eb="11">
      <t>ジュウトウ</t>
    </rPh>
    <rPh sb="11" eb="12">
      <t>ブン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</si>
  <si>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</si>
  <si>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雨水処理に係る維持管理費
の課税支出割合</t>
    <rPh sb="14" eb="16">
      <t>カゼイ</t>
    </rPh>
    <rPh sb="16" eb="18">
      <t>シシュツ</t>
    </rPh>
    <rPh sb="18" eb="20">
      <t>ワリアイ</t>
    </rPh>
    <phoneticPr fontId="2"/>
  </si>
  <si>
    <t>課税支出額</t>
    <rPh sb="0" eb="2">
      <t>カゼイ</t>
    </rPh>
    <rPh sb="2" eb="4">
      <t>シシュツ</t>
    </rPh>
    <rPh sb="4" eb="5">
      <t>ガク</t>
    </rPh>
    <phoneticPr fontId="2"/>
  </si>
  <si>
    <t>支出額合計</t>
    <rPh sb="0" eb="2">
      <t>シシュツ</t>
    </rPh>
    <rPh sb="2" eb="3">
      <t>ガク</t>
    </rPh>
    <rPh sb="3" eb="5">
      <t>ゴウケイ</t>
    </rPh>
    <phoneticPr fontId="2"/>
  </si>
  <si>
    <t>公共下水道単市事業（現年）</t>
    <rPh sb="0" eb="2">
      <t>コウキョウ</t>
    </rPh>
    <rPh sb="2" eb="5">
      <t>ゲスイドウ</t>
    </rPh>
    <rPh sb="5" eb="6">
      <t>タン</t>
    </rPh>
    <rPh sb="6" eb="7">
      <t>シ</t>
    </rPh>
    <rPh sb="7" eb="9">
      <t>ジギョウ</t>
    </rPh>
    <rPh sb="10" eb="11">
      <t>ゲン</t>
    </rPh>
    <rPh sb="11" eb="12">
      <t>ネン</t>
    </rPh>
    <phoneticPr fontId="2"/>
  </si>
  <si>
    <t>公共下水道単市事業（繰越）</t>
    <rPh sb="0" eb="2">
      <t>コウキョウ</t>
    </rPh>
    <rPh sb="2" eb="5">
      <t>ゲスイドウ</t>
    </rPh>
    <rPh sb="5" eb="6">
      <t>タン</t>
    </rPh>
    <rPh sb="6" eb="7">
      <t>シ</t>
    </rPh>
    <rPh sb="7" eb="9">
      <t>ジギョウ</t>
    </rPh>
    <rPh sb="10" eb="12">
      <t>クリコシ</t>
    </rPh>
    <phoneticPr fontId="2"/>
  </si>
  <si>
    <t>合計</t>
    <rPh sb="0" eb="2">
      <t>ゴウケイ</t>
    </rPh>
    <phoneticPr fontId="2"/>
  </si>
  <si>
    <t>区分</t>
    <rPh sb="0" eb="2">
      <t>クブン</t>
    </rPh>
    <phoneticPr fontId="2"/>
  </si>
  <si>
    <t>決算額</t>
    <rPh sb="0" eb="2">
      <t>ケッサン</t>
    </rPh>
    <rPh sb="2" eb="3">
      <t>ガク</t>
    </rPh>
    <phoneticPr fontId="2"/>
  </si>
  <si>
    <t>課税</t>
    <rPh sb="0" eb="2">
      <t>カゼイ</t>
    </rPh>
    <phoneticPr fontId="2"/>
  </si>
  <si>
    <t>不課税</t>
    <rPh sb="0" eb="1">
      <t>フ</t>
    </rPh>
    <rPh sb="1" eb="3">
      <t>カゼイ</t>
    </rPh>
    <phoneticPr fontId="2"/>
  </si>
  <si>
    <t>計</t>
    <rPh sb="0" eb="1">
      <t>ケイ</t>
    </rPh>
    <phoneticPr fontId="2"/>
  </si>
  <si>
    <t>財源充当事業</t>
    <rPh sb="0" eb="2">
      <t>ザイゲン</t>
    </rPh>
    <rPh sb="2" eb="4">
      <t>ジュウトウ</t>
    </rPh>
    <rPh sb="4" eb="6">
      <t>ジギョウ</t>
    </rPh>
    <phoneticPr fontId="2"/>
  </si>
  <si>
    <t>補助</t>
    <rPh sb="0" eb="2">
      <t>ホジョ</t>
    </rPh>
    <phoneticPr fontId="2"/>
  </si>
  <si>
    <t>起債</t>
    <rPh sb="0" eb="2">
      <t>キサイ</t>
    </rPh>
    <phoneticPr fontId="2"/>
  </si>
  <si>
    <t>単市</t>
    <rPh sb="0" eb="1">
      <t>タン</t>
    </rPh>
    <rPh sb="1" eb="2">
      <t>シ</t>
    </rPh>
    <phoneticPr fontId="2"/>
  </si>
  <si>
    <t>企業債元金償還金財源分</t>
    <rPh sb="0" eb="2">
      <t>キギョウ</t>
    </rPh>
    <rPh sb="2" eb="3">
      <t>サイ</t>
    </rPh>
    <rPh sb="3" eb="5">
      <t>ガンキン</t>
    </rPh>
    <rPh sb="5" eb="8">
      <t>ショウカンキン</t>
    </rPh>
    <rPh sb="8" eb="10">
      <t>ザイゲン</t>
    </rPh>
    <rPh sb="10" eb="11">
      <t>ブン</t>
    </rPh>
    <phoneticPr fontId="2"/>
  </si>
  <si>
    <t>合計の消費税区分</t>
    <rPh sb="0" eb="2">
      <t>ゴウケイ</t>
    </rPh>
    <rPh sb="3" eb="6">
      <t>ショウヒゼイ</t>
    </rPh>
    <rPh sb="6" eb="8">
      <t>クブン</t>
    </rPh>
    <phoneticPr fontId="2"/>
  </si>
  <si>
    <t>（単位：円）</t>
    <rPh sb="1" eb="3">
      <t>タンイ</t>
    </rPh>
    <rPh sb="4" eb="5">
      <t>エン</t>
    </rPh>
    <phoneticPr fontId="2"/>
  </si>
  <si>
    <t>事項</t>
    <rPh sb="0" eb="2">
      <t>ジコウ</t>
    </rPh>
    <phoneticPr fontId="2"/>
  </si>
  <si>
    <t>建設負担金</t>
    <rPh sb="0" eb="2">
      <t>ケンセツ</t>
    </rPh>
    <rPh sb="2" eb="5">
      <t>フタンキン</t>
    </rPh>
    <phoneticPr fontId="2"/>
  </si>
  <si>
    <t>府中町</t>
    <rPh sb="0" eb="3">
      <t>フチュウチョウ</t>
    </rPh>
    <phoneticPr fontId="2"/>
  </si>
  <si>
    <t>廿日市市</t>
    <rPh sb="0" eb="4">
      <t>ハツカイチシ</t>
    </rPh>
    <phoneticPr fontId="2"/>
  </si>
  <si>
    <t>元金償還負担金</t>
    <rPh sb="0" eb="2">
      <t>ガンキン</t>
    </rPh>
    <rPh sb="2" eb="4">
      <t>ショウカン</t>
    </rPh>
    <rPh sb="4" eb="7">
      <t>フタンキン</t>
    </rPh>
    <phoneticPr fontId="2"/>
  </si>
  <si>
    <t>府中町大須地区（共通分）</t>
    <rPh sb="0" eb="3">
      <t>フチュウチョウ</t>
    </rPh>
    <rPh sb="3" eb="4">
      <t>オオ</t>
    </rPh>
    <rPh sb="4" eb="5">
      <t>ス</t>
    </rPh>
    <rPh sb="5" eb="7">
      <t>チク</t>
    </rPh>
    <rPh sb="8" eb="10">
      <t>キョウツウ</t>
    </rPh>
    <rPh sb="10" eb="11">
      <t>ブン</t>
    </rPh>
    <phoneticPr fontId="2"/>
  </si>
  <si>
    <t>府中町大須地区</t>
    <rPh sb="0" eb="3">
      <t>フチュウチョウ</t>
    </rPh>
    <rPh sb="3" eb="4">
      <t>オオ</t>
    </rPh>
    <rPh sb="4" eb="5">
      <t>ス</t>
    </rPh>
    <rPh sb="5" eb="7">
      <t>チク</t>
    </rPh>
    <phoneticPr fontId="2"/>
  </si>
  <si>
    <t>海田町海田地区</t>
    <rPh sb="0" eb="3">
      <t>カイタチョウ</t>
    </rPh>
    <rPh sb="3" eb="5">
      <t>カイタ</t>
    </rPh>
    <rPh sb="5" eb="7">
      <t>チク</t>
    </rPh>
    <phoneticPr fontId="2"/>
  </si>
  <si>
    <t>所属名</t>
    <rPh sb="0" eb="3">
      <t>ショゾクメイ</t>
    </rPh>
    <phoneticPr fontId="2"/>
  </si>
  <si>
    <t>整備費財源分</t>
    <rPh sb="0" eb="3">
      <t>セイビヒ</t>
    </rPh>
    <rPh sb="3" eb="5">
      <t>ザイゲン</t>
    </rPh>
    <rPh sb="5" eb="6">
      <t>ブン</t>
    </rPh>
    <phoneticPr fontId="2"/>
  </si>
  <si>
    <t>公共下水道整備事業</t>
    <rPh sb="0" eb="2">
      <t>コウキョウ</t>
    </rPh>
    <rPh sb="2" eb="5">
      <t>ゲスイドウ</t>
    </rPh>
    <rPh sb="5" eb="7">
      <t>セイビ</t>
    </rPh>
    <rPh sb="7" eb="9">
      <t>ジギョウ</t>
    </rPh>
    <phoneticPr fontId="2"/>
  </si>
  <si>
    <t>府中町青崎地区</t>
    <rPh sb="0" eb="3">
      <t>フチュウチョウ</t>
    </rPh>
    <rPh sb="3" eb="5">
      <t>アオサキ</t>
    </rPh>
    <rPh sb="5" eb="7">
      <t>チク</t>
    </rPh>
    <phoneticPr fontId="2"/>
  </si>
  <si>
    <t>課合計</t>
    <rPh sb="0" eb="1">
      <t>カ</t>
    </rPh>
    <rPh sb="1" eb="3">
      <t>ゴウケイ</t>
    </rPh>
    <phoneticPr fontId="2"/>
  </si>
  <si>
    <t>建設負担金充当先
整備事業</t>
    <rPh sb="0" eb="2">
      <t>ケンセツ</t>
    </rPh>
    <rPh sb="2" eb="5">
      <t>フタンキン</t>
    </rPh>
    <rPh sb="5" eb="7">
      <t>ジュウトウ</t>
    </rPh>
    <rPh sb="7" eb="8">
      <t>サキ</t>
    </rPh>
    <rPh sb="9" eb="11">
      <t>セイビ</t>
    </rPh>
    <rPh sb="11" eb="13">
      <t>ジギョウ</t>
    </rPh>
    <phoneticPr fontId="2"/>
  </si>
  <si>
    <t>経営企画課</t>
    <rPh sb="0" eb="2">
      <t>ケイエイ</t>
    </rPh>
    <rPh sb="2" eb="4">
      <t>キカク</t>
    </rPh>
    <rPh sb="4" eb="5">
      <t>カ</t>
    </rPh>
    <phoneticPr fontId="2"/>
  </si>
  <si>
    <t>西風新都開発者負担金</t>
    <rPh sb="0" eb="2">
      <t>ニシカゼ</t>
    </rPh>
    <rPh sb="2" eb="3">
      <t>シン</t>
    </rPh>
    <rPh sb="3" eb="4">
      <t>ミヤコ</t>
    </rPh>
    <rPh sb="4" eb="7">
      <t>カイハツシャ</t>
    </rPh>
    <rPh sb="7" eb="10">
      <t>フタンキン</t>
    </rPh>
    <phoneticPr fontId="2"/>
  </si>
  <si>
    <t>計</t>
    <rPh sb="0" eb="1">
      <t>ショウケイ</t>
    </rPh>
    <phoneticPr fontId="2"/>
  </si>
  <si>
    <t>管理課</t>
    <rPh sb="0" eb="3">
      <t>カンリカ</t>
    </rPh>
    <phoneticPr fontId="2"/>
  </si>
  <si>
    <t>諸設備新設改良事業</t>
    <rPh sb="0" eb="1">
      <t>ショ</t>
    </rPh>
    <rPh sb="1" eb="3">
      <t>セツビ</t>
    </rPh>
    <rPh sb="3" eb="5">
      <t>シンセツ</t>
    </rPh>
    <rPh sb="5" eb="7">
      <t>カイリョウ</t>
    </rPh>
    <rPh sb="7" eb="9">
      <t>ジギョウ</t>
    </rPh>
    <phoneticPr fontId="2"/>
  </si>
  <si>
    <t>海田町</t>
    <rPh sb="0" eb="3">
      <t>カイタチョウ</t>
    </rPh>
    <phoneticPr fontId="2"/>
  </si>
  <si>
    <t>排水設備整備事業</t>
    <rPh sb="0" eb="2">
      <t>ハイスイ</t>
    </rPh>
    <rPh sb="2" eb="4">
      <t>セツビ</t>
    </rPh>
    <rPh sb="4" eb="6">
      <t>セイビ</t>
    </rPh>
    <rPh sb="6" eb="8">
      <t>ジギョウ</t>
    </rPh>
    <phoneticPr fontId="2"/>
  </si>
  <si>
    <t>総合計</t>
    <rPh sb="0" eb="1">
      <t>ソウ</t>
    </rPh>
    <rPh sb="1" eb="3">
      <t>ゴウケイ</t>
    </rPh>
    <phoneticPr fontId="2"/>
  </si>
  <si>
    <t>現年分</t>
    <rPh sb="0" eb="1">
      <t>ゲン</t>
    </rPh>
    <rPh sb="1" eb="3">
      <t>ネンブン</t>
    </rPh>
    <phoneticPr fontId="2"/>
  </si>
  <si>
    <t>内
訳</t>
    <rPh sb="0" eb="9">
      <t>ウチワケ</t>
    </rPh>
    <phoneticPr fontId="2"/>
  </si>
  <si>
    <t>公共下水道
単市事業充当分
（西風新都を含む）</t>
    <rPh sb="0" eb="2">
      <t>コウキョウ</t>
    </rPh>
    <rPh sb="2" eb="5">
      <t>ゲスイドウ</t>
    </rPh>
    <rPh sb="6" eb="7">
      <t>タン</t>
    </rPh>
    <rPh sb="7" eb="8">
      <t>シ</t>
    </rPh>
    <rPh sb="8" eb="10">
      <t>ジギョウ</t>
    </rPh>
    <rPh sb="10" eb="12">
      <t>ジュウトウ</t>
    </rPh>
    <rPh sb="12" eb="13">
      <t>ブン</t>
    </rPh>
    <rPh sb="15" eb="17">
      <t>ニシカゼ</t>
    </rPh>
    <rPh sb="17" eb="18">
      <t>シン</t>
    </rPh>
    <rPh sb="18" eb="19">
      <t>ト</t>
    </rPh>
    <rPh sb="20" eb="21">
      <t>フク</t>
    </rPh>
    <phoneticPr fontId="2"/>
  </si>
  <si>
    <t>府中町（大須地区）</t>
    <rPh sb="0" eb="3">
      <t>フチュウチョウ</t>
    </rPh>
    <rPh sb="4" eb="5">
      <t>オオ</t>
    </rPh>
    <rPh sb="5" eb="6">
      <t>ス</t>
    </rPh>
    <rPh sb="6" eb="8">
      <t>チク</t>
    </rPh>
    <phoneticPr fontId="2"/>
  </si>
  <si>
    <t>その他雑収益</t>
    <rPh sb="2" eb="3">
      <t>タ</t>
    </rPh>
    <rPh sb="3" eb="4">
      <t>ザツ</t>
    </rPh>
    <rPh sb="4" eb="6">
      <t>シュウエキ</t>
    </rPh>
    <phoneticPr fontId="2"/>
  </si>
  <si>
    <t>課税支出である企業債手数料
（雨水分）の額</t>
    <rPh sb="0" eb="2">
      <t>カゼイ</t>
    </rPh>
    <rPh sb="2" eb="4">
      <t>シシュツ</t>
    </rPh>
    <rPh sb="7" eb="9">
      <t>キギョウ</t>
    </rPh>
    <rPh sb="9" eb="10">
      <t>サイ</t>
    </rPh>
    <rPh sb="10" eb="13">
      <t>テスウリョウ</t>
    </rPh>
    <rPh sb="15" eb="17">
      <t>ウスイ</t>
    </rPh>
    <rPh sb="17" eb="18">
      <t>ブン</t>
    </rPh>
    <rPh sb="20" eb="21">
      <t>ガク</t>
    </rPh>
    <phoneticPr fontId="2"/>
  </si>
  <si>
    <t>支払利息分〈特定収入以外〉</t>
    <rPh sb="0" eb="2">
      <t>シハライ</t>
    </rPh>
    <rPh sb="2" eb="4">
      <t>リソク</t>
    </rPh>
    <rPh sb="4" eb="5">
      <t>ブン</t>
    </rPh>
    <rPh sb="6" eb="8">
      <t>トクテイ</t>
    </rPh>
    <rPh sb="8" eb="10">
      <t>シュウニュウ</t>
    </rPh>
    <rPh sb="10" eb="12">
      <t>イガイ</t>
    </rPh>
    <phoneticPr fontId="2"/>
  </si>
  <si>
    <t>課税支出である企業債手数料
（汚水分）に対する一般会計
補助金の支払利息充当割合</t>
    <rPh sb="0" eb="2">
      <t>カゼイ</t>
    </rPh>
    <rPh sb="2" eb="4">
      <t>シシュツ</t>
    </rPh>
    <rPh sb="7" eb="9">
      <t>キギョウ</t>
    </rPh>
    <rPh sb="9" eb="10">
      <t>サイ</t>
    </rPh>
    <rPh sb="10" eb="13">
      <t>テスウリョウ</t>
    </rPh>
    <rPh sb="15" eb="17">
      <t>オスイ</t>
    </rPh>
    <rPh sb="17" eb="18">
      <t>ブン</t>
    </rPh>
    <rPh sb="20" eb="21">
      <t>タイ</t>
    </rPh>
    <rPh sb="23" eb="25">
      <t>イッパン</t>
    </rPh>
    <rPh sb="25" eb="27">
      <t>カイケイ</t>
    </rPh>
    <rPh sb="28" eb="31">
      <t>ホジョキン</t>
    </rPh>
    <rPh sb="32" eb="34">
      <t>シハラ</t>
    </rPh>
    <rPh sb="34" eb="36">
      <t>リソク</t>
    </rPh>
    <rPh sb="36" eb="38">
      <t>ジュウトウ</t>
    </rPh>
    <rPh sb="38" eb="40">
      <t>ワリアイ</t>
    </rPh>
    <phoneticPr fontId="2"/>
  </si>
  <si>
    <t>減価償却費・支払利息に対する
負担金のため特定収入以外</t>
    <rPh sb="0" eb="2">
      <t>ゲンカ</t>
    </rPh>
    <rPh sb="2" eb="4">
      <t>ショウキャク</t>
    </rPh>
    <rPh sb="4" eb="5">
      <t>ヒ</t>
    </rPh>
    <rPh sb="6" eb="8">
      <t>シハラ</t>
    </rPh>
    <rPh sb="8" eb="10">
      <t>リソク</t>
    </rPh>
    <rPh sb="11" eb="12">
      <t>タイ</t>
    </rPh>
    <rPh sb="15" eb="18">
      <t>フタンキン</t>
    </rPh>
    <rPh sb="21" eb="23">
      <t>トクテイ</t>
    </rPh>
    <rPh sb="23" eb="25">
      <t>シュウニュウ</t>
    </rPh>
    <rPh sb="25" eb="27">
      <t>イガイ</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</si>
  <si>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</si>
  <si>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</si>
  <si>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</si>
  <si>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不課税収入額</t>
    <rPh sb="0" eb="1">
      <t>フ</t>
    </rPh>
    <rPh sb="1" eb="3">
      <t>カゼイ</t>
    </rPh>
    <rPh sb="3" eb="5">
      <t>シュウニュウ</t>
    </rPh>
    <rPh sb="5" eb="6">
      <t>キンガク</t>
    </rPh>
    <phoneticPr fontId="2"/>
  </si>
  <si>
    <t>特定収入</t>
    <rPh sb="0" eb="2">
      <t>トクテイ</t>
    </rPh>
    <rPh sb="2" eb="4">
      <t>シュウニュウ</t>
    </rPh>
    <phoneticPr fontId="2"/>
  </si>
  <si>
    <t>特定収入
以外</t>
    <rPh sb="0" eb="2">
      <t>トクテイ</t>
    </rPh>
    <rPh sb="2" eb="4">
      <t>シュウニュウ</t>
    </rPh>
    <rPh sb="5" eb="7">
      <t>イガイ</t>
    </rPh>
    <phoneticPr fontId="2"/>
  </si>
  <si>
    <t>企業債（特定資金公共事業債）</t>
    <rPh sb="0" eb="2">
      <t>キギョウ</t>
    </rPh>
    <rPh sb="2" eb="3">
      <t>サイ</t>
    </rPh>
    <rPh sb="4" eb="6">
      <t>トクテイ</t>
    </rPh>
    <rPh sb="6" eb="8">
      <t>シキン</t>
    </rPh>
    <rPh sb="8" eb="10">
      <t>コウキョウ</t>
    </rPh>
    <rPh sb="10" eb="12">
      <t>ジギョウ</t>
    </rPh>
    <rPh sb="12" eb="13">
      <t>サイ</t>
    </rPh>
    <phoneticPr fontId="2"/>
  </si>
  <si>
    <t>14年度分補助事業
（繰越分）の課税支出割合</t>
    <rPh sb="11" eb="13">
      <t>クリコシ</t>
    </rPh>
    <rPh sb="13" eb="14">
      <t>ブン</t>
    </rPh>
    <phoneticPr fontId="2"/>
  </si>
  <si>
    <t>処理場・一般・低率
(繰越分)</t>
    <rPh sb="0" eb="3">
      <t>ショリジョウ</t>
    </rPh>
    <rPh sb="4" eb="6">
      <t>イッパン</t>
    </rPh>
    <rPh sb="7" eb="8">
      <t>テイ</t>
    </rPh>
    <rPh sb="8" eb="9">
      <t>コウリツ</t>
    </rPh>
    <rPh sb="11" eb="13">
      <t>クリコシ</t>
    </rPh>
    <rPh sb="13" eb="14">
      <t>ブン</t>
    </rPh>
    <phoneticPr fontId="2"/>
  </si>
  <si>
    <t>課税支出である企業債
手数料（雨水分）の額</t>
    <rPh sb="0" eb="2">
      <t>カゼイ</t>
    </rPh>
    <rPh sb="2" eb="4">
      <t>シシュツ</t>
    </rPh>
    <rPh sb="7" eb="9">
      <t>キギョウ</t>
    </rPh>
    <rPh sb="9" eb="10">
      <t>サイ</t>
    </rPh>
    <rPh sb="11" eb="14">
      <t>テスウリョウ</t>
    </rPh>
    <rPh sb="15" eb="17">
      <t>ウスイ</t>
    </rPh>
    <rPh sb="17" eb="18">
      <t>ブン</t>
    </rPh>
    <rPh sb="20" eb="21">
      <t>ガク</t>
    </rPh>
    <phoneticPr fontId="2"/>
  </si>
  <si>
    <t>課税支出である企業債
手数料（汚水分）の額</t>
    <rPh sb="0" eb="2">
      <t>カゼイ</t>
    </rPh>
    <rPh sb="2" eb="4">
      <t>シシュツ</t>
    </rPh>
    <rPh sb="7" eb="9">
      <t>キギョウ</t>
    </rPh>
    <rPh sb="9" eb="10">
      <t>サイ</t>
    </rPh>
    <rPh sb="11" eb="14">
      <t>テスウリョウ</t>
    </rPh>
    <rPh sb="15" eb="17">
      <t>オスイ</t>
    </rPh>
    <rPh sb="17" eb="18">
      <t>ブン</t>
    </rPh>
    <rPh sb="20" eb="21">
      <t>ガク</t>
    </rPh>
    <phoneticPr fontId="2"/>
  </si>
  <si>
    <t>収
益
的
収
入</t>
    <rPh sb="0" eb="11">
      <t>シュウエキテキ</t>
    </rPh>
    <rPh sb="15" eb="21">
      <t>シュウニュウ</t>
    </rPh>
    <phoneticPr fontId="2"/>
  </si>
  <si>
    <t>一般会計負担金</t>
    <rPh sb="0" eb="2">
      <t>イッパン</t>
    </rPh>
    <rPh sb="2" eb="4">
      <t>カイケイ</t>
    </rPh>
    <rPh sb="4" eb="7">
      <t>フタンキン</t>
    </rPh>
    <phoneticPr fontId="2"/>
  </si>
  <si>
    <t>雨水処理負担金</t>
    <rPh sb="0" eb="2">
      <t>ウスイ</t>
    </rPh>
    <rPh sb="2" eb="4">
      <t>ショリ</t>
    </rPh>
    <rPh sb="4" eb="7">
      <t>フタンキン</t>
    </rPh>
    <phoneticPr fontId="2"/>
  </si>
  <si>
    <t>維持管理費分</t>
    <rPh sb="0" eb="2">
      <t>イジ</t>
    </rPh>
    <rPh sb="2" eb="5">
      <t>カンリヒ</t>
    </rPh>
    <rPh sb="5" eb="6">
      <t>ブン</t>
    </rPh>
    <phoneticPr fontId="2"/>
  </si>
  <si>
    <t>雨水処理に係る
維持管理費分</t>
    <rPh sb="0" eb="2">
      <t>ウスイ</t>
    </rPh>
    <rPh sb="2" eb="4">
      <t>ショリ</t>
    </rPh>
    <rPh sb="5" eb="6">
      <t>カカ</t>
    </rPh>
    <rPh sb="8" eb="10">
      <t>イジ</t>
    </rPh>
    <rPh sb="10" eb="13">
      <t>カンリヒ</t>
    </rPh>
    <rPh sb="13" eb="14">
      <t>ブン</t>
    </rPh>
    <phoneticPr fontId="2"/>
  </si>
  <si>
    <t>雨水処理に係る維持管理費
の課税支出割合</t>
    <rPh sb="14" eb="16">
      <t>カゼイ</t>
    </rPh>
    <rPh sb="16" eb="18">
      <t>シシュツ</t>
    </rPh>
    <rPh sb="18" eb="20">
      <t>ワリアイ</t>
    </rPh>
    <phoneticPr fontId="2"/>
  </si>
  <si>
    <t>減価償却費分</t>
    <rPh sb="0" eb="2">
      <t>ゲンカ</t>
    </rPh>
    <rPh sb="2" eb="4">
      <t>ショウキャク</t>
    </rPh>
    <rPh sb="4" eb="5">
      <t>ヒ</t>
    </rPh>
    <rPh sb="5" eb="6">
      <t>ブン</t>
    </rPh>
    <phoneticPr fontId="2"/>
  </si>
  <si>
    <t>雨水施設に係る
減価償却費分</t>
    <rPh sb="0" eb="2">
      <t>ウスイ</t>
    </rPh>
    <rPh sb="2" eb="4">
      <t>シセツ</t>
    </rPh>
    <rPh sb="5" eb="6">
      <t>カカ</t>
    </rPh>
    <rPh sb="8" eb="10">
      <t>ゲンカ</t>
    </rPh>
    <rPh sb="10" eb="12">
      <t>ショウキャク</t>
    </rPh>
    <rPh sb="12" eb="13">
      <t>カンリヒ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</si>
  <si>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</si>
  <si>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支払利息分</t>
    <rPh sb="0" eb="2">
      <t>シハライ</t>
    </rPh>
    <rPh sb="2" eb="4">
      <t>リソク</t>
    </rPh>
    <rPh sb="4" eb="5">
      <t>ブン</t>
    </rPh>
    <phoneticPr fontId="2"/>
  </si>
  <si>
    <t>雨水施設に係る
支払利息等充当分</t>
    <rPh sb="0" eb="1">
      <t>アメ</t>
    </rPh>
    <rPh sb="1" eb="2">
      <t>オスイ</t>
    </rPh>
    <rPh sb="2" eb="4">
      <t>シセツ</t>
    </rPh>
    <rPh sb="5" eb="6">
      <t>カカ</t>
    </rPh>
    <rPh sb="8" eb="10">
      <t>シハライ</t>
    </rPh>
    <rPh sb="10" eb="12">
      <t>リソク</t>
    </rPh>
    <rPh sb="12" eb="13">
      <t>トウ</t>
    </rPh>
    <rPh sb="13" eb="15">
      <t>ジュウトウ</t>
    </rPh>
    <rPh sb="15" eb="16">
      <t>ブン</t>
    </rPh>
    <phoneticPr fontId="2"/>
  </si>
  <si>
    <t>水質指導費負担金</t>
    <rPh sb="0" eb="2">
      <t>スイシツ</t>
    </rPh>
    <rPh sb="2" eb="4">
      <t>シドウ</t>
    </rPh>
    <rPh sb="4" eb="5">
      <t>ヒ</t>
    </rPh>
    <rPh sb="5" eb="8">
      <t>フタンキン</t>
    </rPh>
    <phoneticPr fontId="2"/>
  </si>
  <si>
    <t>水質規制に係る経費</t>
    <rPh sb="0" eb="2">
      <t>スイシツ</t>
    </rPh>
    <rPh sb="2" eb="4">
      <t>キセイ</t>
    </rPh>
    <rPh sb="5" eb="6">
      <t>カカ</t>
    </rPh>
    <rPh sb="7" eb="9">
      <t>ケイヒ</t>
    </rPh>
    <phoneticPr fontId="2"/>
  </si>
  <si>
    <t>水質規制に係る経費の
課税支出割合</t>
    <rPh sb="11" eb="13">
      <t>カゼイ</t>
    </rPh>
    <rPh sb="13" eb="15">
      <t>シシュツ</t>
    </rPh>
    <rPh sb="15" eb="17">
      <t>ワリアイ</t>
    </rPh>
    <phoneticPr fontId="2"/>
  </si>
  <si>
    <t>普及促進費負担金</t>
    <rPh sb="0" eb="2">
      <t>フキュウ</t>
    </rPh>
    <rPh sb="2" eb="5">
      <t>ソクシンヒ</t>
    </rPh>
    <rPh sb="5" eb="8">
      <t>フタンキン</t>
    </rPh>
    <phoneticPr fontId="2"/>
  </si>
  <si>
    <t>水洗化普及促進に係る経費</t>
    <rPh sb="0" eb="3">
      <t>スイセンカ</t>
    </rPh>
    <rPh sb="3" eb="5">
      <t>フキュウ</t>
    </rPh>
    <rPh sb="5" eb="7">
      <t>ソクシン</t>
    </rPh>
    <rPh sb="8" eb="9">
      <t>カカ</t>
    </rPh>
    <rPh sb="10" eb="12">
      <t>ケイヒ</t>
    </rPh>
    <phoneticPr fontId="2"/>
  </si>
  <si>
    <t>水洗化普及促進に係る経費
の課税支出割合</t>
    <rPh sb="14" eb="16">
      <t>カゼイ</t>
    </rPh>
    <rPh sb="16" eb="18">
      <t>シシュツ</t>
    </rPh>
    <rPh sb="18" eb="20">
      <t>ワリアイ</t>
    </rPh>
    <phoneticPr fontId="2"/>
  </si>
  <si>
    <t>貸付事業費負担金</t>
    <rPh sb="0" eb="2">
      <t>カシツケ</t>
    </rPh>
    <rPh sb="2" eb="5">
      <t>ジギョウヒ</t>
    </rPh>
    <rPh sb="5" eb="8">
      <t>フタンキン</t>
    </rPh>
    <phoneticPr fontId="2"/>
  </si>
  <si>
    <t>水洗化貸付業務に係る経費</t>
    <rPh sb="0" eb="3">
      <t>スイセンカ</t>
    </rPh>
    <rPh sb="3" eb="5">
      <t>カシツケ</t>
    </rPh>
    <rPh sb="5" eb="7">
      <t>ギョウム</t>
    </rPh>
    <rPh sb="8" eb="9">
      <t>カカ</t>
    </rPh>
    <rPh sb="10" eb="12">
      <t>ケイヒ</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</si>
  <si>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</si>
  <si>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国庫補助金</t>
    <rPh sb="0" eb="2">
      <t>コッコ</t>
    </rPh>
    <rPh sb="2" eb="5">
      <t>ホジョキン</t>
    </rPh>
    <phoneticPr fontId="2"/>
  </si>
  <si>
    <t>下水道緊急整備費
国庫補助金</t>
    <rPh sb="0" eb="3">
      <t>ゲスイドウ</t>
    </rPh>
    <rPh sb="3" eb="5">
      <t>キンキュウ</t>
    </rPh>
    <rPh sb="5" eb="7">
      <t>セイビ</t>
    </rPh>
    <rPh sb="7" eb="8">
      <t>ヒ</t>
    </rPh>
    <rPh sb="9" eb="11">
      <t>コッコ</t>
    </rPh>
    <rPh sb="11" eb="14">
      <t>ホジョキン</t>
    </rPh>
    <phoneticPr fontId="2"/>
  </si>
  <si>
    <t>下水道緊急整備費に
対する利子補給</t>
    <rPh sb="0" eb="3">
      <t>ゲスイドウ</t>
    </rPh>
    <rPh sb="3" eb="5">
      <t>キンキュウ</t>
    </rPh>
    <rPh sb="5" eb="8">
      <t>セイビヒ</t>
    </rPh>
    <rPh sb="10" eb="11">
      <t>タイ</t>
    </rPh>
    <rPh sb="13" eb="15">
      <t>リシ</t>
    </rPh>
    <rPh sb="15" eb="17">
      <t>ホキュウ</t>
    </rPh>
    <phoneticPr fontId="2"/>
  </si>
  <si>
    <t>支払利息に対する補給金
のため特定収入以外</t>
    <rPh sb="0" eb="2">
      <t>シハライ</t>
    </rPh>
    <rPh sb="2" eb="6">
      <t>リソクニタイ</t>
    </rPh>
    <rPh sb="8" eb="11">
      <t>ホキュウキン</t>
    </rPh>
    <rPh sb="15" eb="17">
      <t>トクテイ</t>
    </rPh>
    <rPh sb="17" eb="19">
      <t>シュウニュウ</t>
    </rPh>
    <rPh sb="19" eb="21">
      <t>イガイ</t>
    </rPh>
    <phoneticPr fontId="2"/>
  </si>
  <si>
    <t>負担金</t>
    <rPh sb="0" eb="3">
      <t>フタンキン</t>
    </rPh>
    <phoneticPr fontId="2"/>
  </si>
  <si>
    <t>他会計負担金</t>
    <rPh sb="0" eb="1">
      <t>タカイ</t>
    </rPh>
    <rPh sb="1" eb="3">
      <t>カイケイ</t>
    </rPh>
    <rPh sb="3" eb="6">
      <t>フタンキン</t>
    </rPh>
    <phoneticPr fontId="2"/>
  </si>
  <si>
    <t>企業債利息償還金に
対する他町負担金</t>
    <rPh sb="0" eb="2">
      <t>キギョウ</t>
    </rPh>
    <rPh sb="2" eb="3">
      <t>サイ</t>
    </rPh>
    <rPh sb="3" eb="5">
      <t>リソク</t>
    </rPh>
    <rPh sb="5" eb="8">
      <t>ショウカンキン</t>
    </rPh>
    <rPh sb="10" eb="11">
      <t>タイ</t>
    </rPh>
    <rPh sb="13" eb="14">
      <t>タ</t>
    </rPh>
    <rPh sb="14" eb="15">
      <t>チョウ</t>
    </rPh>
    <rPh sb="15" eb="18">
      <t>フタンキン</t>
    </rPh>
    <phoneticPr fontId="2"/>
  </si>
  <si>
    <t>支払利息に対する負担金
のため特定収入以外</t>
    <rPh sb="0" eb="2">
      <t>シハライ</t>
    </rPh>
    <rPh sb="2" eb="6">
      <t>リソクニタイ</t>
    </rPh>
    <rPh sb="8" eb="10">
      <t>フタン</t>
    </rPh>
    <rPh sb="10" eb="11">
      <t>ホキュウキン</t>
    </rPh>
    <rPh sb="15" eb="17">
      <t>トクテイ</t>
    </rPh>
    <rPh sb="17" eb="19">
      <t>シュウニュウ</t>
    </rPh>
    <rPh sb="19" eb="21">
      <t>イガイ</t>
    </rPh>
    <phoneticPr fontId="2"/>
  </si>
  <si>
    <t>一般会計補助金</t>
    <rPh sb="0" eb="2">
      <t>イッパン</t>
    </rPh>
    <rPh sb="2" eb="4">
      <t>カイケイ</t>
    </rPh>
    <rPh sb="4" eb="7">
      <t>ホジョキン</t>
    </rPh>
    <phoneticPr fontId="2"/>
  </si>
  <si>
    <t>汚水処理補助金</t>
    <rPh sb="0" eb="2">
      <t>オスイ</t>
    </rPh>
    <rPh sb="2" eb="4">
      <t>ショリ</t>
    </rPh>
    <rPh sb="4" eb="7">
      <t>ホジョキン</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</si>
  <si>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</si>
  <si>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汚水施設に係る
支払利息等充当分</t>
    <rPh sb="0" eb="2">
      <t>オスイ</t>
    </rPh>
    <rPh sb="2" eb="4">
      <t>シセツ</t>
    </rPh>
    <rPh sb="5" eb="6">
      <t>カカ</t>
    </rPh>
    <rPh sb="8" eb="10">
      <t>シハライ</t>
    </rPh>
    <rPh sb="10" eb="12">
      <t>リソク</t>
    </rPh>
    <rPh sb="12" eb="13">
      <t>トウ</t>
    </rPh>
    <rPh sb="13" eb="15">
      <t>ジュウトウ</t>
    </rPh>
    <rPh sb="15" eb="16">
      <t>ブン</t>
    </rPh>
    <phoneticPr fontId="2"/>
  </si>
  <si>
    <t>使用料減免分</t>
    <rPh sb="0" eb="2">
      <t>シヨウ</t>
    </rPh>
    <rPh sb="2" eb="3">
      <t>リョウ</t>
    </rPh>
    <rPh sb="3" eb="5">
      <t>ゲンメン</t>
    </rPh>
    <rPh sb="5" eb="6">
      <t>ブン</t>
    </rPh>
    <phoneticPr fontId="2"/>
  </si>
  <si>
    <t>下水道使用料減免分</t>
    <rPh sb="0" eb="3">
      <t>ゲスイドウ</t>
    </rPh>
    <rPh sb="3" eb="5">
      <t>シヨウ</t>
    </rPh>
    <rPh sb="5" eb="6">
      <t>リョウ</t>
    </rPh>
    <rPh sb="6" eb="8">
      <t>ゲンメン</t>
    </rPh>
    <rPh sb="8" eb="9">
      <t>ブン</t>
    </rPh>
    <phoneticPr fontId="2"/>
  </si>
  <si>
    <t>その他の収益的収入中の不課税収入</t>
    <rPh sb="0" eb="3">
      <t>ソノタ</t>
    </rPh>
    <rPh sb="4" eb="6">
      <t>シュウエキ</t>
    </rPh>
    <rPh sb="6" eb="7">
      <t>テキ</t>
    </rPh>
    <rPh sb="7" eb="9">
      <t>シュウニュウ</t>
    </rPh>
    <rPh sb="9" eb="10">
      <t>チュウ</t>
    </rPh>
    <rPh sb="11" eb="12">
      <t>フ</t>
    </rPh>
    <rPh sb="12" eb="14">
      <t>カゼイ</t>
    </rPh>
    <rPh sb="14" eb="16">
      <t>シュウニュウ</t>
    </rPh>
    <phoneticPr fontId="2"/>
  </si>
  <si>
    <t>資
本
的
収
入</t>
    <rPh sb="0" eb="11">
      <t>シホンテキ</t>
    </rPh>
    <rPh sb="15" eb="21">
      <t>シュウニュウ</t>
    </rPh>
    <phoneticPr fontId="2"/>
  </si>
  <si>
    <t xml:space="preserve">
公
共
下
水
道</t>
    <rPh sb="1" eb="5">
      <t>コウキョウ</t>
    </rPh>
    <rPh sb="7" eb="14">
      <t>ゲスイドウ</t>
    </rPh>
    <phoneticPr fontId="2"/>
  </si>
  <si>
    <t>管路等・一般</t>
    <rPh sb="0" eb="1">
      <t>カン</t>
    </rPh>
    <rPh sb="1" eb="2">
      <t>ロ</t>
    </rPh>
    <rPh sb="2" eb="3">
      <t>トウ</t>
    </rPh>
    <rPh sb="4" eb="6">
      <t>イッパン</t>
    </rPh>
    <phoneticPr fontId="2"/>
  </si>
  <si>
    <t>管路等・用地国債</t>
    <rPh sb="0" eb="1">
      <t>カン</t>
    </rPh>
    <rPh sb="1" eb="2">
      <t>ロ</t>
    </rPh>
    <rPh sb="2" eb="3">
      <t>トウ</t>
    </rPh>
    <rPh sb="4" eb="6">
      <t>ヨウチ</t>
    </rPh>
    <rPh sb="6" eb="8">
      <t>コクサイ</t>
    </rPh>
    <phoneticPr fontId="2"/>
  </si>
  <si>
    <t>管路等・特債</t>
    <rPh sb="0" eb="1">
      <t>カン</t>
    </rPh>
    <rPh sb="1" eb="2">
      <t>ロ</t>
    </rPh>
    <rPh sb="2" eb="3">
      <t>トウ</t>
    </rPh>
    <rPh sb="4" eb="5">
      <t>トク</t>
    </rPh>
    <rPh sb="5" eb="6">
      <t>サイ</t>
    </rPh>
    <phoneticPr fontId="2"/>
  </si>
  <si>
    <t>管路等・促進・工事国債</t>
    <rPh sb="0" eb="1">
      <t>カン</t>
    </rPh>
    <rPh sb="1" eb="2">
      <t>ロ</t>
    </rPh>
    <rPh sb="2" eb="3">
      <t>トウ</t>
    </rPh>
    <rPh sb="4" eb="6">
      <t>ソクシン</t>
    </rPh>
    <rPh sb="7" eb="9">
      <t>コウジ</t>
    </rPh>
    <rPh sb="9" eb="11">
      <t>コクサイ</t>
    </rPh>
    <phoneticPr fontId="2"/>
  </si>
  <si>
    <t>処理場・用地国債</t>
    <rPh sb="0" eb="3">
      <t>ショリジョウ</t>
    </rPh>
    <rPh sb="4" eb="6">
      <t>ヨウチ</t>
    </rPh>
    <rPh sb="6" eb="8">
      <t>コクサイ</t>
    </rPh>
    <phoneticPr fontId="2"/>
  </si>
  <si>
    <t>処理場・特債・高率</t>
    <rPh sb="0" eb="3">
      <t>ショリジョウ</t>
    </rPh>
    <rPh sb="4" eb="5">
      <t>トク</t>
    </rPh>
    <rPh sb="5" eb="6">
      <t>サイ</t>
    </rPh>
    <rPh sb="7" eb="9">
      <t>コウリツ</t>
    </rPh>
    <phoneticPr fontId="2"/>
  </si>
  <si>
    <t>処理場・特債・低率</t>
    <rPh sb="0" eb="3">
      <t>ショリジョウ</t>
    </rPh>
    <rPh sb="4" eb="5">
      <t>トク</t>
    </rPh>
    <rPh sb="5" eb="6">
      <t>サイ</t>
    </rPh>
    <rPh sb="7" eb="8">
      <t>テイ</t>
    </rPh>
    <rPh sb="8" eb="9">
      <t>コウリツ</t>
    </rPh>
    <phoneticPr fontId="2"/>
  </si>
  <si>
    <t>過年度補助金</t>
    <rPh sb="0" eb="3">
      <t>カネンド</t>
    </rPh>
    <rPh sb="3" eb="6">
      <t>ホジョキン</t>
    </rPh>
    <phoneticPr fontId="2"/>
  </si>
  <si>
    <t>管路等・一般(繰越分)</t>
    <rPh sb="0" eb="1">
      <t>カン</t>
    </rPh>
    <rPh sb="1" eb="2">
      <t>ロ</t>
    </rPh>
    <rPh sb="2" eb="3">
      <t>トウ</t>
    </rPh>
    <rPh sb="4" eb="6">
      <t>イッパン</t>
    </rPh>
    <rPh sb="7" eb="9">
      <t>クリコシ</t>
    </rPh>
    <rPh sb="9" eb="10">
      <t>ブン</t>
    </rPh>
    <phoneticPr fontId="2"/>
  </si>
  <si>
    <t>管路等・特債(繰越分）</t>
    <rPh sb="0" eb="1">
      <t>カン</t>
    </rPh>
    <rPh sb="1" eb="2">
      <t>ロ</t>
    </rPh>
    <rPh sb="2" eb="3">
      <t>トウ</t>
    </rPh>
    <rPh sb="4" eb="5">
      <t>トク</t>
    </rPh>
    <rPh sb="5" eb="6">
      <t>サイ</t>
    </rPh>
    <rPh sb="7" eb="9">
      <t>クリコシ</t>
    </rPh>
    <rPh sb="9" eb="10">
      <t>ブン</t>
    </rPh>
    <phoneticPr fontId="2"/>
  </si>
  <si>
    <t>処理場・一般・高率
(繰越分)</t>
    <rPh sb="0" eb="3">
      <t>ショリジョウ</t>
    </rPh>
    <rPh sb="4" eb="6">
      <t>イッパン</t>
    </rPh>
    <rPh sb="7" eb="9">
      <t>コウリツ</t>
    </rPh>
    <rPh sb="11" eb="13">
      <t>クリコシ</t>
    </rPh>
    <rPh sb="13" eb="14">
      <t>ブン</t>
    </rPh>
    <phoneticPr fontId="2"/>
  </si>
  <si>
    <t>処理場・特債・高率
(繰越分)</t>
    <rPh sb="0" eb="3">
      <t>ショリジョウ</t>
    </rPh>
    <rPh sb="4" eb="5">
      <t>トク</t>
    </rPh>
    <rPh sb="5" eb="6">
      <t>サイ</t>
    </rPh>
    <rPh sb="7" eb="9">
      <t>コウリツ</t>
    </rPh>
    <rPh sb="11" eb="13">
      <t>クリコシ</t>
    </rPh>
    <rPh sb="13" eb="14">
      <t>ブン</t>
    </rPh>
    <phoneticPr fontId="2"/>
  </si>
  <si>
    <t>公共下水道
補助事業充当分</t>
    <rPh sb="0" eb="2">
      <t>コウキョウ</t>
    </rPh>
    <rPh sb="2" eb="5">
      <t>ゲスイドウ</t>
    </rPh>
    <rPh sb="6" eb="8">
      <t>ホジョ</t>
    </rPh>
    <rPh sb="8" eb="10">
      <t>ジギョウ</t>
    </rPh>
    <rPh sb="10" eb="12">
      <t>ジュウトウ</t>
    </rPh>
    <rPh sb="12" eb="13">
      <t>トウブン</t>
    </rPh>
    <phoneticPr fontId="2"/>
  </si>
  <si>
    <t>受益者負担金</t>
    <rPh sb="0" eb="3">
      <t>ジュエキシャ</t>
    </rPh>
    <rPh sb="3" eb="6">
      <t>フタンキン</t>
    </rPh>
    <phoneticPr fontId="2"/>
  </si>
  <si>
    <t>公共下水道
起債事業充当分</t>
    <rPh sb="0" eb="2">
      <t>コウキョウ</t>
    </rPh>
    <rPh sb="2" eb="5">
      <t>ゲスイドウ</t>
    </rPh>
    <rPh sb="6" eb="8">
      <t>キサイ</t>
    </rPh>
    <rPh sb="8" eb="10">
      <t>ジギョウ</t>
    </rPh>
    <rPh sb="10" eb="12">
      <t>ジュウトウ</t>
    </rPh>
    <rPh sb="12" eb="13">
      <t>ブン</t>
    </rPh>
    <phoneticPr fontId="2"/>
  </si>
  <si>
    <t>工事負担金</t>
    <rPh sb="0" eb="2">
      <t>コウジ</t>
    </rPh>
    <rPh sb="2" eb="5">
      <t>フタンキン</t>
    </rPh>
    <phoneticPr fontId="2"/>
  </si>
  <si>
    <t>公共下水道
単市事業充当分</t>
    <rPh sb="0" eb="2">
      <t>コウキョウ</t>
    </rPh>
    <rPh sb="2" eb="5">
      <t>ゲスイドウ</t>
    </rPh>
    <rPh sb="6" eb="7">
      <t>タン</t>
    </rPh>
    <rPh sb="7" eb="8">
      <t>シ</t>
    </rPh>
    <rPh sb="8" eb="10">
      <t>ジギョウ</t>
    </rPh>
    <rPh sb="10" eb="12">
      <t>ジュウトウ</t>
    </rPh>
    <rPh sb="12" eb="13">
      <t>ブン</t>
    </rPh>
    <phoneticPr fontId="2"/>
  </si>
  <si>
    <t>排水設備整備事業
充当分</t>
    <rPh sb="0" eb="2">
      <t>ハイスイ</t>
    </rPh>
    <rPh sb="2" eb="4">
      <t>セツビ</t>
    </rPh>
    <rPh sb="4" eb="6">
      <t>セイビ</t>
    </rPh>
    <rPh sb="6" eb="8">
      <t>ジギョウ</t>
    </rPh>
    <rPh sb="9" eb="11">
      <t>ジュウトウ</t>
    </rPh>
    <rPh sb="11" eb="12">
      <t>ブン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</si>
  <si>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</si>
  <si>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元金償還金充当分</t>
    <rPh sb="0" eb="2">
      <t>ガンキン</t>
    </rPh>
    <rPh sb="2" eb="5">
      <t>ショウカンキン</t>
    </rPh>
    <rPh sb="5" eb="7">
      <t>ジュウトウ</t>
    </rPh>
    <rPh sb="7" eb="8">
      <t>ブン</t>
    </rPh>
    <phoneticPr fontId="2"/>
  </si>
  <si>
    <t>起債年度の課税支出割合</t>
    <rPh sb="0" eb="2">
      <t>キサイ</t>
    </rPh>
    <rPh sb="2" eb="4">
      <t>ネンド</t>
    </rPh>
    <rPh sb="5" eb="7">
      <t>カゼイ</t>
    </rPh>
    <rPh sb="7" eb="9">
      <t>シシュツ</t>
    </rPh>
    <rPh sb="9" eb="11">
      <t>ワリアイ</t>
    </rPh>
    <phoneticPr fontId="2"/>
  </si>
  <si>
    <t>15年度分補助事業
（繰越分）の課税支出割合</t>
    <rPh sb="11" eb="13">
      <t>クリコシ</t>
    </rPh>
    <rPh sb="13" eb="14">
      <t>ブン</t>
    </rPh>
    <phoneticPr fontId="2"/>
  </si>
  <si>
    <t>災害復旧費国庫補助金</t>
    <rPh sb="0" eb="2">
      <t>サイガイ</t>
    </rPh>
    <rPh sb="2" eb="4">
      <t>フッキュウ</t>
    </rPh>
    <rPh sb="4" eb="5">
      <t>ヒ</t>
    </rPh>
    <rPh sb="5" eb="7">
      <t>コッコ</t>
    </rPh>
    <rPh sb="7" eb="10">
      <t>ホジョキン</t>
    </rPh>
    <phoneticPr fontId="2"/>
  </si>
  <si>
    <t>災害復旧に係る経費
の課税支出割合</t>
    <rPh sb="0" eb="2">
      <t>サイガイ</t>
    </rPh>
    <rPh sb="2" eb="4">
      <t>フッキュウ</t>
    </rPh>
    <rPh sb="5" eb="6">
      <t>カカ</t>
    </rPh>
    <rPh sb="7" eb="9">
      <t>ケイヒ</t>
    </rPh>
    <rPh sb="11" eb="13">
      <t>カゼイ</t>
    </rPh>
    <rPh sb="13" eb="15">
      <t>シシュツ</t>
    </rPh>
    <rPh sb="15" eb="17">
      <t>ワリアイ</t>
    </rPh>
    <phoneticPr fontId="2"/>
  </si>
  <si>
    <t>災害復旧に係る経費
に対する国庫補助金</t>
    <rPh sb="0" eb="2">
      <t>サイガイ</t>
    </rPh>
    <rPh sb="2" eb="4">
      <t>フッキュウ</t>
    </rPh>
    <rPh sb="5" eb="6">
      <t>カカ</t>
    </rPh>
    <rPh sb="7" eb="9">
      <t>ケイヒ</t>
    </rPh>
    <rPh sb="11" eb="12">
      <t>タイ</t>
    </rPh>
    <rPh sb="14" eb="16">
      <t>コッコ</t>
    </rPh>
    <rPh sb="16" eb="19">
      <t>ホジョキン</t>
    </rPh>
    <phoneticPr fontId="2"/>
  </si>
  <si>
    <t>収益的支出の課税支出割合</t>
    <rPh sb="0" eb="3">
      <t>シュウエキテキ</t>
    </rPh>
    <rPh sb="3" eb="5">
      <t>シシュツ</t>
    </rPh>
    <rPh sb="6" eb="8">
      <t>カゼイ</t>
    </rPh>
    <rPh sb="8" eb="10">
      <t>シシュツ</t>
    </rPh>
    <rPh sb="10" eb="12">
      <t>ワリアイ</t>
    </rPh>
    <phoneticPr fontId="2"/>
  </si>
  <si>
    <t>管路課</t>
    <rPh sb="0" eb="1">
      <t>カン</t>
    </rPh>
    <rPh sb="1" eb="2">
      <t>ロ</t>
    </rPh>
    <rPh sb="2" eb="3">
      <t>カ</t>
    </rPh>
    <phoneticPr fontId="2"/>
  </si>
  <si>
    <t>管路等・都市水</t>
    <rPh sb="0" eb="1">
      <t>カン</t>
    </rPh>
    <rPh sb="1" eb="2">
      <t>ロ</t>
    </rPh>
    <rPh sb="2" eb="3">
      <t>トウ</t>
    </rPh>
    <rPh sb="4" eb="6">
      <t>トシ</t>
    </rPh>
    <rPh sb="6" eb="7">
      <t>ミズ</t>
    </rPh>
    <phoneticPr fontId="2"/>
  </si>
  <si>
    <t>公共下水道整備事業
流域下水道整備事業</t>
    <rPh sb="0" eb="2">
      <t>コウキョウ</t>
    </rPh>
    <rPh sb="2" eb="5">
      <t>ゲスイドウ</t>
    </rPh>
    <rPh sb="5" eb="7">
      <t>セイビ</t>
    </rPh>
    <rPh sb="7" eb="9">
      <t>ジギョウ</t>
    </rPh>
    <rPh sb="10" eb="12">
      <t>リュウイキ</t>
    </rPh>
    <rPh sb="12" eb="15">
      <t>ゲスイドウ</t>
    </rPh>
    <rPh sb="15" eb="17">
      <t>セイビ</t>
    </rPh>
    <rPh sb="17" eb="19">
      <t>ジギョウ</t>
    </rPh>
    <phoneticPr fontId="2"/>
  </si>
  <si>
    <t>支出額</t>
    <rPh sb="0" eb="2">
      <t>シシュツ</t>
    </rPh>
    <rPh sb="2" eb="3">
      <t>ガク</t>
    </rPh>
    <phoneticPr fontId="2"/>
  </si>
  <si>
    <t>補助事業分(現年)</t>
    <rPh sb="0" eb="2">
      <t>ホジョ</t>
    </rPh>
    <rPh sb="2" eb="4">
      <t>ジギョウ</t>
    </rPh>
    <rPh sb="4" eb="5">
      <t>ブン</t>
    </rPh>
    <rPh sb="6" eb="7">
      <t>ゲン</t>
    </rPh>
    <rPh sb="7" eb="8">
      <t>ネン</t>
    </rPh>
    <phoneticPr fontId="2"/>
  </si>
  <si>
    <t>起債事業分(現年)</t>
    <rPh sb="0" eb="2">
      <t>キサイ</t>
    </rPh>
    <rPh sb="2" eb="4">
      <t>ジギョウ</t>
    </rPh>
    <rPh sb="4" eb="5">
      <t>ブン</t>
    </rPh>
    <rPh sb="6" eb="7">
      <t>ゲン</t>
    </rPh>
    <rPh sb="7" eb="8">
      <t>ネン</t>
    </rPh>
    <phoneticPr fontId="2"/>
  </si>
  <si>
    <t xml:space="preserve">
特
定
環
境
保
全
公
共
下
水
道</t>
    <rPh sb="1" eb="2">
      <t>トク</t>
    </rPh>
    <rPh sb="4" eb="5">
      <t>サダム</t>
    </rPh>
    <rPh sb="7" eb="8">
      <t>ワ</t>
    </rPh>
    <rPh sb="10" eb="11">
      <t>サカイ</t>
    </rPh>
    <rPh sb="13" eb="14">
      <t>ホ</t>
    </rPh>
    <rPh sb="16" eb="17">
      <t>ゼン</t>
    </rPh>
    <rPh sb="19" eb="23">
      <t>コウキョウ</t>
    </rPh>
    <rPh sb="25" eb="32">
      <t>ゲスイドウ</t>
    </rPh>
    <phoneticPr fontId="2"/>
  </si>
  <si>
    <t xml:space="preserve">
農
業
集
落
排
水</t>
    <rPh sb="1" eb="2">
      <t>ノウ</t>
    </rPh>
    <rPh sb="4" eb="5">
      <t>ギョウ</t>
    </rPh>
    <rPh sb="7" eb="8">
      <t>シュウ</t>
    </rPh>
    <rPh sb="10" eb="11">
      <t>オチ</t>
    </rPh>
    <rPh sb="13" eb="14">
      <t>ハイ</t>
    </rPh>
    <rPh sb="16" eb="17">
      <t>ミズ</t>
    </rPh>
    <phoneticPr fontId="2"/>
  </si>
  <si>
    <t>処理場・一般</t>
    <rPh sb="0" eb="3">
      <t>ショリジョウ</t>
    </rPh>
    <rPh sb="4" eb="6">
      <t>イッパン</t>
    </rPh>
    <phoneticPr fontId="2"/>
  </si>
  <si>
    <t>処理場・一般
(繰越分)</t>
    <rPh sb="0" eb="3">
      <t>ショリジョウ</t>
    </rPh>
    <rPh sb="4" eb="6">
      <t>イッパン</t>
    </rPh>
    <rPh sb="8" eb="10">
      <t>クリコシ</t>
    </rPh>
    <rPh sb="10" eb="11">
      <t>ブン</t>
    </rPh>
    <phoneticPr fontId="2"/>
  </si>
  <si>
    <t>浄化槽</t>
    <rPh sb="0" eb="2">
      <t>ジョウカ</t>
    </rPh>
    <rPh sb="2" eb="3">
      <t>ソウ</t>
    </rPh>
    <phoneticPr fontId="2"/>
  </si>
  <si>
    <t xml:space="preserve">
市
営
浄
化
槽</t>
    <rPh sb="1" eb="2">
      <t>シ</t>
    </rPh>
    <rPh sb="4" eb="5">
      <t>エイ</t>
    </rPh>
    <rPh sb="7" eb="8">
      <t>ジョウ</t>
    </rPh>
    <rPh sb="10" eb="11">
      <t>カ</t>
    </rPh>
    <rPh sb="13" eb="14">
      <t>ソウ</t>
    </rPh>
    <phoneticPr fontId="2"/>
  </si>
  <si>
    <t>受益者分担金の事業別金額</t>
    <rPh sb="0" eb="3">
      <t>ジュエキシャ</t>
    </rPh>
    <rPh sb="3" eb="6">
      <t>ブンタンキン</t>
    </rPh>
    <rPh sb="7" eb="9">
      <t>ジギョウ</t>
    </rPh>
    <rPh sb="9" eb="10">
      <t>ベツ</t>
    </rPh>
    <rPh sb="10" eb="12">
      <t>キンガク</t>
    </rPh>
    <phoneticPr fontId="2"/>
  </si>
  <si>
    <t>受益者分担金</t>
    <rPh sb="0" eb="3">
      <t>ジュエキシャ</t>
    </rPh>
    <rPh sb="3" eb="6">
      <t>ブンタンキン</t>
    </rPh>
    <phoneticPr fontId="2"/>
  </si>
  <si>
    <t>特
環</t>
    <rPh sb="0" eb="1">
      <t>トク</t>
    </rPh>
    <rPh sb="2" eb="3">
      <t>ワ</t>
    </rPh>
    <phoneticPr fontId="2"/>
  </si>
  <si>
    <t>農
集</t>
    <rPh sb="0" eb="1">
      <t>ノウ</t>
    </rPh>
    <rPh sb="2" eb="3">
      <t>シュウ</t>
    </rPh>
    <phoneticPr fontId="2"/>
  </si>
  <si>
    <t>浄
化
槽</t>
    <rPh sb="0" eb="1">
      <t>ジョウ</t>
    </rPh>
    <rPh sb="2" eb="3">
      <t>カ</t>
    </rPh>
    <rPh sb="4" eb="5">
      <t>ソウ</t>
    </rPh>
    <phoneticPr fontId="2"/>
  </si>
  <si>
    <t>受益者分担金</t>
    <rPh sb="0" eb="3">
      <t>ジュエキシャ</t>
    </rPh>
    <rPh sb="3" eb="4">
      <t>ブン</t>
    </rPh>
    <rPh sb="4" eb="5">
      <t>タン</t>
    </rPh>
    <rPh sb="5" eb="6">
      <t>カネ</t>
    </rPh>
    <phoneticPr fontId="2"/>
  </si>
  <si>
    <t>汚水処理施設整備交付金</t>
    <rPh sb="0" eb="2">
      <t>オスイ</t>
    </rPh>
    <rPh sb="2" eb="4">
      <t>ショリ</t>
    </rPh>
    <rPh sb="4" eb="6">
      <t>シセツ</t>
    </rPh>
    <rPh sb="6" eb="8">
      <t>セイビ</t>
    </rPh>
    <rPh sb="8" eb="11">
      <t>コウフキン</t>
    </rPh>
    <phoneticPr fontId="2"/>
  </si>
  <si>
    <t>特環</t>
    <rPh sb="0" eb="2">
      <t>トッカン</t>
    </rPh>
    <phoneticPr fontId="2"/>
  </si>
  <si>
    <t>農集</t>
    <rPh sb="0" eb="1">
      <t>ノウ</t>
    </rPh>
    <rPh sb="1" eb="2">
      <t>シュウ</t>
    </rPh>
    <phoneticPr fontId="2"/>
  </si>
  <si>
    <t>浄化槽</t>
    <rPh sb="0" eb="3">
      <t>ジョウカソウ</t>
    </rPh>
    <phoneticPr fontId="2"/>
  </si>
  <si>
    <t xml:space="preserve"> </t>
    <phoneticPr fontId="2"/>
  </si>
  <si>
    <t>更正有り</t>
    <rPh sb="0" eb="2">
      <t>コウセイ</t>
    </rPh>
    <rPh sb="2" eb="3">
      <t>ア</t>
    </rPh>
    <phoneticPr fontId="2"/>
  </si>
  <si>
    <t>その他国庫補助金</t>
    <rPh sb="2" eb="3">
      <t>タ</t>
    </rPh>
    <rPh sb="3" eb="5">
      <t>コッコ</t>
    </rPh>
    <rPh sb="5" eb="8">
      <t>ホジョキン</t>
    </rPh>
    <phoneticPr fontId="2"/>
  </si>
  <si>
    <t>　</t>
    <phoneticPr fontId="2"/>
  </si>
  <si>
    <t>管路等・工事国債</t>
    <rPh sb="0" eb="1">
      <t>カン</t>
    </rPh>
    <rPh sb="1" eb="2">
      <t>ロ</t>
    </rPh>
    <rPh sb="2" eb="3">
      <t>トウ</t>
    </rPh>
    <rPh sb="4" eb="6">
      <t>コウジ</t>
    </rPh>
    <rPh sb="6" eb="8">
      <t>コクサイ</t>
    </rPh>
    <phoneticPr fontId="2"/>
  </si>
  <si>
    <t>社会資本整備総合交付金</t>
    <rPh sb="0" eb="2">
      <t>シャカイ</t>
    </rPh>
    <rPh sb="2" eb="4">
      <t>シホン</t>
    </rPh>
    <rPh sb="4" eb="6">
      <t>セイビ</t>
    </rPh>
    <rPh sb="6" eb="8">
      <t>ソウゴウ</t>
    </rPh>
    <rPh sb="8" eb="11">
      <t>コウフキン</t>
    </rPh>
    <phoneticPr fontId="2"/>
  </si>
  <si>
    <t>汚水処理施設整備
補助事業充当分</t>
    <rPh sb="0" eb="2">
      <t>オスイ</t>
    </rPh>
    <rPh sb="2" eb="4">
      <t>ショリ</t>
    </rPh>
    <rPh sb="4" eb="6">
      <t>シセツ</t>
    </rPh>
    <rPh sb="6" eb="8">
      <t>セイビ</t>
    </rPh>
    <rPh sb="9" eb="11">
      <t>ホジョ</t>
    </rPh>
    <rPh sb="11" eb="13">
      <t>ジギョウ</t>
    </rPh>
    <rPh sb="13" eb="15">
      <t>ジュウトウ</t>
    </rPh>
    <rPh sb="15" eb="16">
      <t>トウブン</t>
    </rPh>
    <phoneticPr fontId="2"/>
  </si>
  <si>
    <t>汚水処理施設整備
交付事業充当分</t>
    <rPh sb="0" eb="2">
      <t>オスイ</t>
    </rPh>
    <rPh sb="2" eb="4">
      <t>ショリ</t>
    </rPh>
    <rPh sb="4" eb="6">
      <t>シセツ</t>
    </rPh>
    <rPh sb="6" eb="8">
      <t>セイビ</t>
    </rPh>
    <rPh sb="9" eb="11">
      <t>コウフ</t>
    </rPh>
    <rPh sb="11" eb="13">
      <t>ジギョウ</t>
    </rPh>
    <rPh sb="13" eb="15">
      <t>ジュウトウ</t>
    </rPh>
    <rPh sb="15" eb="16">
      <t>トウブン</t>
    </rPh>
    <phoneticPr fontId="2"/>
  </si>
  <si>
    <t>汚水処理処理施設整備
起債事業充当分</t>
    <rPh sb="0" eb="2">
      <t>オスイ</t>
    </rPh>
    <rPh sb="2" eb="4">
      <t>ショリ</t>
    </rPh>
    <rPh sb="4" eb="6">
      <t>ショリ</t>
    </rPh>
    <rPh sb="6" eb="8">
      <t>シセツ</t>
    </rPh>
    <rPh sb="8" eb="10">
      <t>セイビ</t>
    </rPh>
    <rPh sb="11" eb="13">
      <t>キサイ</t>
    </rPh>
    <rPh sb="13" eb="15">
      <t>ジギョウ</t>
    </rPh>
    <rPh sb="15" eb="17">
      <t>ジュウトウ</t>
    </rPh>
    <rPh sb="17" eb="18">
      <t>ブン</t>
    </rPh>
    <phoneticPr fontId="2"/>
  </si>
  <si>
    <t>汚水処理施設整備
起債事業充当分</t>
    <rPh sb="0" eb="2">
      <t>オスイ</t>
    </rPh>
    <rPh sb="2" eb="4">
      <t>ショリ</t>
    </rPh>
    <rPh sb="4" eb="6">
      <t>シセツ</t>
    </rPh>
    <rPh sb="6" eb="8">
      <t>セイビ</t>
    </rPh>
    <rPh sb="9" eb="11">
      <t>キサイ</t>
    </rPh>
    <rPh sb="11" eb="13">
      <t>ジギョウ</t>
    </rPh>
    <rPh sb="13" eb="15">
      <t>ジュウトウ</t>
    </rPh>
    <rPh sb="15" eb="16">
      <t>ブン</t>
    </rPh>
    <phoneticPr fontId="2"/>
  </si>
  <si>
    <t>その他国庫補助金</t>
    <phoneticPr fontId="2"/>
  </si>
  <si>
    <t>管路等・一般(繰越分)</t>
    <rPh sb="0" eb="1">
      <t>カン</t>
    </rPh>
    <rPh sb="1" eb="2">
      <t>ロ</t>
    </rPh>
    <rPh sb="2" eb="3">
      <t>トウ</t>
    </rPh>
    <rPh sb="4" eb="6">
      <t>イッパン</t>
    </rPh>
    <phoneticPr fontId="2"/>
  </si>
  <si>
    <t>管路等・一般</t>
  </si>
  <si>
    <t>前年度からの繰越分</t>
    <rPh sb="0" eb="3">
      <t>ゼンネンド</t>
    </rPh>
    <rPh sb="6" eb="8">
      <t>クリコシ</t>
    </rPh>
    <rPh sb="8" eb="9">
      <t>ブン</t>
    </rPh>
    <phoneticPr fontId="2"/>
  </si>
  <si>
    <t>前々年度からの繰越分</t>
    <rPh sb="0" eb="2">
      <t>マエマエ</t>
    </rPh>
    <rPh sb="2" eb="4">
      <t>ネンド</t>
    </rPh>
    <rPh sb="7" eb="9">
      <t>クリコシ</t>
    </rPh>
    <rPh sb="9" eb="10">
      <t>ブン</t>
    </rPh>
    <phoneticPr fontId="2"/>
  </si>
  <si>
    <t>その他補助金</t>
    <rPh sb="2" eb="3">
      <t>タ</t>
    </rPh>
    <rPh sb="3" eb="6">
      <t>ホジョキン</t>
    </rPh>
    <phoneticPr fontId="2"/>
  </si>
  <si>
    <t>被災地支援に係る経費
の課税支出割合</t>
    <rPh sb="0" eb="3">
      <t>ヒサイチ</t>
    </rPh>
    <rPh sb="3" eb="5">
      <t>シエン</t>
    </rPh>
    <rPh sb="6" eb="7">
      <t>カカ</t>
    </rPh>
    <rPh sb="8" eb="10">
      <t>ケイヒ</t>
    </rPh>
    <rPh sb="12" eb="14">
      <t>カゼイ</t>
    </rPh>
    <rPh sb="14" eb="16">
      <t>シシュツ</t>
    </rPh>
    <rPh sb="16" eb="18">
      <t>ワリアイ</t>
    </rPh>
    <phoneticPr fontId="2"/>
  </si>
  <si>
    <t>被災地支援に係る経費
の課税支出割合</t>
    <phoneticPr fontId="2"/>
  </si>
  <si>
    <t>熊本地震被災地支援経費
に対する一般会計負担額</t>
    <rPh sb="13" eb="14">
      <t>タイ</t>
    </rPh>
    <rPh sb="16" eb="18">
      <t>イッパン</t>
    </rPh>
    <rPh sb="18" eb="20">
      <t>カイケイ</t>
    </rPh>
    <rPh sb="20" eb="22">
      <t>フタン</t>
    </rPh>
    <rPh sb="22" eb="23">
      <t>ガク</t>
    </rPh>
    <phoneticPr fontId="2"/>
  </si>
  <si>
    <t>利息</t>
    <rPh sb="0" eb="1">
      <t>リ</t>
    </rPh>
    <rPh sb="1" eb="2">
      <t>イキ</t>
    </rPh>
    <phoneticPr fontId="2"/>
  </si>
  <si>
    <t xml:space="preserve">
３
月
分</t>
    <phoneticPr fontId="2"/>
  </si>
  <si>
    <t xml:space="preserve">
合
計</t>
    <rPh sb="2" eb="3">
      <t>ゴウ</t>
    </rPh>
    <rPh sb="9" eb="10">
      <t>ケイ</t>
    </rPh>
    <phoneticPr fontId="2"/>
  </si>
  <si>
    <t>年度</t>
    <phoneticPr fontId="2"/>
  </si>
  <si>
    <t>イ</t>
  </si>
  <si>
    <t>起債借入に伴う償還金</t>
  </si>
  <si>
    <t>区      分</t>
  </si>
  <si>
    <t>２年度</t>
  </si>
  <si>
    <t>①</t>
    <phoneticPr fontId="2"/>
  </si>
  <si>
    <t>（運用部）</t>
  </si>
  <si>
    <t>年　間</t>
    <rPh sb="0" eb="3">
      <t>ネンカン</t>
    </rPh>
    <phoneticPr fontId="2"/>
  </si>
  <si>
    <t>借入分</t>
  </si>
  <si>
    <t>３年度</t>
  </si>
  <si>
    <t>②</t>
    <phoneticPr fontId="2"/>
  </si>
  <si>
    <t>４年度</t>
  </si>
  <si>
    <t>③</t>
    <phoneticPr fontId="2"/>
  </si>
  <si>
    <t>５年度</t>
  </si>
  <si>
    <t>④</t>
    <phoneticPr fontId="2"/>
  </si>
  <si>
    <t>６年度</t>
  </si>
  <si>
    <t>⑤</t>
    <phoneticPr fontId="2"/>
  </si>
  <si>
    <t>７年度</t>
  </si>
  <si>
    <t>⑥</t>
    <phoneticPr fontId="2"/>
  </si>
  <si>
    <t>８年度</t>
  </si>
  <si>
    <t>⑦</t>
    <phoneticPr fontId="2"/>
  </si>
  <si>
    <t>９年度</t>
  </si>
  <si>
    <t>⑧</t>
    <phoneticPr fontId="2"/>
  </si>
  <si>
    <t>１０年度</t>
  </si>
  <si>
    <t>⑨</t>
    <phoneticPr fontId="2"/>
  </si>
  <si>
    <t>１１年度</t>
  </si>
  <si>
    <t>⑩</t>
    <phoneticPr fontId="2"/>
  </si>
  <si>
    <t>（公   庫）</t>
    <rPh sb="1" eb="6">
      <t>コウコ</t>
    </rPh>
    <phoneticPr fontId="2"/>
  </si>
  <si>
    <t>１２年度</t>
  </si>
  <si>
    <t>⑪</t>
    <phoneticPr fontId="2"/>
  </si>
  <si>
    <t>（H11→12繰越）</t>
    <rPh sb="7" eb="9">
      <t>クリコシ</t>
    </rPh>
    <phoneticPr fontId="2"/>
  </si>
  <si>
    <t>公庫借入分</t>
    <rPh sb="0" eb="2">
      <t>コウコ</t>
    </rPh>
    <phoneticPr fontId="2"/>
  </si>
  <si>
    <t>１２年度</t>
    <phoneticPr fontId="2"/>
  </si>
  <si>
    <t>⑫</t>
    <phoneticPr fontId="2"/>
  </si>
  <si>
    <t>（現年分）</t>
    <rPh sb="1" eb="2">
      <t>ゲン</t>
    </rPh>
    <rPh sb="2" eb="3">
      <t>ネン</t>
    </rPh>
    <rPh sb="3" eb="4">
      <t>ブン</t>
    </rPh>
    <phoneticPr fontId="2"/>
  </si>
  <si>
    <t>１３年度</t>
    <phoneticPr fontId="2"/>
  </si>
  <si>
    <t>⑬</t>
    <phoneticPr fontId="2"/>
  </si>
  <si>
    <t>（H12→13繰越）</t>
    <rPh sb="7" eb="9">
      <t>クリコシ</t>
    </rPh>
    <phoneticPr fontId="2"/>
  </si>
  <si>
    <t>１3年度</t>
    <phoneticPr fontId="2"/>
  </si>
  <si>
    <t>⑭</t>
    <phoneticPr fontId="2"/>
  </si>
  <si>
    <t>１４年度</t>
    <phoneticPr fontId="2"/>
  </si>
  <si>
    <t>⑮</t>
    <phoneticPr fontId="2"/>
  </si>
  <si>
    <t>２０年度</t>
    <phoneticPr fontId="2"/>
  </si>
  <si>
    <t>⑯</t>
    <phoneticPr fontId="2"/>
  </si>
  <si>
    <t>（H19→20繰越）</t>
    <phoneticPr fontId="2"/>
  </si>
  <si>
    <t>元金</t>
    <rPh sb="0" eb="2">
      <t>ガンキン</t>
    </rPh>
    <phoneticPr fontId="2"/>
  </si>
  <si>
    <t>過年度分手当等の戻入</t>
    <rPh sb="0" eb="3">
      <t>カネンド</t>
    </rPh>
    <rPh sb="3" eb="4">
      <t>ブン</t>
    </rPh>
    <rPh sb="4" eb="6">
      <t>テアテ</t>
    </rPh>
    <rPh sb="6" eb="7">
      <t>トウ</t>
    </rPh>
    <rPh sb="8" eb="10">
      <t>レイニュウ</t>
    </rPh>
    <phoneticPr fontId="2"/>
  </si>
  <si>
    <t>契約解除に伴う履行保証保険金</t>
  </si>
  <si>
    <t>貸倒引当金戻入益</t>
    <rPh sb="0" eb="2">
      <t>カシダオレ</t>
    </rPh>
    <rPh sb="2" eb="4">
      <t>ヒキアテ</t>
    </rPh>
    <rPh sb="4" eb="5">
      <t>キン</t>
    </rPh>
    <rPh sb="5" eb="7">
      <t>レイニュウ</t>
    </rPh>
    <rPh sb="7" eb="8">
      <t>エキ</t>
    </rPh>
    <phoneticPr fontId="2"/>
  </si>
  <si>
    <t>賞与引当金戻入益</t>
    <rPh sb="0" eb="2">
      <t>ショウヨ</t>
    </rPh>
    <rPh sb="2" eb="4">
      <t>ヒキアテ</t>
    </rPh>
    <rPh sb="4" eb="5">
      <t>キン</t>
    </rPh>
    <rPh sb="5" eb="7">
      <t>レイニュウ</t>
    </rPh>
    <rPh sb="7" eb="8">
      <t>エキ</t>
    </rPh>
    <phoneticPr fontId="2"/>
  </si>
  <si>
    <t>過年度損益修正益</t>
    <rPh sb="0" eb="3">
      <t>カネンド</t>
    </rPh>
    <rPh sb="3" eb="5">
      <t>ソンエキ</t>
    </rPh>
    <rPh sb="5" eb="7">
      <t>シュウセイ</t>
    </rPh>
    <rPh sb="7" eb="8">
      <t>エキ</t>
    </rPh>
    <phoneticPr fontId="2"/>
  </si>
  <si>
    <t>その他特別利益</t>
    <rPh sb="2" eb="3">
      <t>タ</t>
    </rPh>
    <rPh sb="3" eb="5">
      <t>トクベツ</t>
    </rPh>
    <rPh sb="5" eb="7">
      <t>リエキ</t>
    </rPh>
    <phoneticPr fontId="2"/>
  </si>
  <si>
    <t>その他特別利益　小計</t>
    <rPh sb="2" eb="3">
      <t>タ</t>
    </rPh>
    <rPh sb="3" eb="5">
      <t>トクベツ</t>
    </rPh>
    <rPh sb="5" eb="7">
      <t>リエキ</t>
    </rPh>
    <rPh sb="8" eb="9">
      <t>ショウ</t>
    </rPh>
    <rPh sb="9" eb="10">
      <t>ケイ</t>
    </rPh>
    <phoneticPr fontId="2"/>
  </si>
  <si>
    <t>特定収入内訳（上段：課税支出額、下段特定収入の按分）</t>
    <rPh sb="0" eb="2">
      <t>トクテイ</t>
    </rPh>
    <rPh sb="2" eb="4">
      <t>シュウニュウ</t>
    </rPh>
    <rPh sb="4" eb="6">
      <t>ウチワケ</t>
    </rPh>
    <rPh sb="7" eb="9">
      <t>ジョウダン</t>
    </rPh>
    <rPh sb="10" eb="12">
      <t>カゼイ</t>
    </rPh>
    <rPh sb="12" eb="14">
      <t>シシュツ</t>
    </rPh>
    <rPh sb="14" eb="15">
      <t>ガク</t>
    </rPh>
    <rPh sb="16" eb="18">
      <t>カダン</t>
    </rPh>
    <rPh sb="18" eb="20">
      <t>トクテイ</t>
    </rPh>
    <rPh sb="20" eb="22">
      <t>シュウニュウ</t>
    </rPh>
    <rPh sb="23" eb="25">
      <t>アンブン</t>
    </rPh>
    <phoneticPr fontId="2"/>
  </si>
  <si>
    <t>他会計負担金</t>
    <rPh sb="0" eb="1">
      <t>タ</t>
    </rPh>
    <rPh sb="1" eb="3">
      <t>カイケイ</t>
    </rPh>
    <rPh sb="3" eb="6">
      <t>フタンキン</t>
    </rPh>
    <phoneticPr fontId="2"/>
  </si>
  <si>
    <t>その他の収入</t>
    <rPh sb="2" eb="3">
      <t>タ</t>
    </rPh>
    <rPh sb="4" eb="6">
      <t>シュウニュウ</t>
    </rPh>
    <phoneticPr fontId="2"/>
  </si>
  <si>
    <t>小　　　　計</t>
    <rPh sb="0" eb="1">
      <t>ショウ</t>
    </rPh>
    <rPh sb="5" eb="6">
      <t>ケイ</t>
    </rPh>
    <phoneticPr fontId="2"/>
  </si>
  <si>
    <t>小　　　計</t>
    <rPh sb="0" eb="1">
      <t>ショウ</t>
    </rPh>
    <rPh sb="4" eb="5">
      <t>ケイ</t>
    </rPh>
    <phoneticPr fontId="2"/>
  </si>
  <si>
    <t>消費税及び地方消費税
還付金</t>
    <phoneticPr fontId="2"/>
  </si>
  <si>
    <t>雨汚水シート　一般会計繰入金　税抜き決算額　（控除不可消費税等の雑支出の配分前）</t>
    <rPh sb="0" eb="1">
      <t>ウ</t>
    </rPh>
    <rPh sb="1" eb="3">
      <t>オスイ</t>
    </rPh>
    <phoneticPr fontId="2"/>
  </si>
  <si>
    <t>チェック</t>
    <phoneticPr fontId="2"/>
  </si>
  <si>
    <t>3条収入シート　他会計負担金</t>
    <rPh sb="1" eb="2">
      <t>ジョウ</t>
    </rPh>
    <rPh sb="2" eb="4">
      <t>シュウニュウ</t>
    </rPh>
    <rPh sb="8" eb="9">
      <t>タ</t>
    </rPh>
    <rPh sb="9" eb="11">
      <t>カイケイ</t>
    </rPh>
    <rPh sb="11" eb="14">
      <t>フタンキン</t>
    </rPh>
    <phoneticPr fontId="2"/>
  </si>
  <si>
    <t>3条収入シート</t>
    <phoneticPr fontId="2"/>
  </si>
  <si>
    <t>雑収益</t>
    <rPh sb="0" eb="3">
      <t>ザツシュウエキ</t>
    </rPh>
    <phoneticPr fontId="2"/>
  </si>
  <si>
    <t>消費税還付</t>
    <rPh sb="0" eb="3">
      <t>ショウヒゼイ</t>
    </rPh>
    <rPh sb="3" eb="5">
      <t>カンプ</t>
    </rPh>
    <phoneticPr fontId="2"/>
  </si>
  <si>
    <t>過年度修正益</t>
    <rPh sb="0" eb="3">
      <t>カネンド</t>
    </rPh>
    <rPh sb="3" eb="5">
      <t>シュウセイ</t>
    </rPh>
    <rPh sb="5" eb="6">
      <t>エキ</t>
    </rPh>
    <phoneticPr fontId="2"/>
  </si>
  <si>
    <t>その他特利</t>
    <rPh sb="2" eb="3">
      <t>タ</t>
    </rPh>
    <rPh sb="3" eb="5">
      <t>トクリ</t>
    </rPh>
    <phoneticPr fontId="2"/>
  </si>
  <si>
    <t>計</t>
    <rPh sb="0" eb="1">
      <t>ケイ</t>
    </rPh>
    <phoneticPr fontId="2"/>
  </si>
  <si>
    <t>特定収入以外</t>
    <rPh sb="0" eb="2">
      <t>トクテイ</t>
    </rPh>
    <rPh sb="2" eb="4">
      <t>シュウニュウ</t>
    </rPh>
    <rPh sb="4" eb="6">
      <t>イガイ</t>
    </rPh>
    <phoneticPr fontId="2"/>
  </si>
  <si>
    <t>下水道損害賠償保険
保険金</t>
    <rPh sb="0" eb="3">
      <t>ゲスイドウ</t>
    </rPh>
    <rPh sb="3" eb="5">
      <t>ソンガイ</t>
    </rPh>
    <rPh sb="5" eb="7">
      <t>バイショウ</t>
    </rPh>
    <rPh sb="7" eb="9">
      <t>ホケン</t>
    </rPh>
    <rPh sb="10" eb="13">
      <t>ホケンキン</t>
    </rPh>
    <phoneticPr fontId="2"/>
  </si>
  <si>
    <t>4条収入シート　工事負担金</t>
    <rPh sb="1" eb="2">
      <t>ジョウ</t>
    </rPh>
    <rPh sb="2" eb="4">
      <t>シュウニュウ</t>
    </rPh>
    <rPh sb="8" eb="10">
      <t>コウジ</t>
    </rPh>
    <rPh sb="10" eb="13">
      <t>フタンキン</t>
    </rPh>
    <phoneticPr fontId="2"/>
  </si>
  <si>
    <t>税
率</t>
    <rPh sb="0" eb="1">
      <t>ゼイ</t>
    </rPh>
    <rPh sb="2" eb="3">
      <t>リツ</t>
    </rPh>
    <phoneticPr fontId="2"/>
  </si>
  <si>
    <t>税率別特定収入</t>
    <rPh sb="0" eb="2">
      <t>ゼイリツ</t>
    </rPh>
    <rPh sb="2" eb="3">
      <t>ベツ</t>
    </rPh>
    <rPh sb="3" eb="5">
      <t>トクテイ</t>
    </rPh>
    <rPh sb="5" eb="7">
      <t>シュウニュウ</t>
    </rPh>
    <phoneticPr fontId="2"/>
  </si>
  <si>
    <t>税率</t>
    <rPh sb="0" eb="2">
      <t>ゼイリツ</t>
    </rPh>
    <phoneticPr fontId="2"/>
  </si>
  <si>
    <t>計</t>
    <rPh sb="0" eb="1">
      <t>ケイ</t>
    </rPh>
    <phoneticPr fontId="2"/>
  </si>
  <si>
    <t>チェック</t>
    <phoneticPr fontId="2"/>
  </si>
  <si>
    <t>不課税支出に対応する不課税収入のため特定収入以外</t>
  </si>
  <si>
    <t>不課税支出に対応する不課税収入のため特定収入以外</t>
    <rPh sb="0" eb="1">
      <t>フ</t>
    </rPh>
    <rPh sb="1" eb="3">
      <t>カゼイ</t>
    </rPh>
    <rPh sb="3" eb="5">
      <t>シシュツ</t>
    </rPh>
    <rPh sb="6" eb="8">
      <t>タイオウ</t>
    </rPh>
    <rPh sb="10" eb="11">
      <t>フ</t>
    </rPh>
    <rPh sb="11" eb="13">
      <t>カゼイ</t>
    </rPh>
    <rPh sb="13" eb="15">
      <t>シュウニュウ</t>
    </rPh>
    <rPh sb="18" eb="20">
      <t>トクテイ</t>
    </rPh>
    <rPh sb="20" eb="22">
      <t>シュウニュウ</t>
    </rPh>
    <rPh sb="22" eb="24">
      <t>イガイ</t>
    </rPh>
    <phoneticPr fontId="2"/>
  </si>
  <si>
    <t>自動車損害共済
共済金</t>
    <rPh sb="0" eb="3">
      <t>ジドウシャ</t>
    </rPh>
    <rPh sb="3" eb="5">
      <t>ソンガイ</t>
    </rPh>
    <rPh sb="5" eb="7">
      <t>キョウサイ</t>
    </rPh>
    <rPh sb="8" eb="11">
      <t>キョウサイキン</t>
    </rPh>
    <phoneticPr fontId="2"/>
  </si>
  <si>
    <t>建物損害共済
共済金</t>
    <rPh sb="0" eb="2">
      <t>タテモノ</t>
    </rPh>
    <rPh sb="2" eb="4">
      <t>ソンガイ</t>
    </rPh>
    <rPh sb="4" eb="6">
      <t>キョウサイ</t>
    </rPh>
    <rPh sb="7" eb="10">
      <t>キョウサイキン</t>
    </rPh>
    <phoneticPr fontId="2"/>
  </si>
  <si>
    <t>収益的支出の
課税支出割合</t>
  </si>
  <si>
    <t>課税支出に対応する不課税収入のため特定収入</t>
  </si>
  <si>
    <t>按分方法</t>
    <rPh sb="0" eb="2">
      <t>アンブン</t>
    </rPh>
    <rPh sb="2" eb="4">
      <t>ホウホウ</t>
    </rPh>
    <phoneticPr fontId="2"/>
  </si>
  <si>
    <t>課税支出額</t>
    <rPh sb="0" eb="2">
      <t>カゼイ</t>
    </rPh>
    <rPh sb="2" eb="4">
      <t>シシュツ</t>
    </rPh>
    <rPh sb="4" eb="5">
      <t>ガク</t>
    </rPh>
    <phoneticPr fontId="2"/>
  </si>
  <si>
    <t>支出額合計</t>
    <rPh sb="0" eb="2">
      <t>シシュツ</t>
    </rPh>
    <rPh sb="2" eb="3">
      <t>ガク</t>
    </rPh>
    <rPh sb="3" eb="5">
      <t>ゴウケイ</t>
    </rPh>
    <phoneticPr fontId="2"/>
  </si>
  <si>
    <t>-</t>
    <phoneticPr fontId="2"/>
  </si>
  <si>
    <t>特定収入以外</t>
  </si>
  <si>
    <t>該当税率に「1」</t>
    <rPh sb="0" eb="2">
      <t>ガイトウ</t>
    </rPh>
    <rPh sb="2" eb="3">
      <t>ゼイ</t>
    </rPh>
    <rPh sb="3" eb="4">
      <t>リツ</t>
    </rPh>
    <phoneticPr fontId="2"/>
  </si>
  <si>
    <t>←コピペ用数式</t>
    <rPh sb="4" eb="5">
      <t>ヨウ</t>
    </rPh>
    <rPh sb="5" eb="7">
      <t>スウシキ</t>
    </rPh>
    <phoneticPr fontId="2"/>
  </si>
  <si>
    <t>-</t>
    <phoneticPr fontId="2"/>
  </si>
  <si>
    <t>過年度手当等支出の返還</t>
    <rPh sb="0" eb="3">
      <t>カネンド</t>
    </rPh>
    <rPh sb="3" eb="5">
      <t>テアテ</t>
    </rPh>
    <rPh sb="5" eb="6">
      <t>トウ</t>
    </rPh>
    <rPh sb="6" eb="8">
      <t>シシュツ</t>
    </rPh>
    <rPh sb="9" eb="11">
      <t>ヘンカン</t>
    </rPh>
    <phoneticPr fontId="2"/>
  </si>
  <si>
    <t>過年度貸倒引当金
繰入額支出の返還</t>
    <rPh sb="0" eb="3">
      <t>カネンド</t>
    </rPh>
    <rPh sb="3" eb="5">
      <t>カシダオレ</t>
    </rPh>
    <rPh sb="5" eb="7">
      <t>ヒキアテ</t>
    </rPh>
    <rPh sb="7" eb="8">
      <t>キン</t>
    </rPh>
    <rPh sb="9" eb="11">
      <t>クリイレ</t>
    </rPh>
    <rPh sb="11" eb="12">
      <t>ガク</t>
    </rPh>
    <rPh sb="12" eb="14">
      <t>シシュツ</t>
    </rPh>
    <rPh sb="15" eb="17">
      <t>ヘンカン</t>
    </rPh>
    <phoneticPr fontId="2"/>
  </si>
  <si>
    <t>過年度賞与引当金
繰入額支出の返還</t>
    <rPh sb="0" eb="3">
      <t>カネンド</t>
    </rPh>
    <rPh sb="3" eb="5">
      <t>ショウヨ</t>
    </rPh>
    <rPh sb="5" eb="7">
      <t>ヒキアテ</t>
    </rPh>
    <rPh sb="7" eb="8">
      <t>キン</t>
    </rPh>
    <rPh sb="9" eb="11">
      <t>クリイレ</t>
    </rPh>
    <rPh sb="11" eb="12">
      <t>ガク</t>
    </rPh>
    <rPh sb="12" eb="14">
      <t>シシュツ</t>
    </rPh>
    <rPh sb="15" eb="17">
      <t>ヘンカン</t>
    </rPh>
    <phoneticPr fontId="2"/>
  </si>
  <si>
    <t>端数
調整</t>
    <rPh sb="0" eb="2">
      <t>ハスウ</t>
    </rPh>
    <rPh sb="3" eb="5">
      <t>チョウセイ</t>
    </rPh>
    <phoneticPr fontId="2"/>
  </si>
  <si>
    <t>平成元年度</t>
    <rPh sb="0" eb="2">
      <t>ヘイセイ</t>
    </rPh>
    <rPh sb="2" eb="3">
      <t>ガン</t>
    </rPh>
    <rPh sb="3" eb="5">
      <t>ネンド</t>
    </rPh>
    <phoneticPr fontId="2"/>
  </si>
  <si>
    <t>平成2年度</t>
    <rPh sb="0" eb="2">
      <t>ヘイセイ</t>
    </rPh>
    <rPh sb="3" eb="5">
      <t>ネンド</t>
    </rPh>
    <phoneticPr fontId="2"/>
  </si>
  <si>
    <t>平成3年度</t>
    <rPh sb="0" eb="2">
      <t>ヘイセイ</t>
    </rPh>
    <rPh sb="3" eb="5">
      <t>ネンド</t>
    </rPh>
    <phoneticPr fontId="2"/>
  </si>
  <si>
    <t>平成4年度</t>
    <rPh sb="0" eb="2">
      <t>ヘイセイ</t>
    </rPh>
    <rPh sb="3" eb="5">
      <t>ネンド</t>
    </rPh>
    <phoneticPr fontId="2"/>
  </si>
  <si>
    <t>平成5年度</t>
    <rPh sb="0" eb="2">
      <t>ヘイセイ</t>
    </rPh>
    <rPh sb="3" eb="5">
      <t>ネンド</t>
    </rPh>
    <phoneticPr fontId="2"/>
  </si>
  <si>
    <t>平成6年度</t>
    <rPh sb="0" eb="2">
      <t>ヘイセイ</t>
    </rPh>
    <rPh sb="3" eb="5">
      <t>ネンド</t>
    </rPh>
    <phoneticPr fontId="2"/>
  </si>
  <si>
    <t>平成7年度</t>
    <rPh sb="0" eb="2">
      <t>ヘイセイ</t>
    </rPh>
    <rPh sb="3" eb="5">
      <t>ネンド</t>
    </rPh>
    <phoneticPr fontId="2"/>
  </si>
  <si>
    <t>平成8年度</t>
    <rPh sb="0" eb="2">
      <t>ヘイセイ</t>
    </rPh>
    <rPh sb="3" eb="5">
      <t>ネンド</t>
    </rPh>
    <phoneticPr fontId="2"/>
  </si>
  <si>
    <t>平成9年度</t>
    <rPh sb="0" eb="2">
      <t>ヘイセイ</t>
    </rPh>
    <rPh sb="3" eb="5">
      <t>ネンド</t>
    </rPh>
    <phoneticPr fontId="2"/>
  </si>
  <si>
    <t>平成10年度</t>
    <rPh sb="0" eb="2">
      <t>ヘイセイ</t>
    </rPh>
    <rPh sb="4" eb="6">
      <t>ネンド</t>
    </rPh>
    <phoneticPr fontId="2"/>
  </si>
  <si>
    <t>平成11年度</t>
    <rPh sb="0" eb="2">
      <t>ヘイセイ</t>
    </rPh>
    <rPh sb="4" eb="6">
      <t>ネンド</t>
    </rPh>
    <phoneticPr fontId="2"/>
  </si>
  <si>
    <t>平成12年度</t>
    <rPh sb="0" eb="2">
      <t>ヘイセイ</t>
    </rPh>
    <rPh sb="4" eb="6">
      <t>ネンド</t>
    </rPh>
    <phoneticPr fontId="2"/>
  </si>
  <si>
    <t>平成13年度</t>
    <rPh sb="0" eb="2">
      <t>ヘイセイ</t>
    </rPh>
    <rPh sb="4" eb="6">
      <t>ネンド</t>
    </rPh>
    <phoneticPr fontId="2"/>
  </si>
  <si>
    <t>平成14年度</t>
    <rPh sb="0" eb="2">
      <t>ヘイセイ</t>
    </rPh>
    <rPh sb="4" eb="6">
      <t>ネンド</t>
    </rPh>
    <phoneticPr fontId="2"/>
  </si>
  <si>
    <t>平成15年度</t>
    <rPh sb="0" eb="2">
      <t>ヘイセイ</t>
    </rPh>
    <rPh sb="4" eb="6">
      <t>ネンド</t>
    </rPh>
    <phoneticPr fontId="2"/>
  </si>
  <si>
    <t>平成16年度</t>
    <rPh sb="0" eb="2">
      <t>ヘイセイ</t>
    </rPh>
    <rPh sb="4" eb="6">
      <t>ネンド</t>
    </rPh>
    <phoneticPr fontId="2"/>
  </si>
  <si>
    <t>平成17年度</t>
    <rPh sb="0" eb="2">
      <t>ヘイセイ</t>
    </rPh>
    <rPh sb="4" eb="6">
      <t>ネンド</t>
    </rPh>
    <phoneticPr fontId="2"/>
  </si>
  <si>
    <t>平成18年度</t>
    <rPh sb="0" eb="2">
      <t>ヘイセイ</t>
    </rPh>
    <rPh sb="4" eb="6">
      <t>ネンド</t>
    </rPh>
    <phoneticPr fontId="2"/>
  </si>
  <si>
    <t>平成19年度</t>
    <rPh sb="0" eb="2">
      <t>ヘイセイ</t>
    </rPh>
    <rPh sb="4" eb="6">
      <t>ネンド</t>
    </rPh>
    <phoneticPr fontId="2"/>
  </si>
  <si>
    <t>平成20年度</t>
    <rPh sb="0" eb="2">
      <t>ヘイセイ</t>
    </rPh>
    <rPh sb="4" eb="6">
      <t>ネンド</t>
    </rPh>
    <phoneticPr fontId="2"/>
  </si>
  <si>
    <t>平成21年度</t>
    <rPh sb="0" eb="2">
      <t>ヘイセイ</t>
    </rPh>
    <rPh sb="4" eb="6">
      <t>ネンド</t>
    </rPh>
    <phoneticPr fontId="2"/>
  </si>
  <si>
    <t>平成22年度</t>
    <rPh sb="0" eb="2">
      <t>ヘイセイ</t>
    </rPh>
    <rPh sb="4" eb="6">
      <t>ネンド</t>
    </rPh>
    <phoneticPr fontId="2"/>
  </si>
  <si>
    <t>平成23年度</t>
    <rPh sb="0" eb="2">
      <t>ヘイセイ</t>
    </rPh>
    <rPh sb="4" eb="6">
      <t>ネンド</t>
    </rPh>
    <phoneticPr fontId="2"/>
  </si>
  <si>
    <t>平成24年度</t>
    <rPh sb="0" eb="2">
      <t>ヘイセイ</t>
    </rPh>
    <rPh sb="4" eb="6">
      <t>ネンド</t>
    </rPh>
    <phoneticPr fontId="2"/>
  </si>
  <si>
    <t>平成25年度</t>
    <rPh sb="0" eb="2">
      <t>ヘイセイ</t>
    </rPh>
    <rPh sb="4" eb="6">
      <t>ネンド</t>
    </rPh>
    <phoneticPr fontId="2"/>
  </si>
  <si>
    <t>平成26年度</t>
    <rPh sb="0" eb="2">
      <t>ヘイセイ</t>
    </rPh>
    <rPh sb="4" eb="6">
      <t>ネンド</t>
    </rPh>
    <phoneticPr fontId="2"/>
  </si>
  <si>
    <t>平成27年度</t>
    <rPh sb="0" eb="2">
      <t>ヘイセイ</t>
    </rPh>
    <rPh sb="4" eb="6">
      <t>ネンド</t>
    </rPh>
    <phoneticPr fontId="2"/>
  </si>
  <si>
    <t>平成28年度</t>
    <rPh sb="0" eb="2">
      <t>ヘイセイ</t>
    </rPh>
    <rPh sb="4" eb="6">
      <t>ネンド</t>
    </rPh>
    <phoneticPr fontId="2"/>
  </si>
  <si>
    <t>平成29年度</t>
    <rPh sb="0" eb="2">
      <t>ヘイセイ</t>
    </rPh>
    <rPh sb="4" eb="6">
      <t>ネンド</t>
    </rPh>
    <phoneticPr fontId="2"/>
  </si>
  <si>
    <t>平成30年度</t>
    <rPh sb="0" eb="2">
      <t>ヘイセイ</t>
    </rPh>
    <rPh sb="4" eb="6">
      <t>ネンド</t>
    </rPh>
    <phoneticPr fontId="2"/>
  </si>
  <si>
    <t>昭和57年度</t>
    <rPh sb="0" eb="2">
      <t>ショウワ</t>
    </rPh>
    <rPh sb="4" eb="5">
      <t>ネン</t>
    </rPh>
    <rPh sb="5" eb="6">
      <t>ド</t>
    </rPh>
    <phoneticPr fontId="2"/>
  </si>
  <si>
    <t>昭和58年度</t>
    <rPh sb="0" eb="2">
      <t>ショウワ</t>
    </rPh>
    <rPh sb="4" eb="5">
      <t>ネン</t>
    </rPh>
    <rPh sb="5" eb="6">
      <t>ド</t>
    </rPh>
    <phoneticPr fontId="2"/>
  </si>
  <si>
    <t>昭和59年度</t>
    <rPh sb="0" eb="2">
      <t>ショウワ</t>
    </rPh>
    <rPh sb="4" eb="5">
      <t>ネン</t>
    </rPh>
    <rPh sb="5" eb="6">
      <t>ド</t>
    </rPh>
    <phoneticPr fontId="2"/>
  </si>
  <si>
    <t>昭和60年度</t>
    <rPh sb="0" eb="2">
      <t>ショウワ</t>
    </rPh>
    <rPh sb="4" eb="5">
      <t>ネン</t>
    </rPh>
    <rPh sb="5" eb="6">
      <t>ド</t>
    </rPh>
    <phoneticPr fontId="2"/>
  </si>
  <si>
    <t>昭和61年度</t>
    <rPh sb="0" eb="2">
      <t>ショウワ</t>
    </rPh>
    <rPh sb="4" eb="5">
      <t>ネン</t>
    </rPh>
    <rPh sb="5" eb="6">
      <t>ド</t>
    </rPh>
    <phoneticPr fontId="2"/>
  </si>
  <si>
    <t>昭和62年度</t>
    <rPh sb="0" eb="2">
      <t>ショウワ</t>
    </rPh>
    <rPh sb="4" eb="5">
      <t>ネン</t>
    </rPh>
    <rPh sb="5" eb="6">
      <t>ド</t>
    </rPh>
    <phoneticPr fontId="2"/>
  </si>
  <si>
    <t>昭和63年度</t>
    <rPh sb="0" eb="2">
      <t>ショウワ</t>
    </rPh>
    <rPh sb="4" eb="5">
      <t>ネン</t>
    </rPh>
    <rPh sb="5" eb="6">
      <t>ド</t>
    </rPh>
    <phoneticPr fontId="2"/>
  </si>
  <si>
    <t xml:space="preserve">
３
月
分</t>
    <phoneticPr fontId="2"/>
  </si>
  <si>
    <t>支障公共施設の移転に関する補償金</t>
    <phoneticPr fontId="2"/>
  </si>
  <si>
    <t>消費税還付に伴う還付加算金</t>
    <phoneticPr fontId="2"/>
  </si>
  <si>
    <t>手当等の戻入</t>
    <rPh sb="0" eb="2">
      <t>テアテ</t>
    </rPh>
    <rPh sb="2" eb="3">
      <t>トウ</t>
    </rPh>
    <rPh sb="4" eb="6">
      <t>レイニュウ</t>
    </rPh>
    <phoneticPr fontId="2"/>
  </si>
  <si>
    <t>その他国庫補助金(公共）</t>
    <rPh sb="9" eb="11">
      <t>コウキョウ</t>
    </rPh>
    <phoneticPr fontId="2"/>
  </si>
  <si>
    <t>公共下水道事業</t>
    <rPh sb="0" eb="2">
      <t>コウキョウ</t>
    </rPh>
    <rPh sb="2" eb="5">
      <t>ゲスイドウ</t>
    </rPh>
    <rPh sb="5" eb="7">
      <t>ジギョウ</t>
    </rPh>
    <phoneticPr fontId="2"/>
  </si>
  <si>
    <t>公共土木施設災害
復旧事業費国庫負担金</t>
    <rPh sb="0" eb="2">
      <t>コウキョウ</t>
    </rPh>
    <rPh sb="2" eb="4">
      <t>ドボク</t>
    </rPh>
    <rPh sb="4" eb="6">
      <t>シセツ</t>
    </rPh>
    <rPh sb="6" eb="8">
      <t>サイガイ</t>
    </rPh>
    <rPh sb="9" eb="11">
      <t>フッキュウ</t>
    </rPh>
    <rPh sb="11" eb="13">
      <t>ジギョウ</t>
    </rPh>
    <rPh sb="13" eb="14">
      <t>ヒ</t>
    </rPh>
    <rPh sb="14" eb="16">
      <t>コッコ</t>
    </rPh>
    <rPh sb="16" eb="19">
      <t>フタンキン</t>
    </rPh>
    <phoneticPr fontId="2"/>
  </si>
  <si>
    <t>対象事業費×２／３</t>
    <rPh sb="0" eb="2">
      <t>タイショウ</t>
    </rPh>
    <rPh sb="2" eb="4">
      <t>ジギョウ</t>
    </rPh>
    <rPh sb="4" eb="5">
      <t>ヒ</t>
    </rPh>
    <phoneticPr fontId="2"/>
  </si>
  <si>
    <t>　</t>
    <phoneticPr fontId="2"/>
  </si>
  <si>
    <t>　　　</t>
    <phoneticPr fontId="2"/>
  </si>
  <si>
    <t>その他国庫補助金(特環）</t>
    <rPh sb="9" eb="11">
      <t>トッカン</t>
    </rPh>
    <phoneticPr fontId="2"/>
  </si>
  <si>
    <t>特定環境保全公共下水道</t>
    <rPh sb="0" eb="11">
      <t>トッカン</t>
    </rPh>
    <phoneticPr fontId="2"/>
  </si>
  <si>
    <t>その他国庫補助金(農集）</t>
    <rPh sb="9" eb="11">
      <t>ノウシュウ</t>
    </rPh>
    <phoneticPr fontId="2"/>
  </si>
  <si>
    <t>農業集落排水事業</t>
    <rPh sb="0" eb="8">
      <t>ノウシュウ</t>
    </rPh>
    <phoneticPr fontId="2"/>
  </si>
  <si>
    <t>災害関連農村生活環境
施設復旧事業国庫補助金</t>
    <rPh sb="0" eb="2">
      <t>サイガイ</t>
    </rPh>
    <rPh sb="2" eb="4">
      <t>カンレン</t>
    </rPh>
    <rPh sb="4" eb="6">
      <t>ノウソン</t>
    </rPh>
    <rPh sb="6" eb="8">
      <t>セイカツ</t>
    </rPh>
    <rPh sb="8" eb="10">
      <t>カンキョウ</t>
    </rPh>
    <rPh sb="11" eb="13">
      <t>シセツ</t>
    </rPh>
    <rPh sb="13" eb="15">
      <t>フッキュウ</t>
    </rPh>
    <rPh sb="15" eb="17">
      <t>ジギョウ</t>
    </rPh>
    <rPh sb="17" eb="19">
      <t>コッコ</t>
    </rPh>
    <rPh sb="19" eb="22">
      <t>ホジョキン</t>
    </rPh>
    <phoneticPr fontId="2"/>
  </si>
  <si>
    <t>対象事業費×１／２</t>
    <rPh sb="0" eb="2">
      <t>タイショウ</t>
    </rPh>
    <rPh sb="2" eb="4">
      <t>ジギョウ</t>
    </rPh>
    <rPh sb="4" eb="5">
      <t>ヒ</t>
    </rPh>
    <phoneticPr fontId="2"/>
  </si>
  <si>
    <t>その他国庫補助金(浄化槽）</t>
    <rPh sb="9" eb="12">
      <t>ジョウカソウ</t>
    </rPh>
    <phoneticPr fontId="2"/>
  </si>
  <si>
    <t>市営浄化槽事業</t>
    <rPh sb="0" eb="7">
      <t>ジョウカソウ</t>
    </rPh>
    <phoneticPr fontId="2"/>
  </si>
  <si>
    <t>4条収入シート　その他国庫補助金</t>
    <rPh sb="1" eb="2">
      <t>ジョウ</t>
    </rPh>
    <rPh sb="2" eb="4">
      <t>シュウニュウ</t>
    </rPh>
    <rPh sb="10" eb="11">
      <t>タ</t>
    </rPh>
    <rPh sb="11" eb="13">
      <t>コッコ</t>
    </rPh>
    <rPh sb="13" eb="16">
      <t>ホジョキン</t>
    </rPh>
    <phoneticPr fontId="2"/>
  </si>
  <si>
    <t>チェック</t>
    <phoneticPr fontId="2"/>
  </si>
  <si>
    <t>公共</t>
    <rPh sb="0" eb="2">
      <t>コウキョウ</t>
    </rPh>
    <phoneticPr fontId="2"/>
  </si>
  <si>
    <t>農集</t>
    <rPh sb="0" eb="2">
      <t>ノウシュウ</t>
    </rPh>
    <phoneticPr fontId="2"/>
  </si>
  <si>
    <t>　</t>
    <phoneticPr fontId="2"/>
  </si>
  <si>
    <t>　　　</t>
    <phoneticPr fontId="2"/>
  </si>
  <si>
    <t>3条収入シート　その他国庫補助金（災害）</t>
    <rPh sb="1" eb="2">
      <t>ジョウ</t>
    </rPh>
    <rPh sb="2" eb="4">
      <t>シュウニュウ</t>
    </rPh>
    <rPh sb="10" eb="11">
      <t>タ</t>
    </rPh>
    <rPh sb="11" eb="13">
      <t>コッコ</t>
    </rPh>
    <rPh sb="13" eb="16">
      <t>ホジョキン</t>
    </rPh>
    <rPh sb="17" eb="19">
      <t>サイガイ</t>
    </rPh>
    <phoneticPr fontId="2"/>
  </si>
  <si>
    <t>チェック</t>
    <phoneticPr fontId="2"/>
  </si>
  <si>
    <t>特定収入に係る課税仕入れ等に係る消費税額</t>
  </si>
  <si>
    <t>計</t>
    <rPh sb="0" eb="1">
      <t>ケイ</t>
    </rPh>
    <phoneticPr fontId="2"/>
  </si>
  <si>
    <t>④４条収入とのチェック</t>
    <rPh sb="2" eb="3">
      <t>ジョウ</t>
    </rPh>
    <rPh sb="3" eb="5">
      <t>シュウニュウ</t>
    </rPh>
    <phoneticPr fontId="2"/>
  </si>
  <si>
    <t>←工事費充当分の計</t>
    <rPh sb="1" eb="3">
      <t>コウジ</t>
    </rPh>
    <rPh sb="3" eb="4">
      <t>ヒ</t>
    </rPh>
    <rPh sb="4" eb="6">
      <t>ジュウトウ</t>
    </rPh>
    <rPh sb="6" eb="7">
      <t>ブン</t>
    </rPh>
    <rPh sb="8" eb="9">
      <t>ケイ</t>
    </rPh>
    <phoneticPr fontId="2"/>
  </si>
  <si>
    <t>温品二葉の里線・府中祇園線整備事業に係る移設等補償費</t>
    <rPh sb="0" eb="1">
      <t>オン</t>
    </rPh>
    <rPh sb="1" eb="2">
      <t>ヒン</t>
    </rPh>
    <rPh sb="2" eb="4">
      <t>フタバ</t>
    </rPh>
    <rPh sb="5" eb="6">
      <t>サト</t>
    </rPh>
    <rPh sb="6" eb="7">
      <t>セン</t>
    </rPh>
    <rPh sb="8" eb="10">
      <t>フチュウ</t>
    </rPh>
    <rPh sb="10" eb="12">
      <t>ギオン</t>
    </rPh>
    <rPh sb="12" eb="13">
      <t>セン</t>
    </rPh>
    <rPh sb="13" eb="15">
      <t>セイビ</t>
    </rPh>
    <rPh sb="15" eb="17">
      <t>ジギョウ</t>
    </rPh>
    <rPh sb="18" eb="19">
      <t>カカ</t>
    </rPh>
    <rPh sb="20" eb="22">
      <t>イセツ</t>
    </rPh>
    <rPh sb="22" eb="23">
      <t>トウ</t>
    </rPh>
    <rPh sb="23" eb="25">
      <t>ホショウ</t>
    </rPh>
    <rPh sb="25" eb="26">
      <t>ヒ</t>
    </rPh>
    <phoneticPr fontId="2"/>
  </si>
  <si>
    <t>消費税算出額と申告額の差額</t>
    <rPh sb="0" eb="3">
      <t>ショウヒゼイ</t>
    </rPh>
    <rPh sb="3" eb="5">
      <t>サンシュツ</t>
    </rPh>
    <rPh sb="5" eb="6">
      <t>ガク</t>
    </rPh>
    <rPh sb="7" eb="9">
      <t>シンコク</t>
    </rPh>
    <rPh sb="9" eb="10">
      <t>ガク</t>
    </rPh>
    <rPh sb="11" eb="13">
      <t>サガク</t>
    </rPh>
    <phoneticPr fontId="2"/>
  </si>
  <si>
    <t>令和2年度</t>
    <rPh sb="0" eb="2">
      <t>レイワ</t>
    </rPh>
    <rPh sb="3" eb="5">
      <t>ネンド</t>
    </rPh>
    <phoneticPr fontId="2"/>
  </si>
  <si>
    <t>令和3年度</t>
    <rPh sb="0" eb="2">
      <t>レイワ</t>
    </rPh>
    <rPh sb="3" eb="5">
      <t>ネンド</t>
    </rPh>
    <phoneticPr fontId="2"/>
  </si>
  <si>
    <t>令和4年度</t>
    <rPh sb="0" eb="2">
      <t>レイワ</t>
    </rPh>
    <rPh sb="3" eb="5">
      <t>ネンド</t>
    </rPh>
    <phoneticPr fontId="2"/>
  </si>
  <si>
    <t>令和元年度</t>
    <rPh sb="0" eb="2">
      <t>レイワ</t>
    </rPh>
    <rPh sb="2" eb="3">
      <t>ガン</t>
    </rPh>
    <rPh sb="3" eb="5">
      <t>ネンド</t>
    </rPh>
    <phoneticPr fontId="2"/>
  </si>
  <si>
    <t>令和元年度</t>
    <phoneticPr fontId="2"/>
  </si>
  <si>
    <t>令和元年度</t>
    <rPh sb="0" eb="2">
      <t>レイワ</t>
    </rPh>
    <rPh sb="2" eb="4">
      <t>ガンネン</t>
    </rPh>
    <rPh sb="4" eb="5">
      <t>ド</t>
    </rPh>
    <phoneticPr fontId="2"/>
  </si>
  <si>
    <t>令和元年度</t>
    <phoneticPr fontId="2"/>
  </si>
  <si>
    <t>-</t>
    <phoneticPr fontId="2"/>
  </si>
  <si>
    <t>管路等・補助裏単市</t>
    <rPh sb="0" eb="1">
      <t>カン</t>
    </rPh>
    <rPh sb="1" eb="2">
      <t>ロ</t>
    </rPh>
    <rPh sb="2" eb="3">
      <t>トウ</t>
    </rPh>
    <rPh sb="4" eb="7">
      <t>ホジョウラ</t>
    </rPh>
    <rPh sb="7" eb="8">
      <t>タン</t>
    </rPh>
    <rPh sb="8" eb="9">
      <t>シ</t>
    </rPh>
    <phoneticPr fontId="2"/>
  </si>
  <si>
    <t>管路等・補助裏単市
（繰越分）</t>
    <rPh sb="0" eb="1">
      <t>カン</t>
    </rPh>
    <rPh sb="1" eb="2">
      <t>ロ</t>
    </rPh>
    <rPh sb="2" eb="3">
      <t>トウ</t>
    </rPh>
    <rPh sb="4" eb="7">
      <t>ホジョウラ</t>
    </rPh>
    <rPh sb="7" eb="8">
      <t>タン</t>
    </rPh>
    <rPh sb="8" eb="9">
      <t>シ</t>
    </rPh>
    <rPh sb="11" eb="13">
      <t>クリコシ</t>
    </rPh>
    <rPh sb="13" eb="14">
      <t>ブン</t>
    </rPh>
    <phoneticPr fontId="2"/>
  </si>
  <si>
    <t xml:space="preserve">  ●千円×１０／１０</t>
    <phoneticPr fontId="2"/>
  </si>
  <si>
    <t>市街化区域外汚水処理施設
整備事業充当分</t>
    <rPh sb="0" eb="5">
      <t>シガイカクイキ</t>
    </rPh>
    <rPh sb="5" eb="6">
      <t>ソト</t>
    </rPh>
    <rPh sb="6" eb="8">
      <t>オスイ</t>
    </rPh>
    <rPh sb="8" eb="10">
      <t>ショリ</t>
    </rPh>
    <rPh sb="10" eb="12">
      <t>シセツ</t>
    </rPh>
    <rPh sb="13" eb="15">
      <t>セイビ</t>
    </rPh>
    <rPh sb="15" eb="17">
      <t>ジギョウ</t>
    </rPh>
    <rPh sb="17" eb="19">
      <t>ジュウトウ</t>
    </rPh>
    <rPh sb="19" eb="20">
      <t>ブン</t>
    </rPh>
    <phoneticPr fontId="2"/>
  </si>
  <si>
    <t>区役所
地域整備課</t>
    <rPh sb="0" eb="3">
      <t>クヤクショ</t>
    </rPh>
    <rPh sb="4" eb="6">
      <t>チイキ</t>
    </rPh>
    <rPh sb="6" eb="9">
      <t>セイビカ</t>
    </rPh>
    <phoneticPr fontId="2"/>
  </si>
  <si>
    <t>浄化槽</t>
    <rPh sb="0" eb="3">
      <t>ジョウカソウ</t>
    </rPh>
    <phoneticPr fontId="2"/>
  </si>
  <si>
    <t>市街化区域外汚水処理施設整備事業
【特環】</t>
    <rPh sb="0" eb="2">
      <t>シガイ</t>
    </rPh>
    <rPh sb="2" eb="3">
      <t>カ</t>
    </rPh>
    <rPh sb="3" eb="5">
      <t>クイキ</t>
    </rPh>
    <rPh sb="5" eb="6">
      <t>ガイ</t>
    </rPh>
    <rPh sb="6" eb="8">
      <t>オスイ</t>
    </rPh>
    <rPh sb="8" eb="10">
      <t>ショリ</t>
    </rPh>
    <rPh sb="10" eb="12">
      <t>シセツ</t>
    </rPh>
    <rPh sb="12" eb="14">
      <t>セイビ</t>
    </rPh>
    <rPh sb="14" eb="16">
      <t>ジギョウ</t>
    </rPh>
    <rPh sb="18" eb="20">
      <t>トッカン</t>
    </rPh>
    <phoneticPr fontId="2"/>
  </si>
  <si>
    <t>市街化区域外汚水処理施設整備事業
【農集】</t>
    <rPh sb="0" eb="2">
      <t>シガイ</t>
    </rPh>
    <rPh sb="2" eb="3">
      <t>カ</t>
    </rPh>
    <rPh sb="3" eb="5">
      <t>クイキ</t>
    </rPh>
    <rPh sb="5" eb="6">
      <t>ガイ</t>
    </rPh>
    <rPh sb="6" eb="8">
      <t>オスイ</t>
    </rPh>
    <rPh sb="8" eb="10">
      <t>ショリ</t>
    </rPh>
    <rPh sb="10" eb="12">
      <t>シセツ</t>
    </rPh>
    <rPh sb="12" eb="14">
      <t>セイビ</t>
    </rPh>
    <rPh sb="14" eb="16">
      <t>ジギョウ</t>
    </rPh>
    <rPh sb="18" eb="20">
      <t>ノウシュウ</t>
    </rPh>
    <phoneticPr fontId="2"/>
  </si>
  <si>
    <t>市街化区域外汚水処理施設整備事業
【浄化槽】</t>
    <rPh sb="0" eb="2">
      <t>シガイ</t>
    </rPh>
    <rPh sb="2" eb="3">
      <t>カ</t>
    </rPh>
    <rPh sb="3" eb="5">
      <t>クイキ</t>
    </rPh>
    <rPh sb="5" eb="6">
      <t>ガイ</t>
    </rPh>
    <rPh sb="6" eb="8">
      <t>オスイ</t>
    </rPh>
    <rPh sb="8" eb="10">
      <t>ショリ</t>
    </rPh>
    <rPh sb="10" eb="12">
      <t>シセツ</t>
    </rPh>
    <rPh sb="12" eb="14">
      <t>セイビ</t>
    </rPh>
    <rPh sb="14" eb="16">
      <t>ジギョウ</t>
    </rPh>
    <rPh sb="18" eb="21">
      <t>ジョウカソウ</t>
    </rPh>
    <phoneticPr fontId="2"/>
  </si>
  <si>
    <t>特　環</t>
    <rPh sb="0" eb="1">
      <t>トク</t>
    </rPh>
    <rPh sb="2" eb="3">
      <t>ワ</t>
    </rPh>
    <phoneticPr fontId="2"/>
  </si>
  <si>
    <t>農　集</t>
    <rPh sb="0" eb="1">
      <t>ノウ</t>
    </rPh>
    <rPh sb="2" eb="3">
      <t>シュウ</t>
    </rPh>
    <phoneticPr fontId="2"/>
  </si>
  <si>
    <t>【特環】市街化区域外汚水処理
施設整備事業充当分</t>
    <rPh sb="1" eb="3">
      <t>トッカン</t>
    </rPh>
    <rPh sb="4" eb="7">
      <t>シガイカ</t>
    </rPh>
    <rPh sb="7" eb="10">
      <t>クイキガイ</t>
    </rPh>
    <rPh sb="10" eb="12">
      <t>オスイ</t>
    </rPh>
    <rPh sb="12" eb="14">
      <t>ショリ</t>
    </rPh>
    <rPh sb="15" eb="17">
      <t>シセツ</t>
    </rPh>
    <rPh sb="17" eb="19">
      <t>セイビ</t>
    </rPh>
    <rPh sb="19" eb="21">
      <t>ジギョウ</t>
    </rPh>
    <rPh sb="21" eb="23">
      <t>ジュウトウ</t>
    </rPh>
    <rPh sb="23" eb="24">
      <t>ブン</t>
    </rPh>
    <phoneticPr fontId="2"/>
  </si>
  <si>
    <t>【農集】市街化区域外汚水処理
施設整備事業充当分</t>
    <rPh sb="1" eb="3">
      <t>ノウシュウ</t>
    </rPh>
    <rPh sb="4" eb="7">
      <t>シガイカ</t>
    </rPh>
    <rPh sb="7" eb="10">
      <t>クイキガイ</t>
    </rPh>
    <rPh sb="10" eb="12">
      <t>オスイ</t>
    </rPh>
    <rPh sb="12" eb="14">
      <t>ショリ</t>
    </rPh>
    <rPh sb="15" eb="17">
      <t>シセツ</t>
    </rPh>
    <rPh sb="17" eb="19">
      <t>セイビ</t>
    </rPh>
    <rPh sb="19" eb="21">
      <t>ジギョウ</t>
    </rPh>
    <rPh sb="21" eb="23">
      <t>ジュウトウ</t>
    </rPh>
    <rPh sb="23" eb="24">
      <t>ブン</t>
    </rPh>
    <phoneticPr fontId="2"/>
  </si>
  <si>
    <t>【浄化槽】市街化区域外汚水処理
施設整備事業充当分</t>
    <rPh sb="1" eb="4">
      <t>ジョウカソウ</t>
    </rPh>
    <rPh sb="5" eb="8">
      <t>シガイカ</t>
    </rPh>
    <rPh sb="8" eb="11">
      <t>クイキガイ</t>
    </rPh>
    <rPh sb="11" eb="13">
      <t>オスイ</t>
    </rPh>
    <rPh sb="13" eb="15">
      <t>ショリ</t>
    </rPh>
    <rPh sb="16" eb="18">
      <t>シセツ</t>
    </rPh>
    <rPh sb="18" eb="20">
      <t>セイビ</t>
    </rPh>
    <rPh sb="20" eb="22">
      <t>ジギョウ</t>
    </rPh>
    <rPh sb="22" eb="24">
      <t>ジュウトウ</t>
    </rPh>
    <rPh sb="24" eb="25">
      <t>ブン</t>
    </rPh>
    <phoneticPr fontId="2"/>
  </si>
  <si>
    <t>【浄化槽】市街化区域外汚水
処理施設整備事業充当分</t>
    <rPh sb="1" eb="4">
      <t>ジョウカソウ</t>
    </rPh>
    <rPh sb="5" eb="8">
      <t>シガイカ</t>
    </rPh>
    <rPh sb="8" eb="11">
      <t>クイキガイ</t>
    </rPh>
    <rPh sb="11" eb="13">
      <t>オスイ</t>
    </rPh>
    <rPh sb="14" eb="16">
      <t>ショリ</t>
    </rPh>
    <rPh sb="16" eb="18">
      <t>シセツ</t>
    </rPh>
    <rPh sb="18" eb="20">
      <t>セイビ</t>
    </rPh>
    <rPh sb="20" eb="22">
      <t>ジギョウ</t>
    </rPh>
    <rPh sb="22" eb="24">
      <t>ジュウトウ</t>
    </rPh>
    <rPh sb="24" eb="25">
      <t>ブン</t>
    </rPh>
    <phoneticPr fontId="2"/>
  </si>
  <si>
    <t>【特環】市街化区域外汚水処理施設
整備事業充当分</t>
    <rPh sb="1" eb="3">
      <t>トッカン</t>
    </rPh>
    <rPh sb="4" eb="7">
      <t>シガイカ</t>
    </rPh>
    <rPh sb="7" eb="10">
      <t>クイキガイ</t>
    </rPh>
    <rPh sb="10" eb="12">
      <t>オスイ</t>
    </rPh>
    <rPh sb="12" eb="14">
      <t>ショリ</t>
    </rPh>
    <rPh sb="14" eb="16">
      <t>シセツ</t>
    </rPh>
    <rPh sb="17" eb="19">
      <t>セイビ</t>
    </rPh>
    <rPh sb="19" eb="21">
      <t>ジギョウ</t>
    </rPh>
    <rPh sb="21" eb="23">
      <t>ジュウトウ</t>
    </rPh>
    <rPh sb="23" eb="24">
      <t>ブン</t>
    </rPh>
    <phoneticPr fontId="2"/>
  </si>
  <si>
    <t>【農集】市街化区域外汚水処理施設
整備事業充当分</t>
    <rPh sb="1" eb="3">
      <t>ノウシュウ</t>
    </rPh>
    <rPh sb="4" eb="7">
      <t>シガイカ</t>
    </rPh>
    <rPh sb="7" eb="10">
      <t>クイキガイ</t>
    </rPh>
    <rPh sb="10" eb="12">
      <t>オスイ</t>
    </rPh>
    <rPh sb="12" eb="14">
      <t>ショリ</t>
    </rPh>
    <rPh sb="14" eb="16">
      <t>シセツ</t>
    </rPh>
    <rPh sb="17" eb="19">
      <t>セイビ</t>
    </rPh>
    <rPh sb="19" eb="21">
      <t>ジギョウ</t>
    </rPh>
    <rPh sb="21" eb="23">
      <t>ジュウトウ</t>
    </rPh>
    <rPh sb="23" eb="24">
      <t>ブン</t>
    </rPh>
    <phoneticPr fontId="2"/>
  </si>
  <si>
    <t xml:space="preserve">【特環】
市街化区域外汚水処理施設整備事業
</t>
    <rPh sb="5" eb="13">
      <t>シガイカクイキソトオスイ</t>
    </rPh>
    <rPh sb="13" eb="15">
      <t>ショリ</t>
    </rPh>
    <rPh sb="15" eb="17">
      <t>シセツ</t>
    </rPh>
    <rPh sb="17" eb="19">
      <t>セイビ</t>
    </rPh>
    <rPh sb="19" eb="21">
      <t>ジギョウ</t>
    </rPh>
    <phoneticPr fontId="2"/>
  </si>
  <si>
    <t xml:space="preserve">【農集】
市街化区域外汚水処理施設整備事業
</t>
    <rPh sb="5" eb="13">
      <t>シガイカクイキソトオスイ</t>
    </rPh>
    <rPh sb="13" eb="15">
      <t>ショリ</t>
    </rPh>
    <rPh sb="15" eb="17">
      <t>シセツ</t>
    </rPh>
    <rPh sb="17" eb="19">
      <t>セイビ</t>
    </rPh>
    <rPh sb="19" eb="21">
      <t>ジギョウ</t>
    </rPh>
    <phoneticPr fontId="2"/>
  </si>
  <si>
    <t xml:space="preserve">【浄化槽】
市街化区域外汚水処理施設整備事業
</t>
    <rPh sb="6" eb="14">
      <t>シガイカクイキソトオスイ</t>
    </rPh>
    <rPh sb="14" eb="16">
      <t>ショリ</t>
    </rPh>
    <rPh sb="16" eb="18">
      <t>シセツ</t>
    </rPh>
    <rPh sb="18" eb="20">
      <t>セイビ</t>
    </rPh>
    <rPh sb="20" eb="22">
      <t>ジギョウ</t>
    </rPh>
    <phoneticPr fontId="2"/>
  </si>
  <si>
    <r>
      <rPr>
        <sz val="11"/>
        <color rgb="FFFF0000"/>
        <rFont val="ＭＳ ゴシック"/>
        <family val="3"/>
        <charset val="128"/>
      </rPr>
      <t>3</t>
    </r>
    <r>
      <rPr>
        <sz val="11"/>
        <rFont val="ＭＳ ゴシック"/>
        <family val="3"/>
        <charset val="128"/>
      </rPr>
      <t>年度分
公共土木施設災害復旧事業費(補助事業現年分)の課税支出割合</t>
    </r>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phoneticPr fontId="2"/>
  </si>
  <si>
    <r>
      <rPr>
        <sz val="11"/>
        <color rgb="FFFF0000"/>
        <rFont val="ＭＳ ゴシック"/>
        <family val="3"/>
        <charset val="128"/>
      </rPr>
      <t>2</t>
    </r>
    <r>
      <rPr>
        <sz val="11"/>
        <rFont val="ＭＳ ゴシック"/>
        <family val="3"/>
        <charset val="128"/>
      </rPr>
      <t>年度分
公共土木施設災害復旧事業費(補助事業繰越分)の課税支出割合</t>
    </r>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rPh sb="23" eb="25">
      <t>クリコシ</t>
    </rPh>
    <phoneticPr fontId="2"/>
  </si>
  <si>
    <r>
      <rPr>
        <sz val="11"/>
        <color rgb="FFFF0000"/>
        <rFont val="ＭＳ ゴシック"/>
        <family val="3"/>
        <charset val="128"/>
      </rPr>
      <t>3</t>
    </r>
    <r>
      <rPr>
        <sz val="11"/>
        <rFont val="ＭＳ ゴシック"/>
        <family val="3"/>
        <charset val="128"/>
      </rPr>
      <t>年度分
災害関連農村生活環境施設復旧事業(補助事業現年分)の課税支出割合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phoneticPr fontId="2"/>
  </si>
  <si>
    <r>
      <rPr>
        <sz val="11"/>
        <color rgb="FFFF0000"/>
        <rFont val="ＭＳ ゴシック"/>
        <family val="3"/>
        <charset val="128"/>
      </rPr>
      <t>2</t>
    </r>
    <r>
      <rPr>
        <sz val="11"/>
        <rFont val="ＭＳ ゴシック"/>
        <family val="3"/>
        <charset val="128"/>
      </rPr>
      <t>年度分
災害関連農村生活環境施設復旧事業(補助事業繰越分)の課税支出割合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rPh sb="26" eb="28">
      <t>クリコシ</t>
    </rPh>
    <phoneticPr fontId="2"/>
  </si>
  <si>
    <t>霞庚午線（９工区）電線共同溝整備事業に係る移設等補償費</t>
    <rPh sb="19" eb="20">
      <t>カカ</t>
    </rPh>
    <rPh sb="21" eb="23">
      <t>イセツ</t>
    </rPh>
    <rPh sb="23" eb="24">
      <t>トウ</t>
    </rPh>
    <rPh sb="24" eb="26">
      <t>ホショウ</t>
    </rPh>
    <rPh sb="26" eb="27">
      <t>ヒ</t>
    </rPh>
    <phoneticPr fontId="2"/>
  </si>
  <si>
    <t>青崎土地区画整理事業（青崎2-5）</t>
    <rPh sb="0" eb="2">
      <t>アオサキ</t>
    </rPh>
    <rPh sb="2" eb="4">
      <t>トチ</t>
    </rPh>
    <rPh sb="4" eb="6">
      <t>クカク</t>
    </rPh>
    <rPh sb="6" eb="8">
      <t>セイリ</t>
    </rPh>
    <rPh sb="8" eb="10">
      <t>ジギョウ</t>
    </rPh>
    <rPh sb="11" eb="13">
      <t>アオサキ</t>
    </rPh>
    <phoneticPr fontId="2"/>
  </si>
  <si>
    <t>府中町大須地区に係る流域下水道負担金</t>
    <rPh sb="0" eb="2">
      <t>フチュウ</t>
    </rPh>
    <rPh sb="2" eb="3">
      <t>マチ</t>
    </rPh>
    <rPh sb="3" eb="7">
      <t>オオスチク</t>
    </rPh>
    <rPh sb="8" eb="9">
      <t>カカ</t>
    </rPh>
    <rPh sb="10" eb="12">
      <t>リュウイキ</t>
    </rPh>
    <rPh sb="12" eb="15">
      <t>ゲスイドウ</t>
    </rPh>
    <rPh sb="15" eb="18">
      <t>フタンキン</t>
    </rPh>
    <phoneticPr fontId="2"/>
  </si>
  <si>
    <t>府中町大須地区に係る流域下水道負担金_R2年度分</t>
    <rPh sb="0" eb="2">
      <t>フチュウ</t>
    </rPh>
    <rPh sb="2" eb="3">
      <t>マチ</t>
    </rPh>
    <rPh sb="3" eb="7">
      <t>オオスチク</t>
    </rPh>
    <rPh sb="8" eb="9">
      <t>カカ</t>
    </rPh>
    <rPh sb="10" eb="12">
      <t>リュウイキ</t>
    </rPh>
    <rPh sb="12" eb="15">
      <t>ゲスイドウ</t>
    </rPh>
    <rPh sb="15" eb="18">
      <t>フタンキン</t>
    </rPh>
    <rPh sb="21" eb="24">
      <t>ネンドブン</t>
    </rPh>
    <phoneticPr fontId="2"/>
  </si>
  <si>
    <t>特別支援学校校舎増築に伴う下水道工事に係る負担金</t>
    <rPh sb="16" eb="18">
      <t>コウジ</t>
    </rPh>
    <phoneticPr fontId="2"/>
  </si>
  <si>
    <t xml:space="preserve">  ●千円×５／１０</t>
    <rPh sb="3" eb="5">
      <t>センエン</t>
    </rPh>
    <phoneticPr fontId="2"/>
  </si>
  <si>
    <t>未収金貸倒引当金の更正に伴う特別利益</t>
    <phoneticPr fontId="2"/>
  </si>
  <si>
    <t>契約解除違約金</t>
    <rPh sb="0" eb="2">
      <t>ケイヤク</t>
    </rPh>
    <rPh sb="2" eb="4">
      <t>カイジョ</t>
    </rPh>
    <rPh sb="4" eb="7">
      <t>イヤクキン</t>
    </rPh>
    <phoneticPr fontId="2"/>
  </si>
  <si>
    <t>公共下水道整備事業に係る負担金</t>
  </si>
  <si>
    <t>公共下水道整備事業に係る負担金</t>
    <rPh sb="0" eb="2">
      <t>コウキョウ</t>
    </rPh>
    <rPh sb="2" eb="5">
      <t>ゲスイドウ</t>
    </rPh>
    <rPh sb="5" eb="7">
      <t>セイビ</t>
    </rPh>
    <rPh sb="7" eb="9">
      <t>ジギョウ</t>
    </rPh>
    <rPh sb="10" eb="11">
      <t>カカ</t>
    </rPh>
    <rPh sb="12" eb="15">
      <t>フタンキン</t>
    </rPh>
    <phoneticPr fontId="2"/>
  </si>
  <si>
    <t>管路等・一般(高率分)</t>
    <rPh sb="0" eb="1">
      <t>カン</t>
    </rPh>
    <rPh sb="1" eb="2">
      <t>ロ</t>
    </rPh>
    <rPh sb="2" eb="3">
      <t>トウ</t>
    </rPh>
    <rPh sb="4" eb="6">
      <t>イッパン</t>
    </rPh>
    <rPh sb="7" eb="9">
      <t>コウリツ</t>
    </rPh>
    <rPh sb="9" eb="10">
      <t>ブン</t>
    </rPh>
    <phoneticPr fontId="2"/>
  </si>
  <si>
    <t>75,000千円×５／１０</t>
    <rPh sb="6" eb="8">
      <t>センエン</t>
    </rPh>
    <phoneticPr fontId="2"/>
  </si>
  <si>
    <t>管路等高率</t>
    <rPh sb="0" eb="1">
      <t>カン</t>
    </rPh>
    <rPh sb="1" eb="2">
      <t>ロ</t>
    </rPh>
    <rPh sb="2" eb="3">
      <t>トウ</t>
    </rPh>
    <rPh sb="3" eb="5">
      <t>コウリツ</t>
    </rPh>
    <phoneticPr fontId="2"/>
  </si>
  <si>
    <t>4年度分
公共土木施設災害復旧事業費(補助事業現年分)の課税支出割合</t>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phoneticPr fontId="2"/>
  </si>
  <si>
    <t>3年度分
公共土木施設災害復旧事業費(補助事業繰越分)の課税支出割合</t>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rPh sb="23" eb="25">
      <t>クリコシ</t>
    </rPh>
    <phoneticPr fontId="2"/>
  </si>
  <si>
    <r>
      <rPr>
        <sz val="11"/>
        <color rgb="FFFF0000"/>
        <rFont val="ＭＳ ゴシック"/>
        <family val="3"/>
        <charset val="128"/>
      </rPr>
      <t>4</t>
    </r>
    <r>
      <rPr>
        <sz val="11"/>
        <rFont val="ＭＳ ゴシック"/>
        <family val="3"/>
        <charset val="128"/>
      </rPr>
      <t>年度分
災害関連農村生活環境施設復旧事業(補助事業現年分)の課税支出割合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phoneticPr fontId="2"/>
  </si>
  <si>
    <t>3年度分
災害関連農村生活環境施設復旧事業(補助事業繰越分)の課税支出割合</t>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rPh sb="26" eb="28">
      <t>クリコシ</t>
    </rPh>
    <phoneticPr fontId="2"/>
  </si>
  <si>
    <t>不課税支出に対応する不課税収入のため特定収入以外</t>
    <phoneticPr fontId="2"/>
  </si>
  <si>
    <t>海田～廿日市計</t>
    <rPh sb="0" eb="2">
      <t>カイタ</t>
    </rPh>
    <rPh sb="3" eb="6">
      <t>ハツカイチ</t>
    </rPh>
    <rPh sb="6" eb="7">
      <t>ケイ</t>
    </rPh>
    <phoneticPr fontId="2"/>
  </si>
  <si>
    <t>←total額が落ちていることを確認する</t>
    <rPh sb="6" eb="7">
      <t>ガク</t>
    </rPh>
    <rPh sb="8" eb="9">
      <t>オ</t>
    </rPh>
    <rPh sb="16" eb="18">
      <t>カクニン</t>
    </rPh>
    <phoneticPr fontId="2"/>
  </si>
  <si>
    <t>西広島駅北口土地区画整理事業の施行における下水道工事に係る負担金（3/29)</t>
    <rPh sb="21" eb="24">
      <t>ゲスイドウ</t>
    </rPh>
    <rPh sb="24" eb="26">
      <t>コウジ</t>
    </rPh>
    <phoneticPr fontId="2"/>
  </si>
  <si>
    <t>西広島駅北口土地区画整理事業の施行における下水道工事に係る負担金(2/16)</t>
    <rPh sb="21" eb="24">
      <t>ゲスイドウ</t>
    </rPh>
    <rPh sb="24" eb="26">
      <t>コウジ</t>
    </rPh>
    <phoneticPr fontId="2"/>
  </si>
  <si>
    <t>西広島駅北口土地区画整理事業の施行における委託業務に係る負担金(2/16)</t>
    <phoneticPr fontId="2"/>
  </si>
  <si>
    <t>広島市東部地区連続立体交差事業に係る移設補償費</t>
    <rPh sb="0" eb="3">
      <t>ヒロシマシ</t>
    </rPh>
    <rPh sb="3" eb="7">
      <t>トウブチク</t>
    </rPh>
    <rPh sb="7" eb="9">
      <t>レンゾク</t>
    </rPh>
    <rPh sb="9" eb="13">
      <t>リッタイコウサ</t>
    </rPh>
    <rPh sb="13" eb="15">
      <t>ジギョウ</t>
    </rPh>
    <rPh sb="16" eb="17">
      <t>カカ</t>
    </rPh>
    <rPh sb="18" eb="23">
      <t>イセツホショウヒ</t>
    </rPh>
    <phoneticPr fontId="2"/>
  </si>
  <si>
    <t>5年度分
特定環境保全公共下水道整備事業
(補助事業現年分)の
課税支出割合</t>
    <rPh sb="5" eb="7">
      <t>トクテイ</t>
    </rPh>
    <rPh sb="7" eb="9">
      <t>カンキョウ</t>
    </rPh>
    <rPh sb="9" eb="11">
      <t>ホゼン</t>
    </rPh>
    <rPh sb="11" eb="13">
      <t>コウキョウ</t>
    </rPh>
    <rPh sb="13" eb="16">
      <t>ゲスイドウ</t>
    </rPh>
    <rPh sb="16" eb="18">
      <t>セイビ</t>
    </rPh>
    <rPh sb="18" eb="20">
      <t>ジギョウ</t>
    </rPh>
    <rPh sb="22" eb="24">
      <t>ホジョ</t>
    </rPh>
    <rPh sb="24" eb="26">
      <t>ジギョウ</t>
    </rPh>
    <rPh sb="26" eb="27">
      <t>ゲン</t>
    </rPh>
    <rPh sb="27" eb="28">
      <t>ネン</t>
    </rPh>
    <rPh sb="28" eb="29">
      <t>ブン</t>
    </rPh>
    <rPh sb="32" eb="34">
      <t>カゼイ</t>
    </rPh>
    <rPh sb="34" eb="36">
      <t>シシュツ</t>
    </rPh>
    <rPh sb="36" eb="38">
      <t>ワリアイ</t>
    </rPh>
    <phoneticPr fontId="2"/>
  </si>
  <si>
    <t>4年度分
特定環境保全公共下水道整備事業
(補助事業繰越分)の
課税支出割合</t>
    <rPh sb="1" eb="3">
      <t>ネンド</t>
    </rPh>
    <rPh sb="5" eb="7">
      <t>トクテイ</t>
    </rPh>
    <rPh sb="7" eb="9">
      <t>カンキョウ</t>
    </rPh>
    <rPh sb="9" eb="11">
      <t>ホゼン</t>
    </rPh>
    <rPh sb="26" eb="28">
      <t>クリコシ</t>
    </rPh>
    <phoneticPr fontId="2"/>
  </si>
  <si>
    <t>5,000千円×５／１０</t>
    <rPh sb="5" eb="7">
      <t>センエン</t>
    </rPh>
    <phoneticPr fontId="2"/>
  </si>
  <si>
    <t>28,000千円×５．５／１０</t>
    <rPh sb="6" eb="8">
      <t>センエン</t>
    </rPh>
    <phoneticPr fontId="2"/>
  </si>
  <si>
    <t>5年度分
農業集落排水事業
(補助事業現年分)の
課税支出割合</t>
    <rPh sb="5" eb="7">
      <t>ノウギョウ</t>
    </rPh>
    <rPh sb="7" eb="9">
      <t>シュウラク</t>
    </rPh>
    <rPh sb="9" eb="11">
      <t>ハイスイ</t>
    </rPh>
    <rPh sb="11" eb="13">
      <t>ジギョウ</t>
    </rPh>
    <rPh sb="15" eb="17">
      <t>ホジョ</t>
    </rPh>
    <rPh sb="17" eb="19">
      <t>ジギョウ</t>
    </rPh>
    <rPh sb="19" eb="20">
      <t>ゲン</t>
    </rPh>
    <rPh sb="20" eb="21">
      <t>ネン</t>
    </rPh>
    <rPh sb="21" eb="22">
      <t>ブン</t>
    </rPh>
    <rPh sb="25" eb="27">
      <t>カゼイ</t>
    </rPh>
    <rPh sb="27" eb="29">
      <t>シシュツ</t>
    </rPh>
    <rPh sb="29" eb="31">
      <t>ワリアイ</t>
    </rPh>
    <phoneticPr fontId="2"/>
  </si>
  <si>
    <t>4年度分
農業集落排水事業
(補助事業繰越分)の
課税支出割合</t>
    <rPh sb="5" eb="7">
      <t>ノウギョウ</t>
    </rPh>
    <rPh sb="7" eb="9">
      <t>シュウラク</t>
    </rPh>
    <rPh sb="9" eb="11">
      <t>ハイスイ</t>
    </rPh>
    <rPh sb="19" eb="21">
      <t>クリコシ</t>
    </rPh>
    <phoneticPr fontId="2"/>
  </si>
  <si>
    <t>5年度分
市営浄化槽事業
(補助事業現年分)の
課税支出割合</t>
    <rPh sb="5" eb="7">
      <t>シエイ</t>
    </rPh>
    <rPh sb="7" eb="9">
      <t>ジョウカ</t>
    </rPh>
    <rPh sb="9" eb="10">
      <t>ソウ</t>
    </rPh>
    <rPh sb="10" eb="12">
      <t>ジギョウ</t>
    </rPh>
    <rPh sb="14" eb="16">
      <t>ホジョ</t>
    </rPh>
    <rPh sb="16" eb="18">
      <t>ジギョウ</t>
    </rPh>
    <rPh sb="18" eb="19">
      <t>ゲン</t>
    </rPh>
    <rPh sb="19" eb="20">
      <t>ネン</t>
    </rPh>
    <rPh sb="20" eb="21">
      <t>ブン</t>
    </rPh>
    <rPh sb="24" eb="26">
      <t>カゼイ</t>
    </rPh>
    <rPh sb="26" eb="28">
      <t>シシュツ</t>
    </rPh>
    <rPh sb="28" eb="30">
      <t>ワリアイ</t>
    </rPh>
    <phoneticPr fontId="2"/>
  </si>
  <si>
    <t>4年度分
市営浄化槽事業
(補助事業繰越分)の
課税支出割合</t>
    <rPh sb="5" eb="7">
      <t>シエイ</t>
    </rPh>
    <rPh sb="7" eb="9">
      <t>ジョウカ</t>
    </rPh>
    <rPh sb="9" eb="10">
      <t>ソウ</t>
    </rPh>
    <rPh sb="18" eb="20">
      <t>クリコシ</t>
    </rPh>
    <phoneticPr fontId="2"/>
  </si>
  <si>
    <t>R4→R5　繰越なし</t>
    <rPh sb="6" eb="8">
      <t>クリコシ</t>
    </rPh>
    <phoneticPr fontId="2"/>
  </si>
  <si>
    <t>4年度分
公共下水道整備事業
(補助事業繰越分)の
課税支出割合</t>
    <rPh sb="22" eb="24">
      <t>クリコシ</t>
    </rPh>
    <phoneticPr fontId="2"/>
  </si>
  <si>
    <t>4,286,012.1千円×５／１０</t>
    <rPh sb="11" eb="13">
      <t>センエン</t>
    </rPh>
    <phoneticPr fontId="2"/>
  </si>
  <si>
    <t>13,187.9千円×５／１０</t>
    <phoneticPr fontId="2"/>
  </si>
  <si>
    <t>488,000千円×５／１０</t>
    <phoneticPr fontId="2"/>
  </si>
  <si>
    <t>1,292,000千円×５．５／１０</t>
    <rPh sb="9" eb="11">
      <t>センエン</t>
    </rPh>
    <phoneticPr fontId="2"/>
  </si>
  <si>
    <t>5年度分補助事業
の課税支出割合
（現年）</t>
    <rPh sb="18" eb="19">
      <t>ゲン</t>
    </rPh>
    <rPh sb="19" eb="20">
      <t>ネン</t>
    </rPh>
    <phoneticPr fontId="2"/>
  </si>
  <si>
    <t>5年度分起債事業
の課税支出割合
（現年）</t>
    <rPh sb="18" eb="19">
      <t>ゲン</t>
    </rPh>
    <rPh sb="19" eb="20">
      <t>ネン</t>
    </rPh>
    <phoneticPr fontId="2"/>
  </si>
  <si>
    <t>4,762,313.150千円×５／１０</t>
    <rPh sb="13" eb="14">
      <t>チ</t>
    </rPh>
    <rPh sb="14" eb="15">
      <t>エン</t>
    </rPh>
    <phoneticPr fontId="2"/>
  </si>
  <si>
    <t>60,375.850千円×５／１０</t>
    <rPh sb="10" eb="12">
      <t>センエン</t>
    </rPh>
    <phoneticPr fontId="2"/>
  </si>
  <si>
    <t>191,660千円×５．５／１０</t>
    <rPh sb="7" eb="9">
      <t>センエン</t>
    </rPh>
    <phoneticPr fontId="2"/>
  </si>
  <si>
    <t>21,525千円×５／１０</t>
    <rPh sb="6" eb="8">
      <t>センエン</t>
    </rPh>
    <phoneticPr fontId="2"/>
  </si>
  <si>
    <t>能登半島地震被災地支援経費
に対する一般会計負担額</t>
    <rPh sb="0" eb="6">
      <t>ノトハントウジシン</t>
    </rPh>
    <rPh sb="15" eb="16">
      <t>タイ</t>
    </rPh>
    <rPh sb="18" eb="20">
      <t>イッパン</t>
    </rPh>
    <rPh sb="20" eb="22">
      <t>カイケイ</t>
    </rPh>
    <rPh sb="22" eb="24">
      <t>フタン</t>
    </rPh>
    <rPh sb="24" eb="25">
      <t>ガク</t>
    </rPh>
    <phoneticPr fontId="2"/>
  </si>
  <si>
    <t>過年度に購入した固定資産の取得に伴う振替</t>
    <rPh sb="0" eb="3">
      <t>カネンド</t>
    </rPh>
    <rPh sb="4" eb="6">
      <t>コウニュウ</t>
    </rPh>
    <rPh sb="8" eb="12">
      <t>コテイシサン</t>
    </rPh>
    <rPh sb="13" eb="15">
      <t>シュトク</t>
    </rPh>
    <rPh sb="16" eb="17">
      <t>トモナ</t>
    </rPh>
    <rPh sb="18" eb="20">
      <t>フリカエ</t>
    </rPh>
    <phoneticPr fontId="2"/>
  </si>
  <si>
    <t>償却資産の所管替えに伴う除却損相当額</t>
    <rPh sb="0" eb="4">
      <t>ショウキャクシサン</t>
    </rPh>
    <rPh sb="5" eb="8">
      <t>ショカンガ</t>
    </rPh>
    <rPh sb="10" eb="11">
      <t>トモナ</t>
    </rPh>
    <rPh sb="12" eb="15">
      <t>ジョキャクソン</t>
    </rPh>
    <rPh sb="15" eb="18">
      <t>ソウトウガク</t>
    </rPh>
    <phoneticPr fontId="2"/>
  </si>
  <si>
    <t>5年度分単市事業
の課税支出割合
(現年＋繰越)</t>
    <rPh sb="18" eb="19">
      <t>ゲン</t>
    </rPh>
    <rPh sb="19" eb="20">
      <t>ネン</t>
    </rPh>
    <rPh sb="21" eb="23">
      <t>クリコシ</t>
    </rPh>
    <phoneticPr fontId="2"/>
  </si>
  <si>
    <t>5年度分排水設備事業
の課税支出割合</t>
  </si>
  <si>
    <t>5年度分諸設備新設改良
事業の課税支出割合</t>
  </si>
  <si>
    <t>5年度分市街化区域外汚水処理施設整備事業の課税支出割合</t>
    <rPh sb="4" eb="9">
      <t>シガイカクイキ</t>
    </rPh>
    <rPh sb="9" eb="10">
      <t>ソト</t>
    </rPh>
    <rPh sb="10" eb="12">
      <t>オスイ</t>
    </rPh>
    <rPh sb="12" eb="14">
      <t>ショリ</t>
    </rPh>
    <rPh sb="14" eb="16">
      <t>シセツ</t>
    </rPh>
    <rPh sb="16" eb="18">
      <t>セイビ</t>
    </rPh>
    <rPh sb="18" eb="20">
      <t>ジギョウ</t>
    </rPh>
    <phoneticPr fontId="2"/>
  </si>
  <si>
    <t>5年度分(特環)市街化区域外汚水処理施設整備事業の課税支出割合</t>
    <rPh sb="5" eb="7">
      <t>トッカン</t>
    </rPh>
    <rPh sb="8" eb="13">
      <t>シガイカクイキ</t>
    </rPh>
    <rPh sb="13" eb="14">
      <t>ソト</t>
    </rPh>
    <rPh sb="14" eb="16">
      <t>オスイ</t>
    </rPh>
    <rPh sb="16" eb="18">
      <t>ショリ</t>
    </rPh>
    <rPh sb="18" eb="20">
      <t>シセツ</t>
    </rPh>
    <rPh sb="20" eb="22">
      <t>セイビ</t>
    </rPh>
    <rPh sb="22" eb="24">
      <t>ジギョウ</t>
    </rPh>
    <phoneticPr fontId="2"/>
  </si>
  <si>
    <t>5年度分(農集)市街化区域外汚水処理施設整備事業の課税支出割合</t>
    <rPh sb="5" eb="7">
      <t>ノウシュウ</t>
    </rPh>
    <rPh sb="8" eb="13">
      <t>シガイカクイキ</t>
    </rPh>
    <rPh sb="13" eb="14">
      <t>ソト</t>
    </rPh>
    <rPh sb="14" eb="16">
      <t>オスイ</t>
    </rPh>
    <rPh sb="16" eb="18">
      <t>ショリ</t>
    </rPh>
    <rPh sb="18" eb="20">
      <t>シセツ</t>
    </rPh>
    <rPh sb="20" eb="22">
      <t>セイビ</t>
    </rPh>
    <rPh sb="22" eb="24">
      <t>ジギョウ</t>
    </rPh>
    <phoneticPr fontId="2"/>
  </si>
  <si>
    <t>5年度分(浄化槽)市街化区域外汚水処理施設整備事業の課税支出割合</t>
    <rPh sb="5" eb="8">
      <t>ジョウカソウ</t>
    </rPh>
    <rPh sb="9" eb="14">
      <t>シガイカクイキ</t>
    </rPh>
    <rPh sb="14" eb="15">
      <t>ソト</t>
    </rPh>
    <rPh sb="15" eb="17">
      <t>オスイ</t>
    </rPh>
    <rPh sb="17" eb="19">
      <t>ショリ</t>
    </rPh>
    <rPh sb="19" eb="21">
      <t>シセツ</t>
    </rPh>
    <rPh sb="21" eb="23">
      <t>セイビ</t>
    </rPh>
    <rPh sb="23" eb="25">
      <t>ジギョウ</t>
    </rPh>
    <phoneticPr fontId="2"/>
  </si>
  <si>
    <t>25,200千円×５／１０</t>
    <rPh sb="6" eb="8">
      <t>センエン</t>
    </rPh>
    <phoneticPr fontId="2"/>
  </si>
  <si>
    <t>処理場・一般・高率
（繰越分）</t>
    <rPh sb="0" eb="3">
      <t>ショリジョウ</t>
    </rPh>
    <rPh sb="4" eb="6">
      <t>イッパン</t>
    </rPh>
    <rPh sb="7" eb="9">
      <t>コウリツ</t>
    </rPh>
    <rPh sb="11" eb="13">
      <t>クリコシ</t>
    </rPh>
    <rPh sb="13" eb="14">
      <t>ブン</t>
    </rPh>
    <phoneticPr fontId="2"/>
  </si>
  <si>
    <t>12,726.2千円×１／３</t>
    <rPh sb="8" eb="10">
      <t>センエン</t>
    </rPh>
    <phoneticPr fontId="2"/>
  </si>
  <si>
    <t>管路等・補助裏単市（繰越分）</t>
    <rPh sb="0" eb="1">
      <t>カン</t>
    </rPh>
    <rPh sb="1" eb="2">
      <t>ロ</t>
    </rPh>
    <rPh sb="2" eb="3">
      <t>トウ</t>
    </rPh>
    <rPh sb="4" eb="6">
      <t>ホジョ</t>
    </rPh>
    <rPh sb="6" eb="7">
      <t>ウラ</t>
    </rPh>
    <rPh sb="7" eb="8">
      <t>タン</t>
    </rPh>
    <rPh sb="8" eb="9">
      <t>シ</t>
    </rPh>
    <rPh sb="10" eb="12">
      <t>クリコシ</t>
    </rPh>
    <rPh sb="12" eb="13">
      <t>ブン</t>
    </rPh>
    <phoneticPr fontId="2"/>
  </si>
  <si>
    <r>
      <t xml:space="preserve">5年度分
</t>
    </r>
    <r>
      <rPr>
        <sz val="10"/>
        <rFont val="ＭＳ ゴシック"/>
        <family val="3"/>
        <charset val="128"/>
      </rPr>
      <t>公共下水道整備事業</t>
    </r>
    <r>
      <rPr>
        <sz val="11"/>
        <rFont val="ＭＳ ゴシック"/>
        <family val="3"/>
        <charset val="128"/>
      </rPr>
      <t xml:space="preserve">
(補助事業現年分)の
課税支出割合</t>
    </r>
    <rPh sb="5" eb="7">
      <t>コウキョウ</t>
    </rPh>
    <rPh sb="7" eb="10">
      <t>ゲスイドウ</t>
    </rPh>
    <rPh sb="10" eb="12">
      <t>セイビ</t>
    </rPh>
    <rPh sb="12" eb="14">
      <t>ジギョウ</t>
    </rPh>
    <rPh sb="16" eb="18">
      <t>ホジョ</t>
    </rPh>
    <rPh sb="18" eb="20">
      <t>ジギョウ</t>
    </rPh>
    <rPh sb="20" eb="21">
      <t>ゲン</t>
    </rPh>
    <rPh sb="21" eb="22">
      <t>ネン</t>
    </rPh>
    <rPh sb="22" eb="23">
      <t>ブン</t>
    </rPh>
    <rPh sb="26" eb="28">
      <t>カゼイ</t>
    </rPh>
    <rPh sb="28" eb="30">
      <t>シシュツ</t>
    </rPh>
    <rPh sb="30" eb="32">
      <t>ワリアイ</t>
    </rPh>
    <phoneticPr fontId="2"/>
  </si>
  <si>
    <t>消費税及び地方消費税の合計納付税額</t>
    <rPh sb="0" eb="3">
      <t>ショウヒゼイ</t>
    </rPh>
    <rPh sb="3" eb="4">
      <t>オヨ</t>
    </rPh>
    <rPh sb="11" eb="13">
      <t>ゴウケイ</t>
    </rPh>
    <rPh sb="13" eb="15">
      <t>ノウフ</t>
    </rPh>
    <phoneticPr fontId="4"/>
  </si>
  <si>
    <t>付表１⑮</t>
    <phoneticPr fontId="4"/>
  </si>
  <si>
    <t>※　AB×0/100　（100円未満切捨て）</t>
    <phoneticPr fontId="4"/>
  </si>
  <si>
    <t>AE</t>
    <phoneticPr fontId="4"/>
  </si>
  <si>
    <t>納税額</t>
    <rPh sb="0" eb="2">
      <t>ノウゼイ</t>
    </rPh>
    <rPh sb="2" eb="3">
      <t>ガク</t>
    </rPh>
    <phoneticPr fontId="4"/>
  </si>
  <si>
    <t>※　ABの額</t>
    <rPh sb="5" eb="6">
      <t>ガク</t>
    </rPh>
    <phoneticPr fontId="4"/>
  </si>
  <si>
    <t>地方消費税の課税標準となる税額</t>
    <rPh sb="6" eb="8">
      <t>カゼイ</t>
    </rPh>
    <rPh sb="8" eb="10">
      <t>ヒョウジュン</t>
    </rPh>
    <rPh sb="13" eb="15">
      <t>ゼイガク</t>
    </rPh>
    <phoneticPr fontId="4"/>
  </si>
  <si>
    <t>地方消費税の税額の計算</t>
    <rPh sb="0" eb="2">
      <t>チホウ</t>
    </rPh>
    <rPh sb="2" eb="5">
      <t>ショウヒゼイ</t>
    </rPh>
    <rPh sb="6" eb="8">
      <t>ゼイガク</t>
    </rPh>
    <rPh sb="7" eb="8">
      <t>ガク</t>
    </rPh>
    <rPh sb="9" eb="11">
      <t>ケイサン</t>
    </rPh>
    <phoneticPr fontId="4"/>
  </si>
  <si>
    <t>付表１⑨</t>
    <phoneticPr fontId="4"/>
  </si>
  <si>
    <t>※　F－AA　（100円未満切捨て）</t>
    <rPh sb="11" eb="12">
      <t>エン</t>
    </rPh>
    <rPh sb="12" eb="14">
      <t>ミマン</t>
    </rPh>
    <rPh sb="14" eb="16">
      <t>キリス</t>
    </rPh>
    <phoneticPr fontId="4"/>
  </si>
  <si>
    <t>AB</t>
    <phoneticPr fontId="4"/>
  </si>
  <si>
    <t>差引税額</t>
    <rPh sb="0" eb="2">
      <t>サシヒキ</t>
    </rPh>
    <rPh sb="2" eb="4">
      <t>ゼイガク</t>
    </rPh>
    <phoneticPr fontId="4"/>
  </si>
  <si>
    <t>※　AAの額</t>
    <rPh sb="5" eb="6">
      <t>ガク</t>
    </rPh>
    <phoneticPr fontId="4"/>
  </si>
  <si>
    <t>控除税額</t>
    <rPh sb="0" eb="2">
      <t>コウジョ</t>
    </rPh>
    <rPh sb="2" eb="4">
      <t>ゼイガク</t>
    </rPh>
    <phoneticPr fontId="4"/>
  </si>
  <si>
    <t>※　Fの額</t>
    <rPh sb="4" eb="5">
      <t>ガク</t>
    </rPh>
    <phoneticPr fontId="4"/>
  </si>
  <si>
    <t>消費税額</t>
    <rPh sb="0" eb="3">
      <t>ショウヒゼイ</t>
    </rPh>
    <rPh sb="3" eb="4">
      <t>ガク</t>
    </rPh>
    <phoneticPr fontId="4"/>
  </si>
  <si>
    <t>消費税の納付税額の計算</t>
    <rPh sb="0" eb="3">
      <t>ショウヒゼイ</t>
    </rPh>
    <rPh sb="4" eb="6">
      <t>ノウフ</t>
    </rPh>
    <rPh sb="6" eb="8">
      <t>ゼイガク</t>
    </rPh>
    <rPh sb="7" eb="8">
      <t>ガク</t>
    </rPh>
    <rPh sb="9" eb="11">
      <t>ケイサン</t>
    </rPh>
    <phoneticPr fontId="4"/>
  </si>
  <si>
    <t>付表１⑦</t>
    <phoneticPr fontId="4"/>
  </si>
  <si>
    <t>※　W＋X＋Z</t>
    <phoneticPr fontId="4"/>
  </si>
  <si>
    <t>AA</t>
    <phoneticPr fontId="4"/>
  </si>
  <si>
    <t>控除税額　計</t>
    <rPh sb="0" eb="2">
      <t>コウジョ</t>
    </rPh>
    <rPh sb="2" eb="4">
      <t>ゼイガク</t>
    </rPh>
    <rPh sb="5" eb="6">
      <t>ケイ</t>
    </rPh>
    <phoneticPr fontId="4"/>
  </si>
  <si>
    <t>付表１⑥</t>
    <phoneticPr fontId="4"/>
  </si>
  <si>
    <t>※　Y×3/103</t>
    <phoneticPr fontId="4"/>
  </si>
  <si>
    <t>Z</t>
    <phoneticPr fontId="4"/>
  </si>
  <si>
    <t>貸倒れに係る税額</t>
    <rPh sb="0" eb="2">
      <t>カシダオ</t>
    </rPh>
    <rPh sb="4" eb="5">
      <t>カカ</t>
    </rPh>
    <rPh sb="6" eb="8">
      <t>ゼイガク</t>
    </rPh>
    <phoneticPr fontId="4"/>
  </si>
  <si>
    <t>※　特別損失の課税支出のうち、時効欠損分</t>
    <rPh sb="19" eb="20">
      <t>ブン</t>
    </rPh>
    <phoneticPr fontId="4"/>
  </si>
  <si>
    <t>Y.</t>
    <phoneticPr fontId="4"/>
  </si>
  <si>
    <t>貸倒れに係る金額（税込）</t>
    <rPh sb="0" eb="2">
      <t>カシダオ</t>
    </rPh>
    <rPh sb="4" eb="5">
      <t>カカ</t>
    </rPh>
    <rPh sb="6" eb="8">
      <t>キンガク</t>
    </rPh>
    <rPh sb="9" eb="11">
      <t>ゼイコ</t>
    </rPh>
    <phoneticPr fontId="4"/>
  </si>
  <si>
    <t>付表１⑤</t>
    <rPh sb="0" eb="2">
      <t>フヒョウ</t>
    </rPh>
    <phoneticPr fontId="4"/>
  </si>
  <si>
    <t>※　C×3/103</t>
    <phoneticPr fontId="4"/>
  </si>
  <si>
    <t>X</t>
    <phoneticPr fontId="4"/>
  </si>
  <si>
    <t>返還等対価に係る税額</t>
    <rPh sb="0" eb="2">
      <t>ヘンカン</t>
    </rPh>
    <rPh sb="2" eb="3">
      <t>トウ</t>
    </rPh>
    <rPh sb="3" eb="5">
      <t>タイカ</t>
    </rPh>
    <rPh sb="6" eb="7">
      <t>カカ</t>
    </rPh>
    <rPh sb="8" eb="10">
      <t>ゼイガク</t>
    </rPh>
    <phoneticPr fontId="4"/>
  </si>
  <si>
    <t>※　Wの額</t>
    <rPh sb="4" eb="5">
      <t>ガク</t>
    </rPh>
    <phoneticPr fontId="4"/>
  </si>
  <si>
    <t>控除対象仕入税額</t>
    <rPh sb="0" eb="2">
      <t>コウジョ</t>
    </rPh>
    <rPh sb="2" eb="4">
      <t>タイショウ</t>
    </rPh>
    <rPh sb="4" eb="6">
      <t>シイレ</t>
    </rPh>
    <rPh sb="6" eb="8">
      <t>ゼイガク</t>
    </rPh>
    <phoneticPr fontId="4"/>
  </si>
  <si>
    <t>控除税額の計算</t>
    <rPh sb="0" eb="2">
      <t>コウジョ</t>
    </rPh>
    <rPh sb="2" eb="4">
      <t>ゼイガク</t>
    </rPh>
    <rPh sb="5" eb="7">
      <t>ケイサン</t>
    </rPh>
    <phoneticPr fontId="4"/>
  </si>
  <si>
    <t>納税額等の
計算</t>
    <rPh sb="0" eb="2">
      <t>ノウゼイ</t>
    </rPh>
    <rPh sb="2" eb="3">
      <t>ガク</t>
    </rPh>
    <rPh sb="3" eb="4">
      <t>トウ</t>
    </rPh>
    <rPh sb="6" eb="8">
      <t>ケイサン</t>
    </rPh>
    <phoneticPr fontId="4"/>
  </si>
  <si>
    <t>※　O－V</t>
    <phoneticPr fontId="4"/>
  </si>
  <si>
    <t>W</t>
    <phoneticPr fontId="4"/>
  </si>
  <si>
    <t>控除対象仕入税額</t>
    <rPh sb="0" eb="2">
      <t>コウジョ</t>
    </rPh>
    <rPh sb="2" eb="4">
      <t>タイショウ</t>
    </rPh>
    <rPh sb="4" eb="6">
      <t>シイ</t>
    </rPh>
    <rPh sb="6" eb="8">
      <t>ゼイガク</t>
    </rPh>
    <phoneticPr fontId="4"/>
  </si>
  <si>
    <t>計算表５⑫
付表２⑳
付表１④</t>
    <rPh sb="11" eb="13">
      <t>フヒョウ</t>
    </rPh>
    <phoneticPr fontId="4"/>
  </si>
  <si>
    <t>計算表５⑪</t>
    <phoneticPr fontId="4"/>
  </si>
  <si>
    <t>※　R＋U</t>
    <phoneticPr fontId="4"/>
  </si>
  <si>
    <t>V</t>
    <phoneticPr fontId="4"/>
  </si>
  <si>
    <t>特定収入に係る課税仕入れ等の税額</t>
    <rPh sb="5" eb="6">
      <t>カカ</t>
    </rPh>
    <rPh sb="7" eb="9">
      <t>カゼイ</t>
    </rPh>
    <rPh sb="9" eb="11">
      <t>シイ</t>
    </rPh>
    <rPh sb="12" eb="13">
      <t>トウ</t>
    </rPh>
    <rPh sb="14" eb="16">
      <t>ゼイガク</t>
    </rPh>
    <phoneticPr fontId="4"/>
  </si>
  <si>
    <t>計算表５⑩</t>
    <phoneticPr fontId="4"/>
  </si>
  <si>
    <t>※　S×T</t>
    <phoneticPr fontId="4"/>
  </si>
  <si>
    <t>U</t>
    <phoneticPr fontId="4"/>
  </si>
  <si>
    <t>使途不特定の特定収入の税額</t>
    <rPh sb="0" eb="2">
      <t>シト</t>
    </rPh>
    <rPh sb="2" eb="5">
      <t>フトクテイ</t>
    </rPh>
    <rPh sb="6" eb="8">
      <t>トクテイ</t>
    </rPh>
    <rPh sb="8" eb="10">
      <t>シュウニュウ</t>
    </rPh>
    <phoneticPr fontId="4"/>
  </si>
  <si>
    <t>計算表５⑨</t>
    <phoneticPr fontId="4"/>
  </si>
  <si>
    <t>※　合計を参照</t>
    <rPh sb="2" eb="4">
      <t>ゴウケイ</t>
    </rPh>
    <rPh sb="5" eb="7">
      <t>サンショウ</t>
    </rPh>
    <phoneticPr fontId="4"/>
  </si>
  <si>
    <t>T</t>
    <phoneticPr fontId="4"/>
  </si>
  <si>
    <t>調整割合</t>
    <rPh sb="0" eb="2">
      <t>チョウセイ</t>
    </rPh>
    <rPh sb="2" eb="4">
      <t>ワリアイ</t>
    </rPh>
    <phoneticPr fontId="4"/>
  </si>
  <si>
    <t>計算表５⑧</t>
    <phoneticPr fontId="4"/>
  </si>
  <si>
    <t>※　O－R</t>
    <phoneticPr fontId="4"/>
  </si>
  <si>
    <t>S</t>
    <phoneticPr fontId="4"/>
  </si>
  <si>
    <t>課税仕入れ等の税額－特定収入に係る課税仕入れ等の税額</t>
    <phoneticPr fontId="4"/>
  </si>
  <si>
    <t>使途不特定の特定収入</t>
    <rPh sb="0" eb="2">
      <t>シト</t>
    </rPh>
    <rPh sb="2" eb="5">
      <t>フトクテイ</t>
    </rPh>
    <rPh sb="6" eb="8">
      <t>トクテイ</t>
    </rPh>
    <rPh sb="8" eb="10">
      <t>シュウニュウ</t>
    </rPh>
    <phoneticPr fontId="4"/>
  </si>
  <si>
    <t>計算表５⑦</t>
    <phoneticPr fontId="4"/>
  </si>
  <si>
    <t>※　P×Q</t>
    <phoneticPr fontId="4"/>
  </si>
  <si>
    <t>R</t>
    <phoneticPr fontId="4"/>
  </si>
  <si>
    <t>特定収入に係る課税仕入れの税額</t>
    <rPh sb="5" eb="6">
      <t>カカ</t>
    </rPh>
    <rPh sb="7" eb="9">
      <t>カゼイ</t>
    </rPh>
    <rPh sb="9" eb="11">
      <t>シイ</t>
    </rPh>
    <rPh sb="13" eb="15">
      <t>ゼイガク</t>
    </rPh>
    <phoneticPr fontId="4"/>
  </si>
  <si>
    <t>※　合計のJの額</t>
    <rPh sb="2" eb="4">
      <t>ゴウケイ</t>
    </rPh>
    <rPh sb="7" eb="8">
      <t>ガク</t>
    </rPh>
    <phoneticPr fontId="4"/>
  </si>
  <si>
    <t>計算表５⑥</t>
    <phoneticPr fontId="4"/>
  </si>
  <si>
    <t>※　合計のHの額</t>
    <rPh sb="2" eb="4">
      <t>ゴウケイ</t>
    </rPh>
    <rPh sb="7" eb="8">
      <t>ガク</t>
    </rPh>
    <phoneticPr fontId="4"/>
  </si>
  <si>
    <t>Q</t>
    <phoneticPr fontId="4"/>
  </si>
  <si>
    <t>課税売上割合</t>
    <rPh sb="0" eb="2">
      <t>カゼイ</t>
    </rPh>
    <rPh sb="2" eb="4">
      <t>ウリアゲ</t>
    </rPh>
    <rPh sb="4" eb="6">
      <t>ワリアイ</t>
    </rPh>
    <phoneticPr fontId="4"/>
  </si>
  <si>
    <t>計算表５③</t>
    <phoneticPr fontId="4"/>
  </si>
  <si>
    <t>※　N×4/105</t>
    <phoneticPr fontId="4"/>
  </si>
  <si>
    <t>P</t>
    <phoneticPr fontId="4"/>
  </si>
  <si>
    <t>課税仕入れに係る特定収入×4/105</t>
    <rPh sb="0" eb="2">
      <t>カゼイ</t>
    </rPh>
    <rPh sb="2" eb="4">
      <t>シイ</t>
    </rPh>
    <rPh sb="6" eb="7">
      <t>カカ</t>
    </rPh>
    <rPh sb="8" eb="10">
      <t>トクテイ</t>
    </rPh>
    <rPh sb="10" eb="12">
      <t>シュウニュウ</t>
    </rPh>
    <phoneticPr fontId="4"/>
  </si>
  <si>
    <t>計算表５②</t>
    <phoneticPr fontId="4"/>
  </si>
  <si>
    <t>※　Nの額</t>
    <rPh sb="4" eb="5">
      <t>ガク</t>
    </rPh>
    <phoneticPr fontId="4"/>
  </si>
  <si>
    <t>課税仕入れに係る特定収入</t>
    <rPh sb="0" eb="2">
      <t>カゼイ</t>
    </rPh>
    <rPh sb="2" eb="4">
      <t>シイ</t>
    </rPh>
    <rPh sb="6" eb="7">
      <t>カカ</t>
    </rPh>
    <rPh sb="8" eb="10">
      <t>トクテイ</t>
    </rPh>
    <rPh sb="10" eb="12">
      <t>シュウニュウ</t>
    </rPh>
    <phoneticPr fontId="4"/>
  </si>
  <si>
    <t>（調整前）</t>
    <rPh sb="1" eb="3">
      <t>チョウセイ</t>
    </rPh>
    <rPh sb="3" eb="4">
      <t>マエ</t>
    </rPh>
    <phoneticPr fontId="4"/>
  </si>
  <si>
    <t>※　M×合計のH/合計のJ</t>
    <rPh sb="4" eb="6">
      <t>ゴウケイ</t>
    </rPh>
    <rPh sb="9" eb="11">
      <t>ゴウケイ</t>
    </rPh>
    <phoneticPr fontId="4"/>
  </si>
  <si>
    <t>O</t>
    <phoneticPr fontId="4"/>
  </si>
  <si>
    <t>一括比例配分方式により控除する課税仕入れ等の税額</t>
    <rPh sb="0" eb="2">
      <t>イッカツ</t>
    </rPh>
    <rPh sb="2" eb="4">
      <t>ヒレイ</t>
    </rPh>
    <rPh sb="4" eb="6">
      <t>ハイブン</t>
    </rPh>
    <rPh sb="6" eb="8">
      <t>ホウシキ</t>
    </rPh>
    <rPh sb="11" eb="13">
      <t>コウジョ</t>
    </rPh>
    <rPh sb="15" eb="17">
      <t>カゼイ</t>
    </rPh>
    <rPh sb="17" eb="19">
      <t>シイ</t>
    </rPh>
    <rPh sb="20" eb="21">
      <t>トウ</t>
    </rPh>
    <rPh sb="22" eb="24">
      <t>ゼイガク</t>
    </rPh>
    <phoneticPr fontId="4"/>
  </si>
  <si>
    <t>付表２⑰
計算表５①</t>
    <rPh sb="0" eb="2">
      <t>フヒョウ</t>
    </rPh>
    <rPh sb="5" eb="7">
      <t>ケイサン</t>
    </rPh>
    <rPh sb="7" eb="8">
      <t>ヒョウ</t>
    </rPh>
    <phoneticPr fontId="4"/>
  </si>
  <si>
    <t>仕入税額控除の計算</t>
    <rPh sb="7" eb="9">
      <t>ケイサン</t>
    </rPh>
    <phoneticPr fontId="4"/>
  </si>
  <si>
    <t>特定収入割合</t>
    <rPh sb="0" eb="2">
      <t>トクテイ</t>
    </rPh>
    <rPh sb="2" eb="4">
      <t>シュウニュウ</t>
    </rPh>
    <rPh sb="4" eb="6">
      <t>ワリアイ</t>
    </rPh>
    <phoneticPr fontId="4"/>
  </si>
  <si>
    <t>非課税売上額</t>
    <rPh sb="0" eb="3">
      <t>ヒカゼイ</t>
    </rPh>
    <phoneticPr fontId="4"/>
  </si>
  <si>
    <t>免税売上額</t>
    <phoneticPr fontId="4"/>
  </si>
  <si>
    <t>※　A×100/103</t>
    <phoneticPr fontId="4"/>
  </si>
  <si>
    <t>課税売上額（税抜）</t>
    <rPh sb="0" eb="2">
      <t>カゼイ</t>
    </rPh>
    <rPh sb="2" eb="4">
      <t>ウリアゲ</t>
    </rPh>
    <rPh sb="4" eb="5">
      <t>ガク</t>
    </rPh>
    <rPh sb="6" eb="7">
      <t>ゼイ</t>
    </rPh>
    <rPh sb="7" eb="8">
      <t>ヌ</t>
    </rPh>
    <phoneticPr fontId="4"/>
  </si>
  <si>
    <t>N</t>
    <phoneticPr fontId="4"/>
  </si>
  <si>
    <t>計</t>
    <rPh sb="0" eb="1">
      <t>ケイ</t>
    </rPh>
    <phoneticPr fontId="4"/>
  </si>
  <si>
    <t>※　「決算総括表」の「不課税収入」のうち「課税仕入に特定」</t>
    <rPh sb="3" eb="5">
      <t>ケッサン</t>
    </rPh>
    <rPh sb="5" eb="7">
      <t>ソウカツ</t>
    </rPh>
    <rPh sb="7" eb="8">
      <t>ヒョウ</t>
    </rPh>
    <rPh sb="11" eb="12">
      <t>フ</t>
    </rPh>
    <rPh sb="12" eb="14">
      <t>カゼイ</t>
    </rPh>
    <rPh sb="14" eb="16">
      <t>シュウニュウ</t>
    </rPh>
    <phoneticPr fontId="4"/>
  </si>
  <si>
    <t>資本的支出のうち特定収入</t>
    <rPh sb="0" eb="2">
      <t>シホン</t>
    </rPh>
    <rPh sb="2" eb="3">
      <t>テキ</t>
    </rPh>
    <phoneticPr fontId="4"/>
  </si>
  <si>
    <t>収益的支出のうち特定収入</t>
    <rPh sb="0" eb="3">
      <t>シュウエキテキ</t>
    </rPh>
    <rPh sb="3" eb="5">
      <t>シシュツ</t>
    </rPh>
    <rPh sb="8" eb="10">
      <t>トクテイ</t>
    </rPh>
    <rPh sb="10" eb="12">
      <t>シュウニュウ</t>
    </rPh>
    <phoneticPr fontId="4"/>
  </si>
  <si>
    <t>特定収入割合の計算</t>
    <rPh sb="0" eb="2">
      <t>トクテイ</t>
    </rPh>
    <rPh sb="2" eb="4">
      <t>シュウニュウ</t>
    </rPh>
    <rPh sb="4" eb="6">
      <t>ワリアイ</t>
    </rPh>
    <rPh sb="7" eb="9">
      <t>ケイサン</t>
    </rPh>
    <phoneticPr fontId="4"/>
  </si>
  <si>
    <t>仕入税額控除
の調整</t>
    <rPh sb="0" eb="2">
      <t>シイレ</t>
    </rPh>
    <rPh sb="2" eb="4">
      <t>ゼイガク</t>
    </rPh>
    <rPh sb="4" eb="6">
      <t>コウジョ</t>
    </rPh>
    <rPh sb="8" eb="10">
      <t>チョウセイ</t>
    </rPh>
    <phoneticPr fontId="4"/>
  </si>
  <si>
    <t>還付加算金について、特定収入の判定をしているか</t>
    <rPh sb="0" eb="2">
      <t>カンプ</t>
    </rPh>
    <rPh sb="2" eb="5">
      <t>カサンキン</t>
    </rPh>
    <rPh sb="10" eb="12">
      <t>トクテイ</t>
    </rPh>
    <rPh sb="12" eb="14">
      <t>シュウニュウ</t>
    </rPh>
    <rPh sb="15" eb="17">
      <t>ハンテイ</t>
    </rPh>
    <phoneticPr fontId="4"/>
  </si>
  <si>
    <t>「国庫補助金」をチェック</t>
    <rPh sb="1" eb="3">
      <t>コッコ</t>
    </rPh>
    <rPh sb="3" eb="6">
      <t>ホジョキン</t>
    </rPh>
    <phoneticPr fontId="4"/>
  </si>
  <si>
    <t>補助金等の一部を翌期に繰り越した場合、収入のあった課税期間で特定収入の調整（支出金額の割合により按分）を行っているか</t>
    <rPh sb="0" eb="4">
      <t>ホジョキントウ</t>
    </rPh>
    <rPh sb="5" eb="7">
      <t>イチブ</t>
    </rPh>
    <rPh sb="8" eb="9">
      <t>ヨク</t>
    </rPh>
    <rPh sb="9" eb="10">
      <t>キ</t>
    </rPh>
    <rPh sb="11" eb="12">
      <t>ク</t>
    </rPh>
    <rPh sb="13" eb="14">
      <t>コ</t>
    </rPh>
    <rPh sb="16" eb="18">
      <t>バアイ</t>
    </rPh>
    <rPh sb="19" eb="21">
      <t>シュウニュウ</t>
    </rPh>
    <rPh sb="25" eb="27">
      <t>カゼイ</t>
    </rPh>
    <rPh sb="27" eb="29">
      <t>キカン</t>
    </rPh>
    <rPh sb="30" eb="32">
      <t>トクテイ</t>
    </rPh>
    <rPh sb="32" eb="34">
      <t>シュウニュウ</t>
    </rPh>
    <rPh sb="35" eb="37">
      <t>チョウセイ</t>
    </rPh>
    <rPh sb="38" eb="40">
      <t>シシュツ</t>
    </rPh>
    <rPh sb="40" eb="42">
      <t>キンガク</t>
    </rPh>
    <rPh sb="43" eb="45">
      <t>ワリアイ</t>
    </rPh>
    <rPh sb="48" eb="50">
      <t>アンブン</t>
    </rPh>
    <rPh sb="52" eb="53">
      <t>オコナ</t>
    </rPh>
    <phoneticPr fontId="4"/>
  </si>
  <si>
    <t>該当なし</t>
    <rPh sb="0" eb="2">
      <t>ガイトウ</t>
    </rPh>
    <phoneticPr fontId="4"/>
  </si>
  <si>
    <t>通常の借入金の元金返済のために一般会計から繰入金等があった場合、特定収入の判定（借入金で賄った事業のために使用されたとして使途を特定）をしているか</t>
    <rPh sb="0" eb="2">
      <t>ツウジョウ</t>
    </rPh>
    <rPh sb="3" eb="5">
      <t>カリイレ</t>
    </rPh>
    <rPh sb="5" eb="6">
      <t>キン</t>
    </rPh>
    <rPh sb="7" eb="9">
      <t>ガンキン</t>
    </rPh>
    <rPh sb="9" eb="11">
      <t>ヘンサイ</t>
    </rPh>
    <rPh sb="15" eb="17">
      <t>イッパン</t>
    </rPh>
    <rPh sb="17" eb="19">
      <t>カイケイ</t>
    </rPh>
    <rPh sb="21" eb="23">
      <t>クリイレ</t>
    </rPh>
    <rPh sb="23" eb="24">
      <t>キン</t>
    </rPh>
    <rPh sb="24" eb="25">
      <t>トウ</t>
    </rPh>
    <rPh sb="29" eb="31">
      <t>バアイ</t>
    </rPh>
    <rPh sb="32" eb="34">
      <t>トクテイ</t>
    </rPh>
    <rPh sb="34" eb="36">
      <t>シュウニュウ</t>
    </rPh>
    <rPh sb="37" eb="39">
      <t>ハンテイ</t>
    </rPh>
    <rPh sb="40" eb="42">
      <t>カリイレ</t>
    </rPh>
    <rPh sb="42" eb="43">
      <t>キン</t>
    </rPh>
    <rPh sb="44" eb="45">
      <t>マカナ</t>
    </rPh>
    <rPh sb="47" eb="49">
      <t>ジギョウ</t>
    </rPh>
    <rPh sb="53" eb="55">
      <t>シヨウ</t>
    </rPh>
    <rPh sb="61" eb="63">
      <t>シト</t>
    </rPh>
    <rPh sb="64" eb="66">
      <t>トクテイ</t>
    </rPh>
    <phoneticPr fontId="4"/>
  </si>
  <si>
    <t>「一般会計出資金」をチェック</t>
    <rPh sb="1" eb="3">
      <t>イッパン</t>
    </rPh>
    <rPh sb="3" eb="5">
      <t>カイケイ</t>
    </rPh>
    <rPh sb="5" eb="8">
      <t>シュッシキン</t>
    </rPh>
    <phoneticPr fontId="4"/>
  </si>
  <si>
    <t>一般会計繰入金であっても、地方公営企業法適用企業が受け入れる出資金は特定収入から除かれる。出資金を特定収入にしていないか</t>
    <rPh sb="0" eb="2">
      <t>イッパン</t>
    </rPh>
    <rPh sb="2" eb="4">
      <t>カイケイ</t>
    </rPh>
    <rPh sb="4" eb="6">
      <t>クリイレ</t>
    </rPh>
    <rPh sb="6" eb="7">
      <t>キン</t>
    </rPh>
    <rPh sb="13" eb="15">
      <t>チホウ</t>
    </rPh>
    <rPh sb="15" eb="17">
      <t>コウエイ</t>
    </rPh>
    <rPh sb="17" eb="19">
      <t>キギョウ</t>
    </rPh>
    <rPh sb="19" eb="20">
      <t>ホウ</t>
    </rPh>
    <rPh sb="20" eb="22">
      <t>テキヨウ</t>
    </rPh>
    <rPh sb="22" eb="24">
      <t>キギョウ</t>
    </rPh>
    <rPh sb="25" eb="26">
      <t>ウ</t>
    </rPh>
    <rPh sb="27" eb="28">
      <t>イ</t>
    </rPh>
    <rPh sb="30" eb="33">
      <t>シュッシキン</t>
    </rPh>
    <rPh sb="34" eb="36">
      <t>トクテイ</t>
    </rPh>
    <rPh sb="36" eb="38">
      <t>シュウニュウ</t>
    </rPh>
    <rPh sb="40" eb="41">
      <t>ノゾ</t>
    </rPh>
    <rPh sb="45" eb="48">
      <t>シュッシキン</t>
    </rPh>
    <rPh sb="49" eb="51">
      <t>トクテイ</t>
    </rPh>
    <rPh sb="51" eb="53">
      <t>シュウニュウ</t>
    </rPh>
    <phoneticPr fontId="4"/>
  </si>
  <si>
    <t>「企業債」をチェック</t>
    <rPh sb="1" eb="3">
      <t>キギョウ</t>
    </rPh>
    <rPh sb="3" eb="4">
      <t>サイ</t>
    </rPh>
    <phoneticPr fontId="4"/>
  </si>
  <si>
    <t>通常の借入金（地方債の起債収入等）を特定収入にしていないか</t>
    <rPh sb="0" eb="2">
      <t>ツウジョウ</t>
    </rPh>
    <rPh sb="3" eb="5">
      <t>カリイレ</t>
    </rPh>
    <rPh sb="5" eb="6">
      <t>キン</t>
    </rPh>
    <rPh sb="7" eb="10">
      <t>チホウサイ</t>
    </rPh>
    <rPh sb="11" eb="13">
      <t>キサイ</t>
    </rPh>
    <rPh sb="13" eb="16">
      <t>シュウニュウトウ</t>
    </rPh>
    <rPh sb="18" eb="20">
      <t>トクテイ</t>
    </rPh>
    <rPh sb="20" eb="22">
      <t>シュウニュウ</t>
    </rPh>
    <phoneticPr fontId="4"/>
  </si>
  <si>
    <t>特定収入の
判定</t>
    <rPh sb="0" eb="2">
      <t>トクテイ</t>
    </rPh>
    <rPh sb="2" eb="4">
      <t>シュウニュウ</t>
    </rPh>
    <rPh sb="6" eb="8">
      <t>ハンテイ</t>
    </rPh>
    <phoneticPr fontId="4"/>
  </si>
  <si>
    <t>付表２⑨⑫</t>
    <rPh sb="0" eb="2">
      <t>フヒョウ</t>
    </rPh>
    <phoneticPr fontId="4"/>
  </si>
  <si>
    <t>M</t>
    <phoneticPr fontId="4"/>
  </si>
  <si>
    <t>課税仕入れに係る消費税額</t>
    <rPh sb="0" eb="2">
      <t>カゼイ</t>
    </rPh>
    <rPh sb="2" eb="4">
      <t>シイ</t>
    </rPh>
    <rPh sb="6" eb="7">
      <t>カカ</t>
    </rPh>
    <rPh sb="8" eb="11">
      <t>ショウヒゼイ</t>
    </rPh>
    <rPh sb="11" eb="12">
      <t>ガク</t>
    </rPh>
    <phoneticPr fontId="4"/>
  </si>
  <si>
    <t>付表２⑧</t>
    <rPh sb="0" eb="2">
      <t>フヒョウ</t>
    </rPh>
    <phoneticPr fontId="4"/>
  </si>
  <si>
    <t>※　K-L-B</t>
    <phoneticPr fontId="4"/>
  </si>
  <si>
    <t>課税仕入れに係る支払対価の額（税込）</t>
    <rPh sb="0" eb="2">
      <t>カゼイ</t>
    </rPh>
    <rPh sb="2" eb="4">
      <t>シイ</t>
    </rPh>
    <rPh sb="6" eb="7">
      <t>カカ</t>
    </rPh>
    <rPh sb="8" eb="10">
      <t>シハライ</t>
    </rPh>
    <rPh sb="10" eb="12">
      <t>タイカ</t>
    </rPh>
    <rPh sb="13" eb="14">
      <t>ガク</t>
    </rPh>
    <rPh sb="15" eb="17">
      <t>ゼイコ</t>
    </rPh>
    <phoneticPr fontId="4"/>
  </si>
  <si>
    <t>※　Bの額</t>
    <rPh sb="4" eb="5">
      <t>ガク</t>
    </rPh>
    <phoneticPr fontId="4"/>
  </si>
  <si>
    <t>仕入対価の返還等の額</t>
    <rPh sb="0" eb="2">
      <t>シイレ</t>
    </rPh>
    <rPh sb="2" eb="4">
      <t>タイカ</t>
    </rPh>
    <rPh sb="5" eb="7">
      <t>ヘンカン</t>
    </rPh>
    <rPh sb="7" eb="8">
      <t>トウ</t>
    </rPh>
    <rPh sb="9" eb="10">
      <t>ガク</t>
    </rPh>
    <phoneticPr fontId="4"/>
  </si>
  <si>
    <t>※　「過年度損益修正損」「その他特別損失」の課税支出うち、該当分</t>
    <rPh sb="6" eb="8">
      <t>ソンエキ</t>
    </rPh>
    <rPh sb="22" eb="24">
      <t>カゼイ</t>
    </rPh>
    <rPh sb="24" eb="26">
      <t>シシュツ</t>
    </rPh>
    <rPh sb="29" eb="31">
      <t>ガイトウ</t>
    </rPh>
    <rPh sb="31" eb="32">
      <t>ブン</t>
    </rPh>
    <phoneticPr fontId="4"/>
  </si>
  <si>
    <t>L</t>
    <phoneticPr fontId="4"/>
  </si>
  <si>
    <t>返還等対価・貸倒れの額</t>
    <rPh sb="0" eb="2">
      <t>ヘンカン</t>
    </rPh>
    <rPh sb="2" eb="3">
      <t>トウ</t>
    </rPh>
    <rPh sb="3" eb="5">
      <t>タイカ</t>
    </rPh>
    <rPh sb="6" eb="8">
      <t>カシダオ</t>
    </rPh>
    <rPh sb="10" eb="11">
      <t>ガク</t>
    </rPh>
    <phoneticPr fontId="4"/>
  </si>
  <si>
    <t>課税仕入れから控除するもの</t>
    <rPh sb="0" eb="2">
      <t>カゼイ</t>
    </rPh>
    <rPh sb="2" eb="4">
      <t>シイ</t>
    </rPh>
    <rPh sb="7" eb="9">
      <t>コウジョ</t>
    </rPh>
    <phoneticPr fontId="4"/>
  </si>
  <si>
    <t>K</t>
    <phoneticPr fontId="4"/>
  </si>
  <si>
    <t>※　「決算総括表」より</t>
    <rPh sb="3" eb="5">
      <t>ケッサン</t>
    </rPh>
    <rPh sb="5" eb="7">
      <t>ソウカツ</t>
    </rPh>
    <rPh sb="7" eb="8">
      <t>ヒョウ</t>
    </rPh>
    <phoneticPr fontId="4"/>
  </si>
  <si>
    <t>資本的支出のうち課税支出（税込）</t>
    <rPh sb="0" eb="2">
      <t>シホン</t>
    </rPh>
    <rPh sb="2" eb="3">
      <t>テキ</t>
    </rPh>
    <rPh sb="13" eb="15">
      <t>ゼイコ</t>
    </rPh>
    <phoneticPr fontId="4"/>
  </si>
  <si>
    <t>収益的支出のうち課税支出（税込）</t>
    <rPh sb="0" eb="3">
      <t>シュウエキテキ</t>
    </rPh>
    <rPh sb="3" eb="5">
      <t>シシュツ</t>
    </rPh>
    <rPh sb="8" eb="10">
      <t>カゼイ</t>
    </rPh>
    <rPh sb="13" eb="15">
      <t>ゼイコ</t>
    </rPh>
    <phoneticPr fontId="4"/>
  </si>
  <si>
    <t>課税仕入れ等の税額の計算</t>
    <rPh sb="0" eb="2">
      <t>カゼイ</t>
    </rPh>
    <rPh sb="2" eb="4">
      <t>シイ</t>
    </rPh>
    <rPh sb="5" eb="6">
      <t>トウ</t>
    </rPh>
    <rPh sb="7" eb="9">
      <t>ゼイガク</t>
    </rPh>
    <rPh sb="10" eb="12">
      <t>ケイサン</t>
    </rPh>
    <phoneticPr fontId="4"/>
  </si>
  <si>
    <t>経過措置対象取引（3%取引）がある場合、課税仕入れを3%取引と4%取引に区分して計算しているか</t>
    <rPh sb="0" eb="2">
      <t>ケイカ</t>
    </rPh>
    <rPh sb="2" eb="4">
      <t>ソチ</t>
    </rPh>
    <rPh sb="4" eb="6">
      <t>タイショウ</t>
    </rPh>
    <rPh sb="6" eb="8">
      <t>トリヒキ</t>
    </rPh>
    <rPh sb="11" eb="13">
      <t>トリヒキ</t>
    </rPh>
    <rPh sb="17" eb="19">
      <t>バアイ</t>
    </rPh>
    <rPh sb="20" eb="22">
      <t>カゼイ</t>
    </rPh>
    <rPh sb="22" eb="24">
      <t>シイ</t>
    </rPh>
    <rPh sb="28" eb="30">
      <t>トリヒキ</t>
    </rPh>
    <rPh sb="33" eb="35">
      <t>トリヒキ</t>
    </rPh>
    <rPh sb="36" eb="38">
      <t>クブン</t>
    </rPh>
    <rPh sb="40" eb="42">
      <t>ケイサン</t>
    </rPh>
    <phoneticPr fontId="4"/>
  </si>
  <si>
    <t>固定資産売却損をチェック</t>
    <rPh sb="0" eb="2">
      <t>コテイ</t>
    </rPh>
    <rPh sb="2" eb="4">
      <t>シサン</t>
    </rPh>
    <rPh sb="4" eb="6">
      <t>バイキャク</t>
    </rPh>
    <rPh sb="6" eb="7">
      <t>ソン</t>
    </rPh>
    <phoneticPr fontId="4"/>
  </si>
  <si>
    <t>資産の譲渡損を課税仕入れにしていないか</t>
    <rPh sb="0" eb="2">
      <t>シサン</t>
    </rPh>
    <rPh sb="3" eb="5">
      <t>ジョウト</t>
    </rPh>
    <rPh sb="5" eb="6">
      <t>ソン</t>
    </rPh>
    <rPh sb="7" eb="9">
      <t>カゼイ</t>
    </rPh>
    <rPh sb="9" eb="11">
      <t>シイ</t>
    </rPh>
    <phoneticPr fontId="4"/>
  </si>
  <si>
    <t>各費目をチェック</t>
    <rPh sb="0" eb="3">
      <t>カクヒモク</t>
    </rPh>
    <phoneticPr fontId="4"/>
  </si>
  <si>
    <t>免税・非課税・不課税仕入れを課税仕入れにしていないか</t>
    <rPh sb="0" eb="2">
      <t>メンゼイ</t>
    </rPh>
    <rPh sb="3" eb="6">
      <t>ヒカゼイ</t>
    </rPh>
    <rPh sb="7" eb="8">
      <t>フ</t>
    </rPh>
    <rPh sb="8" eb="10">
      <t>カゼイ</t>
    </rPh>
    <rPh sb="10" eb="12">
      <t>シイ</t>
    </rPh>
    <rPh sb="14" eb="16">
      <t>カゼイ</t>
    </rPh>
    <rPh sb="16" eb="18">
      <t>シイ</t>
    </rPh>
    <phoneticPr fontId="4"/>
  </si>
  <si>
    <t>損害賠償金を課税仕入れにしていないか（一般的には不課税）</t>
    <rPh sb="0" eb="2">
      <t>ソンガイ</t>
    </rPh>
    <rPh sb="2" eb="5">
      <t>バイショウキン</t>
    </rPh>
    <rPh sb="6" eb="8">
      <t>カゼイ</t>
    </rPh>
    <rPh sb="8" eb="10">
      <t>シイ</t>
    </rPh>
    <rPh sb="19" eb="22">
      <t>イッパンテキ</t>
    </rPh>
    <rPh sb="24" eb="25">
      <t>フ</t>
    </rPh>
    <rPh sb="25" eb="27">
      <t>カゼイ</t>
    </rPh>
    <phoneticPr fontId="4"/>
  </si>
  <si>
    <t>保証金をチェック</t>
    <rPh sb="0" eb="3">
      <t>ホショウキン</t>
    </rPh>
    <phoneticPr fontId="4"/>
  </si>
  <si>
    <t>課税の対象となる対価補償金以外の補償金を課税仕入れにしていないか（水道管移設保証金、ガス管移設保証金等は不課税）</t>
    <rPh sb="0" eb="2">
      <t>カゼイ</t>
    </rPh>
    <rPh sb="3" eb="5">
      <t>タイショウ</t>
    </rPh>
    <rPh sb="8" eb="10">
      <t>タイカ</t>
    </rPh>
    <rPh sb="10" eb="13">
      <t>ホショウキン</t>
    </rPh>
    <rPh sb="13" eb="15">
      <t>イガイ</t>
    </rPh>
    <rPh sb="16" eb="19">
      <t>ホショウキン</t>
    </rPh>
    <rPh sb="20" eb="22">
      <t>カゼイ</t>
    </rPh>
    <rPh sb="22" eb="24">
      <t>シイ</t>
    </rPh>
    <rPh sb="33" eb="36">
      <t>スイドウカン</t>
    </rPh>
    <rPh sb="36" eb="38">
      <t>イセツ</t>
    </rPh>
    <rPh sb="38" eb="41">
      <t>ホショウキン</t>
    </rPh>
    <rPh sb="44" eb="45">
      <t>カン</t>
    </rPh>
    <rPh sb="45" eb="47">
      <t>イセツ</t>
    </rPh>
    <rPh sb="47" eb="50">
      <t>ホショウキン</t>
    </rPh>
    <rPh sb="50" eb="51">
      <t>トウ</t>
    </rPh>
    <rPh sb="52" eb="53">
      <t>フ</t>
    </rPh>
    <rPh sb="53" eb="55">
      <t>カゼイ</t>
    </rPh>
    <phoneticPr fontId="4"/>
  </si>
  <si>
    <t>賃借料をチェック</t>
    <rPh sb="0" eb="3">
      <t>チンシャクリョウ</t>
    </rPh>
    <phoneticPr fontId="4"/>
  </si>
  <si>
    <t>土地の借受（原則非課税）のうち、契約期間が1か月未満の場合や、駐車場その他の施設の利用に伴って土地を使用する場合は課税としているか</t>
    <rPh sb="0" eb="2">
      <t>トチ</t>
    </rPh>
    <rPh sb="3" eb="5">
      <t>カリウケ</t>
    </rPh>
    <rPh sb="6" eb="8">
      <t>ゲンソク</t>
    </rPh>
    <rPh sb="8" eb="11">
      <t>ヒカゼイ</t>
    </rPh>
    <phoneticPr fontId="4"/>
  </si>
  <si>
    <t>課税仕入れ</t>
    <rPh sb="0" eb="2">
      <t>カゼイ</t>
    </rPh>
    <rPh sb="2" eb="4">
      <t>シイ</t>
    </rPh>
    <phoneticPr fontId="4"/>
  </si>
  <si>
    <t>資産の譲渡等の対価の額</t>
    <rPh sb="0" eb="2">
      <t>シサン</t>
    </rPh>
    <rPh sb="3" eb="6">
      <t>ジョウトトウ</t>
    </rPh>
    <rPh sb="7" eb="9">
      <t>タイカ</t>
    </rPh>
    <rPh sb="10" eb="11">
      <t>ガク</t>
    </rPh>
    <phoneticPr fontId="4"/>
  </si>
  <si>
    <t>資本的収入のうち非課税売上（税込）</t>
    <rPh sb="0" eb="2">
      <t>シホン</t>
    </rPh>
    <rPh sb="2" eb="3">
      <t>テキ</t>
    </rPh>
    <rPh sb="3" eb="5">
      <t>シュウニュウ</t>
    </rPh>
    <rPh sb="8" eb="9">
      <t>ヒ</t>
    </rPh>
    <rPh sb="14" eb="16">
      <t>ゼイコ</t>
    </rPh>
    <phoneticPr fontId="4"/>
  </si>
  <si>
    <t>収益的収入のうち非課税売上（税込）</t>
    <rPh sb="0" eb="3">
      <t>シュウエキテキ</t>
    </rPh>
    <rPh sb="3" eb="5">
      <t>シュウニュウ</t>
    </rPh>
    <rPh sb="8" eb="9">
      <t>ヒ</t>
    </rPh>
    <rPh sb="9" eb="11">
      <t>カゼイ</t>
    </rPh>
    <rPh sb="11" eb="13">
      <t>ウリアゲ</t>
    </rPh>
    <rPh sb="14" eb="16">
      <t>ゼイコ</t>
    </rPh>
    <phoneticPr fontId="4"/>
  </si>
  <si>
    <t>課税資産の譲渡等の対価の額</t>
    <rPh sb="0" eb="2">
      <t>カゼイ</t>
    </rPh>
    <rPh sb="2" eb="4">
      <t>シサン</t>
    </rPh>
    <rPh sb="5" eb="8">
      <t>ジョウトトウ</t>
    </rPh>
    <rPh sb="9" eb="11">
      <t>タイカ</t>
    </rPh>
    <rPh sb="12" eb="13">
      <t>ガク</t>
    </rPh>
    <phoneticPr fontId="4"/>
  </si>
  <si>
    <t>免税売上額</t>
    <phoneticPr fontId="4"/>
  </si>
  <si>
    <t>課税売上額</t>
    <rPh sb="0" eb="2">
      <t>カゼイ</t>
    </rPh>
    <rPh sb="2" eb="4">
      <t>ウリアゲ</t>
    </rPh>
    <rPh sb="4" eb="5">
      <t>ガク</t>
    </rPh>
    <phoneticPr fontId="4"/>
  </si>
  <si>
    <t>課税売上割合の計算</t>
    <rPh sb="0" eb="2">
      <t>カゼイ</t>
    </rPh>
    <rPh sb="2" eb="4">
      <t>ウリアゲ</t>
    </rPh>
    <rPh sb="4" eb="6">
      <t>ワリアイ</t>
    </rPh>
    <rPh sb="7" eb="9">
      <t>ケイサン</t>
    </rPh>
    <phoneticPr fontId="4"/>
  </si>
  <si>
    <t>付表１②</t>
    <phoneticPr fontId="4"/>
  </si>
  <si>
    <t>※　E×3%</t>
    <phoneticPr fontId="4"/>
  </si>
  <si>
    <t>F</t>
    <phoneticPr fontId="4"/>
  </si>
  <si>
    <t>課税標準額に対する消費税額</t>
    <rPh sb="0" eb="2">
      <t>カゼイ</t>
    </rPh>
    <rPh sb="2" eb="4">
      <t>ヒョウジュン</t>
    </rPh>
    <rPh sb="4" eb="5">
      <t>ガク</t>
    </rPh>
    <rPh sb="6" eb="7">
      <t>タイ</t>
    </rPh>
    <rPh sb="9" eb="12">
      <t>ショウヒゼイ</t>
    </rPh>
    <rPh sb="12" eb="13">
      <t>ガク</t>
    </rPh>
    <phoneticPr fontId="4"/>
  </si>
  <si>
    <t>付表１①</t>
    <rPh sb="0" eb="2">
      <t>フヒョウ</t>
    </rPh>
    <phoneticPr fontId="4"/>
  </si>
  <si>
    <t>※　（A－B）×100/103　　1,000円未満切捨</t>
    <phoneticPr fontId="4"/>
  </si>
  <si>
    <t>E</t>
    <phoneticPr fontId="4"/>
  </si>
  <si>
    <t>課税標準額（税抜）</t>
    <rPh sb="0" eb="2">
      <t>カゼイ</t>
    </rPh>
    <rPh sb="2" eb="4">
      <t>ヒョウジュン</t>
    </rPh>
    <rPh sb="4" eb="5">
      <t>ガク</t>
    </rPh>
    <phoneticPr fontId="4"/>
  </si>
  <si>
    <t>付表２①</t>
    <rPh sb="0" eb="2">
      <t>フヒョウ</t>
    </rPh>
    <phoneticPr fontId="4"/>
  </si>
  <si>
    <t>※　（A－B－C）×100/103</t>
    <phoneticPr fontId="4"/>
  </si>
  <si>
    <t>D</t>
    <phoneticPr fontId="4"/>
  </si>
  <si>
    <t>※　「過年度損益修正損」「その他特別損失」のうち、課税収入を返還したもの</t>
    <rPh sb="10" eb="11">
      <t>ソン</t>
    </rPh>
    <rPh sb="15" eb="16">
      <t>タ</t>
    </rPh>
    <rPh sb="16" eb="18">
      <t>トクベツ</t>
    </rPh>
    <rPh sb="18" eb="20">
      <t>ソンシツ</t>
    </rPh>
    <rPh sb="25" eb="27">
      <t>カゼイ</t>
    </rPh>
    <rPh sb="27" eb="29">
      <t>シュウニュウ</t>
    </rPh>
    <rPh sb="30" eb="32">
      <t>ヘンカン</t>
    </rPh>
    <phoneticPr fontId="4"/>
  </si>
  <si>
    <t>C</t>
    <phoneticPr fontId="4"/>
  </si>
  <si>
    <t>売上対価の返還等の額</t>
    <rPh sb="0" eb="2">
      <t>ウリアゲ</t>
    </rPh>
    <rPh sb="2" eb="4">
      <t>タイカ</t>
    </rPh>
    <rPh sb="5" eb="7">
      <t>ヘンカン</t>
    </rPh>
    <rPh sb="7" eb="8">
      <t>トウ</t>
    </rPh>
    <rPh sb="9" eb="10">
      <t>ガク</t>
    </rPh>
    <phoneticPr fontId="4"/>
  </si>
  <si>
    <t>※　「過年度損益修正益」「その他特別利益」のうち、課税支出が返還されたもの</t>
    <rPh sb="3" eb="6">
      <t>カネンド</t>
    </rPh>
    <rPh sb="8" eb="10">
      <t>シュウセイ</t>
    </rPh>
    <rPh sb="10" eb="11">
      <t>エキ</t>
    </rPh>
    <rPh sb="15" eb="16">
      <t>タ</t>
    </rPh>
    <rPh sb="16" eb="18">
      <t>トクベツ</t>
    </rPh>
    <rPh sb="18" eb="20">
      <t>リエキ</t>
    </rPh>
    <rPh sb="25" eb="27">
      <t>カゼイ</t>
    </rPh>
    <rPh sb="27" eb="29">
      <t>シシュツ</t>
    </rPh>
    <rPh sb="30" eb="32">
      <t>ヘンカン</t>
    </rPh>
    <phoneticPr fontId="4"/>
  </si>
  <si>
    <t>B</t>
    <phoneticPr fontId="4"/>
  </si>
  <si>
    <t>課税売上から控除するもの</t>
    <rPh sb="0" eb="2">
      <t>カゼイ</t>
    </rPh>
    <rPh sb="2" eb="4">
      <t>ウリアゲ</t>
    </rPh>
    <rPh sb="6" eb="8">
      <t>コウジョ</t>
    </rPh>
    <phoneticPr fontId="4"/>
  </si>
  <si>
    <t>A</t>
    <phoneticPr fontId="4"/>
  </si>
  <si>
    <t>資本的収入のうち課税売上（税込）</t>
    <rPh sb="0" eb="2">
      <t>シホン</t>
    </rPh>
    <rPh sb="2" eb="3">
      <t>テキ</t>
    </rPh>
    <rPh sb="3" eb="5">
      <t>シュウニュウ</t>
    </rPh>
    <rPh sb="13" eb="15">
      <t>ゼイコ</t>
    </rPh>
    <phoneticPr fontId="4"/>
  </si>
  <si>
    <t>収益的収入のうち課税売上（税込）</t>
    <rPh sb="0" eb="3">
      <t>シュウエキテキ</t>
    </rPh>
    <rPh sb="3" eb="5">
      <t>シュウニュウ</t>
    </rPh>
    <rPh sb="8" eb="10">
      <t>カゼイ</t>
    </rPh>
    <rPh sb="10" eb="12">
      <t>ウリアゲ</t>
    </rPh>
    <rPh sb="13" eb="15">
      <t>ゼイコ</t>
    </rPh>
    <phoneticPr fontId="4"/>
  </si>
  <si>
    <t>課税売上額の計算</t>
    <rPh sb="0" eb="2">
      <t>カゼイ</t>
    </rPh>
    <rPh sb="2" eb="4">
      <t>ウリアゲ</t>
    </rPh>
    <rPh sb="4" eb="5">
      <t>ガク</t>
    </rPh>
    <rPh sb="6" eb="8">
      <t>ケイサン</t>
    </rPh>
    <phoneticPr fontId="4"/>
  </si>
  <si>
    <t>土地建物一括譲渡の場合、対価の額の区分は正しいか</t>
    <rPh sb="0" eb="2">
      <t>トチ</t>
    </rPh>
    <rPh sb="2" eb="4">
      <t>タテモノ</t>
    </rPh>
    <rPh sb="4" eb="6">
      <t>イッカツ</t>
    </rPh>
    <rPh sb="6" eb="8">
      <t>ジョウト</t>
    </rPh>
    <rPh sb="9" eb="11">
      <t>バアイ</t>
    </rPh>
    <rPh sb="12" eb="14">
      <t>タイカ</t>
    </rPh>
    <rPh sb="15" eb="16">
      <t>ガク</t>
    </rPh>
    <rPh sb="17" eb="19">
      <t>クブン</t>
    </rPh>
    <rPh sb="20" eb="21">
      <t>タダ</t>
    </rPh>
    <phoneticPr fontId="4"/>
  </si>
  <si>
    <t>車両等を購入した場合、下取り価額を課税売上にしていないか</t>
    <rPh sb="0" eb="3">
      <t>シャリョウトウ</t>
    </rPh>
    <rPh sb="4" eb="6">
      <t>コウニュウ</t>
    </rPh>
    <rPh sb="8" eb="10">
      <t>バアイ</t>
    </rPh>
    <rPh sb="11" eb="13">
      <t>シタド</t>
    </rPh>
    <rPh sb="14" eb="16">
      <t>カガク</t>
    </rPh>
    <rPh sb="17" eb="19">
      <t>カゼイ</t>
    </rPh>
    <rPh sb="19" eb="21">
      <t>ウリアゲ</t>
    </rPh>
    <phoneticPr fontId="4"/>
  </si>
  <si>
    <t>「固定資産売却益」及び「土地売却代金」をチェック</t>
    <rPh sb="1" eb="3">
      <t>コテイ</t>
    </rPh>
    <rPh sb="3" eb="5">
      <t>シサン</t>
    </rPh>
    <rPh sb="5" eb="8">
      <t>バイキャクエキ</t>
    </rPh>
    <rPh sb="9" eb="10">
      <t>オヨ</t>
    </rPh>
    <rPh sb="12" eb="14">
      <t>トチ</t>
    </rPh>
    <rPh sb="14" eb="16">
      <t>バイキャク</t>
    </rPh>
    <rPh sb="16" eb="18">
      <t>ダイキン</t>
    </rPh>
    <phoneticPr fontId="4"/>
  </si>
  <si>
    <t>建物等固定資産（土地を除く）の売却について、差益部分のみを課税売上にしていないか</t>
    <rPh sb="0" eb="3">
      <t>タテモノトウ</t>
    </rPh>
    <rPh sb="3" eb="5">
      <t>コテイ</t>
    </rPh>
    <rPh sb="5" eb="7">
      <t>シサン</t>
    </rPh>
    <rPh sb="8" eb="10">
      <t>トチ</t>
    </rPh>
    <rPh sb="11" eb="12">
      <t>ノゾ</t>
    </rPh>
    <rPh sb="15" eb="17">
      <t>バイキャク</t>
    </rPh>
    <rPh sb="22" eb="23">
      <t>サ</t>
    </rPh>
    <rPh sb="23" eb="24">
      <t>エキ</t>
    </rPh>
    <rPh sb="24" eb="26">
      <t>ブブン</t>
    </rPh>
    <rPh sb="29" eb="31">
      <t>カゼイ</t>
    </rPh>
    <rPh sb="31" eb="33">
      <t>ウリアゲ</t>
    </rPh>
    <phoneticPr fontId="4"/>
  </si>
  <si>
    <t>損害賠償金を課税売上にしていないか（一般的には不課税）</t>
    <rPh sb="0" eb="2">
      <t>ソンガイ</t>
    </rPh>
    <rPh sb="2" eb="5">
      <t>バイショウキン</t>
    </rPh>
    <rPh sb="6" eb="8">
      <t>カゼイ</t>
    </rPh>
    <rPh sb="8" eb="10">
      <t>ウリアゲ</t>
    </rPh>
    <rPh sb="18" eb="21">
      <t>イッパンテキ</t>
    </rPh>
    <rPh sb="23" eb="24">
      <t>フ</t>
    </rPh>
    <rPh sb="24" eb="26">
      <t>カゼイ</t>
    </rPh>
    <phoneticPr fontId="4"/>
  </si>
  <si>
    <t>課税の対象となる対価補償金以外の補償金を課税売上にしていないか（水道管移設保証金、ガス管移設保証金等は不課税）</t>
    <rPh sb="0" eb="2">
      <t>カゼイ</t>
    </rPh>
    <rPh sb="3" eb="5">
      <t>タイショウ</t>
    </rPh>
    <rPh sb="8" eb="10">
      <t>タイカ</t>
    </rPh>
    <rPh sb="10" eb="13">
      <t>ホショウキン</t>
    </rPh>
    <rPh sb="13" eb="15">
      <t>イガイ</t>
    </rPh>
    <rPh sb="16" eb="19">
      <t>ホショウキン</t>
    </rPh>
    <rPh sb="20" eb="22">
      <t>カゼイ</t>
    </rPh>
    <rPh sb="22" eb="24">
      <t>ウリアゲ</t>
    </rPh>
    <rPh sb="32" eb="35">
      <t>スイドウカン</t>
    </rPh>
    <rPh sb="35" eb="37">
      <t>イセツ</t>
    </rPh>
    <rPh sb="37" eb="40">
      <t>ホショウキン</t>
    </rPh>
    <rPh sb="43" eb="44">
      <t>カン</t>
    </rPh>
    <rPh sb="44" eb="46">
      <t>イセツ</t>
    </rPh>
    <rPh sb="46" eb="49">
      <t>ホショウキン</t>
    </rPh>
    <rPh sb="49" eb="50">
      <t>トウ</t>
    </rPh>
    <rPh sb="51" eb="52">
      <t>フ</t>
    </rPh>
    <rPh sb="52" eb="54">
      <t>カゼイ</t>
    </rPh>
    <phoneticPr fontId="4"/>
  </si>
  <si>
    <t>「雑収益」の「その他雑収益」をチェック</t>
    <rPh sb="1" eb="2">
      <t>ザツ</t>
    </rPh>
    <rPh sb="2" eb="4">
      <t>シュウエキ</t>
    </rPh>
    <rPh sb="9" eb="10">
      <t>タ</t>
    </rPh>
    <rPh sb="10" eb="11">
      <t>ザツ</t>
    </rPh>
    <rPh sb="11" eb="13">
      <t>シュウエキ</t>
    </rPh>
    <phoneticPr fontId="4"/>
  </si>
  <si>
    <t>土地の貸付（原則非課税）のうち、契約期間が1か月未満の場合や、駐車場その他の施設の利用に伴って土地が使用される場合は課税としているか</t>
    <rPh sb="0" eb="2">
      <t>トチ</t>
    </rPh>
    <rPh sb="3" eb="5">
      <t>カシツケ</t>
    </rPh>
    <rPh sb="6" eb="8">
      <t>ゲンソク</t>
    </rPh>
    <rPh sb="8" eb="11">
      <t>ヒカゼイ</t>
    </rPh>
    <rPh sb="16" eb="18">
      <t>ケイヤク</t>
    </rPh>
    <rPh sb="18" eb="20">
      <t>キカン</t>
    </rPh>
    <rPh sb="23" eb="24">
      <t>ゲツ</t>
    </rPh>
    <rPh sb="24" eb="26">
      <t>ミマン</t>
    </rPh>
    <rPh sb="27" eb="29">
      <t>バアイ</t>
    </rPh>
    <rPh sb="31" eb="34">
      <t>チュウシャジョウ</t>
    </rPh>
    <rPh sb="36" eb="37">
      <t>タ</t>
    </rPh>
    <rPh sb="38" eb="40">
      <t>シセツ</t>
    </rPh>
    <rPh sb="41" eb="43">
      <t>リヨウ</t>
    </rPh>
    <rPh sb="44" eb="45">
      <t>トモナ</t>
    </rPh>
    <rPh sb="47" eb="49">
      <t>トチ</t>
    </rPh>
    <rPh sb="50" eb="52">
      <t>シヨウ</t>
    </rPh>
    <rPh sb="55" eb="57">
      <t>バアイ</t>
    </rPh>
    <rPh sb="58" eb="60">
      <t>カゼイ</t>
    </rPh>
    <phoneticPr fontId="4"/>
  </si>
  <si>
    <t>「その他営業収益」の「手数料」をチェック</t>
    <rPh sb="3" eb="4">
      <t>タ</t>
    </rPh>
    <rPh sb="4" eb="6">
      <t>エイギョウ</t>
    </rPh>
    <rPh sb="6" eb="8">
      <t>シュウエキ</t>
    </rPh>
    <rPh sb="11" eb="14">
      <t>テスウリョウ</t>
    </rPh>
    <phoneticPr fontId="4"/>
  </si>
  <si>
    <t>行政手数料収入を課税売上にしていないか（一部のものを除き、非課税となる）</t>
    <rPh sb="0" eb="2">
      <t>ギョウセイ</t>
    </rPh>
    <rPh sb="2" eb="5">
      <t>テスウリョウ</t>
    </rPh>
    <rPh sb="5" eb="7">
      <t>シュウニュウ</t>
    </rPh>
    <rPh sb="8" eb="10">
      <t>カゼイ</t>
    </rPh>
    <rPh sb="10" eb="12">
      <t>ウリアゲ</t>
    </rPh>
    <rPh sb="20" eb="22">
      <t>イチブ</t>
    </rPh>
    <rPh sb="26" eb="27">
      <t>ノゾ</t>
    </rPh>
    <rPh sb="29" eb="32">
      <t>ヒカゼイ</t>
    </rPh>
    <phoneticPr fontId="4"/>
  </si>
  <si>
    <t>課税標準等</t>
    <rPh sb="0" eb="2">
      <t>カゼイ</t>
    </rPh>
    <rPh sb="2" eb="5">
      <t>ヒョウジュントウ</t>
    </rPh>
    <phoneticPr fontId="4"/>
  </si>
  <si>
    <t>申告書等</t>
    <rPh sb="0" eb="3">
      <t>シンコクショ</t>
    </rPh>
    <rPh sb="3" eb="4">
      <t>トウ</t>
    </rPh>
    <phoneticPr fontId="4"/>
  </si>
  <si>
    <t>検証</t>
    <rPh sb="0" eb="2">
      <t>ケンショウ</t>
    </rPh>
    <phoneticPr fontId="4"/>
  </si>
  <si>
    <t>チェック項目</t>
    <rPh sb="4" eb="6">
      <t>コウモク</t>
    </rPh>
    <phoneticPr fontId="4"/>
  </si>
  <si>
    <t>単位：円</t>
    <rPh sb="0" eb="2">
      <t>タンイ</t>
    </rPh>
    <rPh sb="3" eb="4">
      <t>エン</t>
    </rPh>
    <phoneticPr fontId="4"/>
  </si>
  <si>
    <t>消費税等計算チェックシート</t>
    <rPh sb="0" eb="4">
      <t>ショウヒゼイトウ</t>
    </rPh>
    <rPh sb="4" eb="6">
      <t>ケイサン</t>
    </rPh>
    <phoneticPr fontId="4"/>
  </si>
  <si>
    <t>AE</t>
    <phoneticPr fontId="4"/>
  </si>
  <si>
    <t>AB</t>
    <phoneticPr fontId="4"/>
  </si>
  <si>
    <t>付表１⑦</t>
    <phoneticPr fontId="4"/>
  </si>
  <si>
    <t>※　W＋X＋Z</t>
    <phoneticPr fontId="4"/>
  </si>
  <si>
    <t>AA</t>
    <phoneticPr fontId="4"/>
  </si>
  <si>
    <t>付表１⑥</t>
    <phoneticPr fontId="4"/>
  </si>
  <si>
    <t>※　Y×4/105</t>
    <phoneticPr fontId="4"/>
  </si>
  <si>
    <t>Z</t>
    <phoneticPr fontId="4"/>
  </si>
  <si>
    <t>Y.</t>
    <phoneticPr fontId="4"/>
  </si>
  <si>
    <t>※　C×4/105</t>
    <phoneticPr fontId="4"/>
  </si>
  <si>
    <t>X</t>
    <phoneticPr fontId="4"/>
  </si>
  <si>
    <t>※　O－V</t>
    <phoneticPr fontId="4"/>
  </si>
  <si>
    <t>W</t>
    <phoneticPr fontId="4"/>
  </si>
  <si>
    <t>※　R＋U</t>
    <phoneticPr fontId="4"/>
  </si>
  <si>
    <t>V</t>
    <phoneticPr fontId="4"/>
  </si>
  <si>
    <t>※　S×T</t>
    <phoneticPr fontId="4"/>
  </si>
  <si>
    <t>U</t>
    <phoneticPr fontId="4"/>
  </si>
  <si>
    <t>計算表５⑨</t>
    <phoneticPr fontId="4"/>
  </si>
  <si>
    <t>T</t>
    <phoneticPr fontId="4"/>
  </si>
  <si>
    <t>※　O－R</t>
    <phoneticPr fontId="4"/>
  </si>
  <si>
    <t>S</t>
    <phoneticPr fontId="4"/>
  </si>
  <si>
    <t>課税仕入れ等の税額－特定収入に係る課税仕入れ等の税額</t>
    <phoneticPr fontId="4"/>
  </si>
  <si>
    <t>※　P×Q</t>
    <phoneticPr fontId="4"/>
  </si>
  <si>
    <t>R</t>
    <phoneticPr fontId="4"/>
  </si>
  <si>
    <t>Q</t>
    <phoneticPr fontId="4"/>
  </si>
  <si>
    <t>※　N×4/105</t>
    <phoneticPr fontId="4"/>
  </si>
  <si>
    <t>P</t>
    <phoneticPr fontId="4"/>
  </si>
  <si>
    <t>O</t>
    <phoneticPr fontId="4"/>
  </si>
  <si>
    <t>免税売上額</t>
    <phoneticPr fontId="4"/>
  </si>
  <si>
    <t>※　A×100/105</t>
    <phoneticPr fontId="4"/>
  </si>
  <si>
    <t>N</t>
    <phoneticPr fontId="4"/>
  </si>
  <si>
    <t>※　E×4%</t>
    <phoneticPr fontId="4"/>
  </si>
  <si>
    <t>※　（A－B）×100/105　　1,000円未満切捨</t>
    <phoneticPr fontId="4"/>
  </si>
  <si>
    <t>※　（A－B－C）×100/105</t>
    <phoneticPr fontId="4"/>
  </si>
  <si>
    <t>※　Y×6.3/108</t>
    <phoneticPr fontId="4"/>
  </si>
  <si>
    <t>※　C×6.3/108</t>
    <phoneticPr fontId="4"/>
  </si>
  <si>
    <t>※　N×6.3/108</t>
    <phoneticPr fontId="4"/>
  </si>
  <si>
    <t>課税仕入れに係る特定収入×6.3/108</t>
    <rPh sb="0" eb="2">
      <t>カゼイ</t>
    </rPh>
    <rPh sb="2" eb="4">
      <t>シイ</t>
    </rPh>
    <rPh sb="6" eb="7">
      <t>カカ</t>
    </rPh>
    <rPh sb="8" eb="10">
      <t>トクテイ</t>
    </rPh>
    <rPh sb="10" eb="12">
      <t>シュウニュウ</t>
    </rPh>
    <phoneticPr fontId="4"/>
  </si>
  <si>
    <t>※　A×100/108</t>
    <phoneticPr fontId="4"/>
  </si>
  <si>
    <t>※　E×6.3%</t>
    <phoneticPr fontId="4"/>
  </si>
  <si>
    <t>※　（A－B）×100/108　　1,000円未満切捨</t>
    <phoneticPr fontId="4"/>
  </si>
  <si>
    <t>※　（A－B－C）×100/108</t>
    <phoneticPr fontId="4"/>
  </si>
  <si>
    <t>申告書26</t>
    <phoneticPr fontId="4"/>
  </si>
  <si>
    <t>※　AD＋AG</t>
    <phoneticPr fontId="4"/>
  </si>
  <si>
    <t>消費税及び地方消費税の合計納付税額</t>
    <phoneticPr fontId="4"/>
  </si>
  <si>
    <t>申告書22</t>
    <phoneticPr fontId="4"/>
  </si>
  <si>
    <t>※ マイナスの場合は申告書23</t>
    <rPh sb="7" eb="9">
      <t>バアイ</t>
    </rPh>
    <rPh sb="10" eb="13">
      <t>シンコクショ</t>
    </rPh>
    <phoneticPr fontId="4"/>
  </si>
  <si>
    <t>※　AE－AF</t>
    <phoneticPr fontId="4"/>
  </si>
  <si>
    <t>AG</t>
    <phoneticPr fontId="4"/>
  </si>
  <si>
    <t>納付税額</t>
    <rPh sb="0" eb="2">
      <t>ノウフ</t>
    </rPh>
    <rPh sb="2" eb="4">
      <t>ゼイガク</t>
    </rPh>
    <phoneticPr fontId="4"/>
  </si>
  <si>
    <t>申告書21</t>
    <phoneticPr fontId="4"/>
  </si>
  <si>
    <t>※ 中間納付のうち、地方消費税分</t>
    <rPh sb="2" eb="4">
      <t>チュウカン</t>
    </rPh>
    <rPh sb="4" eb="6">
      <t>ノウフ</t>
    </rPh>
    <rPh sb="10" eb="12">
      <t>チホウ</t>
    </rPh>
    <rPh sb="12" eb="15">
      <t>ショウヒゼイ</t>
    </rPh>
    <rPh sb="15" eb="16">
      <t>ブン</t>
    </rPh>
    <phoneticPr fontId="4"/>
  </si>
  <si>
    <t>AF</t>
    <phoneticPr fontId="4"/>
  </si>
  <si>
    <t>中間納付税額</t>
    <rPh sb="0" eb="2">
      <t>チュウカン</t>
    </rPh>
    <rPh sb="2" eb="4">
      <t>ノウフ</t>
    </rPh>
    <rPh sb="4" eb="6">
      <t>ゼイガク</t>
    </rPh>
    <phoneticPr fontId="4"/>
  </si>
  <si>
    <t>申告書⑳</t>
    <phoneticPr fontId="4"/>
  </si>
  <si>
    <t>AE</t>
    <phoneticPr fontId="4"/>
  </si>
  <si>
    <t>申告書⑱</t>
    <phoneticPr fontId="4"/>
  </si>
  <si>
    <t>申告書⑪</t>
    <phoneticPr fontId="4"/>
  </si>
  <si>
    <t>※ マイナスの場合は申告書⑫</t>
    <rPh sb="7" eb="9">
      <t>バアイ</t>
    </rPh>
    <rPh sb="10" eb="13">
      <t>シンコクショ</t>
    </rPh>
    <phoneticPr fontId="4"/>
  </si>
  <si>
    <t>※　AB－AC</t>
    <phoneticPr fontId="4"/>
  </si>
  <si>
    <t>AD</t>
    <phoneticPr fontId="4"/>
  </si>
  <si>
    <t>申告書⑩</t>
    <phoneticPr fontId="4"/>
  </si>
  <si>
    <t>※ 中間納付のうち、地方消費税分は含まない</t>
    <rPh sb="2" eb="4">
      <t>チュウカン</t>
    </rPh>
    <rPh sb="4" eb="6">
      <t>ノウフ</t>
    </rPh>
    <rPh sb="10" eb="12">
      <t>チホウ</t>
    </rPh>
    <rPh sb="12" eb="15">
      <t>ショウヒゼイ</t>
    </rPh>
    <rPh sb="15" eb="16">
      <t>ブン</t>
    </rPh>
    <rPh sb="17" eb="18">
      <t>フク</t>
    </rPh>
    <phoneticPr fontId="4"/>
  </si>
  <si>
    <t>AC</t>
    <phoneticPr fontId="4"/>
  </si>
  <si>
    <t>申告書⑨</t>
    <phoneticPr fontId="4"/>
  </si>
  <si>
    <t>AB</t>
    <phoneticPr fontId="4"/>
  </si>
  <si>
    <t>申告書⑦</t>
    <phoneticPr fontId="4"/>
  </si>
  <si>
    <t>AA</t>
    <phoneticPr fontId="4"/>
  </si>
  <si>
    <t>申告書⑥</t>
    <phoneticPr fontId="4"/>
  </si>
  <si>
    <t>Z</t>
    <phoneticPr fontId="4"/>
  </si>
  <si>
    <t>Y.</t>
    <phoneticPr fontId="4"/>
  </si>
  <si>
    <t>申告書⑤</t>
    <phoneticPr fontId="4"/>
  </si>
  <si>
    <t>X</t>
    <phoneticPr fontId="4"/>
  </si>
  <si>
    <t>※　O－V</t>
    <phoneticPr fontId="4"/>
  </si>
  <si>
    <t>W</t>
    <phoneticPr fontId="4"/>
  </si>
  <si>
    <t>※　R＋U</t>
    <phoneticPr fontId="4"/>
  </si>
  <si>
    <t>V</t>
    <phoneticPr fontId="4"/>
  </si>
  <si>
    <t>※　S×T</t>
    <phoneticPr fontId="4"/>
  </si>
  <si>
    <t>U</t>
    <phoneticPr fontId="4"/>
  </si>
  <si>
    <t>※　資産の譲渡等の対価の額</t>
    <phoneticPr fontId="4"/>
  </si>
  <si>
    <t>計算表５⑨</t>
    <phoneticPr fontId="4"/>
  </si>
  <si>
    <t>※　使途不特定の特定収入はないので、ゼロ</t>
    <rPh sb="2" eb="4">
      <t>シト</t>
    </rPh>
    <rPh sb="4" eb="7">
      <t>フトクテイ</t>
    </rPh>
    <rPh sb="8" eb="10">
      <t>トクテイ</t>
    </rPh>
    <rPh sb="10" eb="12">
      <t>シュウニュウ</t>
    </rPh>
    <phoneticPr fontId="4"/>
  </si>
  <si>
    <t>T</t>
    <phoneticPr fontId="4"/>
  </si>
  <si>
    <t>※　O－R</t>
    <phoneticPr fontId="4"/>
  </si>
  <si>
    <t>S</t>
    <phoneticPr fontId="4"/>
  </si>
  <si>
    <t>課税仕入れ等の税額－特定収入に係る課税仕入れ等の税額</t>
    <phoneticPr fontId="4"/>
  </si>
  <si>
    <t>R</t>
    <phoneticPr fontId="4"/>
  </si>
  <si>
    <t>※　Jの額</t>
    <rPh sb="4" eb="5">
      <t>ガク</t>
    </rPh>
    <phoneticPr fontId="4"/>
  </si>
  <si>
    <t>計算表５⑥</t>
    <phoneticPr fontId="4"/>
  </si>
  <si>
    <t>※　Hの額</t>
    <rPh sb="4" eb="5">
      <t>ガク</t>
    </rPh>
    <phoneticPr fontId="4"/>
  </si>
  <si>
    <t>Q</t>
    <phoneticPr fontId="4"/>
  </si>
  <si>
    <t>P</t>
    <phoneticPr fontId="4"/>
  </si>
  <si>
    <t>O</t>
    <phoneticPr fontId="4"/>
  </si>
  <si>
    <t>小数第4位以下切上げ（「国、地方公共団体等と消費税（H25.6）P.50）</t>
    <phoneticPr fontId="4"/>
  </si>
  <si>
    <t>※　N/(N+資産の譲渡等の対価の額)</t>
    <phoneticPr fontId="4"/>
  </si>
  <si>
    <t>※　Iの額</t>
    <rPh sb="4" eb="5">
      <t>ガク</t>
    </rPh>
    <phoneticPr fontId="4"/>
  </si>
  <si>
    <t xml:space="preserve"> 資産の譲渡等の対価の額</t>
    <rPh sb="1" eb="3">
      <t>シサン</t>
    </rPh>
    <rPh sb="4" eb="6">
      <t>ジョウト</t>
    </rPh>
    <rPh sb="6" eb="7">
      <t>トウ</t>
    </rPh>
    <rPh sb="8" eb="10">
      <t>タイカ</t>
    </rPh>
    <rPh sb="11" eb="12">
      <t>ガク</t>
    </rPh>
    <phoneticPr fontId="4"/>
  </si>
  <si>
    <t>※　Gの額</t>
    <rPh sb="4" eb="5">
      <t>ガク</t>
    </rPh>
    <phoneticPr fontId="4"/>
  </si>
  <si>
    <t>※　5%分＋8%分</t>
    <rPh sb="4" eb="5">
      <t>ブン</t>
    </rPh>
    <rPh sb="8" eb="9">
      <t>ブン</t>
    </rPh>
    <phoneticPr fontId="4"/>
  </si>
  <si>
    <t>N</t>
    <phoneticPr fontId="4"/>
  </si>
  <si>
    <t>税務署提出書類「資産の譲渡等の対価以外の収入の使途について」</t>
    <rPh sb="0" eb="3">
      <t>ゼイムショ</t>
    </rPh>
    <rPh sb="3" eb="5">
      <t>テイシュツ</t>
    </rPh>
    <rPh sb="5" eb="7">
      <t>ショルイ</t>
    </rPh>
    <phoneticPr fontId="4"/>
  </si>
  <si>
    <t>付表２⑨⑭</t>
    <rPh sb="0" eb="2">
      <t>フヒョウ</t>
    </rPh>
    <phoneticPr fontId="4"/>
  </si>
  <si>
    <t>付表２④/⑦</t>
    <rPh sb="0" eb="2">
      <t>フヒョウ</t>
    </rPh>
    <phoneticPr fontId="4"/>
  </si>
  <si>
    <t>【付表２記載値】</t>
    <rPh sb="1" eb="3">
      <t>フヒョウ</t>
    </rPh>
    <rPh sb="4" eb="6">
      <t>キサイ</t>
    </rPh>
    <rPh sb="6" eb="7">
      <t>アタイ</t>
    </rPh>
    <phoneticPr fontId="4"/>
  </si>
  <si>
    <t>※　H/J　端数切捨て</t>
    <rPh sb="6" eb="8">
      <t>ハスウ</t>
    </rPh>
    <rPh sb="8" eb="10">
      <t>キリス</t>
    </rPh>
    <phoneticPr fontId="4"/>
  </si>
  <si>
    <t>【課税売上割合の分母】</t>
    <rPh sb="8" eb="10">
      <t>ブンボ</t>
    </rPh>
    <phoneticPr fontId="4"/>
  </si>
  <si>
    <t>※　H＋I</t>
    <phoneticPr fontId="4"/>
  </si>
  <si>
    <t>J</t>
    <phoneticPr fontId="4"/>
  </si>
  <si>
    <t>付表２⑥</t>
    <rPh sb="0" eb="2">
      <t>フヒョウ</t>
    </rPh>
    <phoneticPr fontId="4"/>
  </si>
  <si>
    <t>I</t>
    <phoneticPr fontId="4"/>
  </si>
  <si>
    <t>申告書⑮
付表２④⑤</t>
    <phoneticPr fontId="4"/>
  </si>
  <si>
    <t>【課税売上割合の分子】</t>
    <phoneticPr fontId="4"/>
  </si>
  <si>
    <t>※　D＋G</t>
    <phoneticPr fontId="4"/>
  </si>
  <si>
    <t>H</t>
    <phoneticPr fontId="4"/>
  </si>
  <si>
    <t>付表２②</t>
    <rPh sb="0" eb="2">
      <t>フヒョウ</t>
    </rPh>
    <phoneticPr fontId="4"/>
  </si>
  <si>
    <t>※　管理課資料、「決算総括表」より</t>
    <rPh sb="2" eb="5">
      <t>カンリカ</t>
    </rPh>
    <rPh sb="5" eb="7">
      <t>シリョウ</t>
    </rPh>
    <phoneticPr fontId="4"/>
  </si>
  <si>
    <t>G</t>
    <phoneticPr fontId="4"/>
  </si>
  <si>
    <t>免税売上額</t>
    <phoneticPr fontId="4"/>
  </si>
  <si>
    <t>※　Dの額</t>
    <rPh sb="4" eb="5">
      <t>ガク</t>
    </rPh>
    <phoneticPr fontId="4"/>
  </si>
  <si>
    <t>申告書②</t>
    <rPh sb="0" eb="3">
      <t>シンコクショ</t>
    </rPh>
    <phoneticPr fontId="4"/>
  </si>
  <si>
    <t>F</t>
    <phoneticPr fontId="4"/>
  </si>
  <si>
    <t>申告書①</t>
    <rPh sb="0" eb="3">
      <t>シンコクショ</t>
    </rPh>
    <phoneticPr fontId="4"/>
  </si>
  <si>
    <t>E</t>
    <phoneticPr fontId="4"/>
  </si>
  <si>
    <t>D</t>
    <phoneticPr fontId="4"/>
  </si>
  <si>
    <t>C</t>
    <phoneticPr fontId="4"/>
  </si>
  <si>
    <t>B</t>
    <phoneticPr fontId="4"/>
  </si>
  <si>
    <t>A</t>
    <phoneticPr fontId="4"/>
  </si>
  <si>
    <t>→</t>
    <phoneticPr fontId="4"/>
  </si>
  <si>
    <t>貸倒れに係る金額（8%）</t>
    <phoneticPr fontId="4"/>
  </si>
  <si>
    <t>→</t>
    <phoneticPr fontId="4"/>
  </si>
  <si>
    <t>貸倒れに係る金額（5%）</t>
    <phoneticPr fontId="4"/>
  </si>
  <si>
    <t>貸倒れに係る金額（3%）</t>
    <phoneticPr fontId="4"/>
  </si>
  <si>
    <t>売上対価の返還等の額（8%）</t>
    <phoneticPr fontId="4"/>
  </si>
  <si>
    <t>売上対価の返還等の額（5%）</t>
    <phoneticPr fontId="4"/>
  </si>
  <si>
    <t>売上対価の返還等の額（3%）</t>
    <phoneticPr fontId="4"/>
  </si>
  <si>
    <t>仕入対価の返還等の額（8%）</t>
    <rPh sb="0" eb="2">
      <t>シイレ</t>
    </rPh>
    <rPh sb="2" eb="4">
      <t>タイカ</t>
    </rPh>
    <rPh sb="5" eb="7">
      <t>ヘンカン</t>
    </rPh>
    <rPh sb="7" eb="8">
      <t>トウ</t>
    </rPh>
    <rPh sb="9" eb="10">
      <t>ガク</t>
    </rPh>
    <phoneticPr fontId="4"/>
  </si>
  <si>
    <t>仕入対価の返還等の額（5%）</t>
    <rPh sb="0" eb="2">
      <t>シイレ</t>
    </rPh>
    <rPh sb="2" eb="4">
      <t>タイカ</t>
    </rPh>
    <rPh sb="5" eb="7">
      <t>ヘンカン</t>
    </rPh>
    <rPh sb="7" eb="8">
      <t>トウ</t>
    </rPh>
    <rPh sb="9" eb="10">
      <t>ガク</t>
    </rPh>
    <phoneticPr fontId="4"/>
  </si>
  <si>
    <t>仕入対価の返還等の額（3%）</t>
    <rPh sb="0" eb="2">
      <t>シイレ</t>
    </rPh>
    <rPh sb="2" eb="4">
      <t>タイカ</t>
    </rPh>
    <rPh sb="5" eb="7">
      <t>ヘンカン</t>
    </rPh>
    <rPh sb="7" eb="8">
      <t>トウ</t>
    </rPh>
    <rPh sb="9" eb="10">
      <t>ガク</t>
    </rPh>
    <phoneticPr fontId="4"/>
  </si>
  <si>
    <t>税額</t>
    <rPh sb="0" eb="2">
      <t>ゼイガク</t>
    </rPh>
    <phoneticPr fontId="4"/>
  </si>
  <si>
    <t>税抜</t>
    <rPh sb="0" eb="2">
      <t>ゼイヌキ</t>
    </rPh>
    <phoneticPr fontId="4"/>
  </si>
  <si>
    <t>税込</t>
    <rPh sb="0" eb="2">
      <t>ゼイコミ</t>
    </rPh>
    <phoneticPr fontId="4"/>
  </si>
  <si>
    <t>※ 仮払消費税から控除するもの　内訳</t>
    <rPh sb="2" eb="4">
      <t>カリバライ</t>
    </rPh>
    <rPh sb="4" eb="7">
      <t>ショウヒゼイ</t>
    </rPh>
    <phoneticPr fontId="4"/>
  </si>
  <si>
    <t>※ 課税売上から控除するもの　内訳</t>
    <rPh sb="15" eb="17">
      <t>ウチワケ</t>
    </rPh>
    <phoneticPr fontId="4"/>
  </si>
  <si>
    <t>資産の譲渡等の対価の額（課税売上（税抜）+免税売上+非課税売上）</t>
    <rPh sb="0" eb="2">
      <t>シサン</t>
    </rPh>
    <rPh sb="3" eb="5">
      <t>ジョウト</t>
    </rPh>
    <rPh sb="5" eb="6">
      <t>トウ</t>
    </rPh>
    <rPh sb="7" eb="9">
      <t>タイカ</t>
    </rPh>
    <rPh sb="10" eb="11">
      <t>ガク</t>
    </rPh>
    <rPh sb="12" eb="14">
      <t>カゼイ</t>
    </rPh>
    <rPh sb="14" eb="16">
      <t>ウリアゲ</t>
    </rPh>
    <rPh sb="17" eb="18">
      <t>ゼイ</t>
    </rPh>
    <rPh sb="18" eb="19">
      <t>ヌ</t>
    </rPh>
    <rPh sb="21" eb="23">
      <t>メンゼイ</t>
    </rPh>
    <rPh sb="23" eb="24">
      <t>ウ</t>
    </rPh>
    <rPh sb="24" eb="25">
      <t>ア</t>
    </rPh>
    <rPh sb="26" eb="29">
      <t>ヒカゼイ</t>
    </rPh>
    <rPh sb="29" eb="31">
      <t>ウリアゲ</t>
    </rPh>
    <phoneticPr fontId="4"/>
  </si>
  <si>
    <t>課税資産の譲渡等の対価の額（課税売上（税抜）+免税売上）</t>
    <rPh sb="0" eb="2">
      <t>カゼイ</t>
    </rPh>
    <rPh sb="2" eb="4">
      <t>シサン</t>
    </rPh>
    <rPh sb="5" eb="7">
      <t>ジョウト</t>
    </rPh>
    <rPh sb="7" eb="8">
      <t>トウ</t>
    </rPh>
    <rPh sb="9" eb="11">
      <t>タイカ</t>
    </rPh>
    <rPh sb="12" eb="13">
      <t>ガク</t>
    </rPh>
    <rPh sb="14" eb="16">
      <t>カゼイ</t>
    </rPh>
    <rPh sb="16" eb="18">
      <t>ウリアゲ</t>
    </rPh>
    <rPh sb="19" eb="20">
      <t>ゼイ</t>
    </rPh>
    <rPh sb="20" eb="21">
      <t>ヌ</t>
    </rPh>
    <rPh sb="23" eb="25">
      <t>メンゼイ</t>
    </rPh>
    <rPh sb="25" eb="26">
      <t>ウ</t>
    </rPh>
    <rPh sb="26" eb="27">
      <t>ア</t>
    </rPh>
    <phoneticPr fontId="4"/>
  </si>
  <si>
    <r>
      <t>課税売上割合</t>
    </r>
    <r>
      <rPr>
        <sz val="11"/>
        <rFont val="ＭＳ Ｐゴシック"/>
        <family val="3"/>
        <charset val="128"/>
      </rPr>
      <t>｛(a-b-ｱ)+(d-e)｝／｛(a-b-ｱ+c)+(d-e+f)｝</t>
    </r>
    <phoneticPr fontId="4"/>
  </si>
  <si>
    <t>免税額</t>
    <rPh sb="0" eb="2">
      <t>メンゼイ</t>
    </rPh>
    <rPh sb="2" eb="3">
      <t>ガク</t>
    </rPh>
    <phoneticPr fontId="4"/>
  </si>
  <si>
    <t>４条非課税収入額　(f)</t>
    <phoneticPr fontId="4"/>
  </si>
  <si>
    <t>４条仮受消費税額　(e)</t>
    <phoneticPr fontId="4"/>
  </si>
  <si>
    <t>４条課税売上額　(d)</t>
    <phoneticPr fontId="4"/>
  </si>
  <si>
    <t>３条非課税収入額　(ｃ)</t>
    <rPh sb="1" eb="2">
      <t>ジョウ</t>
    </rPh>
    <rPh sb="2" eb="3">
      <t>ヒ</t>
    </rPh>
    <rPh sb="3" eb="5">
      <t>カゼイ</t>
    </rPh>
    <rPh sb="5" eb="7">
      <t>シュウニュウ</t>
    </rPh>
    <rPh sb="7" eb="8">
      <t>ガク</t>
    </rPh>
    <phoneticPr fontId="4"/>
  </si>
  <si>
    <t>差</t>
    <rPh sb="0" eb="1">
      <t>サ</t>
    </rPh>
    <phoneticPr fontId="4"/>
  </si>
  <si>
    <t>課税売上から控除するもの　(ｱ)</t>
    <phoneticPr fontId="4"/>
  </si>
  <si>
    <t>３条仮受消費税額　(b)</t>
    <phoneticPr fontId="4"/>
  </si>
  <si>
    <t>３条課税売上額　(a)</t>
    <phoneticPr fontId="4"/>
  </si>
  <si>
    <t>差引き</t>
    <rPh sb="0" eb="2">
      <t>サシヒ</t>
    </rPh>
    <phoneticPr fontId="4"/>
  </si>
  <si>
    <t>決算計上消費税額</t>
    <rPh sb="0" eb="2">
      <t>ケッサン</t>
    </rPh>
    <rPh sb="2" eb="4">
      <t>ケイジョウ</t>
    </rPh>
    <rPh sb="4" eb="7">
      <t>シ</t>
    </rPh>
    <rPh sb="7" eb="8">
      <t>ガク</t>
    </rPh>
    <phoneticPr fontId="4"/>
  </si>
  <si>
    <t>ｱ+ｲ</t>
    <phoneticPr fontId="4"/>
  </si>
  <si>
    <t>下水道事業会計消費税納付額</t>
    <rPh sb="0" eb="5">
      <t>ゲ</t>
    </rPh>
    <rPh sb="5" eb="7">
      <t>カイケイ</t>
    </rPh>
    <rPh sb="7" eb="10">
      <t>シ</t>
    </rPh>
    <rPh sb="10" eb="13">
      <t>ノウフガク</t>
    </rPh>
    <phoneticPr fontId="4"/>
  </si>
  <si>
    <t>ｲ=①'－⑥'</t>
    <phoneticPr fontId="4"/>
  </si>
  <si>
    <t>４条で納付すべき消費税（資本的収支調整額）</t>
    <rPh sb="1" eb="2">
      <t>ジョウ</t>
    </rPh>
    <rPh sb="3" eb="5">
      <t>ノウフ</t>
    </rPh>
    <rPh sb="8" eb="11">
      <t>ショウヒゼイ</t>
    </rPh>
    <rPh sb="12" eb="15">
      <t>シホンテキ</t>
    </rPh>
    <rPh sb="15" eb="17">
      <t>シュウシ</t>
    </rPh>
    <rPh sb="17" eb="19">
      <t>チョウセイ</t>
    </rPh>
    <rPh sb="19" eb="20">
      <t>ガク</t>
    </rPh>
    <phoneticPr fontId="4"/>
  </si>
  <si>
    <t>⑥'</t>
    <phoneticPr fontId="4"/>
  </si>
  <si>
    <t>仕入控除税額（③'－⑤'）</t>
    <phoneticPr fontId="4"/>
  </si>
  <si>
    <t>⑤'</t>
    <phoneticPr fontId="4"/>
  </si>
  <si>
    <t>特定収入に係る課税仕入の額（④'×課税売上割合）</t>
    <rPh sb="0" eb="2">
      <t>トクテイ</t>
    </rPh>
    <rPh sb="2" eb="4">
      <t>シュウニュウ</t>
    </rPh>
    <rPh sb="5" eb="6">
      <t>カカ</t>
    </rPh>
    <rPh sb="7" eb="9">
      <t>カゼイ</t>
    </rPh>
    <rPh sb="9" eb="11">
      <t>シイレ</t>
    </rPh>
    <rPh sb="12" eb="13">
      <t>ガク</t>
    </rPh>
    <phoneticPr fontId="4"/>
  </si>
  <si>
    <t>④'</t>
    <phoneticPr fontId="4"/>
  </si>
  <si>
    <t>４条の控除不可消費税</t>
    <rPh sb="1" eb="2">
      <t>ジョウ</t>
    </rPh>
    <rPh sb="3" eb="5">
      <t>コウジョ</t>
    </rPh>
    <rPh sb="5" eb="7">
      <t>フカ</t>
    </rPh>
    <rPh sb="7" eb="10">
      <t>シ</t>
    </rPh>
    <phoneticPr fontId="4"/>
  </si>
  <si>
    <t>③'</t>
    <phoneticPr fontId="4"/>
  </si>
  <si>
    <t>課税仕入等の税額（②'×課税売上割合）</t>
    <rPh sb="0" eb="2">
      <t>カゼイ</t>
    </rPh>
    <rPh sb="2" eb="4">
      <t>シイレ</t>
    </rPh>
    <rPh sb="4" eb="5">
      <t>トウ</t>
    </rPh>
    <rPh sb="6" eb="8">
      <t>ゼイガク</t>
    </rPh>
    <phoneticPr fontId="4"/>
  </si>
  <si>
    <t>②'</t>
    <phoneticPr fontId="4"/>
  </si>
  <si>
    <t>４条仮払消費税</t>
    <rPh sb="1" eb="2">
      <t>ジョウ</t>
    </rPh>
    <rPh sb="2" eb="3">
      <t>カリ</t>
    </rPh>
    <rPh sb="3" eb="4">
      <t>ハラ</t>
    </rPh>
    <rPh sb="4" eb="7">
      <t>シ</t>
    </rPh>
    <phoneticPr fontId="4"/>
  </si>
  <si>
    <t>４条税抜き支出額</t>
    <rPh sb="1" eb="2">
      <t>ジョウ</t>
    </rPh>
    <rPh sb="2" eb="3">
      <t>ゼイ</t>
    </rPh>
    <rPh sb="3" eb="4">
      <t>ヌ</t>
    </rPh>
    <rPh sb="5" eb="7">
      <t>シシュツ</t>
    </rPh>
    <rPh sb="7" eb="8">
      <t>ガク</t>
    </rPh>
    <phoneticPr fontId="4"/>
  </si>
  <si>
    <t>４条税込み支出額</t>
    <rPh sb="1" eb="2">
      <t>ジョウ</t>
    </rPh>
    <rPh sb="2" eb="4">
      <t>ゼイコ</t>
    </rPh>
    <rPh sb="5" eb="7">
      <t>シシュツ</t>
    </rPh>
    <rPh sb="7" eb="8">
      <t>ガク</t>
    </rPh>
    <phoneticPr fontId="4"/>
  </si>
  <si>
    <t>課税売上割合を乗じることにより控除できなくなった額
　⑦'=②'-③'-（④'-⑤'）</t>
    <phoneticPr fontId="4"/>
  </si>
  <si>
    <t>①'</t>
    <phoneticPr fontId="4"/>
  </si>
  <si>
    <t>４条仮受消費税</t>
    <rPh sb="1" eb="2">
      <t>ジョウ</t>
    </rPh>
    <rPh sb="2" eb="3">
      <t>カリ</t>
    </rPh>
    <rPh sb="3" eb="4">
      <t>ウ</t>
    </rPh>
    <rPh sb="4" eb="7">
      <t>シ</t>
    </rPh>
    <phoneticPr fontId="4"/>
  </si>
  <si>
    <t>４条税抜き収入額</t>
    <rPh sb="1" eb="2">
      <t>ジョウ</t>
    </rPh>
    <rPh sb="2" eb="3">
      <t>ゼイ</t>
    </rPh>
    <rPh sb="3" eb="4">
      <t>ヌ</t>
    </rPh>
    <rPh sb="5" eb="7">
      <t>シ</t>
    </rPh>
    <rPh sb="7" eb="8">
      <t>ガク</t>
    </rPh>
    <phoneticPr fontId="4"/>
  </si>
  <si>
    <t>４条税込み収入額</t>
    <rPh sb="1" eb="2">
      <t>ジョウ</t>
    </rPh>
    <rPh sb="2" eb="4">
      <t>ゼイコ</t>
    </rPh>
    <rPh sb="5" eb="7">
      <t>シ</t>
    </rPh>
    <rPh sb="7" eb="8">
      <t>ガク</t>
    </rPh>
    <phoneticPr fontId="4"/>
  </si>
  <si>
    <t>ｱ=①－⑥</t>
    <phoneticPr fontId="4"/>
  </si>
  <si>
    <t>３条で納付すべき消費税</t>
    <rPh sb="1" eb="2">
      <t>ジョウ</t>
    </rPh>
    <rPh sb="3" eb="5">
      <t>ノウフ</t>
    </rPh>
    <rPh sb="8" eb="11">
      <t>シ</t>
    </rPh>
    <phoneticPr fontId="4"/>
  </si>
  <si>
    <t>⑥</t>
    <phoneticPr fontId="4"/>
  </si>
  <si>
    <t>仕入控除税額（③－⑤＋E）</t>
    <phoneticPr fontId="4"/>
  </si>
  <si>
    <t>E</t>
    <phoneticPr fontId="4"/>
  </si>
  <si>
    <t>返還等対価、貸倒れに係る税額</t>
    <phoneticPr fontId="4"/>
  </si>
  <si>
    <t>⑤</t>
    <phoneticPr fontId="4"/>
  </si>
  <si>
    <t>特定収入に係る課税仕入の額（④×課税売上割合）</t>
    <rPh sb="0" eb="2">
      <t>トクテイ</t>
    </rPh>
    <rPh sb="2" eb="4">
      <t>シュウニュウ</t>
    </rPh>
    <rPh sb="5" eb="6">
      <t>カカ</t>
    </rPh>
    <rPh sb="7" eb="9">
      <t>カゼイ</t>
    </rPh>
    <rPh sb="9" eb="11">
      <t>シイレ</t>
    </rPh>
    <rPh sb="12" eb="13">
      <t>ガク</t>
    </rPh>
    <phoneticPr fontId="4"/>
  </si>
  <si>
    <t>④</t>
    <phoneticPr fontId="4"/>
  </si>
  <si>
    <t>３条の控除不可消費税（雑支出）</t>
    <rPh sb="1" eb="2">
      <t>ジョウ</t>
    </rPh>
    <rPh sb="11" eb="12">
      <t>ザツ</t>
    </rPh>
    <rPh sb="12" eb="14">
      <t>シシュツ</t>
    </rPh>
    <phoneticPr fontId="4"/>
  </si>
  <si>
    <t>③</t>
    <phoneticPr fontId="4"/>
  </si>
  <si>
    <t>課税仕入等の税額（②×課税売上割合）</t>
    <rPh sb="0" eb="2">
      <t>カゼイ</t>
    </rPh>
    <rPh sb="2" eb="4">
      <t>シイレ</t>
    </rPh>
    <rPh sb="4" eb="5">
      <t>トウ</t>
    </rPh>
    <rPh sb="6" eb="8">
      <t>ゼイガク</t>
    </rPh>
    <phoneticPr fontId="4"/>
  </si>
  <si>
    <t>②=C-D</t>
    <phoneticPr fontId="4"/>
  </si>
  <si>
    <t>課税仕入れに係る消費税額（控除後）</t>
    <rPh sb="13" eb="15">
      <t>コウジョ</t>
    </rPh>
    <rPh sb="15" eb="16">
      <t>ゴ</t>
    </rPh>
    <phoneticPr fontId="4"/>
  </si>
  <si>
    <t>返還等対価、貸倒れに係る税額</t>
    <phoneticPr fontId="4"/>
  </si>
  <si>
    <t>課税仕入れから控除する税額</t>
    <rPh sb="11" eb="13">
      <t>ゼイガク</t>
    </rPh>
    <phoneticPr fontId="4"/>
  </si>
  <si>
    <t>３条仮払消費税（控除前）</t>
    <rPh sb="1" eb="2">
      <t>ジョウ</t>
    </rPh>
    <rPh sb="2" eb="3">
      <t>カリ</t>
    </rPh>
    <rPh sb="3" eb="4">
      <t>ハラ</t>
    </rPh>
    <rPh sb="4" eb="7">
      <t>シ</t>
    </rPh>
    <phoneticPr fontId="4"/>
  </si>
  <si>
    <t>３条税抜き支出額（消費税雑支出除く。）</t>
    <rPh sb="1" eb="2">
      <t>ジョウ</t>
    </rPh>
    <rPh sb="2" eb="3">
      <t>ゼイ</t>
    </rPh>
    <rPh sb="3" eb="4">
      <t>ヌ</t>
    </rPh>
    <rPh sb="5" eb="7">
      <t>シシュツ</t>
    </rPh>
    <rPh sb="7" eb="8">
      <t>ガク</t>
    </rPh>
    <phoneticPr fontId="4"/>
  </si>
  <si>
    <t>課税売上割合を乗じることにより控除できなくなった額
　⑦=②-③-（④-⑤）</t>
    <phoneticPr fontId="4"/>
  </si>
  <si>
    <t>３条税込み支出額（消費税除く。）</t>
    <rPh sb="1" eb="2">
      <t>ジョウ</t>
    </rPh>
    <rPh sb="2" eb="4">
      <t>ゼイコ</t>
    </rPh>
    <rPh sb="5" eb="7">
      <t>シシュツ</t>
    </rPh>
    <rPh sb="7" eb="8">
      <t>ガク</t>
    </rPh>
    <rPh sb="9" eb="12">
      <t>シ</t>
    </rPh>
    <rPh sb="12" eb="13">
      <t>ノゾ</t>
    </rPh>
    <phoneticPr fontId="4"/>
  </si>
  <si>
    <t>仮払消費税からの控除</t>
    <rPh sb="8" eb="10">
      <t>コウジョ</t>
    </rPh>
    <phoneticPr fontId="4"/>
  </si>
  <si>
    <t>①=A-B</t>
    <phoneticPr fontId="4"/>
  </si>
  <si>
    <t>仮受消費税からの控除</t>
    <rPh sb="8" eb="10">
      <t>コウジョ</t>
    </rPh>
    <phoneticPr fontId="4"/>
  </si>
  <si>
    <t>B</t>
    <phoneticPr fontId="4"/>
  </si>
  <si>
    <t>課税標準額から控除するものに係る税額</t>
    <rPh sb="14" eb="15">
      <t>カカ</t>
    </rPh>
    <rPh sb="16" eb="18">
      <t>ゼイガク</t>
    </rPh>
    <phoneticPr fontId="4"/>
  </si>
  <si>
    <t>特定収入に係る課税仕入れ等の税額</t>
    <phoneticPr fontId="4"/>
  </si>
  <si>
    <t>A</t>
    <phoneticPr fontId="4"/>
  </si>
  <si>
    <t>３条仮受消費税（控除前課税標準額）</t>
    <rPh sb="1" eb="2">
      <t>ジョウ</t>
    </rPh>
    <rPh sb="2" eb="3">
      <t>カリ</t>
    </rPh>
    <rPh sb="3" eb="4">
      <t>ウ</t>
    </rPh>
    <rPh sb="4" eb="7">
      <t>シ</t>
    </rPh>
    <rPh sb="8" eb="10">
      <t>コウジョ</t>
    </rPh>
    <rPh sb="10" eb="11">
      <t>マエ</t>
    </rPh>
    <rPh sb="11" eb="13">
      <t>カゼイ</t>
    </rPh>
    <rPh sb="13" eb="15">
      <t>ヒョウジュン</t>
    </rPh>
    <rPh sb="15" eb="16">
      <t>ガク</t>
    </rPh>
    <phoneticPr fontId="4"/>
  </si>
  <si>
    <t>雑収益計上</t>
    <rPh sb="0" eb="1">
      <t>ザツ</t>
    </rPh>
    <rPh sb="1" eb="3">
      <t>シュウエキ</t>
    </rPh>
    <rPh sb="3" eb="5">
      <t>ケイジョウ</t>
    </rPh>
    <phoneticPr fontId="4"/>
  </si>
  <si>
    <t>雑支出計上</t>
    <rPh sb="0" eb="1">
      <t>ザツ</t>
    </rPh>
    <rPh sb="1" eb="3">
      <t>シシュツ</t>
    </rPh>
    <rPh sb="3" eb="5">
      <t>ケイジョウ</t>
    </rPh>
    <phoneticPr fontId="4"/>
  </si>
  <si>
    <t>調整項目</t>
    <rPh sb="0" eb="2">
      <t>チョウセイ</t>
    </rPh>
    <rPh sb="2" eb="4">
      <t>コウモク</t>
    </rPh>
    <phoneticPr fontId="4"/>
  </si>
  <si>
    <t>３条税抜き収入額（消費税雑収入除く。）</t>
    <rPh sb="1" eb="2">
      <t>ジョウ</t>
    </rPh>
    <rPh sb="2" eb="3">
      <t>ゼイ</t>
    </rPh>
    <rPh sb="3" eb="4">
      <t>ヌ</t>
    </rPh>
    <rPh sb="5" eb="7">
      <t>シ</t>
    </rPh>
    <rPh sb="7" eb="8">
      <t>ガク</t>
    </rPh>
    <rPh sb="9" eb="12">
      <t>ショウヒゼイ</t>
    </rPh>
    <rPh sb="13" eb="15">
      <t>シュウニュウ</t>
    </rPh>
    <phoneticPr fontId="4"/>
  </si>
  <si>
    <t>　　【消費税雑支出】</t>
    <rPh sb="3" eb="6">
      <t>ショウヒゼイ</t>
    </rPh>
    <rPh sb="6" eb="7">
      <t>ザツ</t>
    </rPh>
    <rPh sb="7" eb="9">
      <t>シシュツ</t>
    </rPh>
    <phoneticPr fontId="4"/>
  </si>
  <si>
    <t>３条税込み収入額</t>
    <rPh sb="1" eb="2">
      <t>ジョウ</t>
    </rPh>
    <rPh sb="2" eb="4">
      <t>ゼイコ</t>
    </rPh>
    <rPh sb="5" eb="7">
      <t>シ</t>
    </rPh>
    <rPh sb="7" eb="8">
      <t>ガク</t>
    </rPh>
    <phoneticPr fontId="4"/>
  </si>
  <si>
    <t>計</t>
    <rPh sb="0" eb="1">
      <t>ケイ</t>
    </rPh>
    <phoneticPr fontId="21"/>
  </si>
  <si>
    <t>基準外</t>
    <rPh sb="0" eb="2">
      <t>キジュン</t>
    </rPh>
    <rPh sb="2" eb="3">
      <t>ガイ</t>
    </rPh>
    <phoneticPr fontId="21"/>
  </si>
  <si>
    <t>基準内</t>
    <rPh sb="0" eb="2">
      <t>キジュン</t>
    </rPh>
    <rPh sb="2" eb="3">
      <t>ナイ</t>
    </rPh>
    <phoneticPr fontId="21"/>
  </si>
  <si>
    <t>区域外</t>
    <rPh sb="0" eb="3">
      <t>クイキガイ</t>
    </rPh>
    <phoneticPr fontId="21"/>
  </si>
  <si>
    <t>区域内</t>
    <rPh sb="0" eb="3">
      <t>クイキナイ</t>
    </rPh>
    <phoneticPr fontId="21"/>
  </si>
  <si>
    <t>集計用税率</t>
    <rPh sb="0" eb="3">
      <t>シュウケイヨウ</t>
    </rPh>
    <rPh sb="3" eb="5">
      <t>ゼイリツ</t>
    </rPh>
    <phoneticPr fontId="21"/>
  </si>
  <si>
    <t>集計用課税区分</t>
    <rPh sb="0" eb="3">
      <t>シュウケイヨウ</t>
    </rPh>
    <rPh sb="3" eb="5">
      <t>カゼイ</t>
    </rPh>
    <rPh sb="5" eb="7">
      <t>クブン</t>
    </rPh>
    <phoneticPr fontId="21"/>
  </si>
  <si>
    <t>重複</t>
    <rPh sb="0" eb="2">
      <t>チョウフク</t>
    </rPh>
    <phoneticPr fontId="21"/>
  </si>
  <si>
    <t>備考</t>
  </si>
  <si>
    <t>正しい税率</t>
    <rPh sb="3" eb="5">
      <t>ゼイリツ</t>
    </rPh>
    <phoneticPr fontId="21"/>
  </si>
  <si>
    <t>正しい課税区分</t>
  </si>
  <si>
    <t>確認状況</t>
  </si>
  <si>
    <t>複合伝票番号</t>
    <rPh sb="0" eb="2">
      <t>フクゴウ</t>
    </rPh>
    <rPh sb="2" eb="4">
      <t>デンピョウ</t>
    </rPh>
    <rPh sb="4" eb="6">
      <t>バンゴウ</t>
    </rPh>
    <phoneticPr fontId="21"/>
  </si>
  <si>
    <t>債権者</t>
  </si>
  <si>
    <t>税抜金額</t>
  </si>
  <si>
    <t>税額</t>
  </si>
  <si>
    <t>税率</t>
  </si>
  <si>
    <t>税区分</t>
  </si>
  <si>
    <t>貸方金額</t>
  </si>
  <si>
    <t>貸方勘定科目</t>
  </si>
  <si>
    <t>貸方勘定</t>
  </si>
  <si>
    <t>借方金額</t>
  </si>
  <si>
    <t>借方勘定科目</t>
  </si>
  <si>
    <t>借方勘定</t>
  </si>
  <si>
    <t>執行額</t>
  </si>
  <si>
    <t>確定額</t>
  </si>
  <si>
    <t>概算額</t>
  </si>
  <si>
    <t>予算額</t>
  </si>
  <si>
    <t>事業名</t>
  </si>
  <si>
    <t>事業コード</t>
  </si>
  <si>
    <t>細節名称</t>
  </si>
  <si>
    <t>節名称</t>
  </si>
  <si>
    <t>目名称</t>
  </si>
  <si>
    <t>項名称</t>
  </si>
  <si>
    <t>款名称</t>
  </si>
  <si>
    <t>予算科目</t>
  </si>
  <si>
    <t>現繰</t>
  </si>
  <si>
    <t>内訳番号</t>
  </si>
  <si>
    <t>枝番</t>
  </si>
  <si>
    <t>伝票番号</t>
  </si>
  <si>
    <t>種別</t>
  </si>
  <si>
    <t>事項</t>
  </si>
  <si>
    <t>振替年月日</t>
  </si>
  <si>
    <t>年月日</t>
  </si>
  <si>
    <t>主管課名</t>
  </si>
  <si>
    <t>主管課</t>
  </si>
  <si>
    <t>所属名</t>
  </si>
  <si>
    <t>所属</t>
  </si>
  <si>
    <t>事業区分</t>
  </si>
  <si>
    <t>備考</t>
    <rPh sb="0" eb="2">
      <t>ビコウ</t>
    </rPh>
    <phoneticPr fontId="4"/>
  </si>
  <si>
    <t>合計</t>
    <rPh sb="0" eb="2">
      <t>ゴウケイ</t>
    </rPh>
    <phoneticPr fontId="21"/>
  </si>
  <si>
    <t>汚水</t>
    <rPh sb="0" eb="2">
      <t>オスイ</t>
    </rPh>
    <phoneticPr fontId="21"/>
  </si>
  <si>
    <t>チェック</t>
    <phoneticPr fontId="21"/>
  </si>
  <si>
    <t/>
  </si>
  <si>
    <t>----</t>
  </si>
  <si>
    <t>↓以下がコピペ領域</t>
    <rPh sb="1" eb="3">
      <t>イカ</t>
    </rPh>
    <rPh sb="7" eb="9">
      <t>リョウイキ</t>
    </rPh>
    <phoneticPr fontId="4"/>
  </si>
  <si>
    <t>売上対価の返還の額　　計</t>
    <rPh sb="0" eb="2">
      <t>ウリアゲ</t>
    </rPh>
    <rPh sb="11" eb="12">
      <t>ケイ</t>
    </rPh>
    <phoneticPr fontId="4"/>
  </si>
  <si>
    <t>売上対価の返還等の額（10%）</t>
    <phoneticPr fontId="4"/>
  </si>
  <si>
    <t>仕入対価の返還の額　　計</t>
    <rPh sb="11" eb="12">
      <t>ケイ</t>
    </rPh>
    <phoneticPr fontId="4"/>
  </si>
  <si>
    <t>仕入対価の返還等の額（10%）</t>
    <rPh sb="0" eb="2">
      <t>シイレ</t>
    </rPh>
    <rPh sb="2" eb="4">
      <t>タイカ</t>
    </rPh>
    <rPh sb="5" eb="7">
      <t>ヘンカン</t>
    </rPh>
    <rPh sb="7" eb="8">
      <t>トウ</t>
    </rPh>
    <rPh sb="9" eb="10">
      <t>ガク</t>
    </rPh>
    <phoneticPr fontId="4"/>
  </si>
  <si>
    <t>＊時効欠損は、平成26年度の会計制度の見直しに伴い、貸倒引当金を繰り入れたことから、平成27年度申告からは取崩し分を計上する</t>
    <rPh sb="1" eb="3">
      <t>ジコウ</t>
    </rPh>
    <rPh sb="3" eb="5">
      <t>ケッソン</t>
    </rPh>
    <rPh sb="7" eb="9">
      <t>ヘイセイ</t>
    </rPh>
    <rPh sb="11" eb="13">
      <t>ネンド</t>
    </rPh>
    <rPh sb="14" eb="16">
      <t>カイケイ</t>
    </rPh>
    <rPh sb="16" eb="18">
      <t>セイド</t>
    </rPh>
    <rPh sb="19" eb="21">
      <t>ミナオ</t>
    </rPh>
    <rPh sb="23" eb="24">
      <t>トモナ</t>
    </rPh>
    <rPh sb="26" eb="28">
      <t>カシダオレ</t>
    </rPh>
    <rPh sb="28" eb="30">
      <t>ヒキアテ</t>
    </rPh>
    <rPh sb="30" eb="31">
      <t>キン</t>
    </rPh>
    <rPh sb="32" eb="33">
      <t>ク</t>
    </rPh>
    <rPh sb="34" eb="35">
      <t>イ</t>
    </rPh>
    <rPh sb="42" eb="44">
      <t>ヘイセイ</t>
    </rPh>
    <rPh sb="46" eb="48">
      <t>ネンド</t>
    </rPh>
    <rPh sb="48" eb="50">
      <t>シンコク</t>
    </rPh>
    <rPh sb="53" eb="55">
      <t>トリクズ</t>
    </rPh>
    <rPh sb="56" eb="57">
      <t>ブン</t>
    </rPh>
    <rPh sb="58" eb="60">
      <t>ケイジョウ</t>
    </rPh>
    <phoneticPr fontId="4"/>
  </si>
  <si>
    <t>　　計</t>
    <rPh sb="2" eb="3">
      <t>ケイ</t>
    </rPh>
    <phoneticPr fontId="4"/>
  </si>
  <si>
    <t>地方消費税</t>
    <rPh sb="0" eb="2">
      <t>チホウ</t>
    </rPh>
    <rPh sb="2" eb="5">
      <t>ショウヒゼイ</t>
    </rPh>
    <phoneticPr fontId="4"/>
  </si>
  <si>
    <t>消費税</t>
    <rPh sb="0" eb="3">
      <t>ショウヒゼイ</t>
    </rPh>
    <phoneticPr fontId="4"/>
  </si>
  <si>
    <t>使途不特定の特定収入</t>
    <phoneticPr fontId="4"/>
  </si>
  <si>
    <t>「決算総括表」の「不課税収入」のうち「課税仕入に特定」</t>
    <phoneticPr fontId="4"/>
  </si>
  <si>
    <t>特別損失の課税支出のうち、時効欠損分*</t>
    <phoneticPr fontId="4"/>
  </si>
  <si>
    <t>貸倒れに係る金額（税込）</t>
    <phoneticPr fontId="4"/>
  </si>
  <si>
    <t>仕入対価の返還等の額（税込）</t>
    <rPh sb="0" eb="2">
      <t>シイレ</t>
    </rPh>
    <rPh sb="2" eb="4">
      <t>タイカ</t>
    </rPh>
    <rPh sb="5" eb="7">
      <t>ヘンカン</t>
    </rPh>
    <rPh sb="7" eb="8">
      <t>トウ</t>
    </rPh>
    <rPh sb="9" eb="10">
      <t>ガク</t>
    </rPh>
    <phoneticPr fontId="4"/>
  </si>
  <si>
    <t>「雑支出」「過年度損益修正損」「その他特別損失」の課税支出うち、該当分（下水道使用料の減額調定・過誤納還付金・時効欠損*、排水設備取付管設置工事受託金の還付など）</t>
    <phoneticPr fontId="4"/>
  </si>
  <si>
    <t>返還等対価・貸倒れの額（税込）</t>
    <rPh sb="0" eb="2">
      <t>ヘンカン</t>
    </rPh>
    <rPh sb="2" eb="3">
      <t>トウ</t>
    </rPh>
    <rPh sb="3" eb="5">
      <t>タイカ</t>
    </rPh>
    <rPh sb="6" eb="8">
      <t>カシダオ</t>
    </rPh>
    <rPh sb="10" eb="11">
      <t>ガク</t>
    </rPh>
    <phoneticPr fontId="4"/>
  </si>
  <si>
    <t>「決算総括表」より</t>
    <phoneticPr fontId="4"/>
  </si>
  <si>
    <t>「決算総括表」より  （H27決算から貸倒引当金の取り崩し分を計上）</t>
    <rPh sb="15" eb="17">
      <t>ケッサン</t>
    </rPh>
    <rPh sb="19" eb="21">
      <t>カシダオレ</t>
    </rPh>
    <rPh sb="21" eb="23">
      <t>ヒキアテ</t>
    </rPh>
    <rPh sb="23" eb="24">
      <t>キン</t>
    </rPh>
    <rPh sb="25" eb="26">
      <t>ト</t>
    </rPh>
    <rPh sb="27" eb="28">
      <t>クズ</t>
    </rPh>
    <rPh sb="29" eb="30">
      <t>ブン</t>
    </rPh>
    <rPh sb="31" eb="33">
      <t>ケイジョウ</t>
    </rPh>
    <phoneticPr fontId="4"/>
  </si>
  <si>
    <t>「決算総括表」より</t>
    <phoneticPr fontId="4"/>
  </si>
  <si>
    <t>「決算総括表」より</t>
    <phoneticPr fontId="4"/>
  </si>
  <si>
    <t>管理課資料、「決算総括表」より</t>
    <phoneticPr fontId="4"/>
  </si>
  <si>
    <t>免税売上額</t>
  </si>
  <si>
    <t>「雑支出」「過年度損益修正損」「その他特別損失」のうち、課税収入を返還したもの（下水道使用料の調定減額、過誤納還付金など）</t>
    <rPh sb="13" eb="14">
      <t>ソン</t>
    </rPh>
    <rPh sb="18" eb="19">
      <t>タ</t>
    </rPh>
    <rPh sb="19" eb="21">
      <t>トクベツ</t>
    </rPh>
    <rPh sb="21" eb="23">
      <t>ソンシツ</t>
    </rPh>
    <rPh sb="28" eb="30">
      <t>カゼイ</t>
    </rPh>
    <rPh sb="30" eb="32">
      <t>シュウニュウ</t>
    </rPh>
    <rPh sb="33" eb="35">
      <t>ヘンカン</t>
    </rPh>
    <phoneticPr fontId="4"/>
  </si>
  <si>
    <t>売上対価の返還等の額（税込）</t>
    <rPh sb="0" eb="2">
      <t>ウリアゲ</t>
    </rPh>
    <rPh sb="2" eb="4">
      <t>タイカ</t>
    </rPh>
    <rPh sb="5" eb="7">
      <t>ヘンカン</t>
    </rPh>
    <rPh sb="7" eb="8">
      <t>トウ</t>
    </rPh>
    <rPh sb="9" eb="10">
      <t>ガク</t>
    </rPh>
    <phoneticPr fontId="4"/>
  </si>
  <si>
    <t>「過年度損益修正益」「その他特別利益」のうち、課税支出が返還されたもの（過去に支払った通勤手当の還付、建設負担金の精算に伴う還付など）</t>
    <rPh sb="1" eb="4">
      <t>カネンド</t>
    </rPh>
    <rPh sb="6" eb="8">
      <t>シュウセイ</t>
    </rPh>
    <rPh sb="8" eb="9">
      <t>エキ</t>
    </rPh>
    <rPh sb="13" eb="14">
      <t>タ</t>
    </rPh>
    <rPh sb="14" eb="16">
      <t>トクベツ</t>
    </rPh>
    <rPh sb="16" eb="18">
      <t>リエキ</t>
    </rPh>
    <rPh sb="23" eb="25">
      <t>カゼイ</t>
    </rPh>
    <rPh sb="25" eb="27">
      <t>シシュツ</t>
    </rPh>
    <rPh sb="28" eb="30">
      <t>ヘンカン</t>
    </rPh>
    <phoneticPr fontId="4"/>
  </si>
  <si>
    <t>10%適用部分</t>
    <phoneticPr fontId="4"/>
  </si>
  <si>
    <t>8%適用部分</t>
    <rPh sb="2" eb="4">
      <t>テキヨウ</t>
    </rPh>
    <rPh sb="4" eb="6">
      <t>ブブン</t>
    </rPh>
    <phoneticPr fontId="4"/>
  </si>
  <si>
    <t>5%適用部分</t>
    <rPh sb="2" eb="4">
      <t>テキヨウ</t>
    </rPh>
    <rPh sb="4" eb="6">
      <t>ブブン</t>
    </rPh>
    <phoneticPr fontId="4"/>
  </si>
  <si>
    <t>3%適用部分</t>
    <rPh sb="2" eb="4">
      <t>テキヨウ</t>
    </rPh>
    <rPh sb="4" eb="6">
      <t>ブブン</t>
    </rPh>
    <phoneticPr fontId="4"/>
  </si>
  <si>
    <t>3条分消費税雑支出計上額、4条分圧縮記帳額の計算</t>
    <rPh sb="1" eb="2">
      <t>ジョウ</t>
    </rPh>
    <rPh sb="2" eb="3">
      <t>ブン</t>
    </rPh>
    <rPh sb="3" eb="6">
      <t>ショウヒゼイ</t>
    </rPh>
    <rPh sb="6" eb="7">
      <t>ザツ</t>
    </rPh>
    <rPh sb="7" eb="9">
      <t>シシュツ</t>
    </rPh>
    <rPh sb="9" eb="11">
      <t>ケイジョウ</t>
    </rPh>
    <rPh sb="11" eb="12">
      <t>ガク</t>
    </rPh>
    <rPh sb="14" eb="15">
      <t>ジョウ</t>
    </rPh>
    <rPh sb="15" eb="16">
      <t>ブン</t>
    </rPh>
    <rPh sb="16" eb="18">
      <t>アッシュク</t>
    </rPh>
    <rPh sb="18" eb="20">
      <t>キチョウ</t>
    </rPh>
    <rPh sb="20" eb="21">
      <t>ガク</t>
    </rPh>
    <rPh sb="22" eb="24">
      <t>ケイサン</t>
    </rPh>
    <phoneticPr fontId="4"/>
  </si>
  <si>
    <t>Zの再掲</t>
    <rPh sb="2" eb="4">
      <t>サイケイ</t>
    </rPh>
    <phoneticPr fontId="4"/>
  </si>
  <si>
    <t>貸倒れに係る税額（控除可能額）</t>
    <rPh sb="0" eb="1">
      <t>カシ</t>
    </rPh>
    <rPh sb="1" eb="2">
      <t>ダオ</t>
    </rPh>
    <rPh sb="4" eb="5">
      <t>カカ</t>
    </rPh>
    <rPh sb="6" eb="8">
      <t>ゼイガク</t>
    </rPh>
    <rPh sb="9" eb="11">
      <t>コウジョ</t>
    </rPh>
    <rPh sb="11" eb="13">
      <t>カノウ</t>
    </rPh>
    <rPh sb="13" eb="14">
      <t>ガク</t>
    </rPh>
    <phoneticPr fontId="4"/>
  </si>
  <si>
    <t>AL=AJ-AK</t>
    <phoneticPr fontId="4"/>
  </si>
  <si>
    <t>AL=AJ-AK</t>
    <phoneticPr fontId="4"/>
  </si>
  <si>
    <t>AK=P-V</t>
    <phoneticPr fontId="4"/>
  </si>
  <si>
    <t>特定収入に係る消費税額で控除できない額に、課税売上割合を乗じることにより、控除額から減額される額</t>
    <rPh sb="0" eb="2">
      <t>トクテイ</t>
    </rPh>
    <rPh sb="2" eb="4">
      <t>シュウニュウ</t>
    </rPh>
    <rPh sb="5" eb="6">
      <t>カカ</t>
    </rPh>
    <rPh sb="7" eb="10">
      <t>ショウヒゼイ</t>
    </rPh>
    <rPh sb="10" eb="11">
      <t>ガク</t>
    </rPh>
    <rPh sb="12" eb="14">
      <t>コウジョ</t>
    </rPh>
    <rPh sb="18" eb="19">
      <t>ガク</t>
    </rPh>
    <rPh sb="21" eb="23">
      <t>カゼイ</t>
    </rPh>
    <rPh sb="23" eb="25">
      <t>ウリアゲ</t>
    </rPh>
    <rPh sb="25" eb="27">
      <t>ワリアイ</t>
    </rPh>
    <rPh sb="28" eb="29">
      <t>ジョウ</t>
    </rPh>
    <rPh sb="37" eb="39">
      <t>コウジョ</t>
    </rPh>
    <rPh sb="39" eb="40">
      <t>ガク</t>
    </rPh>
    <rPh sb="42" eb="44">
      <t>ゲンガク</t>
    </rPh>
    <rPh sb="47" eb="48">
      <t>ガク</t>
    </rPh>
    <phoneticPr fontId="4"/>
  </si>
  <si>
    <t>AJ=M-O</t>
    <phoneticPr fontId="4"/>
  </si>
  <si>
    <t>Pの再掲</t>
    <rPh sb="1" eb="3">
      <t>サイケイ</t>
    </rPh>
    <phoneticPr fontId="4"/>
  </si>
  <si>
    <t>課税仕入れ等に係る特定収入に係る消費税相当額</t>
    <rPh sb="0" eb="2">
      <t>カゼイ</t>
    </rPh>
    <rPh sb="2" eb="4">
      <t>シイ</t>
    </rPh>
    <rPh sb="5" eb="6">
      <t>トウ</t>
    </rPh>
    <rPh sb="7" eb="8">
      <t>カカ</t>
    </rPh>
    <rPh sb="9" eb="11">
      <t>トクテイ</t>
    </rPh>
    <rPh sb="11" eb="13">
      <t>シュウニュウ</t>
    </rPh>
    <rPh sb="14" eb="15">
      <t>カカ</t>
    </rPh>
    <rPh sb="16" eb="19">
      <t>ショウヒゼイ</t>
    </rPh>
    <rPh sb="19" eb="21">
      <t>ソウトウ</t>
    </rPh>
    <rPh sb="21" eb="22">
      <t>ガク</t>
    </rPh>
    <phoneticPr fontId="4"/>
  </si>
  <si>
    <t>課税仕入れ割合を乗じることにより控除できなくなった額（雑支出計上額）の計算</t>
    <rPh sb="25" eb="26">
      <t>ガク</t>
    </rPh>
    <rPh sb="27" eb="28">
      <t>ザツ</t>
    </rPh>
    <rPh sb="28" eb="30">
      <t>シシュツ</t>
    </rPh>
    <rPh sb="30" eb="32">
      <t>ケイジョウ</t>
    </rPh>
    <rPh sb="32" eb="33">
      <t>ガク</t>
    </rPh>
    <rPh sb="35" eb="37">
      <t>ケイサン</t>
    </rPh>
    <phoneticPr fontId="4"/>
  </si>
  <si>
    <t>消費税雑支出等</t>
    <rPh sb="0" eb="2">
      <t>ショウヒ</t>
    </rPh>
    <rPh sb="2" eb="3">
      <t>ゼイ</t>
    </rPh>
    <rPh sb="3" eb="4">
      <t>ザツ</t>
    </rPh>
    <rPh sb="4" eb="6">
      <t>シシュツ</t>
    </rPh>
    <rPh sb="6" eb="7">
      <t>トウ</t>
    </rPh>
    <phoneticPr fontId="4"/>
  </si>
  <si>
    <t>AI=AB+AE</t>
  </si>
  <si>
    <t>決算上の消費税及び地方消費税の計</t>
    <rPh sb="0" eb="2">
      <t>ケッサン</t>
    </rPh>
    <rPh sb="2" eb="3">
      <t>ジョウ</t>
    </rPh>
    <rPh sb="15" eb="16">
      <t>ケイ</t>
    </rPh>
    <phoneticPr fontId="4"/>
  </si>
  <si>
    <t>当期消費税及び地方消費税額計上額（決算額）</t>
    <rPh sb="0" eb="2">
      <t>トウキ</t>
    </rPh>
    <rPh sb="2" eb="5">
      <t>ショウヒゼイ</t>
    </rPh>
    <rPh sb="5" eb="6">
      <t>オヨ</t>
    </rPh>
    <rPh sb="7" eb="9">
      <t>チホウ</t>
    </rPh>
    <rPh sb="9" eb="12">
      <t>ショウヒゼイ</t>
    </rPh>
    <rPh sb="12" eb="13">
      <t>ガク</t>
    </rPh>
    <rPh sb="13" eb="15">
      <t>ケイジョウ</t>
    </rPh>
    <rPh sb="15" eb="16">
      <t>ガク</t>
    </rPh>
    <rPh sb="17" eb="19">
      <t>ケッサン</t>
    </rPh>
    <rPh sb="19" eb="20">
      <t>ガク</t>
    </rPh>
    <phoneticPr fontId="4"/>
  </si>
  <si>
    <t>AH=AD+AG</t>
  </si>
  <si>
    <t>申告書㉖</t>
    <phoneticPr fontId="4"/>
  </si>
  <si>
    <t>納付税額（消費税及び地方消費税の計）</t>
    <rPh sb="0" eb="2">
      <t>ノウフ</t>
    </rPh>
    <rPh sb="2" eb="4">
      <t>ゼイガク</t>
    </rPh>
    <rPh sb="5" eb="8">
      <t>ショウヒゼイ</t>
    </rPh>
    <rPh sb="8" eb="9">
      <t>オヨ</t>
    </rPh>
    <rPh sb="10" eb="12">
      <t>チホウ</t>
    </rPh>
    <rPh sb="12" eb="15">
      <t>ショウヒゼイ</t>
    </rPh>
    <rPh sb="16" eb="17">
      <t>ケイ</t>
    </rPh>
    <phoneticPr fontId="4"/>
  </si>
  <si>
    <t>消費税及び地方消費税の合計（納付又は還付）税額</t>
    <rPh sb="0" eb="3">
      <t>ショウヒゼイ</t>
    </rPh>
    <rPh sb="3" eb="4">
      <t>オヨ</t>
    </rPh>
    <rPh sb="11" eb="13">
      <t>ゴウケイ</t>
    </rPh>
    <rPh sb="14" eb="16">
      <t>ノウフ</t>
    </rPh>
    <rPh sb="16" eb="17">
      <t>マタ</t>
    </rPh>
    <rPh sb="18" eb="20">
      <t>カンプ</t>
    </rPh>
    <rPh sb="21" eb="23">
      <t>ゼイガク</t>
    </rPh>
    <phoneticPr fontId="4"/>
  </si>
  <si>
    <t>AG=AE-AF</t>
  </si>
  <si>
    <t>申告書㉒（△は㉓）</t>
    <phoneticPr fontId="4"/>
  </si>
  <si>
    <t>納付税額（申告額）</t>
    <rPh sb="0" eb="2">
      <t>ノウフ</t>
    </rPh>
    <rPh sb="2" eb="4">
      <t>ゼイガク</t>
    </rPh>
    <phoneticPr fontId="4"/>
  </si>
  <si>
    <t>AF</t>
  </si>
  <si>
    <t>申告書㉑</t>
    <phoneticPr fontId="4"/>
  </si>
  <si>
    <t>AE=AB×(地方消費税率）/(消費税率）</t>
    <rPh sb="7" eb="9">
      <t>チホウ</t>
    </rPh>
    <phoneticPr fontId="8"/>
  </si>
  <si>
    <t>申告書⑳</t>
    <phoneticPr fontId="4"/>
  </si>
  <si>
    <t>ABの再掲</t>
    <rPh sb="3" eb="5">
      <t>サイケイ</t>
    </rPh>
    <phoneticPr fontId="8"/>
  </si>
  <si>
    <t>申告書⑱</t>
    <phoneticPr fontId="4"/>
  </si>
  <si>
    <t>AD=AB-AC</t>
  </si>
  <si>
    <t>申告書⑪（△は⑫）</t>
    <phoneticPr fontId="4"/>
  </si>
  <si>
    <t>納付税額（申告額）</t>
    <rPh sb="0" eb="2">
      <t>ノウフ</t>
    </rPh>
    <rPh sb="2" eb="4">
      <t>ゼイガク</t>
    </rPh>
    <rPh sb="5" eb="7">
      <t>シンコク</t>
    </rPh>
    <rPh sb="7" eb="8">
      <t>ガク</t>
    </rPh>
    <phoneticPr fontId="4"/>
  </si>
  <si>
    <t>AC</t>
  </si>
  <si>
    <t>申告書⑩</t>
    <phoneticPr fontId="4"/>
  </si>
  <si>
    <t>AB=F-AA</t>
  </si>
  <si>
    <t>申告書⑨</t>
    <phoneticPr fontId="4"/>
  </si>
  <si>
    <t>AAの再掲</t>
    <rPh sb="3" eb="5">
      <t>サイケイ</t>
    </rPh>
    <phoneticPr fontId="8"/>
  </si>
  <si>
    <t>Fの再掲</t>
    <rPh sb="2" eb="4">
      <t>サイケイ</t>
    </rPh>
    <phoneticPr fontId="8"/>
  </si>
  <si>
    <t>AA=W+X+Z</t>
  </si>
  <si>
    <t>申告書⑦</t>
    <phoneticPr fontId="4"/>
  </si>
  <si>
    <t>　控除税額　計</t>
    <rPh sb="1" eb="3">
      <t>コウジョ</t>
    </rPh>
    <rPh sb="3" eb="5">
      <t>ゼイガク</t>
    </rPh>
    <rPh sb="6" eb="7">
      <t>ケイ</t>
    </rPh>
    <phoneticPr fontId="4"/>
  </si>
  <si>
    <t>Z=Y×（消費税及び地方消費税率）
　　/（1+消費税及び地方消費税率）</t>
    <phoneticPr fontId="4"/>
  </si>
  <si>
    <t>Z=Y×(消費税率）
　　/（1+消費税及び地方消費税率）</t>
  </si>
  <si>
    <t>　貸倒れ（引当金取崩分）に係る税額</t>
    <rPh sb="1" eb="3">
      <t>カシダオ</t>
    </rPh>
    <rPh sb="5" eb="7">
      <t>ヒキアテ</t>
    </rPh>
    <rPh sb="7" eb="8">
      <t>キン</t>
    </rPh>
    <rPh sb="8" eb="10">
      <t>トリクズシ</t>
    </rPh>
    <rPh sb="10" eb="11">
      <t>ブン</t>
    </rPh>
    <rPh sb="13" eb="14">
      <t>カカ</t>
    </rPh>
    <rPh sb="15" eb="17">
      <t>ゼイガク</t>
    </rPh>
    <phoneticPr fontId="4"/>
  </si>
  <si>
    <t>Y</t>
  </si>
  <si>
    <t>　貸倒れに係る金額（税込）</t>
    <rPh sb="1" eb="3">
      <t>カシダオ</t>
    </rPh>
    <rPh sb="5" eb="6">
      <t>カカ</t>
    </rPh>
    <rPh sb="7" eb="9">
      <t>キンガク</t>
    </rPh>
    <rPh sb="10" eb="12">
      <t>ゼイコ</t>
    </rPh>
    <phoneticPr fontId="4"/>
  </si>
  <si>
    <t>X=C×（消費税及び地方消費税率）
　　/（1+消費税及び地方消費税率）</t>
    <phoneticPr fontId="4"/>
  </si>
  <si>
    <t>X=C×(消費税率）
　　/（1+消費税及び地方消費税率）</t>
  </si>
  <si>
    <t>　売上対価の返還等に係る税額</t>
    <rPh sb="1" eb="3">
      <t>ウリアゲ</t>
    </rPh>
    <rPh sb="3" eb="5">
      <t>タイカ</t>
    </rPh>
    <rPh sb="6" eb="8">
      <t>ヘンカン</t>
    </rPh>
    <rPh sb="8" eb="9">
      <t>トウ</t>
    </rPh>
    <rPh sb="10" eb="11">
      <t>カカ</t>
    </rPh>
    <rPh sb="12" eb="14">
      <t>ゼイガク</t>
    </rPh>
    <phoneticPr fontId="4"/>
  </si>
  <si>
    <t>Wの再掲</t>
    <rPh sb="2" eb="4">
      <t>サイケイ</t>
    </rPh>
    <phoneticPr fontId="8"/>
  </si>
  <si>
    <t>　控除対象仕入税額</t>
    <rPh sb="1" eb="3">
      <t>コウジョ</t>
    </rPh>
    <rPh sb="3" eb="5">
      <t>タイショウ</t>
    </rPh>
    <rPh sb="5" eb="7">
      <t>シイレ</t>
    </rPh>
    <rPh sb="7" eb="9">
      <t>ゼイガク</t>
    </rPh>
    <phoneticPr fontId="4"/>
  </si>
  <si>
    <t>納税額等の計算</t>
    <phoneticPr fontId="4"/>
  </si>
  <si>
    <t>W=O-V</t>
  </si>
  <si>
    <t>V=R+U</t>
  </si>
  <si>
    <t>U=S×T</t>
  </si>
  <si>
    <t>　使途不特定の特定収入の税額</t>
    <rPh sb="1" eb="3">
      <t>シト</t>
    </rPh>
    <rPh sb="3" eb="6">
      <t>フトクテイ</t>
    </rPh>
    <rPh sb="7" eb="9">
      <t>トクテイ</t>
    </rPh>
    <rPh sb="9" eb="11">
      <t>シュウニュウ</t>
    </rPh>
    <phoneticPr fontId="4"/>
  </si>
  <si>
    <t>資産の譲渡等の対価の額</t>
    <phoneticPr fontId="4"/>
  </si>
  <si>
    <t>資産の譲渡等の対価の額）</t>
    <phoneticPr fontId="21"/>
  </si>
  <si>
    <t>使途不特定はないので、ゼロ</t>
    <rPh sb="0" eb="2">
      <t>シト</t>
    </rPh>
    <rPh sb="2" eb="5">
      <t>フトクテイ</t>
    </rPh>
    <phoneticPr fontId="4"/>
  </si>
  <si>
    <t>T</t>
  </si>
  <si>
    <t>計算表５⑨</t>
    <phoneticPr fontId="4"/>
  </si>
  <si>
    <t>　調整割合　(使途不特定の特定収入/</t>
    <rPh sb="1" eb="3">
      <t>チョウセイ</t>
    </rPh>
    <rPh sb="3" eb="5">
      <t>ワリアイ</t>
    </rPh>
    <phoneticPr fontId="4"/>
  </si>
  <si>
    <t>S=O-R</t>
  </si>
  <si>
    <t>　課税仕入れ等の税額－特定収入に係る課税仕入れ等の税額</t>
    <phoneticPr fontId="4"/>
  </si>
  <si>
    <t>使途不特定の特定収入の計算</t>
    <rPh sb="0" eb="2">
      <t>シト</t>
    </rPh>
    <rPh sb="2" eb="5">
      <t>フトクテイ</t>
    </rPh>
    <rPh sb="6" eb="8">
      <t>トクテイ</t>
    </rPh>
    <rPh sb="8" eb="10">
      <t>シュウニュウ</t>
    </rPh>
    <rPh sb="11" eb="13">
      <t>ケイサン</t>
    </rPh>
    <phoneticPr fontId="4"/>
  </si>
  <si>
    <t>R=P×H/J</t>
  </si>
  <si>
    <t>特定収入に係る課税仕入れ等の税額</t>
    <rPh sb="5" eb="6">
      <t>カカ</t>
    </rPh>
    <rPh sb="7" eb="9">
      <t>カゼイ</t>
    </rPh>
    <rPh sb="9" eb="11">
      <t>シイ</t>
    </rPh>
    <rPh sb="14" eb="16">
      <t>ゼイガク</t>
    </rPh>
    <phoneticPr fontId="4"/>
  </si>
  <si>
    <t>Ｑ=H/J</t>
  </si>
  <si>
    <t>計算表５⑥</t>
    <phoneticPr fontId="4"/>
  </si>
  <si>
    <t>Ｐ=N×（消費税及び地方消費税率）
　　/（1+消費税及び地方消費税率）</t>
    <phoneticPr fontId="4"/>
  </si>
  <si>
    <t>Ｐ=N×(消費税率）
　　/（1+消費税及び地方消費税率）</t>
  </si>
  <si>
    <t>Ｎの再掲</t>
    <rPh sb="2" eb="4">
      <t>サイケイ</t>
    </rPh>
    <phoneticPr fontId="8"/>
  </si>
  <si>
    <t>課税仕入れ等に係る特定収入</t>
    <rPh sb="0" eb="2">
      <t>カゼイ</t>
    </rPh>
    <rPh sb="2" eb="4">
      <t>シイ</t>
    </rPh>
    <rPh sb="7" eb="8">
      <t>カカ</t>
    </rPh>
    <rPh sb="9" eb="11">
      <t>トクテイ</t>
    </rPh>
    <rPh sb="11" eb="13">
      <t>シュウニュウ</t>
    </rPh>
    <phoneticPr fontId="4"/>
  </si>
  <si>
    <t>O=M×H/J</t>
  </si>
  <si>
    <t>N/(N+資産の譲渡等の対価の額)</t>
  </si>
  <si>
    <t>　資産の譲渡等の対価の額（課税（税抜）+免税+非課税売上の計）</t>
    <rPh sb="1" eb="3">
      <t>シサン</t>
    </rPh>
    <rPh sb="4" eb="6">
      <t>ジョウト</t>
    </rPh>
    <rPh sb="6" eb="7">
      <t>トウ</t>
    </rPh>
    <rPh sb="8" eb="10">
      <t>タイカ</t>
    </rPh>
    <rPh sb="11" eb="12">
      <t>ガク</t>
    </rPh>
    <rPh sb="13" eb="15">
      <t>カゼイ</t>
    </rPh>
    <rPh sb="16" eb="17">
      <t>ゼイ</t>
    </rPh>
    <rPh sb="17" eb="18">
      <t>ヌキ</t>
    </rPh>
    <rPh sb="20" eb="22">
      <t>メンゼイ</t>
    </rPh>
    <rPh sb="23" eb="26">
      <t>ヒカゼイ</t>
    </rPh>
    <rPh sb="26" eb="28">
      <t>ウリアゲ</t>
    </rPh>
    <rPh sb="29" eb="30">
      <t>ケイ</t>
    </rPh>
    <phoneticPr fontId="4"/>
  </si>
  <si>
    <t>Ｉの再掲</t>
    <rPh sb="2" eb="4">
      <t>サイケイ</t>
    </rPh>
    <phoneticPr fontId="27"/>
  </si>
  <si>
    <t>Gの再掲</t>
    <rPh sb="2" eb="4">
      <t>サイケイ</t>
    </rPh>
    <phoneticPr fontId="8"/>
  </si>
  <si>
    <t>免税売上額</t>
    <phoneticPr fontId="4"/>
  </si>
  <si>
    <t>=A×1/（1+消費税及び地方消費税率）</t>
  </si>
  <si>
    <t>N=3条特収+4条特収</t>
    <rPh sb="4" eb="5">
      <t>トク</t>
    </rPh>
    <rPh sb="5" eb="6">
      <t>シュウ</t>
    </rPh>
    <phoneticPr fontId="8"/>
  </si>
  <si>
    <t>　特定収入　計</t>
    <rPh sb="6" eb="7">
      <t>ケイ</t>
    </rPh>
    <phoneticPr fontId="4"/>
  </si>
  <si>
    <t>「不課税収入」のうち「課税仕入に特定」</t>
    <rPh sb="1" eb="2">
      <t>フ</t>
    </rPh>
    <rPh sb="2" eb="4">
      <t>カゼイ</t>
    </rPh>
    <rPh sb="4" eb="6">
      <t>シュウニュウ</t>
    </rPh>
    <phoneticPr fontId="4"/>
  </si>
  <si>
    <t>資本的収入のうち特定収入</t>
    <rPh sb="0" eb="2">
      <t>シホン</t>
    </rPh>
    <rPh sb="2" eb="3">
      <t>テキ</t>
    </rPh>
    <rPh sb="3" eb="5">
      <t>シュウニュウ</t>
    </rPh>
    <phoneticPr fontId="4"/>
  </si>
  <si>
    <t>収益的収入のうち特定収入</t>
    <rPh sb="0" eb="3">
      <t>シュウエキテキ</t>
    </rPh>
    <rPh sb="3" eb="5">
      <t>シュウニュウ</t>
    </rPh>
    <rPh sb="8" eb="10">
      <t>トクテイ</t>
    </rPh>
    <rPh sb="10" eb="12">
      <t>シュウニュウ</t>
    </rPh>
    <phoneticPr fontId="4"/>
  </si>
  <si>
    <t>特定収入割合の計算</t>
    <phoneticPr fontId="4"/>
  </si>
  <si>
    <t>仕入税額控除の調整</t>
    <phoneticPr fontId="4"/>
  </si>
  <si>
    <t>特定収入の判定</t>
    <rPh sb="0" eb="2">
      <t>トクテイ</t>
    </rPh>
    <rPh sb="2" eb="4">
      <t>シュウニュウ</t>
    </rPh>
    <rPh sb="5" eb="7">
      <t>ハンテイ</t>
    </rPh>
    <phoneticPr fontId="4"/>
  </si>
  <si>
    <t>M=（K-L-B)×（消費税及び地方消費税率）
　　/（1+消費税及び地方消費税率）</t>
    <rPh sb="30" eb="33">
      <t>ショウヒゼイ</t>
    </rPh>
    <rPh sb="33" eb="34">
      <t>オヨ</t>
    </rPh>
    <rPh sb="35" eb="37">
      <t>チホウ</t>
    </rPh>
    <rPh sb="37" eb="40">
      <t>ショウヒゼイ</t>
    </rPh>
    <rPh sb="40" eb="41">
      <t>リツ</t>
    </rPh>
    <phoneticPr fontId="8"/>
  </si>
  <si>
    <t>M=（K-L-B)×(消費税率）
　　/（1+消費税及び地方消費税率）</t>
    <rPh sb="11" eb="13">
      <t>ショウヒ</t>
    </rPh>
    <rPh sb="13" eb="15">
      <t>ゼイリツ</t>
    </rPh>
    <rPh sb="23" eb="26">
      <t>ショウヒゼイ</t>
    </rPh>
    <rPh sb="26" eb="27">
      <t>オヨ</t>
    </rPh>
    <rPh sb="28" eb="30">
      <t>チホウ</t>
    </rPh>
    <rPh sb="30" eb="33">
      <t>ショウヒゼイ</t>
    </rPh>
    <rPh sb="33" eb="34">
      <t>リツ</t>
    </rPh>
    <phoneticPr fontId="8"/>
  </si>
  <si>
    <t>=K-L-B</t>
  </si>
  <si>
    <t>Bの再掲</t>
    <rPh sb="2" eb="4">
      <t>サイケイ</t>
    </rPh>
    <phoneticPr fontId="27"/>
  </si>
  <si>
    <t>　仕入対価の返還等の額</t>
    <rPh sb="1" eb="3">
      <t>シイレ</t>
    </rPh>
    <rPh sb="3" eb="5">
      <t>タイカ</t>
    </rPh>
    <rPh sb="6" eb="8">
      <t>ヘンカン</t>
    </rPh>
    <rPh sb="8" eb="9">
      <t>トウ</t>
    </rPh>
    <rPh sb="10" eb="11">
      <t>ガク</t>
    </rPh>
    <phoneticPr fontId="4"/>
  </si>
  <si>
    <t>L</t>
  </si>
  <si>
    <t>　売上対価の返還等の額</t>
    <rPh sb="1" eb="3">
      <t>ウリアゲ</t>
    </rPh>
    <rPh sb="3" eb="5">
      <t>タイカ</t>
    </rPh>
    <rPh sb="6" eb="8">
      <t>ヘンカン</t>
    </rPh>
    <rPh sb="8" eb="9">
      <t>トウ</t>
    </rPh>
    <rPh sb="10" eb="11">
      <t>ガク</t>
    </rPh>
    <phoneticPr fontId="4"/>
  </si>
  <si>
    <t>K=3条課税+4条課税</t>
  </si>
  <si>
    <t>　課税支出（税込）　計</t>
    <rPh sb="6" eb="8">
      <t>ゼイコ</t>
    </rPh>
    <rPh sb="10" eb="11">
      <t>ケイ</t>
    </rPh>
    <phoneticPr fontId="4"/>
  </si>
  <si>
    <t>課税仕入れ等の税額の計算</t>
    <phoneticPr fontId="4"/>
  </si>
  <si>
    <t>端数切捨て</t>
    <phoneticPr fontId="21"/>
  </si>
  <si>
    <t>=H/J（=下記Q）</t>
    <rPh sb="6" eb="8">
      <t>カキ</t>
    </rPh>
    <phoneticPr fontId="8"/>
  </si>
  <si>
    <t>課税売上割合（端数切捨）</t>
    <rPh sb="0" eb="2">
      <t>カゼイ</t>
    </rPh>
    <rPh sb="2" eb="4">
      <t>ウリアゲ</t>
    </rPh>
    <rPh sb="4" eb="6">
      <t>ワリアイ</t>
    </rPh>
    <rPh sb="7" eb="9">
      <t>ハスウ</t>
    </rPh>
    <rPh sb="9" eb="11">
      <t>キリス</t>
    </rPh>
    <phoneticPr fontId="4"/>
  </si>
  <si>
    <t>課税売上割合の分母</t>
  </si>
  <si>
    <t>J=H＋I</t>
  </si>
  <si>
    <t>申告書⑯、付表２⑦</t>
    <rPh sb="5" eb="7">
      <t>フヒョウ</t>
    </rPh>
    <phoneticPr fontId="4"/>
  </si>
  <si>
    <t>Ｉ=3条非課税+4条非課税</t>
    <rPh sb="3" eb="4">
      <t>ジョウ</t>
    </rPh>
    <rPh sb="4" eb="7">
      <t>ヒカゼイ</t>
    </rPh>
    <rPh sb="9" eb="10">
      <t>ジョウ</t>
    </rPh>
    <rPh sb="10" eb="13">
      <t>ヒカゼイ</t>
    </rPh>
    <phoneticPr fontId="27"/>
  </si>
  <si>
    <t>　非課税売上（税込）　計</t>
    <rPh sb="1" eb="2">
      <t>ヒ</t>
    </rPh>
    <rPh sb="7" eb="9">
      <t>ゼイコ</t>
    </rPh>
    <rPh sb="11" eb="12">
      <t>ケイ</t>
    </rPh>
    <phoneticPr fontId="4"/>
  </si>
  <si>
    <t>「決算総括表」より</t>
    <phoneticPr fontId="21"/>
  </si>
  <si>
    <t>課税売上割合の分子</t>
    <phoneticPr fontId="21"/>
  </si>
  <si>
    <t>H=Dの合計+G</t>
    <rPh sb="4" eb="6">
      <t>ゴウケイ</t>
    </rPh>
    <phoneticPr fontId="8"/>
  </si>
  <si>
    <t>申告書⑮
付表２④⑤</t>
    <phoneticPr fontId="4"/>
  </si>
  <si>
    <t>管理課資料、「決算総括表」より</t>
    <phoneticPr fontId="21"/>
  </si>
  <si>
    <t>G</t>
  </si>
  <si>
    <t>Dの合計（各税率の合計）</t>
    <rPh sb="2" eb="4">
      <t>ゴウケイ</t>
    </rPh>
    <rPh sb="5" eb="6">
      <t>カク</t>
    </rPh>
    <rPh sb="6" eb="8">
      <t>ゼイリツ</t>
    </rPh>
    <rPh sb="9" eb="11">
      <t>ゴウケイ</t>
    </rPh>
    <phoneticPr fontId="27"/>
  </si>
  <si>
    <t>F=E×（消費税及び地方消費税率）</t>
    <phoneticPr fontId="4"/>
  </si>
  <si>
    <t>F=E×(消費税率）</t>
  </si>
  <si>
    <t>E=（A-B)×1/（1+消費税及び地方消費税率）</t>
  </si>
  <si>
    <t>D=（A-B-C)×（消費税及び地方消費税率）
　　/（1+消費税及び地方消費税率）</t>
    <phoneticPr fontId="4"/>
  </si>
  <si>
    <t>D=（A-B-C)×（消費税及び地方消費税率）
　　/（1+消費税及び地方消費税率）</t>
  </si>
  <si>
    <t>C</t>
  </si>
  <si>
    <t>B</t>
  </si>
  <si>
    <t>A</t>
  </si>
  <si>
    <t>　課税売上（税込）　計　</t>
    <rPh sb="6" eb="8">
      <t>ゼイコ</t>
    </rPh>
    <rPh sb="10" eb="11">
      <t>ケイ</t>
    </rPh>
    <phoneticPr fontId="4"/>
  </si>
  <si>
    <t>計算</t>
    <rPh sb="0" eb="2">
      <t>ケイサン</t>
    </rPh>
    <phoneticPr fontId="27"/>
  </si>
  <si>
    <t>1円単位での端数処理</t>
    <rPh sb="1" eb="2">
      <t>エン</t>
    </rPh>
    <rPh sb="2" eb="4">
      <t>タンイ</t>
    </rPh>
    <rPh sb="6" eb="8">
      <t>ハスウ</t>
    </rPh>
    <rPh sb="8" eb="10">
      <t>ショリ</t>
    </rPh>
    <phoneticPr fontId="4"/>
  </si>
  <si>
    <t>金額単位端数処理の取扱い</t>
    <rPh sb="0" eb="2">
      <t>キンガク</t>
    </rPh>
    <rPh sb="2" eb="4">
      <t>タンイ</t>
    </rPh>
    <rPh sb="4" eb="6">
      <t>ハスウ</t>
    </rPh>
    <rPh sb="6" eb="8">
      <t>ショリ</t>
    </rPh>
    <rPh sb="9" eb="11">
      <t>トリアツカ</t>
    </rPh>
    <phoneticPr fontId="4"/>
  </si>
  <si>
    <t>申告ベース（課税標準額千円単位、納税額百円単位）</t>
    <rPh sb="6" eb="8">
      <t>カゼイ</t>
    </rPh>
    <rPh sb="8" eb="10">
      <t>ヒョウジュン</t>
    </rPh>
    <rPh sb="10" eb="11">
      <t>ガク</t>
    </rPh>
    <rPh sb="11" eb="13">
      <t>センエン</t>
    </rPh>
    <rPh sb="13" eb="15">
      <t>タンイ</t>
    </rPh>
    <rPh sb="16" eb="18">
      <t>ノウゼイ</t>
    </rPh>
    <rPh sb="18" eb="19">
      <t>ガク</t>
    </rPh>
    <rPh sb="19" eb="21">
      <t>ヒャクエン</t>
    </rPh>
    <rPh sb="21" eb="23">
      <t>タンイ</t>
    </rPh>
    <phoneticPr fontId="4"/>
  </si>
  <si>
    <t>「消費税」を「消費税及び地方消費税」に読み替えて計算</t>
    <rPh sb="7" eb="10">
      <t>ショウヒゼイ</t>
    </rPh>
    <rPh sb="10" eb="11">
      <t>オヨ</t>
    </rPh>
    <rPh sb="12" eb="14">
      <t>チホウ</t>
    </rPh>
    <rPh sb="14" eb="17">
      <t>ショウヒゼイ</t>
    </rPh>
    <rPh sb="19" eb="20">
      <t>ヨ</t>
    </rPh>
    <rPh sb="21" eb="22">
      <t>カ</t>
    </rPh>
    <rPh sb="24" eb="26">
      <t>ケイサン</t>
    </rPh>
    <phoneticPr fontId="4"/>
  </si>
  <si>
    <t>消費税及び地方消費税の計算</t>
    <rPh sb="0" eb="3">
      <t>ショウヒゼイ</t>
    </rPh>
    <rPh sb="3" eb="4">
      <t>オヨ</t>
    </rPh>
    <rPh sb="5" eb="7">
      <t>チホウ</t>
    </rPh>
    <rPh sb="7" eb="10">
      <t>ショウヒゼイ</t>
    </rPh>
    <rPh sb="11" eb="13">
      <t>ケイサン</t>
    </rPh>
    <phoneticPr fontId="4"/>
  </si>
  <si>
    <t>申告ベース（消費税を計算後、地方消費税を計算）</t>
    <rPh sb="10" eb="12">
      <t>ケイサン</t>
    </rPh>
    <rPh sb="12" eb="13">
      <t>ゴ</t>
    </rPh>
    <rPh sb="14" eb="16">
      <t>チホウ</t>
    </rPh>
    <rPh sb="16" eb="19">
      <t>ショウヒゼイ</t>
    </rPh>
    <rPh sb="20" eb="22">
      <t>ケイサン</t>
    </rPh>
    <phoneticPr fontId="4"/>
  </si>
  <si>
    <t>区　　　　分</t>
    <rPh sb="0" eb="1">
      <t>ク</t>
    </rPh>
    <rPh sb="5" eb="6">
      <t>ブン</t>
    </rPh>
    <phoneticPr fontId="4"/>
  </si>
  <si>
    <t>資本的収支のみ</t>
    <rPh sb="0" eb="2">
      <t>シホン</t>
    </rPh>
    <phoneticPr fontId="4"/>
  </si>
  <si>
    <t>収益的収支・資本的収支の別</t>
    <rPh sb="0" eb="3">
      <t>シュウエキテキ</t>
    </rPh>
    <rPh sb="3" eb="5">
      <t>シュウシ</t>
    </rPh>
    <rPh sb="6" eb="9">
      <t>シホンテキ</t>
    </rPh>
    <rPh sb="9" eb="11">
      <t>シュウシ</t>
    </rPh>
    <rPh sb="12" eb="13">
      <t>ベツ</t>
    </rPh>
    <phoneticPr fontId="4"/>
  </si>
  <si>
    <t>申告ベース（収益的収支と資本的収支の合計額）</t>
    <rPh sb="0" eb="2">
      <t>シンコク</t>
    </rPh>
    <rPh sb="18" eb="20">
      <t>ゴウケイ</t>
    </rPh>
    <rPh sb="20" eb="21">
      <t>ガク</t>
    </rPh>
    <phoneticPr fontId="4"/>
  </si>
  <si>
    <t>地方消費税率</t>
    <rPh sb="0" eb="2">
      <t>チホウ</t>
    </rPh>
    <rPh sb="2" eb="5">
      <t>ショウヒゼイ</t>
    </rPh>
    <rPh sb="5" eb="6">
      <t>リツ</t>
    </rPh>
    <phoneticPr fontId="4"/>
  </si>
  <si>
    <t>消費税率</t>
    <rPh sb="0" eb="3">
      <t>ショウヒゼイ</t>
    </rPh>
    <rPh sb="3" eb="4">
      <t>リツ</t>
    </rPh>
    <phoneticPr fontId="4"/>
  </si>
  <si>
    <t>消費税シートより</t>
    <rPh sb="0" eb="3">
      <t>ショウヒゼイ</t>
    </rPh>
    <phoneticPr fontId="4"/>
  </si>
  <si>
    <t>　　全事業　計</t>
    <rPh sb="2" eb="5">
      <t>ゼンジギョウ</t>
    </rPh>
    <rPh sb="6" eb="7">
      <t>ケイ</t>
    </rPh>
    <phoneticPr fontId="4"/>
  </si>
  <si>
    <t>全事業 工事負担金</t>
    <rPh sb="0" eb="3">
      <t>ゼンジギョウ</t>
    </rPh>
    <rPh sb="4" eb="6">
      <t>コウジ</t>
    </rPh>
    <rPh sb="6" eb="9">
      <t>フタンキン</t>
    </rPh>
    <phoneticPr fontId="4"/>
  </si>
  <si>
    <t>全事業 受益分担金</t>
    <rPh sb="0" eb="3">
      <t>ゼンジギョウ</t>
    </rPh>
    <rPh sb="4" eb="6">
      <t>ジュエキ</t>
    </rPh>
    <rPh sb="6" eb="9">
      <t>ブンタンキン</t>
    </rPh>
    <phoneticPr fontId="4"/>
  </si>
  <si>
    <t>全事業 受益負担金</t>
    <rPh sb="0" eb="3">
      <t>ゼンジギョウ</t>
    </rPh>
    <rPh sb="4" eb="6">
      <t>ジュエキ</t>
    </rPh>
    <rPh sb="6" eb="9">
      <t>フタンキン</t>
    </rPh>
    <phoneticPr fontId="4"/>
  </si>
  <si>
    <t>全事業 国庫補助金</t>
    <rPh sb="0" eb="3">
      <t>ゼンジギョウ</t>
    </rPh>
    <phoneticPr fontId="4"/>
  </si>
  <si>
    <t>　　浄化槽　計</t>
    <rPh sb="2" eb="5">
      <t>ジョウカソウ</t>
    </rPh>
    <rPh sb="6" eb="7">
      <t>ケイ</t>
    </rPh>
    <phoneticPr fontId="4"/>
  </si>
  <si>
    <t>浄化槽 受益分担金</t>
    <rPh sb="0" eb="2">
      <t>ジョウカ</t>
    </rPh>
    <rPh sb="2" eb="3">
      <t>ソウ</t>
    </rPh>
    <rPh sb="4" eb="6">
      <t>ジュエキ</t>
    </rPh>
    <rPh sb="6" eb="9">
      <t>ブンタンキン</t>
    </rPh>
    <phoneticPr fontId="4"/>
  </si>
  <si>
    <t>浄化槽 国庫補助金</t>
    <rPh sb="0" eb="2">
      <t>ジョウカ</t>
    </rPh>
    <rPh sb="2" eb="3">
      <t>ソウ</t>
    </rPh>
    <rPh sb="4" eb="6">
      <t>コッコ</t>
    </rPh>
    <rPh sb="6" eb="9">
      <t>ホジョキン</t>
    </rPh>
    <phoneticPr fontId="4"/>
  </si>
  <si>
    <t>　　農集　計</t>
    <rPh sb="2" eb="4">
      <t>ノウシュウ</t>
    </rPh>
    <rPh sb="5" eb="6">
      <t>ケイ</t>
    </rPh>
    <phoneticPr fontId="4"/>
  </si>
  <si>
    <t>農集 受益分担金</t>
    <rPh sb="0" eb="2">
      <t>ノウシュウ</t>
    </rPh>
    <rPh sb="3" eb="5">
      <t>ジュエキ</t>
    </rPh>
    <rPh sb="5" eb="8">
      <t>ブンタンキン</t>
    </rPh>
    <phoneticPr fontId="4"/>
  </si>
  <si>
    <t>農集 国庫補助金</t>
    <rPh sb="0" eb="2">
      <t>ノウシュウ</t>
    </rPh>
    <rPh sb="3" eb="5">
      <t>コッコ</t>
    </rPh>
    <rPh sb="5" eb="8">
      <t>ホジョキン</t>
    </rPh>
    <phoneticPr fontId="4"/>
  </si>
  <si>
    <t>　　特環　計</t>
    <rPh sb="2" eb="4">
      <t>トッカン</t>
    </rPh>
    <rPh sb="5" eb="6">
      <t>ケイ</t>
    </rPh>
    <phoneticPr fontId="4"/>
  </si>
  <si>
    <t>特環 受益分担金</t>
    <rPh sb="0" eb="2">
      <t>トッカン</t>
    </rPh>
    <rPh sb="3" eb="5">
      <t>ジュエキ</t>
    </rPh>
    <rPh sb="5" eb="8">
      <t>ブンタンキン</t>
    </rPh>
    <phoneticPr fontId="4"/>
  </si>
  <si>
    <t>特環 国庫補助金</t>
    <rPh sb="0" eb="2">
      <t>トッカン</t>
    </rPh>
    <rPh sb="3" eb="5">
      <t>コッコ</t>
    </rPh>
    <rPh sb="5" eb="8">
      <t>ホジョキン</t>
    </rPh>
    <phoneticPr fontId="4"/>
  </si>
  <si>
    <t>　　公共　計</t>
    <rPh sb="2" eb="4">
      <t>コウキョウ</t>
    </rPh>
    <rPh sb="5" eb="6">
      <t>ケイ</t>
    </rPh>
    <phoneticPr fontId="4"/>
  </si>
  <si>
    <t>公共 工事負担金</t>
    <rPh sb="0" eb="2">
      <t>コウキョウ</t>
    </rPh>
    <rPh sb="3" eb="5">
      <t>コウジ</t>
    </rPh>
    <rPh sb="5" eb="8">
      <t>フタンキン</t>
    </rPh>
    <phoneticPr fontId="4"/>
  </si>
  <si>
    <t>公共 受益負担金</t>
    <rPh sb="0" eb="2">
      <t>コウキョウ</t>
    </rPh>
    <rPh sb="3" eb="5">
      <t>ジュエキ</t>
    </rPh>
    <rPh sb="5" eb="8">
      <t>フタンキン</t>
    </rPh>
    <phoneticPr fontId="4"/>
  </si>
  <si>
    <t>公共 国庫補助金</t>
    <rPh sb="0" eb="2">
      <t>コウキョウ</t>
    </rPh>
    <rPh sb="3" eb="5">
      <t>コッコ</t>
    </rPh>
    <rPh sb="5" eb="7">
      <t>ホジョ</t>
    </rPh>
    <rPh sb="7" eb="8">
      <t>キン</t>
    </rPh>
    <phoneticPr fontId="4"/>
  </si>
  <si>
    <t>圧縮記帳額
⑦=③+⑥=①-⑤</t>
    <phoneticPr fontId="4"/>
  </si>
  <si>
    <t>課税売上割合を乗じることにより控除できなくなった額
⑥=（①-②）-（③-④）</t>
    <rPh sb="7" eb="8">
      <t>ジョウ</t>
    </rPh>
    <phoneticPr fontId="4"/>
  </si>
  <si>
    <t>仕入控除税額
⑤=②-④</t>
    <phoneticPr fontId="4"/>
  </si>
  <si>
    <t>特定収入に係る課税仕入れ等の税額
④=③×課税売上割合</t>
    <phoneticPr fontId="4"/>
  </si>
  <si>
    <t>課税仕入れ等に係る特定収入に係る消費税額
不可消費税
③</t>
    <rPh sb="0" eb="2">
      <t>カゼイ</t>
    </rPh>
    <rPh sb="2" eb="4">
      <t>シイ</t>
    </rPh>
    <rPh sb="5" eb="6">
      <t>トウ</t>
    </rPh>
    <rPh sb="7" eb="8">
      <t>カカ</t>
    </rPh>
    <rPh sb="9" eb="11">
      <t>トクテイ</t>
    </rPh>
    <rPh sb="11" eb="13">
      <t>シュウニュウ</t>
    </rPh>
    <rPh sb="14" eb="15">
      <t>カカ</t>
    </rPh>
    <rPh sb="16" eb="19">
      <t>ショウヒゼイ</t>
    </rPh>
    <rPh sb="19" eb="20">
      <t>ガク</t>
    </rPh>
    <rPh sb="21" eb="23">
      <t>フカ</t>
    </rPh>
    <rPh sb="23" eb="26">
      <t>シ</t>
    </rPh>
    <phoneticPr fontId="4"/>
  </si>
  <si>
    <t>課税仕入等
に係る税額
②=①×課税売上割合</t>
    <rPh sb="7" eb="8">
      <t>カカ</t>
    </rPh>
    <rPh sb="16" eb="18">
      <t>カゼイ</t>
    </rPh>
    <rPh sb="18" eb="20">
      <t>ウリアゲ</t>
    </rPh>
    <rPh sb="20" eb="22">
      <t>ワリアイ</t>
    </rPh>
    <phoneticPr fontId="4"/>
  </si>
  <si>
    <t>仮払消費税
①</t>
    <rPh sb="0" eb="1">
      <t>カリ</t>
    </rPh>
    <rPh sb="1" eb="2">
      <t>ハラ</t>
    </rPh>
    <rPh sb="2" eb="5">
      <t>シ</t>
    </rPh>
    <phoneticPr fontId="4"/>
  </si>
  <si>
    <t>（注）　税込は、消費税還付金を除く。</t>
    <rPh sb="1" eb="2">
      <t>チュウ</t>
    </rPh>
    <rPh sb="4" eb="6">
      <t>ゼイコミ</t>
    </rPh>
    <rPh sb="8" eb="11">
      <t>ショウヒゼイ</t>
    </rPh>
    <rPh sb="11" eb="14">
      <t>カンプキン</t>
    </rPh>
    <rPh sb="15" eb="16">
      <t>ノゾ</t>
    </rPh>
    <phoneticPr fontId="31"/>
  </si>
  <si>
    <t>工事負担金</t>
    <rPh sb="0" eb="2">
      <t>コウジ</t>
    </rPh>
    <rPh sb="2" eb="5">
      <t>フタンキン</t>
    </rPh>
    <phoneticPr fontId="31"/>
  </si>
  <si>
    <t>受益者分担金</t>
    <rPh sb="0" eb="3">
      <t>ジュエキシャ</t>
    </rPh>
    <rPh sb="3" eb="6">
      <t>ブンタンキン</t>
    </rPh>
    <phoneticPr fontId="31"/>
  </si>
  <si>
    <t>受益者負担金</t>
    <rPh sb="0" eb="3">
      <t>ジュエキシャ</t>
    </rPh>
    <rPh sb="3" eb="6">
      <t>フタンキン</t>
    </rPh>
    <phoneticPr fontId="31"/>
  </si>
  <si>
    <t>県補助金</t>
    <rPh sb="0" eb="1">
      <t>ケン</t>
    </rPh>
    <rPh sb="1" eb="4">
      <t>ホジョキン</t>
    </rPh>
    <phoneticPr fontId="31"/>
  </si>
  <si>
    <t>国庫補助金</t>
    <rPh sb="0" eb="2">
      <t>コッコ</t>
    </rPh>
    <rPh sb="2" eb="5">
      <t>ホジョキン</t>
    </rPh>
    <phoneticPr fontId="31"/>
  </si>
  <si>
    <t>４条分</t>
    <rPh sb="0" eb="3">
      <t>４ジョウブン</t>
    </rPh>
    <phoneticPr fontId="31"/>
  </si>
  <si>
    <t>返還等対価、貸倒れに係る消費税額</t>
    <rPh sb="0" eb="2">
      <t>ヘンカン</t>
    </rPh>
    <rPh sb="2" eb="3">
      <t>トウ</t>
    </rPh>
    <rPh sb="3" eb="5">
      <t>タイカ</t>
    </rPh>
    <rPh sb="6" eb="7">
      <t>カシ</t>
    </rPh>
    <rPh sb="7" eb="8">
      <t>ダオ</t>
    </rPh>
    <rPh sb="10" eb="11">
      <t>カカ</t>
    </rPh>
    <rPh sb="12" eb="15">
      <t>ショウヒゼイ</t>
    </rPh>
    <rPh sb="15" eb="16">
      <t>ガク</t>
    </rPh>
    <phoneticPr fontId="31"/>
  </si>
  <si>
    <t>仕入・売上対価返還等に係る消費税額</t>
    <rPh sb="0" eb="2">
      <t>シイレ</t>
    </rPh>
    <rPh sb="3" eb="5">
      <t>ウリアゲ</t>
    </rPh>
    <rPh sb="5" eb="7">
      <t>タイカ</t>
    </rPh>
    <rPh sb="7" eb="9">
      <t>ヘンカン</t>
    </rPh>
    <rPh sb="9" eb="10">
      <t>トウ</t>
    </rPh>
    <rPh sb="11" eb="12">
      <t>カカ</t>
    </rPh>
    <rPh sb="13" eb="16">
      <t>ショウヒゼイ</t>
    </rPh>
    <rPh sb="16" eb="17">
      <t>ガク</t>
    </rPh>
    <phoneticPr fontId="31"/>
  </si>
  <si>
    <t>仮払消費税×（１－課税売上割合）分</t>
    <rPh sb="0" eb="2">
      <t>カリバラ</t>
    </rPh>
    <rPh sb="2" eb="5">
      <t>ショウヒゼイ</t>
    </rPh>
    <rPh sb="9" eb="11">
      <t>カゼイ</t>
    </rPh>
    <rPh sb="11" eb="13">
      <t>ウリアゲ</t>
    </rPh>
    <rPh sb="13" eb="15">
      <t>ワリアイ</t>
    </rPh>
    <rPh sb="16" eb="17">
      <t>ブン</t>
    </rPh>
    <phoneticPr fontId="31"/>
  </si>
  <si>
    <t>特定収入に係る課税仕入れ分</t>
    <phoneticPr fontId="31"/>
  </si>
  <si>
    <t>３条分</t>
    <rPh sb="1" eb="2">
      <t>ジョウ</t>
    </rPh>
    <rPh sb="2" eb="3">
      <t>ブン</t>
    </rPh>
    <phoneticPr fontId="31"/>
  </si>
  <si>
    <t>仕入控除できない消費税額</t>
    <rPh sb="0" eb="2">
      <t>シイレ</t>
    </rPh>
    <rPh sb="2" eb="4">
      <t>コウジョ</t>
    </rPh>
    <rPh sb="8" eb="11">
      <t>ショウヒゼイ</t>
    </rPh>
    <rPh sb="11" eb="12">
      <t>ガク</t>
    </rPh>
    <phoneticPr fontId="31"/>
  </si>
  <si>
    <t>仮払消費税合計</t>
    <rPh sb="0" eb="1">
      <t>カリ</t>
    </rPh>
    <rPh sb="1" eb="2">
      <t>ハラ</t>
    </rPh>
    <rPh sb="2" eb="5">
      <t>ショウヒゼイ</t>
    </rPh>
    <rPh sb="5" eb="7">
      <t>ゴウケイ</t>
    </rPh>
    <phoneticPr fontId="31"/>
  </si>
  <si>
    <t>仮受消費税合計</t>
    <rPh sb="0" eb="1">
      <t>カリ</t>
    </rPh>
    <rPh sb="1" eb="2">
      <t>ウケ</t>
    </rPh>
    <rPh sb="2" eb="5">
      <t>ショウヒゼイ</t>
    </rPh>
    <rPh sb="5" eb="7">
      <t>ゴウケイ</t>
    </rPh>
    <phoneticPr fontId="31"/>
  </si>
  <si>
    <t>補助金・借入金返還金</t>
    <rPh sb="0" eb="3">
      <t>ホジョキン</t>
    </rPh>
    <rPh sb="4" eb="6">
      <t>カリイレ</t>
    </rPh>
    <rPh sb="6" eb="7">
      <t>キン</t>
    </rPh>
    <rPh sb="7" eb="9">
      <t>ヘンカン</t>
    </rPh>
    <rPh sb="9" eb="10">
      <t>キン</t>
    </rPh>
    <phoneticPr fontId="31"/>
  </si>
  <si>
    <t>貸付資金企業債償還金</t>
    <rPh sb="0" eb="2">
      <t>カシツケ</t>
    </rPh>
    <rPh sb="2" eb="4">
      <t>シキン</t>
    </rPh>
    <rPh sb="4" eb="6">
      <t>キギョウ</t>
    </rPh>
    <rPh sb="6" eb="7">
      <t>サイ</t>
    </rPh>
    <rPh sb="7" eb="10">
      <t>ショウカンキン</t>
    </rPh>
    <phoneticPr fontId="31"/>
  </si>
  <si>
    <t>貸付金</t>
    <rPh sb="0" eb="2">
      <t>カシツケ</t>
    </rPh>
    <rPh sb="2" eb="3">
      <t>キン</t>
    </rPh>
    <phoneticPr fontId="31"/>
  </si>
  <si>
    <t>水洗化貸付事業費</t>
    <rPh sb="0" eb="3">
      <t>スイセンカ</t>
    </rPh>
    <rPh sb="3" eb="5">
      <t>カシツケ</t>
    </rPh>
    <rPh sb="5" eb="8">
      <t>ジギョウヒ</t>
    </rPh>
    <phoneticPr fontId="31"/>
  </si>
  <si>
    <t>企業債償還金</t>
    <rPh sb="0" eb="2">
      <t>キギョウ</t>
    </rPh>
    <rPh sb="2" eb="3">
      <t>サイ</t>
    </rPh>
    <rPh sb="3" eb="6">
      <t>ショウカンキン</t>
    </rPh>
    <phoneticPr fontId="31"/>
  </si>
  <si>
    <t>償還金</t>
    <rPh sb="0" eb="3">
      <t>ショウカンキン</t>
    </rPh>
    <phoneticPr fontId="31"/>
  </si>
  <si>
    <t>市街化区域外整備費</t>
    <rPh sb="0" eb="3">
      <t>シガイカ</t>
    </rPh>
    <rPh sb="3" eb="6">
      <t>クイキガイ</t>
    </rPh>
    <rPh sb="6" eb="9">
      <t>セイビヒ</t>
    </rPh>
    <phoneticPr fontId="31"/>
  </si>
  <si>
    <t>建設利息</t>
    <rPh sb="0" eb="2">
      <t>ケンセツ</t>
    </rPh>
    <rPh sb="2" eb="4">
      <t>リソク</t>
    </rPh>
    <phoneticPr fontId="31"/>
  </si>
  <si>
    <t>諸設備新設改良費</t>
    <rPh sb="0" eb="1">
      <t>ショ</t>
    </rPh>
    <rPh sb="1" eb="3">
      <t>セツビ</t>
    </rPh>
    <rPh sb="3" eb="5">
      <t>シンセツ</t>
    </rPh>
    <rPh sb="5" eb="7">
      <t>カイリョウ</t>
    </rPh>
    <rPh sb="7" eb="8">
      <t>ヒ</t>
    </rPh>
    <phoneticPr fontId="31"/>
  </si>
  <si>
    <t>流域下水道整備費</t>
    <rPh sb="0" eb="2">
      <t>リュウイキ</t>
    </rPh>
    <rPh sb="2" eb="5">
      <t>ゲスイドウ</t>
    </rPh>
    <rPh sb="5" eb="8">
      <t>セイビヒ</t>
    </rPh>
    <phoneticPr fontId="31"/>
  </si>
  <si>
    <t>都市下水路整備費</t>
    <rPh sb="0" eb="2">
      <t>トシ</t>
    </rPh>
    <rPh sb="2" eb="4">
      <t>ゲスイ</t>
    </rPh>
    <rPh sb="4" eb="5">
      <t>ロ</t>
    </rPh>
    <rPh sb="5" eb="8">
      <t>セイビヒ</t>
    </rPh>
    <phoneticPr fontId="31"/>
  </si>
  <si>
    <t>排水設備整備費</t>
    <rPh sb="0" eb="2">
      <t>ハイスイ</t>
    </rPh>
    <rPh sb="2" eb="4">
      <t>セツビ</t>
    </rPh>
    <rPh sb="4" eb="7">
      <t>セイビヒ</t>
    </rPh>
    <phoneticPr fontId="31"/>
  </si>
  <si>
    <t>受益者負担金業務費</t>
    <rPh sb="0" eb="3">
      <t>ジュエキシャ</t>
    </rPh>
    <rPh sb="3" eb="6">
      <t>フタンキン</t>
    </rPh>
    <rPh sb="6" eb="8">
      <t>ギョウム</t>
    </rPh>
    <rPh sb="8" eb="9">
      <t>ヒ</t>
    </rPh>
    <phoneticPr fontId="31"/>
  </si>
  <si>
    <t>公共下水道整備費</t>
    <rPh sb="0" eb="2">
      <t>コウキョウ</t>
    </rPh>
    <rPh sb="2" eb="5">
      <t>ゲスイドウ</t>
    </rPh>
    <rPh sb="5" eb="8">
      <t>セイビヒ</t>
    </rPh>
    <phoneticPr fontId="31"/>
  </si>
  <si>
    <t>建設改良費</t>
    <rPh sb="0" eb="2">
      <t>ケンセツ</t>
    </rPh>
    <rPh sb="2" eb="4">
      <t>カイリョウ</t>
    </rPh>
    <rPh sb="4" eb="5">
      <t>ヒ</t>
    </rPh>
    <phoneticPr fontId="31"/>
  </si>
  <si>
    <t>４条仮払消費税</t>
    <rPh sb="1" eb="2">
      <t>３ジョウ</t>
    </rPh>
    <rPh sb="2" eb="3">
      <t>カリ</t>
    </rPh>
    <rPh sb="3" eb="4">
      <t>ハラ</t>
    </rPh>
    <rPh sb="4" eb="7">
      <t>ショウヒゼイ</t>
    </rPh>
    <phoneticPr fontId="31"/>
  </si>
  <si>
    <t>債券償還収入</t>
    <rPh sb="0" eb="2">
      <t>サイケン</t>
    </rPh>
    <rPh sb="2" eb="4">
      <t>ショウカン</t>
    </rPh>
    <rPh sb="4" eb="6">
      <t>シュウニュウ</t>
    </rPh>
    <phoneticPr fontId="31"/>
  </si>
  <si>
    <t>その他資本的収入</t>
    <rPh sb="0" eb="3">
      <t>ソノタ</t>
    </rPh>
    <rPh sb="3" eb="6">
      <t>シホンテキ</t>
    </rPh>
    <rPh sb="6" eb="8">
      <t>シュウニュウ</t>
    </rPh>
    <phoneticPr fontId="31"/>
  </si>
  <si>
    <t>土地売却代金</t>
    <rPh sb="0" eb="2">
      <t>トチ</t>
    </rPh>
    <rPh sb="2" eb="4">
      <t>バイキャク</t>
    </rPh>
    <rPh sb="4" eb="6">
      <t>ダイキン</t>
    </rPh>
    <phoneticPr fontId="31"/>
  </si>
  <si>
    <t>固定資産売却代金</t>
    <rPh sb="0" eb="2">
      <t>コテイ</t>
    </rPh>
    <rPh sb="2" eb="4">
      <t>シサン</t>
    </rPh>
    <rPh sb="4" eb="6">
      <t>バイキャク</t>
    </rPh>
    <rPh sb="6" eb="8">
      <t>ダイキン</t>
    </rPh>
    <phoneticPr fontId="31"/>
  </si>
  <si>
    <t>貸付金回収金</t>
    <rPh sb="0" eb="2">
      <t>カシツケ</t>
    </rPh>
    <rPh sb="2" eb="3">
      <t>キン</t>
    </rPh>
    <rPh sb="3" eb="5">
      <t>カイシュウ</t>
    </rPh>
    <rPh sb="5" eb="6">
      <t>キン</t>
    </rPh>
    <phoneticPr fontId="31"/>
  </si>
  <si>
    <t>一般会計借入金</t>
    <rPh sb="0" eb="2">
      <t>イッパン</t>
    </rPh>
    <rPh sb="2" eb="4">
      <t>カイケイ</t>
    </rPh>
    <rPh sb="4" eb="6">
      <t>カリイレ</t>
    </rPh>
    <rPh sb="6" eb="7">
      <t>キン</t>
    </rPh>
    <phoneticPr fontId="31"/>
  </si>
  <si>
    <t>貸付企業債</t>
    <rPh sb="0" eb="2">
      <t>カシツケ</t>
    </rPh>
    <rPh sb="2" eb="4">
      <t>キギョウ</t>
    </rPh>
    <rPh sb="4" eb="5">
      <t>サイ</t>
    </rPh>
    <phoneticPr fontId="31"/>
  </si>
  <si>
    <t>水洗化貸付事業収入</t>
    <rPh sb="0" eb="3">
      <t>スイセンカ</t>
    </rPh>
    <rPh sb="3" eb="5">
      <t>カシツケ</t>
    </rPh>
    <rPh sb="5" eb="7">
      <t>ジギョウ</t>
    </rPh>
    <rPh sb="7" eb="9">
      <t>シュウニュウ</t>
    </rPh>
    <phoneticPr fontId="31"/>
  </si>
  <si>
    <t>他会計負担金</t>
    <rPh sb="0" eb="1">
      <t>タカイ</t>
    </rPh>
    <rPh sb="1" eb="3">
      <t>カイケイ</t>
    </rPh>
    <rPh sb="3" eb="6">
      <t>フタンキン</t>
    </rPh>
    <phoneticPr fontId="31"/>
  </si>
  <si>
    <t>受益者分担金</t>
    <rPh sb="0" eb="3">
      <t>ジュエキシャ</t>
    </rPh>
    <phoneticPr fontId="31"/>
  </si>
  <si>
    <t>負担金</t>
    <rPh sb="0" eb="3">
      <t>フタンキン</t>
    </rPh>
    <phoneticPr fontId="31"/>
  </si>
  <si>
    <t>工事受託金</t>
    <rPh sb="0" eb="2">
      <t>コウジ</t>
    </rPh>
    <rPh sb="2" eb="4">
      <t>ジュタク</t>
    </rPh>
    <rPh sb="4" eb="5">
      <t>キン</t>
    </rPh>
    <phoneticPr fontId="31"/>
  </si>
  <si>
    <t>一般会計出資金</t>
    <rPh sb="0" eb="2">
      <t>イッパン</t>
    </rPh>
    <rPh sb="2" eb="4">
      <t>カイケイ</t>
    </rPh>
    <rPh sb="4" eb="7">
      <t>シュッシキン</t>
    </rPh>
    <phoneticPr fontId="31"/>
  </si>
  <si>
    <t>借換債</t>
    <rPh sb="0" eb="2">
      <t>カリカエ</t>
    </rPh>
    <rPh sb="2" eb="3">
      <t>サイ</t>
    </rPh>
    <phoneticPr fontId="31"/>
  </si>
  <si>
    <t>建設企業債</t>
    <rPh sb="0" eb="2">
      <t>ケンセツ</t>
    </rPh>
    <rPh sb="2" eb="4">
      <t>キギョウ</t>
    </rPh>
    <rPh sb="4" eb="5">
      <t>サイ</t>
    </rPh>
    <phoneticPr fontId="31"/>
  </si>
  <si>
    <t>企業債</t>
    <rPh sb="0" eb="2">
      <t>キギョウ</t>
    </rPh>
    <rPh sb="2" eb="3">
      <t>サイ</t>
    </rPh>
    <phoneticPr fontId="31"/>
  </si>
  <si>
    <t>４条仮受消費税</t>
    <rPh sb="1" eb="2">
      <t>３ジョウ</t>
    </rPh>
    <rPh sb="2" eb="3">
      <t>カリ</t>
    </rPh>
    <rPh sb="3" eb="4">
      <t>ウケ</t>
    </rPh>
    <rPh sb="4" eb="7">
      <t>ショウヒゼイ</t>
    </rPh>
    <phoneticPr fontId="31"/>
  </si>
  <si>
    <t>予備費</t>
    <rPh sb="0" eb="3">
      <t>ヨビヒ</t>
    </rPh>
    <phoneticPr fontId="31"/>
  </si>
  <si>
    <t>その他特別損失</t>
    <rPh sb="0" eb="3">
      <t>ソノタ</t>
    </rPh>
    <rPh sb="3" eb="5">
      <t>トクベツ</t>
    </rPh>
    <rPh sb="5" eb="7">
      <t>ソンシツ</t>
    </rPh>
    <phoneticPr fontId="31"/>
  </si>
  <si>
    <t>過年度損益修正損</t>
    <rPh sb="0" eb="3">
      <t>カネンド</t>
    </rPh>
    <rPh sb="3" eb="5">
      <t>ソンエキ</t>
    </rPh>
    <rPh sb="5" eb="7">
      <t>シュウセイ</t>
    </rPh>
    <rPh sb="7" eb="8">
      <t>ソン</t>
    </rPh>
    <phoneticPr fontId="31"/>
  </si>
  <si>
    <t>特別損失</t>
    <rPh sb="0" eb="2">
      <t>トクベツ</t>
    </rPh>
    <rPh sb="2" eb="4">
      <t>ソンシツ</t>
    </rPh>
    <phoneticPr fontId="31"/>
  </si>
  <si>
    <t>雑支出</t>
    <rPh sb="0" eb="1">
      <t>ザツ</t>
    </rPh>
    <rPh sb="1" eb="3">
      <t>シシュツ</t>
    </rPh>
    <phoneticPr fontId="31"/>
  </si>
  <si>
    <t>消費税</t>
    <rPh sb="0" eb="3">
      <t>ショウヒゼイ</t>
    </rPh>
    <phoneticPr fontId="31"/>
  </si>
  <si>
    <t>繰延勘定償却</t>
    <rPh sb="0" eb="2">
      <t>クリノベ</t>
    </rPh>
    <rPh sb="2" eb="4">
      <t>カンジョウ</t>
    </rPh>
    <rPh sb="4" eb="6">
      <t>ショウキャク</t>
    </rPh>
    <phoneticPr fontId="31"/>
  </si>
  <si>
    <t>支払利息及び諸費</t>
    <rPh sb="0" eb="2">
      <t>シハライ</t>
    </rPh>
    <rPh sb="2" eb="4">
      <t>リソク</t>
    </rPh>
    <rPh sb="4" eb="5">
      <t>オヨ</t>
    </rPh>
    <rPh sb="6" eb="8">
      <t>ショヒ</t>
    </rPh>
    <phoneticPr fontId="31"/>
  </si>
  <si>
    <t>営業外費用</t>
    <rPh sb="0" eb="3">
      <t>エイギョウガイ</t>
    </rPh>
    <rPh sb="3" eb="5">
      <t>ヒヨウ</t>
    </rPh>
    <phoneticPr fontId="31"/>
  </si>
  <si>
    <t>資産減耗費</t>
    <rPh sb="0" eb="2">
      <t>シサン</t>
    </rPh>
    <rPh sb="2" eb="4">
      <t>ゲンモウ</t>
    </rPh>
    <rPh sb="4" eb="5">
      <t>ヒ</t>
    </rPh>
    <phoneticPr fontId="31"/>
  </si>
  <si>
    <t>減価償却費</t>
    <rPh sb="0" eb="2">
      <t>ゲンカ</t>
    </rPh>
    <rPh sb="2" eb="4">
      <t>ショウキャク</t>
    </rPh>
    <rPh sb="4" eb="5">
      <t>ヒ</t>
    </rPh>
    <phoneticPr fontId="31"/>
  </si>
  <si>
    <t>災害復旧費</t>
    <rPh sb="0" eb="2">
      <t>サイガイ</t>
    </rPh>
    <rPh sb="2" eb="4">
      <t>フッキュウ</t>
    </rPh>
    <rPh sb="4" eb="5">
      <t>ヒ</t>
    </rPh>
    <phoneticPr fontId="31"/>
  </si>
  <si>
    <t>浄化槽費</t>
    <rPh sb="0" eb="3">
      <t>ジョウカソウ</t>
    </rPh>
    <rPh sb="3" eb="4">
      <t>ヒ</t>
    </rPh>
    <phoneticPr fontId="31"/>
  </si>
  <si>
    <t>農集費</t>
    <rPh sb="0" eb="1">
      <t>ノウ</t>
    </rPh>
    <rPh sb="1" eb="2">
      <t>シュウ</t>
    </rPh>
    <rPh sb="2" eb="3">
      <t>ヒ</t>
    </rPh>
    <phoneticPr fontId="31"/>
  </si>
  <si>
    <t>特環費</t>
    <rPh sb="0" eb="2">
      <t>トッカン</t>
    </rPh>
    <rPh sb="2" eb="3">
      <t>ヒ</t>
    </rPh>
    <phoneticPr fontId="31"/>
  </si>
  <si>
    <t>総係費</t>
    <rPh sb="0" eb="1">
      <t>ソウ</t>
    </rPh>
    <rPh sb="1" eb="2">
      <t>カカリ</t>
    </rPh>
    <rPh sb="2" eb="3">
      <t>ヒ</t>
    </rPh>
    <phoneticPr fontId="31"/>
  </si>
  <si>
    <t>業務費</t>
    <rPh sb="0" eb="2">
      <t>ギョウム</t>
    </rPh>
    <rPh sb="2" eb="3">
      <t>ヒ</t>
    </rPh>
    <phoneticPr fontId="31"/>
  </si>
  <si>
    <t>普及促進費</t>
    <rPh sb="0" eb="2">
      <t>フキュウ</t>
    </rPh>
    <rPh sb="2" eb="5">
      <t>ソクシンヒ</t>
    </rPh>
    <phoneticPr fontId="31"/>
  </si>
  <si>
    <t>受託工事費</t>
  </si>
  <si>
    <t>処理場費</t>
    <rPh sb="0" eb="3">
      <t>ショリジョウ</t>
    </rPh>
    <rPh sb="3" eb="4">
      <t>ヒ</t>
    </rPh>
    <phoneticPr fontId="31"/>
  </si>
  <si>
    <t>ポンプ場費</t>
    <rPh sb="3" eb="4">
      <t>ジョウ</t>
    </rPh>
    <rPh sb="4" eb="5">
      <t>ヒ</t>
    </rPh>
    <phoneticPr fontId="31"/>
  </si>
  <si>
    <t>水質指導費</t>
    <rPh sb="0" eb="2">
      <t>スイシツ</t>
    </rPh>
    <rPh sb="2" eb="4">
      <t>シドウ</t>
    </rPh>
    <rPh sb="4" eb="5">
      <t>ヒ</t>
    </rPh>
    <phoneticPr fontId="31"/>
  </si>
  <si>
    <t>管きょ費</t>
    <rPh sb="3" eb="4">
      <t>ヒ</t>
    </rPh>
    <phoneticPr fontId="31"/>
  </si>
  <si>
    <t>営業費用</t>
    <rPh sb="0" eb="2">
      <t>エイギョウ</t>
    </rPh>
    <rPh sb="2" eb="4">
      <t>ヒヨウ</t>
    </rPh>
    <phoneticPr fontId="31"/>
  </si>
  <si>
    <t>３条仮払消費税</t>
    <rPh sb="0" eb="2">
      <t>３ジョウ</t>
    </rPh>
    <rPh sb="2" eb="3">
      <t>カリ</t>
    </rPh>
    <rPh sb="3" eb="4">
      <t>ハラ</t>
    </rPh>
    <rPh sb="4" eb="7">
      <t>ショウヒゼイ</t>
    </rPh>
    <phoneticPr fontId="31"/>
  </si>
  <si>
    <t>その他特別利益</t>
    <rPh sb="0" eb="3">
      <t>ソノタ</t>
    </rPh>
    <rPh sb="3" eb="5">
      <t>トクベツ</t>
    </rPh>
    <rPh sb="5" eb="7">
      <t>リエキ</t>
    </rPh>
    <phoneticPr fontId="31"/>
  </si>
  <si>
    <t>過年度損益修正益</t>
    <rPh sb="0" eb="3">
      <t>カネンド</t>
    </rPh>
    <rPh sb="3" eb="5">
      <t>ソンエキ</t>
    </rPh>
    <rPh sb="5" eb="7">
      <t>シュウセイ</t>
    </rPh>
    <rPh sb="7" eb="8">
      <t>エキ</t>
    </rPh>
    <phoneticPr fontId="31"/>
  </si>
  <si>
    <t>固定資産売却収益</t>
    <rPh sb="0" eb="2">
      <t>コテイ</t>
    </rPh>
    <rPh sb="2" eb="4">
      <t>シサン</t>
    </rPh>
    <rPh sb="4" eb="6">
      <t>バイキャク</t>
    </rPh>
    <rPh sb="6" eb="8">
      <t>シュウエキ</t>
    </rPh>
    <phoneticPr fontId="31"/>
  </si>
  <si>
    <t>特別利益</t>
    <rPh sb="0" eb="2">
      <t>トクベツ</t>
    </rPh>
    <rPh sb="2" eb="4">
      <t>リエキ</t>
    </rPh>
    <phoneticPr fontId="31"/>
  </si>
  <si>
    <t>雑収益</t>
    <rPh sb="0" eb="3">
      <t>ザツシュウエキ</t>
    </rPh>
    <phoneticPr fontId="31"/>
  </si>
  <si>
    <t>消費税還付金</t>
    <rPh sb="0" eb="3">
      <t>ショウヒゼイ</t>
    </rPh>
    <rPh sb="3" eb="6">
      <t>カンプキン</t>
    </rPh>
    <phoneticPr fontId="31"/>
  </si>
  <si>
    <t>一般会計補助金</t>
    <rPh sb="0" eb="2">
      <t>イッパン</t>
    </rPh>
    <rPh sb="2" eb="4">
      <t>カイケイ</t>
    </rPh>
    <rPh sb="4" eb="7">
      <t>ホジョキン</t>
    </rPh>
    <phoneticPr fontId="31"/>
  </si>
  <si>
    <t>受取利息</t>
    <rPh sb="0" eb="2">
      <t>ウケトリ</t>
    </rPh>
    <rPh sb="2" eb="4">
      <t>リソク</t>
    </rPh>
    <phoneticPr fontId="31"/>
  </si>
  <si>
    <t>営業外収益</t>
    <rPh sb="0" eb="3">
      <t>エイギョウガイ</t>
    </rPh>
    <rPh sb="3" eb="5">
      <t>シュウエキ</t>
    </rPh>
    <phoneticPr fontId="31"/>
  </si>
  <si>
    <t>その他営業収益</t>
    <rPh sb="0" eb="3">
      <t>ソノタ</t>
    </rPh>
    <rPh sb="3" eb="5">
      <t>エイギョウ</t>
    </rPh>
    <rPh sb="5" eb="7">
      <t>シュウエキ</t>
    </rPh>
    <phoneticPr fontId="31"/>
  </si>
  <si>
    <t>受託工事収益</t>
    <rPh sb="0" eb="2">
      <t>ジュタク</t>
    </rPh>
    <rPh sb="2" eb="4">
      <t>コウジ</t>
    </rPh>
    <rPh sb="4" eb="6">
      <t>シュウエキ</t>
    </rPh>
    <phoneticPr fontId="31"/>
  </si>
  <si>
    <t>一般会計負担金</t>
    <rPh sb="0" eb="2">
      <t>イッパン</t>
    </rPh>
    <rPh sb="2" eb="4">
      <t>カイケイ</t>
    </rPh>
    <rPh sb="4" eb="7">
      <t>フタンキン</t>
    </rPh>
    <phoneticPr fontId="31"/>
  </si>
  <si>
    <t>下水道使用料</t>
    <rPh sb="0" eb="3">
      <t>ゲスイドウ</t>
    </rPh>
    <rPh sb="3" eb="5">
      <t>シヨウ</t>
    </rPh>
    <rPh sb="5" eb="6">
      <t>リョウ</t>
    </rPh>
    <phoneticPr fontId="31"/>
  </si>
  <si>
    <t>営業収益</t>
    <rPh sb="0" eb="2">
      <t>エイギョウ</t>
    </rPh>
    <rPh sb="2" eb="4">
      <t>シュウエキ</t>
    </rPh>
    <phoneticPr fontId="31"/>
  </si>
  <si>
    <t>３条仮受消費税</t>
    <rPh sb="0" eb="2">
      <t>３ジョウ</t>
    </rPh>
    <rPh sb="2" eb="3">
      <t>カリ</t>
    </rPh>
    <rPh sb="3" eb="4">
      <t>ウケ</t>
    </rPh>
    <rPh sb="4" eb="7">
      <t>ショウヒゼイ</t>
    </rPh>
    <phoneticPr fontId="31"/>
  </si>
  <si>
    <t>消費税額（ａ－ｂ）</t>
    <rPh sb="0" eb="3">
      <t>ショウヒゼイ</t>
    </rPh>
    <rPh sb="3" eb="4">
      <t>ガク</t>
    </rPh>
    <phoneticPr fontId="31"/>
  </si>
  <si>
    <t>税　　抜　（ｂ）</t>
    <rPh sb="0" eb="1">
      <t>ゼイ</t>
    </rPh>
    <rPh sb="3" eb="4">
      <t>ヌ</t>
    </rPh>
    <phoneticPr fontId="31"/>
  </si>
  <si>
    <t>税　　込　（ａ）</t>
    <rPh sb="0" eb="4">
      <t>ゼイコミ</t>
    </rPh>
    <phoneticPr fontId="31"/>
  </si>
  <si>
    <t>平成１３年度決算見込</t>
    <rPh sb="0" eb="6">
      <t>ヘイセイ１１ネンド</t>
    </rPh>
    <rPh sb="6" eb="8">
      <t>ケッサン</t>
    </rPh>
    <rPh sb="8" eb="10">
      <t>ミコミ</t>
    </rPh>
    <phoneticPr fontId="31"/>
  </si>
  <si>
    <t>区分</t>
    <rPh sb="0" eb="2">
      <t>クブン</t>
    </rPh>
    <phoneticPr fontId="31"/>
  </si>
  <si>
    <t>（単位：千円）</t>
    <rPh sb="1" eb="3">
      <t>タンイ</t>
    </rPh>
    <rPh sb="4" eb="6">
      <t>センエン</t>
    </rPh>
    <phoneticPr fontId="31"/>
  </si>
  <si>
    <t>(単位：円)</t>
    <rPh sb="1" eb="3">
      <t>タンイ</t>
    </rPh>
    <rPh sb="4" eb="5">
      <t>エン</t>
    </rPh>
    <phoneticPr fontId="31"/>
  </si>
  <si>
    <t>計</t>
    <rPh sb="0" eb="1">
      <t>ケイ</t>
    </rPh>
    <phoneticPr fontId="31"/>
  </si>
  <si>
    <t>未払消費税納付金</t>
    <rPh sb="0" eb="1">
      <t>ミ</t>
    </rPh>
    <rPh sb="1" eb="2">
      <t>バライ</t>
    </rPh>
    <rPh sb="2" eb="5">
      <t>ショウヒゼイ</t>
    </rPh>
    <rPh sb="5" eb="8">
      <t>ノウフキン</t>
    </rPh>
    <phoneticPr fontId="31"/>
  </si>
  <si>
    <t>資本剰余金</t>
    <rPh sb="0" eb="2">
      <t>シホン</t>
    </rPh>
    <rPh sb="2" eb="5">
      <t>ジョウヨキン</t>
    </rPh>
    <phoneticPr fontId="31"/>
  </si>
  <si>
    <t>雑収益</t>
    <rPh sb="0" eb="1">
      <t>ザツ</t>
    </rPh>
    <rPh sb="1" eb="3">
      <t>シュウエキ</t>
    </rPh>
    <phoneticPr fontId="4"/>
  </si>
  <si>
    <t>仮払消費税</t>
    <rPh sb="0" eb="1">
      <t>カリ</t>
    </rPh>
    <rPh sb="1" eb="2">
      <t>ハラ</t>
    </rPh>
    <rPh sb="2" eb="5">
      <t>ショウヒゼイ</t>
    </rPh>
    <phoneticPr fontId="31"/>
  </si>
  <si>
    <t>仮受消費税</t>
    <rPh sb="0" eb="1">
      <t>カリ</t>
    </rPh>
    <rPh sb="1" eb="2">
      <t>ウケ</t>
    </rPh>
    <rPh sb="2" eb="5">
      <t>ショウヒゼイ</t>
    </rPh>
    <phoneticPr fontId="31"/>
  </si>
  <si>
    <t>貸　方</t>
    <rPh sb="0" eb="3">
      <t>カシカタ</t>
    </rPh>
    <phoneticPr fontId="31"/>
  </si>
  <si>
    <t>借　方</t>
    <rPh sb="0" eb="3">
      <t>カリカタ</t>
    </rPh>
    <phoneticPr fontId="31"/>
  </si>
  <si>
    <t>区　　　　分</t>
    <rPh sb="0" eb="6">
      <t>クブン</t>
    </rPh>
    <phoneticPr fontId="31"/>
  </si>
  <si>
    <t>合計</t>
    <rPh sb="0" eb="2">
      <t>ゴウケイ</t>
    </rPh>
    <phoneticPr fontId="31"/>
  </si>
  <si>
    <t>雑収益</t>
    <rPh sb="0" eb="1">
      <t>ザツ</t>
    </rPh>
    <phoneticPr fontId="31"/>
  </si>
  <si>
    <t>特定資金公共事業債</t>
    <rPh sb="0" eb="2">
      <t>トクテイ</t>
    </rPh>
    <rPh sb="2" eb="4">
      <t>シキン</t>
    </rPh>
    <rPh sb="4" eb="6">
      <t>コウキョウ</t>
    </rPh>
    <rPh sb="6" eb="8">
      <t>ジギョウ</t>
    </rPh>
    <rPh sb="8" eb="9">
      <t>サイ</t>
    </rPh>
    <phoneticPr fontId="31"/>
  </si>
  <si>
    <t>特定収入仮払消費税</t>
    <rPh sb="0" eb="2">
      <t>トクテイ</t>
    </rPh>
    <rPh sb="2" eb="4">
      <t>シュウニュウ</t>
    </rPh>
    <rPh sb="4" eb="6">
      <t>カリバライ</t>
    </rPh>
    <rPh sb="6" eb="9">
      <t>ショウヒゼイ</t>
    </rPh>
    <phoneticPr fontId="31"/>
  </si>
  <si>
    <t>都市下水路整備費</t>
    <rPh sb="0" eb="2">
      <t>トシ</t>
    </rPh>
    <rPh sb="2" eb="3">
      <t>ゲ</t>
    </rPh>
    <rPh sb="3" eb="5">
      <t>スイロ</t>
    </rPh>
    <rPh sb="5" eb="8">
      <t>セイビヒ</t>
    </rPh>
    <phoneticPr fontId="31"/>
  </si>
  <si>
    <t>受益者負担業務費</t>
    <rPh sb="0" eb="3">
      <t>ジュエキシャ</t>
    </rPh>
    <rPh sb="3" eb="5">
      <t>フタン</t>
    </rPh>
    <rPh sb="5" eb="7">
      <t>ギョウム</t>
    </rPh>
    <rPh sb="7" eb="8">
      <t>ヒ</t>
    </rPh>
    <phoneticPr fontId="31"/>
  </si>
  <si>
    <t>その他特別損失</t>
    <rPh sb="2" eb="3">
      <t>タ</t>
    </rPh>
    <rPh sb="3" eb="5">
      <t>トクベツ</t>
    </rPh>
    <rPh sb="5" eb="7">
      <t>ソンシツ</t>
    </rPh>
    <phoneticPr fontId="31"/>
  </si>
  <si>
    <t>企業債手数料及び取扱費</t>
    <rPh sb="0" eb="2">
      <t>キギョウ</t>
    </rPh>
    <rPh sb="2" eb="3">
      <t>サイ</t>
    </rPh>
    <rPh sb="3" eb="6">
      <t>テスウリョウ</t>
    </rPh>
    <rPh sb="6" eb="7">
      <t>オヨ</t>
    </rPh>
    <rPh sb="8" eb="10">
      <t>トリアツカイ</t>
    </rPh>
    <rPh sb="10" eb="11">
      <t>ヒ</t>
    </rPh>
    <phoneticPr fontId="31"/>
  </si>
  <si>
    <t>固定資産撤去費</t>
    <rPh sb="0" eb="2">
      <t>コテイ</t>
    </rPh>
    <rPh sb="2" eb="4">
      <t>シサン</t>
    </rPh>
    <rPh sb="4" eb="7">
      <t>テッキョヒ</t>
    </rPh>
    <phoneticPr fontId="31"/>
  </si>
  <si>
    <t>農業集落排水費</t>
    <rPh sb="0" eb="2">
      <t>ノウギョウ</t>
    </rPh>
    <rPh sb="2" eb="4">
      <t>シュウラク</t>
    </rPh>
    <rPh sb="4" eb="6">
      <t>ハイスイ</t>
    </rPh>
    <rPh sb="6" eb="7">
      <t>ヒ</t>
    </rPh>
    <phoneticPr fontId="31"/>
  </si>
  <si>
    <t>特環公共下水道費</t>
    <rPh sb="0" eb="2">
      <t>トッカン</t>
    </rPh>
    <rPh sb="2" eb="4">
      <t>コウキョウ</t>
    </rPh>
    <rPh sb="4" eb="6">
      <t>ゲスイ</t>
    </rPh>
    <rPh sb="6" eb="7">
      <t>ドウ</t>
    </rPh>
    <rPh sb="7" eb="8">
      <t>ヒ</t>
    </rPh>
    <phoneticPr fontId="31"/>
  </si>
  <si>
    <t>管きょ費</t>
    <rPh sb="0" eb="1">
      <t>カン</t>
    </rPh>
    <rPh sb="3" eb="4">
      <t>ヒ</t>
    </rPh>
    <phoneticPr fontId="31"/>
  </si>
  <si>
    <t>仮払消費税</t>
    <rPh sb="0" eb="2">
      <t>カリバライ</t>
    </rPh>
    <rPh sb="2" eb="5">
      <t>ショウヒゼイ</t>
    </rPh>
    <phoneticPr fontId="31"/>
  </si>
  <si>
    <t>資本的収入</t>
    <rPh sb="0" eb="3">
      <t>シホンテキ</t>
    </rPh>
    <rPh sb="3" eb="5">
      <t>シュウニュウ</t>
    </rPh>
    <phoneticPr fontId="31"/>
  </si>
  <si>
    <t>仮受消費税</t>
    <rPh sb="0" eb="2">
      <t>カリウケ</t>
    </rPh>
    <rPh sb="2" eb="5">
      <t>ショウヒゼイ</t>
    </rPh>
    <phoneticPr fontId="31"/>
  </si>
  <si>
    <t>下水道事業収益</t>
    <rPh sb="0" eb="3">
      <t>ゲスイドウ</t>
    </rPh>
    <rPh sb="3" eb="5">
      <t>ジギョウ</t>
    </rPh>
    <rPh sb="5" eb="7">
      <t>シュウエキ</t>
    </rPh>
    <phoneticPr fontId="31"/>
  </si>
  <si>
    <t>収益的支出に係る控除できない仕入税額の振替</t>
    <rPh sb="0" eb="3">
      <t>シュウエキテキ</t>
    </rPh>
    <rPh sb="3" eb="5">
      <t>シシュツ</t>
    </rPh>
    <rPh sb="6" eb="7">
      <t>カカ</t>
    </rPh>
    <rPh sb="8" eb="10">
      <t>コウジョ</t>
    </rPh>
    <rPh sb="14" eb="16">
      <t>シイレ</t>
    </rPh>
    <rPh sb="16" eb="18">
      <t>ゼイガク</t>
    </rPh>
    <rPh sb="19" eb="21">
      <t>フリカエ</t>
    </rPh>
    <phoneticPr fontId="31"/>
  </si>
  <si>
    <t>収益的支出に係る返還等対価、貸倒れに係る税額の振替</t>
    <rPh sb="0" eb="3">
      <t>シュウエキテキ</t>
    </rPh>
    <rPh sb="3" eb="5">
      <t>シシュツ</t>
    </rPh>
    <rPh sb="6" eb="7">
      <t>カカ</t>
    </rPh>
    <rPh sb="8" eb="10">
      <t>ヘンカン</t>
    </rPh>
    <rPh sb="10" eb="11">
      <t>トウ</t>
    </rPh>
    <rPh sb="11" eb="13">
      <t>タイカ</t>
    </rPh>
    <rPh sb="14" eb="15">
      <t>カシ</t>
    </rPh>
    <rPh sb="15" eb="16">
      <t>ダオ</t>
    </rPh>
    <rPh sb="18" eb="19">
      <t>カカ</t>
    </rPh>
    <rPh sb="20" eb="22">
      <t>ゼイガク</t>
    </rPh>
    <rPh sb="21" eb="22">
      <t>ガク</t>
    </rPh>
    <rPh sb="23" eb="25">
      <t>フリカ</t>
    </rPh>
    <phoneticPr fontId="31"/>
  </si>
  <si>
    <t>資本的支出に係る控除できない仕入税額の圧縮記帳</t>
    <rPh sb="0" eb="3">
      <t>シホンテキ</t>
    </rPh>
    <rPh sb="3" eb="5">
      <t>シシュツ</t>
    </rPh>
    <rPh sb="6" eb="7">
      <t>カカ</t>
    </rPh>
    <rPh sb="8" eb="10">
      <t>コウジョ</t>
    </rPh>
    <rPh sb="14" eb="16">
      <t>シイレ</t>
    </rPh>
    <rPh sb="16" eb="18">
      <t>ゼイガク</t>
    </rPh>
    <rPh sb="19" eb="21">
      <t>アッシュク</t>
    </rPh>
    <rPh sb="21" eb="23">
      <t>キチョウ</t>
    </rPh>
    <phoneticPr fontId="31"/>
  </si>
  <si>
    <t>資本的支出に係る控除できない仕入税額の振替</t>
    <rPh sb="0" eb="3">
      <t>シホンテキ</t>
    </rPh>
    <rPh sb="3" eb="5">
      <t>シシュツ</t>
    </rPh>
    <rPh sb="6" eb="7">
      <t>カカ</t>
    </rPh>
    <rPh sb="8" eb="10">
      <t>コウジョ</t>
    </rPh>
    <rPh sb="14" eb="16">
      <t>シイレ</t>
    </rPh>
    <rPh sb="16" eb="18">
      <t>ゼイガク</t>
    </rPh>
    <rPh sb="19" eb="21">
      <t>フリカエ</t>
    </rPh>
    <phoneticPr fontId="31"/>
  </si>
  <si>
    <t>仮払消費税の振替</t>
    <rPh sb="0" eb="2">
      <t>カリバライ</t>
    </rPh>
    <rPh sb="2" eb="5">
      <t>ショウヒゼイ</t>
    </rPh>
    <rPh sb="6" eb="8">
      <t>フリカエ</t>
    </rPh>
    <phoneticPr fontId="31"/>
  </si>
  <si>
    <t>資本的支出仮払消費税の振替</t>
    <rPh sb="0" eb="3">
      <t>シホンテキ</t>
    </rPh>
    <rPh sb="3" eb="5">
      <t>シシュツ</t>
    </rPh>
    <rPh sb="5" eb="7">
      <t>カリバライ</t>
    </rPh>
    <rPh sb="7" eb="10">
      <t>ショウヒゼイ</t>
    </rPh>
    <rPh sb="11" eb="13">
      <t>フリカエ</t>
    </rPh>
    <phoneticPr fontId="31"/>
  </si>
  <si>
    <t>収益的支出仮払消費税の振替</t>
    <rPh sb="0" eb="3">
      <t>シュウエキテキ</t>
    </rPh>
    <rPh sb="3" eb="5">
      <t>シシュツ</t>
    </rPh>
    <rPh sb="5" eb="7">
      <t>カリバライ</t>
    </rPh>
    <rPh sb="7" eb="10">
      <t>ショウヒゼイ</t>
    </rPh>
    <rPh sb="11" eb="13">
      <t>フリカエ</t>
    </rPh>
    <phoneticPr fontId="31"/>
  </si>
  <si>
    <t>資本的収入仮受消費税の振替</t>
    <rPh sb="0" eb="3">
      <t>シホンテキ</t>
    </rPh>
    <rPh sb="3" eb="5">
      <t>シュウニュウ</t>
    </rPh>
    <rPh sb="5" eb="7">
      <t>カリウケ</t>
    </rPh>
    <rPh sb="7" eb="10">
      <t>ショウヒゼイ</t>
    </rPh>
    <rPh sb="11" eb="13">
      <t>フリカエ</t>
    </rPh>
    <phoneticPr fontId="31"/>
  </si>
  <si>
    <t>収益的収入仮受消費税の振替</t>
    <rPh sb="0" eb="3">
      <t>シュウエキテキ</t>
    </rPh>
    <rPh sb="3" eb="5">
      <t>シュウニュウ</t>
    </rPh>
    <rPh sb="5" eb="7">
      <t>カリウケ</t>
    </rPh>
    <rPh sb="7" eb="10">
      <t>ショウヒゼイ</t>
    </rPh>
    <rPh sb="11" eb="13">
      <t>フリカエ</t>
    </rPh>
    <phoneticPr fontId="31"/>
  </si>
  <si>
    <t>残高</t>
    <rPh sb="0" eb="2">
      <t>ザンダカ</t>
    </rPh>
    <phoneticPr fontId="31"/>
  </si>
  <si>
    <t>金額</t>
    <rPh sb="0" eb="2">
      <t>キンガク</t>
    </rPh>
    <phoneticPr fontId="31"/>
  </si>
  <si>
    <t>科目</t>
    <rPh sb="0" eb="2">
      <t>カモク</t>
    </rPh>
    <phoneticPr fontId="31"/>
  </si>
  <si>
    <t>貸方</t>
    <rPh sb="0" eb="2">
      <t>カシカタ</t>
    </rPh>
    <phoneticPr fontId="31"/>
  </si>
  <si>
    <t>借方</t>
    <rPh sb="0" eb="2">
      <t>カリカタ</t>
    </rPh>
    <phoneticPr fontId="31"/>
  </si>
  <si>
    <t>課税仕入れに係る消費税額に、課税売上割合を乗じることにより控除できなくなった額</t>
    <rPh sb="14" eb="16">
      <t>カゼイ</t>
    </rPh>
    <rPh sb="16" eb="18">
      <t>ウリアゲ</t>
    </rPh>
    <rPh sb="18" eb="20">
      <t>ワリアイ</t>
    </rPh>
    <rPh sb="21" eb="22">
      <t>ジョウ</t>
    </rPh>
    <rPh sb="29" eb="31">
      <t>コウジョ</t>
    </rPh>
    <rPh sb="38" eb="39">
      <t>ガク</t>
    </rPh>
    <phoneticPr fontId="4"/>
  </si>
  <si>
    <t>課税売上割合を乗じることにより控除できなくなった額</t>
    <rPh sb="2" eb="4">
      <t>ウリアゲ</t>
    </rPh>
    <phoneticPr fontId="4"/>
  </si>
  <si>
    <t>雑収益計上額</t>
    <rPh sb="1" eb="3">
      <t>シュウエキ</t>
    </rPh>
    <rPh sb="3" eb="5">
      <t>ケイジョウ</t>
    </rPh>
    <phoneticPr fontId="4"/>
  </si>
  <si>
    <t>AM=P+AL-X</t>
    <phoneticPr fontId="4"/>
  </si>
  <si>
    <t>雨水（税込）</t>
    <rPh sb="0" eb="2">
      <t>ウスイ</t>
    </rPh>
    <rPh sb="3" eb="5">
      <t>ゼイコミ</t>
    </rPh>
    <phoneticPr fontId="21"/>
  </si>
  <si>
    <t>一般行政</t>
    <phoneticPr fontId="3"/>
  </si>
  <si>
    <t>一般行政</t>
    <phoneticPr fontId="3"/>
  </si>
  <si>
    <t>一般行政</t>
    <phoneticPr fontId="3"/>
  </si>
  <si>
    <t>収益的収支のみ+資本的収支のみの単純計</t>
    <rPh sb="8" eb="10">
      <t>シホン</t>
    </rPh>
    <rPh sb="16" eb="18">
      <t>タンジュン</t>
    </rPh>
    <rPh sb="18" eb="19">
      <t>ケイ</t>
    </rPh>
    <phoneticPr fontId="4"/>
  </si>
  <si>
    <t>収益的収支のみ</t>
    <phoneticPr fontId="4"/>
  </si>
  <si>
    <t>区域外消費税計算調整用→</t>
    <rPh sb="0" eb="3">
      <t>クイキガイ</t>
    </rPh>
    <rPh sb="3" eb="6">
      <t>ショウヒゼイ</t>
    </rPh>
    <rPh sb="6" eb="8">
      <t>ケイサン</t>
    </rPh>
    <rPh sb="8" eb="11">
      <t>チョウセイヨウ</t>
    </rPh>
    <phoneticPr fontId="4"/>
  </si>
  <si>
    <t>課税仕入れに係る消費税額+売上対価返還の税額　㋑</t>
    <rPh sb="0" eb="2">
      <t>カゼイ</t>
    </rPh>
    <rPh sb="2" eb="4">
      <t>シイ</t>
    </rPh>
    <rPh sb="6" eb="7">
      <t>カカ</t>
    </rPh>
    <rPh sb="8" eb="11">
      <t>ショウヒゼイ</t>
    </rPh>
    <rPh sb="11" eb="12">
      <t>ガク</t>
    </rPh>
    <rPh sb="13" eb="14">
      <t>ウ</t>
    </rPh>
    <rPh sb="14" eb="15">
      <t>ア</t>
    </rPh>
    <rPh sb="15" eb="17">
      <t>タイカ</t>
    </rPh>
    <rPh sb="17" eb="19">
      <t>ヘンカン</t>
    </rPh>
    <rPh sb="20" eb="22">
      <t>ゼイガク</t>
    </rPh>
    <rPh sb="21" eb="22">
      <t>ガク</t>
    </rPh>
    <phoneticPr fontId="4"/>
  </si>
  <si>
    <t>要調整額　㋐－㋑</t>
    <rPh sb="0" eb="1">
      <t>ヨウ</t>
    </rPh>
    <rPh sb="1" eb="3">
      <t>チョウセイ</t>
    </rPh>
    <rPh sb="3" eb="4">
      <t>ガク</t>
    </rPh>
    <phoneticPr fontId="4"/>
  </si>
  <si>
    <t>要調整額　㋒－㋓</t>
    <rPh sb="0" eb="1">
      <t>ヨウ</t>
    </rPh>
    <rPh sb="1" eb="3">
      <t>チョウセイ</t>
    </rPh>
    <rPh sb="3" eb="4">
      <t>ガク</t>
    </rPh>
    <phoneticPr fontId="4"/>
  </si>
  <si>
    <t>課税標準額に対する消費税額　㋓</t>
    <phoneticPr fontId="4"/>
  </si>
  <si>
    <t>課税仕入れ等に係る特定収入に係る消費税相当額　㋕</t>
    <phoneticPr fontId="4"/>
  </si>
  <si>
    <t>要調整額　㋔－㋕</t>
    <rPh sb="0" eb="1">
      <t>ヨウ</t>
    </rPh>
    <rPh sb="1" eb="3">
      <t>チョウセイ</t>
    </rPh>
    <rPh sb="3" eb="4">
      <t>ガク</t>
    </rPh>
    <phoneticPr fontId="4"/>
  </si>
  <si>
    <t>４条収入の仮受消費税額　㋒</t>
    <rPh sb="1" eb="2">
      <t>ジョウ</t>
    </rPh>
    <rPh sb="2" eb="4">
      <t>シュウニュウ</t>
    </rPh>
    <rPh sb="5" eb="7">
      <t>カリウケ</t>
    </rPh>
    <rPh sb="7" eb="10">
      <t>ショウヒゼイ</t>
    </rPh>
    <rPh sb="10" eb="11">
      <t>ガク</t>
    </rPh>
    <phoneticPr fontId="4"/>
  </si>
  <si>
    <t>３条収入、４条収入の特定収入に係る消費税額　㋔</t>
    <rPh sb="1" eb="2">
      <t>ジョウ</t>
    </rPh>
    <rPh sb="2" eb="4">
      <t>シュウニュウ</t>
    </rPh>
    <rPh sb="6" eb="7">
      <t>ジョウ</t>
    </rPh>
    <rPh sb="7" eb="9">
      <t>シュウニュウ</t>
    </rPh>
    <rPh sb="10" eb="12">
      <t>トクテイ</t>
    </rPh>
    <rPh sb="12" eb="14">
      <t>シュウニュウ</t>
    </rPh>
    <rPh sb="15" eb="16">
      <t>カカ</t>
    </rPh>
    <rPh sb="17" eb="20">
      <t>ショウヒゼイ</t>
    </rPh>
    <rPh sb="20" eb="21">
      <t>ガク</t>
    </rPh>
    <phoneticPr fontId="4"/>
  </si>
  <si>
    <t>調整額入力欄（Ｍの調整）</t>
    <rPh sb="0" eb="2">
      <t>チョウセイ</t>
    </rPh>
    <rPh sb="2" eb="3">
      <t>ガク</t>
    </rPh>
    <rPh sb="3" eb="5">
      <t>ニュウリョク</t>
    </rPh>
    <rPh sb="5" eb="6">
      <t>ラン</t>
    </rPh>
    <phoneticPr fontId="4"/>
  </si>
  <si>
    <t>調整額入力欄（Ｐの調整）</t>
    <rPh sb="0" eb="2">
      <t>チョウセイ</t>
    </rPh>
    <rPh sb="2" eb="3">
      <t>ガク</t>
    </rPh>
    <rPh sb="3" eb="5">
      <t>ニュウリョク</t>
    </rPh>
    <rPh sb="5" eb="6">
      <t>ラン</t>
    </rPh>
    <phoneticPr fontId="4"/>
  </si>
  <si>
    <t>調整額入力欄（Ｆの調整）</t>
    <rPh sb="0" eb="2">
      <t>チョウセイ</t>
    </rPh>
    <rPh sb="2" eb="3">
      <t>ガク</t>
    </rPh>
    <rPh sb="3" eb="5">
      <t>ニュウリョク</t>
    </rPh>
    <rPh sb="5" eb="6">
      <t>ラン</t>
    </rPh>
    <rPh sb="9" eb="11">
      <t>チョウセイ</t>
    </rPh>
    <phoneticPr fontId="4"/>
  </si>
  <si>
    <t>雨水（税抜）</t>
    <rPh sb="0" eb="2">
      <t>ウスイ</t>
    </rPh>
    <phoneticPr fontId="21"/>
  </si>
  <si>
    <t>汚水（税抜）</t>
    <rPh sb="0" eb="2">
      <t>オスイ</t>
    </rPh>
    <phoneticPr fontId="21"/>
  </si>
  <si>
    <t>３条支出、４条支出の仮払消費税額　㋐</t>
    <rPh sb="2" eb="4">
      <t>シシュツ</t>
    </rPh>
    <rPh sb="6" eb="7">
      <t>ジョウ</t>
    </rPh>
    <rPh sb="7" eb="9">
      <t>シシュツ</t>
    </rPh>
    <rPh sb="10" eb="12">
      <t>カリバラ</t>
    </rPh>
    <rPh sb="12" eb="15">
      <t>ショウヒゼイ</t>
    </rPh>
    <rPh sb="15" eb="16">
      <t>ガク</t>
    </rPh>
    <phoneticPr fontId="4"/>
  </si>
  <si>
    <t>4条圧縮シートの②　㋖</t>
    <rPh sb="1" eb="2">
      <t>ジョウ</t>
    </rPh>
    <rPh sb="2" eb="4">
      <t>アッシュク</t>
    </rPh>
    <phoneticPr fontId="4"/>
  </si>
  <si>
    <t>一括比例配分方式により控除する課税仕入れ等の税額　㋗</t>
    <rPh sb="0" eb="2">
      <t>イッカツ</t>
    </rPh>
    <rPh sb="2" eb="4">
      <t>ヒレイ</t>
    </rPh>
    <rPh sb="4" eb="6">
      <t>ハイブン</t>
    </rPh>
    <rPh sb="6" eb="8">
      <t>ホウシキ</t>
    </rPh>
    <rPh sb="11" eb="13">
      <t>コウジョ</t>
    </rPh>
    <rPh sb="15" eb="17">
      <t>カゼイ</t>
    </rPh>
    <rPh sb="17" eb="19">
      <t>シイ</t>
    </rPh>
    <rPh sb="20" eb="21">
      <t>トウ</t>
    </rPh>
    <rPh sb="22" eb="24">
      <t>ゼイガク</t>
    </rPh>
    <phoneticPr fontId="4"/>
  </si>
  <si>
    <t>要調整額　㋖－㋗</t>
    <rPh sb="0" eb="1">
      <t>ヨウ</t>
    </rPh>
    <rPh sb="1" eb="3">
      <t>チョウセイ</t>
    </rPh>
    <rPh sb="3" eb="4">
      <t>ガク</t>
    </rPh>
    <phoneticPr fontId="4"/>
  </si>
  <si>
    <t>調整額入力欄（Ｏの調整）</t>
    <rPh sb="0" eb="2">
      <t>チョウセイ</t>
    </rPh>
    <rPh sb="2" eb="3">
      <t>ガク</t>
    </rPh>
    <rPh sb="3" eb="5">
      <t>ニュウリョク</t>
    </rPh>
    <rPh sb="5" eb="6">
      <t>ラン</t>
    </rPh>
    <phoneticPr fontId="4"/>
  </si>
  <si>
    <t>4条圧縮シートの④　㋘</t>
    <rPh sb="1" eb="2">
      <t>ジョウ</t>
    </rPh>
    <rPh sb="2" eb="4">
      <t>アッシュク</t>
    </rPh>
    <phoneticPr fontId="4"/>
  </si>
  <si>
    <t>特定収入に係る課税仕入れ等の税額　㋙</t>
  </si>
  <si>
    <t>要調整額　㋘－㋙</t>
    <rPh sb="0" eb="1">
      <t>ヨウ</t>
    </rPh>
    <rPh sb="1" eb="3">
      <t>チョウセイ</t>
    </rPh>
    <rPh sb="3" eb="4">
      <t>ガク</t>
    </rPh>
    <phoneticPr fontId="4"/>
  </si>
  <si>
    <t>調整額入力欄（Ｒの調整）</t>
    <rPh sb="0" eb="2">
      <t>チョウセイ</t>
    </rPh>
    <rPh sb="2" eb="3">
      <t>ガク</t>
    </rPh>
    <rPh sb="3" eb="5">
      <t>ニュウリョク</t>
    </rPh>
    <rPh sb="5" eb="6">
      <t>ラン</t>
    </rPh>
    <phoneticPr fontId="4"/>
  </si>
  <si>
    <t>仕入対価の返還等の額（8%（軽））</t>
    <rPh sb="0" eb="2">
      <t>シイレ</t>
    </rPh>
    <rPh sb="2" eb="4">
      <t>タイカ</t>
    </rPh>
    <rPh sb="5" eb="7">
      <t>ヘンカン</t>
    </rPh>
    <rPh sb="7" eb="8">
      <t>トウ</t>
    </rPh>
    <rPh sb="9" eb="10">
      <t>ガク</t>
    </rPh>
    <rPh sb="14" eb="15">
      <t>ケイ</t>
    </rPh>
    <phoneticPr fontId="4"/>
  </si>
  <si>
    <t>8%（軽）適用部分</t>
    <rPh sb="3" eb="4">
      <t>ケイ</t>
    </rPh>
    <rPh sb="5" eb="7">
      <t>テキヨウ</t>
    </rPh>
    <rPh sb="7" eb="9">
      <t>ブブン</t>
    </rPh>
    <phoneticPr fontId="4"/>
  </si>
  <si>
    <t>売上対価の返還等の額（8%（軽））</t>
    <rPh sb="0" eb="2">
      <t>ウリアゲ</t>
    </rPh>
    <rPh sb="2" eb="4">
      <t>タイカ</t>
    </rPh>
    <rPh sb="5" eb="7">
      <t>ヘンカン</t>
    </rPh>
    <rPh sb="7" eb="8">
      <t>トウ</t>
    </rPh>
    <rPh sb="9" eb="10">
      <t>ガク</t>
    </rPh>
    <rPh sb="14" eb="15">
      <t>ケイ</t>
    </rPh>
    <phoneticPr fontId="4"/>
  </si>
  <si>
    <t>※　C×6.24/108</t>
    <phoneticPr fontId="4"/>
  </si>
  <si>
    <t>※　Y×6.24/108</t>
    <phoneticPr fontId="4"/>
  </si>
  <si>
    <t>※　E×6.24%</t>
    <phoneticPr fontId="4"/>
  </si>
  <si>
    <t>※　（K-L-B）×6.24/108　＜付表２の注３による計算＞</t>
    <rPh sb="20" eb="22">
      <t>フヒョウ</t>
    </rPh>
    <rPh sb="24" eb="25">
      <t>チュウ</t>
    </rPh>
    <rPh sb="29" eb="31">
      <t>ケイサン</t>
    </rPh>
    <phoneticPr fontId="4"/>
  </si>
  <si>
    <t>※　（K-L-B）×6.3/108　＜付表２の注３による計算＞</t>
    <rPh sb="19" eb="21">
      <t>フヒョウ</t>
    </rPh>
    <rPh sb="23" eb="24">
      <t>チュウ</t>
    </rPh>
    <rPh sb="28" eb="30">
      <t>ケイサン</t>
    </rPh>
    <phoneticPr fontId="4"/>
  </si>
  <si>
    <t>※　（K-L-B）×4/105　＜付表２の注３による計算＞</t>
    <rPh sb="17" eb="19">
      <t>フヒョウ</t>
    </rPh>
    <rPh sb="21" eb="22">
      <t>チュウ</t>
    </rPh>
    <rPh sb="26" eb="28">
      <t>ケイサン</t>
    </rPh>
    <phoneticPr fontId="4"/>
  </si>
  <si>
    <t>※　（K-L-B）×3/103　＜付表２の注３による計算＞</t>
    <rPh sb="17" eb="19">
      <t>フヒョウ</t>
    </rPh>
    <rPh sb="21" eb="22">
      <t>チュウ</t>
    </rPh>
    <rPh sb="26" eb="28">
      <t>ケイサン</t>
    </rPh>
    <phoneticPr fontId="4"/>
  </si>
  <si>
    <t>※　E×7.8%</t>
    <phoneticPr fontId="4"/>
  </si>
  <si>
    <t>F</t>
    <phoneticPr fontId="4"/>
  </si>
  <si>
    <t>※　（A－B－C）×100/110</t>
    <phoneticPr fontId="4"/>
  </si>
  <si>
    <t>E</t>
    <phoneticPr fontId="4"/>
  </si>
  <si>
    <t>※　（A－B）×100/110　　1,000円未満切捨</t>
    <phoneticPr fontId="4"/>
  </si>
  <si>
    <t>※　（K-L-B）×7.8/110　＜付表２の注３による計算＞</t>
    <rPh sb="19" eb="21">
      <t>フヒョウ</t>
    </rPh>
    <rPh sb="23" eb="24">
      <t>チュウ</t>
    </rPh>
    <rPh sb="28" eb="30">
      <t>ケイサン</t>
    </rPh>
    <phoneticPr fontId="4"/>
  </si>
  <si>
    <t>※　A×100/110</t>
    <phoneticPr fontId="4"/>
  </si>
  <si>
    <t>P</t>
    <phoneticPr fontId="4"/>
  </si>
  <si>
    <t>※　N×7.8/110</t>
    <phoneticPr fontId="4"/>
  </si>
  <si>
    <t>P</t>
    <phoneticPr fontId="4"/>
  </si>
  <si>
    <t>※　N×6.24/108</t>
    <phoneticPr fontId="4"/>
  </si>
  <si>
    <t>X</t>
    <phoneticPr fontId="4"/>
  </si>
  <si>
    <t>※　C×7.8/110</t>
    <phoneticPr fontId="4"/>
  </si>
  <si>
    <t>Z</t>
    <phoneticPr fontId="4"/>
  </si>
  <si>
    <t>※　Y×7.8/110</t>
    <phoneticPr fontId="4"/>
  </si>
  <si>
    <t>AE</t>
    <phoneticPr fontId="4"/>
  </si>
  <si>
    <t>売上対価の返還等の額（10%）</t>
    <phoneticPr fontId="4"/>
  </si>
  <si>
    <t>貸倒れに係る金額（10%）</t>
    <phoneticPr fontId="4"/>
  </si>
  <si>
    <t>仕入対価の返還等の額（8%軽）</t>
    <rPh sb="0" eb="2">
      <t>シイレ</t>
    </rPh>
    <rPh sb="2" eb="4">
      <t>タイカ</t>
    </rPh>
    <rPh sb="5" eb="7">
      <t>ヘンカン</t>
    </rPh>
    <rPh sb="7" eb="8">
      <t>トウ</t>
    </rPh>
    <rPh sb="9" eb="10">
      <t>ガク</t>
    </rPh>
    <rPh sb="13" eb="14">
      <t>ケイ</t>
    </rPh>
    <phoneticPr fontId="4"/>
  </si>
  <si>
    <t>売上対価の返還等の額（8%軽）</t>
    <rPh sb="13" eb="14">
      <t>ケイ</t>
    </rPh>
    <phoneticPr fontId="4"/>
  </si>
  <si>
    <t>申告納付額（実際の納付額）</t>
    <rPh sb="0" eb="2">
      <t>シンコク</t>
    </rPh>
    <rPh sb="2" eb="5">
      <t>ノウフガク</t>
    </rPh>
    <rPh sb="6" eb="8">
      <t>ジッサイ</t>
    </rPh>
    <rPh sb="9" eb="11">
      <t>ノウフ</t>
    </rPh>
    <rPh sb="11" eb="12">
      <t>ガク</t>
    </rPh>
    <phoneticPr fontId="4"/>
  </si>
  <si>
    <t>付表２⑨</t>
    <rPh sb="0" eb="2">
      <t>フヒョウ</t>
    </rPh>
    <phoneticPr fontId="4"/>
  </si>
  <si>
    <t>付表２⑩⑮</t>
    <rPh sb="0" eb="2">
      <t>フヒョウ</t>
    </rPh>
    <phoneticPr fontId="4"/>
  </si>
  <si>
    <t xml:space="preserve">付表２⑳
</t>
    <rPh sb="0" eb="2">
      <t>フヒョウ</t>
    </rPh>
    <phoneticPr fontId="4"/>
  </si>
  <si>
    <t>計算表５①</t>
    <phoneticPr fontId="4"/>
  </si>
  <si>
    <t>計算表５②</t>
    <phoneticPr fontId="4"/>
  </si>
  <si>
    <t>計算表５③</t>
    <phoneticPr fontId="4"/>
  </si>
  <si>
    <t>計算表５⑩</t>
    <phoneticPr fontId="4"/>
  </si>
  <si>
    <t>計算表５⑮</t>
    <phoneticPr fontId="4"/>
  </si>
  <si>
    <t>計算表５⑫</t>
    <phoneticPr fontId="4"/>
  </si>
  <si>
    <t>計算表５⑬</t>
    <phoneticPr fontId="4"/>
  </si>
  <si>
    <t>計算表５⑭</t>
    <phoneticPr fontId="4"/>
  </si>
  <si>
    <t>付表２㉑</t>
    <rPh sb="0" eb="2">
      <t>フヒョウ</t>
    </rPh>
    <phoneticPr fontId="4"/>
  </si>
  <si>
    <t>計算表５⑮</t>
    <phoneticPr fontId="4"/>
  </si>
  <si>
    <t xml:space="preserve">計算表５⑯
</t>
    <phoneticPr fontId="4"/>
  </si>
  <si>
    <t xml:space="preserve">計算表５⑯
</t>
    <phoneticPr fontId="4"/>
  </si>
  <si>
    <t>付表２㉔or㉕</t>
    <phoneticPr fontId="4"/>
  </si>
  <si>
    <t>付表１③or④</t>
    <phoneticPr fontId="4"/>
  </si>
  <si>
    <t>付表１③or④</t>
    <phoneticPr fontId="4"/>
  </si>
  <si>
    <t>計算表５①</t>
    <phoneticPr fontId="4"/>
  </si>
  <si>
    <t>計算表５⑮</t>
    <phoneticPr fontId="4"/>
  </si>
  <si>
    <t>計算表５⑫</t>
    <phoneticPr fontId="4"/>
  </si>
  <si>
    <t>計算表５⑬</t>
    <phoneticPr fontId="4"/>
  </si>
  <si>
    <t>計算表５⑭</t>
    <phoneticPr fontId="4"/>
  </si>
  <si>
    <t>計算表５⑩</t>
    <phoneticPr fontId="4"/>
  </si>
  <si>
    <t>計算表５⑮</t>
    <phoneticPr fontId="4"/>
  </si>
  <si>
    <t>計算表５⑬</t>
    <phoneticPr fontId="4"/>
  </si>
  <si>
    <t>計算表５①</t>
    <phoneticPr fontId="4"/>
  </si>
  <si>
    <t>付表１③or④</t>
    <phoneticPr fontId="4"/>
  </si>
  <si>
    <t>付表１⑧or⑨</t>
    <phoneticPr fontId="4"/>
  </si>
  <si>
    <t>付表１⑧or⑨</t>
    <phoneticPr fontId="4"/>
  </si>
  <si>
    <t>付表１⑭or⑮</t>
    <phoneticPr fontId="4"/>
  </si>
  <si>
    <t>付表１⑭or⑮</t>
    <phoneticPr fontId="4"/>
  </si>
  <si>
    <t>計算表５④</t>
    <phoneticPr fontId="4"/>
  </si>
  <si>
    <t>計算表５⑤</t>
    <phoneticPr fontId="4"/>
  </si>
  <si>
    <t>付表１②</t>
    <rPh sb="0" eb="2">
      <t>フヒョウ</t>
    </rPh>
    <phoneticPr fontId="4"/>
  </si>
  <si>
    <t>申告書②</t>
    <phoneticPr fontId="4"/>
  </si>
  <si>
    <t>付表２⑦</t>
    <rPh sb="0" eb="2">
      <t>フヒョウ</t>
    </rPh>
    <phoneticPr fontId="4"/>
  </si>
  <si>
    <t xml:space="preserve">申告書⑯
</t>
    <phoneticPr fontId="4"/>
  </si>
  <si>
    <t>付表２⑳</t>
    <rPh sb="0" eb="2">
      <t>フヒョウ</t>
    </rPh>
    <phoneticPr fontId="4"/>
  </si>
  <si>
    <t>付表２㉑</t>
    <phoneticPr fontId="4"/>
  </si>
  <si>
    <t xml:space="preserve">
付表１④
申告書④</t>
    <phoneticPr fontId="4"/>
  </si>
  <si>
    <t>Wが△の時は</t>
    <rPh sb="4" eb="5">
      <t>トキ</t>
    </rPh>
    <phoneticPr fontId="4"/>
  </si>
  <si>
    <t>※　F－AA　</t>
    <phoneticPr fontId="4"/>
  </si>
  <si>
    <t>※　F－AA　</t>
    <phoneticPr fontId="4"/>
  </si>
  <si>
    <t>※　AB×22/78</t>
    <phoneticPr fontId="4"/>
  </si>
  <si>
    <t>※　AB×25/100　</t>
    <phoneticPr fontId="4"/>
  </si>
  <si>
    <t>※　AB×17/63　</t>
    <phoneticPr fontId="4"/>
  </si>
  <si>
    <t>※　AB×22/78　</t>
    <phoneticPr fontId="4"/>
  </si>
  <si>
    <t>特環 工事負担金</t>
    <rPh sb="0" eb="2">
      <t>トッカン</t>
    </rPh>
    <rPh sb="3" eb="5">
      <t>コウジ</t>
    </rPh>
    <rPh sb="5" eb="8">
      <t>フタンキン</t>
    </rPh>
    <phoneticPr fontId="4"/>
  </si>
  <si>
    <t>農集 工事負担金</t>
    <rPh sb="0" eb="2">
      <t>ノウシュウ</t>
    </rPh>
    <rPh sb="3" eb="5">
      <t>コウジ</t>
    </rPh>
    <rPh sb="5" eb="8">
      <t>フタンキン</t>
    </rPh>
    <phoneticPr fontId="4"/>
  </si>
  <si>
    <t>浄化槽 工事負担金</t>
    <rPh sb="0" eb="3">
      <t>ジョウカソウ</t>
    </rPh>
    <rPh sb="4" eb="6">
      <t>コウジ</t>
    </rPh>
    <rPh sb="6" eb="9">
      <t>フタンキン</t>
    </rPh>
    <phoneticPr fontId="4"/>
  </si>
  <si>
    <t>　　　↑現在の決算作業では、計算式により消費税シートから値が飛ぶようになっているため不要</t>
    <rPh sb="4" eb="6">
      <t>ゲンザイ</t>
    </rPh>
    <rPh sb="7" eb="9">
      <t>ケッサン</t>
    </rPh>
    <rPh sb="9" eb="11">
      <t>サギョウ</t>
    </rPh>
    <rPh sb="14" eb="16">
      <t>ケイサン</t>
    </rPh>
    <rPh sb="16" eb="17">
      <t>シキ</t>
    </rPh>
    <rPh sb="20" eb="23">
      <t>ショウヒゼイ</t>
    </rPh>
    <rPh sb="28" eb="29">
      <t>アタイ</t>
    </rPh>
    <rPh sb="30" eb="31">
      <t>ト</t>
    </rPh>
    <rPh sb="42" eb="44">
      <t>フヨウ</t>
    </rPh>
    <phoneticPr fontId="4"/>
  </si>
  <si>
    <t>免税業者との取引額</t>
    <rPh sb="0" eb="2">
      <t>メンゼイ</t>
    </rPh>
    <rPh sb="2" eb="4">
      <t>ギョウシャ</t>
    </rPh>
    <rPh sb="6" eb="9">
      <t>トリヒキガク</t>
    </rPh>
    <phoneticPr fontId="4"/>
  </si>
  <si>
    <t>免税業者との取引額のうち控除できない税額</t>
    <rPh sb="0" eb="2">
      <t>メンゼイ</t>
    </rPh>
    <rPh sb="2" eb="4">
      <t>ギョウシャ</t>
    </rPh>
    <rPh sb="6" eb="9">
      <t>トリヒキガク</t>
    </rPh>
    <rPh sb="12" eb="14">
      <t>コウジョ</t>
    </rPh>
    <rPh sb="18" eb="20">
      <t>ゼイガク</t>
    </rPh>
    <phoneticPr fontId="4"/>
  </si>
  <si>
    <t>免税業者との取引額（税込）</t>
    <rPh sb="0" eb="2">
      <t>メンゼイ</t>
    </rPh>
    <rPh sb="2" eb="4">
      <t>ギョウシャ</t>
    </rPh>
    <rPh sb="6" eb="9">
      <t>トリヒキガク</t>
    </rPh>
    <phoneticPr fontId="4"/>
  </si>
  <si>
    <t>税控除できない額</t>
    <rPh sb="0" eb="3">
      <t>ゼイコウジョ</t>
    </rPh>
    <rPh sb="7" eb="8">
      <t>ガク</t>
    </rPh>
    <phoneticPr fontId="4"/>
  </si>
  <si>
    <t>免税業者以外との取引額</t>
    <rPh sb="0" eb="2">
      <t>メンゼイ</t>
    </rPh>
    <rPh sb="2" eb="4">
      <t>ギョウシャ</t>
    </rPh>
    <rPh sb="4" eb="6">
      <t>イガイ</t>
    </rPh>
    <rPh sb="8" eb="11">
      <t>トリヒキガク</t>
    </rPh>
    <phoneticPr fontId="4"/>
  </si>
  <si>
    <t>免税業者との取引額の税額</t>
    <rPh sb="0" eb="2">
      <t>メンゼイ</t>
    </rPh>
    <rPh sb="2" eb="4">
      <t>ギョウシャ</t>
    </rPh>
    <rPh sb="6" eb="9">
      <t>トリヒキガク</t>
    </rPh>
    <rPh sb="10" eb="12">
      <t>ゼイガク</t>
    </rPh>
    <phoneticPr fontId="4"/>
  </si>
  <si>
    <t>課税仕入れに係る消費税額</t>
    <rPh sb="0" eb="2">
      <t>カゼイ</t>
    </rPh>
    <rPh sb="2" eb="4">
      <t>シイ</t>
    </rPh>
    <rPh sb="6" eb="7">
      <t>カカ</t>
    </rPh>
    <rPh sb="8" eb="11">
      <t>ショウヒゼイ</t>
    </rPh>
    <rPh sb="11" eb="12">
      <t>ガク</t>
    </rPh>
    <phoneticPr fontId="4"/>
  </si>
  <si>
    <t>免税業者との取引額のうち控除できる税額</t>
    <rPh sb="0" eb="2">
      <t>メンゼイ</t>
    </rPh>
    <rPh sb="2" eb="4">
      <t>ギョウシャ</t>
    </rPh>
    <rPh sb="6" eb="9">
      <t>トリヒキガク</t>
    </rPh>
    <rPh sb="12" eb="14">
      <t>コウジョ</t>
    </rPh>
    <rPh sb="17" eb="19">
      <t>ゼイガク</t>
    </rPh>
    <phoneticPr fontId="4"/>
  </si>
  <si>
    <t>免税業者以外との取引額</t>
    <rPh sb="0" eb="2">
      <t>メンゼイ</t>
    </rPh>
    <rPh sb="2" eb="4">
      <t>ギョウシャ</t>
    </rPh>
    <rPh sb="4" eb="6">
      <t>イガイ</t>
    </rPh>
    <rPh sb="8" eb="11">
      <t>トリヒキガク</t>
    </rPh>
    <phoneticPr fontId="4"/>
  </si>
  <si>
    <t>免税業者以外との取引額の税額</t>
    <rPh sb="0" eb="2">
      <t>メンゼイ</t>
    </rPh>
    <rPh sb="2" eb="4">
      <t>ギョウシャ</t>
    </rPh>
    <rPh sb="4" eb="6">
      <t>イガイ</t>
    </rPh>
    <rPh sb="8" eb="11">
      <t>トリヒキガク</t>
    </rPh>
    <rPh sb="12" eb="14">
      <t>ゼイガク</t>
    </rPh>
    <phoneticPr fontId="4"/>
  </si>
  <si>
    <t>免税業者との取引額を税込額で入力</t>
    <rPh sb="0" eb="2">
      <t>メンゼイ</t>
    </rPh>
    <rPh sb="2" eb="4">
      <t>ギョウシャ</t>
    </rPh>
    <rPh sb="6" eb="9">
      <t>トリヒキガク</t>
    </rPh>
    <rPh sb="10" eb="13">
      <t>ゼイコミガク</t>
    </rPh>
    <rPh sb="14" eb="16">
      <t>ニュウリョク</t>
    </rPh>
    <phoneticPr fontId="4"/>
  </si>
  <si>
    <t>1</t>
  </si>
  <si>
    <t xml:space="preserve">    </t>
  </si>
  <si>
    <t>1502110500</t>
  </si>
  <si>
    <t>管理課</t>
  </si>
  <si>
    <t>R05/09/01</t>
  </si>
  <si>
    <t>000</t>
  </si>
  <si>
    <t>001</t>
  </si>
  <si>
    <t>021402001002015000</t>
  </si>
  <si>
    <t>未収下水道使用料５</t>
  </si>
  <si>
    <t>8</t>
  </si>
  <si>
    <t>R05/11/01</t>
  </si>
  <si>
    <t>3</t>
  </si>
  <si>
    <t>10</t>
  </si>
  <si>
    <t>R06/01/01</t>
  </si>
  <si>
    <t>021402001002013000</t>
  </si>
  <si>
    <t>未収下水道使用料３</t>
  </si>
  <si>
    <t>R05/08/01</t>
  </si>
  <si>
    <t>R06/03/15</t>
  </si>
  <si>
    <t>R06/02/01</t>
  </si>
  <si>
    <t>021402001002012000</t>
  </si>
  <si>
    <t>未収下水道使用料２</t>
  </si>
  <si>
    <t>021402001002011000</t>
  </si>
  <si>
    <t>未収下水道使用料１</t>
  </si>
  <si>
    <t>R05/12/01</t>
  </si>
  <si>
    <t>R06/03/01</t>
  </si>
  <si>
    <t>R05/04/10</t>
  </si>
  <si>
    <t>R05/04/20</t>
  </si>
  <si>
    <t>R05/04/30</t>
  </si>
  <si>
    <t>2</t>
  </si>
  <si>
    <t>R06/01/10</t>
  </si>
  <si>
    <t>下水道使用料返還金の支出</t>
  </si>
  <si>
    <t>振替伝票（未払計上）</t>
  </si>
  <si>
    <t>34005121</t>
  </si>
  <si>
    <t>0884066300</t>
  </si>
  <si>
    <t>下水道事業費用</t>
  </si>
  <si>
    <t>営業外費用</t>
  </si>
  <si>
    <t>雑支出</t>
  </si>
  <si>
    <t>その他雑支出</t>
  </si>
  <si>
    <t>921472</t>
  </si>
  <si>
    <t>下水道使用料賦課（返還金）</t>
  </si>
  <si>
    <t>088406001063000000</t>
  </si>
  <si>
    <t>051410001001000000</t>
  </si>
  <si>
    <t>その他未払金</t>
  </si>
  <si>
    <t>15</t>
  </si>
  <si>
    <t>田畑　美香</t>
  </si>
  <si>
    <t>34005121-000-001-1-0884066300-921472-15</t>
  </si>
  <si>
    <t>下水道使用料過誤納還付金の精算（１０月分）</t>
  </si>
  <si>
    <t>振替伝票（予算振替）</t>
  </si>
  <si>
    <t>37000234</t>
  </si>
  <si>
    <t>0885060600</t>
  </si>
  <si>
    <t>特別損失</t>
  </si>
  <si>
    <t>過年度損益修正損</t>
  </si>
  <si>
    <t>921481</t>
  </si>
  <si>
    <t>下水道使用料賦課徴収　　　　　</t>
  </si>
  <si>
    <t>088506001006000000</t>
  </si>
  <si>
    <t>022602001006000000</t>
  </si>
  <si>
    <t>下水道使用料還付前渡資金</t>
  </si>
  <si>
    <t>18</t>
  </si>
  <si>
    <t>37000234-000-001-1-0885060600-921481-18</t>
  </si>
  <si>
    <t>37000235</t>
  </si>
  <si>
    <t>37000235-000-001-1-0885060600-921481-18</t>
  </si>
  <si>
    <t>37000236</t>
  </si>
  <si>
    <t>37000236-000-001-1-0885060600-921481-18</t>
  </si>
  <si>
    <t>下水道使用料過誤納還付金の精算（１１月分）</t>
  </si>
  <si>
    <t>37000266</t>
  </si>
  <si>
    <t>37000266-000-001-1-0885060600-921481-18</t>
  </si>
  <si>
    <t>37000267</t>
  </si>
  <si>
    <t>37000267-000-001-1-0885060600-921481-18</t>
  </si>
  <si>
    <t>37000268</t>
  </si>
  <si>
    <t>37000268-000-001-1-0885060600-921481-18</t>
  </si>
  <si>
    <t>下水道使用料過誤納還付金の精算（１２月分）</t>
  </si>
  <si>
    <t>37000289</t>
  </si>
  <si>
    <t>37000289-000-001-1-0885060600-921481-18</t>
  </si>
  <si>
    <t>37000290</t>
  </si>
  <si>
    <t>37000290-000-001-1-0885060600-921481-18</t>
  </si>
  <si>
    <t xml:space="preserve">下水道使用料過誤納還付金の精算（１月分）                                        </t>
  </si>
  <si>
    <t>37000354</t>
  </si>
  <si>
    <t>37000354-000-001-1-0885060600-921481-18</t>
  </si>
  <si>
    <t>37000355</t>
  </si>
  <si>
    <t>37000355-000-001-1-0885060600-921481-18</t>
  </si>
  <si>
    <t xml:space="preserve">下水道使用料過誤納還付金の精算（２月分）                                        </t>
  </si>
  <si>
    <t>37000368</t>
  </si>
  <si>
    <t>37000368-000-001-1-0885060600-921481-18</t>
  </si>
  <si>
    <t>37000369</t>
  </si>
  <si>
    <t>37000369-000-001-1-0885060600-921481-18</t>
  </si>
  <si>
    <t>R06/03/31</t>
  </si>
  <si>
    <t xml:space="preserve">下水道使用料過誤納還付金の精算（３月分）                                        </t>
  </si>
  <si>
    <t>37000505</t>
  </si>
  <si>
    <t>37000505-000-001-1-0885060600-921481-18</t>
  </si>
  <si>
    <t>下水道使用料過誤納還付金の精算（４月分）</t>
  </si>
  <si>
    <t>37000043</t>
  </si>
  <si>
    <t>37000043-000-001-1-0885060600-921481-18</t>
  </si>
  <si>
    <t>37000044</t>
  </si>
  <si>
    <t>37000044-000-001-1-0885060600-921481-18</t>
  </si>
  <si>
    <t>37000045</t>
  </si>
  <si>
    <t>37000045-000-001-1-0885060600-921481-18</t>
  </si>
  <si>
    <t>37000046</t>
  </si>
  <si>
    <t>37000046-000-001-1-0885060600-921481-18</t>
  </si>
  <si>
    <t>R05/05/31</t>
  </si>
  <si>
    <t>下水道使用料過誤納還付金の精算（５月分）</t>
  </si>
  <si>
    <t>37000061</t>
  </si>
  <si>
    <t>37000061-000-001-1-0885060600-921481-18</t>
  </si>
  <si>
    <t>37000063</t>
  </si>
  <si>
    <t>37000063-000-001-1-0885060600-921481-18</t>
  </si>
  <si>
    <t>37000064</t>
  </si>
  <si>
    <t>37000064-000-001-1-0885060600-921481-18</t>
  </si>
  <si>
    <t>37000065</t>
  </si>
  <si>
    <t>37000065-000-001-1-0885060600-921481-18</t>
  </si>
  <si>
    <t>R05/07/01</t>
  </si>
  <si>
    <t>下水道使用料過誤納還付金の精算（６月分）</t>
  </si>
  <si>
    <t>37000106</t>
  </si>
  <si>
    <t>37000106-000-001-1-0885060600-921481-18</t>
  </si>
  <si>
    <t>37000107</t>
  </si>
  <si>
    <t>37000107-000-001-1-0885060600-921481-18</t>
  </si>
  <si>
    <t>37000108</t>
  </si>
  <si>
    <t>37000108-000-001-1-0885060600-921481-18</t>
  </si>
  <si>
    <t>37000109</t>
  </si>
  <si>
    <t>37000109-000-001-1-0885060600-921481-18</t>
  </si>
  <si>
    <t>37000110</t>
  </si>
  <si>
    <t>37000110-000-001-1-0885060600-921481-18</t>
  </si>
  <si>
    <t>下水道使用料過誤納還付金の精算（７月分）</t>
  </si>
  <si>
    <t>37000157</t>
  </si>
  <si>
    <t>37000157-000-001-1-0885060600-921481-18</t>
  </si>
  <si>
    <t>37000158</t>
  </si>
  <si>
    <t>37000158-000-001-1-0885060600-921481-18</t>
  </si>
  <si>
    <t>37000159</t>
  </si>
  <si>
    <t>37000159-000-001-1-0885060600-921481-18</t>
  </si>
  <si>
    <t>37000160</t>
  </si>
  <si>
    <t>37000160-000-001-1-0885060600-921481-18</t>
  </si>
  <si>
    <t>37000161</t>
  </si>
  <si>
    <t>37000161-000-001-1-0885060600-921481-18</t>
  </si>
  <si>
    <t>下水道使用料過誤納還付金の精算（８月分）</t>
  </si>
  <si>
    <t>37000183</t>
  </si>
  <si>
    <t>37000183-000-001-1-0885060600-921481-18</t>
  </si>
  <si>
    <t>37000184</t>
  </si>
  <si>
    <t>37000184-000-001-1-0885060600-921481-18</t>
  </si>
  <si>
    <t>37000185</t>
  </si>
  <si>
    <t>37000185-000-001-1-0885060600-921481-18</t>
  </si>
  <si>
    <t>37000186</t>
  </si>
  <si>
    <t>37000186-000-001-1-0885060600-921481-18</t>
  </si>
  <si>
    <t>R05/10/01</t>
  </si>
  <si>
    <t>下水道使用料過誤納還付金の精算（９月分）</t>
  </si>
  <si>
    <t>37000205</t>
  </si>
  <si>
    <t>37000205-000-001-1-0885060600-921481-18</t>
  </si>
  <si>
    <t>37000206</t>
  </si>
  <si>
    <t>37000206-000-001-1-0885060600-921481-18</t>
  </si>
  <si>
    <t>37000207</t>
  </si>
  <si>
    <t>37000207-000-001-1-0885060600-921481-18</t>
  </si>
  <si>
    <t>37000208</t>
  </si>
  <si>
    <t>37000208-000-001-1-0885060600-921481-18</t>
  </si>
  <si>
    <t>R05/04/18</t>
  </si>
  <si>
    <t>過年度分下水道使用料過誤納還付金（口座還付分）</t>
  </si>
  <si>
    <t>37000037</t>
  </si>
  <si>
    <t>021402001002010000</t>
  </si>
  <si>
    <t>未収下水道使用料０</t>
  </si>
  <si>
    <t>37000037-000-001-1-0885060600-921481-18</t>
  </si>
  <si>
    <t>R05/05/09</t>
  </si>
  <si>
    <t>37000038</t>
  </si>
  <si>
    <t>37000038-000-001-1-0885060600-921481-15</t>
  </si>
  <si>
    <t>R05/04/26</t>
  </si>
  <si>
    <t>37000039</t>
  </si>
  <si>
    <t>37000039-000-001-1-0885060600-921481-15</t>
  </si>
  <si>
    <t>R06/03/18</t>
  </si>
  <si>
    <t xml:space="preserve">過年度分下水道使用料過誤納還付金（口座還付分）                                  </t>
  </si>
  <si>
    <t>37000411</t>
  </si>
  <si>
    <t>37000411-000-001-1-0885060600-921481-18</t>
  </si>
  <si>
    <t>R06/02/06</t>
  </si>
  <si>
    <t>37000338</t>
  </si>
  <si>
    <t>37000338-000-001-1-0885060600-921481-18</t>
  </si>
  <si>
    <t>R06/02/27</t>
  </si>
  <si>
    <t>37000356</t>
  </si>
  <si>
    <t>37000356-000-001-1-0885060600-921481-18</t>
  </si>
  <si>
    <t>R05/12/18</t>
  </si>
  <si>
    <t>37000269</t>
  </si>
  <si>
    <t>37000269-000-001-1-0885060600-921481-18</t>
  </si>
  <si>
    <t>R06/01/09</t>
  </si>
  <si>
    <t>37000296</t>
  </si>
  <si>
    <t>37000296-000-001-1-0885060600-921481-18</t>
  </si>
  <si>
    <t>37000297</t>
  </si>
  <si>
    <t>37000297-000-001-1-0885060600-921481-15</t>
  </si>
  <si>
    <t>R06/01/16</t>
  </si>
  <si>
    <t>37000302</t>
  </si>
  <si>
    <t>37000302-000-001-1-0885060600-921481-18</t>
  </si>
  <si>
    <t>R05/11/28</t>
  </si>
  <si>
    <t>37000252</t>
  </si>
  <si>
    <t>37000252-000-001-1-0885060600-921481-18</t>
  </si>
  <si>
    <t>R05/11/16</t>
  </si>
  <si>
    <t>37000237</t>
  </si>
  <si>
    <t>37000237-000-001-1-0885060600-921481-15</t>
  </si>
  <si>
    <t>37000098</t>
  </si>
  <si>
    <t>37000098-000-001-1-0885060600-921481-18</t>
  </si>
  <si>
    <t>37000099</t>
  </si>
  <si>
    <t>37000099-000-001-1-0885060600-921481-18</t>
  </si>
  <si>
    <t>37000100</t>
  </si>
  <si>
    <t>37000100-000-001-1-0885060600-921481-15</t>
  </si>
  <si>
    <t>37000101</t>
  </si>
  <si>
    <t>37000101-000-001-1-0885060600-921481-18</t>
  </si>
  <si>
    <t>37000102</t>
  </si>
  <si>
    <t>37000102-000-001-1-0885060600-921481-18</t>
  </si>
  <si>
    <t>37000103</t>
  </si>
  <si>
    <t>37000103-000-001-1-0885060600-921481-18</t>
  </si>
  <si>
    <t>R05/07/06</t>
  </si>
  <si>
    <t>37000104</t>
  </si>
  <si>
    <t>37000104-000-001-1-0885060600-921481-18</t>
  </si>
  <si>
    <t>R05/09/19</t>
  </si>
  <si>
    <t>37000194</t>
  </si>
  <si>
    <t>37000194-000-001-1-0885060600-921481-18</t>
  </si>
  <si>
    <t>37000162</t>
  </si>
  <si>
    <t>37000162-000-001-1-0885060600-921481-18</t>
  </si>
  <si>
    <t>37000163</t>
  </si>
  <si>
    <t>37000163-000-001-1-0885060600-921481-18</t>
  </si>
  <si>
    <t>R05/08/08</t>
  </si>
  <si>
    <t>37000164</t>
  </si>
  <si>
    <t>37000164-000-001-1-0885060600-921481-18</t>
  </si>
  <si>
    <t>R05/08/16</t>
  </si>
  <si>
    <t>37000165</t>
  </si>
  <si>
    <t>37000165-000-001-1-0885060600-921481-18</t>
  </si>
  <si>
    <t>R05/08/28</t>
  </si>
  <si>
    <t>37000166</t>
  </si>
  <si>
    <t>37000166-000-001-1-0885060600-921481-18</t>
  </si>
  <si>
    <t>R05/09/06</t>
  </si>
  <si>
    <t>37000182</t>
  </si>
  <si>
    <t>37000182-000-001-1-0885060600-921481-18</t>
  </si>
  <si>
    <t>R05/10/26</t>
  </si>
  <si>
    <t>37000218</t>
  </si>
  <si>
    <t>37000218-000-001-1-0885060600-921481-15</t>
  </si>
  <si>
    <t>平成３０年度下水道使用料減額調定　１件</t>
  </si>
  <si>
    <t>37000181</t>
  </si>
  <si>
    <t>37000181-000-001-1-0885060600-921481-15</t>
  </si>
  <si>
    <t xml:space="preserve">令和２年度下水道使用料減額調定　１件                                            </t>
  </si>
  <si>
    <t>37000471</t>
  </si>
  <si>
    <t>37000471-000-001-1-0885060600-921481-18</t>
  </si>
  <si>
    <t>令和２年度下水道使用料減額調定　１件</t>
  </si>
  <si>
    <t>37000240</t>
  </si>
  <si>
    <t>37000240-000-001-1-0885060600-921481-15</t>
  </si>
  <si>
    <t>37000245</t>
  </si>
  <si>
    <t>37000245-000-001-1-0885060600-921481-18</t>
  </si>
  <si>
    <t>37000145</t>
  </si>
  <si>
    <t>37000145-000-001-1-0885060600-921481-18</t>
  </si>
  <si>
    <t>令和２年度下水道使用料減額調定　３件</t>
  </si>
  <si>
    <t>37000300</t>
  </si>
  <si>
    <t>37000300-000-001-1-0885060600-921481-18</t>
  </si>
  <si>
    <t>令和３年度下水道使用料減額調定　２件</t>
  </si>
  <si>
    <t>37000180</t>
  </si>
  <si>
    <t>37000180-000-001-1-0885060600-921481-18</t>
  </si>
  <si>
    <t>令和４年度下水道使用料減額調定　１０件</t>
  </si>
  <si>
    <t>37000060</t>
  </si>
  <si>
    <t>37000060-000-001-1-0885060600-921481-18</t>
  </si>
  <si>
    <t>令和４年度下水道使用料減額調定　１３件</t>
  </si>
  <si>
    <t>37000059</t>
  </si>
  <si>
    <t>37000059-000-001-1-0885060600-921481-18</t>
  </si>
  <si>
    <t>令和４年度下水道使用料減額調定　１件</t>
  </si>
  <si>
    <t>37000279</t>
  </si>
  <si>
    <t>37000279-000-001-1-0885060600-921481-18</t>
  </si>
  <si>
    <t>37000301</t>
  </si>
  <si>
    <t>37000301-000-001-1-0885060600-921481-18</t>
  </si>
  <si>
    <t>37000151</t>
  </si>
  <si>
    <t>37000151-000-001-1-0885060600-921481-18</t>
  </si>
  <si>
    <t>37000147</t>
  </si>
  <si>
    <t>37000147-000-001-1-0885060600-921481-18</t>
  </si>
  <si>
    <t>37000178</t>
  </si>
  <si>
    <t>37000178-000-001-1-0885060600-921481-18</t>
  </si>
  <si>
    <t>令和４年度下水道使用料減額調定　２件</t>
  </si>
  <si>
    <t>37000153</t>
  </si>
  <si>
    <t>37000153-000-001-1-0885060600-921481-18</t>
  </si>
  <si>
    <t>令和４年度下水道使用料減額調定　３件</t>
  </si>
  <si>
    <t>37000152</t>
  </si>
  <si>
    <t>37000152-000-001-1-0885060600-921481-18</t>
  </si>
  <si>
    <t>令和４年度下水道使用料減額調定　４件</t>
  </si>
  <si>
    <t>37000142</t>
  </si>
  <si>
    <t>37000142-000-001-1-0885060600-921481-18</t>
  </si>
  <si>
    <t>37000144</t>
  </si>
  <si>
    <t>37000144-000-001-1-0885060600-921481-18</t>
  </si>
  <si>
    <t>令和４年度下水道使用料減額調定　６件</t>
  </si>
  <si>
    <t>37000146</t>
  </si>
  <si>
    <t>37000146-000-001-1-0885060600-921481-18</t>
  </si>
  <si>
    <t>令和４年度下水道使用料減額調定　７件</t>
  </si>
  <si>
    <t>37000076</t>
  </si>
  <si>
    <t>37000076-000-001-1-0885060600-921481-18</t>
  </si>
  <si>
    <t>令和４年度下水道使用料減額調定　８件</t>
  </si>
  <si>
    <t>37000150</t>
  </si>
  <si>
    <t>37000150-000-001-1-0885060600-921481-18</t>
  </si>
  <si>
    <t>37000143</t>
  </si>
  <si>
    <t>37000143-000-001-1-0885060600-921481-18</t>
  </si>
  <si>
    <t>令和４年度下水道使用料減額調定　９件</t>
  </si>
  <si>
    <t>37000179</t>
  </si>
  <si>
    <t>37000179-000-001-1-0885060600-921481-18</t>
  </si>
  <si>
    <t>令和４年度下水道使用料減額調定（特環）　１件</t>
  </si>
  <si>
    <t>37000066</t>
  </si>
  <si>
    <t>921516</t>
  </si>
  <si>
    <t>下水道使用料賦課修正損（特環）</t>
  </si>
  <si>
    <t>37000066-000-001-1-0885060600-921516-18</t>
  </si>
  <si>
    <t>令和４年度下水道使用料減額調定（農集）　０件</t>
  </si>
  <si>
    <t>37000069</t>
  </si>
  <si>
    <t>921614</t>
  </si>
  <si>
    <t>下水道使用料賦課修正損（農集）</t>
  </si>
  <si>
    <t>37000069-000-001-1-0885060600-921614-18</t>
  </si>
  <si>
    <t>AAA</t>
    <phoneticPr fontId="4"/>
  </si>
  <si>
    <t>AAA</t>
    <phoneticPr fontId="4"/>
  </si>
  <si>
    <t>一般行政</t>
    <phoneticPr fontId="3"/>
  </si>
  <si>
    <t>免税事業者との取引額</t>
    <rPh sb="0" eb="5">
      <t>メンゼイジギョウシャ</t>
    </rPh>
    <rPh sb="7" eb="10">
      <t>トリヒキガク</t>
    </rPh>
    <phoneticPr fontId="4"/>
  </si>
  <si>
    <t>免税事業者に係る控除不能額【R5決算：追加】</t>
    <rPh sb="0" eb="2">
      <t>メンゼイ</t>
    </rPh>
    <rPh sb="2" eb="5">
      <t>ジギョウシャ</t>
    </rPh>
    <rPh sb="6" eb="7">
      <t>カカ</t>
    </rPh>
    <rPh sb="8" eb="10">
      <t>コウジョ</t>
    </rPh>
    <rPh sb="10" eb="12">
      <t>フノウ</t>
    </rPh>
    <rPh sb="12" eb="13">
      <t>ガク</t>
    </rPh>
    <rPh sb="16" eb="18">
      <t>ケッサン</t>
    </rPh>
    <rPh sb="19" eb="21">
      <t>ツイカ</t>
    </rPh>
    <phoneticPr fontId="4"/>
  </si>
  <si>
    <t>免税事業者に係る控除不能額</t>
    <rPh sb="0" eb="5">
      <t>メンゼイジギョウシャ</t>
    </rPh>
    <rPh sb="6" eb="7">
      <t>カカ</t>
    </rPh>
    <rPh sb="8" eb="13">
      <t>コウジョフノウガク</t>
    </rPh>
    <phoneticPr fontId="4"/>
  </si>
  <si>
    <t>（Ｂ）</t>
    <phoneticPr fontId="3"/>
  </si>
  <si>
    <t>円</t>
  </si>
  <si>
    <t>３  繰入金総額（C+D）＝今回精算（確定）額＝下水決算額</t>
    <rPh sb="24" eb="26">
      <t>ゲスイ</t>
    </rPh>
    <rPh sb="26" eb="28">
      <t>ケッサン</t>
    </rPh>
    <rPh sb="28" eb="29">
      <t>ガク</t>
    </rPh>
    <phoneticPr fontId="3"/>
  </si>
  <si>
    <t>（D）</t>
    <phoneticPr fontId="3"/>
  </si>
  <si>
    <t xml:space="preserve"> （エ－オ－カ）</t>
    <phoneticPr fontId="3"/>
  </si>
  <si>
    <t>(4) 繰入金額（一般会計出資金、一般会計借入金）</t>
    <rPh sb="9" eb="13">
      <t>イ</t>
    </rPh>
    <rPh sb="13" eb="16">
      <t>シュッシキン</t>
    </rPh>
    <rPh sb="17" eb="19">
      <t>イッパン</t>
    </rPh>
    <rPh sb="19" eb="21">
      <t>カイケイ</t>
    </rPh>
    <rPh sb="21" eb="23">
      <t>カリイレ</t>
    </rPh>
    <rPh sb="23" eb="24">
      <t>キン</t>
    </rPh>
    <phoneticPr fontId="3"/>
  </si>
  <si>
    <t xml:space="preserve">   ④繰越工事資金当年度充当額</t>
    <phoneticPr fontId="3"/>
  </si>
  <si>
    <t>↓非表示行あり</t>
    <rPh sb="1" eb="4">
      <t>ヒヒョウジ</t>
    </rPh>
    <rPh sb="4" eb="5">
      <t>ギョウ</t>
    </rPh>
    <phoneticPr fontId="3"/>
  </si>
  <si>
    <t xml:space="preserve">   ③減債積立金</t>
    <phoneticPr fontId="3"/>
  </si>
  <si>
    <t xml:space="preserve">    ＊現年度分</t>
    <phoneticPr fontId="3"/>
  </si>
  <si>
    <t xml:space="preserve">    ＊過年度分</t>
    <phoneticPr fontId="3"/>
  </si>
  <si>
    <t xml:space="preserve">   ②消費税及び地方消費税資本的収支調整額</t>
    <phoneticPr fontId="3"/>
  </si>
  <si>
    <t xml:space="preserve">    ＊企業債発行差金(見なし決算分）</t>
    <rPh sb="5" eb="8">
      <t>キギョウサイ</t>
    </rPh>
    <rPh sb="8" eb="10">
      <t>ハッコウ</t>
    </rPh>
    <rPh sb="10" eb="12">
      <t>サキン</t>
    </rPh>
    <rPh sb="13" eb="14">
      <t>ミ</t>
    </rPh>
    <rPh sb="16" eb="18">
      <t>ケッサン</t>
    </rPh>
    <rPh sb="18" eb="19">
      <t>フン</t>
    </rPh>
    <phoneticPr fontId="3"/>
  </si>
  <si>
    <t xml:space="preserve">    ＊長期前受金戻入益（減損見合分）</t>
    <rPh sb="5" eb="13">
      <t>チョウキ</t>
    </rPh>
    <rPh sb="14" eb="16">
      <t>ゲンソン</t>
    </rPh>
    <phoneticPr fontId="3"/>
  </si>
  <si>
    <t xml:space="preserve">    ＊長期前受金戻入（償却・除却見合分）</t>
    <rPh sb="5" eb="7">
      <t>チョウキ</t>
    </rPh>
    <rPh sb="7" eb="10">
      <t>マエウケキン</t>
    </rPh>
    <rPh sb="10" eb="12">
      <t>レイニュウ</t>
    </rPh>
    <rPh sb="13" eb="15">
      <t>ショウキャク</t>
    </rPh>
    <rPh sb="16" eb="18">
      <t>ジョキャク</t>
    </rPh>
    <rPh sb="18" eb="20">
      <t>ミアイ</t>
    </rPh>
    <rPh sb="20" eb="21">
      <t>ブン</t>
    </rPh>
    <phoneticPr fontId="3"/>
  </si>
  <si>
    <t>円</t>
    <rPh sb="0" eb="1">
      <t>エン</t>
    </rPh>
    <phoneticPr fontId="3"/>
  </si>
  <si>
    <t xml:space="preserve">    ＊減損損失</t>
    <rPh sb="5" eb="7">
      <t>ゲンソン</t>
    </rPh>
    <rPh sb="7" eb="9">
      <t>ソンシツ</t>
    </rPh>
    <phoneticPr fontId="3"/>
  </si>
  <si>
    <t xml:space="preserve">    ＊固定資産売却損</t>
    <rPh sb="5" eb="7">
      <t>コテイ</t>
    </rPh>
    <rPh sb="7" eb="9">
      <t>シサン</t>
    </rPh>
    <rPh sb="9" eb="12">
      <t>バイキャクゾン</t>
    </rPh>
    <phoneticPr fontId="3"/>
  </si>
  <si>
    <t xml:space="preserve">    ＊固定資産除却費</t>
    <rPh sb="5" eb="7">
      <t>コテイ</t>
    </rPh>
    <rPh sb="7" eb="9">
      <t>シサン</t>
    </rPh>
    <rPh sb="9" eb="11">
      <t>ジョキャク</t>
    </rPh>
    <rPh sb="11" eb="12">
      <t>ヒ</t>
    </rPh>
    <phoneticPr fontId="3"/>
  </si>
  <si>
    <t xml:space="preserve">    ＊減価償却費</t>
    <phoneticPr fontId="3"/>
  </si>
  <si>
    <t xml:space="preserve">   ①当年度分損益勘定留保資金</t>
    <phoneticPr fontId="3"/>
  </si>
  <si>
    <t xml:space="preserve"> </t>
    <phoneticPr fontId="3"/>
  </si>
  <si>
    <t xml:space="preserve">  （補てん財源の内訳）</t>
    <phoneticPr fontId="3"/>
  </si>
  <si>
    <t>（カ）</t>
    <phoneticPr fontId="3"/>
  </si>
  <si>
    <t>(3) 補てん財源</t>
    <phoneticPr fontId="3"/>
  </si>
  <si>
    <t xml:space="preserve">  （前年度充当財源（企業債未発行分）を除く）</t>
    <rPh sb="6" eb="8">
      <t>ジュウトウ</t>
    </rPh>
    <rPh sb="8" eb="10">
      <t>ザイゲン</t>
    </rPh>
    <rPh sb="11" eb="13">
      <t>キギョウ</t>
    </rPh>
    <rPh sb="13" eb="14">
      <t>サイ</t>
    </rPh>
    <rPh sb="14" eb="17">
      <t>ミハッコウ</t>
    </rPh>
    <rPh sb="17" eb="18">
      <t>ブン</t>
    </rPh>
    <phoneticPr fontId="3"/>
  </si>
  <si>
    <t>（オ）</t>
  </si>
  <si>
    <t>(2) 収入決算額（繰入金除く。）</t>
    <phoneticPr fontId="3"/>
  </si>
  <si>
    <t>（エ）</t>
    <phoneticPr fontId="3"/>
  </si>
  <si>
    <t>(1) 支出決算額</t>
    <phoneticPr fontId="3"/>
  </si>
  <si>
    <t>２  資本的収支（４条分、税込み、みなしベース）</t>
    <phoneticPr fontId="3"/>
  </si>
  <si>
    <t>（C）</t>
    <phoneticPr fontId="3"/>
  </si>
  <si>
    <t>（ア－イ＋ウ）</t>
    <phoneticPr fontId="3"/>
  </si>
  <si>
    <t>(4) 繰入金額（一般会計負担金、一般会計補助金）</t>
    <rPh sb="9" eb="13">
      <t>イ</t>
    </rPh>
    <rPh sb="13" eb="16">
      <t>フ</t>
    </rPh>
    <rPh sb="17" eb="21">
      <t>イ</t>
    </rPh>
    <rPh sb="21" eb="24">
      <t>ホ</t>
    </rPh>
    <phoneticPr fontId="3"/>
  </si>
  <si>
    <t>（ウ）</t>
    <phoneticPr fontId="3"/>
  </si>
  <si>
    <t>(3) 当年度純利益</t>
    <rPh sb="4" eb="5">
      <t>トウ</t>
    </rPh>
    <rPh sb="5" eb="7">
      <t>ネンド</t>
    </rPh>
    <rPh sb="7" eb="8">
      <t>ジュン</t>
    </rPh>
    <rPh sb="8" eb="10">
      <t>リエキ</t>
    </rPh>
    <phoneticPr fontId="3"/>
  </si>
  <si>
    <t>（イ）</t>
  </si>
  <si>
    <t>(2) 収入決算額（繰入金除く。）</t>
    <rPh sb="10" eb="13">
      <t>ク</t>
    </rPh>
    <rPh sb="13" eb="14">
      <t>ノゾ</t>
    </rPh>
    <phoneticPr fontId="3"/>
  </si>
  <si>
    <t>（ア）</t>
  </si>
  <si>
    <t>(1) 支出決算額</t>
    <phoneticPr fontId="3"/>
  </si>
  <si>
    <t>↓3条収入・支出シート</t>
    <rPh sb="2" eb="3">
      <t>ジョウ</t>
    </rPh>
    <rPh sb="3" eb="5">
      <t>シュウニュウ</t>
    </rPh>
    <rPh sb="6" eb="8">
      <t>シシュツ</t>
    </rPh>
    <phoneticPr fontId="3"/>
  </si>
  <si>
    <r>
      <t>1  収益的収支（３条分、</t>
    </r>
    <r>
      <rPr>
        <sz val="11"/>
        <color indexed="10"/>
        <rFont val="ＭＳ Ｐゴシック"/>
        <family val="3"/>
        <charset val="128"/>
      </rPr>
      <t>税抜き</t>
    </r>
    <r>
      <rPr>
        <sz val="11"/>
        <rFont val="ＭＳ Ｐゴシック"/>
        <family val="3"/>
        <charset val="128"/>
      </rPr>
      <t>）</t>
    </r>
    <phoneticPr fontId="3"/>
  </si>
  <si>
    <t>【一般会計繰入金精算額＝下水決算額の説明】</t>
    <rPh sb="1" eb="5">
      <t>イ</t>
    </rPh>
    <rPh sb="5" eb="8">
      <t>ク</t>
    </rPh>
    <rPh sb="8" eb="11">
      <t>セイサンガク</t>
    </rPh>
    <rPh sb="12" eb="14">
      <t>ゲスイ</t>
    </rPh>
    <rPh sb="14" eb="16">
      <t>ケッサン</t>
    </rPh>
    <rPh sb="16" eb="17">
      <t>ガク</t>
    </rPh>
    <phoneticPr fontId="3"/>
  </si>
  <si>
    <t>（Ａ－Ｂ）</t>
    <phoneticPr fontId="3"/>
  </si>
  <si>
    <t>4  差引精算戻入額</t>
    <rPh sb="5" eb="7">
      <t>セイサン</t>
    </rPh>
    <rPh sb="7" eb="9">
      <t>レイニュウ</t>
    </rPh>
    <rPh sb="9" eb="10">
      <t>ガク</t>
    </rPh>
    <phoneticPr fontId="3"/>
  </si>
  <si>
    <t>（Ｄ）</t>
    <phoneticPr fontId="3"/>
  </si>
  <si>
    <t>5  前年度一般会計出資金未収額</t>
    <rPh sb="3" eb="4">
      <t>マエ</t>
    </rPh>
    <rPh sb="4" eb="6">
      <t>ネンド</t>
    </rPh>
    <rPh sb="6" eb="8">
      <t>イッパン</t>
    </rPh>
    <rPh sb="8" eb="10">
      <t>カイケイ</t>
    </rPh>
    <rPh sb="10" eb="13">
      <t>シュッシキン</t>
    </rPh>
    <rPh sb="13" eb="15">
      <t>ミシュウ</t>
    </rPh>
    <rPh sb="15" eb="16">
      <t>ガク</t>
    </rPh>
    <phoneticPr fontId="3"/>
  </si>
  <si>
    <t>（B）</t>
    <phoneticPr fontId="3"/>
  </si>
  <si>
    <t>3  一般会計繰入金精算額　＝ 下水決算額</t>
    <rPh sb="3" eb="7">
      <t>イ</t>
    </rPh>
    <rPh sb="7" eb="10">
      <t>ク</t>
    </rPh>
    <rPh sb="16" eb="18">
      <t>ゲスイ</t>
    </rPh>
    <rPh sb="18" eb="20">
      <t>ケッサン</t>
    </rPh>
    <rPh sb="20" eb="21">
      <t>ガク</t>
    </rPh>
    <phoneticPr fontId="3"/>
  </si>
  <si>
    <t>（Ｂ）</t>
    <phoneticPr fontId="3"/>
  </si>
  <si>
    <t>3  前受金（災害復旧等繰越財源分）</t>
    <rPh sb="3" eb="6">
      <t>マエウケキン</t>
    </rPh>
    <phoneticPr fontId="3"/>
  </si>
  <si>
    <t>（Ａ）</t>
  </si>
  <si>
    <t xml:space="preserve">2  一般会計繰入金受入済額 </t>
    <rPh sb="3" eb="7">
      <t>イ</t>
    </rPh>
    <rPh sb="7" eb="10">
      <t>ク</t>
    </rPh>
    <phoneticPr fontId="3"/>
  </si>
  <si>
    <t>1  一般会計繰入金予算額</t>
    <rPh sb="3" eb="7">
      <t>イ</t>
    </rPh>
    <rPh sb="7" eb="10">
      <t>ク</t>
    </rPh>
    <phoneticPr fontId="3"/>
  </si>
  <si>
    <t>（案の１）</t>
    <phoneticPr fontId="3"/>
  </si>
  <si>
    <t>一般会計の補助費との差</t>
    <rPh sb="0" eb="4">
      <t>イ</t>
    </rPh>
    <rPh sb="5" eb="7">
      <t>ホジョ</t>
    </rPh>
    <rPh sb="7" eb="8">
      <t>ヒ</t>
    </rPh>
    <rPh sb="10" eb="11">
      <t>サ</t>
    </rPh>
    <phoneticPr fontId="3"/>
  </si>
  <si>
    <t>下水会計の補助費</t>
    <rPh sb="0" eb="2">
      <t>ゲスイ</t>
    </rPh>
    <rPh sb="2" eb="4">
      <t>カイケイ</t>
    </rPh>
    <rPh sb="5" eb="7">
      <t>ホジョ</t>
    </rPh>
    <rPh sb="7" eb="8">
      <t>ヒ</t>
    </rPh>
    <phoneticPr fontId="3"/>
  </si>
  <si>
    <t>一般会計の普建との差</t>
    <rPh sb="0" eb="4">
      <t>イ</t>
    </rPh>
    <rPh sb="5" eb="6">
      <t>ススム</t>
    </rPh>
    <rPh sb="6" eb="7">
      <t>ケン</t>
    </rPh>
    <rPh sb="9" eb="10">
      <t>サ</t>
    </rPh>
    <phoneticPr fontId="3"/>
  </si>
  <si>
    <t>精算戻入額チェック</t>
    <rPh sb="0" eb="2">
      <t>セイサン</t>
    </rPh>
    <rPh sb="2" eb="3">
      <t>レイ</t>
    </rPh>
    <rPh sb="3" eb="4">
      <t>ニュウガク</t>
    </rPh>
    <rPh sb="4" eb="5">
      <t>ガク</t>
    </rPh>
    <phoneticPr fontId="3"/>
  </si>
  <si>
    <t>普建分チェック</t>
    <rPh sb="0" eb="1">
      <t>アマネ</t>
    </rPh>
    <rPh sb="1" eb="2">
      <t>タツル</t>
    </rPh>
    <rPh sb="2" eb="3">
      <t>ブン</t>
    </rPh>
    <phoneticPr fontId="3"/>
  </si>
  <si>
    <t>計（一般会計決算額)</t>
    <rPh sb="2" eb="6">
      <t>イ</t>
    </rPh>
    <rPh sb="6" eb="9">
      <t>ケッサンガク</t>
    </rPh>
    <phoneticPr fontId="3"/>
  </si>
  <si>
    <t>貸付金</t>
    <rPh sb="0" eb="2">
      <t>カシツケ</t>
    </rPh>
    <rPh sb="2" eb="3">
      <t>キン</t>
    </rPh>
    <phoneticPr fontId="3"/>
  </si>
  <si>
    <t>補助費</t>
  </si>
  <si>
    <t>普       　 建</t>
    <phoneticPr fontId="3"/>
  </si>
  <si>
    <t>内
訳</t>
    <rPh sb="0" eb="4">
      <t>ウチワケ</t>
    </rPh>
    <phoneticPr fontId="3"/>
  </si>
  <si>
    <t>備     考</t>
    <rPh sb="0" eb="7">
      <t>ビコウ</t>
    </rPh>
    <phoneticPr fontId="3"/>
  </si>
  <si>
    <t>精算戻入額(a-b)</t>
    <rPh sb="0" eb="2">
      <t>セイサン</t>
    </rPh>
    <rPh sb="2" eb="3">
      <t>レイ</t>
    </rPh>
    <rPh sb="3" eb="4">
      <t>ニュウガク</t>
    </rPh>
    <rPh sb="4" eb="5">
      <t>ガク</t>
    </rPh>
    <phoneticPr fontId="3"/>
  </si>
  <si>
    <t>精算額(b)</t>
    <rPh sb="0" eb="2">
      <t>セイサン</t>
    </rPh>
    <rPh sb="2" eb="3">
      <t>ガク</t>
    </rPh>
    <phoneticPr fontId="3"/>
  </si>
  <si>
    <t>受入済額(a)</t>
    <rPh sb="0" eb="2">
      <t>ウケイレ</t>
    </rPh>
    <rPh sb="2" eb="3">
      <t>スミ</t>
    </rPh>
    <rPh sb="3" eb="4">
      <t>ガク</t>
    </rPh>
    <phoneticPr fontId="3"/>
  </si>
  <si>
    <t>区     分</t>
    <rPh sb="0" eb="7">
      <t>クブン</t>
    </rPh>
    <phoneticPr fontId="3"/>
  </si>
  <si>
    <t>合　　　　　計</t>
    <rPh sb="0" eb="1">
      <t>ア</t>
    </rPh>
    <rPh sb="6" eb="7">
      <t>ケイ</t>
    </rPh>
    <phoneticPr fontId="3"/>
  </si>
  <si>
    <t>普建</t>
  </si>
  <si>
    <t>前年度下水道建設費出資金未収金</t>
    <rPh sb="0" eb="3">
      <t>ゼンネンド</t>
    </rPh>
    <phoneticPr fontId="3"/>
  </si>
  <si>
    <t>（前受金）</t>
    <rPh sb="1" eb="4">
      <t>マエウケキン</t>
    </rPh>
    <phoneticPr fontId="3"/>
  </si>
  <si>
    <t>計（下水道事業会計決算額）</t>
    <rPh sb="0" eb="1">
      <t>ケイ</t>
    </rPh>
    <rPh sb="2" eb="5">
      <t>ゲスイドウ</t>
    </rPh>
    <rPh sb="5" eb="7">
      <t>ジギョウ</t>
    </rPh>
    <rPh sb="7" eb="9">
      <t>カイケイ</t>
    </rPh>
    <rPh sb="9" eb="11">
      <t>ケッサン</t>
    </rPh>
    <rPh sb="11" eb="12">
      <t>ガク</t>
    </rPh>
    <phoneticPr fontId="3"/>
  </si>
  <si>
    <t>　</t>
    <phoneticPr fontId="3"/>
  </si>
  <si>
    <t>前受金（災害復旧等繰越財源分）</t>
    <rPh sb="0" eb="2">
      <t>マエウケ</t>
    </rPh>
    <rPh sb="2" eb="3">
      <t>キン</t>
    </rPh>
    <rPh sb="4" eb="6">
      <t>サイガイ</t>
    </rPh>
    <rPh sb="6" eb="8">
      <t>フッキュウ</t>
    </rPh>
    <rPh sb="8" eb="9">
      <t>トウ</t>
    </rPh>
    <rPh sb="9" eb="11">
      <t>クリコシ</t>
    </rPh>
    <rPh sb="11" eb="13">
      <t>ザイゲン</t>
    </rPh>
    <rPh sb="13" eb="14">
      <t>ブン</t>
    </rPh>
    <phoneticPr fontId="3"/>
  </si>
  <si>
    <t xml:space="preserve"> 計　　（当年度決算分）</t>
    <rPh sb="1" eb="2">
      <t>ケイ</t>
    </rPh>
    <rPh sb="5" eb="8">
      <t>トウネンド</t>
    </rPh>
    <rPh sb="8" eb="10">
      <t>ケッサン</t>
    </rPh>
    <rPh sb="10" eb="11">
      <t>ブン</t>
    </rPh>
    <phoneticPr fontId="3"/>
  </si>
  <si>
    <t>排水設備改修資金貸付借入金</t>
    <rPh sb="0" eb="2">
      <t>ハイスイ</t>
    </rPh>
    <rPh sb="2" eb="4">
      <t>セツビ</t>
    </rPh>
    <rPh sb="4" eb="6">
      <t>シュウジ</t>
    </rPh>
    <rPh sb="6" eb="8">
      <t>シキン</t>
    </rPh>
    <rPh sb="8" eb="10">
      <t>カシツケ</t>
    </rPh>
    <rPh sb="10" eb="12">
      <t>カリイレ</t>
    </rPh>
    <rPh sb="12" eb="13">
      <t>キン</t>
    </rPh>
    <phoneticPr fontId="3"/>
  </si>
  <si>
    <t>し尿浄化槽廃止資金貸付借入金</t>
    <rPh sb="1" eb="2">
      <t>ニョウ</t>
    </rPh>
    <rPh sb="2" eb="5">
      <t>ジョウカソウ</t>
    </rPh>
    <rPh sb="5" eb="7">
      <t>ハイシ</t>
    </rPh>
    <rPh sb="7" eb="9">
      <t>シキン</t>
    </rPh>
    <rPh sb="9" eb="11">
      <t>カシツケ</t>
    </rPh>
    <rPh sb="11" eb="13">
      <t>カリイレ</t>
    </rPh>
    <rPh sb="13" eb="14">
      <t>キン</t>
    </rPh>
    <phoneticPr fontId="3"/>
  </si>
  <si>
    <t>水洗便所改造資金貸付借入金</t>
    <rPh sb="0" eb="2">
      <t>スイセン</t>
    </rPh>
    <rPh sb="2" eb="4">
      <t>ベンジョ</t>
    </rPh>
    <rPh sb="4" eb="6">
      <t>カイゾウ</t>
    </rPh>
    <rPh sb="6" eb="8">
      <t>シキン</t>
    </rPh>
    <rPh sb="8" eb="10">
      <t>カシツケ</t>
    </rPh>
    <rPh sb="10" eb="12">
      <t>カリイレ</t>
    </rPh>
    <rPh sb="12" eb="13">
      <t>キン</t>
    </rPh>
    <phoneticPr fontId="3"/>
  </si>
  <si>
    <t>貸付金</t>
    <rPh sb="0" eb="3">
      <t>カシツケキン</t>
    </rPh>
    <phoneticPr fontId="3"/>
  </si>
  <si>
    <t>一般会計借入金</t>
    <rPh sb="0" eb="2">
      <t>イッパン</t>
    </rPh>
    <rPh sb="2" eb="4">
      <t>カイケイ</t>
    </rPh>
    <rPh sb="4" eb="6">
      <t>カリイレ</t>
    </rPh>
    <rPh sb="6" eb="7">
      <t>キン</t>
    </rPh>
    <phoneticPr fontId="3"/>
  </si>
  <si>
    <t>水洗化貸付事業収入</t>
    <rPh sb="0" eb="3">
      <t>スイセンカ</t>
    </rPh>
    <rPh sb="3" eb="5">
      <t>カシツケ</t>
    </rPh>
    <rPh sb="5" eb="7">
      <t>ジギョウ</t>
    </rPh>
    <rPh sb="7" eb="9">
      <t>シュウニュウ</t>
    </rPh>
    <phoneticPr fontId="3"/>
  </si>
  <si>
    <t>下水道建設費出資金</t>
    <rPh sb="0" eb="3">
      <t>ゲスイドウ</t>
    </rPh>
    <rPh sb="3" eb="6">
      <t>ケンセツヒ</t>
    </rPh>
    <rPh sb="6" eb="9">
      <t>シュッシキン</t>
    </rPh>
    <phoneticPr fontId="3"/>
  </si>
  <si>
    <t>一般会計出資金</t>
    <rPh sb="0" eb="2">
      <t>イッパン</t>
    </rPh>
    <rPh sb="2" eb="4">
      <t>カイケイ</t>
    </rPh>
    <rPh sb="4" eb="6">
      <t>シュッシ</t>
    </rPh>
    <rPh sb="6" eb="7">
      <t>カネ</t>
    </rPh>
    <phoneticPr fontId="3"/>
  </si>
  <si>
    <t>資本的収入</t>
    <rPh sb="0" eb="3">
      <t>シホンテキ</t>
    </rPh>
    <rPh sb="3" eb="5">
      <t>シュウニュウ</t>
    </rPh>
    <phoneticPr fontId="3"/>
  </si>
  <si>
    <t>補助費</t>
    <rPh sb="0" eb="3">
      <t>ホジョヒ</t>
    </rPh>
    <phoneticPr fontId="3"/>
  </si>
  <si>
    <t>その他補助金</t>
    <rPh sb="2" eb="3">
      <t>タ</t>
    </rPh>
    <rPh sb="3" eb="6">
      <t>ホジョキン</t>
    </rPh>
    <phoneticPr fontId="3"/>
  </si>
  <si>
    <t>普建</t>
    <rPh sb="0" eb="1">
      <t>フツウ</t>
    </rPh>
    <rPh sb="1" eb="2">
      <t>ケンセツ</t>
    </rPh>
    <phoneticPr fontId="3"/>
  </si>
  <si>
    <t>下水道使用料減免分</t>
    <rPh sb="0" eb="3">
      <t>ゲスイドウ</t>
    </rPh>
    <rPh sb="3" eb="6">
      <t>シヨウリョウ</t>
    </rPh>
    <rPh sb="6" eb="8">
      <t>ゲンメン</t>
    </rPh>
    <rPh sb="8" eb="9">
      <t>フン</t>
    </rPh>
    <phoneticPr fontId="3"/>
  </si>
  <si>
    <t>支払利息分</t>
    <rPh sb="0" eb="2">
      <t>シハライ</t>
    </rPh>
    <rPh sb="2" eb="4">
      <t>リソク</t>
    </rPh>
    <rPh sb="4" eb="5">
      <t>フン</t>
    </rPh>
    <phoneticPr fontId="3"/>
  </si>
  <si>
    <t>減価償却費分</t>
    <rPh sb="0" eb="2">
      <t>ゲンカ</t>
    </rPh>
    <rPh sb="2" eb="5">
      <t>ショウキャクヒ</t>
    </rPh>
    <rPh sb="5" eb="6">
      <t>フン</t>
    </rPh>
    <phoneticPr fontId="3"/>
  </si>
  <si>
    <t>維持管理費分</t>
    <rPh sb="0" eb="2">
      <t>イジ</t>
    </rPh>
    <rPh sb="2" eb="4">
      <t>カンリ</t>
    </rPh>
    <rPh sb="4" eb="5">
      <t>ヒ</t>
    </rPh>
    <rPh sb="5" eb="6">
      <t>フン</t>
    </rPh>
    <phoneticPr fontId="3"/>
  </si>
  <si>
    <t>汚水処理補助金</t>
    <rPh sb="0" eb="2">
      <t>オスイ</t>
    </rPh>
    <rPh sb="2" eb="4">
      <t>ショリ</t>
    </rPh>
    <rPh sb="4" eb="7">
      <t>ホジョキン</t>
    </rPh>
    <phoneticPr fontId="3"/>
  </si>
  <si>
    <t>一般会計補助金</t>
    <rPh sb="0" eb="2">
      <t>イッパン</t>
    </rPh>
    <rPh sb="2" eb="4">
      <t>カイケイ</t>
    </rPh>
    <rPh sb="4" eb="7">
      <t>ホジョキン</t>
    </rPh>
    <phoneticPr fontId="3"/>
  </si>
  <si>
    <t>営業外収益</t>
    <rPh sb="0" eb="3">
      <t>エイギョウガイ</t>
    </rPh>
    <rPh sb="3" eb="5">
      <t>シュウエキ</t>
    </rPh>
    <phoneticPr fontId="3"/>
  </si>
  <si>
    <t>普建分</t>
    <rPh sb="0" eb="1">
      <t>アマネ</t>
    </rPh>
    <rPh sb="1" eb="2">
      <t>タツル</t>
    </rPh>
    <rPh sb="2" eb="3">
      <t>ブン</t>
    </rPh>
    <phoneticPr fontId="3"/>
  </si>
  <si>
    <t>←</t>
    <phoneticPr fontId="3"/>
  </si>
  <si>
    <t>貸付事業費負担金</t>
    <rPh sb="0" eb="2">
      <t>カシツケ</t>
    </rPh>
    <rPh sb="2" eb="5">
      <t>ジギョウヒ</t>
    </rPh>
    <rPh sb="5" eb="8">
      <t>フタンキン</t>
    </rPh>
    <phoneticPr fontId="3"/>
  </si>
  <si>
    <t>補助費</t>
    <rPh sb="0" eb="2">
      <t>ホジョ</t>
    </rPh>
    <rPh sb="2" eb="3">
      <t>ヒ</t>
    </rPh>
    <phoneticPr fontId="3"/>
  </si>
  <si>
    <t>普及促進費負担金</t>
    <rPh sb="0" eb="2">
      <t>フキュウ</t>
    </rPh>
    <rPh sb="2" eb="5">
      <t>ソクシンヒ</t>
    </rPh>
    <rPh sb="5" eb="8">
      <t>フタンキン</t>
    </rPh>
    <phoneticPr fontId="3"/>
  </si>
  <si>
    <t>水質指導費負担金</t>
    <rPh sb="0" eb="2">
      <t>スイシツ</t>
    </rPh>
    <rPh sb="2" eb="4">
      <t>シドウ</t>
    </rPh>
    <rPh sb="4" eb="5">
      <t>ヒ</t>
    </rPh>
    <rPh sb="5" eb="8">
      <t>フタンキン</t>
    </rPh>
    <phoneticPr fontId="3"/>
  </si>
  <si>
    <t>維持管理費分（災害復旧繰越分)</t>
    <rPh sb="0" eb="4">
      <t>イ</t>
    </rPh>
    <rPh sb="4" eb="5">
      <t>ヒ</t>
    </rPh>
    <rPh sb="5" eb="6">
      <t>フン</t>
    </rPh>
    <phoneticPr fontId="3"/>
  </si>
  <si>
    <t>雨水処理負担金</t>
    <rPh sb="0" eb="2">
      <t>ウスイ</t>
    </rPh>
    <rPh sb="2" eb="4">
      <t>ショリ</t>
    </rPh>
    <rPh sb="4" eb="7">
      <t>フタンキン</t>
    </rPh>
    <phoneticPr fontId="3"/>
  </si>
  <si>
    <t>一般会計負担金</t>
    <rPh sb="0" eb="2">
      <t>イッパン</t>
    </rPh>
    <rPh sb="2" eb="4">
      <t>カイケイ</t>
    </rPh>
    <rPh sb="4" eb="7">
      <t>フタンキン</t>
    </rPh>
    <phoneticPr fontId="3"/>
  </si>
  <si>
    <t>営業収益</t>
    <rPh sb="0" eb="2">
      <t>エイギョウ</t>
    </rPh>
    <rPh sb="2" eb="4">
      <t>シュウエキ</t>
    </rPh>
    <phoneticPr fontId="3"/>
  </si>
  <si>
    <t>下水道事業収益</t>
    <rPh sb="0" eb="3">
      <t>ゲスイドウ</t>
    </rPh>
    <rPh sb="3" eb="5">
      <t>ジギョウ</t>
    </rPh>
    <rPh sb="5" eb="7">
      <t>シュウエキ</t>
    </rPh>
    <phoneticPr fontId="3"/>
  </si>
  <si>
    <t>科     目</t>
    <rPh sb="0" eb="7">
      <t>カモク</t>
    </rPh>
    <phoneticPr fontId="3"/>
  </si>
  <si>
    <t>（単位：円）</t>
    <rPh sb="1" eb="3">
      <t>タンイ</t>
    </rPh>
    <rPh sb="4" eb="5">
      <t>エン</t>
    </rPh>
    <phoneticPr fontId="3"/>
  </si>
  <si>
    <t>記</t>
    <rPh sb="0" eb="1">
      <t>キ</t>
    </rPh>
    <phoneticPr fontId="3"/>
  </si>
  <si>
    <t>広島市長
（下水道局経営企画課）</t>
    <rPh sb="0" eb="4">
      <t>ヒロシマシチョウ</t>
    </rPh>
    <rPh sb="6" eb="7">
      <t>ゲスイ</t>
    </rPh>
    <rPh sb="7" eb="10">
      <t>スイドウキョク</t>
    </rPh>
    <rPh sb="10" eb="12">
      <t>ケイエイ</t>
    </rPh>
    <rPh sb="12" eb="14">
      <t>キカク</t>
    </rPh>
    <rPh sb="14" eb="15">
      <t>カ</t>
    </rPh>
    <phoneticPr fontId="3"/>
  </si>
  <si>
    <r>
      <t>広 　島</t>
    </r>
    <r>
      <rPr>
        <sz val="11"/>
        <rFont val="ＭＳ Ｐゴシック"/>
        <family val="3"/>
        <charset val="128"/>
      </rPr>
      <t xml:space="preserve"> 　市 　長　　様
（財政局財政課）</t>
    </r>
    <rPh sb="0" eb="1">
      <t>ヒロ</t>
    </rPh>
    <rPh sb="3" eb="4">
      <t>シマ</t>
    </rPh>
    <rPh sb="6" eb="7">
      <t>シ</t>
    </rPh>
    <rPh sb="9" eb="10">
      <t>チョウ</t>
    </rPh>
    <rPh sb="12" eb="13">
      <t>サマ</t>
    </rPh>
    <rPh sb="15" eb="17">
      <t>ザイセイ</t>
    </rPh>
    <rPh sb="17" eb="18">
      <t>キョク</t>
    </rPh>
    <rPh sb="18" eb="20">
      <t>ザイセイ</t>
    </rPh>
    <rPh sb="20" eb="21">
      <t>カ</t>
    </rPh>
    <phoneticPr fontId="3"/>
  </si>
  <si>
    <t>（案の２）</t>
    <rPh sb="1" eb="2">
      <t>アン</t>
    </rPh>
    <phoneticPr fontId="3"/>
  </si>
  <si>
    <t>計</t>
  </si>
  <si>
    <t>差  引(a-b)</t>
    <phoneticPr fontId="3"/>
  </si>
  <si>
    <t>決算額(b)</t>
    <rPh sb="0" eb="2">
      <t>ケッサン</t>
    </rPh>
    <rPh sb="2" eb="3">
      <t>ガク</t>
    </rPh>
    <phoneticPr fontId="3"/>
  </si>
  <si>
    <t>議決予算額</t>
    <rPh sb="0" eb="2">
      <t>ギケツ</t>
    </rPh>
    <rPh sb="2" eb="4">
      <t>ヨサン</t>
    </rPh>
    <rPh sb="4" eb="5">
      <t>ガク</t>
    </rPh>
    <phoneticPr fontId="3"/>
  </si>
  <si>
    <t>前年度下水道建設費出資金未収金</t>
    <phoneticPr fontId="3"/>
  </si>
  <si>
    <t>排水設備改修資金貸付借入金</t>
    <rPh sb="0" eb="2">
      <t>ハイスイ</t>
    </rPh>
    <rPh sb="2" eb="4">
      <t>セツビ</t>
    </rPh>
    <rPh sb="4" eb="6">
      <t>カイシュウ</t>
    </rPh>
    <rPh sb="6" eb="8">
      <t>シキン</t>
    </rPh>
    <rPh sb="8" eb="10">
      <t>カシツケ</t>
    </rPh>
    <rPh sb="10" eb="12">
      <t>カリイレ</t>
    </rPh>
    <rPh sb="12" eb="13">
      <t>キン</t>
    </rPh>
    <phoneticPr fontId="3"/>
  </si>
  <si>
    <t>差  引(a-b)</t>
    <rPh sb="0" eb="4">
      <t>サシヒキ</t>
    </rPh>
    <phoneticPr fontId="3"/>
  </si>
  <si>
    <t>議決予算額(a)</t>
    <rPh sb="0" eb="2">
      <t>ギケツ</t>
    </rPh>
    <rPh sb="2" eb="5">
      <t>ヨサンガク</t>
    </rPh>
    <phoneticPr fontId="3"/>
  </si>
  <si>
    <t>チェック</t>
    <phoneticPr fontId="3"/>
  </si>
  <si>
    <t>-</t>
    <phoneticPr fontId="3"/>
  </si>
  <si>
    <t>差引き(ｂ-ｃ)</t>
    <rPh sb="0" eb="2">
      <t>サシヒ</t>
    </rPh>
    <phoneticPr fontId="3"/>
  </si>
  <si>
    <t>（Ｃ）</t>
    <phoneticPr fontId="3"/>
  </si>
  <si>
    <t>差引き(a-b)</t>
    <phoneticPr fontId="3"/>
  </si>
  <si>
    <t>【下水会計分】</t>
    <rPh sb="1" eb="3">
      <t>ゲスイ</t>
    </rPh>
    <rPh sb="3" eb="5">
      <t>カイケイ</t>
    </rPh>
    <rPh sb="5" eb="6">
      <t>フン</t>
    </rPh>
    <phoneticPr fontId="3"/>
  </si>
  <si>
    <t>前年度決算額との比較</t>
    <rPh sb="0" eb="3">
      <t>ゼンネンド</t>
    </rPh>
    <rPh sb="3" eb="5">
      <t>ケッサン</t>
    </rPh>
    <rPh sb="5" eb="6">
      <t>ガク</t>
    </rPh>
    <rPh sb="8" eb="10">
      <t>ヒカク</t>
    </rPh>
    <phoneticPr fontId="3"/>
  </si>
  <si>
    <t>前年度決算額</t>
    <rPh sb="0" eb="3">
      <t>ゼンネンド</t>
    </rPh>
    <rPh sb="3" eb="5">
      <t>ケッサン</t>
    </rPh>
    <rPh sb="5" eb="6">
      <t>ガク</t>
    </rPh>
    <phoneticPr fontId="3"/>
  </si>
  <si>
    <t>予算との比較</t>
    <rPh sb="0" eb="2">
      <t>ヨサン</t>
    </rPh>
    <rPh sb="4" eb="6">
      <t>ヒカク</t>
    </rPh>
    <phoneticPr fontId="3"/>
  </si>
  <si>
    <t>決算額(b)</t>
  </si>
  <si>
    <t>合　　　　計</t>
    <rPh sb="0" eb="1">
      <t>ア</t>
    </rPh>
    <rPh sb="5" eb="6">
      <t>ケイ</t>
    </rPh>
    <phoneticPr fontId="3"/>
  </si>
  <si>
    <t>-</t>
    <phoneticPr fontId="3"/>
  </si>
  <si>
    <t xml:space="preserve"> 計</t>
    <rPh sb="1" eb="2">
      <t>ケイ</t>
    </rPh>
    <phoneticPr fontId="3"/>
  </si>
  <si>
    <t xml:space="preserve"> 計　　（下水決算分）</t>
    <rPh sb="1" eb="2">
      <t>ケイ</t>
    </rPh>
    <rPh sb="5" eb="7">
      <t>ゲスイ</t>
    </rPh>
    <rPh sb="7" eb="9">
      <t>ケッサン</t>
    </rPh>
    <rPh sb="9" eb="10">
      <t>ブン</t>
    </rPh>
    <phoneticPr fontId="3"/>
  </si>
  <si>
    <t>-</t>
  </si>
  <si>
    <t>高資本費対策費負担金</t>
    <rPh sb="0" eb="1">
      <t>コウ</t>
    </rPh>
    <rPh sb="1" eb="4">
      <t>シホンヒ</t>
    </rPh>
    <rPh sb="4" eb="6">
      <t>タイサク</t>
    </rPh>
    <rPh sb="6" eb="7">
      <t>ヒ</t>
    </rPh>
    <rPh sb="7" eb="10">
      <t>フタンキン</t>
    </rPh>
    <phoneticPr fontId="3"/>
  </si>
  <si>
    <t>対前年度比</t>
  </si>
  <si>
    <t>差引き(d-b)</t>
    <rPh sb="0" eb="2">
      <t>サシヒ</t>
    </rPh>
    <phoneticPr fontId="3"/>
  </si>
  <si>
    <t>（Ｄ）</t>
    <phoneticPr fontId="3"/>
  </si>
  <si>
    <t>財政収支計画額との比較</t>
    <rPh sb="0" eb="6">
      <t>ザ</t>
    </rPh>
    <rPh sb="6" eb="7">
      <t>ガク</t>
    </rPh>
    <rPh sb="9" eb="11">
      <t>ヒカク</t>
    </rPh>
    <phoneticPr fontId="3"/>
  </si>
  <si>
    <t>財政収支計画額</t>
    <rPh sb="0" eb="6">
      <t>ザ</t>
    </rPh>
    <rPh sb="6" eb="7">
      <t>ガク</t>
    </rPh>
    <phoneticPr fontId="3"/>
  </si>
  <si>
    <t>、</t>
    <phoneticPr fontId="3"/>
  </si>
  <si>
    <t>予備費</t>
    <rPh sb="0" eb="2">
      <t>ヨビ</t>
    </rPh>
    <rPh sb="2" eb="3">
      <t>ヒ</t>
    </rPh>
    <phoneticPr fontId="3"/>
  </si>
  <si>
    <t>減損損失</t>
    <phoneticPr fontId="3"/>
  </si>
  <si>
    <t>その他特別損失</t>
  </si>
  <si>
    <t>過年度損益修正損</t>
    <rPh sb="0" eb="3">
      <t>カネンド</t>
    </rPh>
    <rPh sb="3" eb="5">
      <t>ソンエキ</t>
    </rPh>
    <rPh sb="5" eb="7">
      <t>シュウセイ</t>
    </rPh>
    <rPh sb="7" eb="8">
      <t>ソン</t>
    </rPh>
    <phoneticPr fontId="3"/>
  </si>
  <si>
    <t>固定資産売却損</t>
    <rPh sb="0" eb="4">
      <t>コテイシサン</t>
    </rPh>
    <rPh sb="4" eb="6">
      <t>バイキャク</t>
    </rPh>
    <rPh sb="6" eb="7">
      <t>ソン</t>
    </rPh>
    <phoneticPr fontId="3"/>
  </si>
  <si>
    <t>特別損失</t>
    <rPh sb="0" eb="2">
      <t>トクベツ</t>
    </rPh>
    <rPh sb="2" eb="4">
      <t>ソンシツ</t>
    </rPh>
    <phoneticPr fontId="3"/>
  </si>
  <si>
    <t>雑支出</t>
  </si>
  <si>
    <t>消費税</t>
    <rPh sb="0" eb="3">
      <t>ショウヒゼイ</t>
    </rPh>
    <phoneticPr fontId="3"/>
  </si>
  <si>
    <t>営業外費用</t>
    <rPh sb="0" eb="3">
      <t>エイギョウガイ</t>
    </rPh>
    <rPh sb="3" eb="5">
      <t>ヒヨウ</t>
    </rPh>
    <phoneticPr fontId="3"/>
  </si>
  <si>
    <t>資産減耗費</t>
  </si>
  <si>
    <t>減価償却費</t>
    <rPh sb="0" eb="2">
      <t>ゲンカ</t>
    </rPh>
    <rPh sb="2" eb="4">
      <t>ショウキャク</t>
    </rPh>
    <rPh sb="4" eb="5">
      <t>ヒ</t>
    </rPh>
    <phoneticPr fontId="3"/>
  </si>
  <si>
    <t>災害復旧費</t>
    <rPh sb="0" eb="2">
      <t>サイガイ</t>
    </rPh>
    <rPh sb="2" eb="4">
      <t>フッキュウ</t>
    </rPh>
    <rPh sb="4" eb="5">
      <t>ヒ</t>
    </rPh>
    <phoneticPr fontId="3"/>
  </si>
  <si>
    <t>浄化槽費</t>
    <rPh sb="0" eb="3">
      <t>ジョウカソウ</t>
    </rPh>
    <rPh sb="3" eb="4">
      <t>ヒ</t>
    </rPh>
    <phoneticPr fontId="3"/>
  </si>
  <si>
    <t>農業集落排水費</t>
    <rPh sb="0" eb="2">
      <t>ノウギョウ</t>
    </rPh>
    <rPh sb="2" eb="4">
      <t>シュウラク</t>
    </rPh>
    <rPh sb="4" eb="6">
      <t>ハイスイ</t>
    </rPh>
    <rPh sb="6" eb="7">
      <t>ヒ</t>
    </rPh>
    <phoneticPr fontId="3"/>
  </si>
  <si>
    <t>特環公共下水道費</t>
    <rPh sb="0" eb="2">
      <t>トッカン</t>
    </rPh>
    <rPh sb="2" eb="4">
      <t>コウキョウ</t>
    </rPh>
    <rPh sb="4" eb="6">
      <t>ゲスイ</t>
    </rPh>
    <rPh sb="6" eb="7">
      <t>ドウ</t>
    </rPh>
    <rPh sb="7" eb="8">
      <t>ヒ</t>
    </rPh>
    <phoneticPr fontId="3"/>
  </si>
  <si>
    <t>総係費</t>
    <rPh sb="0" eb="1">
      <t>ソウ</t>
    </rPh>
    <rPh sb="1" eb="2">
      <t>カカリ</t>
    </rPh>
    <rPh sb="2" eb="3">
      <t>ヒ</t>
    </rPh>
    <phoneticPr fontId="3"/>
  </si>
  <si>
    <t>業務費</t>
    <rPh sb="0" eb="2">
      <t>ギョウム</t>
    </rPh>
    <rPh sb="2" eb="3">
      <t>ヒ</t>
    </rPh>
    <phoneticPr fontId="3"/>
  </si>
  <si>
    <t>水洗化貸付事業費</t>
    <rPh sb="0" eb="2">
      <t>スイセン</t>
    </rPh>
    <rPh sb="2" eb="3">
      <t>カ</t>
    </rPh>
    <rPh sb="3" eb="5">
      <t>カシツケ</t>
    </rPh>
    <rPh sb="5" eb="8">
      <t>ジギョウヒ</t>
    </rPh>
    <phoneticPr fontId="3"/>
  </si>
  <si>
    <t>普及促進費</t>
    <rPh sb="0" eb="2">
      <t>フキュウ</t>
    </rPh>
    <rPh sb="2" eb="4">
      <t>ソクシン</t>
    </rPh>
    <rPh sb="4" eb="5">
      <t>ヒ</t>
    </rPh>
    <phoneticPr fontId="3"/>
  </si>
  <si>
    <t>処理場費</t>
    <rPh sb="0" eb="2">
      <t>ショリ</t>
    </rPh>
    <rPh sb="2" eb="3">
      <t>バ</t>
    </rPh>
    <rPh sb="3" eb="4">
      <t>ヒ</t>
    </rPh>
    <phoneticPr fontId="3"/>
  </si>
  <si>
    <t>ポンプ場費</t>
    <rPh sb="3" eb="4">
      <t>バ</t>
    </rPh>
    <rPh sb="4" eb="5">
      <t>ヒ</t>
    </rPh>
    <phoneticPr fontId="3"/>
  </si>
  <si>
    <t>水質指導費</t>
    <rPh sb="0" eb="2">
      <t>スイシツ</t>
    </rPh>
    <rPh sb="2" eb="4">
      <t>シドウ</t>
    </rPh>
    <rPh sb="4" eb="5">
      <t>ヒ</t>
    </rPh>
    <phoneticPr fontId="3"/>
  </si>
  <si>
    <t>管きょ費</t>
    <rPh sb="0" eb="1">
      <t>カン</t>
    </rPh>
    <rPh sb="3" eb="4">
      <t>ヒ</t>
    </rPh>
    <phoneticPr fontId="3"/>
  </si>
  <si>
    <t>営業費用</t>
    <rPh sb="0" eb="2">
      <t>エイギョウ</t>
    </rPh>
    <rPh sb="2" eb="4">
      <t>ヒヨウ</t>
    </rPh>
    <phoneticPr fontId="3"/>
  </si>
  <si>
    <t>下水道事業費用</t>
    <rPh sb="0" eb="3">
      <t>ゲスイドウ</t>
    </rPh>
    <rPh sb="3" eb="5">
      <t>ジギョウ</t>
    </rPh>
    <rPh sb="5" eb="7">
      <t>ヒヨウ</t>
    </rPh>
    <phoneticPr fontId="3"/>
  </si>
  <si>
    <t>Ｄ</t>
    <phoneticPr fontId="3"/>
  </si>
  <si>
    <t>Ｃ（Ａ＋Ｂ）</t>
    <phoneticPr fontId="3"/>
  </si>
  <si>
    <t>増減額  Ｂ</t>
    <rPh sb="0" eb="2">
      <t>ゾウゲン</t>
    </rPh>
    <rPh sb="2" eb="3">
      <t>ガク</t>
    </rPh>
    <phoneticPr fontId="3"/>
  </si>
  <si>
    <t>（補正後）　Ａ</t>
    <phoneticPr fontId="3"/>
  </si>
  <si>
    <t>税抜決算額</t>
    <rPh sb="0" eb="2">
      <t>ゼイヌキ</t>
    </rPh>
    <rPh sb="2" eb="4">
      <t>ケッサン</t>
    </rPh>
    <phoneticPr fontId="3"/>
  </si>
  <si>
    <t>税込決算額</t>
    <rPh sb="0" eb="2">
      <t>ゼイコ</t>
    </rPh>
    <phoneticPr fontId="3"/>
  </si>
  <si>
    <t>現計予算額</t>
    <rPh sb="0" eb="1">
      <t>ゲン</t>
    </rPh>
    <rPh sb="1" eb="2">
      <t>ケイ</t>
    </rPh>
    <rPh sb="2" eb="5">
      <t>ヨサンガク</t>
    </rPh>
    <phoneticPr fontId="3"/>
  </si>
  <si>
    <t>流用・振替等</t>
    <rPh sb="0" eb="2">
      <t>リュウヨウ</t>
    </rPh>
    <rPh sb="3" eb="5">
      <t>フリカエ</t>
    </rPh>
    <rPh sb="5" eb="6">
      <t>トウ</t>
    </rPh>
    <phoneticPr fontId="3"/>
  </si>
  <si>
    <t>予算額（繰越+現年）</t>
    <rPh sb="0" eb="2">
      <t>ヨサン</t>
    </rPh>
    <rPh sb="2" eb="3">
      <t>ガク</t>
    </rPh>
    <rPh sb="4" eb="6">
      <t>クリコシ</t>
    </rPh>
    <rPh sb="7" eb="9">
      <t>ゲンネン</t>
    </rPh>
    <phoneticPr fontId="3"/>
  </si>
  <si>
    <t>科    目</t>
    <rPh sb="0" eb="6">
      <t>カモク</t>
    </rPh>
    <phoneticPr fontId="3"/>
  </si>
  <si>
    <t>繰入金を除いた額→</t>
    <rPh sb="0" eb="3">
      <t>ク</t>
    </rPh>
    <rPh sb="4" eb="5">
      <t>ノゾ</t>
    </rPh>
    <rPh sb="7" eb="8">
      <t>ガク</t>
    </rPh>
    <phoneticPr fontId="3"/>
  </si>
  <si>
    <t>純利益</t>
    <rPh sb="0" eb="3">
      <t>ジュンリエキ</t>
    </rPh>
    <phoneticPr fontId="3"/>
  </si>
  <si>
    <t>その他特別利益</t>
    <rPh sb="0" eb="3">
      <t>ソノタ</t>
    </rPh>
    <rPh sb="3" eb="5">
      <t>トクベツ</t>
    </rPh>
    <rPh sb="5" eb="7">
      <t>リエキ</t>
    </rPh>
    <phoneticPr fontId="3"/>
  </si>
  <si>
    <t>過年度損益修正益</t>
    <rPh sb="0" eb="3">
      <t>カネンド</t>
    </rPh>
    <rPh sb="3" eb="5">
      <t>ソンエキ</t>
    </rPh>
    <rPh sb="5" eb="7">
      <t>シュウセイ</t>
    </rPh>
    <rPh sb="7" eb="8">
      <t>エキ</t>
    </rPh>
    <phoneticPr fontId="3"/>
  </si>
  <si>
    <t>固定資産売却益</t>
    <rPh sb="0" eb="4">
      <t>コテイシサン</t>
    </rPh>
    <rPh sb="4" eb="6">
      <t>バイキャク</t>
    </rPh>
    <rPh sb="6" eb="7">
      <t>エキ</t>
    </rPh>
    <phoneticPr fontId="3"/>
  </si>
  <si>
    <t>長期前受金戻入益（減損）</t>
    <rPh sb="0" eb="8">
      <t>チョウキ</t>
    </rPh>
    <rPh sb="9" eb="11">
      <t>ゲンソン</t>
    </rPh>
    <phoneticPr fontId="3"/>
  </si>
  <si>
    <t>特別利益</t>
    <rPh sb="0" eb="2">
      <t>トクベツ</t>
    </rPh>
    <rPh sb="2" eb="4">
      <t>リエキ</t>
    </rPh>
    <phoneticPr fontId="3"/>
  </si>
  <si>
    <t>長期前受金戻入（償却・除却）</t>
    <rPh sb="0" eb="2">
      <t>チョウキ</t>
    </rPh>
    <rPh sb="2" eb="5">
      <t>マエウケキン</t>
    </rPh>
    <rPh sb="5" eb="7">
      <t>レイニュウ</t>
    </rPh>
    <rPh sb="8" eb="10">
      <t>ショウキャク</t>
    </rPh>
    <rPh sb="11" eb="13">
      <t>ジョキャク</t>
    </rPh>
    <phoneticPr fontId="3"/>
  </si>
  <si>
    <t>雑収益</t>
    <rPh sb="0" eb="1">
      <t>ザツ</t>
    </rPh>
    <rPh sb="1" eb="3">
      <t>シュウエキ</t>
    </rPh>
    <phoneticPr fontId="3"/>
  </si>
  <si>
    <t>消費税等還付金</t>
    <rPh sb="0" eb="3">
      <t>ショウヒゼイ</t>
    </rPh>
    <rPh sb="3" eb="4">
      <t>トウ</t>
    </rPh>
    <rPh sb="4" eb="6">
      <t>カンプ</t>
    </rPh>
    <rPh sb="6" eb="7">
      <t>キン</t>
    </rPh>
    <phoneticPr fontId="3"/>
  </si>
  <si>
    <t>一般会計補助金</t>
    <rPh sb="0" eb="4">
      <t>イッパンカイケイ</t>
    </rPh>
    <rPh sb="4" eb="7">
      <t>ホジョキン</t>
    </rPh>
    <phoneticPr fontId="3"/>
  </si>
  <si>
    <t>負担金</t>
    <rPh sb="0" eb="3">
      <t>フタンキン</t>
    </rPh>
    <phoneticPr fontId="3"/>
  </si>
  <si>
    <t>県補助金</t>
    <rPh sb="0" eb="1">
      <t>ケン</t>
    </rPh>
    <rPh sb="1" eb="4">
      <t>ホ</t>
    </rPh>
    <phoneticPr fontId="3"/>
  </si>
  <si>
    <t>国庫補助金</t>
    <rPh sb="0" eb="5">
      <t>コッコホジョキン</t>
    </rPh>
    <phoneticPr fontId="3"/>
  </si>
  <si>
    <t>受取利息</t>
    <rPh sb="0" eb="2">
      <t>ウケトリ</t>
    </rPh>
    <rPh sb="2" eb="4">
      <t>リソク</t>
    </rPh>
    <phoneticPr fontId="3"/>
  </si>
  <si>
    <t>その他営業収益</t>
    <rPh sb="0" eb="3">
      <t>ソノタ</t>
    </rPh>
    <rPh sb="3" eb="5">
      <t>エイギョウ</t>
    </rPh>
    <rPh sb="5" eb="7">
      <t>シュウエキ</t>
    </rPh>
    <phoneticPr fontId="3"/>
  </si>
  <si>
    <t>受託工事収益</t>
    <rPh sb="0" eb="2">
      <t>ジュタク</t>
    </rPh>
    <rPh sb="2" eb="4">
      <t>コウジ</t>
    </rPh>
    <rPh sb="4" eb="6">
      <t>シュウエキ</t>
    </rPh>
    <phoneticPr fontId="3"/>
  </si>
  <si>
    <t>一般会計負担金</t>
    <rPh sb="0" eb="4">
      <t>イッパンカイケイ</t>
    </rPh>
    <rPh sb="4" eb="7">
      <t>フタンキン</t>
    </rPh>
    <phoneticPr fontId="3"/>
  </si>
  <si>
    <t>下水道使用料</t>
    <rPh sb="0" eb="3">
      <t>ゲスイドウ</t>
    </rPh>
    <rPh sb="3" eb="6">
      <t>シヨウリョウ</t>
    </rPh>
    <phoneticPr fontId="3"/>
  </si>
  <si>
    <t>（消費税雑収益加算後）</t>
    <rPh sb="1" eb="4">
      <t>ショウヒゼイ</t>
    </rPh>
    <rPh sb="4" eb="7">
      <t>ザツシュウエキ</t>
    </rPh>
    <rPh sb="7" eb="9">
      <t>カサン</t>
    </rPh>
    <rPh sb="9" eb="10">
      <t>ゴ</t>
    </rPh>
    <phoneticPr fontId="3"/>
  </si>
  <si>
    <t>Ｄ</t>
    <phoneticPr fontId="3"/>
  </si>
  <si>
    <t>Ｃ（Ａ＋Ｂ）</t>
    <phoneticPr fontId="3"/>
  </si>
  <si>
    <t>（補正後）　Ａ</t>
    <phoneticPr fontId="3"/>
  </si>
  <si>
    <t>科    目</t>
  </si>
  <si>
    <t>（収入決算額）</t>
    <rPh sb="1" eb="3">
      <t>シュウニュウ</t>
    </rPh>
    <rPh sb="3" eb="5">
      <t>ケッサン</t>
    </rPh>
    <rPh sb="5" eb="6">
      <t>ガク</t>
    </rPh>
    <phoneticPr fontId="3"/>
  </si>
  <si>
    <t>＝</t>
    <phoneticPr fontId="3"/>
  </si>
  <si>
    <t>資本的収入合計</t>
    <rPh sb="0" eb="3">
      <t>シホンテキ</t>
    </rPh>
    <rPh sb="3" eb="5">
      <t>シュウニュウ</t>
    </rPh>
    <rPh sb="5" eb="7">
      <t>ゴウケイ</t>
    </rPh>
    <phoneticPr fontId="3"/>
  </si>
  <si>
    <t>＊</t>
    <phoneticPr fontId="3"/>
  </si>
  <si>
    <t>その他資本的収入</t>
    <rPh sb="2" eb="3">
      <t>タ</t>
    </rPh>
    <rPh sb="3" eb="6">
      <t>シホンテキ</t>
    </rPh>
    <rPh sb="6" eb="8">
      <t>シュウニュウ</t>
    </rPh>
    <phoneticPr fontId="3"/>
  </si>
  <si>
    <t>土地売却代金</t>
    <rPh sb="0" eb="2">
      <t>トチ</t>
    </rPh>
    <rPh sb="2" eb="4">
      <t>バイキャク</t>
    </rPh>
    <rPh sb="4" eb="6">
      <t>ダイキン</t>
    </rPh>
    <phoneticPr fontId="3"/>
  </si>
  <si>
    <t>固定資産売却代金</t>
    <rPh sb="0" eb="4">
      <t>コテイシサン</t>
    </rPh>
    <rPh sb="4" eb="6">
      <t>バイキャク</t>
    </rPh>
    <rPh sb="6" eb="8">
      <t>ダイキン</t>
    </rPh>
    <phoneticPr fontId="3"/>
  </si>
  <si>
    <t>貸付金回収金</t>
    <rPh sb="0" eb="3">
      <t>カシツケキン</t>
    </rPh>
    <rPh sb="3" eb="5">
      <t>カイシュウ</t>
    </rPh>
    <rPh sb="5" eb="6">
      <t>カネ</t>
    </rPh>
    <phoneticPr fontId="3"/>
  </si>
  <si>
    <t>一般会計借入金</t>
    <rPh sb="0" eb="2">
      <t>イッパン</t>
    </rPh>
    <rPh sb="2" eb="4">
      <t>カイケイ</t>
    </rPh>
    <rPh sb="4" eb="6">
      <t>カリイレ</t>
    </rPh>
    <rPh sb="6" eb="7">
      <t>カネ</t>
    </rPh>
    <phoneticPr fontId="3"/>
  </si>
  <si>
    <t>貸付企業債</t>
    <rPh sb="0" eb="2">
      <t>カシツケ</t>
    </rPh>
    <rPh sb="2" eb="5">
      <t>キギョウサイ</t>
    </rPh>
    <phoneticPr fontId="3"/>
  </si>
  <si>
    <t>水洗化貸付事業収入</t>
    <rPh sb="0" eb="2">
      <t>スイセン</t>
    </rPh>
    <rPh sb="2" eb="3">
      <t>カ</t>
    </rPh>
    <rPh sb="3" eb="5">
      <t>カシツケ</t>
    </rPh>
    <rPh sb="5" eb="7">
      <t>ジギョウ</t>
    </rPh>
    <rPh sb="7" eb="9">
      <t>シュウニュウ</t>
    </rPh>
    <phoneticPr fontId="3"/>
  </si>
  <si>
    <t>工事負担金</t>
    <rPh sb="0" eb="2">
      <t>コウジ</t>
    </rPh>
    <rPh sb="2" eb="5">
      <t>フタンキン</t>
    </rPh>
    <phoneticPr fontId="3"/>
  </si>
  <si>
    <t>受益者分担金</t>
    <rPh sb="0" eb="3">
      <t>ジュエキシャ</t>
    </rPh>
    <rPh sb="3" eb="6">
      <t>ブンタンキン</t>
    </rPh>
    <phoneticPr fontId="3"/>
  </si>
  <si>
    <t>受益者負担金</t>
    <rPh sb="0" eb="3">
      <t>ジュエキシャ</t>
    </rPh>
    <rPh sb="3" eb="6">
      <t>フタンキン</t>
    </rPh>
    <phoneticPr fontId="3"/>
  </si>
  <si>
    <t>工事受託金</t>
    <rPh sb="0" eb="2">
      <t>コウジ</t>
    </rPh>
    <rPh sb="2" eb="4">
      <t>ジュタク</t>
    </rPh>
    <rPh sb="4" eb="5">
      <t>キン</t>
    </rPh>
    <phoneticPr fontId="3"/>
  </si>
  <si>
    <t>工事受託金</t>
    <rPh sb="0" eb="2">
      <t>コウジ</t>
    </rPh>
    <rPh sb="2" eb="4">
      <t>ジュタク</t>
    </rPh>
    <rPh sb="4" eb="5">
      <t>カネ</t>
    </rPh>
    <phoneticPr fontId="3"/>
  </si>
  <si>
    <t>汚水処理施設整備交付金</t>
    <rPh sb="0" eb="2">
      <t>オスイ</t>
    </rPh>
    <rPh sb="2" eb="4">
      <t>ショリ</t>
    </rPh>
    <rPh sb="4" eb="6">
      <t>シセツ</t>
    </rPh>
    <rPh sb="6" eb="8">
      <t>セイビ</t>
    </rPh>
    <rPh sb="8" eb="11">
      <t>コウフキン</t>
    </rPh>
    <phoneticPr fontId="3"/>
  </si>
  <si>
    <t>公共下水道整備国庫補助金</t>
    <rPh sb="0" eb="2">
      <t>コウキョウ</t>
    </rPh>
    <rPh sb="2" eb="5">
      <t>ゲスイドウ</t>
    </rPh>
    <rPh sb="5" eb="7">
      <t>セイビ</t>
    </rPh>
    <rPh sb="7" eb="9">
      <t>コッコ</t>
    </rPh>
    <rPh sb="9" eb="12">
      <t>ホジョキン</t>
    </rPh>
    <phoneticPr fontId="3"/>
  </si>
  <si>
    <t>国庫補助金</t>
    <rPh sb="0" eb="2">
      <t>コッコ</t>
    </rPh>
    <rPh sb="2" eb="5">
      <t>ホジョキン</t>
    </rPh>
    <phoneticPr fontId="3"/>
  </si>
  <si>
    <t>その他出資金</t>
    <rPh sb="0" eb="3">
      <t>ソノタ</t>
    </rPh>
    <rPh sb="3" eb="6">
      <t>シュッシキン</t>
    </rPh>
    <phoneticPr fontId="3"/>
  </si>
  <si>
    <t>一般会計出資金</t>
    <rPh sb="0" eb="2">
      <t>イッパン</t>
    </rPh>
    <rPh sb="2" eb="4">
      <t>カイケイ</t>
    </rPh>
    <rPh sb="4" eb="7">
      <t>シュッシキン</t>
    </rPh>
    <phoneticPr fontId="3"/>
  </si>
  <si>
    <t>その他事業債（借換債等）</t>
    <rPh sb="2" eb="3">
      <t>タ</t>
    </rPh>
    <rPh sb="3" eb="6">
      <t>ジギョウサイ</t>
    </rPh>
    <rPh sb="7" eb="9">
      <t>カリカエ</t>
    </rPh>
    <rPh sb="9" eb="10">
      <t>サイ</t>
    </rPh>
    <rPh sb="10" eb="11">
      <t>トウ</t>
    </rPh>
    <phoneticPr fontId="3"/>
  </si>
  <si>
    <t>資本費平準化債</t>
    <rPh sb="0" eb="2">
      <t>シホン</t>
    </rPh>
    <rPh sb="2" eb="3">
      <t>ヒ</t>
    </rPh>
    <rPh sb="3" eb="6">
      <t>ヘイジュンカ</t>
    </rPh>
    <rPh sb="6" eb="7">
      <t>サイ</t>
    </rPh>
    <phoneticPr fontId="3"/>
  </si>
  <si>
    <t>流域下水道事業債</t>
    <rPh sb="0" eb="2">
      <t>リュウイキ</t>
    </rPh>
    <rPh sb="2" eb="5">
      <t>ゲスイドウ</t>
    </rPh>
    <rPh sb="5" eb="8">
      <t>ジギョウサイ</t>
    </rPh>
    <phoneticPr fontId="3"/>
  </si>
  <si>
    <t>公共下水道事業債</t>
    <phoneticPr fontId="3"/>
  </si>
  <si>
    <t>企業債</t>
    <rPh sb="0" eb="3">
      <t>キギョウサイ</t>
    </rPh>
    <phoneticPr fontId="3"/>
  </si>
  <si>
    <t>J－Ｃ</t>
    <phoneticPr fontId="3"/>
  </si>
  <si>
    <t>K</t>
    <phoneticPr fontId="3"/>
  </si>
  <si>
    <t>Ｊ(F-G+H＋Ｉ)</t>
    <phoneticPr fontId="3"/>
  </si>
  <si>
    <t>Ｉ</t>
    <phoneticPr fontId="3"/>
  </si>
  <si>
    <t>Ｈ</t>
    <phoneticPr fontId="3"/>
  </si>
  <si>
    <t>Ｇ</t>
    <phoneticPr fontId="3"/>
  </si>
  <si>
    <t>F(D-E)</t>
    <phoneticPr fontId="3"/>
  </si>
  <si>
    <t>E</t>
    <phoneticPr fontId="3"/>
  </si>
  <si>
    <t>Ｄ</t>
    <phoneticPr fontId="3"/>
  </si>
  <si>
    <t>Ｃ（Ａ＋Ｂ）</t>
    <phoneticPr fontId="3"/>
  </si>
  <si>
    <t>Ｂ</t>
    <phoneticPr fontId="3"/>
  </si>
  <si>
    <t>Ａ</t>
    <phoneticPr fontId="3"/>
  </si>
  <si>
    <t>差  引</t>
    <phoneticPr fontId="3"/>
  </si>
  <si>
    <t>翌年度繰越
充当額</t>
    <rPh sb="0" eb="3">
      <t>ヨクネンド</t>
    </rPh>
    <rPh sb="3" eb="5">
      <t>クリコシ</t>
    </rPh>
    <rPh sb="6" eb="8">
      <t>ジュウトウ</t>
    </rPh>
    <rPh sb="8" eb="9">
      <t>ガク</t>
    </rPh>
    <phoneticPr fontId="3"/>
  </si>
  <si>
    <t>みなし決算額</t>
    <rPh sb="3" eb="5">
      <t>ケッサン</t>
    </rPh>
    <rPh sb="5" eb="6">
      <t>ガク</t>
    </rPh>
    <phoneticPr fontId="3"/>
  </si>
  <si>
    <t>翌年度繰越
充当財源</t>
    <rPh sb="0" eb="3">
      <t>ヨクネンド</t>
    </rPh>
    <rPh sb="3" eb="5">
      <t>クリコシ</t>
    </rPh>
    <rPh sb="6" eb="8">
      <t>ジュウトウ</t>
    </rPh>
    <rPh sb="8" eb="10">
      <t>ザイゲン</t>
    </rPh>
    <phoneticPr fontId="3"/>
  </si>
  <si>
    <t>当年度決算
未充当額</t>
    <rPh sb="0" eb="3">
      <t>トウネンド</t>
    </rPh>
    <rPh sb="3" eb="5">
      <t>ケッサン</t>
    </rPh>
    <rPh sb="6" eb="7">
      <t>ミ</t>
    </rPh>
    <rPh sb="7" eb="9">
      <t>ジュウトウ</t>
    </rPh>
    <rPh sb="9" eb="10">
      <t>ガク</t>
    </rPh>
    <phoneticPr fontId="3"/>
  </si>
  <si>
    <t>前年度繰越
充当財源</t>
    <rPh sb="0" eb="3">
      <t>ゼンネンド</t>
    </rPh>
    <rPh sb="3" eb="5">
      <t>クリコシ</t>
    </rPh>
    <rPh sb="6" eb="8">
      <t>ジュウトウ</t>
    </rPh>
    <rPh sb="8" eb="10">
      <t>ザイゲン</t>
    </rPh>
    <phoneticPr fontId="3"/>
  </si>
  <si>
    <t>当年度決算額</t>
    <rPh sb="0" eb="3">
      <t>トウネンド</t>
    </rPh>
    <rPh sb="3" eb="5">
      <t>ケッサン</t>
    </rPh>
    <rPh sb="5" eb="6">
      <t>ガク</t>
    </rPh>
    <phoneticPr fontId="3"/>
  </si>
  <si>
    <t>前年度充当額（未発行債）</t>
    <rPh sb="0" eb="3">
      <t>ゼンネンド</t>
    </rPh>
    <rPh sb="3" eb="5">
      <t>ジュウトウ</t>
    </rPh>
    <rPh sb="5" eb="6">
      <t>ガク</t>
    </rPh>
    <rPh sb="7" eb="8">
      <t>ミ</t>
    </rPh>
    <rPh sb="8" eb="10">
      <t>ハッコウ</t>
    </rPh>
    <rPh sb="10" eb="11">
      <t>サイ</t>
    </rPh>
    <phoneticPr fontId="3"/>
  </si>
  <si>
    <t>決算額（電算）</t>
    <rPh sb="4" eb="6">
      <t>デンサン</t>
    </rPh>
    <phoneticPr fontId="3"/>
  </si>
  <si>
    <t>流用・振替等
増減額</t>
    <rPh sb="0" eb="2">
      <t>リュウヨウ</t>
    </rPh>
    <rPh sb="3" eb="5">
      <t>フリカエ</t>
    </rPh>
    <rPh sb="5" eb="6">
      <t>トウ</t>
    </rPh>
    <rPh sb="7" eb="10">
      <t>ゾウゲンガク</t>
    </rPh>
    <phoneticPr fontId="3"/>
  </si>
  <si>
    <t>議決予算額　　　　　（補正後）</t>
    <rPh sb="11" eb="13">
      <t>ホセイ</t>
    </rPh>
    <rPh sb="13" eb="14">
      <t>ゴ</t>
    </rPh>
    <phoneticPr fontId="3"/>
  </si>
  <si>
    <t>国庫補助金返還金</t>
    <rPh sb="0" eb="2">
      <t>コッコ</t>
    </rPh>
    <rPh sb="2" eb="5">
      <t>ホジョキン</t>
    </rPh>
    <rPh sb="5" eb="8">
      <t>ヘンカンキン</t>
    </rPh>
    <phoneticPr fontId="3"/>
  </si>
  <si>
    <t>返還金</t>
    <rPh sb="0" eb="3">
      <t>ヘンカンキン</t>
    </rPh>
    <phoneticPr fontId="3"/>
  </si>
  <si>
    <t>一般会計借入金償還金</t>
    <rPh sb="0" eb="4">
      <t>イ</t>
    </rPh>
    <rPh sb="4" eb="6">
      <t>カリイレ</t>
    </rPh>
    <rPh sb="6" eb="7">
      <t>キン</t>
    </rPh>
    <rPh sb="7" eb="9">
      <t>ショウカン</t>
    </rPh>
    <rPh sb="9" eb="10">
      <t>キン</t>
    </rPh>
    <phoneticPr fontId="3"/>
  </si>
  <si>
    <t>貸付資金企業債償還金</t>
    <rPh sb="0" eb="2">
      <t>カシツケ</t>
    </rPh>
    <rPh sb="2" eb="4">
      <t>シキン</t>
    </rPh>
    <rPh sb="4" eb="7">
      <t>キギョウサイ</t>
    </rPh>
    <rPh sb="7" eb="9">
      <t>ショウカン</t>
    </rPh>
    <rPh sb="9" eb="10">
      <t>キン</t>
    </rPh>
    <phoneticPr fontId="3"/>
  </si>
  <si>
    <t>企業債償還金</t>
    <rPh sb="0" eb="3">
      <t>キギョウサイ</t>
    </rPh>
    <rPh sb="3" eb="5">
      <t>ショウカン</t>
    </rPh>
    <rPh sb="5" eb="6">
      <t>キン</t>
    </rPh>
    <phoneticPr fontId="3"/>
  </si>
  <si>
    <t>償還金</t>
    <rPh sb="0" eb="2">
      <t>ショウカン</t>
    </rPh>
    <rPh sb="2" eb="3">
      <t>キン</t>
    </rPh>
    <phoneticPr fontId="3"/>
  </si>
  <si>
    <t>市街化区域外整備費</t>
    <rPh sb="0" eb="3">
      <t>シガイカ</t>
    </rPh>
    <rPh sb="3" eb="6">
      <t>クイキガイ</t>
    </rPh>
    <rPh sb="6" eb="9">
      <t>セイビヒ</t>
    </rPh>
    <phoneticPr fontId="3"/>
  </si>
  <si>
    <t>建設利息</t>
    <rPh sb="0" eb="2">
      <t>ケンセツ</t>
    </rPh>
    <rPh sb="2" eb="4">
      <t>リソク</t>
    </rPh>
    <phoneticPr fontId="3"/>
  </si>
  <si>
    <t>諸設備新設改良費</t>
    <rPh sb="0" eb="3">
      <t>ショセツビ</t>
    </rPh>
    <rPh sb="3" eb="5">
      <t>シンセツ</t>
    </rPh>
    <rPh sb="5" eb="7">
      <t>カイリョウ</t>
    </rPh>
    <rPh sb="7" eb="8">
      <t>ヒ</t>
    </rPh>
    <phoneticPr fontId="3"/>
  </si>
  <si>
    <t>流域下水道整備費</t>
    <rPh sb="0" eb="2">
      <t>リュウイキ</t>
    </rPh>
    <rPh sb="2" eb="5">
      <t>ゲスイドウ</t>
    </rPh>
    <rPh sb="5" eb="8">
      <t>セイビヒ</t>
    </rPh>
    <phoneticPr fontId="3"/>
  </si>
  <si>
    <t>都市下水路整備費</t>
    <rPh sb="0" eb="2">
      <t>トシ</t>
    </rPh>
    <rPh sb="2" eb="3">
      <t>ゲ</t>
    </rPh>
    <rPh sb="3" eb="5">
      <t>スイロ</t>
    </rPh>
    <rPh sb="5" eb="8">
      <t>セイビヒ</t>
    </rPh>
    <phoneticPr fontId="3"/>
  </si>
  <si>
    <t>排水設備整備費</t>
    <rPh sb="0" eb="2">
      <t>ハイスイ</t>
    </rPh>
    <rPh sb="2" eb="4">
      <t>セツビ</t>
    </rPh>
    <rPh sb="4" eb="7">
      <t>セイビヒ</t>
    </rPh>
    <phoneticPr fontId="3"/>
  </si>
  <si>
    <t>受益者負担金業務費</t>
    <rPh sb="0" eb="3">
      <t>ジュエキシャ</t>
    </rPh>
    <rPh sb="3" eb="6">
      <t>フタンキン</t>
    </rPh>
    <rPh sb="6" eb="8">
      <t>ギョウム</t>
    </rPh>
    <rPh sb="8" eb="9">
      <t>ヒ</t>
    </rPh>
    <phoneticPr fontId="3"/>
  </si>
  <si>
    <t>公共下水道整備費</t>
    <rPh sb="0" eb="2">
      <t>コウキョウ</t>
    </rPh>
    <rPh sb="2" eb="5">
      <t>ゲスイドウ</t>
    </rPh>
    <rPh sb="5" eb="8">
      <t>セイビヒ</t>
    </rPh>
    <phoneticPr fontId="3"/>
  </si>
  <si>
    <t>建設改良費</t>
    <rPh sb="0" eb="2">
      <t>ケンセツ</t>
    </rPh>
    <rPh sb="2" eb="4">
      <t>カイリョウ</t>
    </rPh>
    <rPh sb="4" eb="5">
      <t>ヒ</t>
    </rPh>
    <phoneticPr fontId="3"/>
  </si>
  <si>
    <t>資本的支出</t>
    <rPh sb="0" eb="3">
      <t>シホンテキ</t>
    </rPh>
    <rPh sb="3" eb="5">
      <t>シシュツ</t>
    </rPh>
    <phoneticPr fontId="3"/>
  </si>
  <si>
    <t>Ｃ－Ｈ</t>
    <phoneticPr fontId="3"/>
  </si>
  <si>
    <t>Ｈ（F+G）</t>
    <phoneticPr fontId="3"/>
  </si>
  <si>
    <t>Ｇ</t>
    <phoneticPr fontId="3"/>
  </si>
  <si>
    <t>Ｆ（Ｄ-Ｅ）</t>
    <phoneticPr fontId="3"/>
  </si>
  <si>
    <t>Ｅ</t>
    <phoneticPr fontId="3"/>
  </si>
  <si>
    <t>Ｄ</t>
    <phoneticPr fontId="3"/>
  </si>
  <si>
    <t>Ｃ（Ａ＋Ｂ）</t>
    <phoneticPr fontId="3"/>
  </si>
  <si>
    <t>Ｂ</t>
    <phoneticPr fontId="3"/>
  </si>
  <si>
    <t>Ａ</t>
    <phoneticPr fontId="3"/>
  </si>
  <si>
    <t>不用額</t>
    <rPh sb="0" eb="3">
      <t>フヨウガク</t>
    </rPh>
    <phoneticPr fontId="3"/>
  </si>
  <si>
    <t>翌年度繰越額</t>
    <rPh sb="0" eb="2">
      <t>ヨクネン</t>
    </rPh>
    <phoneticPr fontId="3"/>
  </si>
  <si>
    <t>決算額（電算）</t>
    <rPh sb="0" eb="2">
      <t>ケッサン</t>
    </rPh>
    <rPh sb="2" eb="3">
      <t>ガク</t>
    </rPh>
    <rPh sb="4" eb="6">
      <t>デンサン</t>
    </rPh>
    <phoneticPr fontId="3"/>
  </si>
  <si>
    <t>議決予算額
（補正後）</t>
    <rPh sb="7" eb="9">
      <t>ホセイ</t>
    </rPh>
    <rPh sb="9" eb="10">
      <t>ゴ</t>
    </rPh>
    <phoneticPr fontId="3"/>
  </si>
  <si>
    <t>（単位：円）</t>
  </si>
  <si>
    <t>差引チェック（「０」が正しい）→</t>
    <rPh sb="0" eb="2">
      <t>サシヒキ</t>
    </rPh>
    <rPh sb="11" eb="12">
      <t>タダ</t>
    </rPh>
    <phoneticPr fontId="3"/>
  </si>
  <si>
    <t>3条収入シート純利益額→</t>
    <rPh sb="1" eb="2">
      <t>ジョウ</t>
    </rPh>
    <rPh sb="2" eb="4">
      <t>シュウニュウ</t>
    </rPh>
    <rPh sb="7" eb="10">
      <t>ジュンリエキ</t>
    </rPh>
    <rPh sb="10" eb="11">
      <t>ガク</t>
    </rPh>
    <phoneticPr fontId="3"/>
  </si>
  <si>
    <t>注：資本的収入及び支出は、みなし決算額である。</t>
    <rPh sb="0" eb="1">
      <t>チュウ</t>
    </rPh>
    <rPh sb="2" eb="5">
      <t>シホンテキ</t>
    </rPh>
    <rPh sb="5" eb="7">
      <t>シュウニュウ</t>
    </rPh>
    <rPh sb="7" eb="8">
      <t>オヨ</t>
    </rPh>
    <rPh sb="9" eb="11">
      <t>シシュツ</t>
    </rPh>
    <rPh sb="16" eb="18">
      <t>ケッサン</t>
    </rPh>
    <rPh sb="18" eb="19">
      <t>ガク</t>
    </rPh>
    <phoneticPr fontId="3"/>
  </si>
  <si>
    <t>合計額</t>
    <rPh sb="0" eb="2">
      <t>ゴウケイ</t>
    </rPh>
    <rPh sb="2" eb="3">
      <t>ガク</t>
    </rPh>
    <phoneticPr fontId="3"/>
  </si>
  <si>
    <t>純利益</t>
    <rPh sb="0" eb="1">
      <t>ジュン</t>
    </rPh>
    <rPh sb="1" eb="3">
      <t>リエキ</t>
    </rPh>
    <phoneticPr fontId="3"/>
  </si>
  <si>
    <t>その他収入</t>
    <rPh sb="0" eb="3">
      <t>ソノタ</t>
    </rPh>
    <rPh sb="3" eb="5">
      <t>シュウニュウ</t>
    </rPh>
    <phoneticPr fontId="3"/>
  </si>
  <si>
    <t>出資金</t>
    <rPh sb="0" eb="3">
      <t>シュッシキン</t>
    </rPh>
    <phoneticPr fontId="3"/>
  </si>
  <si>
    <t>一般会計出資金</t>
    <rPh sb="0" eb="2">
      <t>イッパン</t>
    </rPh>
    <rPh sb="2" eb="4">
      <t>カイケイ</t>
    </rPh>
    <rPh sb="4" eb="6">
      <t>シュッシ</t>
    </rPh>
    <rPh sb="6" eb="7">
      <t>キン</t>
    </rPh>
    <phoneticPr fontId="3"/>
  </si>
  <si>
    <t>水洗化貸付事業費</t>
    <rPh sb="0" eb="2">
      <t>スイセン</t>
    </rPh>
    <rPh sb="2" eb="3">
      <t>カ</t>
    </rPh>
    <rPh sb="3" eb="5">
      <t>カシツケ</t>
    </rPh>
    <rPh sb="5" eb="7">
      <t>ジギョウ</t>
    </rPh>
    <rPh sb="7" eb="8">
      <t>ヒ</t>
    </rPh>
    <phoneticPr fontId="3"/>
  </si>
  <si>
    <t>(うち前年度からの繰越分)</t>
    <rPh sb="3" eb="4">
      <t>マエ</t>
    </rPh>
    <rPh sb="4" eb="6">
      <t>ネンド</t>
    </rPh>
    <rPh sb="9" eb="11">
      <t>クリコシ</t>
    </rPh>
    <rPh sb="11" eb="12">
      <t>ブン</t>
    </rPh>
    <phoneticPr fontId="3"/>
  </si>
  <si>
    <t>(前年度繰越工事資金当年度充当額)</t>
    <rPh sb="1" eb="4">
      <t>ゼンネンド</t>
    </rPh>
    <rPh sb="4" eb="6">
      <t>クリコシ</t>
    </rPh>
    <rPh sb="6" eb="8">
      <t>コウジ</t>
    </rPh>
    <rPh sb="8" eb="10">
      <t>シキン</t>
    </rPh>
    <phoneticPr fontId="3"/>
  </si>
  <si>
    <t>企業債発行差金（実決算）</t>
    <rPh sb="0" eb="3">
      <t>キギョウサイ</t>
    </rPh>
    <rPh sb="3" eb="5">
      <t>ハッコウ</t>
    </rPh>
    <rPh sb="5" eb="7">
      <t>サキン</t>
    </rPh>
    <rPh sb="8" eb="9">
      <t>ジツ</t>
    </rPh>
    <rPh sb="9" eb="11">
      <t>ケッサン</t>
    </rPh>
    <phoneticPr fontId="3"/>
  </si>
  <si>
    <t>(減債積立金)</t>
    <rPh sb="1" eb="3">
      <t>ゲンサイ</t>
    </rPh>
    <rPh sb="3" eb="5">
      <t>ツミタテ</t>
    </rPh>
    <rPh sb="5" eb="6">
      <t>キン</t>
    </rPh>
    <phoneticPr fontId="3"/>
  </si>
  <si>
    <t>長期前受金戻入等</t>
    <rPh sb="0" eb="2">
      <t>チョウキ</t>
    </rPh>
    <rPh sb="2" eb="5">
      <t>マエウケキン</t>
    </rPh>
    <rPh sb="5" eb="7">
      <t>レイニュウ</t>
    </rPh>
    <rPh sb="7" eb="8">
      <t>トウ</t>
    </rPh>
    <phoneticPr fontId="3"/>
  </si>
  <si>
    <t>(当年度消費税等資本的収支調整額)</t>
    <rPh sb="1" eb="2">
      <t>トウ</t>
    </rPh>
    <rPh sb="2" eb="3">
      <t>ネン</t>
    </rPh>
    <rPh sb="3" eb="4">
      <t>ネンド</t>
    </rPh>
    <rPh sb="4" eb="6">
      <t>ショウヒ</t>
    </rPh>
    <rPh sb="6" eb="7">
      <t>ゼイ</t>
    </rPh>
    <rPh sb="7" eb="8">
      <t>トウ</t>
    </rPh>
    <rPh sb="8" eb="11">
      <t>シホンテキ</t>
    </rPh>
    <rPh sb="11" eb="13">
      <t>シュウシ</t>
    </rPh>
    <rPh sb="13" eb="15">
      <t>チョウセイ</t>
    </rPh>
    <rPh sb="15" eb="16">
      <t>ガク</t>
    </rPh>
    <phoneticPr fontId="3"/>
  </si>
  <si>
    <t>固定資産除却費等</t>
    <rPh sb="0" eb="4">
      <t>コテイシサン</t>
    </rPh>
    <rPh sb="4" eb="5">
      <t>ノゾ</t>
    </rPh>
    <rPh sb="5" eb="6">
      <t>キャク</t>
    </rPh>
    <rPh sb="6" eb="7">
      <t>ヒ</t>
    </rPh>
    <rPh sb="7" eb="8">
      <t>トウ</t>
    </rPh>
    <phoneticPr fontId="3"/>
  </si>
  <si>
    <t>企業債償還金</t>
    <rPh sb="0" eb="3">
      <t>キギョウサイ</t>
    </rPh>
    <rPh sb="3" eb="5">
      <t>ショウカン</t>
    </rPh>
    <rPh sb="5" eb="6">
      <t>サキン</t>
    </rPh>
    <phoneticPr fontId="3"/>
  </si>
  <si>
    <t>(当年度損益勘定留保資金)</t>
    <rPh sb="1" eb="2">
      <t>トウガイ</t>
    </rPh>
    <rPh sb="2" eb="4">
      <t>ネンド</t>
    </rPh>
    <rPh sb="4" eb="6">
      <t>ソンエキ</t>
    </rPh>
    <rPh sb="6" eb="8">
      <t>カンジョウ</t>
    </rPh>
    <rPh sb="8" eb="10">
      <t>リュウホ</t>
    </rPh>
    <rPh sb="10" eb="12">
      <t>シキン</t>
    </rPh>
    <phoneticPr fontId="3"/>
  </si>
  <si>
    <t>(うち前年度からの繰越分を除く)</t>
    <rPh sb="3" eb="4">
      <t>ゼン</t>
    </rPh>
    <rPh sb="4" eb="6">
      <t>ネンド</t>
    </rPh>
    <rPh sb="9" eb="11">
      <t>クリコシ</t>
    </rPh>
    <rPh sb="11" eb="12">
      <t>ブン</t>
    </rPh>
    <rPh sb="13" eb="14">
      <t>ノゾ</t>
    </rPh>
    <phoneticPr fontId="3"/>
  </si>
  <si>
    <t>一般会計負担金</t>
    <rPh sb="0" eb="4">
      <t>イッパンカイケイ</t>
    </rPh>
    <rPh sb="4" eb="6">
      <t>フタン</t>
    </rPh>
    <rPh sb="6" eb="7">
      <t>ホジョキン</t>
    </rPh>
    <phoneticPr fontId="3"/>
  </si>
  <si>
    <t>(過年度損益勘定留保資金)</t>
    <rPh sb="1" eb="2">
      <t>カ</t>
    </rPh>
    <rPh sb="2" eb="4">
      <t>ネンド</t>
    </rPh>
    <rPh sb="4" eb="6">
      <t>ソンエキ</t>
    </rPh>
    <rPh sb="6" eb="8">
      <t>カンジョウ</t>
    </rPh>
    <rPh sb="8" eb="10">
      <t>リュウホ</t>
    </rPh>
    <rPh sb="10" eb="12">
      <t>シキン</t>
    </rPh>
    <phoneticPr fontId="3"/>
  </si>
  <si>
    <t>(損益勘定留保資金)</t>
    <rPh sb="1" eb="3">
      <t>ソンエキ</t>
    </rPh>
    <rPh sb="3" eb="5">
      <t>カンジョウ</t>
    </rPh>
    <rPh sb="5" eb="7">
      <t>リュウホ</t>
    </rPh>
    <rPh sb="7" eb="9">
      <t>シキン</t>
    </rPh>
    <phoneticPr fontId="3"/>
  </si>
  <si>
    <t>補てん財源</t>
    <rPh sb="0" eb="1">
      <t>ホ</t>
    </rPh>
    <rPh sb="3" eb="5">
      <t>ザイゲン</t>
    </rPh>
    <phoneticPr fontId="3"/>
  </si>
  <si>
    <t>(翌年度繰越分)</t>
    <rPh sb="1" eb="4">
      <t>ヨクネンド</t>
    </rPh>
    <rPh sb="4" eb="6">
      <t>クリコシ</t>
    </rPh>
    <rPh sb="6" eb="7">
      <t>ブン</t>
    </rPh>
    <phoneticPr fontId="3"/>
  </si>
  <si>
    <t>(現年度分)</t>
    <rPh sb="1" eb="4">
      <t>ゲンネンド</t>
    </rPh>
    <rPh sb="4" eb="5">
      <t>ブン</t>
    </rPh>
    <phoneticPr fontId="3"/>
  </si>
  <si>
    <t>国庫補助金・県補助金</t>
    <rPh sb="0" eb="2">
      <t>コッコ</t>
    </rPh>
    <rPh sb="2" eb="5">
      <t>ホジョキン</t>
    </rPh>
    <rPh sb="6" eb="7">
      <t>ケン</t>
    </rPh>
    <rPh sb="7" eb="10">
      <t>ホ</t>
    </rPh>
    <phoneticPr fontId="3"/>
  </si>
  <si>
    <t>資本費</t>
    <rPh sb="0" eb="2">
      <t>シホン</t>
    </rPh>
    <rPh sb="2" eb="3">
      <t>ヒ</t>
    </rPh>
    <phoneticPr fontId="3"/>
  </si>
  <si>
    <t>維持管理費</t>
    <rPh sb="0" eb="2">
      <t>イジ</t>
    </rPh>
    <rPh sb="2" eb="5">
      <t>カンリヒ</t>
    </rPh>
    <phoneticPr fontId="3"/>
  </si>
  <si>
    <t>企業債</t>
    <rPh sb="0" eb="2">
      <t>キギョウ</t>
    </rPh>
    <rPh sb="2" eb="3">
      <t>サイ</t>
    </rPh>
    <phoneticPr fontId="3"/>
  </si>
  <si>
    <t>(支出)</t>
    <rPh sb="1" eb="3">
      <t>シシュツ</t>
    </rPh>
    <phoneticPr fontId="3"/>
  </si>
  <si>
    <t>(収入)</t>
    <rPh sb="1" eb="3">
      <t>シュウニュウ</t>
    </rPh>
    <phoneticPr fontId="3"/>
  </si>
  <si>
    <t>資本的収入及び支出(税込み)</t>
    <rPh sb="0" eb="2">
      <t>シホン</t>
    </rPh>
    <rPh sb="2" eb="3">
      <t>シュウエキテキ</t>
    </rPh>
    <rPh sb="3" eb="5">
      <t>シュウニュウ</t>
    </rPh>
    <rPh sb="5" eb="6">
      <t>オヨ</t>
    </rPh>
    <rPh sb="7" eb="9">
      <t>シシュツ</t>
    </rPh>
    <rPh sb="10" eb="12">
      <t>ゼイコ</t>
    </rPh>
    <phoneticPr fontId="3"/>
  </si>
  <si>
    <t>収益的収入及び支出(税抜き)</t>
    <rPh sb="0" eb="3">
      <t>シュウエキテキ</t>
    </rPh>
    <rPh sb="3" eb="5">
      <t>シュウニュウ</t>
    </rPh>
    <rPh sb="5" eb="6">
      <t>オヨ</t>
    </rPh>
    <rPh sb="7" eb="9">
      <t>シシュツ</t>
    </rPh>
    <rPh sb="10" eb="12">
      <t>ゼイヌ</t>
    </rPh>
    <phoneticPr fontId="3"/>
  </si>
  <si>
    <t>(単位:円)</t>
    <rPh sb="1" eb="3">
      <t>タンイ</t>
    </rPh>
    <rPh sb="4" eb="5">
      <t>エン</t>
    </rPh>
    <phoneticPr fontId="3"/>
  </si>
  <si>
    <t>↓資金余剰調整額</t>
    <rPh sb="1" eb="3">
      <t>シキン</t>
    </rPh>
    <rPh sb="3" eb="5">
      <t>ヨジョウ</t>
    </rPh>
    <rPh sb="5" eb="7">
      <t>チョウセイ</t>
    </rPh>
    <rPh sb="7" eb="8">
      <t>ガク</t>
    </rPh>
    <phoneticPr fontId="3"/>
  </si>
  <si>
    <t>当年度分</t>
    <rPh sb="0" eb="1">
      <t>トウ</t>
    </rPh>
    <rPh sb="1" eb="4">
      <t>ネンドブン</t>
    </rPh>
    <phoneticPr fontId="3"/>
  </si>
  <si>
    <t>前年度未収分</t>
    <rPh sb="0" eb="2">
      <t>ゼンネン</t>
    </rPh>
    <rPh sb="3" eb="5">
      <t>ミシュウ</t>
    </rPh>
    <rPh sb="5" eb="6">
      <t>ブン</t>
    </rPh>
    <phoneticPr fontId="3"/>
  </si>
  <si>
    <t>対前年
度比</t>
    <rPh sb="0" eb="1">
      <t>タイ</t>
    </rPh>
    <rPh sb="1" eb="3">
      <t>ゼンネン</t>
    </rPh>
    <rPh sb="4" eb="5">
      <t>ド</t>
    </rPh>
    <rPh sb="5" eb="6">
      <t>ヒ</t>
    </rPh>
    <phoneticPr fontId="3"/>
  </si>
  <si>
    <t>対予算
比</t>
    <rPh sb="0" eb="1">
      <t>タイ</t>
    </rPh>
    <rPh sb="1" eb="3">
      <t>ヨサン</t>
    </rPh>
    <rPh sb="4" eb="5">
      <t>ヒ</t>
    </rPh>
    <phoneticPr fontId="3"/>
  </si>
  <si>
    <t>水洗便所改造資金
貸付借入金</t>
    <rPh sb="0" eb="2">
      <t>スイセン</t>
    </rPh>
    <rPh sb="2" eb="4">
      <t>ベンジョ</t>
    </rPh>
    <rPh sb="4" eb="6">
      <t>カイゾウ</t>
    </rPh>
    <rPh sb="6" eb="8">
      <t>シキン</t>
    </rPh>
    <rPh sb="9" eb="11">
      <t>カシツケ</t>
    </rPh>
    <rPh sb="11" eb="13">
      <t>カリイレ</t>
    </rPh>
    <rPh sb="13" eb="14">
      <t>キン</t>
    </rPh>
    <phoneticPr fontId="3"/>
  </si>
  <si>
    <t>し尿浄化槽廃止資金
貸付借入金</t>
    <rPh sb="1" eb="2">
      <t>ニョウ</t>
    </rPh>
    <rPh sb="2" eb="5">
      <t>ジョウカソウ</t>
    </rPh>
    <rPh sb="5" eb="7">
      <t>ハイシ</t>
    </rPh>
    <rPh sb="7" eb="9">
      <t>シキン</t>
    </rPh>
    <rPh sb="10" eb="12">
      <t>カシツケ</t>
    </rPh>
    <rPh sb="12" eb="14">
      <t>カリイレ</t>
    </rPh>
    <rPh sb="14" eb="15">
      <t>キン</t>
    </rPh>
    <phoneticPr fontId="3"/>
  </si>
  <si>
    <t>排水設備改修資金
貸付借入金</t>
    <rPh sb="0" eb="2">
      <t>ハイスイ</t>
    </rPh>
    <rPh sb="2" eb="4">
      <t>セツビ</t>
    </rPh>
    <rPh sb="4" eb="6">
      <t>カイシュウ</t>
    </rPh>
    <rPh sb="6" eb="8">
      <t>シキン</t>
    </rPh>
    <rPh sb="9" eb="11">
      <t>カシツケ</t>
    </rPh>
    <rPh sb="11" eb="13">
      <t>カリイレ</t>
    </rPh>
    <rPh sb="13" eb="14">
      <t>キン</t>
    </rPh>
    <phoneticPr fontId="3"/>
  </si>
  <si>
    <t>収 入</t>
    <rPh sb="0" eb="3">
      <t>シュウニュウ</t>
    </rPh>
    <phoneticPr fontId="28"/>
  </si>
  <si>
    <t>（単位：千円、％）</t>
    <rPh sb="1" eb="3">
      <t>タンイ</t>
    </rPh>
    <rPh sb="4" eb="6">
      <t>センエン</t>
    </rPh>
    <phoneticPr fontId="28"/>
  </si>
  <si>
    <t>区　　　　　　　　分</t>
    <rPh sb="0" eb="10">
      <t>クブン</t>
    </rPh>
    <phoneticPr fontId="28"/>
  </si>
  <si>
    <t>増　 減</t>
    <rPh sb="0" eb="1">
      <t>ゾウ</t>
    </rPh>
    <rPh sb="3" eb="4">
      <t>ゲン</t>
    </rPh>
    <phoneticPr fontId="28"/>
  </si>
  <si>
    <t>財政収支計画
（参考）</t>
    <rPh sb="0" eb="2">
      <t>ザイセイ</t>
    </rPh>
    <rPh sb="2" eb="4">
      <t>シュウシ</t>
    </rPh>
    <rPh sb="4" eb="6">
      <t>ケイカク</t>
    </rPh>
    <rPh sb="8" eb="10">
      <t>サンコウ</t>
    </rPh>
    <phoneticPr fontId="28"/>
  </si>
  <si>
    <t>決算額
（b）</t>
    <rPh sb="0" eb="2">
      <t>ケッサン</t>
    </rPh>
    <rPh sb="2" eb="3">
      <t>ガク</t>
    </rPh>
    <phoneticPr fontId="28"/>
  </si>
  <si>
    <t>率</t>
    <rPh sb="0" eb="1">
      <t>リツ</t>
    </rPh>
    <phoneticPr fontId="28"/>
  </si>
  <si>
    <t>下水道事業収益</t>
    <rPh sb="0" eb="3">
      <t>ゲスイドウ</t>
    </rPh>
    <rPh sb="3" eb="5">
      <t>ジギョウ</t>
    </rPh>
    <rPh sb="5" eb="7">
      <t>シュウエキ</t>
    </rPh>
    <phoneticPr fontId="28"/>
  </si>
  <si>
    <t>営業収益</t>
    <rPh sb="0" eb="2">
      <t>エイギョウ</t>
    </rPh>
    <rPh sb="2" eb="4">
      <t>シュウエキ</t>
    </rPh>
    <phoneticPr fontId="28"/>
  </si>
  <si>
    <t>下水道使用料</t>
    <rPh sb="0" eb="3">
      <t>ゲスイドウ</t>
    </rPh>
    <rPh sb="3" eb="6">
      <t>シヨウリョウ</t>
    </rPh>
    <phoneticPr fontId="28"/>
  </si>
  <si>
    <t>一般会計負担金</t>
    <rPh sb="0" eb="2">
      <t>イッパン</t>
    </rPh>
    <rPh sb="2" eb="4">
      <t>カイケイ</t>
    </rPh>
    <rPh sb="4" eb="7">
      <t>フタンキン</t>
    </rPh>
    <phoneticPr fontId="28"/>
  </si>
  <si>
    <t>雨水処理負担金</t>
    <rPh sb="0" eb="2">
      <t>ウスイ</t>
    </rPh>
    <rPh sb="2" eb="4">
      <t>ショリ</t>
    </rPh>
    <rPh sb="4" eb="7">
      <t>フタンキン</t>
    </rPh>
    <phoneticPr fontId="28"/>
  </si>
  <si>
    <t>水質指導費負担金</t>
    <rPh sb="0" eb="2">
      <t>スイシツ</t>
    </rPh>
    <rPh sb="2" eb="4">
      <t>シドウ</t>
    </rPh>
    <rPh sb="4" eb="5">
      <t>ヒ</t>
    </rPh>
    <rPh sb="5" eb="8">
      <t>フタンキン</t>
    </rPh>
    <phoneticPr fontId="28"/>
  </si>
  <si>
    <t>普及促進費負担金</t>
    <rPh sb="0" eb="2">
      <t>フキュウ</t>
    </rPh>
    <rPh sb="2" eb="4">
      <t>ソクシン</t>
    </rPh>
    <rPh sb="4" eb="5">
      <t>ヒ</t>
    </rPh>
    <rPh sb="5" eb="8">
      <t>フタンキン</t>
    </rPh>
    <phoneticPr fontId="28"/>
  </si>
  <si>
    <t>貸付事業費負担金</t>
    <rPh sb="0" eb="2">
      <t>カシツケ</t>
    </rPh>
    <rPh sb="2" eb="5">
      <t>ジギョウヒ</t>
    </rPh>
    <rPh sb="5" eb="8">
      <t>フタンキン</t>
    </rPh>
    <phoneticPr fontId="28"/>
  </si>
  <si>
    <t>高資本費対策費負担金</t>
    <rPh sb="0" eb="3">
      <t>コウシホン</t>
    </rPh>
    <rPh sb="3" eb="4">
      <t>ヒ</t>
    </rPh>
    <rPh sb="4" eb="7">
      <t>タイサクヒ</t>
    </rPh>
    <rPh sb="7" eb="10">
      <t>フタンキン</t>
    </rPh>
    <phoneticPr fontId="28"/>
  </si>
  <si>
    <t>その他営業収益</t>
    <rPh sb="0" eb="3">
      <t>ソノタ</t>
    </rPh>
    <rPh sb="3" eb="5">
      <t>エイギョウ</t>
    </rPh>
    <rPh sb="5" eb="7">
      <t>シュウエキ</t>
    </rPh>
    <phoneticPr fontId="28"/>
  </si>
  <si>
    <t>営業外収益</t>
    <rPh sb="0" eb="3">
      <t>エイギョウガイ</t>
    </rPh>
    <rPh sb="3" eb="5">
      <t>シュウエキ</t>
    </rPh>
    <phoneticPr fontId="28"/>
  </si>
  <si>
    <t>受取利息</t>
    <rPh sb="0" eb="2">
      <t>ウケトリ</t>
    </rPh>
    <rPh sb="2" eb="4">
      <t>リソク</t>
    </rPh>
    <phoneticPr fontId="28"/>
  </si>
  <si>
    <t>負担金</t>
    <rPh sb="0" eb="3">
      <t>フタンキン</t>
    </rPh>
    <phoneticPr fontId="28"/>
  </si>
  <si>
    <t>一般会計補助金</t>
    <rPh sb="0" eb="2">
      <t>イッパン</t>
    </rPh>
    <rPh sb="2" eb="4">
      <t>カイケイ</t>
    </rPh>
    <rPh sb="4" eb="7">
      <t>ホジョキン</t>
    </rPh>
    <phoneticPr fontId="28"/>
  </si>
  <si>
    <t>消費税還付金</t>
    <rPh sb="0" eb="3">
      <t>ショウヒゼイ</t>
    </rPh>
    <rPh sb="3" eb="6">
      <t>カンプキン</t>
    </rPh>
    <phoneticPr fontId="28"/>
  </si>
  <si>
    <t>雑収益</t>
    <rPh sb="0" eb="1">
      <t>ザツ</t>
    </rPh>
    <rPh sb="1" eb="3">
      <t>シュウエキ</t>
    </rPh>
    <phoneticPr fontId="28"/>
  </si>
  <si>
    <t>長期前受金戻入</t>
    <rPh sb="0" eb="2">
      <t>チョウキ</t>
    </rPh>
    <rPh sb="2" eb="5">
      <t>マエウケキン</t>
    </rPh>
    <rPh sb="5" eb="7">
      <t>レイニュウ</t>
    </rPh>
    <phoneticPr fontId="28"/>
  </si>
  <si>
    <t>特別利益</t>
    <rPh sb="0" eb="2">
      <t>トクベツ</t>
    </rPh>
    <rPh sb="2" eb="4">
      <t>リエキ</t>
    </rPh>
    <phoneticPr fontId="28"/>
  </si>
  <si>
    <t>固定資産売却収益</t>
    <rPh sb="0" eb="4">
      <t>コテイシサン</t>
    </rPh>
    <rPh sb="4" eb="6">
      <t>バイキャク</t>
    </rPh>
    <rPh sb="6" eb="8">
      <t>シュウエキ</t>
    </rPh>
    <phoneticPr fontId="28"/>
  </si>
  <si>
    <t>過年度損益修正益</t>
    <rPh sb="0" eb="3">
      <t>カネンド</t>
    </rPh>
    <rPh sb="3" eb="5">
      <t>ソンエキ</t>
    </rPh>
    <rPh sb="5" eb="7">
      <t>シュウセイ</t>
    </rPh>
    <rPh sb="7" eb="8">
      <t>エキ</t>
    </rPh>
    <phoneticPr fontId="28"/>
  </si>
  <si>
    <t>長期前受金戻入益</t>
    <rPh sb="0" eb="2">
      <t>チョウキ</t>
    </rPh>
    <rPh sb="2" eb="5">
      <t>マエウケキン</t>
    </rPh>
    <rPh sb="5" eb="7">
      <t>レイニュウ</t>
    </rPh>
    <rPh sb="7" eb="8">
      <t>エキ</t>
    </rPh>
    <phoneticPr fontId="28"/>
  </si>
  <si>
    <t>その他特別利益</t>
    <rPh sb="2" eb="3">
      <t>タ</t>
    </rPh>
    <rPh sb="3" eb="5">
      <t>トクベツ</t>
    </rPh>
    <rPh sb="5" eb="7">
      <t>リエキ</t>
    </rPh>
    <phoneticPr fontId="28"/>
  </si>
  <si>
    <t>一般会計負担金・補助金合計</t>
    <rPh sb="0" eb="2">
      <t>イッパン</t>
    </rPh>
    <rPh sb="2" eb="4">
      <t>カイケイ</t>
    </rPh>
    <rPh sb="4" eb="7">
      <t>フタンキン</t>
    </rPh>
    <rPh sb="8" eb="11">
      <t>ホジョキン</t>
    </rPh>
    <rPh sb="11" eb="13">
      <t>ゴウケイ</t>
    </rPh>
    <phoneticPr fontId="28"/>
  </si>
  <si>
    <t>支 出</t>
    <rPh sb="0" eb="3">
      <t>シシュツ</t>
    </rPh>
    <phoneticPr fontId="28"/>
  </si>
  <si>
    <t>下 水 道 事 業 費 用</t>
    <rPh sb="0" eb="5">
      <t>ゲスイドウ</t>
    </rPh>
    <rPh sb="6" eb="9">
      <t>ジギョウ</t>
    </rPh>
    <rPh sb="10" eb="13">
      <t>ヒヨウ</t>
    </rPh>
    <phoneticPr fontId="28"/>
  </si>
  <si>
    <t>営業費用</t>
    <rPh sb="0" eb="2">
      <t>エイギョウ</t>
    </rPh>
    <rPh sb="2" eb="4">
      <t>ヒヨウ</t>
    </rPh>
    <phoneticPr fontId="28"/>
  </si>
  <si>
    <t>管きょ費</t>
    <rPh sb="0" eb="1">
      <t>カン</t>
    </rPh>
    <rPh sb="3" eb="4">
      <t>ヒ</t>
    </rPh>
    <phoneticPr fontId="28"/>
  </si>
  <si>
    <t>水質指導費</t>
    <rPh sb="0" eb="2">
      <t>スイシツ</t>
    </rPh>
    <rPh sb="2" eb="5">
      <t>シドウヒ</t>
    </rPh>
    <phoneticPr fontId="28"/>
  </si>
  <si>
    <t>ポンプ場費</t>
    <rPh sb="0" eb="4">
      <t>ポンプジョウ</t>
    </rPh>
    <rPh sb="4" eb="5">
      <t>ヒ</t>
    </rPh>
    <phoneticPr fontId="28"/>
  </si>
  <si>
    <t>処理場費</t>
    <rPh sb="0" eb="3">
      <t>ショリジョウ</t>
    </rPh>
    <rPh sb="3" eb="4">
      <t>ヒ</t>
    </rPh>
    <phoneticPr fontId="28"/>
  </si>
  <si>
    <t>普及促進費</t>
    <rPh sb="0" eb="2">
      <t>フキュウ</t>
    </rPh>
    <rPh sb="2" eb="4">
      <t>ソクシン</t>
    </rPh>
    <rPh sb="4" eb="5">
      <t>ヒ</t>
    </rPh>
    <phoneticPr fontId="28"/>
  </si>
  <si>
    <t>水洗化貸付事業費</t>
    <rPh sb="0" eb="3">
      <t>スイセンカ</t>
    </rPh>
    <rPh sb="3" eb="5">
      <t>カシツケ</t>
    </rPh>
    <rPh sb="5" eb="8">
      <t>ジギョウヒ</t>
    </rPh>
    <phoneticPr fontId="28"/>
  </si>
  <si>
    <t>業務費</t>
    <rPh sb="0" eb="3">
      <t>ギョウムヒ</t>
    </rPh>
    <phoneticPr fontId="28"/>
  </si>
  <si>
    <t>総係費</t>
    <rPh sb="0" eb="1">
      <t>ソウ</t>
    </rPh>
    <rPh sb="1" eb="2">
      <t>カカリ</t>
    </rPh>
    <rPh sb="2" eb="3">
      <t>ヒ</t>
    </rPh>
    <phoneticPr fontId="28"/>
  </si>
  <si>
    <t>特環公共下水道費</t>
    <rPh sb="0" eb="1">
      <t>トク</t>
    </rPh>
    <rPh sb="1" eb="2">
      <t>カン</t>
    </rPh>
    <rPh sb="2" eb="4">
      <t>コウキョウ</t>
    </rPh>
    <rPh sb="4" eb="7">
      <t>ゲスイドウ</t>
    </rPh>
    <rPh sb="7" eb="8">
      <t>ヒ</t>
    </rPh>
    <phoneticPr fontId="28"/>
  </si>
  <si>
    <t>農業集落排水費</t>
    <rPh sb="0" eb="2">
      <t>ノウギョウ</t>
    </rPh>
    <rPh sb="2" eb="4">
      <t>シュウラク</t>
    </rPh>
    <rPh sb="4" eb="7">
      <t>ハイスイヒ</t>
    </rPh>
    <phoneticPr fontId="28"/>
  </si>
  <si>
    <t>浄化槽費</t>
    <rPh sb="0" eb="3">
      <t>ジョウカソウ</t>
    </rPh>
    <rPh sb="3" eb="4">
      <t>ヒ</t>
    </rPh>
    <phoneticPr fontId="28"/>
  </si>
  <si>
    <t>減価償却費</t>
    <rPh sb="0" eb="2">
      <t>ゲンカ</t>
    </rPh>
    <rPh sb="2" eb="5">
      <t>ショウキャクヒ</t>
    </rPh>
    <phoneticPr fontId="28"/>
  </si>
  <si>
    <t>資産減耗費</t>
    <rPh sb="0" eb="2">
      <t>シサン</t>
    </rPh>
    <rPh sb="2" eb="5">
      <t>ゲンモウヒ</t>
    </rPh>
    <phoneticPr fontId="28"/>
  </si>
  <si>
    <t>営業外費用</t>
    <rPh sb="0" eb="3">
      <t>エイギョウガイ</t>
    </rPh>
    <rPh sb="3" eb="5">
      <t>ヒヨウ</t>
    </rPh>
    <phoneticPr fontId="28"/>
  </si>
  <si>
    <t>支払利息及び企業債取扱諸費</t>
    <rPh sb="0" eb="2">
      <t>シハライ</t>
    </rPh>
    <rPh sb="2" eb="4">
      <t>リソク</t>
    </rPh>
    <rPh sb="4" eb="5">
      <t>オヨ</t>
    </rPh>
    <rPh sb="6" eb="9">
      <t>キギョウサイ</t>
    </rPh>
    <rPh sb="9" eb="11">
      <t>トリアツカイ</t>
    </rPh>
    <rPh sb="11" eb="13">
      <t>ショヒ</t>
    </rPh>
    <phoneticPr fontId="28"/>
  </si>
  <si>
    <t>消費税及び地方消費税</t>
    <rPh sb="0" eb="3">
      <t>ショウヒゼイ</t>
    </rPh>
    <rPh sb="3" eb="4">
      <t>オヨ</t>
    </rPh>
    <rPh sb="5" eb="7">
      <t>チホウ</t>
    </rPh>
    <rPh sb="7" eb="10">
      <t>ショウヒゼイ</t>
    </rPh>
    <phoneticPr fontId="28"/>
  </si>
  <si>
    <t>雑支出</t>
    <rPh sb="0" eb="1">
      <t>ザツ</t>
    </rPh>
    <rPh sb="1" eb="3">
      <t>シシュツ</t>
    </rPh>
    <phoneticPr fontId="28"/>
  </si>
  <si>
    <t>特別損失</t>
    <rPh sb="0" eb="2">
      <t>トクベツ</t>
    </rPh>
    <rPh sb="2" eb="4">
      <t>ソンシツ</t>
    </rPh>
    <phoneticPr fontId="28"/>
  </si>
  <si>
    <t>固定資産売却損</t>
    <rPh sb="0" eb="2">
      <t>コテイ</t>
    </rPh>
    <rPh sb="2" eb="4">
      <t>シサン</t>
    </rPh>
    <rPh sb="4" eb="6">
      <t>バイキャク</t>
    </rPh>
    <rPh sb="6" eb="7">
      <t>ソン</t>
    </rPh>
    <phoneticPr fontId="28"/>
  </si>
  <si>
    <t>過年度損益修正損</t>
    <rPh sb="0" eb="3">
      <t>カネンド</t>
    </rPh>
    <rPh sb="3" eb="5">
      <t>ソンエキ</t>
    </rPh>
    <rPh sb="5" eb="7">
      <t>シュウセイ</t>
    </rPh>
    <rPh sb="7" eb="8">
      <t>ソン</t>
    </rPh>
    <phoneticPr fontId="28"/>
  </si>
  <si>
    <t>減損損失</t>
    <rPh sb="0" eb="2">
      <t>ゲンソン</t>
    </rPh>
    <rPh sb="2" eb="4">
      <t>ソンシツ</t>
    </rPh>
    <phoneticPr fontId="28"/>
  </si>
  <si>
    <t>その他特別損失</t>
    <rPh sb="0" eb="3">
      <t>ソノタ</t>
    </rPh>
    <rPh sb="3" eb="5">
      <t>トクベツ</t>
    </rPh>
    <rPh sb="5" eb="7">
      <t>ソンシツ</t>
    </rPh>
    <phoneticPr fontId="28"/>
  </si>
  <si>
    <t>予備費</t>
    <rPh sb="0" eb="3">
      <t>ヨビヒ</t>
    </rPh>
    <phoneticPr fontId="28"/>
  </si>
  <si>
    <t>収支差引</t>
    <rPh sb="0" eb="2">
      <t>シュウシ</t>
    </rPh>
    <rPh sb="2" eb="4">
      <t>サシヒキ</t>
    </rPh>
    <phoneticPr fontId="3"/>
  </si>
  <si>
    <t>当年度補てん財源分</t>
    <rPh sb="0" eb="3">
      <t>トウネンド</t>
    </rPh>
    <rPh sb="3" eb="4">
      <t>ホ</t>
    </rPh>
    <rPh sb="6" eb="8">
      <t>ザイゲン</t>
    </rPh>
    <rPh sb="8" eb="9">
      <t>ブン</t>
    </rPh>
    <phoneticPr fontId="28"/>
  </si>
  <si>
    <t>翌年度補てん財源分</t>
    <rPh sb="0" eb="3">
      <t>ヨクネンド</t>
    </rPh>
    <rPh sb="3" eb="4">
      <t>ホ</t>
    </rPh>
    <rPh sb="6" eb="8">
      <t>ザイゲン</t>
    </rPh>
    <rPh sb="8" eb="9">
      <t>ブン</t>
    </rPh>
    <phoneticPr fontId="28"/>
  </si>
  <si>
    <t>各項目 合計 →</t>
    <rPh sb="0" eb="1">
      <t>カク</t>
    </rPh>
    <rPh sb="1" eb="3">
      <t>コウモク</t>
    </rPh>
    <rPh sb="4" eb="6">
      <t>ゴウケイ</t>
    </rPh>
    <phoneticPr fontId="3"/>
  </si>
  <si>
    <t>↓端数調整</t>
    <phoneticPr fontId="3"/>
  </si>
  <si>
    <t>平成２１年度</t>
    <phoneticPr fontId="28"/>
  </si>
  <si>
    <t>財政収支計画
（参考）</t>
    <rPh sb="0" eb="2">
      <t>ザイセイ</t>
    </rPh>
    <rPh sb="2" eb="4">
      <t>シュウシ</t>
    </rPh>
    <rPh sb="4" eb="6">
      <t>ケイカク</t>
    </rPh>
    <phoneticPr fontId="28"/>
  </si>
  <si>
    <t>議決予算額
（補正後）
（a）</t>
    <rPh sb="0" eb="2">
      <t>ギケツ</t>
    </rPh>
    <rPh sb="2" eb="5">
      <t>ヨサンガク</t>
    </rPh>
    <rPh sb="7" eb="9">
      <t>ホセイ</t>
    </rPh>
    <rPh sb="9" eb="10">
      <t>ゴ</t>
    </rPh>
    <phoneticPr fontId="28"/>
  </si>
  <si>
    <t>決算　　　　（c）</t>
    <rPh sb="0" eb="2">
      <t>ケッサン</t>
    </rPh>
    <phoneticPr fontId="28"/>
  </si>
  <si>
    <t>資本的収入</t>
    <rPh sb="0" eb="3">
      <t>シホンテキ</t>
    </rPh>
    <rPh sb="3" eb="5">
      <t>シュウニュウ</t>
    </rPh>
    <phoneticPr fontId="28"/>
  </si>
  <si>
    <t>企業債</t>
    <rPh sb="0" eb="3">
      <t>キギョウサイ</t>
    </rPh>
    <phoneticPr fontId="28"/>
  </si>
  <si>
    <t>建設企業債</t>
    <rPh sb="0" eb="2">
      <t>ケンセツ</t>
    </rPh>
    <rPh sb="2" eb="5">
      <t>キギョウサイ</t>
    </rPh>
    <phoneticPr fontId="28"/>
  </si>
  <si>
    <t>公共下水道事業債</t>
    <rPh sb="0" eb="2">
      <t>コウキョウ</t>
    </rPh>
    <rPh sb="2" eb="5">
      <t>ゲスイドウ</t>
    </rPh>
    <rPh sb="5" eb="8">
      <t>ジギョウサイ</t>
    </rPh>
    <phoneticPr fontId="28"/>
  </si>
  <si>
    <t>流域下水道事業債</t>
    <rPh sb="0" eb="2">
      <t>リュウイキ</t>
    </rPh>
    <rPh sb="2" eb="5">
      <t>ゲスイドウ</t>
    </rPh>
    <rPh sb="5" eb="8">
      <t>ジギョウサイ</t>
    </rPh>
    <phoneticPr fontId="28"/>
  </si>
  <si>
    <t>資本費平準化債（通常分）</t>
    <rPh sb="0" eb="3">
      <t>シホンヒ</t>
    </rPh>
    <rPh sb="3" eb="6">
      <t>ヘイジュンカ</t>
    </rPh>
    <rPh sb="6" eb="7">
      <t>サイ</t>
    </rPh>
    <rPh sb="8" eb="10">
      <t>ツウジョウ</t>
    </rPh>
    <rPh sb="10" eb="11">
      <t>ブン</t>
    </rPh>
    <phoneticPr fontId="28"/>
  </si>
  <si>
    <t>資本費平準化債（拡大分）</t>
    <rPh sb="0" eb="3">
      <t>シホンヒ</t>
    </rPh>
    <rPh sb="3" eb="6">
      <t>ヘイジュンカ</t>
    </rPh>
    <rPh sb="6" eb="7">
      <t>サイ</t>
    </rPh>
    <rPh sb="8" eb="10">
      <t>カクダイ</t>
    </rPh>
    <rPh sb="10" eb="11">
      <t>ブン</t>
    </rPh>
    <phoneticPr fontId="28"/>
  </si>
  <si>
    <t>市街化区域外汚水処理施設事業債</t>
    <rPh sb="0" eb="3">
      <t>シガイカ</t>
    </rPh>
    <rPh sb="3" eb="6">
      <t>クイキガイ</t>
    </rPh>
    <rPh sb="6" eb="8">
      <t>オスイ</t>
    </rPh>
    <rPh sb="8" eb="10">
      <t>ショリ</t>
    </rPh>
    <rPh sb="10" eb="12">
      <t>シセツ</t>
    </rPh>
    <rPh sb="12" eb="14">
      <t>ジギョウ</t>
    </rPh>
    <rPh sb="14" eb="15">
      <t>サイ</t>
    </rPh>
    <phoneticPr fontId="28"/>
  </si>
  <si>
    <t>借換債</t>
    <rPh sb="0" eb="2">
      <t>カリカエ</t>
    </rPh>
    <rPh sb="2" eb="3">
      <t>サイ</t>
    </rPh>
    <phoneticPr fontId="28"/>
  </si>
  <si>
    <t>出資債</t>
    <rPh sb="0" eb="2">
      <t>シュッシ</t>
    </rPh>
    <rPh sb="2" eb="3">
      <t>サイ</t>
    </rPh>
    <phoneticPr fontId="28"/>
  </si>
  <si>
    <t>一般会計出資金</t>
    <rPh sb="0" eb="2">
      <t>イッパン</t>
    </rPh>
    <rPh sb="2" eb="4">
      <t>カイケイ</t>
    </rPh>
    <rPh sb="4" eb="7">
      <t>シュッシキン</t>
    </rPh>
    <phoneticPr fontId="28"/>
  </si>
  <si>
    <t>国庫補助金</t>
    <rPh sb="0" eb="2">
      <t>コッコ</t>
    </rPh>
    <rPh sb="2" eb="5">
      <t>ホジョキン</t>
    </rPh>
    <phoneticPr fontId="28"/>
  </si>
  <si>
    <t>県補助金</t>
    <rPh sb="0" eb="1">
      <t>ケン</t>
    </rPh>
    <rPh sb="1" eb="4">
      <t>ホジョキン</t>
    </rPh>
    <phoneticPr fontId="28"/>
  </si>
  <si>
    <t>工事受託金</t>
    <rPh sb="0" eb="2">
      <t>コウジ</t>
    </rPh>
    <rPh sb="2" eb="4">
      <t>ジュタク</t>
    </rPh>
    <rPh sb="4" eb="5">
      <t>キン</t>
    </rPh>
    <phoneticPr fontId="28"/>
  </si>
  <si>
    <t>受益者負担金</t>
    <rPh sb="0" eb="3">
      <t>ジュエキシャ</t>
    </rPh>
    <rPh sb="3" eb="6">
      <t>フタンキン</t>
    </rPh>
    <phoneticPr fontId="28"/>
  </si>
  <si>
    <t>受益者分担金</t>
    <rPh sb="0" eb="3">
      <t>ジュエキシャ</t>
    </rPh>
    <rPh sb="3" eb="6">
      <t>ブンタンキン</t>
    </rPh>
    <phoneticPr fontId="28"/>
  </si>
  <si>
    <t>工事負担金</t>
    <rPh sb="0" eb="2">
      <t>コウジ</t>
    </rPh>
    <rPh sb="2" eb="5">
      <t>フタンキン</t>
    </rPh>
    <phoneticPr fontId="28"/>
  </si>
  <si>
    <t>他会計負担金</t>
    <rPh sb="0" eb="3">
      <t>タカイケイ</t>
    </rPh>
    <rPh sb="3" eb="6">
      <t>フタンキン</t>
    </rPh>
    <phoneticPr fontId="28"/>
  </si>
  <si>
    <t>水洗化貸付事業収入</t>
    <rPh sb="0" eb="3">
      <t>スイセンカ</t>
    </rPh>
    <rPh sb="3" eb="5">
      <t>カシツケ</t>
    </rPh>
    <rPh sb="5" eb="7">
      <t>ジギョウ</t>
    </rPh>
    <rPh sb="7" eb="9">
      <t>シュウニュウ</t>
    </rPh>
    <phoneticPr fontId="28"/>
  </si>
  <si>
    <t>貸付企業債</t>
    <rPh sb="0" eb="2">
      <t>カシツケ</t>
    </rPh>
    <rPh sb="2" eb="5">
      <t>キギョウサイ</t>
    </rPh>
    <phoneticPr fontId="28"/>
  </si>
  <si>
    <t>一般会計借入金</t>
    <rPh sb="0" eb="2">
      <t>イッパン</t>
    </rPh>
    <rPh sb="2" eb="4">
      <t>カイケイ</t>
    </rPh>
    <rPh sb="4" eb="7">
      <t>カリイレキン</t>
    </rPh>
    <phoneticPr fontId="28"/>
  </si>
  <si>
    <t>貸付金回収金</t>
    <rPh sb="0" eb="3">
      <t>カシツケキン</t>
    </rPh>
    <rPh sb="3" eb="6">
      <t>カイシュウキン</t>
    </rPh>
    <phoneticPr fontId="28"/>
  </si>
  <si>
    <t>水洗便所改造資金貸付金回収金</t>
    <rPh sb="0" eb="2">
      <t>スイセン</t>
    </rPh>
    <rPh sb="2" eb="4">
      <t>ベンジョ</t>
    </rPh>
    <rPh sb="4" eb="6">
      <t>カイゾウ</t>
    </rPh>
    <rPh sb="6" eb="8">
      <t>シキン</t>
    </rPh>
    <rPh sb="8" eb="11">
      <t>カシツケキン</t>
    </rPh>
    <rPh sb="11" eb="14">
      <t>カイシュウキン</t>
    </rPh>
    <phoneticPr fontId="28"/>
  </si>
  <si>
    <t>し尿浄化槽廃止資金貸付金回収金</t>
    <rPh sb="0" eb="2">
      <t>シニョウ</t>
    </rPh>
    <rPh sb="2" eb="5">
      <t>ジョウカソウ</t>
    </rPh>
    <rPh sb="5" eb="7">
      <t>ハイシ</t>
    </rPh>
    <rPh sb="7" eb="9">
      <t>シキン</t>
    </rPh>
    <rPh sb="9" eb="12">
      <t>カシツケキン</t>
    </rPh>
    <rPh sb="12" eb="15">
      <t>カイシュウキン</t>
    </rPh>
    <phoneticPr fontId="28"/>
  </si>
  <si>
    <t>排水設備改修資金貸付金回収金</t>
    <rPh sb="0" eb="2">
      <t>ハイスイ</t>
    </rPh>
    <rPh sb="2" eb="4">
      <t>セツビ</t>
    </rPh>
    <rPh sb="4" eb="6">
      <t>カイシュウ</t>
    </rPh>
    <rPh sb="6" eb="8">
      <t>シキン</t>
    </rPh>
    <rPh sb="8" eb="11">
      <t>カシツケキン</t>
    </rPh>
    <rPh sb="11" eb="14">
      <t>カイシュウキン</t>
    </rPh>
    <phoneticPr fontId="28"/>
  </si>
  <si>
    <t>固定資産売却代金</t>
    <rPh sb="0" eb="4">
      <t>コテイシサン</t>
    </rPh>
    <rPh sb="4" eb="6">
      <t>バイキャク</t>
    </rPh>
    <rPh sb="6" eb="8">
      <t>ダイキン</t>
    </rPh>
    <phoneticPr fontId="28"/>
  </si>
  <si>
    <t>その他資本的収入</t>
    <rPh sb="2" eb="3">
      <t>タ</t>
    </rPh>
    <rPh sb="3" eb="6">
      <t>シホンテキ</t>
    </rPh>
    <rPh sb="6" eb="8">
      <t>シュウニュウ</t>
    </rPh>
    <phoneticPr fontId="28"/>
  </si>
  <si>
    <t>一般会計出資金・借入金合計</t>
    <rPh sb="0" eb="2">
      <t>イッパン</t>
    </rPh>
    <rPh sb="2" eb="4">
      <t>カイケイ</t>
    </rPh>
    <rPh sb="4" eb="6">
      <t>シュッシ</t>
    </rPh>
    <rPh sb="6" eb="7">
      <t>フタンキン</t>
    </rPh>
    <rPh sb="8" eb="11">
      <t>カリイレキン</t>
    </rPh>
    <rPh sb="11" eb="13">
      <t>ゴウケイ</t>
    </rPh>
    <phoneticPr fontId="28"/>
  </si>
  <si>
    <t>資 本 的 支 出</t>
    <rPh sb="0" eb="5">
      <t>シホンテキ</t>
    </rPh>
    <rPh sb="6" eb="9">
      <t>シシュツ</t>
    </rPh>
    <phoneticPr fontId="28"/>
  </si>
  <si>
    <t>建設改良費</t>
    <rPh sb="0" eb="2">
      <t>ケンセツ</t>
    </rPh>
    <rPh sb="2" eb="5">
      <t>カイリョウヒ</t>
    </rPh>
    <phoneticPr fontId="28"/>
  </si>
  <si>
    <t>公共下水道整備費</t>
    <rPh sb="0" eb="2">
      <t>コウキョウ</t>
    </rPh>
    <rPh sb="2" eb="5">
      <t>ゲスイドウ</t>
    </rPh>
    <rPh sb="5" eb="8">
      <t>セイビヒ</t>
    </rPh>
    <phoneticPr fontId="28"/>
  </si>
  <si>
    <t>（認 　証 　分）</t>
    <rPh sb="1" eb="5">
      <t>ニンショウ</t>
    </rPh>
    <rPh sb="7" eb="8">
      <t>ブン</t>
    </rPh>
    <phoneticPr fontId="28"/>
  </si>
  <si>
    <t>（単 　独 　分）</t>
    <rPh sb="1" eb="5">
      <t>タンドク</t>
    </rPh>
    <rPh sb="7" eb="8">
      <t>ブン</t>
    </rPh>
    <phoneticPr fontId="28"/>
  </si>
  <si>
    <t>（継足人件費）</t>
    <rPh sb="1" eb="3">
      <t>ツギタ</t>
    </rPh>
    <rPh sb="3" eb="6">
      <t>ジンケンヒ</t>
    </rPh>
    <phoneticPr fontId="28"/>
  </si>
  <si>
    <t>管きょ整備</t>
  </si>
  <si>
    <t>ポンプ場整備</t>
  </si>
  <si>
    <t>処理場整備</t>
  </si>
  <si>
    <t>浸水対策</t>
  </si>
  <si>
    <t>その他</t>
    <rPh sb="0" eb="3">
      <t>ソノタ</t>
    </rPh>
    <phoneticPr fontId="28"/>
  </si>
  <si>
    <t>受益者負担金業務費</t>
  </si>
  <si>
    <t>排水設備整備費</t>
  </si>
  <si>
    <t>都市下水路整備費</t>
  </si>
  <si>
    <t>流域下水道整備費</t>
  </si>
  <si>
    <t>諸設備新設改良費</t>
  </si>
  <si>
    <t>建設利息</t>
  </si>
  <si>
    <t>市街化区域外汚水処理施設整備費</t>
    <rPh sb="12" eb="15">
      <t>セイビヒ</t>
    </rPh>
    <phoneticPr fontId="28"/>
  </si>
  <si>
    <t>償還金</t>
  </si>
  <si>
    <t>水洗化貸付事業費</t>
  </si>
  <si>
    <t>貸付金</t>
  </si>
  <si>
    <t>水洗便所改造資金貸付金</t>
    <rPh sb="0" eb="2">
      <t>スイセン</t>
    </rPh>
    <rPh sb="2" eb="4">
      <t>ベンジョ</t>
    </rPh>
    <rPh sb="4" eb="6">
      <t>カイゾウ</t>
    </rPh>
    <rPh sb="6" eb="8">
      <t>シキン</t>
    </rPh>
    <rPh sb="8" eb="11">
      <t>カシツケキン</t>
    </rPh>
    <phoneticPr fontId="28"/>
  </si>
  <si>
    <t>し尿浄化槽廃止資金貸付金</t>
    <rPh sb="0" eb="2">
      <t>シニョウ</t>
    </rPh>
    <rPh sb="2" eb="5">
      <t>ジョウカソウ</t>
    </rPh>
    <rPh sb="5" eb="7">
      <t>ハイシ</t>
    </rPh>
    <rPh sb="7" eb="9">
      <t>シキン</t>
    </rPh>
    <rPh sb="9" eb="12">
      <t>カシツケキン</t>
    </rPh>
    <phoneticPr fontId="28"/>
  </si>
  <si>
    <t>排水設備改修資金貸付金</t>
    <rPh sb="0" eb="2">
      <t>ハイスイ</t>
    </rPh>
    <rPh sb="2" eb="4">
      <t>セツビ</t>
    </rPh>
    <rPh sb="4" eb="6">
      <t>カイシュウ</t>
    </rPh>
    <rPh sb="6" eb="8">
      <t>シキン</t>
    </rPh>
    <rPh sb="8" eb="11">
      <t>カシツケキン</t>
    </rPh>
    <phoneticPr fontId="28"/>
  </si>
  <si>
    <t>出資金</t>
    <rPh sb="0" eb="3">
      <t>シュッシキン</t>
    </rPh>
    <phoneticPr fontId="28"/>
  </si>
  <si>
    <t>返還金</t>
    <rPh sb="0" eb="3">
      <t>ヘンカンキン</t>
    </rPh>
    <phoneticPr fontId="28"/>
  </si>
  <si>
    <t>差　　　　　　　　　　引</t>
    <rPh sb="0" eb="12">
      <t>サシヒキ</t>
    </rPh>
    <phoneticPr fontId="28"/>
  </si>
  <si>
    <t>前年度財源充当額</t>
    <rPh sb="0" eb="3">
      <t>ゼンネンド</t>
    </rPh>
    <rPh sb="3" eb="5">
      <t>ザイゲン</t>
    </rPh>
    <rPh sb="5" eb="7">
      <t>ジュウトウ</t>
    </rPh>
    <rPh sb="7" eb="8">
      <t>ガク</t>
    </rPh>
    <phoneticPr fontId="28"/>
  </si>
  <si>
    <t>財源不足額</t>
    <rPh sb="0" eb="2">
      <t>ザイゲン</t>
    </rPh>
    <rPh sb="2" eb="4">
      <t>フソク</t>
    </rPh>
    <rPh sb="4" eb="5">
      <t>ガク</t>
    </rPh>
    <phoneticPr fontId="28"/>
  </si>
  <si>
    <t>補てん財源</t>
    <rPh sb="0" eb="1">
      <t>ホ</t>
    </rPh>
    <rPh sb="3" eb="5">
      <t>ザイゲン</t>
    </rPh>
    <phoneticPr fontId="28"/>
  </si>
  <si>
    <t>当年度分損益勘定留保資金</t>
    <rPh sb="0" eb="3">
      <t>トウネンド</t>
    </rPh>
    <rPh sb="3" eb="4">
      <t>ブン</t>
    </rPh>
    <rPh sb="4" eb="6">
      <t>ソンエキ</t>
    </rPh>
    <rPh sb="6" eb="8">
      <t>カンジョウ</t>
    </rPh>
    <rPh sb="8" eb="10">
      <t>リュウホ</t>
    </rPh>
    <rPh sb="10" eb="12">
      <t>シキン</t>
    </rPh>
    <phoneticPr fontId="28"/>
  </si>
  <si>
    <t>減損損失</t>
    <rPh sb="0" eb="2">
      <t>ゲンソン</t>
    </rPh>
    <rPh sb="2" eb="4">
      <t>ソンシツ</t>
    </rPh>
    <phoneticPr fontId="32"/>
  </si>
  <si>
    <t>過年度損益修正損</t>
    <phoneticPr fontId="32"/>
  </si>
  <si>
    <t>企業債発行差金</t>
    <rPh sb="0" eb="3">
      <t>キギョウサイ</t>
    </rPh>
    <rPh sb="3" eb="5">
      <t>ハッコウ</t>
    </rPh>
    <rPh sb="5" eb="7">
      <t>サキン</t>
    </rPh>
    <phoneticPr fontId="28"/>
  </si>
  <si>
    <t>過年度分消費税資本的収支調整額</t>
    <rPh sb="0" eb="3">
      <t>カネンド</t>
    </rPh>
    <rPh sb="3" eb="4">
      <t>ブン</t>
    </rPh>
    <rPh sb="4" eb="7">
      <t>ショウヒゼイ</t>
    </rPh>
    <rPh sb="7" eb="10">
      <t>シホンテキ</t>
    </rPh>
    <rPh sb="10" eb="12">
      <t>シュウシ</t>
    </rPh>
    <rPh sb="12" eb="15">
      <t>チョウセイガク</t>
    </rPh>
    <phoneticPr fontId="28"/>
  </si>
  <si>
    <t>当年度分消費税資本的収支調整額</t>
    <rPh sb="0" eb="3">
      <t>トウネンド</t>
    </rPh>
    <rPh sb="3" eb="4">
      <t>ブン</t>
    </rPh>
    <rPh sb="4" eb="7">
      <t>ショウヒゼイ</t>
    </rPh>
    <rPh sb="7" eb="10">
      <t>シホンテキ</t>
    </rPh>
    <rPh sb="10" eb="12">
      <t>シュウシ</t>
    </rPh>
    <rPh sb="12" eb="15">
      <t>チョウセイガク</t>
    </rPh>
    <phoneticPr fontId="28"/>
  </si>
  <si>
    <t>減債積立金</t>
    <rPh sb="0" eb="2">
      <t>ゲンサイ</t>
    </rPh>
    <rPh sb="2" eb="4">
      <t>ツミタテ</t>
    </rPh>
    <rPh sb="4" eb="5">
      <t>キン</t>
    </rPh>
    <phoneticPr fontId="32"/>
  </si>
  <si>
    <t>繰越工事資金</t>
    <rPh sb="0" eb="2">
      <t>クリコシ</t>
    </rPh>
    <rPh sb="2" eb="4">
      <t>コウジ</t>
    </rPh>
    <rPh sb="4" eb="6">
      <t>シキン</t>
    </rPh>
    <phoneticPr fontId="28"/>
  </si>
  <si>
    <t>予算規模</t>
    <rPh sb="0" eb="2">
      <t>ヨサン</t>
    </rPh>
    <rPh sb="2" eb="4">
      <t>キボ</t>
    </rPh>
    <phoneticPr fontId="28"/>
  </si>
  <si>
    <t>繰入金合計</t>
    <rPh sb="0" eb="3">
      <t>クリイレキン</t>
    </rPh>
    <rPh sb="3" eb="5">
      <t>ゴウケイ</t>
    </rPh>
    <phoneticPr fontId="28"/>
  </si>
  <si>
    <t>一般会計借入金償還金</t>
    <phoneticPr fontId="3"/>
  </si>
  <si>
    <t>前年度からの繰越
（単位：千円）</t>
    <rPh sb="0" eb="3">
      <t>ゼンネンド</t>
    </rPh>
    <rPh sb="6" eb="8">
      <t>クリコシ</t>
    </rPh>
    <rPh sb="10" eb="12">
      <t>タンイ</t>
    </rPh>
    <rPh sb="13" eb="15">
      <t>センエン</t>
    </rPh>
    <phoneticPr fontId="3"/>
  </si>
  <si>
    <t>前年度からの繰越
（単位：千円）</t>
    <rPh sb="0" eb="3">
      <t>ゼンネンド</t>
    </rPh>
    <rPh sb="6" eb="8">
      <t>クリコシ</t>
    </rPh>
    <phoneticPr fontId="3"/>
  </si>
  <si>
    <t>控除不可消費税加算前</t>
    <rPh sb="0" eb="2">
      <t>コウジョ</t>
    </rPh>
    <rPh sb="2" eb="4">
      <t>フカ</t>
    </rPh>
    <rPh sb="4" eb="7">
      <t>ショウヒゼイ</t>
    </rPh>
    <rPh sb="7" eb="9">
      <t>カサン</t>
    </rPh>
    <rPh sb="9" eb="10">
      <t>マエ</t>
    </rPh>
    <phoneticPr fontId="3"/>
  </si>
  <si>
    <t>控除不可消費税加算後</t>
    <rPh sb="0" eb="2">
      <t>コウジョ</t>
    </rPh>
    <rPh sb="2" eb="4">
      <t>フカ</t>
    </rPh>
    <rPh sb="4" eb="7">
      <t>ショウヒゼイ</t>
    </rPh>
    <rPh sb="7" eb="9">
      <t>カサン</t>
    </rPh>
    <rPh sb="9" eb="10">
      <t>ゴ</t>
    </rPh>
    <phoneticPr fontId="3"/>
  </si>
  <si>
    <t>支払利息及び
企業債取扱諸費</t>
    <phoneticPr fontId="3"/>
  </si>
  <si>
    <t>災害復旧事業債</t>
  </si>
  <si>
    <t>災害復旧事業債</t>
    <phoneticPr fontId="3"/>
  </si>
  <si>
    <t>その他国庫補助金</t>
    <rPh sb="0" eb="3">
      <t>ソノタ</t>
    </rPh>
    <rPh sb="3" eb="8">
      <t>コッコホジョキン</t>
    </rPh>
    <phoneticPr fontId="3"/>
  </si>
  <si>
    <t>令和４年度</t>
    <rPh sb="0" eb="2">
      <t>レイワ</t>
    </rPh>
    <rPh sb="3" eb="5">
      <t>ネンド</t>
    </rPh>
    <phoneticPr fontId="37"/>
  </si>
  <si>
    <r>
      <t>資本的支出総額（</t>
    </r>
    <r>
      <rPr>
        <u/>
        <sz val="11"/>
        <color theme="1"/>
        <rFont val="ＭＳ Ｐゴシック"/>
        <family val="3"/>
        <charset val="128"/>
      </rPr>
      <t>執行額</t>
    </r>
    <r>
      <rPr>
        <sz val="11"/>
        <color theme="1"/>
        <rFont val="ＭＳ Ｐゴシック"/>
        <family val="3"/>
        <charset val="128"/>
      </rPr>
      <t>）</t>
    </r>
    <rPh sb="0" eb="5">
      <t>シホンテキシシュツ</t>
    </rPh>
    <rPh sb="5" eb="7">
      <t>ソウガク</t>
    </rPh>
    <rPh sb="8" eb="11">
      <t>シッコウガク</t>
    </rPh>
    <phoneticPr fontId="37"/>
  </si>
  <si>
    <t>a</t>
    <phoneticPr fontId="37"/>
  </si>
  <si>
    <t>資本的収入</t>
    <rPh sb="0" eb="5">
      <t>シホンテキシュウニュウ</t>
    </rPh>
    <phoneticPr fontId="37"/>
  </si>
  <si>
    <t>b=c-d</t>
    <phoneticPr fontId="37"/>
  </si>
  <si>
    <t>執行額（一般会計出資金収入含む）</t>
    <rPh sb="0" eb="2">
      <t>シッコウ</t>
    </rPh>
    <rPh sb="2" eb="3">
      <t>ガク</t>
    </rPh>
    <rPh sb="4" eb="8">
      <t>イッパンカイケイ</t>
    </rPh>
    <rPh sb="8" eb="11">
      <t>シュッシキン</t>
    </rPh>
    <rPh sb="11" eb="13">
      <t>シュウニュウ</t>
    </rPh>
    <rPh sb="13" eb="14">
      <t>フク</t>
    </rPh>
    <phoneticPr fontId="37"/>
  </si>
  <si>
    <t>c</t>
    <phoneticPr fontId="37"/>
  </si>
  <si>
    <t>うち翌年度に繰越す予算への財源充当額</t>
    <rPh sb="2" eb="5">
      <t>ヨクネンド</t>
    </rPh>
    <rPh sb="6" eb="8">
      <t>クリコシ</t>
    </rPh>
    <rPh sb="9" eb="11">
      <t>ヨサン</t>
    </rPh>
    <rPh sb="13" eb="15">
      <t>ザイゲン</t>
    </rPh>
    <rPh sb="15" eb="18">
      <t>ジュウトウガク</t>
    </rPh>
    <phoneticPr fontId="37"/>
  </si>
  <si>
    <t>d</t>
    <phoneticPr fontId="37"/>
  </si>
  <si>
    <t>資本的収支不足額</t>
    <rPh sb="0" eb="3">
      <t>シホンテキ</t>
    </rPh>
    <rPh sb="3" eb="5">
      <t>シュウシ</t>
    </rPh>
    <rPh sb="5" eb="8">
      <t>フソクガク</t>
    </rPh>
    <phoneticPr fontId="37"/>
  </si>
  <si>
    <t>e=a-b</t>
    <phoneticPr fontId="37"/>
  </si>
  <si>
    <t>補填財源</t>
    <rPh sb="0" eb="4">
      <t>ホテンザイゲン</t>
    </rPh>
    <phoneticPr fontId="37"/>
  </si>
  <si>
    <t>f=g+h+i+j</t>
    <phoneticPr fontId="37"/>
  </si>
  <si>
    <t>消費税資本的収支調整額</t>
    <rPh sb="0" eb="3">
      <t>ショウヒゼイ</t>
    </rPh>
    <rPh sb="3" eb="8">
      <t>シホンテキシュウシ</t>
    </rPh>
    <rPh sb="8" eb="11">
      <t>チョウセイガク</t>
    </rPh>
    <phoneticPr fontId="37"/>
  </si>
  <si>
    <t>g</t>
    <phoneticPr fontId="37"/>
  </si>
  <si>
    <t>繰越工事資金</t>
    <rPh sb="0" eb="2">
      <t>クリコシ</t>
    </rPh>
    <rPh sb="2" eb="6">
      <t>コウジシキン</t>
    </rPh>
    <phoneticPr fontId="37"/>
  </si>
  <si>
    <t>h=i+j</t>
    <phoneticPr fontId="37"/>
  </si>
  <si>
    <t>前年度からの自己財源</t>
    <phoneticPr fontId="37"/>
  </si>
  <si>
    <t>i</t>
    <phoneticPr fontId="37"/>
  </si>
  <si>
    <t>前々年度からの自己財源（事故繰越分）</t>
    <rPh sb="0" eb="4">
      <t>ゼンゼンネンド</t>
    </rPh>
    <rPh sb="7" eb="11">
      <t>ジコザイゲン</t>
    </rPh>
    <rPh sb="12" eb="16">
      <t>ジコクリコシ</t>
    </rPh>
    <rPh sb="16" eb="17">
      <t>ブン</t>
    </rPh>
    <phoneticPr fontId="37"/>
  </si>
  <si>
    <t>j</t>
    <phoneticPr fontId="37"/>
  </si>
  <si>
    <t>事故繰越分の予算繰越計算書の自己財源</t>
    <rPh sb="6" eb="8">
      <t>ヨサン</t>
    </rPh>
    <rPh sb="8" eb="10">
      <t>クリコシ</t>
    </rPh>
    <rPh sb="10" eb="13">
      <t>ケイサンショ</t>
    </rPh>
    <phoneticPr fontId="37"/>
  </si>
  <si>
    <t>損益勘定留保資金</t>
    <rPh sb="0" eb="4">
      <t>ソンエキカンジョウ</t>
    </rPh>
    <rPh sb="4" eb="8">
      <t>リュウホシキン</t>
    </rPh>
    <phoneticPr fontId="37"/>
  </si>
  <si>
    <t>k</t>
    <phoneticPr fontId="37"/>
  </si>
  <si>
    <t>減債積立金</t>
    <rPh sb="0" eb="5">
      <t>ゲンサイツミタテキン</t>
    </rPh>
    <phoneticPr fontId="37"/>
  </si>
  <si>
    <t>l</t>
    <phoneticPr fontId="37"/>
  </si>
  <si>
    <t>過不足額</t>
    <rPh sb="0" eb="3">
      <t>カブソク</t>
    </rPh>
    <rPh sb="3" eb="4">
      <t>ガク</t>
    </rPh>
    <phoneticPr fontId="37"/>
  </si>
  <si>
    <t>m=e-f</t>
    <phoneticPr fontId="37"/>
  </si>
  <si>
    <t>←この数値が０になることを確認</t>
    <rPh sb="3" eb="5">
      <t>スウチ</t>
    </rPh>
    <rPh sb="13" eb="15">
      <t>カクニン</t>
    </rPh>
    <phoneticPr fontId="37"/>
  </si>
  <si>
    <t>全５（決算）の企業債～固定資産売却代金+一般財源　F72～M72+R72と一致</t>
    <rPh sb="0" eb="1">
      <t>ゼン</t>
    </rPh>
    <rPh sb="3" eb="5">
      <t>ケッサン</t>
    </rPh>
    <rPh sb="7" eb="9">
      <t>ケッサン</t>
    </rPh>
    <rPh sb="9" eb="10">
      <t>ガク</t>
    </rPh>
    <rPh sb="37" eb="39">
      <t>イッチ</t>
    </rPh>
    <phoneticPr fontId="37"/>
  </si>
  <si>
    <t>全５（決算）の決算額　E72と一致</t>
    <rPh sb="0" eb="1">
      <t>ゼン</t>
    </rPh>
    <rPh sb="3" eb="5">
      <t>ケッサン</t>
    </rPh>
    <rPh sb="7" eb="9">
      <t>ケッサン</t>
    </rPh>
    <rPh sb="9" eb="10">
      <t>ガク</t>
    </rPh>
    <rPh sb="15" eb="17">
      <t>イッチ</t>
    </rPh>
    <phoneticPr fontId="37"/>
  </si>
  <si>
    <t>全１（現年）の減価償却費+資産減耗費+その他　O74+O75+O79と一致</t>
    <rPh sb="0" eb="1">
      <t>ゼン</t>
    </rPh>
    <rPh sb="3" eb="5">
      <t>ゲンネン</t>
    </rPh>
    <rPh sb="7" eb="9">
      <t>ゲンカ</t>
    </rPh>
    <rPh sb="9" eb="11">
      <t>ショウキャク</t>
    </rPh>
    <rPh sb="11" eb="12">
      <t>ヒ</t>
    </rPh>
    <rPh sb="13" eb="15">
      <t>シサン</t>
    </rPh>
    <rPh sb="15" eb="17">
      <t>ゲンモウ</t>
    </rPh>
    <rPh sb="17" eb="18">
      <t>ヒ</t>
    </rPh>
    <rPh sb="21" eb="22">
      <t>タ</t>
    </rPh>
    <rPh sb="35" eb="37">
      <t>イッチ</t>
    </rPh>
    <phoneticPr fontId="37"/>
  </si>
  <si>
    <t>全１（現年）の減債積立金　O77と一致</t>
    <rPh sb="0" eb="1">
      <t>ゼン</t>
    </rPh>
    <rPh sb="3" eb="5">
      <t>ゲンネン</t>
    </rPh>
    <rPh sb="7" eb="9">
      <t>ゲンサイ</t>
    </rPh>
    <rPh sb="9" eb="11">
      <t>ツミタテ</t>
    </rPh>
    <rPh sb="11" eb="12">
      <t>キン</t>
    </rPh>
    <rPh sb="17" eb="19">
      <t>イッチ</t>
    </rPh>
    <phoneticPr fontId="37"/>
  </si>
  <si>
    <t>全３（繰越）の出資金　R75と一致</t>
    <rPh sb="0" eb="1">
      <t>ゼン</t>
    </rPh>
    <rPh sb="3" eb="5">
      <t>クリコシ</t>
    </rPh>
    <rPh sb="7" eb="10">
      <t>シュッシキン</t>
    </rPh>
    <rPh sb="15" eb="17">
      <t>イッチ</t>
    </rPh>
    <phoneticPr fontId="37"/>
  </si>
  <si>
    <t>備考（資本的支出の財源内訳との照合場所）</t>
    <rPh sb="0" eb="2">
      <t>ビコウ</t>
    </rPh>
    <rPh sb="3" eb="6">
      <t>シホンテキ</t>
    </rPh>
    <rPh sb="6" eb="8">
      <t>シシュツ</t>
    </rPh>
    <rPh sb="9" eb="13">
      <t>ザイゲンウチワケ</t>
    </rPh>
    <rPh sb="15" eb="17">
      <t>ショウゴウ</t>
    </rPh>
    <rPh sb="17" eb="19">
      <t>バショ</t>
    </rPh>
    <phoneticPr fontId="37"/>
  </si>
  <si>
    <t>全５（決算）の一般財源R72を入力</t>
    <rPh sb="0" eb="1">
      <t>ゼン</t>
    </rPh>
    <rPh sb="3" eb="5">
      <t>ケッサン</t>
    </rPh>
    <rPh sb="15" eb="17">
      <t>ニュウリョク</t>
    </rPh>
    <phoneticPr fontId="37"/>
  </si>
  <si>
    <t>黄色部分は全１（現年）の当年度消費税　O78と一致</t>
    <rPh sb="0" eb="4">
      <t>キイロブブン</t>
    </rPh>
    <rPh sb="5" eb="6">
      <t>ゼン</t>
    </rPh>
    <rPh sb="8" eb="10">
      <t>ゲンネン</t>
    </rPh>
    <rPh sb="12" eb="15">
      <t>トウネンド</t>
    </rPh>
    <rPh sb="15" eb="18">
      <t>ショウヒゼイ</t>
    </rPh>
    <rPh sb="23" eb="25">
      <t>イッチ</t>
    </rPh>
    <phoneticPr fontId="37"/>
  </si>
  <si>
    <r>
      <rPr>
        <sz val="11"/>
        <color rgb="FFFF00FF"/>
        <rFont val="ＭＳ Ｐゴシック"/>
        <family val="3"/>
        <charset val="128"/>
      </rPr>
      <t>ピンク</t>
    </r>
    <r>
      <rPr>
        <sz val="11"/>
        <color theme="1"/>
        <rFont val="ＭＳ Ｐゴシック"/>
        <family val="3"/>
        <charset val="128"/>
      </rPr>
      <t>は手入力、</t>
    </r>
    <r>
      <rPr>
        <sz val="11"/>
        <color rgb="FFFFFF00"/>
        <rFont val="ＭＳ Ｐゴシック"/>
        <family val="3"/>
        <charset val="128"/>
      </rPr>
      <t>黄色</t>
    </r>
    <r>
      <rPr>
        <sz val="11"/>
        <color theme="1"/>
        <rFont val="ＭＳ Ｐゴシック"/>
        <family val="3"/>
        <charset val="128"/>
      </rPr>
      <t>は自動計算</t>
    </r>
    <rPh sb="4" eb="7">
      <t>テニュウリョク</t>
    </rPh>
    <rPh sb="8" eb="10">
      <t>キイロ</t>
    </rPh>
    <rPh sb="11" eb="13">
      <t>ジドウ</t>
    </rPh>
    <rPh sb="13" eb="15">
      <t>ケイサン</t>
    </rPh>
    <phoneticPr fontId="3"/>
  </si>
  <si>
    <t>※ここでの計算はエラーチェックのために行うものであり、他のシートには一切反映されません</t>
    <rPh sb="5" eb="7">
      <t>ケイサン</t>
    </rPh>
    <rPh sb="19" eb="20">
      <t>オコナ</t>
    </rPh>
    <rPh sb="27" eb="28">
      <t>ホカ</t>
    </rPh>
    <rPh sb="34" eb="36">
      <t>イッサイ</t>
    </rPh>
    <rPh sb="36" eb="38">
      <t>ハンエイ</t>
    </rPh>
    <phoneticPr fontId="3"/>
  </si>
  <si>
    <t>5現年度分
決算額</t>
    <rPh sb="1" eb="2">
      <t>ウツツ</t>
    </rPh>
    <rPh sb="2" eb="4">
      <t>ネンド</t>
    </rPh>
    <rPh sb="4" eb="5">
      <t>ブン</t>
    </rPh>
    <rPh sb="6" eb="8">
      <t>ケッサン</t>
    </rPh>
    <rPh sb="8" eb="9">
      <t>ガク</t>
    </rPh>
    <phoneticPr fontId="3"/>
  </si>
  <si>
    <t>4-5繰越
決算額</t>
    <rPh sb="3" eb="5">
      <t>クリコシ</t>
    </rPh>
    <rPh sb="6" eb="9">
      <t>ケッサンガク</t>
    </rPh>
    <phoneticPr fontId="3"/>
  </si>
  <si>
    <t>令和5年度</t>
    <rPh sb="0" eb="2">
      <t>レイワ</t>
    </rPh>
    <rPh sb="3" eb="5">
      <t>ネンド</t>
    </rPh>
    <phoneticPr fontId="37"/>
  </si>
  <si>
    <t>AAA</t>
    <phoneticPr fontId="3"/>
  </si>
  <si>
    <t>AAA</t>
    <phoneticPr fontId="3"/>
  </si>
  <si>
    <t>AAA</t>
    <phoneticPr fontId="3"/>
  </si>
  <si>
    <t>AAA</t>
    <phoneticPr fontId="3"/>
  </si>
  <si>
    <t>R5決算から使うよ</t>
    <rPh sb="2" eb="4">
      <t>ケッサン</t>
    </rPh>
    <rPh sb="6" eb="7">
      <t>ツカ</t>
    </rPh>
    <phoneticPr fontId="3"/>
  </si>
  <si>
    <t>↓高資本費対策　R5決算から使うよ</t>
    <rPh sb="1" eb="7">
      <t>コウシホンヒタイサク</t>
    </rPh>
    <rPh sb="10" eb="12">
      <t>ケッサン</t>
    </rPh>
    <rPh sb="14" eb="15">
      <t>ツカ</t>
    </rPh>
    <phoneticPr fontId="3"/>
  </si>
  <si>
    <r>
      <t>前受金
（</t>
    </r>
    <r>
      <rPr>
        <sz val="10"/>
        <rFont val="ＭＳ Ｐゴシック"/>
        <family val="3"/>
        <charset val="128"/>
      </rPr>
      <t>災害復旧等繰越財源分）</t>
    </r>
    <rPh sb="0" eb="2">
      <t>マエウケ</t>
    </rPh>
    <rPh sb="2" eb="3">
      <t>キン</t>
    </rPh>
    <rPh sb="5" eb="7">
      <t>サイガイ</t>
    </rPh>
    <rPh sb="7" eb="9">
      <t>フッキュウ</t>
    </rPh>
    <rPh sb="9" eb="10">
      <t>トウ</t>
    </rPh>
    <rPh sb="10" eb="12">
      <t>クリコシ</t>
    </rPh>
    <rPh sb="12" eb="14">
      <t>ザイゲン</t>
    </rPh>
    <rPh sb="14" eb="15">
      <t>ブン</t>
    </rPh>
    <phoneticPr fontId="3"/>
  </si>
  <si>
    <t xml:space="preserve">    ＊過年度損益修正益</t>
    <rPh sb="5" eb="13">
      <t>カネンドソンエキシュウセイエキ</t>
    </rPh>
    <phoneticPr fontId="3"/>
  </si>
  <si>
    <t>令和5年度4月決見</t>
    <rPh sb="6" eb="7">
      <t>ガツ</t>
    </rPh>
    <phoneticPr fontId="3"/>
  </si>
  <si>
    <t>決見額千円</t>
    <rPh sb="3" eb="5">
      <t>センエン</t>
    </rPh>
    <phoneticPr fontId="3"/>
  </si>
  <si>
    <t>調整</t>
    <rPh sb="0" eb="2">
      <t>チョウセイ</t>
    </rPh>
    <phoneticPr fontId="3"/>
  </si>
  <si>
    <t>(a)</t>
    <phoneticPr fontId="3"/>
  </si>
  <si>
    <t>(b)</t>
    <phoneticPr fontId="3"/>
  </si>
  <si>
    <t>(c)</t>
    <phoneticPr fontId="3"/>
  </si>
  <si>
    <t>(d)</t>
    <phoneticPr fontId="3"/>
  </si>
  <si>
    <t>差引増減</t>
    <rPh sb="0" eb="2">
      <t>サシヒキ</t>
    </rPh>
    <rPh sb="2" eb="4">
      <t>ゾウゲン</t>
    </rPh>
    <phoneticPr fontId="28"/>
  </si>
  <si>
    <t>（単位：千円、％）</t>
    <phoneticPr fontId="28"/>
  </si>
  <si>
    <t>対Ｒ４決算</t>
    <rPh sb="3" eb="5">
      <t>ケッサン</t>
    </rPh>
    <phoneticPr fontId="28"/>
  </si>
  <si>
    <t>対Ｒ５決見（4月）</t>
    <phoneticPr fontId="28"/>
  </si>
  <si>
    <t>対Ｒ５議決予算</t>
    <phoneticPr fontId="28"/>
  </si>
  <si>
    <t>表示</t>
    <rPh sb="0" eb="2">
      <t>ヒョウジ</t>
    </rPh>
    <phoneticPr fontId="28"/>
  </si>
  <si>
    <t>Ｒ５
決見（4月）</t>
    <rPh sb="4" eb="5">
      <t>ミ</t>
    </rPh>
    <rPh sb="7" eb="8">
      <t>ガツ</t>
    </rPh>
    <phoneticPr fontId="28"/>
  </si>
  <si>
    <t>Ｒ５
決算</t>
    <rPh sb="3" eb="5">
      <t>ケッサン</t>
    </rPh>
    <phoneticPr fontId="28"/>
  </si>
  <si>
    <t>Ｒ５
議決予算</t>
    <rPh sb="3" eb="5">
      <t>ギケツ</t>
    </rPh>
    <rPh sb="5" eb="7">
      <t>ヨサン</t>
    </rPh>
    <phoneticPr fontId="28"/>
  </si>
  <si>
    <t>Ｒ４
決算</t>
    <rPh sb="3" eb="5">
      <t>ケッサン</t>
    </rPh>
    <phoneticPr fontId="28"/>
  </si>
  <si>
    <t>区分</t>
    <rPh sb="0" eb="2">
      <t>クブン</t>
    </rPh>
    <phoneticPr fontId="28"/>
  </si>
  <si>
    <t>収支差引（純利益）</t>
    <rPh sb="0" eb="2">
      <t>シュウシ</t>
    </rPh>
    <rPh sb="2" eb="4">
      <t>サシヒキ</t>
    </rPh>
    <rPh sb="5" eb="8">
      <t>ジュンリエキ</t>
    </rPh>
    <phoneticPr fontId="28"/>
  </si>
  <si>
    <t>表示判定</t>
    <rPh sb="0" eb="4">
      <t>ヒョウジハンテイ</t>
    </rPh>
    <phoneticPr fontId="28"/>
  </si>
  <si>
    <t>AAA</t>
    <phoneticPr fontId="28"/>
  </si>
  <si>
    <t>千円返還＋端数調整</t>
    <rPh sb="0" eb="2">
      <t>センエン</t>
    </rPh>
    <rPh sb="2" eb="4">
      <t>ヘンカン</t>
    </rPh>
    <rPh sb="5" eb="9">
      <t>ハスウチョウセイ</t>
    </rPh>
    <phoneticPr fontId="28"/>
  </si>
  <si>
    <t>（参照数式）</t>
    <rPh sb="1" eb="3">
      <t>サンショウ</t>
    </rPh>
    <rPh sb="3" eb="5">
      <t>スウシキ</t>
    </rPh>
    <phoneticPr fontId="28"/>
  </si>
  <si>
    <t>R5決算</t>
    <phoneticPr fontId="28"/>
  </si>
  <si>
    <t>市街化区域外汚水処理施設事業債</t>
    <rPh sb="0" eb="3">
      <t>シガイカ</t>
    </rPh>
    <rPh sb="3" eb="6">
      <t>クイキガイ</t>
    </rPh>
    <rPh sb="6" eb="8">
      <t>オスイ</t>
    </rPh>
    <rPh sb="8" eb="10">
      <t>ショリ</t>
    </rPh>
    <rPh sb="10" eb="12">
      <t>シセツ</t>
    </rPh>
    <rPh sb="12" eb="14">
      <t>ジギョウ</t>
    </rPh>
    <rPh sb="14" eb="15">
      <t>サイ</t>
    </rPh>
    <phoneticPr fontId="3"/>
  </si>
  <si>
    <t>予算</t>
    <rPh sb="0" eb="2">
      <t>ヨサン</t>
    </rPh>
    <phoneticPr fontId="3"/>
  </si>
  <si>
    <t>(c-a)</t>
    <phoneticPr fontId="3"/>
  </si>
  <si>
    <t>表示</t>
    <rPh sb="0" eb="2">
      <t>ヒョウジ</t>
    </rPh>
    <phoneticPr fontId="3"/>
  </si>
  <si>
    <t>×表示しない</t>
  </si>
  <si>
    <t>調整</t>
    <rPh sb="0" eb="2">
      <t>チョウセイ</t>
    </rPh>
    <phoneticPr fontId="3"/>
  </si>
  <si>
    <t>#='[4-04 集計表.xlsx]4条収支'!$G10</t>
  </si>
  <si>
    <t>#='[4-04 集計表.xlsx]4条収支'!$G11</t>
  </si>
  <si>
    <t>#='[4-04 集計表.xlsx]4条収支'!$G12</t>
  </si>
  <si>
    <t>#='[4-04 集計表.xlsx]4条収支'!$G13</t>
  </si>
  <si>
    <t>#='[4-04 集計表.xlsx]4条収支'!$G14</t>
  </si>
  <si>
    <t>#='[4-04 集計表.xlsx]4条収支'!$G16</t>
  </si>
  <si>
    <t>#='[4-04 集計表.xlsx]4条収支'!$G18</t>
  </si>
  <si>
    <t>#='[4-04 集計表.xlsx]4条収支'!$G19</t>
  </si>
  <si>
    <t>#='[4-04 集計表.xlsx]4条収支'!$G21</t>
  </si>
  <si>
    <t>#='[4-04 集計表.xlsx]4条収支'!$G22</t>
  </si>
  <si>
    <t>#='[4-04 集計表.xlsx]4条収支'!$G23</t>
  </si>
  <si>
    <t>#='[4-04 集計表.xlsx]4条収支'!$G29</t>
  </si>
  <si>
    <t>#='[4-04 集計表.xlsx]4条収支'!$G30</t>
  </si>
  <si>
    <t>#='[4-04 集計表.xlsx]4条収支'!$G32</t>
  </si>
  <si>
    <t>#='[4-04 集計表.xlsx]4条収支'!$G40</t>
  </si>
  <si>
    <t>#='[4-04 集計表.xlsx]4条収支'!$G49</t>
  </si>
  <si>
    <t>#='[4-04 集計表.xlsx]4条収支'!$G50</t>
  </si>
  <si>
    <t>#='[4-04 集計表.xlsx]4条収支'!$G51</t>
  </si>
  <si>
    <t>#='[4-04 集計表.xlsx]4条収支'!$G52</t>
  </si>
  <si>
    <t>#='[4-04 集計表.xlsx]4条収支'!$G53</t>
  </si>
  <si>
    <t>#='[4-04 集計表.xlsx]4条収支'!$G54</t>
  </si>
  <si>
    <t>#='[4-04 集計表.xlsx]4条収支'!$G55</t>
  </si>
  <si>
    <t>#='[4-04 集計表.xlsx]4条収支'!$G56</t>
  </si>
  <si>
    <t>#='[4-04 集計表.xlsx]4条収支'!$G61</t>
  </si>
  <si>
    <t>#='[4-04 集計表.xlsx]4条収支'!$G62</t>
  </si>
  <si>
    <t>#='[4-04 集計表.xlsx]4条収支'!$G64</t>
  </si>
  <si>
    <t>#='[4-04 集計表.xlsx]4条収支'!$G73</t>
  </si>
  <si>
    <t>#='[4-04 集計表.xlsx]4条収支'!$G74</t>
  </si>
  <si>
    <t>#='[4-04 集計表.xlsx]4条収支'!$G$76</t>
  </si>
  <si>
    <t>#='[4-04 集計表.xlsx]4条収支'!$G$77</t>
  </si>
  <si>
    <t>上記を除いた資本的収入</t>
    <rPh sb="0" eb="2">
      <t>ジョウキ</t>
    </rPh>
    <rPh sb="3" eb="4">
      <t>ノゾ</t>
    </rPh>
    <rPh sb="6" eb="11">
      <t>シホンテキシュウニュウ</t>
    </rPh>
    <phoneticPr fontId="3"/>
  </si>
  <si>
    <t>(c-d)</t>
    <phoneticPr fontId="3"/>
  </si>
  <si>
    <t>（Ｄ）のうち　一般会計借入金</t>
    <rPh sb="7" eb="9">
      <t>イッパン</t>
    </rPh>
    <rPh sb="9" eb="11">
      <t>カイケイ</t>
    </rPh>
    <rPh sb="11" eb="14">
      <t>カリイレキン</t>
    </rPh>
    <phoneticPr fontId="3"/>
  </si>
  <si>
    <t>抽出用</t>
    <rPh sb="0" eb="3">
      <t>チュウシュツヨウ</t>
    </rPh>
    <phoneticPr fontId="3"/>
  </si>
  <si>
    <t>合計</t>
    <rPh sb="0" eb="2">
      <t>ゴウケイ</t>
    </rPh>
    <phoneticPr fontId="3"/>
  </si>
  <si>
    <t>(c-b)</t>
    <phoneticPr fontId="3"/>
  </si>
  <si>
    <t xml:space="preserve"> (1) 収益的収入及び支出(税込)</t>
    <rPh sb="5" eb="8">
      <t>シュウエキテキ</t>
    </rPh>
    <rPh sb="8" eb="10">
      <t>シュウニュウ</t>
    </rPh>
    <rPh sb="10" eb="11">
      <t>オヨ</t>
    </rPh>
    <rPh sb="12" eb="14">
      <t>シシュツ</t>
    </rPh>
    <rPh sb="15" eb="17">
      <t>ゼイコミ</t>
    </rPh>
    <phoneticPr fontId="28"/>
  </si>
  <si>
    <t>（単位：千円）</t>
    <rPh sb="1" eb="3">
      <t>タンイ</t>
    </rPh>
    <rPh sb="4" eb="6">
      <t>センエン</t>
    </rPh>
    <phoneticPr fontId="28"/>
  </si>
  <si>
    <t>増 △ 減</t>
    <rPh sb="0" eb="1">
      <t>ゾウ</t>
    </rPh>
    <rPh sb="4" eb="5">
      <t>ゲン</t>
    </rPh>
    <phoneticPr fontId="28"/>
  </si>
  <si>
    <t>G列
項目名リスト</t>
    <rPh sb="1" eb="2">
      <t>レツ</t>
    </rPh>
    <rPh sb="3" eb="5">
      <t>コウモク</t>
    </rPh>
    <rPh sb="5" eb="6">
      <t>メイ</t>
    </rPh>
    <phoneticPr fontId="58"/>
  </si>
  <si>
    <t>要求額
（ｃ）</t>
    <rPh sb="0" eb="2">
      <t>ヨウキュウ</t>
    </rPh>
    <rPh sb="2" eb="3">
      <t>ガク</t>
    </rPh>
    <phoneticPr fontId="28"/>
  </si>
  <si>
    <t>査定額
（ｃ）</t>
    <rPh sb="0" eb="2">
      <t>サテイ</t>
    </rPh>
    <rPh sb="2" eb="3">
      <t>ガク</t>
    </rPh>
    <phoneticPr fontId="28"/>
  </si>
  <si>
    <t>(下水道使用料)</t>
    <rPh sb="1" eb="4">
      <t>ゲスイドウ</t>
    </rPh>
    <rPh sb="4" eb="7">
      <t>シヨウリョウ</t>
    </rPh>
    <phoneticPr fontId="28"/>
  </si>
  <si>
    <t>予算案
（ｃ）</t>
    <rPh sb="0" eb="2">
      <t>ヨサン</t>
    </rPh>
    <rPh sb="2" eb="3">
      <t>アン</t>
    </rPh>
    <phoneticPr fontId="28"/>
  </si>
  <si>
    <t>収支差引</t>
    <rPh sb="0" eb="2">
      <t>シュウシ</t>
    </rPh>
    <rPh sb="2" eb="4">
      <t>サシヒキ</t>
    </rPh>
    <phoneticPr fontId="28"/>
  </si>
  <si>
    <t>税抜収支差引（純利益）</t>
    <rPh sb="0" eb="2">
      <t>ゼイヌキ</t>
    </rPh>
    <rPh sb="2" eb="4">
      <t>シュウシ</t>
    </rPh>
    <rPh sb="4" eb="6">
      <t>サシヒキ</t>
    </rPh>
    <rPh sb="7" eb="10">
      <t>ジュンリエキ</t>
    </rPh>
    <phoneticPr fontId="28"/>
  </si>
  <si>
    <t xml:space="preserve"> (2) 資本的収入及び支出（税込）</t>
    <rPh sb="5" eb="7">
      <t>シホン</t>
    </rPh>
    <rPh sb="7" eb="8">
      <t>テキ</t>
    </rPh>
    <rPh sb="8" eb="10">
      <t>シュウニュウ</t>
    </rPh>
    <rPh sb="10" eb="11">
      <t>オヨ</t>
    </rPh>
    <rPh sb="12" eb="14">
      <t>シシュツ</t>
    </rPh>
    <rPh sb="15" eb="17">
      <t>ゼイコミ</t>
    </rPh>
    <phoneticPr fontId="28"/>
  </si>
  <si>
    <t>税込３条収入（一般会計負担金を除く）</t>
    <rPh sb="0" eb="2">
      <t>ゼイコミ</t>
    </rPh>
    <rPh sb="3" eb="4">
      <t>ジョウ</t>
    </rPh>
    <rPh sb="4" eb="6">
      <t>シュウニュウ</t>
    </rPh>
    <rPh sb="7" eb="9">
      <t>イッパン</t>
    </rPh>
    <rPh sb="9" eb="11">
      <t>カイケイ</t>
    </rPh>
    <rPh sb="11" eb="14">
      <t>フタンキン</t>
    </rPh>
    <rPh sb="15" eb="16">
      <t>ノゾ</t>
    </rPh>
    <phoneticPr fontId="32"/>
  </si>
  <si>
    <t>①</t>
    <phoneticPr fontId="58"/>
  </si>
  <si>
    <t>一般会計負担金</t>
    <rPh sb="0" eb="2">
      <t>イッパン</t>
    </rPh>
    <rPh sb="2" eb="4">
      <t>カイケイ</t>
    </rPh>
    <rPh sb="4" eb="7">
      <t>フタンキン</t>
    </rPh>
    <phoneticPr fontId="58"/>
  </si>
  <si>
    <t>税込３条支出</t>
    <rPh sb="0" eb="2">
      <t>ゼイコミ</t>
    </rPh>
    <rPh sb="3" eb="4">
      <t>ジョウ</t>
    </rPh>
    <rPh sb="4" eb="6">
      <t>シシュツ</t>
    </rPh>
    <phoneticPr fontId="32"/>
  </si>
  <si>
    <t>消費税納付額</t>
    <rPh sb="0" eb="3">
      <t>ショウヒゼイ</t>
    </rPh>
    <rPh sb="3" eb="5">
      <t>ノウフ</t>
    </rPh>
    <rPh sb="5" eb="6">
      <t>ガク</t>
    </rPh>
    <phoneticPr fontId="32"/>
  </si>
  <si>
    <t>消費税４条調整額</t>
    <rPh sb="0" eb="3">
      <t>ショウヒゼイ</t>
    </rPh>
    <rPh sb="4" eb="5">
      <t>ジョウ</t>
    </rPh>
    <rPh sb="5" eb="7">
      <t>チョウセイ</t>
    </rPh>
    <rPh sb="7" eb="8">
      <t>ガク</t>
    </rPh>
    <phoneticPr fontId="32"/>
  </si>
  <si>
    <t>差引（純利益）　（①＋②－③－④－⑤）</t>
    <rPh sb="0" eb="2">
      <t>サシヒキ</t>
    </rPh>
    <rPh sb="3" eb="6">
      <t>ジュンリエキ</t>
    </rPh>
    <phoneticPr fontId="32"/>
  </si>
  <si>
    <t>税抜３条収入（一般会計負担金を除く）</t>
    <rPh sb="0" eb="2">
      <t>ゼイヌキ</t>
    </rPh>
    <rPh sb="3" eb="4">
      <t>ジョウ</t>
    </rPh>
    <rPh sb="4" eb="6">
      <t>シュウニュウ</t>
    </rPh>
    <rPh sb="7" eb="9">
      <t>イッパン</t>
    </rPh>
    <rPh sb="9" eb="11">
      <t>カイケイ</t>
    </rPh>
    <rPh sb="11" eb="14">
      <t>フタンキン</t>
    </rPh>
    <rPh sb="15" eb="16">
      <t>ノゾ</t>
    </rPh>
    <phoneticPr fontId="32"/>
  </si>
  <si>
    <t>税抜３条支出</t>
    <rPh sb="3" eb="4">
      <t>ジョウ</t>
    </rPh>
    <rPh sb="4" eb="6">
      <t>シシュツ</t>
    </rPh>
    <phoneticPr fontId="32"/>
  </si>
  <si>
    <t>⑧</t>
    <phoneticPr fontId="58"/>
  </si>
  <si>
    <t>消費税雑支出</t>
    <rPh sb="0" eb="3">
      <t>ショウヒゼイ</t>
    </rPh>
    <rPh sb="3" eb="4">
      <t>ザツ</t>
    </rPh>
    <rPh sb="4" eb="6">
      <t>シシュツ</t>
    </rPh>
    <phoneticPr fontId="58"/>
  </si>
  <si>
    <t>⑨</t>
    <phoneticPr fontId="58"/>
  </si>
  <si>
    <t>差引（純利益）　（⑦＋②－⑧－⑨）</t>
    <rPh sb="0" eb="2">
      <t>サシヒキ</t>
    </rPh>
    <rPh sb="3" eb="6">
      <t>ジュンリエキ</t>
    </rPh>
    <phoneticPr fontId="32"/>
  </si>
  <si>
    <t>２　一般会計繰入金の状況</t>
    <rPh sb="2" eb="4">
      <t>イッパン</t>
    </rPh>
    <rPh sb="4" eb="6">
      <t>カイケイ</t>
    </rPh>
    <rPh sb="6" eb="8">
      <t>クリイレ</t>
    </rPh>
    <rPh sb="8" eb="9">
      <t>キン</t>
    </rPh>
    <rPh sb="10" eb="12">
      <t>ジョウキョウ</t>
    </rPh>
    <phoneticPr fontId="28"/>
  </si>
  <si>
    <t>一般会計借入金</t>
    <rPh sb="0" eb="2">
      <t>イッパン</t>
    </rPh>
    <rPh sb="2" eb="4">
      <t>カイケイ</t>
    </rPh>
    <rPh sb="4" eb="6">
      <t>カリイレ</t>
    </rPh>
    <rPh sb="6" eb="7">
      <t>キン</t>
    </rPh>
    <phoneticPr fontId="28"/>
  </si>
  <si>
    <t>繰入金　合計</t>
    <rPh sb="0" eb="2">
      <t>クリイレ</t>
    </rPh>
    <rPh sb="2" eb="3">
      <t>キン</t>
    </rPh>
    <rPh sb="4" eb="6">
      <t>ゴウケイ</t>
    </rPh>
    <phoneticPr fontId="28"/>
  </si>
  <si>
    <t>３　今後の変動要素</t>
    <rPh sb="2" eb="4">
      <t>コンゴ</t>
    </rPh>
    <rPh sb="5" eb="7">
      <t>ヘンドウ</t>
    </rPh>
    <rPh sb="7" eb="9">
      <t>ヨウソ</t>
    </rPh>
    <phoneticPr fontId="28"/>
  </si>
  <si>
    <t xml:space="preserve"> (1)  人件費の修正（⇒現在は給与改定後の数値を使用しているが、人員配置見直しについては未反映）</t>
    <rPh sb="6" eb="9">
      <t>ジンケンヒ</t>
    </rPh>
    <rPh sb="10" eb="12">
      <t>シュウセイ</t>
    </rPh>
    <rPh sb="14" eb="16">
      <t>ゲンザイ</t>
    </rPh>
    <rPh sb="17" eb="19">
      <t>キュウヨ</t>
    </rPh>
    <rPh sb="19" eb="21">
      <t>カイテイ</t>
    </rPh>
    <rPh sb="21" eb="22">
      <t>ゴ</t>
    </rPh>
    <rPh sb="23" eb="25">
      <t>スウチ</t>
    </rPh>
    <rPh sb="26" eb="28">
      <t>シヨウ</t>
    </rPh>
    <rPh sb="34" eb="36">
      <t>ジンイン</t>
    </rPh>
    <rPh sb="36" eb="38">
      <t>ハイチ</t>
    </rPh>
    <rPh sb="38" eb="40">
      <t>ミナオ</t>
    </rPh>
    <rPh sb="46" eb="49">
      <t>ミハンエイ</t>
    </rPh>
    <phoneticPr fontId="28"/>
  </si>
  <si>
    <t xml:space="preserve"> (2)  情報システム関連経費のCIO審査結果による修正</t>
    <rPh sb="6" eb="8">
      <t>ジョウホウ</t>
    </rPh>
    <rPh sb="12" eb="14">
      <t>カンレン</t>
    </rPh>
    <rPh sb="14" eb="16">
      <t>ケイヒ</t>
    </rPh>
    <rPh sb="20" eb="22">
      <t>シンサ</t>
    </rPh>
    <rPh sb="22" eb="24">
      <t>ケッカ</t>
    </rPh>
    <rPh sb="27" eb="29">
      <t>シュウセイ</t>
    </rPh>
    <phoneticPr fontId="28"/>
  </si>
  <si>
    <t xml:space="preserve"> (3)  財政課の査定による修正ほか</t>
    <rPh sb="6" eb="8">
      <t>ザイセイ</t>
    </rPh>
    <rPh sb="8" eb="9">
      <t>カ</t>
    </rPh>
    <rPh sb="10" eb="12">
      <t>サテイ</t>
    </rPh>
    <rPh sb="15" eb="17">
      <t>シュウセイ</t>
    </rPh>
    <phoneticPr fontId="28"/>
  </si>
  <si>
    <t>決見額
（ｃ）</t>
    <rPh sb="0" eb="2">
      <t>ケツミ</t>
    </rPh>
    <rPh sb="2" eb="3">
      <t>ガク</t>
    </rPh>
    <phoneticPr fontId="28"/>
  </si>
  <si>
    <t>②</t>
    <phoneticPr fontId="58"/>
  </si>
  <si>
    <t>③</t>
    <phoneticPr fontId="58"/>
  </si>
  <si>
    <t>④</t>
    <phoneticPr fontId="58"/>
  </si>
  <si>
    <t>⑤</t>
    <phoneticPr fontId="58"/>
  </si>
  <si>
    <t>⑥</t>
    <phoneticPr fontId="58"/>
  </si>
  <si>
    <t>⑦</t>
    <phoneticPr fontId="58"/>
  </si>
  <si>
    <t>4月決見
（b）</t>
    <rPh sb="1" eb="4">
      <t>ガツケツミ</t>
    </rPh>
    <phoneticPr fontId="28"/>
  </si>
  <si>
    <t>議決予算
（a）</t>
    <rPh sb="0" eb="2">
      <t>ギケツ</t>
    </rPh>
    <rPh sb="2" eb="4">
      <t>ヨサン</t>
    </rPh>
    <phoneticPr fontId="28"/>
  </si>
  <si>
    <t>決算円</t>
    <rPh sb="0" eb="2">
      <t>ケッサン</t>
    </rPh>
    <rPh sb="2" eb="3">
      <t>エン</t>
    </rPh>
    <phoneticPr fontId="3"/>
  </si>
  <si>
    <t>端数調整</t>
    <rPh sb="0" eb="4">
      <t>ハスウチョウセイ</t>
    </rPh>
    <phoneticPr fontId="3"/>
  </si>
  <si>
    <t>千円</t>
    <rPh sb="0" eb="2">
      <t>センエン</t>
    </rPh>
    <phoneticPr fontId="3"/>
  </si>
  <si>
    <t>注意</t>
    <rPh sb="0" eb="2">
      <t>チュウイ</t>
    </rPh>
    <phoneticPr fontId="3"/>
  </si>
  <si>
    <t>消費税資本的収支調整を控除</t>
    <rPh sb="0" eb="3">
      <t>ショウヒゼイ</t>
    </rPh>
    <rPh sb="3" eb="10">
      <t>シホンテキシュウシチョウセイ</t>
    </rPh>
    <rPh sb="11" eb="13">
      <t>コウジョ</t>
    </rPh>
    <phoneticPr fontId="3"/>
  </si>
  <si>
    <t>3条支出（3条消費税・4条消費税含む）
＝営業外費用（消費税除く）＋消費税</t>
    <rPh sb="1" eb="2">
      <t>ジョウ</t>
    </rPh>
    <rPh sb="2" eb="4">
      <t>シシュツ</t>
    </rPh>
    <rPh sb="6" eb="7">
      <t>ジョウ</t>
    </rPh>
    <rPh sb="7" eb="10">
      <t>ショウヒゼイ</t>
    </rPh>
    <rPh sb="12" eb="13">
      <t>ジョウ</t>
    </rPh>
    <rPh sb="13" eb="16">
      <t>ショウヒゼイ</t>
    </rPh>
    <rPh sb="16" eb="17">
      <t>フク</t>
    </rPh>
    <rPh sb="21" eb="26">
      <t>エイギョウガイヒヨウ</t>
    </rPh>
    <rPh sb="27" eb="30">
      <t>ショウヒゼイ</t>
    </rPh>
    <rPh sb="30" eb="31">
      <t>ノゾ</t>
    </rPh>
    <rPh sb="34" eb="37">
      <t>ショウヒゼイ</t>
    </rPh>
    <phoneticPr fontId="3"/>
  </si>
  <si>
    <t>チェック</t>
    <phoneticPr fontId="3"/>
  </si>
  <si>
    <t>決算(c)
-議決予算(a)</t>
    <rPh sb="0" eb="2">
      <t>ケッサン</t>
    </rPh>
    <rPh sb="7" eb="11">
      <t>ギケツヨサン</t>
    </rPh>
    <phoneticPr fontId="3"/>
  </si>
  <si>
    <t>決算(c)
-4月決見(b)</t>
    <rPh sb="0" eb="2">
      <t>ケッサン</t>
    </rPh>
    <rPh sb="8" eb="9">
      <t>ガツ</t>
    </rPh>
    <rPh sb="9" eb="10">
      <t>ケツ</t>
    </rPh>
    <rPh sb="10" eb="11">
      <t>ミ</t>
    </rPh>
    <phoneticPr fontId="3"/>
  </si>
  <si>
    <t>経営企画課</t>
    <rPh sb="0" eb="2">
      <t>ケイエイ</t>
    </rPh>
    <rPh sb="2" eb="4">
      <t>キカク</t>
    </rPh>
    <rPh sb="4" eb="5">
      <t>カ</t>
    </rPh>
    <phoneticPr fontId="28"/>
  </si>
  <si>
    <t>税抜収支差引（純利益）</t>
    <rPh sb="0" eb="2">
      <t>ゼイヌキ</t>
    </rPh>
    <rPh sb="2" eb="6">
      <t>シュウシサシヒキ</t>
    </rPh>
    <rPh sb="7" eb="10">
      <t>ジュンリエキ</t>
    </rPh>
    <phoneticPr fontId="28"/>
  </si>
  <si>
    <t>消費税資本的収支調整を控除</t>
  </si>
  <si>
    <t>決算
(c)</t>
    <rPh sb="0" eb="2">
      <t>ケッサン</t>
    </rPh>
    <phoneticPr fontId="28"/>
  </si>
  <si>
    <t>-4月決見(b)</t>
    <phoneticPr fontId="28"/>
  </si>
  <si>
    <t>-議決予算(a)</t>
    <phoneticPr fontId="28"/>
  </si>
  <si>
    <t>議決予算
（a）</t>
    <phoneticPr fontId="28"/>
  </si>
  <si>
    <t>4月決見
（b）</t>
    <phoneticPr fontId="28"/>
  </si>
  <si>
    <t>※上記金額には前年度からの繰り越し分を含む。</t>
    <rPh sb="1" eb="5">
      <t>ジョウキキンガク</t>
    </rPh>
    <rPh sb="7" eb="10">
      <t>ゼンネンド</t>
    </rPh>
    <rPh sb="13" eb="14">
      <t>ク</t>
    </rPh>
    <rPh sb="15" eb="16">
      <t>コ</t>
    </rPh>
    <rPh sb="17" eb="18">
      <t>ブン</t>
    </rPh>
    <rPh sb="19" eb="20">
      <t>フク</t>
    </rPh>
    <phoneticPr fontId="28"/>
  </si>
  <si>
    <t>議決予算額
（補正後）
（a）</t>
  </si>
  <si>
    <t>(d)</t>
    <phoneticPr fontId="3"/>
  </si>
  <si>
    <t>表示（強制）</t>
    <rPh sb="3" eb="5">
      <t>キョウセイ</t>
    </rPh>
    <phoneticPr fontId="3"/>
  </si>
  <si>
    <t>(c+d-a)</t>
    <phoneticPr fontId="3"/>
  </si>
  <si>
    <t>AAA</t>
    <phoneticPr fontId="3"/>
  </si>
  <si>
    <t>対Ｒ５決見（4月）</t>
    <phoneticPr fontId="28"/>
  </si>
  <si>
    <t>(c+d-b)</t>
    <phoneticPr fontId="3"/>
  </si>
  <si>
    <t>(c-d)</t>
    <phoneticPr fontId="3"/>
  </si>
  <si>
    <t>※　上記金額には前年度からの繰り越し分を含む</t>
    <rPh sb="2" eb="6">
      <t>ジョウキキンガク</t>
    </rPh>
    <rPh sb="8" eb="11">
      <t>ゼンネンド</t>
    </rPh>
    <rPh sb="14" eb="15">
      <t>ク</t>
    </rPh>
    <rPh sb="16" eb="17">
      <t>コ</t>
    </rPh>
    <rPh sb="18" eb="19">
      <t>ブン</t>
    </rPh>
    <rPh sb="20" eb="21">
      <t>フク</t>
    </rPh>
    <phoneticPr fontId="3"/>
  </si>
  <si>
    <t>翌年度への繰越</t>
    <rPh sb="0" eb="3">
      <t>ヨクネンド</t>
    </rPh>
    <rPh sb="5" eb="7">
      <t>クリコシ</t>
    </rPh>
    <phoneticPr fontId="3"/>
  </si>
  <si>
    <t>翌年度への
繰越
(d)</t>
    <rPh sb="0" eb="3">
      <t>ヨクネンド</t>
    </rPh>
    <rPh sb="6" eb="8">
      <t>クリコシ</t>
    </rPh>
    <phoneticPr fontId="28"/>
  </si>
  <si>
    <t>決算(c)+翌年度への繰越(d)</t>
    <rPh sb="6" eb="9">
      <t>ヨクネンド</t>
    </rPh>
    <rPh sb="11" eb="13">
      <t>クリコシ</t>
    </rPh>
    <phoneticPr fontId="28"/>
  </si>
  <si>
    <t>決算(c)+翌年度への繰越(d)</t>
    <rPh sb="6" eb="7">
      <t>ヨク</t>
    </rPh>
    <phoneticPr fontId="28"/>
  </si>
  <si>
    <t>このことについて、下記のとおり精算します。ついては、5月31日を納期限とした納入通知書を作成してください。</t>
    <rPh sb="9" eb="11">
      <t>カキ</t>
    </rPh>
    <rPh sb="15" eb="17">
      <t>セイサン</t>
    </rPh>
    <rPh sb="27" eb="28">
      <t>ガツ</t>
    </rPh>
    <rPh sb="30" eb="31">
      <t>ニチ</t>
    </rPh>
    <rPh sb="32" eb="35">
      <t>ノウキゲン</t>
    </rPh>
    <rPh sb="38" eb="40">
      <t>ノウニュウ</t>
    </rPh>
    <rPh sb="40" eb="43">
      <t>ツウチショ</t>
    </rPh>
    <rPh sb="44" eb="46">
      <t>サクセイ</t>
    </rPh>
    <phoneticPr fontId="3"/>
  </si>
  <si>
    <t>抽出用</t>
    <rPh sb="0" eb="3">
      <t>チュウシュツヨウ</t>
    </rPh>
    <phoneticPr fontId="3"/>
  </si>
  <si>
    <t>(c)</t>
    <phoneticPr fontId="3"/>
  </si>
  <si>
    <t>差引(a-b)</t>
    <rPh sb="0" eb="2">
      <t>サシヒ</t>
    </rPh>
    <phoneticPr fontId="3"/>
  </si>
  <si>
    <t>(a)</t>
    <phoneticPr fontId="3"/>
  </si>
  <si>
    <t>(b)</t>
    <phoneticPr fontId="3"/>
  </si>
  <si>
    <t>決算額</t>
    <rPh sb="0" eb="2">
      <t>ケッサン</t>
    </rPh>
    <rPh sb="2" eb="3">
      <t>ガク</t>
    </rPh>
    <phoneticPr fontId="3"/>
  </si>
  <si>
    <t>議決予算額</t>
    <rPh sb="0" eb="2">
      <t>ギケツ</t>
    </rPh>
    <rPh sb="2" eb="5">
      <t>ヨサンガク</t>
    </rPh>
    <phoneticPr fontId="3"/>
  </si>
  <si>
    <t>表示（強制）</t>
    <rPh sb="3" eb="5">
      <t>キョウセイ</t>
    </rPh>
    <phoneticPr fontId="3"/>
  </si>
  <si>
    <t>非表示（強制）</t>
    <rPh sb="4" eb="6">
      <t>キョウセイ</t>
    </rPh>
    <phoneticPr fontId="3"/>
  </si>
  <si>
    <t>差引(ｂ-ｃ)</t>
    <rPh sb="0" eb="2">
      <t>サシヒ</t>
    </rPh>
    <phoneticPr fontId="3"/>
  </si>
  <si>
    <t>令和6年5月22日</t>
    <rPh sb="0" eb="2">
      <t>レイワ</t>
    </rPh>
    <rPh sb="3" eb="4">
      <t>ネン</t>
    </rPh>
    <rPh sb="5" eb="6">
      <t>ガツ</t>
    </rPh>
    <rPh sb="8" eb="9">
      <t>ニチ</t>
    </rPh>
    <phoneticPr fontId="28"/>
  </si>
  <si>
    <t>１　決算</t>
    <rPh sb="2" eb="4">
      <t>ケッサン</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</si>
</sst>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176" formatCode="0_);[Red]\(0\)"/>
    <numFmt numFmtId="177" formatCode="#,##0.0000000;[Red]\-#,##0.0000000"/>
    <numFmt numFmtId="178" formatCode="#,##0.000;[Red]\-#,##0.000"/>
    <numFmt numFmtId="179" formatCode="#,##0_ ;[Red]\-#,##0\ "/>
    <numFmt numFmtId="180" formatCode="General&quot; （軽）&quot;"/>
    <numFmt numFmtId="181" formatCode="#,##0.0000_ ;[Red]\-#,##0.0000\ "/>
    <numFmt numFmtId="182" formatCode="0.000_);[Red]\(0.000\)"/>
    <numFmt numFmtId="183" formatCode="#,##0.000000;[Red]\-#,##0.000000"/>
    <numFmt numFmtId="184" formatCode="0.000%"/>
    <numFmt numFmtId="185" formatCode="#,##0_ "/>
    <numFmt numFmtId="186" formatCode="#,##0.000_ ;[Red]\-#,##0.000\ "/>
    <numFmt numFmtId="187" formatCode="&quot;昭和&quot;0&quot;年度&quot;"/>
    <numFmt numFmtId="188" formatCode="&quot;&quot;&quot;平&quot;&quot;成&quot;0&quot;年度&quot;"/>
    <numFmt numFmtId="189" formatCode="#,##0;&quot;△ &quot;#,##0"/>
    <numFmt numFmtId="190" formatCode="0.0%"/>
    <numFmt numFmtId="191" formatCode="[&lt;=999]000;[&lt;=9999]000\-00;000\-0000"/>
    <numFmt numFmtId="192" formatCode="#,##0;&quot;▲ &quot;#,##0"/>
    <numFmt numFmtId="193" formatCode="#,##0_);[Red]\(#,##0\)"/>
    <numFmt numFmtId="194" formatCode="#,##0.00000_);[Red]\(#,##0.00000\)"/>
    <numFmt numFmtId="195" formatCode="#,##0\ ;[Red]&quot;&quot;#,##0\ "/>
    <numFmt numFmtId="196" formatCode="#,##0\ ;[Red]&quot;△&quot;#,##0\ "/>
    <numFmt numFmtId="197" formatCode="0.0%\ ;[Red]&quot;△&quot;0.0%\ "/>
    <numFmt numFmtId="198" formatCode="#,##0\ ;[Red]&quot;&quot;#,##0;&quot;&quot;\ "/>
    <numFmt numFmtId="199" formatCode="\(#,##0\)\ ;[Red]\(&quot;&quot;#,##0\)\ "/>
    <numFmt numFmtId="200" formatCode="#,##0\ ;\-\ #,##0\ ;&quot;－ &quot;"/>
    <numFmt numFmtId="201" formatCode="#,##0\ ;&quot;△ &quot;#,##0\ "/>
    <numFmt numFmtId="202" formatCode="0.0%\ ;&quot;△&quot;0.0%\ "/>
  </numFmts>
  <fonts count="279">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Ｐゴシック"/>
      <family val="3"/>
      <charset val="128"/>
    </font>
    <font>
      <b/>
      <sz val="11"/>
      <name val="ＭＳ Ｐゴシック"/>
      <family val="3"/>
      <charset val="128"/>
    </font>
    <font>
      <sz val="9"/>
      <color indexed="81"/>
      <name val="ＭＳ Ｐゴシック"/>
      <family val="3"/>
      <charset val="128"/>
    </font>
    <font>
      <b/>
      <sz val="9"/>
      <color indexed="81"/>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10"/>
      <name val="ＭＳ Ｐゴシック"/>
      <family val="3"/>
      <charset val="128"/>
    </font>
    <font>
      <sz val="16"/>
      <name val="ＭＳ Ｐゴシック"/>
      <family val="3"/>
      <charset val="128"/>
    </font>
    <font>
      <b/>
      <sz val="11"/>
      <color rgb="FFFF0000"/>
      <name val="ＭＳ Ｐゴシック"/>
      <family val="3"/>
      <charset val="128"/>
      <scheme val="minor"/>
    </font>
    <font>
      <sz val="9"/>
      <color indexed="81"/>
      <name val="MS P ゴシック"/>
      <family val="3"/>
      <charset val="128"/>
    </font>
    <font>
      <b/>
      <sz val="9"/>
      <color indexed="81"/>
      <name val="MS P ゴシック"/>
      <family val="3"/>
      <charset val="128"/>
    </font>
    <font>
      <sz val="6"/>
      <name val="ＭＳ Ｐゴシック"/>
      <family val="3"/>
      <charset val="128"/>
      <scheme val="minor"/>
    </font>
    <font>
      <sz val="11"/>
      <name val="ＭＳ Ｐゴシック"/>
      <family val="3"/>
      <charset val="128"/>
    </font>
    <font>
      <b/>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b/>
      <sz val="9"/>
      <color indexed="81"/>
      <name val="ＭＳ Ｐゴシック"/>
      <family val="3"/>
      <charset val="128"/>
    </font>
    <font>
      <sz val="11"/>
      <name val="ＭＳ ゴシック"/>
      <family val="3"/>
      <charset val="128"/>
    </font>
    <font>
      <sz val="9"/>
      <name val="ＭＳ Ｐゴシック"/>
      <family val="3"/>
      <charset val="128"/>
    </font>
    <font>
      <sz val="10"/>
      <name val="ＭＳ 明朝"/>
      <family val="1"/>
      <charset val="128"/>
    </font>
    <font>
      <sz val="11"/>
      <color theme="1"/>
      <name val="ＭＳ Ｐゴシック"/>
      <family val="3"/>
      <charset val="128"/>
      <scheme val="minor"/>
    </font>
    <font>
      <b/>
      <sz val="11"/>
      <color rgb="FFFF0000"/>
      <name val="ＭＳ Ｐゴシック"/>
      <family val="3"/>
      <charset val="128"/>
    </font>
    <font>
      <sz val="11"/>
      <color theme="1"/>
      <name val="ＭＳ Ｐゴシック"/>
      <family val="2"/>
      <scheme val="minor"/>
    </font>
    <font>
      <sz val="11"/>
      <color rgb="FFFF0000"/>
      <name val="ＭＳ Ｐゴシック"/>
      <family val="3"/>
      <charset val="128"/>
    </font>
    <font>
      <sz val="11"/>
      <name val="ＭＳ Ｐ明朝"/>
      <family val="1"/>
      <charset val="128"/>
    </font>
    <font>
      <b/>
      <sz val="11"/>
      <name val="ＭＳ ゴシック"/>
      <family val="3"/>
      <charset val="128"/>
    </font>
    <font>
      <b/>
      <sz val="11"/>
      <color indexed="81"/>
      <name val="MS P ゴシック"/>
      <family val="3"/>
      <charset val="128"/>
    </font>
    <font>
      <b/>
      <sz val="9"/>
      <color rgb="FFFF0000"/>
      <name val="ＭＳ Ｐゴシック"/>
      <family val="3"/>
      <charset val="128"/>
    </font>
    <font>
      <b/>
      <sz val="9"/>
      <color indexed="81"/>
      <name val="MS P 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11"/>
      <color theme="0"/>
      <name val="ＭＳ Ｐゴシック"/>
      <family val="2"/>
      <charset val="128"/>
    </font>
    <font>
      <sz val="11"/>
      <color rgb="FFFF0000"/>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b/>
      <sz val="11"/>
      <name val="ＭＳ ゴシック"/>
      <family val="3"/>
      <charset val="128"/>
    </font>
    <font>
      <sz val="9"/>
      <name val="ＭＳ Ｐゴシック"/>
      <family val="3"/>
      <charset val="128"/>
    </font>
    <font>
      <b/>
      <sz val="11"/>
      <name val="ＭＳ Ｐゴシック"/>
      <family val="3"/>
      <charset val="128"/>
    </font>
    <font>
      <b/>
      <sz val="9"/>
      <color indexed="10"/>
      <name val="ＭＳ Ｐゴシック"/>
      <family val="3"/>
      <charset val="128"/>
    </font>
    <font>
      <b/>
      <sz val="9"/>
      <color indexed="81"/>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10"/>
      <name val="ＭＳ ゴシック"/>
      <family val="3"/>
      <charset val="128"/>
    </font>
    <font>
      <sz val="9.5"/>
      <name val="ＭＳ ゴシック"/>
      <family val="3"/>
      <charset val="128"/>
    </font>
    <font>
      <b/>
      <sz val="11"/>
      <color indexed="81"/>
      <name val="MS P ゴシック"/>
      <family val="3"/>
      <charset val="128"/>
    </font>
    <font>
      <sz val="9"/>
      <color indexed="81"/>
      <name val="MS P ゴシック"/>
      <family val="3"/>
      <charset val="128"/>
    </font>
    <font>
      <b/>
      <sz val="9"/>
      <color indexed="81"/>
      <name val="MS P 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6"/>
      <name val="ＭＳ Ｐゴシック"/>
      <family val="3"/>
      <charset val="128"/>
    </font>
    <font>
      <sz val="11"/>
      <color indexed="10"/>
      <name val="ＭＳ Ｐゴシック"/>
      <family val="3"/>
      <charset val="128"/>
    </font>
    <font>
      <b/>
      <sz val="11"/>
      <color rgb="FFFF0000"/>
      <name val="ＭＳ Ｐゴシック"/>
      <family val="3"/>
      <charset val="128"/>
    </font>
    <font>
      <sz val="9"/>
      <name val="ＭＳ Ｐゴシック"/>
      <family val="3"/>
      <charset val="128"/>
    </font>
    <font>
      <sz val="10"/>
      <name val="ＭＳ Ｐゴシック"/>
      <family val="3"/>
      <charset val="128"/>
    </font>
    <font>
      <b/>
      <sz val="9"/>
      <color indexed="81"/>
      <name val="ＭＳ Ｐゴシック"/>
      <family val="3"/>
      <charset val="128"/>
    </font>
    <font>
      <sz val="9"/>
      <color indexed="81"/>
      <name val="ＭＳ Ｐゴシック"/>
      <family val="3"/>
      <charset val="128"/>
    </font>
    <font>
      <b/>
      <sz val="9"/>
      <color indexed="10"/>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6"/>
      <name val="ＭＳ Ｐゴシック"/>
      <family val="3"/>
      <charset val="128"/>
      <scheme val="minor"/>
    </font>
    <font>
      <b/>
      <sz val="11"/>
      <color rgb="FFFF0000"/>
      <name val="ＭＳ Ｐゴシック"/>
      <family val="3"/>
      <charset val="128"/>
      <scheme val="minor"/>
    </font>
    <font>
      <sz val="9"/>
      <name val="ＭＳ 明朝"/>
      <family val="1"/>
      <charset val="128"/>
    </font>
    <font>
      <sz val="6"/>
      <name val="ＭＳ Ｐ明朝"/>
      <family val="1"/>
      <charset val="128"/>
    </font>
    <font>
      <sz val="8"/>
      <name val="ＭＳ 明朝"/>
      <family val="1"/>
      <charset val="128"/>
    </font>
    <font>
      <sz val="7"/>
      <name val="ＭＳ 明朝"/>
      <family val="1"/>
      <charset val="128"/>
    </font>
    <font>
      <b/>
      <sz val="8"/>
      <name val="ＭＳ 明朝"/>
      <family val="1"/>
      <charset val="128"/>
    </font>
    <font>
      <sz val="9"/>
      <name val="ＭＳ ゴシック"/>
      <family val="3"/>
      <charset val="128"/>
    </font>
    <font>
      <sz val="12"/>
      <name val="ＭＳ 明朝"/>
      <family val="1"/>
      <charset val="128"/>
    </font>
    <font>
      <b/>
      <sz val="22"/>
      <color indexed="81"/>
      <name val="ＭＳ Ｐゴシック"/>
      <family val="3"/>
      <charset val="128"/>
    </font>
    <font>
      <b/>
      <sz val="12"/>
      <color indexed="81"/>
      <name val="ＭＳ Ｐゴシック"/>
      <family val="3"/>
      <charset val="128"/>
    </font>
    <font>
      <sz val="11"/>
      <color rgb="FF0000FF"/>
      <name val="ＭＳ Ｐゴシック"/>
      <family val="3"/>
      <charset val="128"/>
    </font>
    <font>
      <sz val="11"/>
      <color rgb="FF0000FF"/>
      <name val="ＭＳ Ｐゴシック"/>
      <family val="2"/>
      <charset val="128"/>
      <scheme val="minor"/>
    </font>
    <font>
      <sz val="11"/>
      <color rgb="FF0000FF"/>
      <name val="ＭＳ Ｐゴシック"/>
      <family val="3"/>
      <charset val="128"/>
      <scheme val="minor"/>
    </font>
    <font>
      <sz val="11"/>
      <color indexed="81"/>
      <name val="ＭＳ Ｐゴシック"/>
      <family val="3"/>
      <charset val="128"/>
    </font>
    <font>
      <sz val="9"/>
      <color indexed="81"/>
      <name val="MS P ゴシック"/>
      <family val="3"/>
      <charset val="128"/>
    </font>
    <font>
      <b/>
      <sz val="9"/>
      <color indexed="81"/>
      <name val="MS P ゴシック"/>
      <family val="3"/>
      <charset val="128"/>
    </font>
    <font>
      <u/>
      <sz val="9"/>
      <color indexed="81"/>
      <name val="ＭＳ Ｐゴシック"/>
      <family val="3"/>
      <charset val="128"/>
    </font>
    <font>
      <sz val="11"/>
      <color theme="1"/>
      <name val="ＭＳ Ｐゴシック"/>
      <family val="2"/>
      <charset val="128"/>
      <scheme val="minor"/>
    </font>
    <font>
      <sz val="11"/>
      <name val="ＭＳ Ｐゴシック"/>
      <family val="3"/>
      <charset val="128"/>
    </font>
    <font>
      <sz val="11"/>
      <name val="ＭＳ Ｐゴシック"/>
      <family val="3"/>
      <charset val="128"/>
    </font>
    <font>
      <sz val="6"/>
      <name val="ＭＳ Ｐゴシック"/>
      <family val="3"/>
      <charset val="128"/>
    </font>
    <font>
      <sz val="9"/>
      <name val="ＭＳ ゴシック"/>
      <family val="3"/>
      <charset val="128"/>
    </font>
    <font>
      <sz val="8"/>
      <name val="ＭＳ ゴシック"/>
      <family val="3"/>
      <charset val="128"/>
    </font>
    <font>
      <sz val="11"/>
      <name val="ＭＳ ゴシック"/>
      <family val="3"/>
      <charset val="128"/>
    </font>
    <font>
      <b/>
      <sz val="11"/>
      <name val="ＭＳ ゴシック"/>
      <family val="3"/>
      <charset val="128"/>
    </font>
    <font>
      <sz val="11"/>
      <color indexed="12"/>
      <name val="ＭＳ ゴシック"/>
      <family val="3"/>
      <charset val="128"/>
    </font>
    <font>
      <sz val="9"/>
      <color indexed="12"/>
      <name val="ＭＳ ゴシック"/>
      <family val="3"/>
      <charset val="128"/>
    </font>
    <font>
      <sz val="11"/>
      <color indexed="12"/>
      <name val="ＭＳ Ｐゴシック"/>
      <family val="3"/>
      <charset val="128"/>
    </font>
    <font>
      <sz val="9"/>
      <color indexed="50"/>
      <name val="ＭＳ ゴシック"/>
      <family val="3"/>
      <charset val="128"/>
    </font>
    <font>
      <sz val="11"/>
      <color indexed="10"/>
      <name val="ＭＳ Ｐゴシック"/>
      <family val="3"/>
      <charset val="128"/>
    </font>
    <font>
      <sz val="10"/>
      <name val="ＭＳ Ｐゴシック"/>
      <family val="3"/>
      <charset val="128"/>
    </font>
    <font>
      <sz val="9"/>
      <color indexed="10"/>
      <name val="ＭＳ ゴシック"/>
      <family val="3"/>
      <charset val="128"/>
    </font>
    <font>
      <b/>
      <sz val="12"/>
      <color indexed="10"/>
      <name val="ＭＳ Ｐゴシック"/>
      <family val="3"/>
      <charset val="128"/>
    </font>
    <font>
      <sz val="9"/>
      <name val="ＭＳ Ｐゴシック"/>
      <family val="3"/>
      <charset val="128"/>
    </font>
    <font>
      <sz val="8"/>
      <color indexed="12"/>
      <name val="ＭＳ ゴシック"/>
      <family val="3"/>
      <charset val="128"/>
    </font>
    <font>
      <sz val="10"/>
      <name val="ＭＳ ゴシック"/>
      <family val="3"/>
      <charset val="128"/>
    </font>
    <font>
      <sz val="9"/>
      <color indexed="81"/>
      <name val="ＭＳ Ｐゴシック"/>
      <family val="3"/>
      <charset val="128"/>
    </font>
    <font>
      <b/>
      <sz val="9"/>
      <color indexed="81"/>
      <name val="ＭＳ Ｐゴシック"/>
      <family val="3"/>
      <charset val="128"/>
    </font>
    <font>
      <sz val="8"/>
      <name val="ＭＳ Ｐゴシック"/>
      <family val="3"/>
      <charset val="128"/>
    </font>
    <font>
      <sz val="11"/>
      <color indexed="81"/>
      <name val="ＭＳ Ｐゴシック"/>
      <family val="3"/>
      <charset val="128"/>
    </font>
    <font>
      <sz val="10"/>
      <color indexed="81"/>
      <name val="ＭＳ Ｐゴシック"/>
      <family val="3"/>
      <charset val="128"/>
    </font>
    <font>
      <sz val="8"/>
      <color indexed="81"/>
      <name val="ＭＳ Ｐゴシック"/>
      <family val="3"/>
      <charset val="128"/>
    </font>
    <font>
      <b/>
      <sz val="11"/>
      <color indexed="10"/>
      <name val="ＭＳ Ｐゴシック"/>
      <family val="3"/>
      <charset val="128"/>
    </font>
    <font>
      <b/>
      <sz val="11"/>
      <name val="ＭＳ Ｐゴシック"/>
      <family val="3"/>
      <charset val="128"/>
    </font>
    <font>
      <sz val="9"/>
      <color rgb="FF0000FF"/>
      <name val="ＭＳ ゴシック"/>
      <family val="3"/>
      <charset val="128"/>
    </font>
    <font>
      <sz val="11"/>
      <color rgb="FF0000FF"/>
      <name val="ＭＳ Ｐゴシック"/>
      <family val="3"/>
      <charset val="128"/>
    </font>
    <font>
      <sz val="11"/>
      <color rgb="FF0000FF"/>
      <name val="ＭＳ ゴシック"/>
      <family val="3"/>
      <charset val="128"/>
    </font>
    <font>
      <sz val="9"/>
      <color rgb="FFFF0000"/>
      <name val="ＭＳ ゴシック"/>
      <family val="3"/>
      <charset val="128"/>
    </font>
    <font>
      <sz val="8"/>
      <color rgb="FFFF0000"/>
      <name val="ＭＳ ゴシック"/>
      <family val="3"/>
      <charset val="128"/>
    </font>
    <font>
      <sz val="9"/>
      <color theme="1"/>
      <name val="ＭＳ ゴシック"/>
      <family val="3"/>
      <charset val="128"/>
    </font>
    <font>
      <b/>
      <sz val="12"/>
      <name val="ＭＳ Ｐゴシック"/>
      <family val="3"/>
      <charset val="128"/>
    </font>
    <font>
      <b/>
      <sz val="9"/>
      <name val="ＭＳ Ｐゴシック"/>
      <family val="3"/>
      <charset val="128"/>
    </font>
    <font>
      <b/>
      <sz val="9"/>
      <color rgb="FF0000FF"/>
      <name val="ＭＳ Ｐゴシック"/>
      <family val="3"/>
      <charset val="128"/>
    </font>
    <font>
      <i/>
      <sz val="9"/>
      <name val="ＭＳ Ｐゴシック"/>
      <family val="3"/>
      <charset val="128"/>
    </font>
    <font>
      <b/>
      <sz val="9"/>
      <color indexed="10"/>
      <name val="ＭＳ Ｐゴシック"/>
      <family val="3"/>
      <charset val="128"/>
    </font>
    <font>
      <b/>
      <sz val="11"/>
      <color rgb="FF0000FF"/>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2"/>
      <name val="ＭＳ 明朝"/>
      <family val="1"/>
      <charset val="128"/>
    </font>
    <font>
      <sz val="11"/>
      <color indexed="2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color rgb="FF0000FF"/>
      <name val="ＭＳ Ｐゴシック"/>
      <family val="3"/>
      <charset val="128"/>
    </font>
    <font>
      <sz val="11"/>
      <color rgb="FFFF0000"/>
      <name val="ＭＳ ゴシック"/>
      <family val="3"/>
      <charset val="128"/>
    </font>
    <font>
      <sz val="8"/>
      <color rgb="FF0000FF"/>
      <name val="ＭＳ ゴシック"/>
      <family val="3"/>
      <charset val="128"/>
    </font>
    <font>
      <b/>
      <sz val="11"/>
      <color rgb="FFFF0000"/>
      <name val="ＭＳ Ｐゴシック"/>
      <family val="3"/>
      <charset val="128"/>
    </font>
    <font>
      <b/>
      <sz val="9"/>
      <color indexed="81"/>
      <name val="MS P ゴシック"/>
      <family val="3"/>
      <charset val="128"/>
    </font>
    <font>
      <sz val="9"/>
      <color indexed="81"/>
      <name val="MS P ゴシック"/>
      <family val="3"/>
      <charset val="128"/>
    </font>
    <font>
      <sz val="8"/>
      <color indexed="81"/>
      <name val="MS P ゴシック"/>
      <family val="3"/>
      <charset val="128"/>
    </font>
    <font>
      <sz val="11"/>
      <name val="ＭＳ Ｐゴシック"/>
      <family val="3"/>
      <charset val="128"/>
    </font>
    <font>
      <sz val="11"/>
      <color theme="1"/>
      <name val="ＭＳ Ｐゴシック"/>
      <family val="3"/>
      <charset val="128"/>
      <scheme val="minor"/>
    </font>
    <font>
      <sz val="9"/>
      <color theme="1"/>
      <name val="ＭＳ Ｐゴシック"/>
      <family val="3"/>
      <charset val="128"/>
      <scheme val="minor"/>
    </font>
    <font>
      <sz val="6"/>
      <name val="ＭＳ Ｐゴシック"/>
      <family val="2"/>
      <charset val="128"/>
      <scheme val="minor"/>
    </font>
    <font>
      <sz val="6"/>
      <name val="ＭＳ Ｐゴシック"/>
      <family val="3"/>
      <charset val="128"/>
    </font>
    <font>
      <sz val="8"/>
      <color theme="1"/>
      <name val="ＭＳ Ｐゴシック"/>
      <family val="3"/>
      <charset val="128"/>
      <scheme val="minor"/>
    </font>
    <font>
      <sz val="11"/>
      <name val="ＭＳ Ｐゴシック"/>
      <family val="3"/>
      <charset val="128"/>
    </font>
    <font>
      <sz val="12"/>
      <color theme="1"/>
      <name val="ＭＳ Ｐゴシック"/>
      <family val="3"/>
      <charset val="128"/>
      <scheme val="minor"/>
    </font>
    <font>
      <b/>
      <sz val="9"/>
      <color indexed="81"/>
      <name val="ＭＳ Ｐゴシック"/>
      <family val="3"/>
      <charset val="128"/>
    </font>
    <font>
      <sz val="10"/>
      <name val="ＭＳ 明朝"/>
      <family val="1"/>
      <charset val="128"/>
    </font>
    <font>
      <sz val="11"/>
      <color theme="1"/>
      <name val="ＭＳ Ｐゴシック"/>
      <family val="2"/>
      <scheme val="minor"/>
    </font>
    <font>
      <sz val="11"/>
      <name val="ＭＳ Ｐ明朝"/>
      <family val="1"/>
      <charset val="128"/>
    </font>
    <font>
      <sz val="8"/>
      <name val="ＭＳ Ｐゴシック"/>
      <family val="3"/>
      <charset val="128"/>
    </font>
    <font>
      <sz val="9"/>
      <name val="ＭＳ Ｐゴシック"/>
      <family val="3"/>
      <charset val="128"/>
    </font>
    <font>
      <b/>
      <sz val="11"/>
      <name val="ＭＳ Ｐゴシック"/>
      <family val="3"/>
      <charset val="128"/>
    </font>
    <font>
      <b/>
      <sz val="12"/>
      <name val="ＭＳ Ｐゴシック"/>
      <family val="3"/>
      <charset val="128"/>
    </font>
    <font>
      <b/>
      <sz val="14"/>
      <name val="ＭＳ Ｐゴシック"/>
      <family val="3"/>
      <charset val="128"/>
    </font>
    <font>
      <sz val="9"/>
      <color indexed="81"/>
      <name val="ＭＳ Ｐゴシック"/>
      <family val="3"/>
      <charset val="128"/>
    </font>
    <font>
      <sz val="11"/>
      <color indexed="81"/>
      <name val="ＭＳ Ｐゴシック"/>
      <family val="3"/>
      <charset val="128"/>
    </font>
    <font>
      <b/>
      <sz val="11"/>
      <color indexed="10"/>
      <name val="ＭＳ Ｐゴシック"/>
      <family val="3"/>
      <charset val="128"/>
    </font>
    <font>
      <b/>
      <u/>
      <sz val="11"/>
      <color indexed="81"/>
      <name val="ＭＳ Ｐゴシック"/>
      <family val="3"/>
      <charset val="128"/>
    </font>
    <font>
      <sz val="6"/>
      <name val="ＭＳ Ｐゴシック"/>
      <family val="3"/>
      <charset val="128"/>
      <scheme val="minor"/>
    </font>
    <font>
      <b/>
      <sz val="11"/>
      <color theme="1"/>
      <name val="ＭＳ Ｐゴシック"/>
      <family val="3"/>
      <charset val="128"/>
      <scheme val="minor"/>
    </font>
    <font>
      <b/>
      <sz val="11"/>
      <color rgb="FFFF0000"/>
      <name val="ＭＳ Ｐゴシック"/>
      <family val="3"/>
      <charset val="128"/>
      <scheme val="minor"/>
    </font>
    <font>
      <sz val="11"/>
      <color rgb="FF0000FF"/>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sz val="11"/>
      <color indexed="10"/>
      <name val="ＭＳ Ｐゴシック"/>
      <family val="3"/>
      <charset val="128"/>
    </font>
    <font>
      <sz val="10"/>
      <color theme="1"/>
      <name val="ＭＳ Ｐゴシック"/>
      <family val="3"/>
      <charset val="128"/>
      <scheme val="minor"/>
    </font>
    <font>
      <b/>
      <sz val="9"/>
      <color indexed="10"/>
      <name val="ＭＳ Ｐゴシック"/>
      <family val="3"/>
      <charset val="128"/>
    </font>
    <font>
      <sz val="10"/>
      <name val="ＭＳ Ｐゴシック"/>
      <family val="3"/>
      <charset val="128"/>
    </font>
    <font>
      <sz val="6"/>
      <name val="ＭＳ Ｐ明朝"/>
      <family val="1"/>
      <charset val="128"/>
    </font>
    <font>
      <sz val="9"/>
      <name val="ＭＳ Ｐ明朝"/>
      <family val="1"/>
      <charset val="128"/>
    </font>
    <font>
      <sz val="10"/>
      <name val="ＭＳ Ｐ明朝"/>
      <family val="1"/>
      <charset val="128"/>
    </font>
    <font>
      <sz val="7"/>
      <name val="ＭＳ Ｐ明朝"/>
      <family val="1"/>
      <charset val="128"/>
    </font>
    <font>
      <sz val="8"/>
      <name val="ＭＳ Ｐ明朝"/>
      <family val="1"/>
      <charset val="128"/>
    </font>
    <font>
      <sz val="11"/>
      <color rgb="FFFF0000"/>
      <name val="ＭＳ Ｐ明朝"/>
      <family val="1"/>
      <charset val="128"/>
    </font>
    <font>
      <sz val="8"/>
      <color rgb="FFFF0000"/>
      <name val="ＭＳ Ｐ明朝"/>
      <family val="1"/>
      <charset val="128"/>
    </font>
    <font>
      <b/>
      <sz val="11"/>
      <color indexed="81"/>
      <name val="ＭＳ Ｐゴシック"/>
      <family val="3"/>
      <charset val="128"/>
    </font>
    <font>
      <b/>
      <sz val="9"/>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9"/>
      <color indexed="10"/>
      <name val="MS P ゴシック"/>
      <family val="3"/>
      <charset val="128"/>
    </font>
    <font>
      <sz val="9"/>
      <color rgb="FFFF0000"/>
      <name val="ＭＳ Ｐゴシック"/>
      <family val="3"/>
      <charset val="128"/>
      <scheme val="minor"/>
    </font>
    <font>
      <sz val="11"/>
      <name val="ＭＳ Ｐゴシック"/>
      <family val="3"/>
      <charset val="128"/>
    </font>
    <font>
      <sz val="11"/>
      <color theme="1"/>
      <name val="ＭＳ ゴシック"/>
      <family val="2"/>
      <charset val="128"/>
    </font>
    <font>
      <sz val="11"/>
      <name val="ＭＳ Ｐゴシック"/>
      <family val="3"/>
      <charset val="128"/>
    </font>
    <font>
      <sz val="6"/>
      <name val="ＭＳ Ｐゴシック"/>
      <family val="3"/>
      <charset val="128"/>
    </font>
    <font>
      <b/>
      <sz val="11"/>
      <color rgb="FFFF0000"/>
      <name val="ＭＳ Ｐゴシック"/>
      <family val="3"/>
      <charset val="128"/>
    </font>
    <font>
      <sz val="11"/>
      <color indexed="10"/>
      <name val="ＭＳ Ｐゴシック"/>
      <family val="3"/>
      <charset val="128"/>
    </font>
    <font>
      <sz val="16"/>
      <name val="ＭＳ Ｐゴシック"/>
      <family val="3"/>
      <charset val="128"/>
    </font>
    <font>
      <sz val="8"/>
      <color indexed="81"/>
      <name val="ＭＳ Ｐゴシック"/>
      <family val="3"/>
      <charset val="128"/>
    </font>
    <font>
      <b/>
      <sz val="9"/>
      <color indexed="81"/>
      <name val="ＭＳ Ｐゴシック"/>
      <family val="3"/>
      <charset val="128"/>
    </font>
    <font>
      <sz val="11"/>
      <color theme="1"/>
      <name val="ＭＳ ゴシック"/>
      <family val="3"/>
      <charset val="128"/>
    </font>
    <font>
      <sz val="10"/>
      <name val="ＭＳ 明朝"/>
      <family val="1"/>
      <charset val="128"/>
    </font>
    <font>
      <sz val="11"/>
      <color theme="1"/>
      <name val="ＭＳ ゴシック"/>
      <family val="2"/>
    </font>
    <font>
      <sz val="11"/>
      <name val="ＭＳ Ｐ明朝"/>
      <family val="1"/>
      <charset val="128"/>
    </font>
    <font>
      <b/>
      <sz val="11"/>
      <name val="ＭＳ Ｐゴシック"/>
      <family val="3"/>
      <charset val="128"/>
    </font>
    <font>
      <sz val="9"/>
      <name val="ＭＳ Ｐゴシック"/>
      <family val="3"/>
      <charset val="128"/>
    </font>
    <font>
      <sz val="10"/>
      <name val="ＭＳ Ｐゴシック"/>
      <family val="3"/>
      <charset val="128"/>
    </font>
    <font>
      <sz val="8"/>
      <name val="ＭＳ Ｐゴシック"/>
      <family val="3"/>
      <charset val="128"/>
    </font>
    <font>
      <b/>
      <sz val="12"/>
      <name val="ＭＳ Ｐゴシック"/>
      <family val="3"/>
      <charset val="128"/>
    </font>
    <font>
      <b/>
      <sz val="14"/>
      <name val="ＭＳ Ｐゴシック"/>
      <family val="3"/>
      <charset val="128"/>
    </font>
    <font>
      <b/>
      <sz val="11"/>
      <color indexed="10"/>
      <name val="ＭＳ Ｐゴシック"/>
      <family val="3"/>
      <charset val="128"/>
    </font>
    <font>
      <sz val="11"/>
      <color indexed="12"/>
      <name val="ＭＳ Ｐゴシック"/>
      <family val="3"/>
      <charset val="128"/>
    </font>
    <font>
      <sz val="12"/>
      <name val="ＭＳ Ｐゴシック"/>
      <family val="3"/>
      <charset val="128"/>
    </font>
    <font>
      <b/>
      <sz val="12"/>
      <color indexed="10"/>
      <name val="ＭＳ Ｐゴシック"/>
      <family val="3"/>
      <charset val="128"/>
    </font>
    <font>
      <b/>
      <sz val="11"/>
      <color indexed="81"/>
      <name val="ＭＳ Ｐゴシック"/>
      <family val="3"/>
      <charset val="128"/>
    </font>
    <font>
      <sz val="9"/>
      <color indexed="81"/>
      <name val="ＭＳ Ｐゴシック"/>
      <family val="3"/>
      <charset val="128"/>
    </font>
    <font>
      <b/>
      <sz val="10"/>
      <color indexed="81"/>
      <name val="ＭＳ Ｐゴシック"/>
      <family val="3"/>
      <charset val="128"/>
    </font>
    <font>
      <b/>
      <sz val="12"/>
      <color indexed="81"/>
      <name val="ＭＳ Ｐゴシック"/>
      <family val="3"/>
      <charset val="128"/>
    </font>
    <font>
      <sz val="11"/>
      <name val="ＭＳ ゴシック"/>
      <family val="3"/>
      <charset val="128"/>
    </font>
    <font>
      <sz val="6"/>
      <name val="ＭＳ Ｐ明朝"/>
      <family val="1"/>
      <charset val="128"/>
    </font>
    <font>
      <sz val="9"/>
      <name val="ＭＳ 明朝"/>
      <family val="1"/>
      <charset val="128"/>
    </font>
    <font>
      <sz val="10"/>
      <color indexed="12"/>
      <name val="ＭＳ 明朝"/>
      <family val="1"/>
      <charset val="128"/>
    </font>
    <font>
      <sz val="10"/>
      <color rgb="FF0000FF"/>
      <name val="ＭＳ 明朝"/>
      <family val="1"/>
      <charset val="128"/>
    </font>
    <font>
      <sz val="6"/>
      <name val="ＭＳ 明朝"/>
      <family val="1"/>
      <charset val="128"/>
    </font>
    <font>
      <b/>
      <sz val="24"/>
      <color rgb="FFFF0000"/>
      <name val="ＭＳ Ｐゴシック"/>
      <family val="3"/>
      <charset val="128"/>
    </font>
    <font>
      <b/>
      <sz val="9"/>
      <color indexed="81"/>
      <name val="MS P ゴシック"/>
      <family val="3"/>
      <charset val="128"/>
    </font>
    <font>
      <sz val="9"/>
      <color indexed="81"/>
      <name val="MS P ゴシック"/>
      <family val="3"/>
      <charset val="128"/>
    </font>
    <font>
      <sz val="11"/>
      <color theme="1"/>
      <name val="ＭＳ Ｐゴシック"/>
      <family val="3"/>
      <charset val="128"/>
    </font>
    <font>
      <sz val="6"/>
      <name val="ＭＳ ゴシック"/>
      <family val="2"/>
      <charset val="128"/>
    </font>
    <font>
      <u/>
      <sz val="11"/>
      <color theme="1"/>
      <name val="ＭＳ Ｐゴシック"/>
      <family val="3"/>
      <charset val="128"/>
    </font>
    <font>
      <sz val="11"/>
      <color rgb="FF0070C0"/>
      <name val="ＭＳ Ｐゴシック"/>
      <family val="3"/>
      <charset val="128"/>
    </font>
    <font>
      <sz val="11"/>
      <color rgb="FFFF00FF"/>
      <name val="ＭＳ Ｐゴシック"/>
      <family val="3"/>
      <charset val="128"/>
    </font>
    <font>
      <sz val="11"/>
      <color rgb="FFFFFF00"/>
      <name val="ＭＳ Ｐゴシック"/>
      <family val="3"/>
      <charset val="128"/>
    </font>
    <font>
      <sz val="10"/>
      <name val="BIZ UDゴシック"/>
      <family val="3"/>
      <charset val="128"/>
    </font>
    <font>
      <sz val="10"/>
      <color indexed="12"/>
      <name val="BIZ UDゴシック"/>
      <family val="3"/>
      <charset val="128"/>
    </font>
    <font>
      <sz val="9"/>
      <color indexed="12"/>
      <name val="BIZ UDゴシック"/>
      <family val="3"/>
      <charset val="128"/>
    </font>
    <font>
      <sz val="9"/>
      <name val="BIZ UDゴシック"/>
      <family val="3"/>
      <charset val="128"/>
    </font>
    <font>
      <sz val="16"/>
      <name val="BIZ UDゴシック"/>
      <family val="3"/>
      <charset val="128"/>
    </font>
    <font>
      <sz val="10"/>
      <color indexed="21"/>
      <name val="BIZ UDゴシック"/>
      <family val="3"/>
      <charset val="128"/>
    </font>
    <font>
      <sz val="10"/>
      <color rgb="FF0000FF"/>
      <name val="BIZ UDゴシック"/>
      <family val="3"/>
      <charset val="128"/>
    </font>
    <font>
      <sz val="9"/>
      <color indexed="8"/>
      <name val="BIZ UDゴシック"/>
      <family val="3"/>
      <charset val="128"/>
    </font>
    <font>
      <sz val="9"/>
      <color rgb="FF0000FF"/>
      <name val="BIZ UDゴシック"/>
      <family val="3"/>
      <charset val="128"/>
    </font>
    <font>
      <sz val="9"/>
      <color rgb="FFFF0000"/>
      <name val="BIZ UDゴシック"/>
      <family val="3"/>
      <charset val="128"/>
    </font>
    <font>
      <b/>
      <sz val="10"/>
      <name val="BIZ UDゴシック"/>
      <family val="3"/>
      <charset val="128"/>
    </font>
    <font>
      <sz val="12"/>
      <name val="BIZ UDゴシック"/>
      <family val="3"/>
      <charset val="128"/>
    </font>
    <font>
      <sz val="11"/>
      <name val="BIZ UDゴシック"/>
      <family val="3"/>
      <charset val="128"/>
    </font>
    <font>
      <sz val="10"/>
      <color indexed="8"/>
      <name val="BIZ UDゴシック"/>
      <family val="3"/>
      <charset val="128"/>
    </font>
    <font>
      <b/>
      <sz val="10"/>
      <color indexed="12"/>
      <name val="BIZ UDゴシック"/>
      <family val="3"/>
      <charset val="128"/>
    </font>
    <font>
      <sz val="10"/>
      <color rgb="FFFF0000"/>
      <name val="BIZ UDゴシック"/>
      <family val="3"/>
      <charset val="128"/>
    </font>
    <font>
      <sz val="6"/>
      <name val="ＭＳ ゴシック"/>
      <family val="3"/>
      <charset val="128"/>
    </font>
    <font>
      <b/>
      <sz val="18"/>
      <color indexed="81"/>
      <name val="ＭＳ Ｐゴシック"/>
      <family val="3"/>
      <charset val="128"/>
    </font>
    <font>
      <sz val="8"/>
      <name val="ＭＳ 明朝"/>
      <family val="1"/>
      <charset val="128"/>
    </font>
    <font>
      <sz val="14"/>
      <name val="ＭＳ 明朝"/>
      <family val="1"/>
      <charset val="128"/>
    </font>
    <font>
      <sz val="11"/>
      <name val="ＭＳ 明朝"/>
      <family val="1"/>
      <charset val="128"/>
    </font>
    <font>
      <b/>
      <sz val="20"/>
      <name val="ＭＳ 明朝"/>
      <family val="1"/>
      <charset val="128"/>
    </font>
    <font>
      <sz val="10"/>
      <color rgb="FF0070C0"/>
      <name val="ＭＳ 明朝"/>
      <family val="1"/>
      <charset val="128"/>
    </font>
    <font>
      <sz val="8"/>
      <color rgb="FF0070C0"/>
      <name val="ＭＳ 明朝"/>
      <family val="1"/>
      <charset val="128"/>
    </font>
    <font>
      <sz val="9"/>
      <color rgb="FF0070C0"/>
      <name val="ＭＳ 明朝"/>
      <family val="1"/>
      <charset val="128"/>
    </font>
    <font>
      <sz val="11"/>
      <color rgb="FF0000FF"/>
      <name val="ＭＳ 明朝"/>
      <family val="1"/>
      <charset val="128"/>
    </font>
    <font>
      <sz val="11"/>
      <color rgb="FFFF0000"/>
      <name val="ＭＳ 明朝"/>
      <family val="1"/>
      <charset val="128"/>
    </font>
    <font>
      <b/>
      <sz val="11"/>
      <color rgb="FFFF0000"/>
      <name val="ＭＳ 明朝"/>
      <family val="1"/>
      <charset val="128"/>
    </font>
    <font>
      <sz val="16"/>
      <name val="ＭＳ ゴシック"/>
      <family val="3"/>
      <charset val="128"/>
    </font>
    <font>
      <b/>
      <sz val="10"/>
      <color rgb="FF0000FF"/>
      <name val="BIZ UDゴシック"/>
      <family val="3"/>
      <charset val="128"/>
    </font>
    <font>
      <sz val="11"/>
      <name val="ＭＳ ゴシック"/>
      <family val="3"/>
      <charset val="128"/>
    </font>
    <font>
      <b/>
      <sz val="18"/>
      <name val="ＭＳ ゴシック"/>
      <family val="3"/>
      <charset val="128"/>
    </font>
    <font>
      <sz val="10"/>
      <name val="ＭＳ ゴシック"/>
      <family val="3"/>
      <charset val="128"/>
    </font>
    <font>
      <b/>
      <sz val="12"/>
      <name val="ＭＳ ゴシック"/>
      <family val="3"/>
      <charset val="128"/>
    </font>
    <font>
      <sz val="9"/>
      <name val="ＭＳ ゴシック"/>
      <family val="3"/>
      <charset val="128"/>
    </font>
    <font>
      <b/>
      <sz val="11"/>
      <name val="ＭＳ ゴシック"/>
      <family val="3"/>
      <charset val="128"/>
    </font>
  </fonts>
  <fills count="125">
    <fill>
      <patternFill patternType="none"/>
    </fill>
    <fill>
      <patternFill patternType="gray125"/>
    </fill>
    <fill>
      <patternFill patternType="solid">
        <fgColor theme="0" tint="-0.249977111117893"/>
        <bgColor indexed="64"/>
      </patternFill>
    </fill>
    <fill>
      <patternFill patternType="solid">
        <fgColor rgb="FFFF7C80"/>
        <bgColor indexed="64"/>
      </patternFill>
    </fill>
    <fill>
      <patternFill patternType="solid">
        <fgColor rgb="FF00CC0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theme="3" tint="0.79998168889431442"/>
        <bgColor indexed="64"/>
      </patternFill>
    </fill>
    <fill>
      <patternFill patternType="solid">
        <fgColor rgb="FFFFCCFF"/>
        <bgColor indexed="64"/>
      </patternFill>
    </fill>
    <fill>
      <patternFill patternType="solid">
        <fgColor theme="1" tint="0.34998626667073579"/>
        <bgColor indexed="64"/>
      </patternFill>
    </fill>
    <fill>
      <patternFill patternType="solid">
        <fgColor theme="8" tint="0.79998168889431442"/>
        <bgColor indexed="64"/>
      </patternFill>
    </fill>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rgb="FFFF99FF"/>
        <bgColor indexed="64"/>
      </patternFill>
    </fill>
    <fill>
      <patternFill patternType="solid">
        <fgColor rgb="FFFFFFCC"/>
        <bgColor indexed="64"/>
      </patternFill>
    </fill>
    <fill>
      <patternFill patternType="solid">
        <fgColor rgb="FFFFC000"/>
        <bgColor indexed="64"/>
      </patternFill>
    </fill>
    <fill>
      <patternFill patternType="solid">
        <fgColor rgb="FFFFCCFF"/>
        <bgColor indexed="64"/>
      </patternFill>
    </fill>
    <fill>
      <patternFill patternType="solid">
        <fgColor theme="6" tint="0.39997558519241921"/>
        <bgColor indexed="64"/>
      </patternFill>
    </fill>
    <fill>
      <patternFill patternType="none"/>
    </fill>
    <fill>
      <patternFill patternType="gray125"/>
    </fill>
    <fill>
      <patternFill patternType="solid">
        <fgColor rgb="FFFFFFCC"/>
        <bgColor indexed="64"/>
      </patternFill>
    </fill>
    <fill>
      <patternFill patternType="solid">
        <fgColor rgb="FF00B0F0"/>
        <bgColor indexed="64"/>
      </patternFill>
    </fill>
    <fill>
      <patternFill patternType="solid">
        <fgColor rgb="FFFFCCFF"/>
        <bgColor indexed="64"/>
      </patternFill>
    </fill>
    <fill>
      <patternFill patternType="solid">
        <fgColor theme="9"/>
      </patternFill>
    </fill>
    <fill>
      <patternFill patternType="none"/>
    </fill>
    <fill>
      <patternFill patternType="gray125"/>
    </fill>
    <fill>
      <patternFill patternType="solid">
        <fgColor rgb="FFFFFFCC"/>
        <bgColor indexed="64"/>
      </patternFill>
    </fill>
    <fill>
      <patternFill patternType="solid">
        <fgColor rgb="FF00FF00"/>
        <bgColor indexed="64"/>
      </patternFill>
    </fill>
    <fill>
      <patternFill patternType="solid">
        <fgColor rgb="FF00FFFF"/>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CCFF"/>
        <bgColor indexed="64"/>
      </patternFill>
    </fill>
    <fill>
      <patternFill patternType="solid">
        <fgColor theme="9" tint="0.59999389629810485"/>
        <bgColor indexed="64"/>
      </patternFill>
    </fill>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7C80"/>
        <bgColor indexed="64"/>
      </patternFill>
    </fill>
    <fill>
      <patternFill patternType="solid">
        <fgColor rgb="FF92D050"/>
        <bgColor indexed="64"/>
      </patternFill>
    </fill>
    <fill>
      <patternFill patternType="solid">
        <fgColor rgb="FF00CC00"/>
        <bgColor indexed="64"/>
      </patternFill>
    </fill>
    <fill>
      <patternFill patternType="solid">
        <fgColor rgb="FFFFFF00"/>
        <bgColor indexed="64"/>
      </patternFill>
    </fill>
    <fill>
      <patternFill patternType="solid">
        <fgColor rgb="FF00B050"/>
        <bgColor indexed="64"/>
      </patternFill>
    </fill>
    <fill>
      <patternFill patternType="solid">
        <fgColor rgb="FFCCFFCC"/>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39997558519241921"/>
        <bgColor indexed="64"/>
      </patternFill>
    </fill>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7C80"/>
        <bgColor indexed="64"/>
      </patternFill>
    </fill>
    <fill>
      <patternFill patternType="solid">
        <fgColor rgb="FF92D050"/>
        <bgColor indexed="64"/>
      </patternFill>
    </fill>
    <fill>
      <patternFill patternType="solid">
        <fgColor rgb="FF00CC00"/>
        <bgColor indexed="64"/>
      </patternFill>
    </fill>
    <fill>
      <patternFill patternType="solid">
        <fgColor rgb="FF00FFFF"/>
        <bgColor indexed="64"/>
      </patternFill>
    </fill>
    <fill>
      <patternFill patternType="solid">
        <fgColor rgb="FF6699FF"/>
        <bgColor indexed="64"/>
      </patternFill>
    </fill>
    <fill>
      <patternFill patternType="solid">
        <fgColor rgb="FF66FF33"/>
        <bgColor indexed="64"/>
      </patternFill>
    </fill>
    <fill>
      <patternFill patternType="solid">
        <fgColor rgb="FF00B050"/>
        <bgColor indexed="64"/>
      </patternFill>
    </fill>
    <fill>
      <patternFill patternType="solid">
        <fgColor rgb="FFFF99FF"/>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22"/>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5"/>
      </patternFill>
    </fill>
    <fill>
      <patternFill patternType="solid">
        <fgColor indexed="9"/>
      </patternFill>
    </fill>
    <fill>
      <patternFill patternType="solid">
        <fgColor rgb="FFFFFFCC"/>
        <bgColor indexed="64"/>
      </patternFill>
    </fill>
    <fill>
      <patternFill patternType="solid">
        <fgColor rgb="FFFFCCFF"/>
        <bgColor indexed="64"/>
      </patternFill>
    </fill>
    <fill>
      <patternFill patternType="solid">
        <fgColor rgb="FFFF0066"/>
        <bgColor indexed="64"/>
      </patternFill>
    </fill>
    <fill>
      <patternFill patternType="solid">
        <fgColor theme="9" tint="0.39997558519241921"/>
        <bgColor indexed="64"/>
      </patternFill>
    </fill>
    <fill>
      <patternFill patternType="solid">
        <fgColor rgb="FFFF66FF"/>
        <bgColor indexed="64"/>
      </patternFill>
    </fill>
    <fill>
      <patternFill patternType="solid">
        <fgColor rgb="FFFFFF99"/>
        <bgColor indexed="64"/>
      </patternFill>
    </fill>
    <fill>
      <patternFill patternType="solid">
        <fgColor theme="9"/>
        <bgColor indexed="64"/>
      </patternFill>
    </fill>
    <fill>
      <patternFill patternType="solid">
        <fgColor theme="7" tint="0.59999389629810485"/>
        <bgColor indexed="64"/>
      </patternFill>
    </fill>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CC0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6699FF"/>
        <bgColor indexed="64"/>
      </patternFill>
    </fill>
    <fill>
      <patternFill patternType="solid">
        <fgColor theme="0" tint="-0.249977111117893"/>
        <bgColor indexed="64"/>
      </patternFill>
    </fill>
    <fill>
      <patternFill patternType="solid">
        <fgColor rgb="FF92D050"/>
        <bgColor indexed="64"/>
      </patternFill>
    </fill>
    <fill>
      <patternFill patternType="solid">
        <fgColor rgb="FF00B050"/>
        <bgColor indexed="64"/>
      </patternFill>
    </fill>
    <fill>
      <patternFill patternType="solid">
        <fgColor theme="0" tint="-0.14999847407452621"/>
        <bgColor indexed="64"/>
      </patternFill>
    </fill>
    <fill>
      <patternFill patternType="solid">
        <fgColor indexed="13"/>
        <bgColor indexed="64"/>
      </patternFill>
    </fill>
    <fill>
      <patternFill patternType="solid">
        <fgColor rgb="FF00FF00"/>
        <bgColor indexed="64"/>
      </patternFill>
    </fill>
    <fill>
      <patternFill patternType="solid">
        <fgColor rgb="FFFFCC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7" tint="0.59999389629810485"/>
        <bgColor indexed="64"/>
      </patternFill>
    </fill>
    <fill>
      <patternFill patternType="solid">
        <fgColor rgb="FF00CC00"/>
        <bgColor indexed="64"/>
      </patternFill>
    </fill>
    <fill>
      <patternFill patternType="solid">
        <fgColor indexed="46"/>
        <bgColor indexed="64"/>
      </patternFill>
    </fill>
    <fill>
      <patternFill patternType="solid">
        <fgColor rgb="FF00B0F0"/>
        <bgColor indexed="64"/>
      </patternFill>
    </fill>
    <fill>
      <patternFill patternType="solid">
        <fgColor rgb="FF00B050"/>
        <bgColor indexed="64"/>
      </patternFill>
    </fill>
    <fill>
      <patternFill patternType="solid">
        <fgColor rgb="FF6699FF"/>
        <bgColor indexed="64"/>
      </patternFill>
    </fill>
    <fill>
      <patternFill patternType="solid">
        <fgColor rgb="FFFF7C80"/>
        <bgColor indexed="64"/>
      </patternFill>
    </fill>
    <fill>
      <patternFill patternType="solid">
        <fgColor rgb="FFFFFFCC"/>
        <bgColor indexed="64"/>
      </patternFill>
    </fill>
    <fill>
      <patternFill patternType="solid">
        <fgColor rgb="FFCCFFFF"/>
        <bgColor indexed="64"/>
      </patternFill>
    </fill>
    <fill>
      <patternFill patternType="solid">
        <fgColor rgb="FFFF99FF"/>
        <bgColor indexed="64"/>
      </patternFill>
    </fill>
    <fill>
      <patternFill patternType="solid">
        <fgColor theme="1" tint="0.34998626667073579"/>
        <bgColor indexed="64"/>
      </patternFill>
    </fill>
    <fill>
      <patternFill patternType="solid">
        <fgColor theme="5" tint="0.59999389629810485"/>
        <bgColor indexed="64"/>
      </patternFill>
    </fill>
  </fills>
  <borders count="1047">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bottom style="thin">
        <color indexed="64"/>
      </bottom>
      <diagonal/>
    </border>
    <border>
      <left/>
      <right/>
      <top/>
      <bottom style="thin">
        <color indexed="64"/>
      </bottom>
      <diagonal/>
    </border>
    <border>
      <left style="hair">
        <color indexed="64"/>
      </left>
      <right style="medium">
        <color indexed="64"/>
      </right>
      <top/>
      <bottom style="medium">
        <color indexed="64"/>
      </bottom>
      <diagonal/>
    </border>
    <border>
      <left/>
      <right/>
      <top/>
      <bottom style="medium">
        <color indexed="64"/>
      </bottom>
      <diagonal/>
    </border>
    <border>
      <left style="hair">
        <color indexed="64"/>
      </left>
      <right style="hair">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hair">
        <color indexed="64"/>
      </left>
      <right style="thin">
        <color indexed="64"/>
      </right>
      <top style="double">
        <color indexed="64"/>
      </top>
      <bottom style="thin">
        <color indexed="64"/>
      </bottom>
      <diagonal/>
    </border>
    <border>
      <left/>
      <right/>
      <top style="double">
        <color indexed="64"/>
      </top>
      <bottom style="thin">
        <color indexed="64"/>
      </bottom>
      <diagonal/>
    </border>
    <border>
      <left style="hair">
        <color indexed="64"/>
      </left>
      <right style="medium">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top/>
      <bottom style="hair">
        <color indexed="64"/>
      </bottom>
      <diagonal/>
    </border>
    <border>
      <left style="medium">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style="double">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diagonalUp="1">
      <left style="thin">
        <color indexed="64"/>
      </left>
      <right/>
      <top/>
      <bottom/>
      <diagonal style="hair">
        <color indexed="64"/>
      </diagonal>
    </border>
    <border diagonalUp="1">
      <left/>
      <right/>
      <top/>
      <bottom/>
      <diagonal style="hair">
        <color indexed="64"/>
      </diagonal>
    </border>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top style="hair">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thin">
        <color indexed="64"/>
      </left>
      <right/>
      <top/>
      <bottom/>
      <diagonal/>
    </border>
    <border>
      <left style="thin">
        <color indexed="64"/>
      </left>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bottom/>
      <diagonal/>
    </border>
    <border>
      <left/>
      <right/>
      <top style="hair">
        <color indexed="64"/>
      </top>
      <bottom style="thin">
        <color indexed="64"/>
      </bottom>
      <diagonal/>
    </border>
    <border>
      <left/>
      <right/>
      <top style="hair">
        <color indexed="64"/>
      </top>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right style="hair">
        <color indexed="64"/>
      </right>
      <top style="thin">
        <color indexed="64"/>
      </top>
      <bottom style="double">
        <color indexed="64"/>
      </bottom>
      <diagonal/>
    </border>
    <border>
      <left/>
      <right style="hair">
        <color indexed="64"/>
      </right>
      <top style="double">
        <color indexed="64"/>
      </top>
      <bottom style="thin">
        <color indexed="64"/>
      </bottom>
      <diagonal/>
    </border>
    <border>
      <left/>
      <right style="hair">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right/>
      <top style="thin">
        <color indexed="64"/>
      </top>
      <bottom style="thin">
        <color indexed="64"/>
      </bottom>
      <diagonal/>
    </border>
    <border>
      <left/>
      <right/>
      <top/>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style="double">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thin">
        <color indexed="64"/>
      </top>
      <bottom/>
      <diagonal/>
    </border>
    <border>
      <left/>
      <right/>
      <top/>
      <bottom style="thin">
        <color indexed="64"/>
      </bottom>
      <diagonal/>
    </border>
    <border>
      <left/>
      <right/>
      <top/>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diagonal/>
    </border>
    <border>
      <left style="thin">
        <color indexed="64"/>
      </left>
      <right/>
      <top/>
      <bottom/>
      <diagonal/>
    </border>
    <border>
      <left style="hair">
        <color indexed="64"/>
      </left>
      <right style="hair">
        <color indexed="64"/>
      </right>
      <top/>
      <bottom/>
      <diagonal/>
    </border>
    <border>
      <left style="thin">
        <color indexed="64"/>
      </left>
      <right style="hair">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hair">
        <color indexed="64"/>
      </left>
      <right/>
      <top style="thin">
        <color indexed="64"/>
      </top>
      <bottom/>
      <diagonal/>
    </border>
    <border>
      <left/>
      <right/>
      <top/>
      <bottom style="thin">
        <color indexed="64"/>
      </bottom>
      <diagonal/>
    </border>
    <border>
      <left/>
      <right/>
      <top/>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bottom/>
      <diagonal/>
    </border>
    <border>
      <left style="hair">
        <color indexed="64"/>
      </left>
      <right style="thin">
        <color indexed="64"/>
      </right>
      <top/>
      <bottom/>
      <diagonal/>
    </border>
    <border>
      <left style="hair">
        <color indexed="64"/>
      </left>
      <right style="hair">
        <color indexed="64"/>
      </right>
      <top/>
      <bottom/>
      <diagonal/>
    </border>
    <border>
      <left style="thin">
        <color indexed="64"/>
      </left>
      <right style="hair">
        <color indexed="64"/>
      </right>
      <top/>
      <bottom/>
      <diagonal/>
    </border>
    <border>
      <left/>
      <right style="thin">
        <color indexed="64"/>
      </right>
      <top/>
      <bottom/>
      <diagonal/>
    </border>
    <border>
      <left style="thin">
        <color indexed="64"/>
      </left>
      <right style="thin">
        <color indexed="64"/>
      </right>
      <top style="hair">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thin">
        <color indexed="64"/>
      </top>
      <bottom style="hair">
        <color indexed="64"/>
      </bottom>
      <diagonal/>
    </border>
    <border>
      <left/>
      <right style="thin">
        <color indexed="64"/>
      </right>
      <top style="double">
        <color indexed="64"/>
      </top>
      <bottom style="thin">
        <color indexed="64"/>
      </bottom>
      <diagonal/>
    </border>
    <border>
      <left style="thin">
        <color indexed="64"/>
      </left>
      <right/>
      <top style="hair">
        <color indexed="64"/>
      </top>
      <bottom style="double">
        <color indexed="64"/>
      </bottom>
      <diagonal/>
    </border>
    <border>
      <left/>
      <right style="thin">
        <color indexed="64"/>
      </right>
      <top/>
      <bottom style="hair">
        <color indexed="64"/>
      </bottom>
      <diagonal/>
    </border>
    <border>
      <left style="medium">
        <color indexed="64"/>
      </left>
      <right style="medium">
        <color indexed="64"/>
      </right>
      <top/>
      <bottom style="medium">
        <color indexed="64"/>
      </bottom>
      <diagonal/>
    </border>
    <border>
      <left style="medium">
        <color indexed="64"/>
      </left>
      <right style="hair">
        <color indexed="64"/>
      </right>
      <top style="thin">
        <color indexed="64"/>
      </top>
      <bottom/>
      <diagonal/>
    </border>
    <border>
      <left style="medium">
        <color indexed="64"/>
      </left>
      <right style="medium">
        <color indexed="64"/>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style="hair">
        <color indexed="64"/>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bottom/>
      <diagonal/>
    </border>
    <border>
      <left style="medium">
        <color indexed="64"/>
      </left>
      <right style="hair">
        <color indexed="64"/>
      </right>
      <top/>
      <bottom style="hair">
        <color indexed="64"/>
      </bottom>
      <diagonal/>
    </border>
    <border>
      <left style="medium">
        <color indexed="64"/>
      </left>
      <right style="medium">
        <color indexed="64"/>
      </right>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style="thin">
        <color indexed="64"/>
      </left>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bottom/>
      <diagonal/>
    </border>
    <border>
      <left style="medium">
        <color indexed="64"/>
      </left>
      <right/>
      <top style="thin">
        <color indexed="64"/>
      </top>
      <bottom style="hair">
        <color indexed="64"/>
      </bottom>
      <diagonal/>
    </border>
    <border>
      <left style="medium">
        <color indexed="64"/>
      </left>
      <right style="medium">
        <color indexed="64"/>
      </right>
      <top style="medium">
        <color indexed="64"/>
      </top>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right style="hair">
        <color indexed="64"/>
      </right>
      <top/>
      <bottom style="hair">
        <color indexed="64"/>
      </bottom>
      <diagonal/>
    </border>
    <border>
      <left style="medium">
        <color indexed="64"/>
      </left>
      <right/>
      <top/>
      <bottom style="hair">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top/>
      <bottom/>
      <diagonal/>
    </border>
    <border>
      <left style="hair">
        <color indexed="64"/>
      </left>
      <right/>
      <top/>
      <bottom style="hair">
        <color indexed="64"/>
      </bottom>
      <diagonal/>
    </border>
    <border>
      <left style="hair">
        <color indexed="64"/>
      </left>
      <right style="thin">
        <color indexed="64"/>
      </right>
      <top/>
      <bottom style="dotted">
        <color indexed="64"/>
      </bottom>
      <diagonal/>
    </border>
    <border>
      <left style="hair">
        <color indexed="64"/>
      </left>
      <right style="hair">
        <color indexed="64"/>
      </right>
      <top/>
      <bottom style="dotted">
        <color indexed="64"/>
      </bottom>
      <diagonal/>
    </border>
    <border>
      <left style="thin">
        <color indexed="64"/>
      </left>
      <right style="hair">
        <color indexed="64"/>
      </right>
      <top/>
      <bottom style="dotted">
        <color indexed="64"/>
      </bottom>
      <diagonal/>
    </border>
    <border>
      <left style="medium">
        <color indexed="64"/>
      </left>
      <right style="hair">
        <color indexed="64"/>
      </right>
      <top/>
      <bottom style="dotted">
        <color indexed="64"/>
      </bottom>
      <diagonal/>
    </border>
    <border>
      <left style="medium">
        <color indexed="64"/>
      </left>
      <right style="medium">
        <color indexed="64"/>
      </right>
      <top/>
      <bottom style="dotted">
        <color indexed="64"/>
      </bottom>
      <diagonal/>
    </border>
    <border>
      <left/>
      <right style="thin">
        <color indexed="64"/>
      </right>
      <top style="hair">
        <color indexed="64"/>
      </top>
      <bottom/>
      <diagonal/>
    </border>
    <border>
      <left style="medium">
        <color indexed="64"/>
      </left>
      <right/>
      <top style="hair">
        <color indexed="64"/>
      </top>
      <bottom/>
      <diagonal/>
    </border>
    <border>
      <left style="hair">
        <color indexed="64"/>
      </left>
      <right/>
      <top style="hair">
        <color indexed="64"/>
      </top>
      <bottom style="medium">
        <color indexed="64"/>
      </bottom>
      <diagonal/>
    </border>
    <border>
      <left style="medium">
        <color indexed="64"/>
      </left>
      <right/>
      <top/>
      <bottom style="medium">
        <color indexed="64"/>
      </bottom>
      <diagonal/>
    </border>
    <border>
      <left style="medium">
        <color indexed="64"/>
      </left>
      <right style="hair">
        <color indexed="64"/>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style="thin">
        <color indexed="64"/>
      </bottom>
      <diagonal/>
    </border>
    <border>
      <left style="medium">
        <color indexed="64"/>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diagonal/>
    </border>
    <border>
      <left/>
      <right style="hair">
        <color indexed="64"/>
      </right>
      <top style="hair">
        <color indexed="64"/>
      </top>
      <bottom style="double">
        <color indexed="64"/>
      </bottom>
      <diagonal/>
    </border>
    <border>
      <left/>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hair">
        <color indexed="64"/>
      </left>
      <right/>
      <top/>
      <bottom/>
      <diagonal/>
    </border>
    <border>
      <left style="thin">
        <color indexed="64"/>
      </left>
      <right style="thin">
        <color indexed="64"/>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style="medium">
        <color indexed="64"/>
      </left>
      <right/>
      <top/>
      <bottom style="medium">
        <color indexed="64"/>
      </bottom>
      <diagonal/>
    </border>
    <border>
      <left style="thin">
        <color indexed="64"/>
      </left>
      <right style="thin">
        <color indexed="64"/>
      </right>
      <top style="double">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double">
        <color indexed="64"/>
      </top>
      <bottom/>
      <diagonal/>
    </border>
    <border>
      <left style="medium">
        <color indexed="64"/>
      </left>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diagonalUp="1">
      <left style="thin">
        <color indexed="64"/>
      </left>
      <right style="thin">
        <color indexed="64"/>
      </right>
      <top style="hair">
        <color indexed="64"/>
      </top>
      <bottom style="hair">
        <color indexed="64"/>
      </bottom>
      <diagonal style="hair">
        <color indexed="64"/>
      </diagonal>
    </border>
    <border>
      <left style="thin">
        <color indexed="64"/>
      </left>
      <right style="thin">
        <color indexed="64"/>
      </right>
      <top style="hair">
        <color indexed="64"/>
      </top>
      <bottom style="hair">
        <color indexed="64"/>
      </bottom>
      <diagonal/>
    </border>
    <border diagonalUp="1">
      <left style="thin">
        <color indexed="64"/>
      </left>
      <right style="thin">
        <color indexed="64"/>
      </right>
      <top style="thin">
        <color indexed="64"/>
      </top>
      <bottom style="hair">
        <color indexed="64"/>
      </bottom>
      <diagonal style="hair">
        <color indexed="64"/>
      </diagonal>
    </border>
    <border diagonalUp="1">
      <left style="thin">
        <color indexed="64"/>
      </left>
      <right style="thin">
        <color indexed="64"/>
      </right>
      <top style="hair">
        <color indexed="64"/>
      </top>
      <bottom style="medium">
        <color indexed="64"/>
      </bottom>
      <diagonal style="hair">
        <color indexed="64"/>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hair">
        <color indexed="64"/>
      </diagonal>
    </border>
    <border>
      <left/>
      <right/>
      <top/>
      <bottom style="double">
        <color indexed="64"/>
      </bottom>
      <diagonal/>
    </border>
    <border>
      <left style="thin">
        <color indexed="64"/>
      </left>
      <right/>
      <top/>
      <bottom style="double">
        <color indexed="64"/>
      </bottom>
      <diagonal/>
    </border>
    <border>
      <left style="hair">
        <color indexed="64"/>
      </left>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diagonalUp="1">
      <left style="thin">
        <color indexed="64"/>
      </left>
      <right/>
      <top style="thin">
        <color indexed="64"/>
      </top>
      <bottom style="hair">
        <color indexed="64"/>
      </bottom>
      <diagonal style="hair">
        <color indexed="64"/>
      </diagonal>
    </border>
    <border diagonalUp="1">
      <left style="thin">
        <color indexed="64"/>
      </left>
      <right/>
      <top style="hair">
        <color indexed="64"/>
      </top>
      <bottom style="hair">
        <color indexed="64"/>
      </bottom>
      <diagonal style="hair">
        <color indexed="64"/>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style="hair">
        <color indexed="64"/>
      </left>
      <right/>
      <top style="hair">
        <color indexed="64"/>
      </top>
      <bottom/>
      <diagonal/>
    </border>
    <border>
      <left/>
      <right style="thin">
        <color indexed="64"/>
      </right>
      <top/>
      <bottom/>
      <diagonal/>
    </border>
    <border>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right style="medium">
        <color indexed="64"/>
      </right>
      <top/>
      <bottom/>
      <diagonal/>
    </border>
    <border diagonalUp="1">
      <left style="thin">
        <color indexed="64"/>
      </left>
      <right style="thin">
        <color indexed="64"/>
      </right>
      <top style="thin">
        <color indexed="64"/>
      </top>
      <bottom/>
      <diagonal style="hair">
        <color indexed="64"/>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double">
        <color indexed="64"/>
      </bottom>
      <diagonal/>
    </border>
    <border>
      <left style="hair">
        <color indexed="64"/>
      </left>
      <right style="hair">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diagonalUp="1">
      <left style="thin">
        <color indexed="64"/>
      </left>
      <right style="thin">
        <color indexed="64"/>
      </right>
      <top style="hair">
        <color indexed="64"/>
      </top>
      <bottom/>
      <diagonal style="hair">
        <color indexed="64"/>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hair">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medium">
        <color indexed="64"/>
      </left>
      <right style="thin">
        <color indexed="64"/>
      </right>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hair">
        <color indexed="64"/>
      </right>
      <top style="hair">
        <color indexed="64"/>
      </top>
      <bottom style="medium">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hair">
        <color indexed="64"/>
      </left>
      <right style="thin">
        <color indexed="64"/>
      </right>
      <top/>
      <bottom style="hair">
        <color indexed="64"/>
      </bottom>
      <diagonal/>
    </border>
    <border>
      <left style="thin">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double">
        <color indexed="64"/>
      </top>
      <bottom/>
      <diagonal/>
    </border>
    <border>
      <left/>
      <right style="medium">
        <color indexed="64"/>
      </right>
      <top/>
      <bottom style="medium">
        <color indexed="64"/>
      </bottom>
      <diagonal/>
    </border>
    <border>
      <left style="thin">
        <color indexed="64"/>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medium">
        <color indexed="64"/>
      </left>
      <right style="thin">
        <color indexed="64"/>
      </right>
      <top style="medium">
        <color indexed="64"/>
      </top>
      <bottom/>
      <diagonal/>
    </border>
    <border>
      <left/>
      <right/>
      <top/>
      <bottom style="thin">
        <color indexed="64"/>
      </bottom>
      <diagonal/>
    </border>
    <border>
      <left/>
      <right/>
      <top style="hair">
        <color indexed="64"/>
      </top>
      <bottom style="hair">
        <color indexed="64"/>
      </bottom>
      <diagonal/>
    </border>
    <border>
      <left style="medium">
        <color indexed="64"/>
      </left>
      <right style="thin">
        <color indexed="64"/>
      </right>
      <top/>
      <bottom style="double">
        <color indexed="64"/>
      </bottom>
      <diagonal/>
    </border>
    <border diagonalUp="1">
      <left style="thin">
        <color indexed="64"/>
      </left>
      <right style="thin">
        <color indexed="64"/>
      </right>
      <top/>
      <bottom style="hair">
        <color indexed="64"/>
      </bottom>
      <diagonal style="hair">
        <color indexed="64"/>
      </diagonal>
    </border>
    <border>
      <left style="hair">
        <color indexed="64"/>
      </left>
      <right/>
      <top/>
      <bottom style="medium">
        <color indexed="64"/>
      </bottom>
      <diagonal/>
    </border>
    <border>
      <left style="medium">
        <color indexed="64"/>
      </left>
      <right/>
      <top style="thin">
        <color indexed="64"/>
      </top>
      <bottom/>
      <diagonal/>
    </border>
    <border>
      <left style="medium">
        <color indexed="64"/>
      </left>
      <right/>
      <top/>
      <bottom style="hair">
        <color indexed="64"/>
      </bottom>
      <diagonal/>
    </border>
    <border>
      <left style="medium">
        <color indexed="64"/>
      </left>
      <right/>
      <top style="hair">
        <color indexed="64"/>
      </top>
      <bottom/>
      <diagonal/>
    </border>
    <border diagonalUp="1">
      <left style="thin">
        <color indexed="64"/>
      </left>
      <right/>
      <top style="thin">
        <color indexed="64"/>
      </top>
      <bottom/>
      <diagonal style="hair">
        <color indexed="64"/>
      </diagonal>
    </border>
    <border diagonalUp="1">
      <left style="thin">
        <color indexed="64"/>
      </left>
      <right/>
      <top/>
      <bottom style="hair">
        <color indexed="64"/>
      </bottom>
      <diagonal style="hair">
        <color indexed="64"/>
      </diagonal>
    </border>
    <border>
      <left style="thin">
        <color indexed="64"/>
      </left>
      <right style="medium">
        <color indexed="64"/>
      </right>
      <top/>
      <bottom style="thin">
        <color indexed="64"/>
      </bottom>
      <diagonal/>
    </border>
    <border diagonalUp="1">
      <left style="thin">
        <color indexed="64"/>
      </left>
      <right/>
      <top style="hair">
        <color indexed="64"/>
      </top>
      <bottom/>
      <diagonal style="hair">
        <color indexed="64"/>
      </diagonal>
    </border>
    <border>
      <left style="medium">
        <color indexed="64"/>
      </left>
      <right style="hair">
        <color indexed="64"/>
      </right>
      <top style="thin">
        <color indexed="64"/>
      </top>
      <bottom/>
      <diagonal/>
    </border>
    <border>
      <left style="medium">
        <color indexed="64"/>
      </left>
      <right style="hair">
        <color indexed="64"/>
      </right>
      <top/>
      <bottom style="thin">
        <color indexed="64"/>
      </bottom>
      <diagonal/>
    </border>
    <border>
      <left/>
      <right style="medium">
        <color indexed="64"/>
      </right>
      <top style="thin">
        <color indexed="64"/>
      </top>
      <bottom/>
      <diagonal/>
    </border>
    <border diagonalUp="1">
      <left style="thin">
        <color indexed="64"/>
      </left>
      <right style="thin">
        <color indexed="64"/>
      </right>
      <top/>
      <bottom style="thin">
        <color indexed="64"/>
      </bottom>
      <diagonal style="hair">
        <color indexed="64"/>
      </diagonal>
    </border>
    <border diagonalUp="1">
      <left style="thin">
        <color indexed="64"/>
      </left>
      <right style="thin">
        <color indexed="64"/>
      </right>
      <top/>
      <bottom style="medium">
        <color indexed="64"/>
      </bottom>
      <diagonal style="hair">
        <color indexed="64"/>
      </diagonal>
    </border>
    <border>
      <left/>
      <right style="medium">
        <color indexed="64"/>
      </right>
      <top style="hair">
        <color indexed="64"/>
      </top>
      <bottom/>
      <diagonal/>
    </border>
    <border>
      <left/>
      <right style="medium">
        <color indexed="64"/>
      </right>
      <top/>
      <bottom style="hair">
        <color indexed="64"/>
      </bottom>
      <diagonal/>
    </border>
    <border>
      <left style="hair">
        <color indexed="64"/>
      </left>
      <right/>
      <top/>
      <bottom style="thin">
        <color indexed="64"/>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right style="hair">
        <color indexed="64"/>
      </right>
      <top style="medium">
        <color indexed="64"/>
      </top>
      <bottom/>
      <diagonal/>
    </border>
    <border>
      <left/>
      <right style="hair">
        <color indexed="64"/>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thin">
        <color indexed="64"/>
      </bottom>
      <diagonal/>
    </border>
    <border>
      <left style="hair">
        <color indexed="64"/>
      </left>
      <right/>
      <top style="thin">
        <color indexed="64"/>
      </top>
      <bottom/>
      <diagonal/>
    </border>
    <border diagonalUp="1">
      <left style="thin">
        <color indexed="64"/>
      </left>
      <right style="thin">
        <color indexed="64"/>
      </right>
      <top/>
      <bottom/>
      <diagonal style="hair">
        <color indexed="64"/>
      </diagonal>
    </border>
    <border diagonalUp="1">
      <left style="thin">
        <color indexed="64"/>
      </left>
      <right style="thin">
        <color indexed="64"/>
      </right>
      <top style="hair">
        <color indexed="64"/>
      </top>
      <bottom style="thin">
        <color indexed="64"/>
      </bottom>
      <diagonal style="hair">
        <color indexed="64"/>
      </diagonal>
    </border>
    <border diagonalUp="1" diagonalDown="1">
      <left style="medium">
        <color indexed="64"/>
      </left>
      <right/>
      <top/>
      <bottom/>
      <diagonal style="hair">
        <color indexed="64"/>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diagonalUp="1">
      <left style="thin">
        <color indexed="64"/>
      </left>
      <right/>
      <top style="hair">
        <color indexed="64"/>
      </top>
      <bottom style="thin">
        <color indexed="64"/>
      </bottom>
      <diagonal style="hair">
        <color indexed="64"/>
      </diagonal>
    </border>
    <border>
      <left style="medium">
        <color indexed="64"/>
      </left>
      <right style="thin">
        <color indexed="64"/>
      </right>
      <top/>
      <bottom style="medium">
        <color indexed="64"/>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diagonalUp="1" diagonalDown="1">
      <left/>
      <right/>
      <top/>
      <bottom/>
      <diagonal style="thin">
        <color auto="1"/>
      </diagonal>
    </border>
    <border diagonalUp="1">
      <left style="thin">
        <color indexed="64"/>
      </left>
      <right style="thin">
        <color indexed="64"/>
      </right>
      <top style="hair">
        <color indexed="64"/>
      </top>
      <bottom/>
      <diagonal style="thin">
        <color indexed="64"/>
      </diagonal>
    </border>
    <border diagonalUp="1">
      <left style="thin">
        <color indexed="64"/>
      </left>
      <right style="thin">
        <color indexed="64"/>
      </right>
      <top/>
      <bottom style="hair">
        <color indexed="64"/>
      </bottom>
      <diagonal style="thin">
        <color indexed="64"/>
      </diagonal>
    </border>
    <border>
      <left style="medium">
        <color indexed="64"/>
      </left>
      <right style="hair">
        <color indexed="64"/>
      </right>
      <top style="hair">
        <color indexed="64"/>
      </top>
      <bottom/>
      <diagonal/>
    </border>
    <border>
      <left style="hair">
        <color indexed="64"/>
      </left>
      <right style="thin">
        <color indexed="64"/>
      </right>
      <top/>
      <bottom style="medium">
        <color indexed="64"/>
      </bottom>
      <diagonal/>
    </border>
    <border>
      <left style="hair">
        <color indexed="64"/>
      </left>
      <right style="hair">
        <color indexed="64"/>
      </right>
      <top/>
      <bottom style="medium">
        <color indexed="64"/>
      </bottom>
      <diagonal/>
    </border>
    <border diagonalUp="1">
      <left style="thin">
        <color indexed="64"/>
      </left>
      <right style="thin">
        <color indexed="64"/>
      </right>
      <top style="hair">
        <color indexed="64"/>
      </top>
      <bottom style="hair">
        <color indexed="64"/>
      </bottom>
      <diagonal style="thin">
        <color indexed="64"/>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medium">
        <color indexed="64"/>
      </left>
      <right/>
      <top/>
      <bottom/>
      <diagonal/>
    </border>
    <border>
      <left/>
      <right/>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diagonalUp="1">
      <left style="thin">
        <color indexed="64"/>
      </left>
      <right style="thin">
        <color indexed="64"/>
      </right>
      <top style="thin">
        <color indexed="64"/>
      </top>
      <bottom style="thin">
        <color indexed="64"/>
      </bottom>
      <diagonal style="hair">
        <color indexed="64"/>
      </diagonal>
    </border>
    <border diagonalUp="1">
      <left style="thin">
        <color indexed="64"/>
      </left>
      <right style="thin">
        <color indexed="64"/>
      </right>
      <top/>
      <bottom style="thin">
        <color indexed="64"/>
      </bottom>
      <diagonal style="hair">
        <color indexed="64"/>
      </diagonal>
    </border>
    <border diagonalUp="1">
      <left style="thin">
        <color indexed="64"/>
      </left>
      <right style="thin">
        <color indexed="64"/>
      </right>
      <top/>
      <bottom/>
      <diagonal style="hair">
        <color indexed="64"/>
      </diagonal>
    </border>
    <border diagonalUp="1">
      <left style="thin">
        <color indexed="64"/>
      </left>
      <right style="thin">
        <color indexed="64"/>
      </right>
      <top style="thin">
        <color indexed="64"/>
      </top>
      <bottom/>
      <diagonal style="hair">
        <color indexed="64"/>
      </diagonal>
    </border>
    <border>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diagonalUp="1">
      <left style="hair">
        <color indexed="64"/>
      </left>
      <right/>
      <top style="hair">
        <color indexed="64"/>
      </top>
      <bottom style="medium">
        <color indexed="64"/>
      </bottom>
      <diagonal style="hair">
        <color indexed="64"/>
      </diagonal>
    </border>
    <border diagonalUp="1">
      <left/>
      <right style="hair">
        <color indexed="64"/>
      </right>
      <top style="hair">
        <color indexed="64"/>
      </top>
      <bottom style="medium">
        <color indexed="64"/>
      </bottom>
      <diagonal style="hair">
        <color indexed="64"/>
      </diagonal>
    </border>
    <border diagonalUp="1">
      <left style="thin">
        <color indexed="64"/>
      </left>
      <right style="hair">
        <color indexed="64"/>
      </right>
      <top style="hair">
        <color indexed="64"/>
      </top>
      <bottom style="medium">
        <color indexed="64"/>
      </bottom>
      <diagonal style="hair">
        <color indexed="64"/>
      </diagonal>
    </border>
    <border>
      <left style="hair">
        <color indexed="64"/>
      </left>
      <right/>
      <top style="hair">
        <color indexed="64"/>
      </top>
      <bottom style="medium">
        <color indexed="64"/>
      </bottom>
      <diagonal/>
    </border>
    <border>
      <left style="medium">
        <color indexed="64"/>
      </left>
      <right style="hair">
        <color indexed="64"/>
      </right>
      <top/>
      <bottom style="medium">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diagonalUp="1">
      <left style="hair">
        <color indexed="64"/>
      </left>
      <right/>
      <top style="hair">
        <color indexed="64"/>
      </top>
      <bottom style="hair">
        <color indexed="64"/>
      </bottom>
      <diagonal style="hair">
        <color indexed="64"/>
      </diagonal>
    </border>
    <border diagonalUp="1">
      <left/>
      <right style="hair">
        <color indexed="64"/>
      </right>
      <top style="hair">
        <color indexed="64"/>
      </top>
      <bottom style="hair">
        <color indexed="64"/>
      </bottom>
      <diagonal style="hair">
        <color indexed="64"/>
      </diagonal>
    </border>
    <border diagonalUp="1">
      <left style="thin">
        <color indexed="64"/>
      </left>
      <right style="hair">
        <color indexed="64"/>
      </right>
      <top style="hair">
        <color indexed="64"/>
      </top>
      <bottom style="hair">
        <color indexed="64"/>
      </bottom>
      <diagonal style="hair">
        <color indexed="64"/>
      </diagonal>
    </border>
    <border>
      <left style="hair">
        <color indexed="64"/>
      </left>
      <right/>
      <top style="hair">
        <color indexed="64"/>
      </top>
      <bottom style="hair">
        <color indexed="64"/>
      </bottom>
      <diagonal/>
    </border>
    <border>
      <left style="medium">
        <color indexed="64"/>
      </left>
      <right style="hair">
        <color indexed="64"/>
      </right>
      <top/>
      <bottom/>
      <diagonal/>
    </border>
    <border>
      <left style="medium">
        <color indexed="64"/>
      </left>
      <right style="hair">
        <color indexed="64"/>
      </right>
      <top style="hair">
        <color indexed="64"/>
      </top>
      <bottom/>
      <diagonal/>
    </border>
    <border>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diagonalUp="1">
      <left style="hair">
        <color indexed="64"/>
      </left>
      <right/>
      <top style="medium">
        <color indexed="64"/>
      </top>
      <bottom style="medium">
        <color indexed="64"/>
      </bottom>
      <diagonal style="hair">
        <color indexed="64"/>
      </diagonal>
    </border>
    <border diagonalUp="1">
      <left/>
      <right style="hair">
        <color indexed="64"/>
      </right>
      <top style="medium">
        <color indexed="64"/>
      </top>
      <bottom style="medium">
        <color indexed="64"/>
      </bottom>
      <diagonal style="hair">
        <color indexed="64"/>
      </diagonal>
    </border>
    <border diagonalUp="1">
      <left style="thin">
        <color indexed="64"/>
      </left>
      <right style="hair">
        <color indexed="64"/>
      </right>
      <top style="medium">
        <color indexed="64"/>
      </top>
      <bottom style="medium">
        <color indexed="64"/>
      </bottom>
      <diagonal style="hair">
        <color indexed="64"/>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right style="hair">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diagonalUp="1">
      <left style="hair">
        <color indexed="64"/>
      </left>
      <right/>
      <top style="medium">
        <color indexed="64"/>
      </top>
      <bottom style="hair">
        <color indexed="64"/>
      </bottom>
      <diagonal style="hair">
        <color indexed="64"/>
      </diagonal>
    </border>
    <border diagonalUp="1">
      <left/>
      <right style="hair">
        <color indexed="64"/>
      </right>
      <top style="medium">
        <color indexed="64"/>
      </top>
      <bottom style="hair">
        <color indexed="64"/>
      </bottom>
      <diagonal style="hair">
        <color indexed="64"/>
      </diagonal>
    </border>
    <border diagonalUp="1">
      <left style="thin">
        <color indexed="64"/>
      </left>
      <right style="hair">
        <color indexed="64"/>
      </right>
      <top style="medium">
        <color indexed="64"/>
      </top>
      <bottom style="hair">
        <color indexed="64"/>
      </bottom>
      <diagonal style="hair">
        <color indexed="64"/>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style="thin">
        <color indexed="64"/>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double">
        <color indexed="64"/>
      </top>
      <bottom style="thin">
        <color indexed="64"/>
      </bottom>
      <diagonal/>
    </border>
    <border diagonalUp="1">
      <left style="hair">
        <color indexed="64"/>
      </left>
      <right style="hair">
        <color indexed="64"/>
      </right>
      <top style="hair">
        <color indexed="64"/>
      </top>
      <bottom style="thin">
        <color indexed="64"/>
      </bottom>
      <diagonal style="hair">
        <color indexed="64"/>
      </diagonal>
    </border>
    <border diagonalUp="1">
      <left style="thin">
        <color indexed="64"/>
      </left>
      <right style="hair">
        <color indexed="64"/>
      </right>
      <top style="hair">
        <color indexed="64"/>
      </top>
      <bottom style="thin">
        <color indexed="64"/>
      </bottom>
      <diagonal style="hair">
        <color indexed="64"/>
      </diagonal>
    </border>
    <border diagonalUp="1">
      <left style="thin">
        <color indexed="64"/>
      </left>
      <right/>
      <top style="hair">
        <color indexed="64"/>
      </top>
      <bottom style="thin">
        <color indexed="64"/>
      </bottom>
      <diagonal style="hair">
        <color indexed="64"/>
      </diagonal>
    </border>
    <border>
      <left/>
      <right style="thin">
        <color indexed="64"/>
      </right>
      <top style="hair">
        <color indexed="64"/>
      </top>
      <bottom/>
      <diagonal/>
    </border>
    <border diagonalUp="1">
      <left style="hair">
        <color indexed="64"/>
      </left>
      <right style="hair">
        <color indexed="64"/>
      </right>
      <top style="hair">
        <color indexed="64"/>
      </top>
      <bottom/>
      <diagonal style="hair">
        <color indexed="64"/>
      </diagonal>
    </border>
    <border diagonalUp="1">
      <left style="thin">
        <color indexed="64"/>
      </left>
      <right style="hair">
        <color indexed="64"/>
      </right>
      <top style="hair">
        <color indexed="64"/>
      </top>
      <bottom/>
      <diagonal style="hair">
        <color indexed="64"/>
      </diagonal>
    </border>
    <border diagonalUp="1">
      <left style="thin">
        <color indexed="64"/>
      </left>
      <right/>
      <top style="hair">
        <color indexed="64"/>
      </top>
      <bottom/>
      <diagonal style="hair">
        <color indexed="64"/>
      </diagonal>
    </border>
    <border diagonalUp="1">
      <left style="hair">
        <color indexed="64"/>
      </left>
      <right style="hair">
        <color indexed="64"/>
      </right>
      <top style="hair">
        <color indexed="64"/>
      </top>
      <bottom style="hair">
        <color indexed="64"/>
      </bottom>
      <diagonal style="hair">
        <color indexed="64"/>
      </diagonal>
    </border>
    <border diagonalUp="1">
      <left style="thin">
        <color indexed="64"/>
      </left>
      <right/>
      <top style="hair">
        <color indexed="64"/>
      </top>
      <bottom style="hair">
        <color indexed="64"/>
      </bottom>
      <diagonal style="hair">
        <color indexed="64"/>
      </diagonal>
    </border>
    <border diagonalUp="1">
      <left style="hair">
        <color indexed="64"/>
      </left>
      <right style="hair">
        <color indexed="64"/>
      </right>
      <top/>
      <bottom/>
      <diagonal style="hair">
        <color indexed="64"/>
      </diagonal>
    </border>
    <border diagonalUp="1">
      <left style="thin">
        <color indexed="64"/>
      </left>
      <right style="hair">
        <color indexed="64"/>
      </right>
      <top/>
      <bottom/>
      <diagonal style="hair">
        <color indexed="64"/>
      </diagonal>
    </border>
    <border diagonalUp="1">
      <left style="thin">
        <color indexed="64"/>
      </left>
      <right/>
      <top/>
      <bottom/>
      <diagonal style="hair">
        <color indexed="64"/>
      </diagonal>
    </border>
    <border diagonalUp="1">
      <left style="hair">
        <color indexed="64"/>
      </left>
      <right style="hair">
        <color indexed="64"/>
      </right>
      <top style="thin">
        <color indexed="64"/>
      </top>
      <bottom/>
      <diagonal style="hair">
        <color indexed="64"/>
      </diagonal>
    </border>
    <border diagonalUp="1">
      <left style="thin">
        <color indexed="64"/>
      </left>
      <right style="hair">
        <color indexed="64"/>
      </right>
      <top style="thin">
        <color indexed="64"/>
      </top>
      <bottom/>
      <diagonal style="hair">
        <color indexed="64"/>
      </diagonal>
    </border>
    <border diagonalUp="1">
      <left style="hair">
        <color indexed="64"/>
      </left>
      <right style="hair">
        <color indexed="64"/>
      </right>
      <top style="thin">
        <color indexed="64"/>
      </top>
      <bottom style="thin">
        <color indexed="64"/>
      </bottom>
      <diagonal style="hair">
        <color indexed="64"/>
      </diagonal>
    </border>
    <border diagonalUp="1">
      <left style="thin">
        <color indexed="64"/>
      </left>
      <right style="hair">
        <color indexed="64"/>
      </right>
      <top style="thin">
        <color indexed="64"/>
      </top>
      <bottom style="thin">
        <color indexed="64"/>
      </bottom>
      <diagonal style="hair">
        <color indexed="64"/>
      </diagonal>
    </border>
    <border diagonalUp="1">
      <left style="thin">
        <color indexed="64"/>
      </left>
      <right/>
      <top style="thin">
        <color indexed="64"/>
      </top>
      <bottom style="thin">
        <color indexed="64"/>
      </bottom>
      <diagonal style="hair">
        <color indexed="64"/>
      </diagonal>
    </border>
    <border diagonalUp="1">
      <left style="thin">
        <color indexed="64"/>
      </left>
      <right/>
      <top style="thin">
        <color indexed="64"/>
      </top>
      <bottom/>
      <diagonal style="hair">
        <color indexed="64"/>
      </diagonal>
    </border>
    <border>
      <left/>
      <right/>
      <top style="hair">
        <color indexed="64"/>
      </top>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right/>
      <top/>
      <bottom/>
      <diagonal/>
    </border>
    <border>
      <left/>
      <right/>
      <top/>
      <bottom style="double">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double">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medium">
        <color indexed="64"/>
      </left>
      <right/>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double">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double">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double">
        <color indexed="64"/>
      </right>
      <top/>
      <bottom style="double">
        <color indexed="64"/>
      </bottom>
      <diagonal/>
    </border>
    <border>
      <left style="double">
        <color indexed="64"/>
      </left>
      <right/>
      <top/>
      <bottom style="double">
        <color indexed="64"/>
      </bottom>
      <diagonal/>
    </border>
    <border>
      <left/>
      <right style="double">
        <color indexed="64"/>
      </right>
      <top/>
      <bottom/>
      <diagonal/>
    </border>
    <border>
      <left style="double">
        <color indexed="64"/>
      </left>
      <right/>
      <top/>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hair">
        <color indexed="64"/>
      </left>
      <right/>
      <top/>
      <bottom style="thin">
        <color indexed="64"/>
      </bottom>
      <diagonal/>
    </border>
    <border>
      <left style="hair">
        <color indexed="64"/>
      </left>
      <right/>
      <top/>
      <bottom/>
      <diagonal/>
    </border>
    <border>
      <left style="thin">
        <color indexed="64"/>
      </left>
      <right style="hair">
        <color indexed="64"/>
      </right>
      <top/>
      <bottom/>
      <diagonal/>
    </border>
    <border>
      <left style="hair">
        <color indexed="64"/>
      </left>
      <right/>
      <top style="hair">
        <color indexed="64"/>
      </top>
      <bottom/>
      <diagonal/>
    </border>
    <border>
      <left/>
      <right/>
      <top style="thin">
        <color indexed="64"/>
      </top>
      <bottom style="medium">
        <color indexed="64"/>
      </bottom>
      <diagonal/>
    </border>
    <border>
      <left/>
      <right style="thin">
        <color indexed="64"/>
      </right>
      <top style="double">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medium">
        <color indexed="64"/>
      </left>
      <right style="hair">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hair">
        <color indexed="64"/>
      </bottom>
      <diagonal/>
    </border>
    <border>
      <left style="medium">
        <color indexed="64"/>
      </left>
      <right style="hair">
        <color indexed="64"/>
      </right>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top/>
      <bottom style="hair">
        <color indexed="64"/>
      </bottom>
      <diagonal/>
    </border>
    <border>
      <left style="medium">
        <color indexed="64"/>
      </left>
      <right style="hair">
        <color indexed="64"/>
      </right>
      <top/>
      <bottom style="hair">
        <color indexed="64"/>
      </bottom>
      <diagonal/>
    </border>
    <border>
      <left style="medium">
        <color indexed="64"/>
      </left>
      <right style="medium">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medium">
        <color indexed="64"/>
      </left>
      <right/>
      <top style="hair">
        <color indexed="64"/>
      </top>
      <bottom/>
      <diagonal/>
    </border>
    <border>
      <left style="medium">
        <color indexed="64"/>
      </left>
      <right style="hair">
        <color indexed="64"/>
      </right>
      <top style="hair">
        <color indexed="64"/>
      </top>
      <bottom/>
      <diagonal/>
    </border>
    <border>
      <left style="medium">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hair">
        <color indexed="64"/>
      </right>
      <top/>
      <bottom/>
      <diagonal/>
    </border>
    <border>
      <left/>
      <right/>
      <top style="thin">
        <color indexed="64"/>
      </top>
      <bottom style="hair">
        <color indexed="64"/>
      </bottom>
      <diagonal/>
    </border>
    <border>
      <left/>
      <right/>
      <top style="hair">
        <color indexed="64"/>
      </top>
      <bottom style="hair">
        <color indexed="64"/>
      </bottom>
      <diagonal/>
    </border>
    <border>
      <left/>
      <right style="medium">
        <color indexed="64"/>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style="hair">
        <color indexed="64"/>
      </right>
      <top style="medium">
        <color indexed="64"/>
      </top>
      <bottom/>
      <diagonal/>
    </border>
    <border>
      <left style="hair">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hair">
        <color indexed="64"/>
      </left>
      <right style="hair">
        <color indexed="64"/>
      </right>
      <top/>
      <bottom style="medium">
        <color indexed="64"/>
      </bottom>
      <diagonal/>
    </border>
    <border>
      <left style="hair">
        <color indexed="64"/>
      </left>
      <right/>
      <top style="hair">
        <color indexed="64"/>
      </top>
      <bottom style="medium">
        <color indexed="64"/>
      </bottom>
      <diagonal/>
    </border>
    <border>
      <left/>
      <right style="medium">
        <color indexed="64"/>
      </right>
      <top/>
      <bottom style="hair">
        <color indexed="64"/>
      </bottom>
      <diagonal/>
    </border>
    <border>
      <left style="hair">
        <color indexed="64"/>
      </left>
      <right/>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right style="hair">
        <color indexed="64"/>
      </right>
      <top/>
      <bottom/>
      <diagonal/>
    </border>
    <border>
      <left style="medium">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right/>
      <top style="medium">
        <color indexed="64"/>
      </top>
      <bottom style="hair">
        <color indexed="64"/>
      </bottom>
      <diagonal/>
    </border>
    <border>
      <left style="medium">
        <color indexed="64"/>
      </left>
      <right style="thin">
        <color auto="1"/>
      </right>
      <top/>
      <bottom style="hair">
        <color indexed="64"/>
      </bottom>
      <diagonal/>
    </border>
    <border>
      <left style="thin">
        <color auto="1"/>
      </left>
      <right style="thin">
        <color auto="1"/>
      </right>
      <top/>
      <bottom style="hair">
        <color indexed="64"/>
      </bottom>
      <diagonal/>
    </border>
    <border>
      <left style="medium">
        <color indexed="64"/>
      </left>
      <right style="thin">
        <color auto="1"/>
      </right>
      <top style="hair">
        <color indexed="64"/>
      </top>
      <bottom style="hair">
        <color indexed="64"/>
      </bottom>
      <diagonal/>
    </border>
    <border>
      <left style="medium">
        <color indexed="64"/>
      </left>
      <right style="thin">
        <color auto="1"/>
      </right>
      <top style="hair">
        <color indexed="64"/>
      </top>
      <bottom/>
      <diagonal/>
    </border>
    <border>
      <left style="thin">
        <color auto="1"/>
      </left>
      <right style="thin">
        <color auto="1"/>
      </right>
      <top style="hair">
        <color indexed="64"/>
      </top>
      <bottom/>
      <diagonal/>
    </border>
    <border>
      <left style="medium">
        <color indexed="64"/>
      </left>
      <right style="thin">
        <color auto="1"/>
      </right>
      <top style="hair">
        <color indexed="64"/>
      </top>
      <bottom style="medium">
        <color indexed="64"/>
      </bottom>
      <diagonal/>
    </border>
    <border>
      <left style="thin">
        <color auto="1"/>
      </left>
      <right style="thin">
        <color auto="1"/>
      </right>
      <top style="hair">
        <color indexed="64"/>
      </top>
      <bottom style="medium">
        <color indexed="64"/>
      </bottom>
      <diagonal/>
    </border>
    <border>
      <left style="medium">
        <color indexed="64"/>
      </left>
      <right style="thin">
        <color auto="1"/>
      </right>
      <top style="medium">
        <color indexed="64"/>
      </top>
      <bottom style="hair">
        <color indexed="64"/>
      </bottom>
      <diagonal/>
    </border>
    <border>
      <left style="thin">
        <color auto="1"/>
      </left>
      <right style="thin">
        <color auto="1"/>
      </right>
      <top style="medium">
        <color indexed="64"/>
      </top>
      <bottom style="hair">
        <color indexed="64"/>
      </bottom>
      <diagonal/>
    </border>
    <border>
      <left style="hair">
        <color indexed="64"/>
      </left>
      <right/>
      <top style="medium">
        <color indexed="64"/>
      </top>
      <bottom style="medium">
        <color indexed="64"/>
      </bottom>
      <diagonal/>
    </border>
    <border>
      <left style="hair">
        <color indexed="64"/>
      </left>
      <right style="thin">
        <color indexed="64"/>
      </right>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thin">
        <color auto="1"/>
      </right>
      <top style="hair">
        <color indexed="64"/>
      </top>
      <bottom/>
      <diagonal/>
    </border>
    <border>
      <left style="hair">
        <color indexed="64"/>
      </left>
      <right style="thin">
        <color auto="1"/>
      </right>
      <top style="hair">
        <color indexed="64"/>
      </top>
      <bottom style="medium">
        <color indexed="64"/>
      </bottom>
      <diagonal/>
    </border>
    <border>
      <left style="hair">
        <color indexed="64"/>
      </left>
      <right style="thin">
        <color auto="1"/>
      </right>
      <top style="medium">
        <color indexed="64"/>
      </top>
      <bottom style="medium">
        <color indexed="64"/>
      </bottom>
      <diagonal/>
    </border>
    <border>
      <left style="hair">
        <color indexed="64"/>
      </left>
      <right style="thin">
        <color auto="1"/>
      </right>
      <top style="medium">
        <color indexed="64"/>
      </top>
      <bottom style="hair">
        <color indexed="64"/>
      </bottom>
      <diagonal/>
    </border>
    <border>
      <left style="thin">
        <color indexed="64"/>
      </left>
      <right/>
      <top style="hair">
        <color indexed="64"/>
      </top>
      <bottom style="hair">
        <color indexed="64"/>
      </bottom>
      <diagonal/>
    </border>
    <border>
      <left style="thin">
        <color auto="1"/>
      </left>
      <right/>
      <top style="hair">
        <color indexed="64"/>
      </top>
      <bottom style="medium">
        <color indexed="64"/>
      </bottom>
      <diagonal/>
    </border>
    <border>
      <left style="thin">
        <color auto="1"/>
      </left>
      <right/>
      <top style="medium">
        <color indexed="64"/>
      </top>
      <bottom style="hair">
        <color indexed="64"/>
      </bottom>
      <diagonal/>
    </border>
    <border>
      <left/>
      <right style="hair">
        <color indexed="64"/>
      </right>
      <top/>
      <bottom style="thin">
        <color indexed="64"/>
      </bottom>
      <diagonal/>
    </border>
    <border>
      <left/>
      <right style="hair">
        <color indexed="64"/>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ck">
        <color indexed="64"/>
      </left>
      <right style="thick">
        <color indexed="64"/>
      </right>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hair">
        <color indexed="64"/>
      </bottom>
      <diagonal/>
    </border>
    <border>
      <left style="thick">
        <color indexed="64"/>
      </left>
      <right style="thick">
        <color indexed="64"/>
      </right>
      <top style="medium">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medium">
        <color indexed="64"/>
      </top>
      <bottom style="thin">
        <color indexed="64"/>
      </bottom>
      <diagonal/>
    </border>
    <border>
      <left style="thick">
        <color indexed="64"/>
      </left>
      <right style="thick">
        <color indexed="64"/>
      </right>
      <top style="thin">
        <color indexed="64"/>
      </top>
      <bottom/>
      <diagonal/>
    </border>
    <border>
      <left style="thick">
        <color indexed="64"/>
      </left>
      <right style="thick">
        <color indexed="64"/>
      </right>
      <top style="medium">
        <color indexed="64"/>
      </top>
      <bottom/>
      <diagonal/>
    </border>
    <border>
      <left style="thick">
        <color indexed="64"/>
      </left>
      <right style="thick">
        <color indexed="64"/>
      </right>
      <top style="thin">
        <color indexed="64"/>
      </top>
      <bottom style="hair">
        <color indexed="64"/>
      </bottom>
      <diagonal/>
    </border>
    <border>
      <left style="thick">
        <color indexed="64"/>
      </left>
      <right style="thick">
        <color indexed="64"/>
      </right>
      <top/>
      <bottom style="medium">
        <color indexed="64"/>
      </bottom>
      <diagonal/>
    </border>
    <border>
      <left style="hair">
        <color indexed="64"/>
      </left>
      <right style="thick">
        <color indexed="64"/>
      </right>
      <top style="medium">
        <color indexed="64"/>
      </top>
      <bottom/>
      <diagonal/>
    </border>
    <border>
      <left style="hair">
        <color indexed="64"/>
      </left>
      <right style="thick">
        <color indexed="64"/>
      </right>
      <top/>
      <bottom/>
      <diagonal/>
    </border>
    <border>
      <left style="hair">
        <color indexed="64"/>
      </left>
      <right style="thick">
        <color indexed="64"/>
      </right>
      <top/>
      <bottom style="thin">
        <color indexed="64"/>
      </bottom>
      <diagonal/>
    </border>
    <border>
      <left style="hair">
        <color indexed="64"/>
      </left>
      <right style="thick">
        <color indexed="64"/>
      </right>
      <top style="thin">
        <color indexed="64"/>
      </top>
      <bottom style="thin">
        <color indexed="64"/>
      </bottom>
      <diagonal/>
    </border>
    <border>
      <left style="hair">
        <color indexed="64"/>
      </left>
      <right style="thick">
        <color indexed="64"/>
      </right>
      <top/>
      <bottom style="hair">
        <color indexed="64"/>
      </bottom>
      <diagonal/>
    </border>
    <border>
      <left style="hair">
        <color indexed="64"/>
      </left>
      <right style="thick">
        <color indexed="64"/>
      </right>
      <top style="hair">
        <color indexed="64"/>
      </top>
      <bottom style="hair">
        <color indexed="64"/>
      </bottom>
      <diagonal/>
    </border>
    <border>
      <left style="hair">
        <color indexed="64"/>
      </left>
      <right style="thick">
        <color indexed="64"/>
      </right>
      <top style="hair">
        <color indexed="64"/>
      </top>
      <bottom style="medium">
        <color indexed="64"/>
      </bottom>
      <diagonal/>
    </border>
    <border>
      <left style="hair">
        <color indexed="64"/>
      </left>
      <right style="thick">
        <color indexed="64"/>
      </right>
      <top style="medium">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thick">
        <color indexed="64"/>
      </right>
      <top style="medium">
        <color indexed="64"/>
      </top>
      <bottom style="thin">
        <color indexed="64"/>
      </bottom>
      <diagonal/>
    </border>
    <border>
      <left style="hair">
        <color indexed="64"/>
      </left>
      <right style="thick">
        <color indexed="64"/>
      </right>
      <top style="thin">
        <color indexed="64"/>
      </top>
      <bottom/>
      <diagonal/>
    </border>
    <border>
      <left style="medium">
        <color indexed="64"/>
      </left>
      <right style="hair">
        <color indexed="64"/>
      </right>
      <top style="thin">
        <color indexed="64"/>
      </top>
      <bottom style="hair">
        <color indexed="64"/>
      </bottom>
      <diagonal/>
    </border>
    <border>
      <left style="hair">
        <color indexed="64"/>
      </left>
      <right style="thick">
        <color indexed="64"/>
      </right>
      <top style="thin">
        <color indexed="64"/>
      </top>
      <bottom style="hair">
        <color indexed="64"/>
      </bottom>
      <diagonal/>
    </border>
    <border>
      <left/>
      <right style="hair">
        <color indexed="64"/>
      </right>
      <top/>
      <bottom style="medium">
        <color indexed="64"/>
      </bottom>
      <diagonal/>
    </border>
    <border>
      <left style="hair">
        <color indexed="64"/>
      </left>
      <right style="thick">
        <color indexed="64"/>
      </right>
      <top/>
      <bottom style="medium">
        <color indexed="64"/>
      </bottom>
      <diagonal/>
    </border>
    <border>
      <left style="hair">
        <color indexed="64"/>
      </left>
      <right style="thick">
        <color indexed="64"/>
      </right>
      <top style="medium">
        <color indexed="64"/>
      </top>
      <bottom style="hair">
        <color indexed="64"/>
      </bottom>
      <diagonal/>
    </border>
    <border>
      <left style="medium">
        <color indexed="64"/>
      </left>
      <right style="hair">
        <color indexed="64"/>
      </right>
      <top style="thin">
        <color indexed="64"/>
      </top>
      <bottom style="medium">
        <color indexed="64"/>
      </bottom>
      <diagonal/>
    </border>
    <border>
      <left style="hair">
        <color indexed="64"/>
      </left>
      <right style="thick">
        <color indexed="64"/>
      </right>
      <top style="thin">
        <color indexed="64"/>
      </top>
      <bottom style="medium">
        <color indexed="64"/>
      </bottom>
      <diagonal/>
    </border>
    <border>
      <left style="hair">
        <color indexed="64"/>
      </left>
      <right style="thin">
        <color indexed="64"/>
      </right>
      <top/>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hair">
        <color indexed="64"/>
      </right>
      <top/>
      <bottom style="medium">
        <color indexed="64"/>
      </bottom>
      <diagonal/>
    </border>
    <border>
      <left style="hair">
        <color indexed="64"/>
      </left>
      <right style="thin">
        <color indexed="64"/>
      </right>
      <top style="medium">
        <color indexed="64"/>
      </top>
      <bottom/>
      <diagonal/>
    </border>
    <border>
      <left style="thin">
        <color indexed="64"/>
      </left>
      <right style="hair">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hair">
        <color indexed="64"/>
      </left>
      <right style="medium">
        <color indexed="64"/>
      </right>
      <top style="medium">
        <color indexed="64"/>
      </top>
      <bottom style="thin">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style="thick">
        <color rgb="FF00FF00"/>
      </left>
      <right style="thick">
        <color rgb="FF00FF00"/>
      </right>
      <top style="thick">
        <color rgb="FF00FF00"/>
      </top>
      <bottom/>
      <diagonal/>
    </border>
    <border>
      <left style="thick">
        <color rgb="FF00FF00"/>
      </left>
      <right style="thick">
        <color rgb="FF00FF00"/>
      </right>
      <top/>
      <bottom style="thick">
        <color rgb="FF00FF00"/>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hair">
        <color indexed="64"/>
      </left>
      <right style="thin">
        <color indexed="64"/>
      </right>
      <top/>
      <bottom style="thin">
        <color indexed="64"/>
      </bottom>
      <diagonal/>
    </border>
    <border>
      <left style="thick">
        <color indexed="64"/>
      </left>
      <right style="thick">
        <color indexed="64"/>
      </right>
      <top style="hair">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indexed="64"/>
      </right>
      <top style="hair">
        <color indexed="64"/>
      </top>
      <bottom style="thick">
        <color indexed="64"/>
      </bottom>
      <diagonal/>
    </border>
    <border>
      <left style="thick">
        <color auto="1"/>
      </left>
      <right style="thick">
        <color auto="1"/>
      </right>
      <top style="hair">
        <color indexed="64"/>
      </top>
      <bottom style="double">
        <color indexed="64"/>
      </bottom>
      <diagonal/>
    </border>
    <border>
      <left style="thick">
        <color auto="1"/>
      </left>
      <right style="thick">
        <color auto="1"/>
      </right>
      <top/>
      <bottom style="thick">
        <color auto="1"/>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hair">
        <color indexed="64"/>
      </bottom>
      <diagonal/>
    </border>
    <border>
      <left style="thick">
        <color indexed="64"/>
      </left>
      <right style="thin">
        <color indexed="64"/>
      </right>
      <top style="hair">
        <color indexed="64"/>
      </top>
      <bottom style="hair">
        <color indexed="64"/>
      </bottom>
      <diagonal/>
    </border>
    <border>
      <left style="thick">
        <color indexed="64"/>
      </left>
      <right style="thin">
        <color indexed="64"/>
      </right>
      <top style="hair">
        <color indexed="64"/>
      </top>
      <bottom style="thin">
        <color indexed="64"/>
      </bottom>
      <diagonal/>
    </border>
    <border>
      <left style="thick">
        <color indexed="64"/>
      </left>
      <right style="thin">
        <color indexed="64"/>
      </right>
      <top/>
      <bottom/>
      <diagonal/>
    </border>
    <border>
      <left style="thick">
        <color indexed="64"/>
      </left>
      <right style="thin">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medium">
        <color indexed="64"/>
      </top>
      <bottom style="hair">
        <color indexed="64"/>
      </bottom>
      <diagonal/>
    </border>
    <border>
      <left style="hair">
        <color indexed="64"/>
      </left>
      <right/>
      <top style="medium">
        <color indexed="64"/>
      </top>
      <bottom/>
      <diagonal/>
    </border>
  </borders>
  <cellStyleXfs count="150">
    <xf numFmtId="0" fontId="0" fillId="0" borderId="0"/>
    <xf numFmtId="38"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alignment vertical="center"/>
    </xf>
    <xf numFmtId="38" fontId="8" fillId="0" borderId="0" applyFont="0" applyFill="0" applyBorder="0" applyAlignment="0" applyProtection="0">
      <alignment vertical="center"/>
    </xf>
    <xf numFmtId="38" fontId="2" fillId="0" borderId="0" applyFont="0" applyFill="0" applyBorder="0" applyAlignment="0" applyProtection="0"/>
    <xf numFmtId="38" fontId="9" fillId="0" borderId="0" applyFont="0" applyFill="0" applyBorder="0" applyAlignment="0" applyProtection="0"/>
    <xf numFmtId="38" fontId="10" fillId="0" borderId="0" applyFont="0" applyFill="0" applyBorder="0" applyAlignment="0" applyProtection="0">
      <alignment vertical="center"/>
    </xf>
    <xf numFmtId="0" fontId="8" fillId="0" borderId="0"/>
    <xf numFmtId="0" fontId="2" fillId="0" borderId="0"/>
    <xf numFmtId="0" fontId="9" fillId="0" borderId="0"/>
    <xf numFmtId="0" fontId="8" fillId="0" borderId="0">
      <alignment vertical="center"/>
    </xf>
    <xf numFmtId="0" fontId="10" fillId="0" borderId="0"/>
    <xf numFmtId="0" fontId="11" fillId="0" borderId="0"/>
    <xf numFmtId="0" fontId="1" fillId="0" borderId="0">
      <alignment vertical="center"/>
    </xf>
    <xf numFmtId="0" fontId="18" fillId="14" borderId="70"/>
    <xf numFmtId="9" fontId="20" fillId="14" borderId="70" applyFont="0" applyFill="0" applyBorder="0" applyAlignment="0" applyProtection="0"/>
    <xf numFmtId="9" fontId="27" fillId="14" borderId="70" applyFont="0" applyFill="0" applyBorder="0" applyAlignment="0" applyProtection="0">
      <alignment vertical="center"/>
    </xf>
    <xf numFmtId="38" fontId="20" fillId="14" borderId="70" applyFont="0" applyFill="0" applyBorder="0" applyAlignment="0" applyProtection="0"/>
    <xf numFmtId="38" fontId="27" fillId="14" borderId="70" applyFont="0" applyFill="0" applyBorder="0" applyAlignment="0" applyProtection="0">
      <alignment vertical="center"/>
    </xf>
    <xf numFmtId="38" fontId="20" fillId="14" borderId="70" applyFont="0" applyFill="0" applyBorder="0" applyAlignment="0" applyProtection="0"/>
    <xf numFmtId="38" fontId="26" fillId="14" borderId="70" applyFont="0" applyFill="0" applyBorder="0" applyAlignment="0" applyProtection="0"/>
    <xf numFmtId="0" fontId="27" fillId="14" borderId="70"/>
    <xf numFmtId="0" fontId="20" fillId="14" borderId="70"/>
    <xf numFmtId="0" fontId="26" fillId="14" borderId="70"/>
    <xf numFmtId="0" fontId="27" fillId="14" borderId="70">
      <alignment vertical="center"/>
    </xf>
    <xf numFmtId="0" fontId="29" fillId="14" borderId="70"/>
    <xf numFmtId="38" fontId="29" fillId="14" borderId="70" applyFont="0" applyFill="0" applyBorder="0" applyAlignment="0" applyProtection="0">
      <alignment vertical="center"/>
    </xf>
    <xf numFmtId="0" fontId="31" fillId="14" borderId="70"/>
    <xf numFmtId="0" fontId="36" fillId="23" borderId="155"/>
    <xf numFmtId="38" fontId="37" fillId="23" borderId="155" applyFont="0" applyFill="0" applyBorder="0" applyAlignment="0" applyProtection="0"/>
    <xf numFmtId="9" fontId="37" fillId="23" borderId="155" applyFont="0" applyFill="0" applyBorder="0" applyAlignment="0" applyProtection="0"/>
    <xf numFmtId="9" fontId="39" fillId="23" borderId="155" applyFont="0" applyFill="0" applyBorder="0" applyAlignment="0" applyProtection="0">
      <alignment vertical="center"/>
    </xf>
    <xf numFmtId="38" fontId="39" fillId="23" borderId="155" applyFont="0" applyFill="0" applyBorder="0" applyAlignment="0" applyProtection="0">
      <alignment vertical="center"/>
    </xf>
    <xf numFmtId="38" fontId="37" fillId="23" borderId="155" applyFont="0" applyFill="0" applyBorder="0" applyAlignment="0" applyProtection="0"/>
    <xf numFmtId="38" fontId="40" fillId="23" borderId="155" applyFont="0" applyFill="0" applyBorder="0" applyAlignment="0" applyProtection="0"/>
    <xf numFmtId="38" fontId="41" fillId="23" borderId="155" applyFont="0" applyFill="0" applyBorder="0" applyAlignment="0" applyProtection="0">
      <alignment vertical="center"/>
    </xf>
    <xf numFmtId="0" fontId="39" fillId="23" borderId="155"/>
    <xf numFmtId="0" fontId="37" fillId="23" borderId="155"/>
    <xf numFmtId="0" fontId="40" fillId="23" borderId="155"/>
    <xf numFmtId="0" fontId="39" fillId="23" borderId="155">
      <alignment vertical="center"/>
    </xf>
    <xf numFmtId="0" fontId="41" fillId="23" borderId="155"/>
    <xf numFmtId="0" fontId="42" fillId="23" borderId="155"/>
    <xf numFmtId="0" fontId="43" fillId="28" borderId="155" applyNumberFormat="0" applyBorder="0" applyAlignment="0" applyProtection="0">
      <alignment vertical="center"/>
    </xf>
    <xf numFmtId="0" fontId="45" fillId="29" borderId="201"/>
    <xf numFmtId="38" fontId="46" fillId="29" borderId="201" applyFont="0" applyFill="0" applyBorder="0" applyAlignment="0" applyProtection="0"/>
    <xf numFmtId="9" fontId="46" fillId="29" borderId="201" applyFont="0" applyFill="0" applyBorder="0" applyAlignment="0" applyProtection="0"/>
    <xf numFmtId="9" fontId="54" fillId="29" borderId="201" applyFont="0" applyFill="0" applyBorder="0" applyAlignment="0" applyProtection="0">
      <alignment vertical="center"/>
    </xf>
    <xf numFmtId="38" fontId="54" fillId="29" borderId="201" applyFont="0" applyFill="0" applyBorder="0" applyAlignment="0" applyProtection="0">
      <alignment vertical="center"/>
    </xf>
    <xf numFmtId="38" fontId="46" fillId="29" borderId="201" applyFont="0" applyFill="0" applyBorder="0" applyAlignment="0" applyProtection="0"/>
    <xf numFmtId="38" fontId="55" fillId="29" borderId="201" applyFont="0" applyFill="0" applyBorder="0" applyAlignment="0" applyProtection="0"/>
    <xf numFmtId="38" fontId="56" fillId="29" borderId="201" applyFont="0" applyFill="0" applyBorder="0" applyAlignment="0" applyProtection="0">
      <alignment vertical="center"/>
    </xf>
    <xf numFmtId="0" fontId="54" fillId="29" borderId="201"/>
    <xf numFmtId="0" fontId="46" fillId="29" borderId="201"/>
    <xf numFmtId="0" fontId="55" fillId="29" borderId="201"/>
    <xf numFmtId="0" fontId="54" fillId="29" borderId="201">
      <alignment vertical="center"/>
    </xf>
    <xf numFmtId="0" fontId="56" fillId="29" borderId="201"/>
    <xf numFmtId="0" fontId="57" fillId="29" borderId="201"/>
    <xf numFmtId="0" fontId="63" fillId="39" borderId="268">
      <alignment vertical="center"/>
    </xf>
    <xf numFmtId="38" fontId="64" fillId="39" borderId="268" applyFont="0" applyFill="0" applyBorder="0" applyAlignment="0" applyProtection="0"/>
    <xf numFmtId="9" fontId="74" fillId="39" borderId="268" applyFont="0" applyFill="0" applyBorder="0" applyAlignment="0" applyProtection="0">
      <alignment vertical="center"/>
    </xf>
    <xf numFmtId="38" fontId="74" fillId="39" borderId="268" applyFont="0" applyFill="0" applyBorder="0" applyAlignment="0" applyProtection="0">
      <alignment vertical="center"/>
    </xf>
    <xf numFmtId="38" fontId="64" fillId="39" borderId="268" applyFont="0" applyFill="0" applyBorder="0" applyAlignment="0" applyProtection="0"/>
    <xf numFmtId="38" fontId="75" fillId="39" borderId="268" applyFont="0" applyFill="0" applyBorder="0" applyAlignment="0" applyProtection="0"/>
    <xf numFmtId="38" fontId="76" fillId="39" borderId="268" applyFont="0" applyFill="0" applyBorder="0" applyAlignment="0" applyProtection="0">
      <alignment vertical="center"/>
    </xf>
    <xf numFmtId="0" fontId="74" fillId="39" borderId="268"/>
    <xf numFmtId="0" fontId="64" fillId="39" borderId="268"/>
    <xf numFmtId="0" fontId="75" fillId="39" borderId="268"/>
    <xf numFmtId="0" fontId="74" fillId="39" borderId="268">
      <alignment vertical="center"/>
    </xf>
    <xf numFmtId="0" fontId="76" fillId="39" borderId="268"/>
    <xf numFmtId="0" fontId="77" fillId="39" borderId="268"/>
    <xf numFmtId="9" fontId="96" fillId="39" borderId="268" applyFont="0" applyFill="0" applyBorder="0" applyAlignment="0" applyProtection="0">
      <alignment vertical="center"/>
    </xf>
    <xf numFmtId="0" fontId="97" fillId="54" borderId="398"/>
    <xf numFmtId="38" fontId="98" fillId="54" borderId="398" applyFont="0" applyFill="0" applyBorder="0" applyAlignment="0" applyProtection="0"/>
    <xf numFmtId="9" fontId="98" fillId="54" borderId="398" applyFont="0" applyFill="0" applyBorder="0" applyAlignment="0" applyProtection="0">
      <alignment vertical="center"/>
    </xf>
    <xf numFmtId="0" fontId="135" fillId="67" borderId="398" applyNumberFormat="0" applyBorder="0" applyAlignment="0" applyProtection="0">
      <alignment vertical="center"/>
    </xf>
    <xf numFmtId="0" fontId="135" fillId="68" borderId="398" applyNumberFormat="0" applyBorder="0" applyAlignment="0" applyProtection="0">
      <alignment vertical="center"/>
    </xf>
    <xf numFmtId="0" fontId="135" fillId="69" borderId="398" applyNumberFormat="0" applyBorder="0" applyAlignment="0" applyProtection="0">
      <alignment vertical="center"/>
    </xf>
    <xf numFmtId="0" fontId="135" fillId="70" borderId="398" applyNumberFormat="0" applyBorder="0" applyAlignment="0" applyProtection="0">
      <alignment vertical="center"/>
    </xf>
    <xf numFmtId="0" fontId="135" fillId="71" borderId="398" applyNumberFormat="0" applyBorder="0" applyAlignment="0" applyProtection="0">
      <alignment vertical="center"/>
    </xf>
    <xf numFmtId="0" fontId="135" fillId="69" borderId="398" applyNumberFormat="0" applyBorder="0" applyAlignment="0" applyProtection="0">
      <alignment vertical="center"/>
    </xf>
    <xf numFmtId="0" fontId="135" fillId="71" borderId="398" applyNumberFormat="0" applyBorder="0" applyAlignment="0" applyProtection="0">
      <alignment vertical="center"/>
    </xf>
    <xf numFmtId="0" fontId="135" fillId="68" borderId="398" applyNumberFormat="0" applyBorder="0" applyAlignment="0" applyProtection="0">
      <alignment vertical="center"/>
    </xf>
    <xf numFmtId="0" fontId="135" fillId="72" borderId="398" applyNumberFormat="0" applyBorder="0" applyAlignment="0" applyProtection="0">
      <alignment vertical="center"/>
    </xf>
    <xf numFmtId="0" fontId="135" fillId="73" borderId="398" applyNumberFormat="0" applyBorder="0" applyAlignment="0" applyProtection="0">
      <alignment vertical="center"/>
    </xf>
    <xf numFmtId="0" fontId="135" fillId="71" borderId="398" applyNumberFormat="0" applyBorder="0" applyAlignment="0" applyProtection="0">
      <alignment vertical="center"/>
    </xf>
    <xf numFmtId="0" fontId="135" fillId="72" borderId="398" applyNumberFormat="0" applyBorder="0" applyAlignment="0" applyProtection="0">
      <alignment vertical="center"/>
    </xf>
    <xf numFmtId="0" fontId="136" fillId="71" borderId="398" applyNumberFormat="0" applyBorder="0" applyAlignment="0" applyProtection="0">
      <alignment vertical="center"/>
    </xf>
    <xf numFmtId="0" fontId="136" fillId="74" borderId="398" applyNumberFormat="0" applyBorder="0" applyAlignment="0" applyProtection="0">
      <alignment vertical="center"/>
    </xf>
    <xf numFmtId="0" fontId="136" fillId="75" borderId="398" applyNumberFormat="0" applyBorder="0" applyAlignment="0" applyProtection="0">
      <alignment vertical="center"/>
    </xf>
    <xf numFmtId="0" fontId="136" fillId="73" borderId="398" applyNumberFormat="0" applyBorder="0" applyAlignment="0" applyProtection="0">
      <alignment vertical="center"/>
    </xf>
    <xf numFmtId="0" fontId="136" fillId="71" borderId="398" applyNumberFormat="0" applyBorder="0" applyAlignment="0" applyProtection="0">
      <alignment vertical="center"/>
    </xf>
    <xf numFmtId="0" fontId="136" fillId="68" borderId="398" applyNumberFormat="0" applyBorder="0" applyAlignment="0" applyProtection="0">
      <alignment vertical="center"/>
    </xf>
    <xf numFmtId="0" fontId="136" fillId="76" borderId="398" applyNumberFormat="0" applyBorder="0" applyAlignment="0" applyProtection="0">
      <alignment vertical="center"/>
    </xf>
    <xf numFmtId="0" fontId="136" fillId="74" borderId="398" applyNumberFormat="0" applyBorder="0" applyAlignment="0" applyProtection="0">
      <alignment vertical="center"/>
    </xf>
    <xf numFmtId="0" fontId="136" fillId="75" borderId="398" applyNumberFormat="0" applyBorder="0" applyAlignment="0" applyProtection="0">
      <alignment vertical="center"/>
    </xf>
    <xf numFmtId="0" fontId="136" fillId="77" borderId="398" applyNumberFormat="0" applyBorder="0" applyAlignment="0" applyProtection="0">
      <alignment vertical="center"/>
    </xf>
    <xf numFmtId="0" fontId="136" fillId="78" borderId="398" applyNumberFormat="0" applyBorder="0" applyAlignment="0" applyProtection="0">
      <alignment vertical="center"/>
    </xf>
    <xf numFmtId="0" fontId="136" fillId="79" borderId="398" applyNumberFormat="0" applyBorder="0" applyAlignment="0" applyProtection="0">
      <alignment vertical="center"/>
    </xf>
    <xf numFmtId="0" fontId="137" fillId="54" borderId="398" applyNumberFormat="0" applyFill="0" applyBorder="0" applyAlignment="0" applyProtection="0">
      <alignment vertical="center"/>
    </xf>
    <xf numFmtId="0" fontId="138" fillId="80" borderId="554" applyNumberFormat="0" applyAlignment="0" applyProtection="0">
      <alignment vertical="center"/>
    </xf>
    <xf numFmtId="0" fontId="139" fillId="72" borderId="398" applyNumberFormat="0" applyBorder="0" applyAlignment="0" applyProtection="0">
      <alignment vertical="center"/>
    </xf>
    <xf numFmtId="0" fontId="140" fillId="69" borderId="555" applyNumberFormat="0" applyFont="0" applyAlignment="0" applyProtection="0">
      <alignment vertical="center"/>
    </xf>
    <xf numFmtId="0" fontId="108" fillId="54" borderId="556" applyNumberFormat="0" applyFill="0" applyAlignment="0" applyProtection="0">
      <alignment vertical="center"/>
    </xf>
    <xf numFmtId="0" fontId="141" fillId="81" borderId="398" applyNumberFormat="0" applyBorder="0" applyAlignment="0" applyProtection="0">
      <alignment vertical="center"/>
    </xf>
    <xf numFmtId="0" fontId="121" fillId="82" borderId="557" applyNumberFormat="0" applyAlignment="0" applyProtection="0">
      <alignment vertical="center"/>
    </xf>
    <xf numFmtId="0" fontId="108" fillId="54" borderId="398" applyNumberFormat="0" applyFill="0" applyBorder="0" applyAlignment="0" applyProtection="0">
      <alignment vertical="center"/>
    </xf>
    <xf numFmtId="0" fontId="142" fillId="54" borderId="558" applyNumberFormat="0" applyFill="0" applyAlignment="0" applyProtection="0">
      <alignment vertical="center"/>
    </xf>
    <xf numFmtId="0" fontId="143" fillId="54" borderId="559" applyNumberFormat="0" applyFill="0" applyAlignment="0" applyProtection="0">
      <alignment vertical="center"/>
    </xf>
    <xf numFmtId="0" fontId="144" fillId="54" borderId="560" applyNumberFormat="0" applyFill="0" applyAlignment="0" applyProtection="0">
      <alignment vertical="center"/>
    </xf>
    <xf numFmtId="0" fontId="144" fillId="54" borderId="398" applyNumberFormat="0" applyFill="0" applyBorder="0" applyAlignment="0" applyProtection="0">
      <alignment vertical="center"/>
    </xf>
    <xf numFmtId="0" fontId="145" fillId="54" borderId="561" applyNumberFormat="0" applyFill="0" applyAlignment="0" applyProtection="0">
      <alignment vertical="center"/>
    </xf>
    <xf numFmtId="0" fontId="146" fillId="82" borderId="562" applyNumberFormat="0" applyAlignment="0" applyProtection="0">
      <alignment vertical="center"/>
    </xf>
    <xf numFmtId="0" fontId="147" fillId="54" borderId="398" applyNumberFormat="0" applyFill="0" applyBorder="0" applyAlignment="0" applyProtection="0">
      <alignment vertical="center"/>
    </xf>
    <xf numFmtId="0" fontId="148" fillId="68" borderId="557" applyNumberFormat="0" applyAlignment="0" applyProtection="0">
      <alignment vertical="center"/>
    </xf>
    <xf numFmtId="0" fontId="149" fillId="71" borderId="398" applyNumberFormat="0" applyBorder="0" applyAlignment="0" applyProtection="0">
      <alignment vertical="center"/>
    </xf>
    <xf numFmtId="40" fontId="98" fillId="54" borderId="398" applyFont="0" applyFill="0" applyBorder="0" applyAlignment="0" applyProtection="0">
      <alignment vertical="center"/>
    </xf>
    <xf numFmtId="0" fontId="157" fillId="91" borderId="579"/>
    <xf numFmtId="9" fontId="163" fillId="91" borderId="579" applyFont="0" applyFill="0" applyBorder="0" applyAlignment="0" applyProtection="0"/>
    <xf numFmtId="0" fontId="158" fillId="91" borderId="579">
      <alignment vertical="center"/>
    </xf>
    <xf numFmtId="9" fontId="158" fillId="91" borderId="579" applyFont="0" applyFill="0" applyBorder="0" applyAlignment="0" applyProtection="0">
      <alignment vertical="center"/>
    </xf>
    <xf numFmtId="38" fontId="158" fillId="91" borderId="579" applyFont="0" applyFill="0" applyBorder="0" applyAlignment="0" applyProtection="0">
      <alignment vertical="center"/>
    </xf>
    <xf numFmtId="38" fontId="163" fillId="91" borderId="579" applyFont="0" applyFill="0" applyBorder="0" applyAlignment="0" applyProtection="0"/>
    <xf numFmtId="38" fontId="166" fillId="91" borderId="579" applyFont="0" applyFill="0" applyBorder="0" applyAlignment="0" applyProtection="0"/>
    <xf numFmtId="38" fontId="167" fillId="91" borderId="579" applyFont="0" applyFill="0" applyBorder="0" applyAlignment="0" applyProtection="0">
      <alignment vertical="center"/>
    </xf>
    <xf numFmtId="0" fontId="158" fillId="91" borderId="579"/>
    <xf numFmtId="0" fontId="163" fillId="91" borderId="579"/>
    <xf numFmtId="0" fontId="166" fillId="91" borderId="579"/>
    <xf numFmtId="0" fontId="167" fillId="91" borderId="579"/>
    <xf numFmtId="0" fontId="168" fillId="91" borderId="579"/>
    <xf numFmtId="38" fontId="163" fillId="91" borderId="579" applyFont="0" applyFill="0" applyBorder="0" applyAlignment="0" applyProtection="0">
      <alignment vertical="center"/>
    </xf>
    <xf numFmtId="0" fontId="201" fillId="108" borderId="725"/>
    <xf numFmtId="38" fontId="203" fillId="108" borderId="725" applyFont="0" applyFill="0" applyBorder="0" applyAlignment="0" applyProtection="0"/>
    <xf numFmtId="9" fontId="210" fillId="108" borderId="725" applyFont="0" applyFill="0" applyBorder="0" applyAlignment="0" applyProtection="0">
      <alignment vertical="center"/>
    </xf>
    <xf numFmtId="38" fontId="210" fillId="108" borderId="725" applyFont="0" applyFill="0" applyBorder="0" applyAlignment="0" applyProtection="0">
      <alignment vertical="center"/>
    </xf>
    <xf numFmtId="38" fontId="203" fillId="108" borderId="725" applyFont="0" applyFill="0" applyBorder="0" applyAlignment="0" applyProtection="0"/>
    <xf numFmtId="38" fontId="211" fillId="108" borderId="725" applyFont="0" applyFill="0" applyBorder="0" applyAlignment="0" applyProtection="0"/>
    <xf numFmtId="38" fontId="212" fillId="108" borderId="725" applyFont="0" applyFill="0" applyBorder="0" applyAlignment="0" applyProtection="0">
      <alignment vertical="center"/>
    </xf>
    <xf numFmtId="0" fontId="210" fillId="108" borderId="725"/>
    <xf numFmtId="0" fontId="203" fillId="108" borderId="725"/>
    <xf numFmtId="0" fontId="211" fillId="108" borderId="725"/>
    <xf numFmtId="0" fontId="210" fillId="108" borderId="725">
      <alignment vertical="center"/>
    </xf>
    <xf numFmtId="0" fontId="212" fillId="108" borderId="725"/>
    <xf numFmtId="0" fontId="213" fillId="108" borderId="725"/>
    <xf numFmtId="0" fontId="203" fillId="108" borderId="725"/>
    <xf numFmtId="0" fontId="202" fillId="108" borderId="725">
      <alignment vertical="center"/>
    </xf>
    <xf numFmtId="38" fontId="202" fillId="108" borderId="725" applyFont="0" applyFill="0" applyBorder="0" applyAlignment="0" applyProtection="0">
      <alignment vertical="center"/>
    </xf>
    <xf numFmtId="0" fontId="211" fillId="108" borderId="725"/>
    <xf numFmtId="38" fontId="211" fillId="108" borderId="725" applyFont="0" applyFill="0" applyBorder="0" applyAlignment="0" applyProtection="0"/>
    <xf numFmtId="9" fontId="203" fillId="108" borderId="725" applyFont="0" applyFill="0" applyBorder="0" applyAlignment="0" applyProtection="0">
      <alignment vertical="center"/>
    </xf>
  </cellStyleXfs>
  <cellXfs count="5263">
    <xf numFmtId="0" fontId="0" fillId="0" borderId="0" xfId="0"/>
    <xf numFmtId="0" fontId="0" fillId="0" borderId="0" xfId="0" applyFont="1" applyAlignment="1">
      <alignment vertical="center"/>
    </xf>
    <xf numFmtId="0" fontId="0" fillId="0" borderId="0" xfId="0" applyAlignment="1">
      <alignment vertical="center"/>
    </xf>
    <xf numFmtId="38" fontId="0" fillId="0" borderId="0" xfId="1" applyFont="1" applyAlignment="1">
      <alignment vertical="center"/>
    </xf>
    <xf numFmtId="38" fontId="0" fillId="0" borderId="0" xfId="0" applyNumberFormat="1" applyFont="1" applyAlignment="1">
      <alignment vertical="center"/>
    </xf>
    <xf numFmtId="38" fontId="0" fillId="0" borderId="1" xfId="1" applyFont="1" applyBorder="1" applyAlignment="1">
      <alignment vertical="center"/>
    </xf>
    <xf numFmtId="0" fontId="0" fillId="0" borderId="1" xfId="0" applyFont="1" applyBorder="1" applyAlignment="1">
      <alignment horizontal="center" vertical="center"/>
    </xf>
    <xf numFmtId="38" fontId="0" fillId="0" borderId="2" xfId="0" applyNumberFormat="1" applyFont="1" applyBorder="1" applyAlignment="1">
      <alignment vertical="center"/>
    </xf>
    <xf numFmtId="38" fontId="0" fillId="0" borderId="3" xfId="0" applyNumberFormat="1" applyFont="1" applyBorder="1" applyAlignment="1">
      <alignment vertical="center"/>
    </xf>
    <xf numFmtId="38" fontId="0" fillId="0" borderId="4" xfId="0" applyNumberFormat="1" applyFont="1" applyBorder="1" applyAlignment="1">
      <alignment vertical="center"/>
    </xf>
    <xf numFmtId="38" fontId="0" fillId="0" borderId="5" xfId="0" applyNumberFormat="1" applyFont="1" applyBorder="1" applyAlignment="1">
      <alignment vertical="center"/>
    </xf>
    <xf numFmtId="38" fontId="0" fillId="0" borderId="6" xfId="0" applyNumberFormat="1" applyFont="1" applyBorder="1" applyAlignment="1">
      <alignment vertical="center"/>
    </xf>
    <xf numFmtId="38" fontId="0" fillId="0" borderId="7" xfId="0" applyNumberFormat="1" applyFont="1" applyBorder="1" applyAlignment="1">
      <alignment vertical="center"/>
    </xf>
    <xf numFmtId="38" fontId="0" fillId="0" borderId="8" xfId="0" applyNumberFormat="1" applyFont="1" applyBorder="1" applyAlignment="1">
      <alignment vertical="center"/>
    </xf>
    <xf numFmtId="0" fontId="0" fillId="0" borderId="9" xfId="0" applyFont="1" applyBorder="1" applyAlignment="1">
      <alignment horizontal="center" vertical="center" shrinkToFit="1"/>
    </xf>
    <xf numFmtId="38" fontId="0" fillId="0" borderId="10" xfId="0" applyNumberFormat="1" applyFont="1" applyBorder="1" applyAlignment="1">
      <alignment vertical="center"/>
    </xf>
    <xf numFmtId="38" fontId="0" fillId="0" borderId="11" xfId="0" applyNumberFormat="1" applyFont="1" applyBorder="1" applyAlignment="1">
      <alignment vertical="center"/>
    </xf>
    <xf numFmtId="38" fontId="0" fillId="0" borderId="12" xfId="0" applyNumberFormat="1" applyFont="1" applyBorder="1" applyAlignment="1">
      <alignment vertical="center"/>
    </xf>
    <xf numFmtId="38" fontId="0" fillId="0" borderId="13" xfId="0" applyNumberFormat="1" applyFont="1" applyBorder="1" applyAlignment="1">
      <alignment vertical="center"/>
    </xf>
    <xf numFmtId="38" fontId="0" fillId="0" borderId="14" xfId="0" applyNumberFormat="1" applyFont="1" applyBorder="1" applyAlignment="1">
      <alignment vertical="center"/>
    </xf>
    <xf numFmtId="38" fontId="0" fillId="0" borderId="15" xfId="0" applyNumberFormat="1" applyFont="1" applyBorder="1" applyAlignment="1">
      <alignment vertical="center"/>
    </xf>
    <xf numFmtId="0" fontId="0" fillId="0" borderId="14" xfId="0" applyFont="1" applyBorder="1" applyAlignment="1">
      <alignment horizontal="center" vertical="center" shrinkToFit="1"/>
    </xf>
    <xf numFmtId="38" fontId="0" fillId="0" borderId="16" xfId="1" applyFont="1" applyBorder="1" applyAlignment="1">
      <alignment vertical="center"/>
    </xf>
    <xf numFmtId="38" fontId="0" fillId="0" borderId="17" xfId="1" applyFont="1" applyBorder="1" applyAlignment="1">
      <alignment vertical="center"/>
    </xf>
    <xf numFmtId="38" fontId="0" fillId="0" borderId="18" xfId="1" applyFont="1" applyBorder="1" applyAlignment="1">
      <alignment vertical="center"/>
    </xf>
    <xf numFmtId="38" fontId="0" fillId="0" borderId="19" xfId="1" applyFont="1" applyBorder="1" applyAlignment="1">
      <alignment vertical="center"/>
    </xf>
    <xf numFmtId="38" fontId="0" fillId="0" borderId="20" xfId="1" applyFont="1" applyBorder="1" applyAlignment="1">
      <alignment vertical="center"/>
    </xf>
    <xf numFmtId="38" fontId="0" fillId="0" borderId="21" xfId="1" applyFont="1" applyBorder="1" applyAlignment="1">
      <alignment vertical="center"/>
    </xf>
    <xf numFmtId="0" fontId="0" fillId="0" borderId="20" xfId="0" applyFont="1" applyBorder="1" applyAlignment="1">
      <alignment vertical="center" shrinkToFit="1"/>
    </xf>
    <xf numFmtId="38" fontId="0" fillId="2" borderId="16" xfId="1" applyFont="1" applyFill="1" applyBorder="1" applyAlignment="1">
      <alignment vertical="center"/>
    </xf>
    <xf numFmtId="38" fontId="0" fillId="2" borderId="17" xfId="1" applyFont="1" applyFill="1" applyBorder="1" applyAlignment="1">
      <alignment horizontal="right" vertical="center"/>
    </xf>
    <xf numFmtId="38" fontId="0" fillId="3" borderId="17" xfId="1" applyFont="1" applyFill="1" applyBorder="1" applyAlignment="1">
      <alignment horizontal="right" vertical="center"/>
    </xf>
    <xf numFmtId="38" fontId="0" fillId="0" borderId="21" xfId="1" applyFont="1" applyBorder="1" applyAlignment="1">
      <alignment horizontal="right" vertical="center"/>
    </xf>
    <xf numFmtId="38" fontId="0" fillId="0" borderId="17" xfId="1" applyFont="1" applyBorder="1" applyAlignment="1">
      <alignment horizontal="right" vertical="center"/>
    </xf>
    <xf numFmtId="38" fontId="0" fillId="0" borderId="16" xfId="1" applyFont="1" applyFill="1" applyBorder="1" applyAlignment="1">
      <alignment vertical="center"/>
    </xf>
    <xf numFmtId="38" fontId="0" fillId="2" borderId="18" xfId="1" applyFont="1" applyFill="1" applyBorder="1" applyAlignment="1">
      <alignment vertical="center"/>
    </xf>
    <xf numFmtId="38" fontId="0" fillId="3" borderId="21" xfId="1" applyFont="1" applyFill="1" applyBorder="1" applyAlignment="1">
      <alignment horizontal="right" vertical="center"/>
    </xf>
    <xf numFmtId="38" fontId="0" fillId="0" borderId="17" xfId="1" applyFont="1" applyFill="1" applyBorder="1" applyAlignment="1">
      <alignment horizontal="right" vertical="center"/>
    </xf>
    <xf numFmtId="38" fontId="0" fillId="2" borderId="17" xfId="1" applyFont="1" applyFill="1" applyBorder="1" applyAlignment="1">
      <alignment vertical="center"/>
    </xf>
    <xf numFmtId="38" fontId="0" fillId="2" borderId="19" xfId="1" applyFont="1" applyFill="1" applyBorder="1" applyAlignment="1">
      <alignment vertical="center"/>
    </xf>
    <xf numFmtId="38" fontId="0" fillId="2" borderId="20" xfId="1" applyFont="1" applyFill="1" applyBorder="1" applyAlignment="1">
      <alignment vertical="center"/>
    </xf>
    <xf numFmtId="38" fontId="0" fillId="2" borderId="21" xfId="1" applyFont="1" applyFill="1" applyBorder="1" applyAlignment="1">
      <alignment horizontal="right" vertical="center"/>
    </xf>
    <xf numFmtId="0" fontId="0" fillId="2" borderId="20" xfId="0" applyFont="1" applyFill="1" applyBorder="1" applyAlignment="1">
      <alignment vertical="center" shrinkToFit="1"/>
    </xf>
    <xf numFmtId="38" fontId="0" fillId="0" borderId="22" xfId="1" applyFont="1" applyBorder="1" applyAlignment="1">
      <alignment vertical="center"/>
    </xf>
    <xf numFmtId="38" fontId="0" fillId="0" borderId="23" xfId="1" applyFont="1" applyBorder="1" applyAlignment="1">
      <alignment horizontal="right" vertical="center"/>
    </xf>
    <xf numFmtId="38" fontId="0" fillId="0" borderId="24" xfId="1" applyFont="1" applyBorder="1" applyAlignment="1">
      <alignment vertical="center"/>
    </xf>
    <xf numFmtId="38" fontId="0" fillId="0" borderId="23" xfId="1" applyFont="1" applyBorder="1" applyAlignment="1">
      <alignment vertical="center"/>
    </xf>
    <xf numFmtId="38" fontId="0" fillId="0" borderId="25" xfId="1" applyFont="1" applyBorder="1" applyAlignment="1">
      <alignment vertical="center"/>
    </xf>
    <xf numFmtId="38" fontId="0" fillId="0" borderId="26" xfId="1" applyFont="1" applyBorder="1" applyAlignment="1">
      <alignment vertical="center"/>
    </xf>
    <xf numFmtId="0" fontId="0" fillId="0" borderId="26" xfId="0" applyFont="1" applyBorder="1" applyAlignment="1">
      <alignment vertical="center" shrinkToFit="1"/>
    </xf>
    <xf numFmtId="176" fontId="0" fillId="0" borderId="30" xfId="2" applyNumberFormat="1" applyFont="1" applyBorder="1" applyAlignment="1">
      <alignment horizontal="center" vertical="center"/>
    </xf>
    <xf numFmtId="176" fontId="0" fillId="0" borderId="31" xfId="2" applyNumberFormat="1" applyFont="1" applyBorder="1" applyAlignment="1">
      <alignment horizontal="center" vertical="center"/>
    </xf>
    <xf numFmtId="176" fontId="0" fillId="0" borderId="32" xfId="2" applyNumberFormat="1" applyFont="1" applyBorder="1" applyAlignment="1">
      <alignment horizontal="center" vertical="center"/>
    </xf>
    <xf numFmtId="176" fontId="0" fillId="0" borderId="33" xfId="2" applyNumberFormat="1" applyFont="1" applyBorder="1" applyAlignment="1">
      <alignment horizontal="center" vertical="center"/>
    </xf>
    <xf numFmtId="38" fontId="0" fillId="0" borderId="0" xfId="1" applyFont="1"/>
    <xf numFmtId="38" fontId="0" fillId="4" borderId="0" xfId="1" applyFont="1" applyFill="1"/>
    <xf numFmtId="38" fontId="0" fillId="0" borderId="0" xfId="1" applyFont="1" applyAlignment="1">
      <alignment horizontal="right"/>
    </xf>
    <xf numFmtId="38" fontId="0" fillId="5" borderId="0" xfId="1" applyFont="1" applyFill="1"/>
    <xf numFmtId="38" fontId="0" fillId="0" borderId="0" xfId="1" applyFont="1" applyFill="1" applyAlignment="1">
      <alignment horizontal="right"/>
    </xf>
    <xf numFmtId="38" fontId="0" fillId="6" borderId="0" xfId="0" applyNumberFormat="1" applyFont="1" applyFill="1" applyAlignment="1">
      <alignment vertical="center"/>
    </xf>
    <xf numFmtId="0" fontId="4" fillId="0" borderId="0" xfId="0" applyFont="1" applyAlignment="1">
      <alignment vertical="center"/>
    </xf>
    <xf numFmtId="0" fontId="0" fillId="0" borderId="0" xfId="0" applyFont="1" applyAlignment="1">
      <alignment vertical="center" shrinkToFit="1"/>
    </xf>
    <xf numFmtId="0" fontId="0" fillId="0" borderId="0" xfId="0" applyFont="1" applyFill="1" applyAlignment="1">
      <alignment vertical="center"/>
    </xf>
    <xf numFmtId="38" fontId="0" fillId="0" borderId="2" xfId="1" applyFont="1" applyFill="1" applyBorder="1" applyAlignment="1">
      <alignment vertical="center"/>
    </xf>
    <xf numFmtId="38" fontId="0" fillId="0" borderId="46" xfId="1" applyFont="1" applyFill="1" applyBorder="1" applyAlignment="1">
      <alignment vertical="center"/>
    </xf>
    <xf numFmtId="38" fontId="0" fillId="0" borderId="48" xfId="0" applyNumberFormat="1" applyFont="1" applyFill="1" applyBorder="1" applyAlignment="1">
      <alignment vertical="center"/>
    </xf>
    <xf numFmtId="38" fontId="0" fillId="0" borderId="2" xfId="1" applyFont="1" applyBorder="1" applyAlignment="1">
      <alignment vertical="center"/>
    </xf>
    <xf numFmtId="38" fontId="0" fillId="0" borderId="49" xfId="0" applyNumberFormat="1" applyFont="1" applyFill="1" applyBorder="1" applyAlignment="1">
      <alignment vertical="center"/>
    </xf>
    <xf numFmtId="38" fontId="0" fillId="0" borderId="46" xfId="0" applyNumberFormat="1" applyFont="1" applyFill="1" applyBorder="1" applyAlignment="1">
      <alignment vertical="center"/>
    </xf>
    <xf numFmtId="38" fontId="0" fillId="0" borderId="47" xfId="0" applyNumberFormat="1" applyFont="1" applyFill="1" applyBorder="1" applyAlignment="1">
      <alignment vertical="center"/>
    </xf>
    <xf numFmtId="0" fontId="0" fillId="0" borderId="48" xfId="0" applyFont="1" applyFill="1" applyBorder="1" applyAlignment="1">
      <alignment horizontal="center" vertical="center" shrinkToFit="1"/>
    </xf>
    <xf numFmtId="0" fontId="0" fillId="0" borderId="49" xfId="0" applyFont="1" applyFill="1" applyBorder="1" applyAlignment="1">
      <alignment vertical="center"/>
    </xf>
    <xf numFmtId="0" fontId="0" fillId="0" borderId="46" xfId="0" applyFont="1" applyFill="1" applyBorder="1" applyAlignment="1">
      <alignment vertical="center"/>
    </xf>
    <xf numFmtId="0" fontId="0" fillId="0" borderId="47" xfId="0" applyFont="1" applyFill="1" applyBorder="1" applyAlignment="1">
      <alignment vertical="center"/>
    </xf>
    <xf numFmtId="38" fontId="0" fillId="0" borderId="10" xfId="1" applyFont="1" applyFill="1" applyBorder="1" applyAlignment="1">
      <alignment vertical="center"/>
    </xf>
    <xf numFmtId="38" fontId="0" fillId="0" borderId="13" xfId="1" applyFont="1" applyFill="1" applyBorder="1" applyAlignment="1">
      <alignment vertical="center"/>
    </xf>
    <xf numFmtId="38" fontId="0" fillId="0" borderId="50" xfId="1" applyFont="1" applyFill="1" applyBorder="1" applyAlignment="1">
      <alignment vertical="center"/>
    </xf>
    <xf numFmtId="38" fontId="0" fillId="0" borderId="51" xfId="1" applyFont="1" applyFill="1" applyBorder="1" applyAlignment="1">
      <alignment vertical="center"/>
    </xf>
    <xf numFmtId="38" fontId="0" fillId="0" borderId="52" xfId="1" applyFont="1" applyFill="1" applyBorder="1" applyAlignment="1">
      <alignment vertical="center"/>
    </xf>
    <xf numFmtId="38" fontId="0" fillId="0" borderId="51" xfId="0" applyNumberFormat="1" applyFont="1" applyFill="1" applyBorder="1" applyAlignment="1">
      <alignment vertical="center"/>
    </xf>
    <xf numFmtId="38" fontId="0" fillId="0" borderId="52" xfId="0" applyNumberFormat="1" applyFont="1" applyFill="1" applyBorder="1" applyAlignment="1">
      <alignment vertical="center"/>
    </xf>
    <xf numFmtId="38" fontId="0" fillId="0" borderId="13" xfId="0" applyNumberFormat="1" applyFont="1" applyFill="1" applyBorder="1" applyAlignment="1">
      <alignment vertical="center"/>
    </xf>
    <xf numFmtId="38" fontId="0" fillId="0" borderId="50" xfId="0" applyNumberFormat="1" applyFont="1" applyFill="1" applyBorder="1" applyAlignment="1">
      <alignment vertical="center"/>
    </xf>
    <xf numFmtId="0" fontId="0" fillId="0" borderId="51" xfId="0" applyFont="1" applyFill="1" applyBorder="1" applyAlignment="1">
      <alignment horizontal="center" vertical="center" shrinkToFit="1"/>
    </xf>
    <xf numFmtId="0" fontId="0" fillId="0" borderId="52" xfId="0" applyFont="1" applyFill="1" applyBorder="1" applyAlignment="1">
      <alignment vertical="center"/>
    </xf>
    <xf numFmtId="0" fontId="0" fillId="0" borderId="13" xfId="0" applyFont="1" applyFill="1" applyBorder="1" applyAlignment="1">
      <alignment vertical="center"/>
    </xf>
    <xf numFmtId="0" fontId="0" fillId="0" borderId="50" xfId="0" applyFont="1" applyFill="1" applyBorder="1" applyAlignment="1">
      <alignment vertical="center"/>
    </xf>
    <xf numFmtId="177" fontId="0" fillId="0" borderId="0" xfId="0" applyNumberFormat="1" applyAlignment="1">
      <alignment vertical="center"/>
    </xf>
    <xf numFmtId="177" fontId="0" fillId="0" borderId="0" xfId="1" applyNumberFormat="1" applyFont="1" applyAlignment="1">
      <alignment vertical="center"/>
    </xf>
    <xf numFmtId="38" fontId="0" fillId="0" borderId="19" xfId="1" applyFont="1" applyFill="1" applyBorder="1" applyAlignment="1">
      <alignment vertical="center"/>
    </xf>
    <xf numFmtId="38" fontId="0" fillId="0" borderId="53" xfId="1" applyFont="1" applyFill="1" applyBorder="1" applyAlignment="1">
      <alignment vertical="center"/>
    </xf>
    <xf numFmtId="38" fontId="0" fillId="0" borderId="54" xfId="0" applyNumberFormat="1" applyFont="1" applyFill="1" applyBorder="1" applyAlignment="1">
      <alignment vertical="center"/>
    </xf>
    <xf numFmtId="38" fontId="0" fillId="0" borderId="55" xfId="1" applyFont="1" applyFill="1" applyBorder="1" applyAlignment="1">
      <alignment vertical="center"/>
    </xf>
    <xf numFmtId="38" fontId="0" fillId="0" borderId="56" xfId="1" applyFont="1" applyFill="1" applyBorder="1" applyAlignment="1">
      <alignment vertical="center"/>
    </xf>
    <xf numFmtId="38" fontId="0" fillId="0" borderId="57" xfId="1" applyFont="1" applyFill="1" applyBorder="1" applyAlignment="1">
      <alignment vertical="center"/>
    </xf>
    <xf numFmtId="38" fontId="0" fillId="0" borderId="58" xfId="1" applyFont="1" applyFill="1" applyBorder="1" applyAlignment="1">
      <alignment vertical="center"/>
    </xf>
    <xf numFmtId="38" fontId="0" fillId="0" borderId="59" xfId="1" applyFont="1" applyFill="1" applyBorder="1" applyAlignment="1">
      <alignment vertical="center"/>
    </xf>
    <xf numFmtId="0" fontId="0" fillId="0" borderId="56" xfId="0" applyFont="1" applyFill="1" applyBorder="1" applyAlignment="1">
      <alignment vertical="center" shrinkToFit="1"/>
    </xf>
    <xf numFmtId="0" fontId="0" fillId="0" borderId="57" xfId="0" applyFont="1" applyFill="1" applyBorder="1" applyAlignment="1">
      <alignment horizontal="center" vertical="center" shrinkToFit="1"/>
    </xf>
    <xf numFmtId="0" fontId="0" fillId="0" borderId="58" xfId="0" applyFont="1" applyFill="1" applyBorder="1" applyAlignment="1">
      <alignment horizontal="center" vertical="center" shrinkToFit="1"/>
    </xf>
    <xf numFmtId="0" fontId="0" fillId="0" borderId="59" xfId="0" applyFont="1" applyFill="1" applyBorder="1" applyAlignment="1">
      <alignment vertical="center" shrinkToFit="1"/>
    </xf>
    <xf numFmtId="38" fontId="0" fillId="0" borderId="54" xfId="1" applyFont="1" applyFill="1" applyBorder="1" applyAlignment="1">
      <alignment vertical="center"/>
    </xf>
    <xf numFmtId="0" fontId="0" fillId="0" borderId="54" xfId="0" applyFont="1" applyFill="1" applyBorder="1" applyAlignment="1">
      <alignment vertical="center" shrinkToFit="1"/>
    </xf>
    <xf numFmtId="0" fontId="0" fillId="0" borderId="55" xfId="0" applyFont="1" applyFill="1" applyBorder="1" applyAlignment="1">
      <alignment horizontal="center" vertical="center" shrinkToFit="1"/>
    </xf>
    <xf numFmtId="0" fontId="0" fillId="0" borderId="19" xfId="0" applyFont="1" applyFill="1" applyBorder="1" applyAlignment="1">
      <alignment horizontal="center" vertical="center" shrinkToFit="1"/>
    </xf>
    <xf numFmtId="0" fontId="0" fillId="0" borderId="53" xfId="0" applyFont="1" applyFill="1" applyBorder="1" applyAlignment="1">
      <alignment vertical="center" shrinkToFit="1"/>
    </xf>
    <xf numFmtId="38" fontId="0" fillId="0" borderId="0" xfId="1" applyNumberFormat="1" applyFont="1" applyAlignment="1">
      <alignment vertical="center"/>
    </xf>
    <xf numFmtId="178" fontId="0" fillId="0" borderId="0" xfId="1" applyNumberFormat="1" applyFont="1" applyAlignment="1">
      <alignment vertical="center"/>
    </xf>
    <xf numFmtId="38" fontId="0" fillId="0" borderId="53" xfId="1" applyFont="1" applyBorder="1" applyAlignment="1">
      <alignment vertical="center"/>
    </xf>
    <xf numFmtId="38" fontId="0" fillId="0" borderId="54" xfId="0" applyNumberFormat="1" applyBorder="1" applyAlignment="1">
      <alignment vertical="center"/>
    </xf>
    <xf numFmtId="0" fontId="5" fillId="0" borderId="54" xfId="0" applyFont="1" applyFill="1" applyBorder="1" applyAlignment="1">
      <alignment vertical="center" shrinkToFit="1"/>
    </xf>
    <xf numFmtId="38" fontId="0" fillId="0" borderId="60" xfId="0" applyNumberFormat="1" applyFont="1" applyFill="1" applyBorder="1" applyAlignment="1">
      <alignment vertical="center"/>
    </xf>
    <xf numFmtId="38" fontId="0" fillId="0" borderId="35" xfId="1" applyFont="1" applyFill="1" applyBorder="1" applyAlignment="1">
      <alignment vertical="center"/>
    </xf>
    <xf numFmtId="38" fontId="0" fillId="0" borderId="61" xfId="1" applyFont="1" applyFill="1" applyBorder="1" applyAlignment="1">
      <alignment vertical="center"/>
    </xf>
    <xf numFmtId="38" fontId="0" fillId="0" borderId="25" xfId="1" applyFont="1" applyFill="1" applyBorder="1" applyAlignment="1">
      <alignment vertical="center"/>
    </xf>
    <xf numFmtId="38" fontId="0" fillId="0" borderId="62" xfId="1" applyFont="1" applyFill="1" applyBorder="1" applyAlignment="1">
      <alignment vertical="center"/>
    </xf>
    <xf numFmtId="38" fontId="0" fillId="0" borderId="60" xfId="1" applyFont="1" applyFill="1" applyBorder="1" applyAlignment="1">
      <alignment vertical="center"/>
    </xf>
    <xf numFmtId="0" fontId="5" fillId="0" borderId="60" xfId="0" applyFont="1" applyFill="1" applyBorder="1" applyAlignment="1">
      <alignment vertical="center" shrinkToFit="1"/>
    </xf>
    <xf numFmtId="0" fontId="0" fillId="0" borderId="61" xfId="0" applyFont="1" applyFill="1" applyBorder="1" applyAlignment="1">
      <alignment horizontal="center" vertical="center" shrinkToFit="1"/>
    </xf>
    <xf numFmtId="0" fontId="0" fillId="0" borderId="25" xfId="0" applyFont="1" applyFill="1" applyBorder="1" applyAlignment="1">
      <alignment horizontal="center" vertical="center" shrinkToFit="1"/>
    </xf>
    <xf numFmtId="0" fontId="0" fillId="0" borderId="62" xfId="0" applyFont="1" applyFill="1" applyBorder="1" applyAlignment="1">
      <alignment vertical="center" shrinkToFit="1"/>
    </xf>
    <xf numFmtId="0" fontId="0" fillId="0" borderId="0" xfId="0" applyFont="1" applyAlignment="1">
      <alignment horizontal="center" vertical="center"/>
    </xf>
    <xf numFmtId="0" fontId="0" fillId="0" borderId="0" xfId="0" applyAlignment="1">
      <alignment horizontal="center" vertical="center"/>
    </xf>
    <xf numFmtId="38" fontId="0" fillId="0" borderId="28" xfId="1" applyFont="1" applyBorder="1" applyAlignment="1">
      <alignment horizontal="center" vertical="center"/>
    </xf>
    <xf numFmtId="38" fontId="0" fillId="0" borderId="31" xfId="1" applyFont="1" applyBorder="1" applyAlignment="1">
      <alignment horizontal="center" vertical="center"/>
    </xf>
    <xf numFmtId="38" fontId="0" fillId="0" borderId="32" xfId="1" applyFont="1" applyBorder="1" applyAlignment="1">
      <alignment horizontal="center" vertical="center"/>
    </xf>
    <xf numFmtId="38" fontId="0" fillId="0" borderId="33" xfId="1" applyFont="1" applyBorder="1" applyAlignment="1">
      <alignment horizontal="center" vertical="center"/>
    </xf>
    <xf numFmtId="176" fontId="0" fillId="0" borderId="28" xfId="2" applyNumberFormat="1" applyFont="1" applyBorder="1" applyAlignment="1">
      <alignment horizontal="center" vertical="center"/>
    </xf>
    <xf numFmtId="38" fontId="0" fillId="0" borderId="0" xfId="1" applyFont="1" applyFill="1" applyAlignment="1">
      <alignment vertical="center"/>
    </xf>
    <xf numFmtId="0" fontId="0" fillId="0" borderId="0" xfId="0" applyAlignment="1">
      <alignment horizontal="right" vertical="center"/>
    </xf>
    <xf numFmtId="38" fontId="0" fillId="0" borderId="0" xfId="0" applyNumberFormat="1" applyAlignment="1">
      <alignment vertical="center"/>
    </xf>
    <xf numFmtId="38" fontId="0" fillId="8" borderId="65" xfId="1" applyFont="1" applyFill="1" applyBorder="1" applyAlignment="1">
      <alignment vertical="center"/>
    </xf>
    <xf numFmtId="38" fontId="0" fillId="8" borderId="66" xfId="1" applyFont="1" applyFill="1" applyBorder="1" applyAlignment="1">
      <alignment vertical="center"/>
    </xf>
    <xf numFmtId="38" fontId="0" fillId="8" borderId="67" xfId="1" applyFont="1" applyFill="1" applyBorder="1" applyAlignment="1">
      <alignment vertical="center"/>
    </xf>
    <xf numFmtId="38" fontId="0" fillId="8" borderId="1" xfId="1" applyFont="1" applyFill="1" applyBorder="1" applyAlignment="1">
      <alignment vertical="center"/>
    </xf>
    <xf numFmtId="38" fontId="0" fillId="0" borderId="9" xfId="0" applyNumberFormat="1" applyBorder="1" applyAlignment="1">
      <alignment vertical="center"/>
    </xf>
    <xf numFmtId="38" fontId="0" fillId="0" borderId="48" xfId="0" applyNumberFormat="1" applyBorder="1" applyAlignment="1">
      <alignment vertical="center"/>
    </xf>
    <xf numFmtId="38" fontId="0" fillId="0" borderId="49" xfId="0" applyNumberFormat="1" applyBorder="1" applyAlignment="1">
      <alignment vertical="center"/>
    </xf>
    <xf numFmtId="38" fontId="0" fillId="0" borderId="46" xfId="0" applyNumberFormat="1" applyBorder="1" applyAlignment="1">
      <alignment vertical="center"/>
    </xf>
    <xf numFmtId="38" fontId="0" fillId="0" borderId="47" xfId="0" applyNumberFormat="1" applyBorder="1" applyAlignment="1">
      <alignment vertical="center"/>
    </xf>
    <xf numFmtId="0" fontId="0" fillId="0" borderId="48" xfId="0" applyBorder="1" applyAlignment="1">
      <alignment horizontal="center" vertical="center" shrinkToFit="1"/>
    </xf>
    <xf numFmtId="0" fontId="0" fillId="0" borderId="49"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38" fontId="0" fillId="0" borderId="10" xfId="1" applyFont="1" applyBorder="1" applyAlignment="1">
      <alignment vertical="center"/>
    </xf>
    <xf numFmtId="38" fontId="0" fillId="0" borderId="13" xfId="1" applyFont="1" applyBorder="1" applyAlignment="1">
      <alignment vertical="center"/>
    </xf>
    <xf numFmtId="38" fontId="0" fillId="0" borderId="50" xfId="1" applyFont="1" applyBorder="1" applyAlignment="1">
      <alignment vertical="center"/>
    </xf>
    <xf numFmtId="38" fontId="0" fillId="0" borderId="51" xfId="1" applyFont="1" applyBorder="1" applyAlignment="1">
      <alignment vertical="center"/>
    </xf>
    <xf numFmtId="38" fontId="0" fillId="0" borderId="52" xfId="1" applyFont="1" applyBorder="1" applyAlignment="1">
      <alignment vertical="center"/>
    </xf>
    <xf numFmtId="38" fontId="0" fillId="0" borderId="51" xfId="0" applyNumberFormat="1" applyBorder="1" applyAlignment="1">
      <alignment vertical="center"/>
    </xf>
    <xf numFmtId="38" fontId="0" fillId="0" borderId="52" xfId="0" applyNumberFormat="1" applyBorder="1" applyAlignment="1">
      <alignment vertical="center"/>
    </xf>
    <xf numFmtId="38" fontId="0" fillId="0" borderId="13" xfId="0" applyNumberFormat="1" applyBorder="1" applyAlignment="1">
      <alignment vertical="center"/>
    </xf>
    <xf numFmtId="38" fontId="0" fillId="0" borderId="50" xfId="0" applyNumberFormat="1" applyBorder="1" applyAlignment="1">
      <alignment vertical="center"/>
    </xf>
    <xf numFmtId="0" fontId="0" fillId="0" borderId="51" xfId="0" applyBorder="1" applyAlignment="1">
      <alignment horizontal="center" vertical="center" shrinkToFit="1"/>
    </xf>
    <xf numFmtId="0" fontId="0" fillId="0" borderId="52" xfId="0" applyBorder="1" applyAlignment="1">
      <alignment vertical="center"/>
    </xf>
    <xf numFmtId="0" fontId="0" fillId="0" borderId="13" xfId="0" applyBorder="1" applyAlignment="1">
      <alignment vertical="center"/>
    </xf>
    <xf numFmtId="0" fontId="0" fillId="0" borderId="50" xfId="0" applyBorder="1" applyAlignment="1">
      <alignment vertical="center"/>
    </xf>
    <xf numFmtId="38" fontId="0" fillId="0" borderId="55" xfId="1" applyFont="1" applyBorder="1" applyAlignment="1">
      <alignment vertical="center"/>
    </xf>
    <xf numFmtId="38" fontId="0" fillId="9" borderId="54" xfId="1" applyFont="1" applyFill="1" applyBorder="1" applyAlignment="1">
      <alignment vertical="center"/>
    </xf>
    <xf numFmtId="38" fontId="0" fillId="9" borderId="55" xfId="1" applyFont="1" applyFill="1" applyBorder="1" applyAlignment="1">
      <alignment vertical="center"/>
    </xf>
    <xf numFmtId="38" fontId="0" fillId="9" borderId="19" xfId="1" applyFont="1" applyFill="1" applyBorder="1" applyAlignment="1">
      <alignment vertical="center"/>
    </xf>
    <xf numFmtId="38" fontId="0" fillId="9" borderId="53" xfId="1" applyFont="1" applyFill="1" applyBorder="1" applyAlignment="1">
      <alignment vertical="center"/>
    </xf>
    <xf numFmtId="0" fontId="0" fillId="0" borderId="54" xfId="0" applyBorder="1" applyAlignment="1">
      <alignment vertical="center" shrinkToFit="1"/>
    </xf>
    <xf numFmtId="0" fontId="0" fillId="0" borderId="55" xfId="0" applyBorder="1" applyAlignment="1">
      <alignment horizontal="center" vertical="center" shrinkToFit="1"/>
    </xf>
    <xf numFmtId="0" fontId="0" fillId="0" borderId="19" xfId="0" applyBorder="1" applyAlignment="1">
      <alignment horizontal="center" vertical="center" shrinkToFit="1"/>
    </xf>
    <xf numFmtId="0" fontId="0" fillId="0" borderId="53" xfId="0" applyBorder="1" applyAlignment="1">
      <alignment vertical="center" shrinkToFit="1"/>
    </xf>
    <xf numFmtId="38" fontId="0" fillId="0" borderId="60" xfId="0" applyNumberFormat="1" applyBorder="1" applyAlignment="1">
      <alignment vertical="center"/>
    </xf>
    <xf numFmtId="38" fontId="0" fillId="0" borderId="35" xfId="1" applyFont="1" applyBorder="1" applyAlignment="1">
      <alignment vertical="center"/>
    </xf>
    <xf numFmtId="38" fontId="0" fillId="0" borderId="61" xfId="1" applyFont="1" applyBorder="1" applyAlignment="1">
      <alignment vertical="center"/>
    </xf>
    <xf numFmtId="38" fontId="0" fillId="0" borderId="62" xfId="1" applyFont="1" applyBorder="1" applyAlignment="1">
      <alignment vertical="center"/>
    </xf>
    <xf numFmtId="38" fontId="0" fillId="9" borderId="60" xfId="1" applyFont="1" applyFill="1" applyBorder="1" applyAlignment="1">
      <alignment vertical="center"/>
    </xf>
    <xf numFmtId="38" fontId="0" fillId="9" borderId="61" xfId="1" applyFont="1" applyFill="1" applyBorder="1" applyAlignment="1">
      <alignment vertical="center"/>
    </xf>
    <xf numFmtId="38" fontId="0" fillId="9" borderId="25" xfId="1" applyFont="1" applyFill="1" applyBorder="1" applyAlignment="1">
      <alignment vertical="center"/>
    </xf>
    <xf numFmtId="38" fontId="0" fillId="9" borderId="62" xfId="1" applyFont="1" applyFill="1" applyBorder="1" applyAlignment="1">
      <alignment vertical="center"/>
    </xf>
    <xf numFmtId="0" fontId="0" fillId="0" borderId="60" xfId="0" applyBorder="1" applyAlignment="1">
      <alignment vertical="center" shrinkToFit="1"/>
    </xf>
    <xf numFmtId="0" fontId="0" fillId="0" borderId="61" xfId="0" applyBorder="1" applyAlignment="1">
      <alignment horizontal="center" vertical="center" shrinkToFit="1"/>
    </xf>
    <xf numFmtId="0" fontId="0" fillId="0" borderId="25" xfId="0" applyBorder="1" applyAlignment="1">
      <alignment horizontal="center" vertical="center" shrinkToFit="1"/>
    </xf>
    <xf numFmtId="0" fontId="0" fillId="0" borderId="62" xfId="0" applyBorder="1" applyAlignment="1">
      <alignment vertical="center" shrinkToFit="1"/>
    </xf>
    <xf numFmtId="38" fontId="0" fillId="0" borderId="28" xfId="1" applyFont="1" applyFill="1" applyBorder="1" applyAlignment="1">
      <alignment horizontal="center" vertical="center"/>
    </xf>
    <xf numFmtId="0" fontId="0" fillId="0" borderId="0" xfId="0" applyFill="1" applyAlignment="1">
      <alignment vertical="center"/>
    </xf>
    <xf numFmtId="0" fontId="0" fillId="0" borderId="0" xfId="0" applyFill="1" applyAlignment="1">
      <alignment horizontal="right" vertical="center"/>
    </xf>
    <xf numFmtId="38" fontId="0" fillId="0" borderId="2" xfId="0" applyNumberFormat="1" applyBorder="1" applyAlignment="1">
      <alignment vertical="center"/>
    </xf>
    <xf numFmtId="38" fontId="0" fillId="0" borderId="10" xfId="0" applyNumberFormat="1" applyBorder="1" applyAlignment="1">
      <alignment vertical="center"/>
    </xf>
    <xf numFmtId="38" fontId="0" fillId="0" borderId="54" xfId="1" applyFont="1" applyBorder="1" applyAlignment="1">
      <alignment vertical="center"/>
    </xf>
    <xf numFmtId="38" fontId="0" fillId="9" borderId="16" xfId="1" applyFont="1" applyFill="1" applyBorder="1" applyAlignment="1">
      <alignment vertical="center"/>
    </xf>
    <xf numFmtId="38" fontId="0" fillId="9" borderId="35" xfId="1" applyFont="1" applyFill="1" applyBorder="1" applyAlignment="1">
      <alignment vertical="center"/>
    </xf>
    <xf numFmtId="0" fontId="0" fillId="0" borderId="0" xfId="0" applyFont="1" applyFill="1" applyAlignment="1">
      <alignment horizontal="right" vertical="center"/>
    </xf>
    <xf numFmtId="38" fontId="0" fillId="10" borderId="0" xfId="1" applyFont="1" applyFill="1"/>
    <xf numFmtId="38" fontId="0" fillId="0" borderId="48" xfId="0" applyNumberFormat="1" applyFont="1" applyBorder="1" applyAlignment="1">
      <alignment vertical="center"/>
    </xf>
    <xf numFmtId="38" fontId="0" fillId="0" borderId="46" xfId="0" applyNumberFormat="1" applyFont="1" applyBorder="1" applyAlignment="1">
      <alignment vertical="center"/>
    </xf>
    <xf numFmtId="38" fontId="0" fillId="0" borderId="47" xfId="0" applyNumberFormat="1" applyFont="1" applyBorder="1" applyAlignment="1">
      <alignment vertical="center"/>
    </xf>
    <xf numFmtId="0" fontId="0" fillId="0" borderId="48" xfId="0" applyFont="1" applyBorder="1" applyAlignment="1">
      <alignment horizontal="center" vertical="center" shrinkToFit="1"/>
    </xf>
    <xf numFmtId="0" fontId="0" fillId="0" borderId="49" xfId="0" applyFont="1" applyBorder="1" applyAlignment="1">
      <alignment vertical="center"/>
    </xf>
    <xf numFmtId="0" fontId="0" fillId="0" borderId="46" xfId="0" applyFont="1" applyBorder="1" applyAlignment="1">
      <alignment vertical="center"/>
    </xf>
    <xf numFmtId="0" fontId="0" fillId="0" borderId="47" xfId="0" applyFont="1" applyBorder="1" applyAlignment="1">
      <alignment vertical="center"/>
    </xf>
    <xf numFmtId="38" fontId="0" fillId="0" borderId="51" xfId="0" applyNumberFormat="1" applyFont="1" applyBorder="1" applyAlignment="1">
      <alignment vertical="center"/>
    </xf>
    <xf numFmtId="38" fontId="0" fillId="0" borderId="50" xfId="0" applyNumberFormat="1" applyFont="1" applyBorder="1" applyAlignment="1">
      <alignment vertical="center"/>
    </xf>
    <xf numFmtId="0" fontId="0" fillId="0" borderId="51" xfId="0" applyFont="1" applyBorder="1" applyAlignment="1">
      <alignment horizontal="center" vertical="center" shrinkToFit="1"/>
    </xf>
    <xf numFmtId="0" fontId="0" fillId="0" borderId="52" xfId="0" applyFont="1" applyBorder="1" applyAlignment="1">
      <alignment vertical="center"/>
    </xf>
    <xf numFmtId="0" fontId="0" fillId="0" borderId="13" xfId="0" applyFont="1" applyBorder="1" applyAlignment="1">
      <alignment vertical="center"/>
    </xf>
    <xf numFmtId="0" fontId="0" fillId="0" borderId="50" xfId="0" applyFont="1" applyBorder="1" applyAlignment="1">
      <alignment vertical="center"/>
    </xf>
    <xf numFmtId="38" fontId="0" fillId="0" borderId="54" xfId="0" applyNumberFormat="1" applyFont="1" applyBorder="1" applyAlignment="1">
      <alignment vertical="center"/>
    </xf>
    <xf numFmtId="0" fontId="0" fillId="0" borderId="54" xfId="0" applyFont="1" applyBorder="1" applyAlignment="1">
      <alignment vertical="center" shrinkToFit="1"/>
    </xf>
    <xf numFmtId="0" fontId="0" fillId="0" borderId="55" xfId="0" applyFont="1" applyBorder="1" applyAlignment="1">
      <alignment horizontal="center" vertical="center" shrinkToFit="1"/>
    </xf>
    <xf numFmtId="0" fontId="0" fillId="0" borderId="19" xfId="0" applyFont="1" applyBorder="1" applyAlignment="1">
      <alignment horizontal="center" vertical="center" shrinkToFit="1"/>
    </xf>
    <xf numFmtId="0" fontId="0" fillId="0" borderId="53" xfId="0" applyFont="1" applyBorder="1" applyAlignment="1">
      <alignment vertical="center" shrinkToFit="1"/>
    </xf>
    <xf numFmtId="38" fontId="0" fillId="6" borderId="54" xfId="1" applyFont="1" applyFill="1" applyBorder="1" applyAlignment="1">
      <alignment vertical="center"/>
    </xf>
    <xf numFmtId="38" fontId="0" fillId="7" borderId="54" xfId="1" applyFont="1" applyFill="1" applyBorder="1" applyAlignment="1">
      <alignment vertical="center"/>
    </xf>
    <xf numFmtId="38" fontId="0" fillId="7" borderId="16" xfId="1" applyFont="1" applyFill="1" applyBorder="1" applyAlignment="1">
      <alignment vertical="center"/>
    </xf>
    <xf numFmtId="38" fontId="0" fillId="7" borderId="19" xfId="1" applyFont="1" applyFill="1" applyBorder="1" applyAlignment="1">
      <alignment vertical="center"/>
    </xf>
    <xf numFmtId="38" fontId="0" fillId="7" borderId="53" xfId="1" applyFont="1" applyFill="1" applyBorder="1" applyAlignment="1">
      <alignment vertical="center"/>
    </xf>
    <xf numFmtId="0" fontId="12" fillId="0" borderId="54" xfId="0" applyFont="1" applyBorder="1" applyAlignment="1">
      <alignment horizontal="right" vertical="center"/>
    </xf>
    <xf numFmtId="38" fontId="0" fillId="6" borderId="54" xfId="0" applyNumberFormat="1" applyFont="1" applyFill="1" applyBorder="1" applyAlignment="1">
      <alignment vertical="center"/>
    </xf>
    <xf numFmtId="38" fontId="0" fillId="5" borderId="54" xfId="0" applyNumberFormat="1" applyFont="1" applyFill="1" applyBorder="1" applyAlignment="1">
      <alignment vertical="center"/>
    </xf>
    <xf numFmtId="38" fontId="0" fillId="2" borderId="54" xfId="0" applyNumberFormat="1" applyFont="1" applyFill="1" applyBorder="1" applyAlignment="1">
      <alignment vertical="center"/>
    </xf>
    <xf numFmtId="38" fontId="0" fillId="0" borderId="60" xfId="0" applyNumberFormat="1" applyFont="1" applyBorder="1" applyAlignment="1">
      <alignment vertical="center"/>
    </xf>
    <xf numFmtId="38" fontId="0" fillId="0" borderId="60" xfId="1" applyFont="1" applyBorder="1" applyAlignment="1">
      <alignment vertical="center"/>
    </xf>
    <xf numFmtId="0" fontId="0" fillId="0" borderId="60" xfId="0" applyFont="1" applyBorder="1" applyAlignment="1">
      <alignment vertical="center" shrinkToFit="1"/>
    </xf>
    <xf numFmtId="0" fontId="0" fillId="0" borderId="61" xfId="0" applyFont="1" applyBorder="1" applyAlignment="1">
      <alignment horizontal="center" vertical="center" shrinkToFit="1"/>
    </xf>
    <xf numFmtId="0" fontId="0" fillId="0" borderId="25" xfId="0" applyFont="1" applyBorder="1" applyAlignment="1">
      <alignment horizontal="center" vertical="center" shrinkToFit="1"/>
    </xf>
    <xf numFmtId="0" fontId="0" fillId="0" borderId="62" xfId="0" applyFont="1" applyBorder="1" applyAlignment="1">
      <alignment vertical="center" shrinkToFit="1"/>
    </xf>
    <xf numFmtId="3" fontId="0" fillId="0" borderId="0" xfId="0" applyNumberFormat="1" applyFont="1" applyAlignment="1">
      <alignment vertical="center"/>
    </xf>
    <xf numFmtId="0" fontId="0" fillId="0" borderId="54" xfId="0" applyFont="1" applyBorder="1" applyAlignment="1">
      <alignment vertical="center"/>
    </xf>
    <xf numFmtId="0" fontId="0" fillId="0" borderId="60" xfId="0" applyFont="1" applyBorder="1" applyAlignment="1">
      <alignment vertical="center"/>
    </xf>
    <xf numFmtId="0" fontId="0" fillId="0" borderId="0" xfId="0" applyAlignment="1">
      <alignment vertical="center" shrinkToFit="1"/>
    </xf>
    <xf numFmtId="178" fontId="0" fillId="0" borderId="68" xfId="1" applyNumberFormat="1" applyFont="1" applyBorder="1" applyAlignment="1">
      <alignment vertical="center"/>
    </xf>
    <xf numFmtId="178" fontId="0" fillId="0" borderId="69" xfId="1" applyNumberFormat="1" applyFont="1" applyBorder="1" applyAlignment="1">
      <alignment vertical="center"/>
    </xf>
    <xf numFmtId="38" fontId="0" fillId="0" borderId="69" xfId="1" applyNumberFormat="1" applyFont="1" applyBorder="1" applyAlignment="1">
      <alignment vertical="center"/>
    </xf>
    <xf numFmtId="0" fontId="0" fillId="7" borderId="0" xfId="0" applyFont="1" applyFill="1" applyAlignment="1">
      <alignment vertical="center"/>
    </xf>
    <xf numFmtId="38" fontId="0" fillId="0" borderId="0" xfId="7" applyFont="1" applyAlignment="1"/>
    <xf numFmtId="0" fontId="0" fillId="0" borderId="0" xfId="0" applyAlignment="1">
      <alignment horizontal="center" vertical="center"/>
    </xf>
    <xf numFmtId="0" fontId="13" fillId="7" borderId="0" xfId="0" applyFont="1" applyFill="1" applyAlignment="1">
      <alignment vertical="center"/>
    </xf>
    <xf numFmtId="0" fontId="13" fillId="0" borderId="0" xfId="0" applyFont="1" applyAlignment="1">
      <alignment vertical="center"/>
    </xf>
    <xf numFmtId="38" fontId="0" fillId="0" borderId="60" xfId="0" applyNumberFormat="1" applyFill="1" applyBorder="1" applyAlignment="1">
      <alignment vertical="center"/>
    </xf>
    <xf numFmtId="38" fontId="0" fillId="0" borderId="54" xfId="0" applyNumberFormat="1" applyFill="1" applyBorder="1" applyAlignment="1">
      <alignment vertical="center"/>
    </xf>
    <xf numFmtId="0" fontId="0" fillId="0" borderId="54" xfId="0" applyFont="1" applyBorder="1" applyAlignment="1">
      <alignment horizontal="left" vertical="center"/>
    </xf>
    <xf numFmtId="0" fontId="0" fillId="7" borderId="0" xfId="0" applyFill="1" applyAlignment="1">
      <alignment vertical="center" shrinkToFit="1"/>
    </xf>
    <xf numFmtId="0" fontId="10" fillId="0" borderId="0" xfId="12"/>
    <xf numFmtId="0" fontId="14" fillId="0" borderId="0" xfId="12" applyFont="1" applyAlignment="1">
      <alignment horizontal="right"/>
    </xf>
    <xf numFmtId="0" fontId="10" fillId="0" borderId="0" xfId="12" applyAlignment="1">
      <alignment horizontal="right"/>
    </xf>
    <xf numFmtId="0" fontId="10" fillId="0" borderId="0" xfId="12" applyAlignment="1">
      <alignment horizontal="left"/>
    </xf>
    <xf numFmtId="0" fontId="10" fillId="0" borderId="0" xfId="12" applyAlignment="1">
      <alignment horizontal="centerContinuous"/>
    </xf>
    <xf numFmtId="0" fontId="10" fillId="0" borderId="0" xfId="12" applyAlignment="1">
      <alignment horizontal="center"/>
    </xf>
    <xf numFmtId="38" fontId="10" fillId="0" borderId="0" xfId="1" applyFont="1"/>
    <xf numFmtId="38" fontId="10" fillId="0" borderId="0" xfId="12" applyNumberFormat="1"/>
    <xf numFmtId="0" fontId="2" fillId="0" borderId="0" xfId="9"/>
    <xf numFmtId="179" fontId="10" fillId="0" borderId="0" xfId="12" applyNumberFormat="1"/>
    <xf numFmtId="38" fontId="0" fillId="0" borderId="0" xfId="7" applyFont="1" applyFill="1" applyAlignment="1">
      <alignment vertical="center"/>
    </xf>
    <xf numFmtId="0" fontId="10" fillId="0" borderId="0" xfId="12" applyFill="1" applyAlignment="1">
      <alignment vertical="center"/>
    </xf>
    <xf numFmtId="0" fontId="10" fillId="7" borderId="0" xfId="12" applyFill="1"/>
    <xf numFmtId="0" fontId="10" fillId="0" borderId="0" xfId="12" applyFill="1"/>
    <xf numFmtId="0" fontId="1" fillId="0" borderId="0" xfId="14" applyFill="1" applyAlignment="1">
      <alignment vertical="center"/>
    </xf>
    <xf numFmtId="38" fontId="0" fillId="9" borderId="21" xfId="1" applyFont="1" applyFill="1" applyBorder="1" applyAlignment="1">
      <alignment horizontal="right" vertical="center"/>
    </xf>
    <xf numFmtId="38" fontId="0" fillId="9" borderId="20" xfId="1" applyFont="1" applyFill="1" applyBorder="1" applyAlignment="1">
      <alignment vertical="center"/>
    </xf>
    <xf numFmtId="38" fontId="0" fillId="9" borderId="17" xfId="1" applyFont="1" applyFill="1" applyBorder="1" applyAlignment="1">
      <alignment vertical="center"/>
    </xf>
    <xf numFmtId="38" fontId="0" fillId="9" borderId="21" xfId="1" applyFont="1" applyFill="1" applyBorder="1" applyAlignment="1">
      <alignment vertical="center"/>
    </xf>
    <xf numFmtId="0" fontId="0" fillId="0" borderId="0" xfId="0" applyFill="1" applyAlignment="1">
      <alignment vertical="center" shrinkToFit="1"/>
    </xf>
    <xf numFmtId="38" fontId="0" fillId="0" borderId="0" xfId="7" applyFont="1" applyFill="1" applyAlignment="1"/>
    <xf numFmtId="38" fontId="0" fillId="0" borderId="0" xfId="0" applyNumberFormat="1" applyFill="1"/>
    <xf numFmtId="0" fontId="0" fillId="0" borderId="0" xfId="0" applyFill="1"/>
    <xf numFmtId="0" fontId="1" fillId="0" borderId="0" xfId="14" applyFill="1" applyAlignment="1"/>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76" fontId="0" fillId="0" borderId="29" xfId="2" applyNumberFormat="1" applyFont="1" applyBorder="1" applyAlignment="1">
      <alignment horizontal="center" vertical="center"/>
    </xf>
    <xf numFmtId="180" fontId="0" fillId="11" borderId="0" xfId="7" applyNumberFormat="1" applyFont="1" applyFill="1" applyAlignment="1">
      <alignment horizontal="center"/>
    </xf>
    <xf numFmtId="180" fontId="0" fillId="11" borderId="31" xfId="2" applyNumberFormat="1" applyFont="1" applyFill="1" applyBorder="1" applyAlignment="1">
      <alignment horizontal="center" vertical="center"/>
    </xf>
    <xf numFmtId="180" fontId="0" fillId="11" borderId="0" xfId="2" applyNumberFormat="1" applyFont="1" applyFill="1" applyBorder="1" applyAlignment="1">
      <alignment horizontal="center" vertical="center" shrinkToFit="1"/>
    </xf>
    <xf numFmtId="180" fontId="0" fillId="11" borderId="32" xfId="2" applyNumberFormat="1" applyFont="1" applyFill="1" applyBorder="1" applyAlignment="1">
      <alignment horizontal="center" vertical="center"/>
    </xf>
    <xf numFmtId="180" fontId="0" fillId="11" borderId="31" xfId="2" applyNumberFormat="1" applyFont="1" applyFill="1" applyBorder="1" applyAlignment="1">
      <alignment horizontal="center" vertical="center" shrinkToFit="1"/>
    </xf>
    <xf numFmtId="38" fontId="2" fillId="9" borderId="61" xfId="1" applyFont="1" applyFill="1" applyBorder="1" applyAlignment="1">
      <alignment vertical="center"/>
    </xf>
    <xf numFmtId="38" fontId="2" fillId="9" borderId="55" xfId="1"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horizontal="right" vertical="center"/>
    </xf>
    <xf numFmtId="38" fontId="0" fillId="0" borderId="0" xfId="1" applyFont="1" applyFill="1" applyBorder="1" applyAlignment="1">
      <alignment vertical="center"/>
    </xf>
    <xf numFmtId="38" fontId="2" fillId="9" borderId="25" xfId="1" applyFont="1" applyFill="1" applyBorder="1" applyAlignment="1">
      <alignment vertical="center"/>
    </xf>
    <xf numFmtId="38" fontId="2" fillId="9" borderId="19" xfId="1" applyFont="1" applyFill="1" applyBorder="1" applyAlignment="1">
      <alignment vertical="center"/>
    </xf>
    <xf numFmtId="38" fontId="2" fillId="9" borderId="60" xfId="1" applyFont="1" applyFill="1" applyBorder="1" applyAlignment="1">
      <alignment vertical="center"/>
    </xf>
    <xf numFmtId="38" fontId="2" fillId="9" borderId="54" xfId="1" applyFont="1" applyFill="1" applyBorder="1" applyAlignment="1">
      <alignment vertical="center"/>
    </xf>
    <xf numFmtId="38" fontId="0" fillId="0" borderId="0" xfId="0" applyNumberFormat="1"/>
    <xf numFmtId="49" fontId="0" fillId="0" borderId="0" xfId="7" applyNumberFormat="1" applyFont="1" applyAlignment="1">
      <alignment horizontal="right"/>
    </xf>
    <xf numFmtId="38" fontId="10" fillId="7" borderId="0" xfId="1" applyFont="1" applyFill="1"/>
    <xf numFmtId="38" fontId="0" fillId="12" borderId="54" xfId="1" applyFont="1" applyFill="1" applyBorder="1" applyAlignment="1">
      <alignment vertical="center"/>
    </xf>
    <xf numFmtId="38" fontId="0" fillId="0" borderId="0" xfId="7" applyFont="1" applyFill="1" applyAlignment="1">
      <alignment vertical="center" shrinkToFit="1"/>
    </xf>
    <xf numFmtId="38" fontId="0" fillId="13" borderId="0" xfId="7" applyFont="1" applyFill="1" applyAlignment="1"/>
    <xf numFmtId="38" fontId="0" fillId="0" borderId="0" xfId="7" applyFont="1" applyFill="1" applyBorder="1" applyAlignment="1">
      <alignment horizontal="center" vertical="center" shrinkToFit="1"/>
    </xf>
    <xf numFmtId="38" fontId="0" fillId="0" borderId="0" xfId="7" applyFont="1" applyFill="1" applyAlignment="1">
      <alignment horizontal="center" vertical="center" shrinkToFit="1"/>
    </xf>
    <xf numFmtId="38" fontId="0" fillId="0" borderId="0" xfId="7" applyFont="1" applyFill="1" applyAlignment="1">
      <alignment horizontal="center"/>
    </xf>
    <xf numFmtId="180" fontId="0" fillId="0" borderId="0" xfId="7" applyNumberFormat="1" applyFont="1" applyFill="1" applyAlignment="1">
      <alignment horizontal="center"/>
    </xf>
    <xf numFmtId="0" fontId="0" fillId="7" borderId="0" xfId="0" applyFill="1" applyAlignment="1">
      <alignment horizontal="right" vertical="center" shrinkToFit="1"/>
    </xf>
    <xf numFmtId="38" fontId="0" fillId="7" borderId="0" xfId="7" applyFont="1" applyFill="1" applyAlignment="1"/>
    <xf numFmtId="38" fontId="0" fillId="7" borderId="20" xfId="1" applyFont="1" applyFill="1" applyBorder="1" applyAlignment="1">
      <alignment vertical="center"/>
    </xf>
    <xf numFmtId="38" fontId="0" fillId="7" borderId="17" xfId="1" applyFont="1" applyFill="1" applyBorder="1" applyAlignment="1">
      <alignment vertical="center"/>
    </xf>
    <xf numFmtId="38" fontId="5" fillId="0" borderId="27" xfId="1" applyFont="1" applyBorder="1" applyAlignment="1">
      <alignment horizontal="right" vertical="center"/>
    </xf>
    <xf numFmtId="38" fontId="0" fillId="0" borderId="0" xfId="7" applyFont="1" applyFill="1" applyAlignment="1">
      <alignment horizontal="center" vertical="center" shrinkToFit="1"/>
    </xf>
    <xf numFmtId="0" fontId="0" fillId="0" borderId="0" xfId="0" applyFill="1" applyAlignment="1">
      <alignment horizontal="center" vertical="center" shrinkToFit="1"/>
    </xf>
    <xf numFmtId="0" fontId="0" fillId="0" borderId="45" xfId="0" applyFont="1" applyBorder="1" applyAlignment="1">
      <alignment horizontal="center" vertical="center"/>
    </xf>
    <xf numFmtId="0" fontId="0" fillId="0" borderId="40" xfId="0" applyFont="1" applyBorder="1" applyAlignment="1">
      <alignment horizontal="center" vertical="center"/>
    </xf>
    <xf numFmtId="0" fontId="0" fillId="0" borderId="9" xfId="0" applyFont="1" applyBorder="1" applyAlignment="1">
      <alignment horizontal="center" vertical="center"/>
    </xf>
    <xf numFmtId="0" fontId="0" fillId="0" borderId="44" xfId="0" quotePrefix="1" applyFont="1" applyBorder="1" applyAlignment="1">
      <alignment horizontal="center" vertical="center"/>
    </xf>
    <xf numFmtId="0" fontId="0" fillId="0" borderId="43" xfId="0" applyFont="1" applyBorder="1" applyAlignment="1">
      <alignment horizontal="center" vertical="center"/>
    </xf>
    <xf numFmtId="0" fontId="0" fillId="0" borderId="42" xfId="0" applyFont="1" applyBorder="1" applyAlignment="1">
      <alignment horizontal="center" vertical="center"/>
    </xf>
    <xf numFmtId="0" fontId="0" fillId="0" borderId="39" xfId="0" applyFont="1" applyBorder="1" applyAlignment="1">
      <alignment horizontal="center" vertical="center"/>
    </xf>
    <xf numFmtId="0" fontId="0" fillId="0" borderId="34" xfId="0" applyFont="1" applyBorder="1" applyAlignment="1">
      <alignment horizontal="center" vertical="center"/>
    </xf>
    <xf numFmtId="0" fontId="0" fillId="0" borderId="38"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29" xfId="0" applyFont="1" applyBorder="1" applyAlignment="1">
      <alignment horizontal="center" vertical="center"/>
    </xf>
    <xf numFmtId="0" fontId="0" fillId="0" borderId="40"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60" xfId="0" applyFont="1" applyBorder="1" applyAlignment="1">
      <alignment horizontal="center" vertical="center"/>
    </xf>
    <xf numFmtId="0" fontId="0" fillId="0" borderId="63" xfId="0" applyFont="1" applyBorder="1" applyAlignment="1">
      <alignment horizontal="center" vertical="center"/>
    </xf>
    <xf numFmtId="38" fontId="0" fillId="0" borderId="38" xfId="1" applyFont="1" applyBorder="1" applyAlignment="1">
      <alignment horizontal="center" vertical="center"/>
    </xf>
    <xf numFmtId="38" fontId="0" fillId="0" borderId="36" xfId="1" applyFont="1" applyBorder="1" applyAlignment="1">
      <alignment horizontal="center" vertical="center"/>
    </xf>
    <xf numFmtId="38" fontId="0" fillId="0" borderId="64" xfId="1" applyFont="1" applyBorder="1" applyAlignment="1">
      <alignment horizontal="center" vertical="center"/>
    </xf>
    <xf numFmtId="38" fontId="0" fillId="0" borderId="0" xfId="1" applyFont="1" applyAlignment="1">
      <alignment vertical="top" wrapText="1"/>
    </xf>
    <xf numFmtId="0" fontId="0" fillId="0" borderId="35" xfId="0" applyFont="1" applyBorder="1" applyAlignment="1">
      <alignment horizontal="center" vertical="center"/>
    </xf>
    <xf numFmtId="0" fontId="0" fillId="0" borderId="28" xfId="0" applyFont="1" applyBorder="1" applyAlignment="1">
      <alignment horizontal="center" vertical="center"/>
    </xf>
    <xf numFmtId="38" fontId="0" fillId="0" borderId="41" xfId="1" quotePrefix="1" applyFont="1" applyBorder="1" applyAlignment="1">
      <alignment horizontal="center"/>
    </xf>
    <xf numFmtId="38" fontId="0" fillId="0" borderId="1" xfId="1" quotePrefix="1" applyFont="1" applyBorder="1" applyAlignment="1">
      <alignment horizontal="center"/>
    </xf>
    <xf numFmtId="0" fontId="0" fillId="0" borderId="62" xfId="0" applyFont="1" applyBorder="1" applyAlignment="1">
      <alignment horizontal="center" vertical="center"/>
    </xf>
    <xf numFmtId="0" fontId="0" fillId="0" borderId="33" xfId="0" applyFont="1" applyBorder="1" applyAlignment="1">
      <alignment horizontal="center" vertical="center"/>
    </xf>
    <xf numFmtId="0" fontId="0" fillId="0" borderId="25" xfId="0" applyFont="1" applyBorder="1" applyAlignment="1">
      <alignment horizontal="center" vertical="center"/>
    </xf>
    <xf numFmtId="0" fontId="0" fillId="0" borderId="32" xfId="0" applyFont="1" applyBorder="1" applyAlignment="1">
      <alignment horizontal="center" vertical="center"/>
    </xf>
    <xf numFmtId="0" fontId="0" fillId="0" borderId="61" xfId="0" applyFont="1" applyBorder="1" applyAlignment="1">
      <alignment horizontal="center" vertical="center"/>
    </xf>
    <xf numFmtId="0" fontId="0" fillId="0" borderId="31" xfId="0" applyFont="1" applyBorder="1" applyAlignment="1">
      <alignment horizontal="center" vertical="center"/>
    </xf>
    <xf numFmtId="0" fontId="0" fillId="0" borderId="64" xfId="0" applyFont="1" applyBorder="1" applyAlignment="1">
      <alignment horizontal="center" vertical="center"/>
    </xf>
    <xf numFmtId="0" fontId="0" fillId="0" borderId="62" xfId="0" applyBorder="1" applyAlignment="1">
      <alignment horizontal="center" vertical="center"/>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2" xfId="0" applyBorder="1" applyAlignment="1">
      <alignment horizontal="center" vertical="center"/>
    </xf>
    <xf numFmtId="0" fontId="0" fillId="0" borderId="61" xfId="0" applyBorder="1" applyAlignment="1">
      <alignment horizontal="center" vertical="center"/>
    </xf>
    <xf numFmtId="0" fontId="0" fillId="0" borderId="31" xfId="0" applyBorder="1" applyAlignment="1">
      <alignment horizontal="center" vertical="center"/>
    </xf>
    <xf numFmtId="0" fontId="0" fillId="0" borderId="60" xfId="0" applyBorder="1" applyAlignment="1">
      <alignment horizontal="center" vertical="center"/>
    </xf>
    <xf numFmtId="0" fontId="0" fillId="0" borderId="63" xfId="0" applyBorder="1" applyAlignment="1">
      <alignment horizontal="center" vertical="center"/>
    </xf>
    <xf numFmtId="0" fontId="0" fillId="0" borderId="38" xfId="0" applyBorder="1" applyAlignment="1">
      <alignment horizontal="center" vertical="center"/>
    </xf>
    <xf numFmtId="0" fontId="0" fillId="0" borderId="36" xfId="0" applyBorder="1" applyAlignment="1">
      <alignment horizontal="center" vertical="center"/>
    </xf>
    <xf numFmtId="0" fontId="0" fillId="0" borderId="64" xfId="0" applyBorder="1" applyAlignment="1">
      <alignment horizontal="center" vertical="center"/>
    </xf>
    <xf numFmtId="0" fontId="18" fillId="14" borderId="70" xfId="15"/>
    <xf numFmtId="0" fontId="18" fillId="14" borderId="70" xfId="15" applyFont="1" applyFill="1" applyAlignment="1">
      <alignment vertical="center"/>
    </xf>
    <xf numFmtId="0" fontId="18" fillId="14" borderId="111" xfId="15" applyFont="1" applyFill="1" applyBorder="1" applyAlignment="1">
      <alignment vertical="center"/>
    </xf>
    <xf numFmtId="38" fontId="18" fillId="14" borderId="108" xfId="18" applyFont="1" applyFill="1" applyBorder="1" applyAlignment="1">
      <alignment vertical="center"/>
    </xf>
    <xf numFmtId="0" fontId="18" fillId="14" borderId="108" xfId="15" applyFont="1" applyFill="1" applyBorder="1" applyAlignment="1">
      <alignment horizontal="center" vertical="center"/>
    </xf>
    <xf numFmtId="0" fontId="18" fillId="14" borderId="70" xfId="15" applyFont="1" applyFill="1" applyAlignment="1">
      <alignment horizontal="right" vertical="center"/>
    </xf>
    <xf numFmtId="38" fontId="18" fillId="14" borderId="70" xfId="18" applyFont="1" applyFill="1" applyAlignment="1">
      <alignment vertical="center"/>
    </xf>
    <xf numFmtId="0" fontId="18" fillId="14" borderId="104" xfId="15" applyFont="1" applyFill="1" applyBorder="1" applyAlignment="1">
      <alignment horizontal="center" vertical="center"/>
    </xf>
    <xf numFmtId="176" fontId="18" fillId="14" borderId="85" xfId="16" applyNumberFormat="1" applyFont="1" applyFill="1" applyBorder="1" applyAlignment="1">
      <alignment horizontal="center" vertical="center"/>
    </xf>
    <xf numFmtId="176" fontId="18" fillId="14" borderId="87" xfId="16" applyNumberFormat="1" applyFont="1" applyFill="1" applyBorder="1" applyAlignment="1">
      <alignment horizontal="center" vertical="center"/>
    </xf>
    <xf numFmtId="176" fontId="18" fillId="14" borderId="99" xfId="16" applyNumberFormat="1" applyFont="1" applyFill="1" applyBorder="1" applyAlignment="1">
      <alignment horizontal="center" vertical="center"/>
    </xf>
    <xf numFmtId="176" fontId="18" fillId="14" borderId="82" xfId="16" applyNumberFormat="1" applyFont="1" applyFill="1" applyBorder="1" applyAlignment="1">
      <alignment horizontal="center" vertical="center"/>
    </xf>
    <xf numFmtId="176" fontId="18" fillId="14" borderId="72" xfId="16" applyNumberFormat="1" applyFont="1" applyFill="1" applyBorder="1" applyAlignment="1">
      <alignment horizontal="center" vertical="center"/>
    </xf>
    <xf numFmtId="38" fontId="18" fillId="14" borderId="72" xfId="18" applyFont="1" applyFill="1" applyBorder="1" applyAlignment="1">
      <alignment horizontal="center" vertical="center"/>
    </xf>
    <xf numFmtId="38" fontId="18" fillId="14" borderId="85" xfId="18" applyFont="1" applyFill="1" applyBorder="1" applyAlignment="1">
      <alignment horizontal="center" vertical="center"/>
    </xf>
    <xf numFmtId="38" fontId="18" fillId="14" borderId="87" xfId="18" applyFont="1" applyFill="1" applyBorder="1" applyAlignment="1">
      <alignment horizontal="center" vertical="center"/>
    </xf>
    <xf numFmtId="38" fontId="18" fillId="14" borderId="99" xfId="18" applyFont="1" applyFill="1" applyBorder="1" applyAlignment="1">
      <alignment horizontal="center" vertical="center"/>
    </xf>
    <xf numFmtId="38" fontId="18" fillId="14" borderId="88" xfId="18" applyFont="1" applyFill="1" applyBorder="1" applyAlignment="1">
      <alignment horizontal="center" vertical="center"/>
    </xf>
    <xf numFmtId="177" fontId="18" fillId="14" borderId="70" xfId="18" applyNumberFormat="1" applyFont="1" applyFill="1" applyAlignment="1">
      <alignment vertical="center"/>
    </xf>
    <xf numFmtId="0" fontId="18" fillId="14" borderId="92" xfId="15" applyFont="1" applyFill="1" applyBorder="1" applyAlignment="1">
      <alignment horizontal="center" vertical="center" shrinkToFit="1"/>
    </xf>
    <xf numFmtId="177" fontId="18" fillId="14" borderId="70" xfId="15" applyNumberFormat="1" applyFont="1" applyFill="1" applyAlignment="1">
      <alignment vertical="center"/>
    </xf>
    <xf numFmtId="38" fontId="18" fillId="14" borderId="70" xfId="15" applyNumberFormat="1" applyFont="1" applyFill="1" applyAlignment="1">
      <alignment vertical="center"/>
    </xf>
    <xf numFmtId="0" fontId="30" fillId="14" borderId="70" xfId="15" applyFont="1" applyFill="1" applyAlignment="1">
      <alignment vertical="center"/>
    </xf>
    <xf numFmtId="0" fontId="19" fillId="14" borderId="111" xfId="15" applyFont="1" applyFill="1" applyBorder="1" applyAlignment="1">
      <alignment vertical="center"/>
    </xf>
    <xf numFmtId="0" fontId="18" fillId="14" borderId="70" xfId="15" applyFont="1" applyFill="1" applyAlignment="1">
      <alignment horizontal="center" vertical="center"/>
    </xf>
    <xf numFmtId="0" fontId="18" fillId="14" borderId="73" xfId="15" applyFont="1" applyFill="1" applyBorder="1" applyAlignment="1">
      <alignment vertical="center" shrinkToFit="1"/>
    </xf>
    <xf numFmtId="0" fontId="18" fillId="14" borderId="74" xfId="15" applyFont="1" applyFill="1" applyBorder="1" applyAlignment="1">
      <alignment horizontal="center" vertical="center" shrinkToFit="1"/>
    </xf>
    <xf numFmtId="0" fontId="18" fillId="14" borderId="77" xfId="15" applyFont="1" applyFill="1" applyBorder="1" applyAlignment="1">
      <alignment horizontal="right" vertical="center" shrinkToFit="1"/>
    </xf>
    <xf numFmtId="0" fontId="18" fillId="14" borderId="82" xfId="15" applyFont="1" applyFill="1" applyBorder="1" applyAlignment="1">
      <alignment vertical="center" shrinkToFit="1"/>
    </xf>
    <xf numFmtId="0" fontId="18" fillId="14" borderId="72" xfId="15" applyFont="1" applyFill="1" applyBorder="1" applyAlignment="1">
      <alignment horizontal="center" vertical="center" shrinkToFit="1"/>
    </xf>
    <xf numFmtId="0" fontId="18" fillId="14" borderId="79" xfId="15" applyFont="1" applyFill="1" applyBorder="1" applyAlignment="1">
      <alignment horizontal="right" vertical="center" shrinkToFit="1"/>
    </xf>
    <xf numFmtId="0" fontId="18" fillId="14" borderId="75" xfId="15" applyFont="1" applyFill="1" applyBorder="1" applyAlignment="1">
      <alignment vertical="center" shrinkToFit="1"/>
    </xf>
    <xf numFmtId="0" fontId="18" fillId="14" borderId="71" xfId="15" applyFont="1" applyFill="1" applyBorder="1" applyAlignment="1">
      <alignment horizontal="center" vertical="center" shrinkToFit="1"/>
    </xf>
    <xf numFmtId="0" fontId="18" fillId="14" borderId="121" xfId="15" applyFont="1" applyFill="1" applyBorder="1" applyAlignment="1">
      <alignment horizontal="right" vertical="center" shrinkToFit="1"/>
    </xf>
    <xf numFmtId="0" fontId="18" fillId="14" borderId="124" xfId="15" applyFont="1" applyFill="1" applyBorder="1" applyAlignment="1">
      <alignment horizontal="right" vertical="center" shrinkToFit="1"/>
    </xf>
    <xf numFmtId="0" fontId="18" fillId="14" borderId="78" xfId="15" applyFont="1" applyFill="1" applyBorder="1" applyAlignment="1">
      <alignment horizontal="right" vertical="center" shrinkToFit="1"/>
    </xf>
    <xf numFmtId="0" fontId="18" fillId="14" borderId="112" xfId="15" applyFont="1" applyFill="1" applyBorder="1" applyAlignment="1">
      <alignment vertical="center" shrinkToFit="1"/>
    </xf>
    <xf numFmtId="0" fontId="18" fillId="14" borderId="113" xfId="15" applyFont="1" applyFill="1" applyBorder="1" applyAlignment="1">
      <alignment horizontal="center" vertical="center" shrinkToFit="1"/>
    </xf>
    <xf numFmtId="0" fontId="18" fillId="14" borderId="114" xfId="15" applyFont="1" applyFill="1" applyBorder="1" applyAlignment="1">
      <alignment horizontal="right" vertical="center" shrinkToFit="1"/>
    </xf>
    <xf numFmtId="0" fontId="18" fillId="14" borderId="85" xfId="15" applyFont="1" applyFill="1" applyBorder="1" applyAlignment="1">
      <alignment vertical="center" shrinkToFit="1"/>
    </xf>
    <xf numFmtId="0" fontId="18" fillId="14" borderId="87" xfId="15" applyFont="1" applyFill="1" applyBorder="1" applyAlignment="1">
      <alignment horizontal="center" vertical="center" shrinkToFit="1"/>
    </xf>
    <xf numFmtId="0" fontId="18" fillId="14" borderId="99" xfId="15" applyFont="1" applyFill="1" applyBorder="1" applyAlignment="1">
      <alignment horizontal="right" vertical="center" shrinkToFit="1"/>
    </xf>
    <xf numFmtId="0" fontId="18" fillId="14" borderId="105" xfId="15" applyFont="1" applyFill="1" applyBorder="1" applyAlignment="1">
      <alignment vertical="center" shrinkToFit="1"/>
    </xf>
    <xf numFmtId="0" fontId="18" fillId="14" borderId="106" xfId="15" applyFont="1" applyFill="1" applyBorder="1" applyAlignment="1">
      <alignment horizontal="center" vertical="center" shrinkToFit="1"/>
    </xf>
    <xf numFmtId="0" fontId="18" fillId="14" borderId="107" xfId="15" applyFont="1" applyFill="1" applyBorder="1" applyAlignment="1">
      <alignment horizontal="right" vertical="center" shrinkToFit="1"/>
    </xf>
    <xf numFmtId="0" fontId="18" fillId="14" borderId="125" xfId="15" applyFont="1" applyFill="1" applyBorder="1" applyAlignment="1">
      <alignment vertical="center" shrinkToFit="1"/>
    </xf>
    <xf numFmtId="0" fontId="18" fillId="14" borderId="132" xfId="15" applyFont="1" applyFill="1" applyBorder="1" applyAlignment="1">
      <alignment vertical="center" shrinkToFit="1"/>
    </xf>
    <xf numFmtId="0" fontId="18" fillId="14" borderId="133" xfId="15" applyFont="1" applyFill="1" applyBorder="1" applyAlignment="1">
      <alignment horizontal="center" vertical="center" shrinkToFit="1"/>
    </xf>
    <xf numFmtId="0" fontId="18" fillId="14" borderId="134" xfId="15" applyFont="1" applyFill="1" applyBorder="1" applyAlignment="1">
      <alignment horizontal="right" vertical="center" shrinkToFit="1"/>
    </xf>
    <xf numFmtId="0" fontId="18" fillId="14" borderId="97" xfId="15" applyFont="1" applyFill="1" applyBorder="1" applyAlignment="1">
      <alignment horizontal="center" vertical="center" shrinkToFit="1"/>
    </xf>
    <xf numFmtId="38" fontId="18" fillId="14" borderId="70" xfId="15" applyNumberFormat="1" applyFont="1" applyFill="1" applyAlignment="1">
      <alignment horizontal="right" vertical="center"/>
    </xf>
    <xf numFmtId="0" fontId="18" fillId="14" borderId="117" xfId="15" applyFont="1" applyFill="1" applyBorder="1" applyAlignment="1">
      <alignment horizontal="centerContinuous" vertical="center"/>
    </xf>
    <xf numFmtId="0" fontId="18" fillId="14" borderId="151" xfId="15" applyFont="1" applyFill="1" applyBorder="1" applyAlignment="1">
      <alignment horizontal="centerContinuous" vertical="center"/>
    </xf>
    <xf numFmtId="38" fontId="19" fillId="14" borderId="70" xfId="18" applyFont="1" applyFill="1" applyBorder="1" applyAlignment="1">
      <alignment horizontal="left" vertical="center"/>
    </xf>
    <xf numFmtId="0" fontId="19" fillId="14" borderId="117" xfId="15" applyFont="1" applyFill="1" applyBorder="1" applyAlignment="1">
      <alignment horizontal="centerContinuous" vertical="center"/>
    </xf>
    <xf numFmtId="0" fontId="28" fillId="14" borderId="70" xfId="15" applyFont="1" applyFill="1" applyAlignment="1">
      <alignment vertical="center"/>
    </xf>
    <xf numFmtId="38" fontId="18" fillId="16" borderId="108" xfId="18" applyFont="1" applyFill="1" applyBorder="1" applyAlignment="1">
      <alignment vertical="center"/>
    </xf>
    <xf numFmtId="38" fontId="18" fillId="14" borderId="83" xfId="18" applyFont="1" applyFill="1" applyBorder="1" applyAlignment="1">
      <alignment horizontal="center" vertical="center"/>
    </xf>
    <xf numFmtId="0" fontId="18" fillId="14" borderId="70" xfId="15" applyAlignment="1">
      <alignment horizontal="center" vertical="center"/>
    </xf>
    <xf numFmtId="0" fontId="18" fillId="14" borderId="115" xfId="15" applyFont="1" applyFill="1" applyBorder="1" applyAlignment="1">
      <alignment horizontal="center" vertical="center"/>
    </xf>
    <xf numFmtId="0" fontId="18" fillId="14" borderId="70" xfId="15" applyFont="1" applyFill="1" applyBorder="1" applyAlignment="1">
      <alignment horizontal="center" vertical="center"/>
    </xf>
    <xf numFmtId="0" fontId="18" fillId="14" borderId="70" xfId="15" applyFont="1" applyFill="1" applyBorder="1" applyAlignment="1">
      <alignment vertical="center"/>
    </xf>
    <xf numFmtId="38" fontId="18" fillId="14" borderId="70" xfId="18" applyFont="1" applyFill="1" applyAlignment="1">
      <alignment horizontal="right" vertical="center"/>
    </xf>
    <xf numFmtId="0" fontId="18" fillId="14" borderId="102" xfId="15" applyFont="1" applyFill="1" applyBorder="1" applyAlignment="1">
      <alignment vertical="center" shrinkToFit="1"/>
    </xf>
    <xf numFmtId="0" fontId="18" fillId="14" borderId="103" xfId="15" applyFont="1" applyFill="1" applyBorder="1" applyAlignment="1">
      <alignment horizontal="center" vertical="center" shrinkToFit="1"/>
    </xf>
    <xf numFmtId="0" fontId="18" fillId="14" borderId="152" xfId="15" applyFont="1" applyFill="1" applyBorder="1" applyAlignment="1">
      <alignment horizontal="right" vertical="center" shrinkToFit="1"/>
    </xf>
    <xf numFmtId="0" fontId="18" fillId="14" borderId="70" xfId="15" applyFont="1" applyFill="1" applyBorder="1" applyAlignment="1">
      <alignment horizontal="center" vertical="center"/>
    </xf>
    <xf numFmtId="0" fontId="18" fillId="14" borderId="154" xfId="15" applyFont="1" applyFill="1" applyBorder="1" applyAlignment="1">
      <alignment horizontal="centerContinuous" vertical="center"/>
    </xf>
    <xf numFmtId="0" fontId="19" fillId="14" borderId="154" xfId="15" applyFont="1" applyFill="1" applyBorder="1" applyAlignment="1">
      <alignment horizontal="centerContinuous" vertical="center"/>
    </xf>
    <xf numFmtId="180" fontId="18" fillId="21" borderId="79" xfId="16" applyNumberFormat="1" applyFont="1" applyFill="1" applyBorder="1" applyAlignment="1">
      <alignment horizontal="center" vertical="center" shrinkToFit="1"/>
    </xf>
    <xf numFmtId="180" fontId="18" fillId="21" borderId="70" xfId="16" applyNumberFormat="1" applyFont="1" applyFill="1" applyBorder="1" applyAlignment="1">
      <alignment horizontal="center" vertical="center" shrinkToFit="1"/>
    </xf>
    <xf numFmtId="38" fontId="24" fillId="14" borderId="80" xfId="18" applyFont="1" applyFill="1" applyBorder="1" applyAlignment="1">
      <alignment shrinkToFit="1"/>
    </xf>
    <xf numFmtId="38" fontId="18" fillId="14" borderId="80" xfId="18" applyFont="1" applyFill="1" applyBorder="1" applyAlignment="1">
      <alignment vertical="center" shrinkToFit="1"/>
    </xf>
    <xf numFmtId="38" fontId="18" fillId="14" borderId="73" xfId="18" applyFont="1" applyFill="1" applyBorder="1" applyAlignment="1">
      <alignment vertical="center" shrinkToFit="1"/>
    </xf>
    <xf numFmtId="38" fontId="18" fillId="14" borderId="74" xfId="18" applyFont="1" applyFill="1" applyBorder="1" applyAlignment="1">
      <alignment vertical="center" shrinkToFit="1"/>
    </xf>
    <xf numFmtId="38" fontId="18" fillId="14" borderId="77" xfId="18" applyFont="1" applyFill="1" applyBorder="1" applyAlignment="1">
      <alignment vertical="center" shrinkToFit="1"/>
    </xf>
    <xf numFmtId="38" fontId="18" fillId="14" borderId="84" xfId="18" applyFont="1" applyFill="1" applyBorder="1" applyAlignment="1">
      <alignment vertical="center" shrinkToFit="1"/>
    </xf>
    <xf numFmtId="38" fontId="18" fillId="14" borderId="102" xfId="18" applyFont="1" applyFill="1" applyBorder="1" applyAlignment="1">
      <alignment vertical="center" shrinkToFit="1"/>
    </xf>
    <xf numFmtId="38" fontId="18" fillId="14" borderId="103" xfId="18" applyFont="1" applyFill="1" applyBorder="1" applyAlignment="1">
      <alignment vertical="center" shrinkToFit="1"/>
    </xf>
    <xf numFmtId="38" fontId="18" fillId="14" borderId="104" xfId="18" applyFont="1" applyFill="1" applyBorder="1" applyAlignment="1">
      <alignment vertical="center" shrinkToFit="1"/>
    </xf>
    <xf numFmtId="38" fontId="18" fillId="14" borderId="127" xfId="15" applyNumberFormat="1" applyFont="1" applyFill="1" applyBorder="1" applyAlignment="1">
      <alignment vertical="center" shrinkToFit="1"/>
    </xf>
    <xf numFmtId="38" fontId="18" fillId="14" borderId="74" xfId="15" applyNumberFormat="1" applyFont="1" applyFill="1" applyBorder="1" applyAlignment="1">
      <alignment vertical="center" shrinkToFit="1"/>
    </xf>
    <xf numFmtId="38" fontId="18" fillId="14" borderId="139" xfId="18" applyFont="1" applyFill="1" applyBorder="1" applyAlignment="1">
      <alignment vertical="center" shrinkToFit="1"/>
    </xf>
    <xf numFmtId="38" fontId="18" fillId="14" borderId="80" xfId="15" applyNumberFormat="1" applyFont="1" applyFill="1" applyBorder="1" applyAlignment="1">
      <alignment vertical="center" shrinkToFit="1"/>
    </xf>
    <xf numFmtId="40" fontId="18" fillId="14" borderId="70" xfId="18" applyNumberFormat="1" applyFont="1" applyAlignment="1">
      <alignment vertical="center" shrinkToFit="1"/>
    </xf>
    <xf numFmtId="38" fontId="18" fillId="14" borderId="70" xfId="18" applyNumberFormat="1" applyFont="1" applyAlignment="1">
      <alignment vertical="center" shrinkToFit="1"/>
    </xf>
    <xf numFmtId="0" fontId="18" fillId="14" borderId="70" xfId="15" applyAlignment="1">
      <alignment vertical="center" shrinkToFit="1"/>
    </xf>
    <xf numFmtId="0" fontId="18" fillId="14" borderId="70" xfId="15" applyFont="1" applyFill="1" applyAlignment="1">
      <alignment vertical="center" shrinkToFit="1"/>
    </xf>
    <xf numFmtId="38" fontId="24" fillId="14" borderId="122" xfId="18" applyFont="1" applyFill="1" applyBorder="1" applyAlignment="1">
      <alignment shrinkToFit="1"/>
    </xf>
    <xf numFmtId="38" fontId="18" fillId="19" borderId="122" xfId="18" applyFont="1" applyFill="1" applyBorder="1" applyAlignment="1">
      <alignment vertical="center" shrinkToFit="1"/>
    </xf>
    <xf numFmtId="38" fontId="18" fillId="19" borderId="82" xfId="18" applyFont="1" applyFill="1" applyBorder="1" applyAlignment="1">
      <alignment vertical="center" shrinkToFit="1"/>
    </xf>
    <xf numFmtId="38" fontId="18" fillId="19" borderId="72" xfId="18" applyFont="1" applyFill="1" applyBorder="1" applyAlignment="1">
      <alignment vertical="center" shrinkToFit="1"/>
    </xf>
    <xf numFmtId="38" fontId="18" fillId="19" borderId="79" xfId="18" applyFont="1" applyFill="1" applyBorder="1" applyAlignment="1">
      <alignment vertical="center" shrinkToFit="1"/>
    </xf>
    <xf numFmtId="38" fontId="18" fillId="14" borderId="83" xfId="18" applyFont="1" applyFill="1" applyBorder="1" applyAlignment="1">
      <alignment vertical="center" shrinkToFit="1"/>
    </xf>
    <xf numFmtId="38" fontId="18" fillId="22" borderId="122" xfId="18" applyFont="1" applyFill="1" applyBorder="1" applyAlignment="1">
      <alignment vertical="center" shrinkToFit="1"/>
    </xf>
    <xf numFmtId="38" fontId="18" fillId="14" borderId="82" xfId="18" applyFont="1" applyFill="1" applyBorder="1" applyAlignment="1">
      <alignment vertical="center" shrinkToFit="1"/>
    </xf>
    <xf numFmtId="38" fontId="18" fillId="14" borderId="72" xfId="18" applyFont="1" applyFill="1" applyBorder="1" applyAlignment="1">
      <alignment vertical="center" shrinkToFit="1"/>
    </xf>
    <xf numFmtId="38" fontId="18" fillId="19" borderId="83" xfId="18" applyFont="1" applyFill="1" applyBorder="1" applyAlignment="1">
      <alignment vertical="center" shrinkToFit="1"/>
    </xf>
    <xf numFmtId="38" fontId="18" fillId="14" borderId="79" xfId="18" applyFont="1" applyFill="1" applyBorder="1" applyAlignment="1">
      <alignment vertical="center" shrinkToFit="1"/>
    </xf>
    <xf numFmtId="38" fontId="18" fillId="14" borderId="126" xfId="15" applyNumberFormat="1" applyFont="1" applyFill="1" applyBorder="1" applyAlignment="1">
      <alignment vertical="center" shrinkToFit="1"/>
    </xf>
    <xf numFmtId="38" fontId="18" fillId="14" borderId="72" xfId="15" applyNumberFormat="1" applyFont="1" applyFill="1" applyBorder="1" applyAlignment="1">
      <alignment vertical="center" shrinkToFit="1"/>
    </xf>
    <xf numFmtId="38" fontId="18" fillId="14" borderId="140" xfId="18" applyFont="1" applyFill="1" applyBorder="1" applyAlignment="1">
      <alignment vertical="center" shrinkToFit="1"/>
    </xf>
    <xf numFmtId="38" fontId="18" fillId="14" borderId="122" xfId="15" applyNumberFormat="1" applyFont="1" applyFill="1" applyBorder="1" applyAlignment="1">
      <alignment vertical="center" shrinkToFit="1"/>
    </xf>
    <xf numFmtId="40" fontId="18" fillId="14" borderId="70" xfId="18" applyNumberFormat="1" applyFont="1" applyFill="1" applyAlignment="1">
      <alignment vertical="center" shrinkToFit="1"/>
    </xf>
    <xf numFmtId="38" fontId="24" fillId="14" borderId="81" xfId="18" applyFont="1" applyFill="1" applyBorder="1" applyAlignment="1">
      <alignment shrinkToFit="1"/>
    </xf>
    <xf numFmtId="38" fontId="18" fillId="14" borderId="81" xfId="18" applyFont="1" applyFill="1" applyBorder="1" applyAlignment="1">
      <alignment vertical="center" shrinkToFit="1"/>
    </xf>
    <xf numFmtId="38" fontId="18" fillId="14" borderId="75" xfId="18" applyFont="1" applyFill="1" applyBorder="1" applyAlignment="1">
      <alignment vertical="center" shrinkToFit="1"/>
    </xf>
    <xf numFmtId="38" fontId="18" fillId="14" borderId="71" xfId="18" applyFont="1" applyFill="1" applyBorder="1" applyAlignment="1">
      <alignment vertical="center" shrinkToFit="1"/>
    </xf>
    <xf numFmtId="38" fontId="18" fillId="14" borderId="78" xfId="18" applyFont="1" applyFill="1" applyBorder="1" applyAlignment="1">
      <alignment vertical="center" shrinkToFit="1"/>
    </xf>
    <xf numFmtId="38" fontId="18" fillId="14" borderId="76" xfId="18" applyFont="1" applyFill="1" applyBorder="1" applyAlignment="1">
      <alignment vertical="center" shrinkToFit="1"/>
    </xf>
    <xf numFmtId="38" fontId="18" fillId="14" borderId="116" xfId="15" applyNumberFormat="1" applyFont="1" applyFill="1" applyBorder="1" applyAlignment="1">
      <alignment vertical="center" shrinkToFit="1"/>
    </xf>
    <xf numFmtId="38" fontId="18" fillId="14" borderId="71" xfId="15" applyNumberFormat="1" applyFont="1" applyFill="1" applyBorder="1" applyAlignment="1">
      <alignment vertical="center" shrinkToFit="1"/>
    </xf>
    <xf numFmtId="38" fontId="18" fillId="14" borderId="141" xfId="18" applyFont="1" applyFill="1" applyBorder="1" applyAlignment="1">
      <alignment vertical="center" shrinkToFit="1"/>
    </xf>
    <xf numFmtId="38" fontId="18" fillId="14" borderId="81" xfId="15" applyNumberFormat="1" applyFont="1" applyFill="1" applyBorder="1" applyAlignment="1">
      <alignment vertical="center" shrinkToFit="1"/>
    </xf>
    <xf numFmtId="38" fontId="18" fillId="17" borderId="81" xfId="18" applyFont="1" applyFill="1" applyBorder="1" applyAlignment="1">
      <alignment vertical="center" shrinkToFit="1"/>
    </xf>
    <xf numFmtId="38" fontId="18" fillId="18" borderId="71" xfId="18" applyFont="1" applyFill="1" applyBorder="1" applyAlignment="1">
      <alignment vertical="center" shrinkToFit="1"/>
    </xf>
    <xf numFmtId="38" fontId="18" fillId="14" borderId="75" xfId="15" applyNumberFormat="1" applyFont="1" applyFill="1" applyBorder="1" applyAlignment="1">
      <alignment vertical="center" shrinkToFit="1"/>
    </xf>
    <xf numFmtId="38" fontId="18" fillId="17" borderId="122" xfId="18" applyFont="1" applyFill="1" applyBorder="1" applyAlignment="1">
      <alignment vertical="center" shrinkToFit="1"/>
    </xf>
    <xf numFmtId="38" fontId="18" fillId="14" borderId="122" xfId="18" applyFont="1" applyFill="1" applyBorder="1" applyAlignment="1">
      <alignment vertical="center" shrinkToFit="1"/>
    </xf>
    <xf numFmtId="38" fontId="18" fillId="18" borderId="72" xfId="18" applyFont="1" applyFill="1" applyBorder="1" applyAlignment="1">
      <alignment vertical="center" shrinkToFit="1"/>
    </xf>
    <xf numFmtId="38" fontId="18" fillId="19" borderId="81" xfId="18" applyFont="1" applyFill="1" applyBorder="1" applyAlignment="1">
      <alignment vertical="center" shrinkToFit="1"/>
    </xf>
    <xf numFmtId="38" fontId="18" fillId="19" borderId="75" xfId="18" applyFont="1" applyFill="1" applyBorder="1" applyAlignment="1">
      <alignment vertical="center" shrinkToFit="1"/>
    </xf>
    <xf numFmtId="38" fontId="18" fillId="19" borderId="71" xfId="18" applyFont="1" applyFill="1" applyBorder="1" applyAlignment="1">
      <alignment vertical="center" shrinkToFit="1"/>
    </xf>
    <xf numFmtId="38" fontId="18" fillId="19" borderId="78" xfId="18" applyFont="1" applyFill="1" applyBorder="1" applyAlignment="1">
      <alignment vertical="center" shrinkToFit="1"/>
    </xf>
    <xf numFmtId="38" fontId="18" fillId="19" borderId="76" xfId="18" applyFont="1" applyFill="1" applyBorder="1" applyAlignment="1">
      <alignment vertical="center" shrinkToFit="1"/>
    </xf>
    <xf numFmtId="38" fontId="32" fillId="14" borderId="110" xfId="18" applyFont="1" applyFill="1" applyBorder="1" applyAlignment="1">
      <alignment shrinkToFit="1"/>
    </xf>
    <xf numFmtId="38" fontId="20" fillId="14" borderId="110" xfId="18" applyFont="1" applyFill="1" applyBorder="1" applyAlignment="1">
      <alignment vertical="center" shrinkToFit="1"/>
    </xf>
    <xf numFmtId="38" fontId="20" fillId="14" borderId="112" xfId="18" applyFont="1" applyFill="1" applyBorder="1" applyAlignment="1">
      <alignment vertical="center" shrinkToFit="1"/>
    </xf>
    <xf numFmtId="38" fontId="20" fillId="14" borderId="113" xfId="18" applyFont="1" applyFill="1" applyBorder="1" applyAlignment="1">
      <alignment vertical="center" shrinkToFit="1"/>
    </xf>
    <xf numFmtId="38" fontId="20" fillId="14" borderId="114" xfId="18" applyFont="1" applyFill="1" applyBorder="1" applyAlignment="1">
      <alignment vertical="center" shrinkToFit="1"/>
    </xf>
    <xf numFmtId="38" fontId="20" fillId="14" borderId="123" xfId="18" applyFont="1" applyFill="1" applyBorder="1" applyAlignment="1">
      <alignment vertical="center" shrinkToFit="1"/>
    </xf>
    <xf numFmtId="38" fontId="18" fillId="14" borderId="115" xfId="15" applyNumberFormat="1" applyFont="1" applyFill="1" applyBorder="1" applyAlignment="1">
      <alignment vertical="center" shrinkToFit="1"/>
    </xf>
    <xf numFmtId="38" fontId="18" fillId="14" borderId="113" xfId="15" applyNumberFormat="1" applyFont="1" applyFill="1" applyBorder="1" applyAlignment="1">
      <alignment vertical="center" shrinkToFit="1"/>
    </xf>
    <xf numFmtId="38" fontId="20" fillId="14" borderId="142" xfId="18" applyFont="1" applyFill="1" applyBorder="1" applyAlignment="1">
      <alignment vertical="center" shrinkToFit="1"/>
    </xf>
    <xf numFmtId="38" fontId="18" fillId="14" borderId="110" xfId="15" applyNumberFormat="1" applyFont="1" applyFill="1" applyBorder="1" applyAlignment="1">
      <alignment vertical="center" shrinkToFit="1"/>
    </xf>
    <xf numFmtId="40" fontId="20" fillId="14" borderId="70" xfId="18" applyNumberFormat="1" applyFont="1" applyFill="1" applyAlignment="1">
      <alignment vertical="center" shrinkToFit="1"/>
    </xf>
    <xf numFmtId="38" fontId="18" fillId="14" borderId="143" xfId="18" applyFont="1" applyFill="1" applyBorder="1" applyAlignment="1">
      <alignment vertical="center" shrinkToFit="1"/>
    </xf>
    <xf numFmtId="38" fontId="24" fillId="14" borderId="81" xfId="18" quotePrefix="1" applyFont="1" applyFill="1" applyBorder="1" applyAlignment="1">
      <alignment horizontal="left" shrinkToFit="1"/>
    </xf>
    <xf numFmtId="38" fontId="24" fillId="14" borderId="86" xfId="18" applyFont="1" applyFill="1" applyBorder="1" applyAlignment="1">
      <alignment shrinkToFit="1"/>
    </xf>
    <xf numFmtId="38" fontId="18" fillId="14" borderId="86" xfId="18" applyFont="1" applyFill="1" applyBorder="1" applyAlignment="1">
      <alignment vertical="center" shrinkToFit="1"/>
    </xf>
    <xf numFmtId="38" fontId="18" fillId="14" borderId="85" xfId="18" applyFont="1" applyFill="1" applyBorder="1" applyAlignment="1">
      <alignment vertical="center" shrinkToFit="1"/>
    </xf>
    <xf numFmtId="38" fontId="18" fillId="14" borderId="87" xfId="18" applyFont="1" applyFill="1" applyBorder="1" applyAlignment="1">
      <alignment vertical="center" shrinkToFit="1"/>
    </xf>
    <xf numFmtId="38" fontId="18" fillId="14" borderId="99" xfId="18" applyFont="1" applyFill="1" applyBorder="1" applyAlignment="1">
      <alignment vertical="center" shrinkToFit="1"/>
    </xf>
    <xf numFmtId="38" fontId="18" fillId="14" borderId="88" xfId="18" applyFont="1" applyFill="1" applyBorder="1" applyAlignment="1">
      <alignment vertical="center" shrinkToFit="1"/>
    </xf>
    <xf numFmtId="38" fontId="18" fillId="14" borderId="128" xfId="15" applyNumberFormat="1" applyFont="1" applyFill="1" applyBorder="1" applyAlignment="1">
      <alignment vertical="center" shrinkToFit="1"/>
    </xf>
    <xf numFmtId="38" fontId="18" fillId="14" borderId="87" xfId="15" applyNumberFormat="1" applyFont="1" applyFill="1" applyBorder="1" applyAlignment="1">
      <alignment vertical="center" shrinkToFit="1"/>
    </xf>
    <xf numFmtId="38" fontId="18" fillId="14" borderId="144" xfId="18" applyFont="1" applyFill="1" applyBorder="1" applyAlignment="1">
      <alignment vertical="center" shrinkToFit="1"/>
    </xf>
    <xf numFmtId="38" fontId="18" fillId="14" borderId="86" xfId="15" applyNumberFormat="1" applyFont="1" applyFill="1" applyBorder="1" applyAlignment="1">
      <alignment vertical="center" shrinkToFit="1"/>
    </xf>
    <xf numFmtId="38" fontId="18" fillId="14" borderId="70" xfId="18" applyNumberFormat="1" applyFont="1" applyFill="1" applyAlignment="1">
      <alignment vertical="center" shrinkToFit="1"/>
    </xf>
    <xf numFmtId="0" fontId="18" fillId="14" borderId="70" xfId="15" applyFill="1" applyAlignment="1">
      <alignment vertical="center" shrinkToFit="1"/>
    </xf>
    <xf numFmtId="38" fontId="24" fillId="14" borderId="153" xfId="18" applyFont="1" applyFill="1" applyBorder="1" applyAlignment="1">
      <alignment shrinkToFit="1"/>
    </xf>
    <xf numFmtId="38" fontId="18" fillId="14" borderId="153" xfId="18" applyFont="1" applyFill="1" applyBorder="1" applyAlignment="1">
      <alignment vertical="center" shrinkToFit="1"/>
    </xf>
    <xf numFmtId="38" fontId="18" fillId="14" borderId="152" xfId="18" applyFont="1" applyFill="1" applyBorder="1" applyAlignment="1">
      <alignment vertical="center" shrinkToFit="1"/>
    </xf>
    <xf numFmtId="38" fontId="18" fillId="14" borderId="118" xfId="15" applyNumberFormat="1" applyFont="1" applyFill="1" applyBorder="1" applyAlignment="1">
      <alignment vertical="center" shrinkToFit="1"/>
    </xf>
    <xf numFmtId="38" fontId="18" fillId="14" borderId="103" xfId="15" applyNumberFormat="1" applyFont="1" applyFill="1" applyBorder="1" applyAlignment="1">
      <alignment vertical="center" shrinkToFit="1"/>
    </xf>
    <xf numFmtId="38" fontId="18" fillId="14" borderId="153" xfId="15" applyNumberFormat="1" applyFont="1" applyFill="1" applyBorder="1" applyAlignment="1">
      <alignment vertical="center" shrinkToFit="1"/>
    </xf>
    <xf numFmtId="38" fontId="18" fillId="14" borderId="90" xfId="18" applyFont="1" applyFill="1" applyBorder="1" applyAlignment="1">
      <alignment vertical="center" shrinkToFit="1"/>
    </xf>
    <xf numFmtId="38" fontId="18" fillId="18" borderId="90" xfId="18" applyFont="1" applyFill="1" applyBorder="1" applyAlignment="1">
      <alignment shrinkToFit="1"/>
    </xf>
    <xf numFmtId="38" fontId="18" fillId="14" borderId="148" xfId="18" applyFont="1" applyFill="1" applyBorder="1" applyAlignment="1">
      <alignment vertical="center" shrinkToFit="1"/>
    </xf>
    <xf numFmtId="38" fontId="18" fillId="16" borderId="76" xfId="18" applyFont="1" applyFill="1" applyBorder="1" applyAlignment="1">
      <alignment vertical="center" shrinkToFit="1"/>
    </xf>
    <xf numFmtId="38" fontId="18" fillId="19" borderId="80" xfId="18" applyFont="1" applyFill="1" applyBorder="1" applyAlignment="1">
      <alignment vertical="center" shrinkToFit="1"/>
    </xf>
    <xf numFmtId="38" fontId="18" fillId="19" borderId="73" xfId="18" applyFont="1" applyFill="1" applyBorder="1" applyAlignment="1">
      <alignment vertical="center" shrinkToFit="1"/>
    </xf>
    <xf numFmtId="38" fontId="18" fillId="19" borderId="74" xfId="18" applyFont="1" applyFill="1" applyBorder="1" applyAlignment="1">
      <alignment vertical="center" shrinkToFit="1"/>
    </xf>
    <xf numFmtId="38" fontId="18" fillId="19" borderId="77" xfId="18" applyFont="1" applyFill="1" applyBorder="1" applyAlignment="1">
      <alignment vertical="center" shrinkToFit="1"/>
    </xf>
    <xf numFmtId="38" fontId="18" fillId="19" borderId="84" xfId="18" applyFont="1" applyFill="1" applyBorder="1" applyAlignment="1">
      <alignment vertical="center" shrinkToFit="1"/>
    </xf>
    <xf numFmtId="38" fontId="18" fillId="19" borderId="86" xfId="18" applyFont="1" applyFill="1" applyBorder="1" applyAlignment="1">
      <alignment vertical="center" shrinkToFit="1"/>
    </xf>
    <xf numFmtId="38" fontId="18" fillId="19" borderId="85" xfId="18" applyFont="1" applyFill="1" applyBorder="1" applyAlignment="1">
      <alignment vertical="center" shrinkToFit="1"/>
    </xf>
    <xf numFmtId="38" fontId="18" fillId="19" borderId="87" xfId="18" applyFont="1" applyFill="1" applyBorder="1" applyAlignment="1">
      <alignment vertical="center" shrinkToFit="1"/>
    </xf>
    <xf numFmtId="38" fontId="18" fillId="19" borderId="99" xfId="18" applyFont="1" applyFill="1" applyBorder="1" applyAlignment="1">
      <alignment vertical="center" shrinkToFit="1"/>
    </xf>
    <xf numFmtId="38" fontId="18" fillId="18" borderId="87" xfId="18" applyFont="1" applyFill="1" applyBorder="1" applyAlignment="1">
      <alignment vertical="center" shrinkToFit="1"/>
    </xf>
    <xf numFmtId="38" fontId="18" fillId="19" borderId="88" xfId="18" applyFont="1" applyFill="1" applyBorder="1" applyAlignment="1">
      <alignment vertical="center" shrinkToFit="1"/>
    </xf>
    <xf numFmtId="38" fontId="18" fillId="20" borderId="87" xfId="15" applyNumberFormat="1" applyFont="1" applyFill="1" applyBorder="1" applyAlignment="1">
      <alignment vertical="center" shrinkToFit="1"/>
    </xf>
    <xf numFmtId="38" fontId="18" fillId="17" borderId="122" xfId="15" applyNumberFormat="1" applyFont="1" applyFill="1" applyBorder="1" applyAlignment="1">
      <alignment vertical="center" shrinkToFit="1"/>
    </xf>
    <xf numFmtId="38" fontId="32" fillId="14" borderId="108" xfId="18" applyFont="1" applyFill="1" applyBorder="1" applyAlignment="1">
      <alignment shrinkToFit="1"/>
    </xf>
    <xf numFmtId="38" fontId="18" fillId="14" borderId="108" xfId="18" applyFont="1" applyFill="1" applyBorder="1" applyAlignment="1">
      <alignment vertical="center" shrinkToFit="1"/>
    </xf>
    <xf numFmtId="38" fontId="18" fillId="14" borderId="105" xfId="18" applyFont="1" applyFill="1" applyBorder="1" applyAlignment="1">
      <alignment vertical="center" shrinkToFit="1"/>
    </xf>
    <xf numFmtId="38" fontId="18" fillId="14" borderId="106" xfId="18" applyFont="1" applyFill="1" applyBorder="1" applyAlignment="1">
      <alignment vertical="center" shrinkToFit="1"/>
    </xf>
    <xf numFmtId="38" fontId="18" fillId="14" borderId="107" xfId="18" applyFont="1" applyFill="1" applyBorder="1" applyAlignment="1">
      <alignment vertical="center" shrinkToFit="1"/>
    </xf>
    <xf numFmtId="38" fontId="18" fillId="14" borderId="109" xfId="18" applyFont="1" applyFill="1" applyBorder="1" applyAlignment="1">
      <alignment vertical="center" shrinkToFit="1"/>
    </xf>
    <xf numFmtId="38" fontId="18" fillId="14" borderId="117" xfId="15" applyNumberFormat="1" applyFont="1" applyFill="1" applyBorder="1" applyAlignment="1">
      <alignment vertical="center" shrinkToFit="1"/>
    </xf>
    <xf numFmtId="38" fontId="18" fillId="14" borderId="106" xfId="15" applyNumberFormat="1" applyFont="1" applyFill="1" applyBorder="1" applyAlignment="1">
      <alignment vertical="center" shrinkToFit="1"/>
    </xf>
    <xf numFmtId="38" fontId="18" fillId="14" borderId="145" xfId="18" applyFont="1" applyFill="1" applyBorder="1" applyAlignment="1">
      <alignment vertical="center" shrinkToFit="1"/>
    </xf>
    <xf numFmtId="38" fontId="18" fillId="14" borderId="108" xfId="15" applyNumberFormat="1" applyFont="1" applyFill="1" applyBorder="1" applyAlignment="1">
      <alignment vertical="center" shrinkToFit="1"/>
    </xf>
    <xf numFmtId="38" fontId="18" fillId="20" borderId="71" xfId="15" applyNumberFormat="1" applyFont="1" applyFill="1" applyBorder="1" applyAlignment="1">
      <alignment vertical="center" shrinkToFit="1"/>
    </xf>
    <xf numFmtId="38" fontId="32" fillId="14" borderId="135" xfId="18" applyFont="1" applyFill="1" applyBorder="1" applyAlignment="1">
      <alignment shrinkToFit="1"/>
    </xf>
    <xf numFmtId="38" fontId="18" fillId="14" borderId="135" xfId="18" applyFont="1" applyFill="1" applyBorder="1" applyAlignment="1">
      <alignment vertical="center" shrinkToFit="1"/>
    </xf>
    <xf numFmtId="38" fontId="18" fillId="14" borderId="132" xfId="18" applyFont="1" applyFill="1" applyBorder="1" applyAlignment="1">
      <alignment vertical="center" shrinkToFit="1"/>
    </xf>
    <xf numFmtId="38" fontId="18" fillId="14" borderId="133" xfId="18" applyFont="1" applyFill="1" applyBorder="1" applyAlignment="1">
      <alignment vertical="center" shrinkToFit="1"/>
    </xf>
    <xf numFmtId="38" fontId="18" fillId="14" borderId="134" xfId="18" applyFont="1" applyFill="1" applyBorder="1" applyAlignment="1">
      <alignment vertical="center" shrinkToFit="1"/>
    </xf>
    <xf numFmtId="38" fontId="18" fillId="14" borderId="136" xfId="18" applyFont="1" applyFill="1" applyBorder="1" applyAlignment="1">
      <alignment vertical="center" shrinkToFit="1"/>
    </xf>
    <xf numFmtId="38" fontId="18" fillId="14" borderId="137" xfId="15" applyNumberFormat="1" applyFont="1" applyFill="1" applyBorder="1" applyAlignment="1">
      <alignment vertical="center" shrinkToFit="1"/>
    </xf>
    <xf numFmtId="38" fontId="18" fillId="14" borderId="133" xfId="15" applyNumberFormat="1" applyFont="1" applyFill="1" applyBorder="1" applyAlignment="1">
      <alignment vertical="center" shrinkToFit="1"/>
    </xf>
    <xf numFmtId="38" fontId="18" fillId="14" borderId="146" xfId="18" applyFont="1" applyFill="1" applyBorder="1" applyAlignment="1">
      <alignment vertical="center" shrinkToFit="1"/>
    </xf>
    <xf numFmtId="38" fontId="18" fillId="14" borderId="135" xfId="15" applyNumberFormat="1" applyFont="1" applyFill="1" applyBorder="1" applyAlignment="1">
      <alignment vertical="center" shrinkToFit="1"/>
    </xf>
    <xf numFmtId="0" fontId="18" fillId="14" borderId="94" xfId="15" applyFont="1" applyFill="1" applyBorder="1" applyAlignment="1">
      <alignment vertical="center" shrinkToFit="1"/>
    </xf>
    <xf numFmtId="0" fontId="18" fillId="14" borderId="95" xfId="15" applyFont="1" applyFill="1" applyBorder="1" applyAlignment="1">
      <alignment vertical="center" shrinkToFit="1"/>
    </xf>
    <xf numFmtId="0" fontId="18" fillId="14" borderId="96" xfId="15" applyFont="1" applyFill="1" applyBorder="1" applyAlignment="1">
      <alignment horizontal="right" vertical="center" shrinkToFit="1"/>
    </xf>
    <xf numFmtId="38" fontId="18" fillId="14" borderId="97" xfId="15" applyNumberFormat="1" applyFont="1" applyFill="1" applyBorder="1" applyAlignment="1">
      <alignment vertical="center" shrinkToFit="1"/>
    </xf>
    <xf numFmtId="38" fontId="18" fillId="14" borderId="94" xfId="15" applyNumberFormat="1" applyFont="1" applyFill="1" applyBorder="1" applyAlignment="1">
      <alignment vertical="center" shrinkToFit="1"/>
    </xf>
    <xf numFmtId="38" fontId="18" fillId="14" borderId="95" xfId="15" applyNumberFormat="1" applyFont="1" applyFill="1" applyBorder="1" applyAlignment="1">
      <alignment vertical="center" shrinkToFit="1"/>
    </xf>
    <xf numFmtId="38" fontId="18" fillId="14" borderId="96" xfId="15" applyNumberFormat="1" applyFont="1" applyFill="1" applyBorder="1" applyAlignment="1">
      <alignment vertical="center" shrinkToFit="1"/>
    </xf>
    <xf numFmtId="38" fontId="18" fillId="14" borderId="98" xfId="18" applyFont="1" applyFill="1" applyBorder="1" applyAlignment="1">
      <alignment vertical="center" shrinkToFit="1"/>
    </xf>
    <xf numFmtId="38" fontId="18" fillId="14" borderId="98" xfId="15" applyNumberFormat="1" applyFont="1" applyFill="1" applyBorder="1" applyAlignment="1">
      <alignment vertical="center" shrinkToFit="1"/>
    </xf>
    <xf numFmtId="38" fontId="18" fillId="14" borderId="94" xfId="18" applyFont="1" applyFill="1" applyBorder="1" applyAlignment="1">
      <alignment vertical="center" shrinkToFit="1"/>
    </xf>
    <xf numFmtId="38" fontId="18" fillId="14" borderId="95" xfId="18" applyFont="1" applyFill="1" applyBorder="1" applyAlignment="1">
      <alignment vertical="center" shrinkToFit="1"/>
    </xf>
    <xf numFmtId="38" fontId="18" fillId="14" borderId="96" xfId="18" applyFont="1" applyFill="1" applyBorder="1" applyAlignment="1">
      <alignment vertical="center" shrinkToFit="1"/>
    </xf>
    <xf numFmtId="38" fontId="18" fillId="14" borderId="119" xfId="18" applyFont="1" applyFill="1" applyBorder="1" applyAlignment="1">
      <alignment vertical="center" shrinkToFit="1"/>
    </xf>
    <xf numFmtId="38" fontId="18" fillId="14" borderId="147" xfId="15" applyNumberFormat="1" applyFont="1" applyFill="1" applyBorder="1" applyAlignment="1">
      <alignment vertical="center" shrinkToFit="1"/>
    </xf>
    <xf numFmtId="38" fontId="18" fillId="14" borderId="97" xfId="18" applyFont="1" applyFill="1" applyBorder="1" applyAlignment="1">
      <alignment vertical="center" shrinkToFit="1"/>
    </xf>
    <xf numFmtId="177" fontId="18" fillId="14" borderId="70" xfId="15" applyNumberFormat="1" applyFont="1" applyFill="1" applyAlignment="1">
      <alignment vertical="center" shrinkToFit="1"/>
    </xf>
    <xf numFmtId="0" fontId="18" fillId="14" borderId="89" xfId="15" applyFont="1" applyFill="1" applyBorder="1" applyAlignment="1">
      <alignment vertical="center" shrinkToFit="1"/>
    </xf>
    <xf numFmtId="0" fontId="18" fillId="14" borderId="90" xfId="15" applyFont="1" applyFill="1" applyBorder="1" applyAlignment="1">
      <alignment vertical="center" shrinkToFit="1"/>
    </xf>
    <xf numFmtId="0" fontId="18" fillId="14" borderId="91" xfId="15" applyFont="1" applyFill="1" applyBorder="1" applyAlignment="1">
      <alignment horizontal="right" vertical="center" shrinkToFit="1"/>
    </xf>
    <xf numFmtId="38" fontId="18" fillId="14" borderId="92" xfId="15" applyNumberFormat="1" applyFont="1" applyFill="1" applyBorder="1" applyAlignment="1">
      <alignment vertical="center" shrinkToFit="1"/>
    </xf>
    <xf numFmtId="38" fontId="18" fillId="14" borderId="89" xfId="15" applyNumberFormat="1" applyFont="1" applyFill="1" applyBorder="1" applyAlignment="1">
      <alignment vertical="center" shrinkToFit="1"/>
    </xf>
    <xf numFmtId="38" fontId="18" fillId="14" borderId="90" xfId="15" applyNumberFormat="1" applyFont="1" applyFill="1" applyBorder="1" applyAlignment="1">
      <alignment vertical="center" shrinkToFit="1"/>
    </xf>
    <xf numFmtId="38" fontId="18" fillId="14" borderId="91" xfId="15" applyNumberFormat="1" applyFont="1" applyFill="1" applyBorder="1" applyAlignment="1">
      <alignment vertical="center" shrinkToFit="1"/>
    </xf>
    <xf numFmtId="38" fontId="18" fillId="14" borderId="93" xfId="18" applyFont="1" applyFill="1" applyBorder="1" applyAlignment="1">
      <alignment vertical="center" shrinkToFit="1"/>
    </xf>
    <xf numFmtId="38" fontId="18" fillId="14" borderId="93" xfId="15" applyNumberFormat="1" applyFont="1" applyFill="1" applyBorder="1" applyAlignment="1">
      <alignment vertical="center" shrinkToFit="1"/>
    </xf>
    <xf numFmtId="38" fontId="18" fillId="14" borderId="91" xfId="18" applyFont="1" applyFill="1" applyBorder="1" applyAlignment="1">
      <alignment vertical="center" shrinkToFit="1"/>
    </xf>
    <xf numFmtId="38" fontId="18" fillId="20" borderId="120" xfId="15" applyNumberFormat="1" applyFont="1" applyFill="1" applyBorder="1" applyAlignment="1">
      <alignment vertical="center" shrinkToFit="1"/>
    </xf>
    <xf numFmtId="38" fontId="18" fillId="20" borderId="90" xfId="15" applyNumberFormat="1" applyFont="1" applyFill="1" applyBorder="1" applyAlignment="1">
      <alignment vertical="center" shrinkToFit="1"/>
    </xf>
    <xf numFmtId="38" fontId="18" fillId="20" borderId="148" xfId="15" applyNumberFormat="1" applyFont="1" applyFill="1" applyBorder="1" applyAlignment="1">
      <alignment vertical="center" shrinkToFit="1"/>
    </xf>
    <xf numFmtId="38" fontId="18" fillId="14" borderId="70" xfId="15" applyNumberFormat="1" applyFont="1" applyFill="1" applyAlignment="1">
      <alignment vertical="center" shrinkToFit="1"/>
    </xf>
    <xf numFmtId="177" fontId="18" fillId="14" borderId="70" xfId="18" applyNumberFormat="1" applyFont="1" applyFill="1" applyAlignment="1">
      <alignment vertical="center" shrinkToFit="1"/>
    </xf>
    <xf numFmtId="0" fontId="18" fillId="14" borderId="70" xfId="15" applyFont="1" applyFill="1" applyBorder="1" applyAlignment="1">
      <alignment horizontal="center" vertical="center"/>
    </xf>
    <xf numFmtId="0" fontId="18" fillId="14" borderId="70" xfId="15" applyBorder="1" applyAlignment="1">
      <alignment horizontal="center" vertical="center"/>
    </xf>
    <xf numFmtId="0" fontId="18" fillId="14" borderId="70" xfId="15" applyAlignment="1">
      <alignment horizontal="center" vertical="center"/>
    </xf>
    <xf numFmtId="0" fontId="18" fillId="14" borderId="115" xfId="15" applyFont="1" applyFill="1" applyBorder="1" applyAlignment="1">
      <alignment horizontal="center" vertical="center"/>
    </xf>
    <xf numFmtId="0" fontId="18" fillId="14" borderId="115" xfId="15" applyBorder="1" applyAlignment="1">
      <alignment horizontal="center" vertical="center"/>
    </xf>
    <xf numFmtId="0" fontId="18" fillId="14" borderId="130" xfId="15" applyFont="1" applyFill="1" applyBorder="1" applyAlignment="1">
      <alignment horizontal="center" vertical="center" wrapText="1"/>
    </xf>
    <xf numFmtId="0" fontId="18" fillId="14" borderId="149" xfId="15" applyFont="1" applyFill="1" applyBorder="1" applyAlignment="1">
      <alignment horizontal="center" vertical="center" wrapText="1"/>
    </xf>
    <xf numFmtId="0" fontId="18" fillId="14" borderId="150" xfId="15" applyFont="1" applyFill="1" applyBorder="1" applyAlignment="1">
      <alignment horizontal="center" vertical="center" wrapText="1"/>
    </xf>
    <xf numFmtId="0" fontId="18" fillId="14" borderId="115" xfId="15" applyFont="1" applyFill="1" applyBorder="1" applyAlignment="1">
      <alignment horizontal="center" vertical="center" wrapText="1"/>
    </xf>
    <xf numFmtId="0" fontId="18" fillId="14" borderId="70" xfId="15" applyFont="1" applyFill="1" applyBorder="1" applyAlignment="1">
      <alignment horizontal="center" vertical="center" wrapText="1"/>
    </xf>
    <xf numFmtId="0" fontId="18" fillId="14" borderId="131" xfId="15" applyFont="1" applyFill="1" applyBorder="1" applyAlignment="1">
      <alignment horizontal="center" vertical="center" wrapText="1"/>
    </xf>
    <xf numFmtId="0" fontId="25" fillId="14" borderId="71" xfId="15" applyFont="1" applyFill="1" applyBorder="1" applyAlignment="1">
      <alignment horizontal="center" vertical="center" wrapText="1"/>
    </xf>
    <xf numFmtId="0" fontId="25" fillId="14" borderId="72" xfId="15" applyFont="1" applyFill="1" applyBorder="1" applyAlignment="1">
      <alignment horizontal="center" vertical="center" wrapText="1"/>
    </xf>
    <xf numFmtId="0" fontId="18" fillId="14" borderId="80" xfId="15" applyFont="1" applyFill="1" applyBorder="1" applyAlignment="1">
      <alignment horizontal="center" vertical="center"/>
    </xf>
    <xf numFmtId="0" fontId="18" fillId="14" borderId="110" xfId="15" applyFont="1" applyFill="1" applyBorder="1" applyAlignment="1">
      <alignment horizontal="center" vertical="center"/>
    </xf>
    <xf numFmtId="0" fontId="18" fillId="14" borderId="86" xfId="15" applyFont="1" applyFill="1" applyBorder="1" applyAlignment="1">
      <alignment horizontal="center" vertical="center"/>
    </xf>
    <xf numFmtId="38" fontId="18" fillId="14" borderId="130" xfId="18" applyFont="1" applyFill="1" applyBorder="1" applyAlignment="1">
      <alignment horizontal="center" vertical="center"/>
    </xf>
    <xf numFmtId="38" fontId="18" fillId="14" borderId="149" xfId="18" applyFont="1" applyFill="1" applyBorder="1" applyAlignment="1">
      <alignment horizontal="center" vertical="center"/>
    </xf>
    <xf numFmtId="38" fontId="18" fillId="14" borderId="150" xfId="18" applyFont="1" applyFill="1" applyBorder="1" applyAlignment="1">
      <alignment horizontal="center" vertical="center"/>
    </xf>
    <xf numFmtId="38" fontId="18" fillId="14" borderId="115" xfId="18" applyFont="1" applyFill="1" applyBorder="1" applyAlignment="1">
      <alignment horizontal="center" vertical="center"/>
    </xf>
    <xf numFmtId="38" fontId="18" fillId="14" borderId="70" xfId="18" applyFont="1" applyFill="1" applyBorder="1" applyAlignment="1">
      <alignment horizontal="center" vertical="center"/>
    </xf>
    <xf numFmtId="38" fontId="18" fillId="14" borderId="131" xfId="18" applyFont="1" applyFill="1" applyBorder="1" applyAlignment="1">
      <alignment horizontal="center" vertical="center"/>
    </xf>
    <xf numFmtId="38" fontId="18" fillId="14" borderId="118" xfId="18" applyFont="1" applyFill="1" applyBorder="1" applyAlignment="1">
      <alignment horizontal="center" vertical="center"/>
    </xf>
    <xf numFmtId="38" fontId="18" fillId="14" borderId="138" xfId="18" applyFont="1" applyFill="1" applyBorder="1" applyAlignment="1">
      <alignment horizontal="center" vertical="center"/>
    </xf>
    <xf numFmtId="38" fontId="18" fillId="14" borderId="129" xfId="18" applyFont="1" applyFill="1" applyBorder="1" applyAlignment="1">
      <alignment horizontal="center" vertical="center"/>
    </xf>
    <xf numFmtId="0" fontId="18" fillId="14" borderId="73" xfId="15" applyFont="1" applyFill="1" applyBorder="1" applyAlignment="1">
      <alignment horizontal="center" vertical="center"/>
    </xf>
    <xf numFmtId="0" fontId="18" fillId="14" borderId="74" xfId="15" applyFont="1" applyFill="1" applyBorder="1" applyAlignment="1">
      <alignment horizontal="center" vertical="center"/>
    </xf>
    <xf numFmtId="0" fontId="18" fillId="14" borderId="84" xfId="15" applyFont="1" applyFill="1" applyBorder="1" applyAlignment="1">
      <alignment horizontal="center" vertical="center"/>
    </xf>
    <xf numFmtId="0" fontId="18" fillId="14" borderId="130" xfId="15" applyFont="1" applyFill="1" applyBorder="1" applyAlignment="1">
      <alignment horizontal="center" vertical="center"/>
    </xf>
    <xf numFmtId="0" fontId="18" fillId="14" borderId="149" xfId="15" applyFont="1" applyFill="1" applyBorder="1" applyAlignment="1">
      <alignment horizontal="center" vertical="center"/>
    </xf>
    <xf numFmtId="0" fontId="18" fillId="14" borderId="150" xfId="15" applyFont="1" applyFill="1" applyBorder="1" applyAlignment="1">
      <alignment horizontal="center" vertical="center"/>
    </xf>
    <xf numFmtId="0" fontId="18" fillId="14" borderId="131" xfId="15" applyFont="1" applyFill="1" applyBorder="1" applyAlignment="1">
      <alignment horizontal="center" vertical="center"/>
    </xf>
    <xf numFmtId="0" fontId="18" fillId="14" borderId="118" xfId="15" applyFont="1" applyFill="1" applyBorder="1" applyAlignment="1">
      <alignment horizontal="center" vertical="center"/>
    </xf>
    <xf numFmtId="0" fontId="18" fillId="14" borderId="138" xfId="15" applyFont="1" applyFill="1" applyBorder="1" applyAlignment="1">
      <alignment horizontal="center" vertical="center"/>
    </xf>
    <xf numFmtId="0" fontId="18" fillId="14" borderId="129" xfId="15" applyFont="1" applyFill="1" applyBorder="1" applyAlignment="1">
      <alignment horizontal="center" vertical="center"/>
    </xf>
    <xf numFmtId="0" fontId="18" fillId="14" borderId="80" xfId="15" applyFont="1" applyFill="1" applyBorder="1" applyAlignment="1">
      <alignment horizontal="center" vertical="center" wrapText="1"/>
    </xf>
    <xf numFmtId="0" fontId="18" fillId="14" borderId="122" xfId="15" applyFont="1" applyFill="1" applyBorder="1" applyAlignment="1">
      <alignment horizontal="center" vertical="center"/>
    </xf>
    <xf numFmtId="0" fontId="18" fillId="14" borderId="75" xfId="15" applyFont="1" applyFill="1" applyBorder="1" applyAlignment="1">
      <alignment horizontal="center" vertical="center"/>
    </xf>
    <xf numFmtId="0" fontId="18" fillId="14" borderId="71" xfId="15" applyFont="1" applyFill="1" applyBorder="1" applyAlignment="1">
      <alignment horizontal="center" vertical="center"/>
    </xf>
    <xf numFmtId="0" fontId="18" fillId="14" borderId="76" xfId="15" applyFont="1" applyFill="1" applyBorder="1" applyAlignment="1">
      <alignment horizontal="center" vertical="center"/>
    </xf>
    <xf numFmtId="0" fontId="18" fillId="14" borderId="83" xfId="15" applyFont="1" applyFill="1" applyBorder="1" applyAlignment="1">
      <alignment horizontal="center" vertical="center"/>
    </xf>
    <xf numFmtId="0" fontId="18" fillId="14" borderId="112" xfId="15" applyFont="1" applyFill="1" applyBorder="1" applyAlignment="1">
      <alignment horizontal="center" vertical="center"/>
    </xf>
    <xf numFmtId="0" fontId="18" fillId="14" borderId="85" xfId="15" applyFont="1" applyFill="1" applyBorder="1" applyAlignment="1">
      <alignment horizontal="center" vertical="center"/>
    </xf>
    <xf numFmtId="0" fontId="18" fillId="14" borderId="113" xfId="15" applyFont="1" applyFill="1" applyBorder="1" applyAlignment="1">
      <alignment horizontal="center" vertical="center"/>
    </xf>
    <xf numFmtId="0" fontId="18" fillId="14" borderId="87" xfId="15" applyFont="1" applyFill="1" applyBorder="1" applyAlignment="1">
      <alignment horizontal="center" vertical="center"/>
    </xf>
    <xf numFmtId="0" fontId="18" fillId="14" borderId="100" xfId="15" applyFont="1" applyFill="1" applyBorder="1" applyAlignment="1">
      <alignment horizontal="center" vertical="center"/>
    </xf>
    <xf numFmtId="0" fontId="18" fillId="14" borderId="114" xfId="15" applyFont="1" applyFill="1" applyBorder="1" applyAlignment="1">
      <alignment horizontal="center" vertical="center"/>
    </xf>
    <xf numFmtId="0" fontId="18" fillId="14" borderId="101" xfId="15" applyFont="1" applyFill="1" applyBorder="1" applyAlignment="1">
      <alignment horizontal="center" vertical="center" wrapText="1"/>
    </xf>
    <xf numFmtId="0" fontId="18" fillId="14" borderId="92" xfId="15" applyFont="1" applyFill="1" applyBorder="1" applyAlignment="1">
      <alignment horizontal="center" vertical="center"/>
    </xf>
    <xf numFmtId="0" fontId="18" fillId="14" borderId="116" xfId="15" applyFont="1" applyFill="1" applyBorder="1" applyAlignment="1">
      <alignment horizontal="center" vertical="center"/>
    </xf>
    <xf numFmtId="0" fontId="18" fillId="14" borderId="121" xfId="15" applyFont="1" applyFill="1" applyBorder="1" applyAlignment="1">
      <alignment horizontal="center" vertical="center"/>
    </xf>
    <xf numFmtId="0" fontId="18" fillId="14" borderId="141" xfId="15" applyFont="1" applyFill="1" applyBorder="1" applyAlignment="1">
      <alignment horizontal="center" vertical="center"/>
    </xf>
    <xf numFmtId="0" fontId="18" fillId="14" borderId="87" xfId="15" applyFont="1" applyFill="1" applyBorder="1" applyAlignment="1">
      <alignment horizontal="center" vertical="center" wrapText="1"/>
    </xf>
    <xf numFmtId="0" fontId="18" fillId="14" borderId="113" xfId="15" applyFont="1" applyFill="1" applyBorder="1" applyAlignment="1">
      <alignment horizontal="center" vertical="center" wrapText="1"/>
    </xf>
    <xf numFmtId="0" fontId="18" fillId="14" borderId="90" xfId="15" applyFont="1" applyFill="1" applyBorder="1" applyAlignment="1">
      <alignment horizontal="center" vertical="center" wrapText="1"/>
    </xf>
    <xf numFmtId="0" fontId="36" fillId="23" borderId="155" xfId="29"/>
    <xf numFmtId="0" fontId="36" fillId="23" borderId="155" xfId="29" applyFont="1" applyAlignment="1">
      <alignment vertical="center"/>
    </xf>
    <xf numFmtId="38" fontId="36" fillId="23" borderId="155" xfId="30" applyFont="1" applyAlignment="1">
      <alignment vertical="center"/>
    </xf>
    <xf numFmtId="38" fontId="36" fillId="23" borderId="155" xfId="29" applyNumberFormat="1" applyFont="1" applyAlignment="1">
      <alignment vertical="center"/>
    </xf>
    <xf numFmtId="38" fontId="36" fillId="23" borderId="156" xfId="30" applyFont="1" applyBorder="1" applyAlignment="1">
      <alignment vertical="center"/>
    </xf>
    <xf numFmtId="38" fontId="36" fillId="23" borderId="159" xfId="29" applyNumberFormat="1" applyFont="1" applyBorder="1" applyAlignment="1">
      <alignment vertical="center"/>
    </xf>
    <xf numFmtId="38" fontId="36" fillId="23" borderId="157" xfId="30" applyFont="1" applyFill="1" applyBorder="1" applyAlignment="1">
      <alignment vertical="center"/>
    </xf>
    <xf numFmtId="38" fontId="36" fillId="23" borderId="156" xfId="29" applyNumberFormat="1" applyFont="1" applyBorder="1" applyAlignment="1">
      <alignment vertical="center"/>
    </xf>
    <xf numFmtId="38" fontId="36" fillId="23" borderId="160" xfId="29" applyNumberFormat="1" applyFont="1" applyBorder="1" applyAlignment="1">
      <alignment vertical="center"/>
    </xf>
    <xf numFmtId="38" fontId="36" fillId="23" borderId="157" xfId="29" applyNumberFormat="1" applyFont="1" applyBorder="1" applyAlignment="1">
      <alignment vertical="center"/>
    </xf>
    <xf numFmtId="38" fontId="36" fillId="23" borderId="158" xfId="29" applyNumberFormat="1" applyFont="1" applyBorder="1" applyAlignment="1">
      <alignment vertical="center"/>
    </xf>
    <xf numFmtId="0" fontId="36" fillId="23" borderId="159" xfId="29" applyFont="1" applyBorder="1" applyAlignment="1">
      <alignment horizontal="center" vertical="center" shrinkToFit="1"/>
    </xf>
    <xf numFmtId="0" fontId="36" fillId="23" borderId="160" xfId="29" applyFont="1" applyBorder="1" applyAlignment="1">
      <alignment vertical="center"/>
    </xf>
    <xf numFmtId="0" fontId="36" fillId="23" borderId="157" xfId="29" applyFont="1" applyBorder="1" applyAlignment="1">
      <alignment vertical="center"/>
    </xf>
    <xf numFmtId="0" fontId="36" fillId="23" borderId="158" xfId="29" applyFont="1" applyBorder="1" applyAlignment="1">
      <alignment vertical="center"/>
    </xf>
    <xf numFmtId="38" fontId="36" fillId="23" borderId="161" xfId="30" applyFont="1" applyBorder="1" applyAlignment="1">
      <alignment vertical="center"/>
    </xf>
    <xf numFmtId="38" fontId="36" fillId="23" borderId="162" xfId="30" applyFont="1" applyBorder="1" applyAlignment="1">
      <alignment vertical="center"/>
    </xf>
    <xf numFmtId="38" fontId="36" fillId="23" borderId="163" xfId="30" applyFont="1" applyBorder="1" applyAlignment="1">
      <alignment vertical="center"/>
    </xf>
    <xf numFmtId="38" fontId="36" fillId="23" borderId="164" xfId="30" applyFont="1" applyBorder="1" applyAlignment="1">
      <alignment vertical="center"/>
    </xf>
    <xf numFmtId="38" fontId="36" fillId="23" borderId="165" xfId="30" applyFont="1" applyBorder="1" applyAlignment="1">
      <alignment vertical="center"/>
    </xf>
    <xf numFmtId="38" fontId="36" fillId="23" borderId="164" xfId="29" applyNumberFormat="1" applyFont="1" applyBorder="1" applyAlignment="1">
      <alignment vertical="center"/>
    </xf>
    <xf numFmtId="38" fontId="36" fillId="23" borderId="161" xfId="29" applyNumberFormat="1" applyFont="1" applyBorder="1" applyAlignment="1">
      <alignment vertical="center"/>
    </xf>
    <xf numFmtId="38" fontId="36" fillId="23" borderId="165" xfId="29" applyNumberFormat="1" applyFont="1" applyBorder="1" applyAlignment="1">
      <alignment vertical="center"/>
    </xf>
    <xf numFmtId="38" fontId="36" fillId="23" borderId="162" xfId="29" applyNumberFormat="1" applyFont="1" applyBorder="1" applyAlignment="1">
      <alignment vertical="center"/>
    </xf>
    <xf numFmtId="38" fontId="36" fillId="23" borderId="163" xfId="29" applyNumberFormat="1" applyFont="1" applyBorder="1" applyAlignment="1">
      <alignment vertical="center"/>
    </xf>
    <xf numFmtId="0" fontId="36" fillId="23" borderId="164" xfId="29" applyFont="1" applyBorder="1" applyAlignment="1">
      <alignment horizontal="center" vertical="center" shrinkToFit="1"/>
    </xf>
    <xf numFmtId="0" fontId="36" fillId="23" borderId="165" xfId="29" applyFont="1" applyBorder="1" applyAlignment="1">
      <alignment vertical="center"/>
    </xf>
    <xf numFmtId="0" fontId="36" fillId="23" borderId="162" xfId="29" applyFont="1" applyBorder="1" applyAlignment="1">
      <alignment vertical="center"/>
    </xf>
    <xf numFmtId="0" fontId="36" fillId="23" borderId="163" xfId="29" applyFont="1" applyBorder="1" applyAlignment="1">
      <alignment vertical="center"/>
    </xf>
    <xf numFmtId="0" fontId="36" fillId="23" borderId="155" xfId="29" applyAlignment="1">
      <alignment vertical="center"/>
    </xf>
    <xf numFmtId="38" fontId="36" fillId="23" borderId="155" xfId="30" applyNumberFormat="1" applyFont="1" applyAlignment="1">
      <alignment vertical="center"/>
    </xf>
    <xf numFmtId="178" fontId="36" fillId="23" borderId="155" xfId="30" applyNumberFormat="1" applyFont="1" applyAlignment="1">
      <alignment vertical="center"/>
    </xf>
    <xf numFmtId="38" fontId="36" fillId="23" borderId="167" xfId="30" applyFont="1" applyBorder="1" applyAlignment="1">
      <alignment vertical="center"/>
    </xf>
    <xf numFmtId="38" fontId="36" fillId="23" borderId="168" xfId="30" applyFont="1" applyBorder="1" applyAlignment="1">
      <alignment vertical="center"/>
    </xf>
    <xf numFmtId="38" fontId="36" fillId="23" borderId="169" xfId="29" applyNumberFormat="1" applyFont="1" applyBorder="1" applyAlignment="1">
      <alignment vertical="center"/>
    </xf>
    <xf numFmtId="38" fontId="36" fillId="23" borderId="166" xfId="30" applyFont="1" applyBorder="1" applyAlignment="1">
      <alignment vertical="center"/>
    </xf>
    <xf numFmtId="38" fontId="36" fillId="23" borderId="170" xfId="30" applyFont="1" applyBorder="1" applyAlignment="1">
      <alignment vertical="center"/>
    </xf>
    <xf numFmtId="38" fontId="36" fillId="23" borderId="169" xfId="30" applyFont="1" applyBorder="1" applyAlignment="1">
      <alignment vertical="center"/>
    </xf>
    <xf numFmtId="0" fontId="36" fillId="23" borderId="169" xfId="29" applyFont="1" applyBorder="1" applyAlignment="1">
      <alignment vertical="center" shrinkToFit="1"/>
    </xf>
    <xf numFmtId="0" fontId="36" fillId="23" borderId="170" xfId="29" applyFont="1" applyBorder="1" applyAlignment="1">
      <alignment horizontal="center" vertical="center" shrinkToFit="1"/>
    </xf>
    <xf numFmtId="0" fontId="36" fillId="23" borderId="167" xfId="29" applyFont="1" applyBorder="1" applyAlignment="1">
      <alignment horizontal="center" vertical="center" shrinkToFit="1"/>
    </xf>
    <xf numFmtId="0" fontId="36" fillId="23" borderId="168" xfId="29" applyFont="1" applyBorder="1" applyAlignment="1">
      <alignment vertical="center" shrinkToFit="1"/>
    </xf>
    <xf numFmtId="38" fontId="36" fillId="23" borderId="172" xfId="30" applyFont="1" applyBorder="1" applyAlignment="1">
      <alignment vertical="center"/>
    </xf>
    <xf numFmtId="38" fontId="36" fillId="23" borderId="173" xfId="30" applyFont="1" applyBorder="1" applyAlignment="1">
      <alignment vertical="center"/>
    </xf>
    <xf numFmtId="38" fontId="36" fillId="23" borderId="174" xfId="29" applyNumberFormat="1" applyFont="1" applyBorder="1" applyAlignment="1">
      <alignment vertical="center"/>
    </xf>
    <xf numFmtId="38" fontId="36" fillId="23" borderId="171" xfId="30" applyFont="1" applyBorder="1" applyAlignment="1">
      <alignment vertical="center"/>
    </xf>
    <xf numFmtId="38" fontId="36" fillId="23" borderId="175" xfId="30" applyFont="1" applyBorder="1" applyAlignment="1">
      <alignment vertical="center"/>
    </xf>
    <xf numFmtId="38" fontId="36" fillId="23" borderId="174" xfId="30" applyFont="1" applyBorder="1" applyAlignment="1">
      <alignment vertical="center"/>
    </xf>
    <xf numFmtId="0" fontId="36" fillId="23" borderId="174" xfId="29" applyFont="1" applyBorder="1" applyAlignment="1">
      <alignment vertical="center" shrinkToFit="1"/>
    </xf>
    <xf numFmtId="0" fontId="36" fillId="23" borderId="175" xfId="29" applyFont="1" applyBorder="1" applyAlignment="1">
      <alignment horizontal="center" vertical="center" shrinkToFit="1"/>
    </xf>
    <xf numFmtId="0" fontId="36" fillId="23" borderId="172" xfId="29" applyFont="1" applyBorder="1" applyAlignment="1">
      <alignment horizontal="center" vertical="center" shrinkToFit="1"/>
    </xf>
    <xf numFmtId="0" fontId="36" fillId="23" borderId="173" xfId="29" applyFont="1" applyBorder="1" applyAlignment="1">
      <alignment vertical="center" shrinkToFit="1"/>
    </xf>
    <xf numFmtId="38" fontId="36" fillId="23" borderId="174" xfId="29" applyNumberFormat="1" applyBorder="1" applyAlignment="1">
      <alignment vertical="center"/>
    </xf>
    <xf numFmtId="38" fontId="36" fillId="23" borderId="171" xfId="30" applyFont="1" applyFill="1" applyBorder="1" applyAlignment="1">
      <alignment vertical="center"/>
    </xf>
    <xf numFmtId="38" fontId="36" fillId="23" borderId="175" xfId="30" applyFont="1" applyFill="1" applyBorder="1" applyAlignment="1">
      <alignment vertical="center"/>
    </xf>
    <xf numFmtId="38" fontId="36" fillId="23" borderId="172" xfId="30" applyFont="1" applyFill="1" applyBorder="1" applyAlignment="1">
      <alignment vertical="center"/>
    </xf>
    <xf numFmtId="38" fontId="36" fillId="23" borderId="173" xfId="30" applyFont="1" applyFill="1" applyBorder="1" applyAlignment="1">
      <alignment vertical="center"/>
    </xf>
    <xf numFmtId="38" fontId="36" fillId="23" borderId="176" xfId="29" applyNumberFormat="1" applyFont="1" applyBorder="1" applyAlignment="1">
      <alignment vertical="center"/>
    </xf>
    <xf numFmtId="38" fontId="36" fillId="23" borderId="177" xfId="30" applyFont="1" applyBorder="1" applyAlignment="1">
      <alignment vertical="center"/>
    </xf>
    <xf numFmtId="38" fontId="36" fillId="23" borderId="178" xfId="30" applyFont="1" applyBorder="1" applyAlignment="1">
      <alignment vertical="center"/>
    </xf>
    <xf numFmtId="38" fontId="36" fillId="23" borderId="179" xfId="30" applyFont="1" applyBorder="1" applyAlignment="1">
      <alignment vertical="center"/>
    </xf>
    <xf numFmtId="38" fontId="36" fillId="23" borderId="180" xfId="30" applyFont="1" applyBorder="1" applyAlignment="1">
      <alignment vertical="center"/>
    </xf>
    <xf numFmtId="38" fontId="36" fillId="23" borderId="176" xfId="30" applyFont="1" applyBorder="1" applyAlignment="1">
      <alignment vertical="center"/>
    </xf>
    <xf numFmtId="0" fontId="36" fillId="23" borderId="176" xfId="29" applyFont="1" applyBorder="1" applyAlignment="1">
      <alignment vertical="center" shrinkToFit="1"/>
    </xf>
    <xf numFmtId="0" fontId="36" fillId="23" borderId="178" xfId="29" applyFont="1" applyBorder="1" applyAlignment="1">
      <alignment horizontal="center" vertical="center" shrinkToFit="1"/>
    </xf>
    <xf numFmtId="0" fontId="36" fillId="23" borderId="179" xfId="29" applyFont="1" applyBorder="1" applyAlignment="1">
      <alignment horizontal="center" vertical="center" shrinkToFit="1"/>
    </xf>
    <xf numFmtId="0" fontId="36" fillId="23" borderId="180" xfId="29" applyFont="1" applyBorder="1" applyAlignment="1">
      <alignment vertical="center" shrinkToFit="1"/>
    </xf>
    <xf numFmtId="0" fontId="36" fillId="23" borderId="155" xfId="29" applyFont="1" applyAlignment="1">
      <alignment horizontal="center" vertical="center"/>
    </xf>
    <xf numFmtId="0" fontId="36" fillId="23" borderId="155" xfId="29" applyAlignment="1">
      <alignment horizontal="center" vertical="center"/>
    </xf>
    <xf numFmtId="38" fontId="36" fillId="23" borderId="182" xfId="30" applyFont="1" applyBorder="1" applyAlignment="1">
      <alignment horizontal="center" vertical="center"/>
    </xf>
    <xf numFmtId="38" fontId="36" fillId="23" borderId="183" xfId="30" applyFont="1" applyBorder="1" applyAlignment="1">
      <alignment horizontal="center" vertical="center"/>
    </xf>
    <xf numFmtId="38" fontId="36" fillId="23" borderId="184" xfId="30" applyFont="1" applyBorder="1" applyAlignment="1">
      <alignment horizontal="center" vertical="center"/>
    </xf>
    <xf numFmtId="38" fontId="36" fillId="23" borderId="185" xfId="30" applyFont="1" applyBorder="1" applyAlignment="1">
      <alignment horizontal="center" vertical="center"/>
    </xf>
    <xf numFmtId="176" fontId="36" fillId="23" borderId="182" xfId="31" applyNumberFormat="1" applyFont="1" applyBorder="1" applyAlignment="1">
      <alignment horizontal="center" vertical="center"/>
    </xf>
    <xf numFmtId="176" fontId="36" fillId="23" borderId="183" xfId="31" applyNumberFormat="1" applyFont="1" applyBorder="1" applyAlignment="1">
      <alignment horizontal="center" vertical="center"/>
    </xf>
    <xf numFmtId="176" fontId="36" fillId="23" borderId="184" xfId="31" applyNumberFormat="1" applyFont="1" applyBorder="1" applyAlignment="1">
      <alignment horizontal="center" vertical="center"/>
    </xf>
    <xf numFmtId="176" fontId="36" fillId="23" borderId="185" xfId="31" applyNumberFormat="1" applyFont="1" applyBorder="1" applyAlignment="1">
      <alignment horizontal="center" vertical="center"/>
    </xf>
    <xf numFmtId="38" fontId="36" fillId="25" borderId="169" xfId="30" applyFont="1" applyFill="1" applyBorder="1" applyAlignment="1">
      <alignment vertical="center"/>
    </xf>
    <xf numFmtId="38" fontId="36" fillId="25" borderId="170" xfId="30" applyFont="1" applyFill="1" applyBorder="1" applyAlignment="1">
      <alignment vertical="center"/>
    </xf>
    <xf numFmtId="38" fontId="36" fillId="25" borderId="167" xfId="30" applyFont="1" applyFill="1" applyBorder="1" applyAlignment="1">
      <alignment vertical="center"/>
    </xf>
    <xf numFmtId="38" fontId="36" fillId="25" borderId="168" xfId="30" applyFont="1" applyFill="1" applyBorder="1" applyAlignment="1">
      <alignment vertical="center"/>
    </xf>
    <xf numFmtId="38" fontId="36" fillId="25" borderId="174" xfId="30" applyFont="1" applyFill="1" applyBorder="1" applyAlignment="1">
      <alignment vertical="center"/>
    </xf>
    <xf numFmtId="38" fontId="36" fillId="25" borderId="175" xfId="30" applyFont="1" applyFill="1" applyBorder="1" applyAlignment="1">
      <alignment vertical="center"/>
    </xf>
    <xf numFmtId="38" fontId="36" fillId="25" borderId="172" xfId="30" applyFont="1" applyFill="1" applyBorder="1" applyAlignment="1">
      <alignment vertical="center"/>
    </xf>
    <xf numFmtId="38" fontId="36" fillId="25" borderId="173" xfId="30" applyFont="1" applyFill="1" applyBorder="1" applyAlignment="1">
      <alignment vertical="center"/>
    </xf>
    <xf numFmtId="38" fontId="36" fillId="23" borderId="176" xfId="29" applyNumberFormat="1" applyBorder="1" applyAlignment="1">
      <alignment vertical="center"/>
    </xf>
    <xf numFmtId="38" fontId="36" fillId="25" borderId="176" xfId="30" applyFont="1" applyFill="1" applyBorder="1" applyAlignment="1">
      <alignment vertical="center"/>
    </xf>
    <xf numFmtId="38" fontId="36" fillId="25" borderId="178" xfId="30" applyFont="1" applyFill="1" applyBorder="1" applyAlignment="1">
      <alignment vertical="center"/>
    </xf>
    <xf numFmtId="38" fontId="36" fillId="25" borderId="179" xfId="30" applyFont="1" applyFill="1" applyBorder="1" applyAlignment="1">
      <alignment vertical="center"/>
    </xf>
    <xf numFmtId="38" fontId="36" fillId="25" borderId="180" xfId="30" applyFont="1" applyFill="1" applyBorder="1" applyAlignment="1">
      <alignment vertical="center"/>
    </xf>
    <xf numFmtId="38" fontId="36" fillId="23" borderId="169" xfId="30" applyFont="1" applyFill="1" applyBorder="1" applyAlignment="1">
      <alignment vertical="center"/>
    </xf>
    <xf numFmtId="38" fontId="36" fillId="23" borderId="166" xfId="30" applyFont="1" applyFill="1" applyBorder="1" applyAlignment="1">
      <alignment vertical="center"/>
    </xf>
    <xf numFmtId="38" fontId="36" fillId="23" borderId="170" xfId="30" applyFont="1" applyFill="1" applyBorder="1" applyAlignment="1">
      <alignment vertical="center"/>
    </xf>
    <xf numFmtId="38" fontId="36" fillId="23" borderId="167" xfId="30" applyFont="1" applyFill="1" applyBorder="1" applyAlignment="1">
      <alignment vertical="center"/>
    </xf>
    <xf numFmtId="38" fontId="36" fillId="23" borderId="168" xfId="30" applyFont="1" applyFill="1" applyBorder="1" applyAlignment="1">
      <alignment vertical="center"/>
    </xf>
    <xf numFmtId="38" fontId="36" fillId="23" borderId="174" xfId="30" applyFont="1" applyFill="1" applyBorder="1" applyAlignment="1">
      <alignment vertical="center"/>
    </xf>
    <xf numFmtId="38" fontId="36" fillId="23" borderId="176" xfId="30" applyFont="1" applyFill="1" applyBorder="1" applyAlignment="1">
      <alignment vertical="center"/>
    </xf>
    <xf numFmtId="38" fontId="36" fillId="23" borderId="177" xfId="30" applyFont="1" applyFill="1" applyBorder="1" applyAlignment="1">
      <alignment vertical="center"/>
    </xf>
    <xf numFmtId="38" fontId="36" fillId="23" borderId="178" xfId="30" applyFont="1" applyFill="1" applyBorder="1" applyAlignment="1">
      <alignment vertical="center"/>
    </xf>
    <xf numFmtId="38" fontId="36" fillId="23" borderId="179" xfId="30" applyFont="1" applyFill="1" applyBorder="1" applyAlignment="1">
      <alignment vertical="center"/>
    </xf>
    <xf numFmtId="38" fontId="36" fillId="23" borderId="180" xfId="30" applyFont="1" applyFill="1" applyBorder="1" applyAlignment="1">
      <alignment vertical="center"/>
    </xf>
    <xf numFmtId="38" fontId="36" fillId="25" borderId="190" xfId="30" applyFont="1" applyFill="1" applyBorder="1" applyAlignment="1">
      <alignment vertical="center"/>
    </xf>
    <xf numFmtId="0" fontId="36" fillId="23" borderId="190" xfId="29" applyFont="1" applyBorder="1" applyAlignment="1">
      <alignment vertical="center" shrinkToFit="1"/>
    </xf>
    <xf numFmtId="0" fontId="36" fillId="23" borderId="191" xfId="29" applyFont="1" applyBorder="1" applyAlignment="1">
      <alignment horizontal="center" vertical="center" shrinkToFit="1"/>
    </xf>
    <xf numFmtId="0" fontId="36" fillId="23" borderId="192" xfId="29" applyFont="1" applyBorder="1" applyAlignment="1">
      <alignment horizontal="center" vertical="center" shrinkToFit="1"/>
    </xf>
    <xf numFmtId="0" fontId="36" fillId="23" borderId="193" xfId="29" applyFont="1" applyBorder="1" applyAlignment="1">
      <alignment vertical="center" shrinkToFit="1"/>
    </xf>
    <xf numFmtId="0" fontId="36" fillId="23" borderId="174" xfId="29" applyFont="1" applyBorder="1" applyAlignment="1">
      <alignment vertical="center"/>
    </xf>
    <xf numFmtId="38" fontId="36" fillId="23" borderId="194" xfId="30" applyFont="1" applyBorder="1" applyAlignment="1">
      <alignment vertical="center"/>
    </xf>
    <xf numFmtId="38" fontId="36" fillId="23" borderId="195" xfId="30" applyFont="1" applyBorder="1" applyAlignment="1">
      <alignment vertical="center"/>
    </xf>
    <xf numFmtId="38" fontId="36" fillId="23" borderId="196" xfId="30" applyFont="1" applyBorder="1" applyAlignment="1">
      <alignment vertical="center"/>
    </xf>
    <xf numFmtId="38" fontId="36" fillId="23" borderId="197" xfId="30" applyFont="1" applyBorder="1" applyAlignment="1">
      <alignment vertical="center"/>
    </xf>
    <xf numFmtId="38" fontId="36" fillId="23" borderId="198" xfId="30" applyFont="1" applyBorder="1" applyAlignment="1">
      <alignment vertical="center"/>
    </xf>
    <xf numFmtId="0" fontId="36" fillId="23" borderId="194" xfId="29" applyFont="1" applyBorder="1" applyAlignment="1">
      <alignment vertical="center"/>
    </xf>
    <xf numFmtId="0" fontId="36" fillId="23" borderId="196" xfId="29" applyFont="1" applyBorder="1" applyAlignment="1">
      <alignment horizontal="center" vertical="center" shrinkToFit="1"/>
    </xf>
    <xf numFmtId="0" fontId="36" fillId="23" borderId="197" xfId="29" applyFont="1" applyBorder="1" applyAlignment="1">
      <alignment horizontal="center" vertical="center" shrinkToFit="1"/>
    </xf>
    <xf numFmtId="0" fontId="36" fillId="23" borderId="198" xfId="29" applyFont="1" applyBorder="1" applyAlignment="1">
      <alignment vertical="center" shrinkToFit="1"/>
    </xf>
    <xf numFmtId="0" fontId="36" fillId="23" borderId="176" xfId="29" applyFont="1" applyBorder="1" applyAlignment="1">
      <alignment horizontal="left" vertical="center"/>
    </xf>
    <xf numFmtId="0" fontId="36" fillId="23" borderId="178" xfId="29" applyFont="1" applyBorder="1" applyAlignment="1">
      <alignment horizontal="center" vertical="center"/>
    </xf>
    <xf numFmtId="0" fontId="36" fillId="23" borderId="179" xfId="29" applyFont="1" applyBorder="1" applyAlignment="1">
      <alignment horizontal="center" vertical="center"/>
    </xf>
    <xf numFmtId="0" fontId="36" fillId="23" borderId="180" xfId="29" applyFont="1" applyBorder="1" applyAlignment="1">
      <alignment horizontal="center" vertical="center"/>
    </xf>
    <xf numFmtId="0" fontId="36" fillId="23" borderId="155" xfId="29" applyAlignment="1">
      <alignment horizontal="center" vertical="center"/>
    </xf>
    <xf numFmtId="38" fontId="36" fillId="26" borderId="158" xfId="29" applyNumberFormat="1" applyFont="1" applyFill="1" applyBorder="1" applyAlignment="1">
      <alignment vertical="center"/>
    </xf>
    <xf numFmtId="38" fontId="36" fillId="26" borderId="157" xfId="30" applyFont="1" applyFill="1" applyBorder="1" applyAlignment="1">
      <alignment vertical="center"/>
    </xf>
    <xf numFmtId="38" fontId="36" fillId="26" borderId="160" xfId="30" applyFont="1" applyFill="1" applyBorder="1" applyAlignment="1">
      <alignment vertical="center"/>
    </xf>
    <xf numFmtId="38" fontId="36" fillId="26" borderId="156" xfId="30" applyFont="1" applyFill="1" applyBorder="1" applyAlignment="1">
      <alignment vertical="center"/>
    </xf>
    <xf numFmtId="38" fontId="36" fillId="26" borderId="159" xfId="29" applyNumberFormat="1" applyFont="1" applyFill="1" applyBorder="1" applyAlignment="1">
      <alignment vertical="center"/>
    </xf>
    <xf numFmtId="0" fontId="36" fillId="23" borderId="155" xfId="29" applyAlignment="1">
      <alignment horizontal="center" vertical="center"/>
    </xf>
    <xf numFmtId="38" fontId="36" fillId="25" borderId="193" xfId="30" applyFont="1" applyFill="1" applyBorder="1" applyAlignment="1">
      <alignment vertical="center"/>
    </xf>
    <xf numFmtId="38" fontId="36" fillId="25" borderId="192" xfId="30" applyFont="1" applyFill="1" applyBorder="1" applyAlignment="1">
      <alignment vertical="center"/>
    </xf>
    <xf numFmtId="38" fontId="36" fillId="25" borderId="191" xfId="30" applyFont="1" applyFill="1" applyBorder="1" applyAlignment="1">
      <alignment vertical="center"/>
    </xf>
    <xf numFmtId="38" fontId="36" fillId="23" borderId="199" xfId="30" applyFont="1" applyBorder="1" applyAlignment="1">
      <alignment vertical="center"/>
    </xf>
    <xf numFmtId="180" fontId="36" fillId="27" borderId="183" xfId="31" applyNumberFormat="1" applyFont="1" applyFill="1" applyBorder="1" applyAlignment="1">
      <alignment horizontal="center" vertical="center"/>
    </xf>
    <xf numFmtId="180" fontId="36" fillId="27" borderId="155" xfId="31" applyNumberFormat="1" applyFont="1" applyFill="1" applyBorder="1" applyAlignment="1">
      <alignment horizontal="center" vertical="center" shrinkToFit="1"/>
    </xf>
    <xf numFmtId="0" fontId="36" fillId="23" borderId="155" xfId="29" applyFont="1" applyFill="1" applyBorder="1" applyAlignment="1">
      <alignment horizontal="right" vertical="center"/>
    </xf>
    <xf numFmtId="0" fontId="36" fillId="23" borderId="155" xfId="29" applyFont="1" applyFill="1" applyBorder="1" applyAlignment="1">
      <alignment vertical="center"/>
    </xf>
    <xf numFmtId="0" fontId="36" fillId="23" borderId="200" xfId="29" applyFont="1" applyFill="1" applyBorder="1" applyAlignment="1">
      <alignment horizontal="right" vertical="center"/>
    </xf>
    <xf numFmtId="38" fontId="36" fillId="23" borderId="184" xfId="30" applyFont="1" applyFill="1" applyBorder="1" applyAlignment="1">
      <alignment vertical="center"/>
    </xf>
    <xf numFmtId="0" fontId="36" fillId="23" borderId="200" xfId="29" applyFont="1" applyFill="1" applyBorder="1" applyAlignment="1">
      <alignment vertical="center"/>
    </xf>
    <xf numFmtId="38" fontId="43" fillId="28" borderId="174" xfId="43" applyNumberFormat="1" applyBorder="1" applyAlignment="1">
      <alignment vertical="center"/>
    </xf>
    <xf numFmtId="0" fontId="44" fillId="23" borderId="174" xfId="29" applyFont="1" applyBorder="1" applyAlignment="1">
      <alignment vertical="center" shrinkToFit="1"/>
    </xf>
    <xf numFmtId="0" fontId="36" fillId="23" borderId="186" xfId="29" applyBorder="1" applyAlignment="1">
      <alignment horizontal="center" vertical="center"/>
    </xf>
    <xf numFmtId="0" fontId="36" fillId="23" borderId="155" xfId="29" applyBorder="1" applyAlignment="1">
      <alignment horizontal="center" vertical="center"/>
    </xf>
    <xf numFmtId="0" fontId="36" fillId="23" borderId="155" xfId="29" applyAlignment="1">
      <alignment horizontal="center" vertical="center"/>
    </xf>
    <xf numFmtId="0" fontId="36" fillId="23" borderId="180" xfId="29" applyFont="1" applyBorder="1" applyAlignment="1">
      <alignment horizontal="center" vertical="center"/>
    </xf>
    <xf numFmtId="0" fontId="36" fillId="23" borderId="185" xfId="29" applyFont="1" applyBorder="1" applyAlignment="1">
      <alignment horizontal="center" vertical="center"/>
    </xf>
    <xf numFmtId="0" fontId="36" fillId="23" borderId="179" xfId="29" applyFont="1" applyBorder="1" applyAlignment="1">
      <alignment horizontal="center" vertical="center"/>
    </xf>
    <xf numFmtId="0" fontId="36" fillId="23" borderId="184" xfId="29" applyFont="1" applyBorder="1" applyAlignment="1">
      <alignment horizontal="center" vertical="center"/>
    </xf>
    <xf numFmtId="0" fontId="36" fillId="23" borderId="178" xfId="29" applyFont="1" applyBorder="1" applyAlignment="1">
      <alignment horizontal="center" vertical="center"/>
    </xf>
    <xf numFmtId="0" fontId="36" fillId="23" borderId="183" xfId="29" applyFont="1" applyBorder="1" applyAlignment="1">
      <alignment horizontal="center" vertical="center"/>
    </xf>
    <xf numFmtId="0" fontId="36" fillId="23" borderId="176" xfId="29" applyFont="1" applyBorder="1" applyAlignment="1">
      <alignment horizontal="center" vertical="center"/>
    </xf>
    <xf numFmtId="0" fontId="36" fillId="23" borderId="181" xfId="29" applyFont="1" applyBorder="1" applyAlignment="1">
      <alignment horizontal="center" vertical="center"/>
    </xf>
    <xf numFmtId="0" fontId="36" fillId="23" borderId="189" xfId="29" applyFont="1" applyBorder="1" applyAlignment="1">
      <alignment horizontal="center" vertical="center"/>
    </xf>
    <xf numFmtId="0" fontId="36" fillId="23" borderId="188" xfId="29" applyFont="1" applyBorder="1" applyAlignment="1">
      <alignment horizontal="center" vertical="center"/>
    </xf>
    <xf numFmtId="0" fontId="36" fillId="23" borderId="187" xfId="29" applyFont="1" applyBorder="1" applyAlignment="1">
      <alignment horizontal="center" vertical="center"/>
    </xf>
    <xf numFmtId="38" fontId="36" fillId="23" borderId="189" xfId="30" applyFont="1" applyBorder="1" applyAlignment="1">
      <alignment horizontal="center" vertical="center"/>
    </xf>
    <xf numFmtId="38" fontId="36" fillId="23" borderId="188" xfId="30" applyFont="1" applyBorder="1" applyAlignment="1">
      <alignment horizontal="center" vertical="center"/>
    </xf>
    <xf numFmtId="38" fontId="36" fillId="23" borderId="187" xfId="30" applyFont="1" applyBorder="1" applyAlignment="1">
      <alignment horizontal="center" vertical="center"/>
    </xf>
    <xf numFmtId="0" fontId="45" fillId="29" borderId="201" xfId="44"/>
    <xf numFmtId="0" fontId="45" fillId="29" borderId="201" xfId="44" applyFont="1" applyFill="1" applyAlignment="1">
      <alignment vertical="center"/>
    </xf>
    <xf numFmtId="38" fontId="45" fillId="29" borderId="201" xfId="45" applyFont="1" applyFill="1" applyAlignment="1">
      <alignment vertical="center"/>
    </xf>
    <xf numFmtId="0" fontId="45" fillId="29" borderId="201" xfId="44" applyFont="1" applyFill="1" applyAlignment="1">
      <alignment horizontal="right" vertical="center"/>
    </xf>
    <xf numFmtId="177" fontId="45" fillId="29" borderId="201" xfId="44" applyNumberFormat="1" applyFont="1" applyFill="1" applyAlignment="1">
      <alignment vertical="center"/>
    </xf>
    <xf numFmtId="177" fontId="45" fillId="29" borderId="201" xfId="45" applyNumberFormat="1" applyFont="1" applyFill="1" applyAlignment="1">
      <alignment vertical="center"/>
    </xf>
    <xf numFmtId="38" fontId="45" fillId="29" borderId="201" xfId="44" applyNumberFormat="1" applyFont="1" applyFill="1" applyAlignment="1">
      <alignment vertical="center"/>
    </xf>
    <xf numFmtId="38" fontId="45" fillId="29" borderId="202" xfId="45" applyFont="1" applyFill="1" applyBorder="1" applyAlignment="1">
      <alignment vertical="center"/>
    </xf>
    <xf numFmtId="38" fontId="45" fillId="29" borderId="203" xfId="45" applyFont="1" applyFill="1" applyBorder="1" applyAlignment="1">
      <alignment vertical="center"/>
    </xf>
    <xf numFmtId="38" fontId="45" fillId="29" borderId="205" xfId="44" applyNumberFormat="1" applyFont="1" applyFill="1" applyBorder="1" applyAlignment="1">
      <alignment vertical="center"/>
    </xf>
    <xf numFmtId="38" fontId="45" fillId="29" borderId="202" xfId="44" applyNumberFormat="1" applyFont="1" applyFill="1" applyBorder="1" applyAlignment="1">
      <alignment vertical="center"/>
    </xf>
    <xf numFmtId="38" fontId="45" fillId="29" borderId="203" xfId="44" applyNumberFormat="1" applyFont="1" applyFill="1" applyBorder="1" applyAlignment="1">
      <alignment vertical="center"/>
    </xf>
    <xf numFmtId="38" fontId="45" fillId="29" borderId="204" xfId="44" applyNumberFormat="1" applyFont="1" applyFill="1" applyBorder="1" applyAlignment="1">
      <alignment vertical="center"/>
    </xf>
    <xf numFmtId="38" fontId="45" fillId="29" borderId="206" xfId="45" applyFont="1" applyFill="1" applyBorder="1" applyAlignment="1">
      <alignment vertical="center"/>
    </xf>
    <xf numFmtId="38" fontId="45" fillId="29" borderId="207" xfId="44" applyNumberFormat="1" applyFont="1" applyFill="1" applyBorder="1" applyAlignment="1">
      <alignment vertical="center"/>
    </xf>
    <xf numFmtId="38" fontId="45" fillId="29" borderId="206" xfId="44" applyNumberFormat="1" applyFont="1" applyFill="1" applyBorder="1" applyAlignment="1">
      <alignment vertical="center"/>
    </xf>
    <xf numFmtId="0" fontId="45" fillId="29" borderId="205" xfId="44" applyFont="1" applyFill="1" applyBorder="1" applyAlignment="1">
      <alignment horizontal="center" vertical="center" shrinkToFit="1"/>
    </xf>
    <xf numFmtId="0" fontId="45" fillId="29" borderId="206" xfId="44" applyFont="1" applyFill="1" applyBorder="1" applyAlignment="1">
      <alignment horizontal="right" vertical="center"/>
    </xf>
    <xf numFmtId="0" fontId="45" fillId="29" borderId="203" xfId="44" applyFont="1" applyFill="1" applyBorder="1" applyAlignment="1">
      <alignment vertical="center"/>
    </xf>
    <xf numFmtId="0" fontId="45" fillId="29" borderId="204" xfId="44" applyFont="1" applyFill="1" applyBorder="1" applyAlignment="1">
      <alignment vertical="center"/>
    </xf>
    <xf numFmtId="38" fontId="45" fillId="29" borderId="208" xfId="45" applyFont="1" applyFill="1" applyBorder="1" applyAlignment="1">
      <alignment vertical="center"/>
    </xf>
    <xf numFmtId="38" fontId="45" fillId="29" borderId="209" xfId="45" applyFont="1" applyFill="1" applyBorder="1" applyAlignment="1">
      <alignment vertical="center"/>
    </xf>
    <xf numFmtId="38" fontId="45" fillId="29" borderId="210" xfId="45" applyFont="1" applyFill="1" applyBorder="1" applyAlignment="1">
      <alignment vertical="center"/>
    </xf>
    <xf numFmtId="38" fontId="45" fillId="29" borderId="211" xfId="45" applyFont="1" applyFill="1" applyBorder="1" applyAlignment="1">
      <alignment vertical="center"/>
    </xf>
    <xf numFmtId="38" fontId="45" fillId="29" borderId="212" xfId="45" applyFont="1" applyFill="1" applyBorder="1" applyAlignment="1">
      <alignment vertical="center"/>
    </xf>
    <xf numFmtId="38" fontId="45" fillId="29" borderId="208" xfId="44" applyNumberFormat="1" applyFont="1" applyFill="1" applyBorder="1" applyAlignment="1">
      <alignment vertical="center"/>
    </xf>
    <xf numFmtId="38" fontId="45" fillId="29" borderId="209" xfId="44" applyNumberFormat="1" applyFont="1" applyFill="1" applyBorder="1" applyAlignment="1">
      <alignment vertical="center"/>
    </xf>
    <xf numFmtId="38" fontId="45" fillId="29" borderId="213" xfId="44" applyNumberFormat="1" applyFont="1" applyFill="1" applyBorder="1" applyAlignment="1">
      <alignment vertical="center"/>
    </xf>
    <xf numFmtId="38" fontId="45" fillId="29" borderId="210" xfId="44" applyNumberFormat="1" applyFont="1" applyFill="1" applyBorder="1" applyAlignment="1">
      <alignment vertical="center"/>
    </xf>
    <xf numFmtId="38" fontId="45" fillId="29" borderId="211" xfId="44" applyNumberFormat="1" applyFont="1" applyFill="1" applyBorder="1" applyAlignment="1">
      <alignment vertical="center"/>
    </xf>
    <xf numFmtId="38" fontId="45" fillId="29" borderId="212" xfId="44" applyNumberFormat="1" applyFont="1" applyFill="1" applyBorder="1" applyAlignment="1">
      <alignment vertical="center"/>
    </xf>
    <xf numFmtId="0" fontId="45" fillId="29" borderId="211" xfId="44" applyFont="1" applyFill="1" applyBorder="1" applyAlignment="1">
      <alignment horizontal="center" vertical="center" shrinkToFit="1"/>
    </xf>
    <xf numFmtId="0" fontId="45" fillId="29" borderId="212" xfId="44" applyFont="1" applyFill="1" applyBorder="1" applyAlignment="1">
      <alignment horizontal="right" vertical="center"/>
    </xf>
    <xf numFmtId="0" fontId="45" fillId="29" borderId="209" xfId="44" applyFont="1" applyFill="1" applyBorder="1" applyAlignment="1">
      <alignment vertical="center"/>
    </xf>
    <xf numFmtId="0" fontId="45" fillId="29" borderId="210" xfId="44" applyFont="1" applyFill="1" applyBorder="1" applyAlignment="1">
      <alignment vertical="center"/>
    </xf>
    <xf numFmtId="0" fontId="45" fillId="29" borderId="201" xfId="44" applyAlignment="1">
      <alignment vertical="center"/>
    </xf>
    <xf numFmtId="38" fontId="45" fillId="29" borderId="201" xfId="45" applyNumberFormat="1" applyFont="1" applyAlignment="1">
      <alignment vertical="center"/>
    </xf>
    <xf numFmtId="40" fontId="45" fillId="29" borderId="201" xfId="45" applyNumberFormat="1" applyFont="1" applyAlignment="1">
      <alignment vertical="center"/>
    </xf>
    <xf numFmtId="38" fontId="45" fillId="29" borderId="214" xfId="44" applyNumberFormat="1" applyFont="1" applyFill="1" applyBorder="1" applyAlignment="1">
      <alignment vertical="center"/>
    </xf>
    <xf numFmtId="38" fontId="45" fillId="29" borderId="215" xfId="45" applyFont="1" applyFill="1" applyBorder="1" applyAlignment="1">
      <alignment vertical="center"/>
    </xf>
    <xf numFmtId="38" fontId="45" fillId="29" borderId="216" xfId="45" applyFont="1" applyFill="1" applyBorder="1" applyAlignment="1">
      <alignment vertical="center"/>
    </xf>
    <xf numFmtId="38" fontId="45" fillId="29" borderId="217" xfId="44" applyNumberFormat="1" applyFont="1" applyFill="1" applyBorder="1" applyAlignment="1">
      <alignment vertical="center"/>
    </xf>
    <xf numFmtId="38" fontId="45" fillId="29" borderId="215" xfId="44" applyNumberFormat="1" applyFont="1" applyFill="1" applyBorder="1" applyAlignment="1">
      <alignment vertical="center"/>
    </xf>
    <xf numFmtId="38" fontId="45" fillId="29" borderId="216" xfId="44" applyNumberFormat="1" applyFont="1" applyFill="1" applyBorder="1" applyAlignment="1">
      <alignment vertical="center"/>
    </xf>
    <xf numFmtId="38" fontId="45" fillId="29" borderId="214" xfId="45" applyFont="1" applyFill="1" applyBorder="1" applyAlignment="1">
      <alignment vertical="center"/>
    </xf>
    <xf numFmtId="38" fontId="45" fillId="29" borderId="218" xfId="45" applyFont="1" applyFill="1" applyBorder="1" applyAlignment="1">
      <alignment vertical="center"/>
    </xf>
    <xf numFmtId="38" fontId="45" fillId="31" borderId="214" xfId="45" applyFont="1" applyFill="1" applyBorder="1" applyAlignment="1">
      <alignment vertical="center"/>
    </xf>
    <xf numFmtId="38" fontId="45" fillId="29" borderId="219" xfId="45" applyFont="1" applyFill="1" applyBorder="1" applyAlignment="1">
      <alignment vertical="center"/>
    </xf>
    <xf numFmtId="38" fontId="45" fillId="29" borderId="220" xfId="45" applyFont="1" applyFill="1" applyBorder="1" applyAlignment="1">
      <alignment vertical="center"/>
    </xf>
    <xf numFmtId="38" fontId="45" fillId="29" borderId="217" xfId="45" applyFont="1" applyFill="1" applyBorder="1" applyAlignment="1">
      <alignment vertical="center"/>
    </xf>
    <xf numFmtId="38" fontId="45" fillId="31" borderId="217" xfId="45" applyFont="1" applyFill="1" applyBorder="1" applyAlignment="1">
      <alignment vertical="center"/>
    </xf>
    <xf numFmtId="38" fontId="45" fillId="31" borderId="218" xfId="45" applyFont="1" applyFill="1" applyBorder="1" applyAlignment="1">
      <alignment vertical="center"/>
    </xf>
    <xf numFmtId="38" fontId="45" fillId="31" borderId="215" xfId="45" applyFont="1" applyFill="1" applyBorder="1" applyAlignment="1">
      <alignment vertical="center"/>
    </xf>
    <xf numFmtId="38" fontId="45" fillId="31" borderId="216" xfId="45" applyFont="1" applyFill="1" applyBorder="1" applyAlignment="1">
      <alignment vertical="center"/>
    </xf>
    <xf numFmtId="38" fontId="48" fillId="29" borderId="217" xfId="45" applyFont="1" applyFill="1" applyBorder="1"/>
    <xf numFmtId="0" fontId="45" fillId="29" borderId="218" xfId="44" applyFont="1" applyFill="1" applyBorder="1" applyAlignment="1">
      <alignment horizontal="right" vertical="center" shrinkToFit="1"/>
    </xf>
    <xf numFmtId="0" fontId="45" fillId="29" borderId="215" xfId="44" applyFont="1" applyFill="1" applyBorder="1" applyAlignment="1">
      <alignment horizontal="center" vertical="center" shrinkToFit="1"/>
    </xf>
    <xf numFmtId="0" fontId="45" fillId="29" borderId="216" xfId="44" applyFont="1" applyFill="1" applyBorder="1" applyAlignment="1">
      <alignment vertical="center" shrinkToFit="1"/>
    </xf>
    <xf numFmtId="38" fontId="45" fillId="29" borderId="221" xfId="44" applyNumberFormat="1" applyFont="1" applyFill="1" applyBorder="1" applyAlignment="1">
      <alignment vertical="center"/>
    </xf>
    <xf numFmtId="38" fontId="45" fillId="29" borderId="222" xfId="45" applyFont="1" applyFill="1" applyBorder="1" applyAlignment="1">
      <alignment vertical="center"/>
    </xf>
    <xf numFmtId="38" fontId="45" fillId="29" borderId="223" xfId="45" applyFont="1" applyFill="1" applyBorder="1" applyAlignment="1">
      <alignment vertical="center"/>
    </xf>
    <xf numFmtId="38" fontId="45" fillId="29" borderId="224" xfId="44" applyNumberFormat="1" applyFont="1" applyFill="1" applyBorder="1" applyAlignment="1">
      <alignment vertical="center"/>
    </xf>
    <xf numFmtId="38" fontId="45" fillId="29" borderId="222" xfId="44" applyNumberFormat="1" applyFont="1" applyFill="1" applyBorder="1" applyAlignment="1">
      <alignment vertical="center"/>
    </xf>
    <xf numFmtId="38" fontId="45" fillId="29" borderId="223" xfId="44" applyNumberFormat="1" applyFont="1" applyFill="1" applyBorder="1" applyAlignment="1">
      <alignment vertical="center"/>
    </xf>
    <xf numFmtId="38" fontId="45" fillId="29" borderId="221" xfId="45" applyFont="1" applyFill="1" applyBorder="1" applyAlignment="1">
      <alignment vertical="center"/>
    </xf>
    <xf numFmtId="38" fontId="45" fillId="29" borderId="225" xfId="45" applyFont="1" applyFill="1" applyBorder="1" applyAlignment="1">
      <alignment vertical="center"/>
    </xf>
    <xf numFmtId="38" fontId="45" fillId="29" borderId="226" xfId="45" applyFont="1" applyFill="1" applyBorder="1" applyAlignment="1">
      <alignment vertical="center"/>
    </xf>
    <xf numFmtId="38" fontId="45" fillId="29" borderId="227" xfId="45" applyFont="1" applyFill="1" applyBorder="1" applyAlignment="1">
      <alignment vertical="center"/>
    </xf>
    <xf numFmtId="38" fontId="45" fillId="29" borderId="224" xfId="45" applyFont="1" applyFill="1" applyBorder="1" applyAlignment="1">
      <alignment vertical="center"/>
    </xf>
    <xf numFmtId="38" fontId="49" fillId="29" borderId="224" xfId="45" applyFont="1" applyFill="1" applyBorder="1"/>
    <xf numFmtId="0" fontId="45" fillId="29" borderId="225" xfId="44" applyFont="1" applyFill="1" applyBorder="1" applyAlignment="1">
      <alignment horizontal="right" vertical="center" shrinkToFit="1"/>
    </xf>
    <xf numFmtId="0" fontId="45" fillId="29" borderId="222" xfId="44" applyFont="1" applyFill="1" applyBorder="1" applyAlignment="1">
      <alignment horizontal="center" vertical="center" shrinkToFit="1"/>
    </xf>
    <xf numFmtId="0" fontId="45" fillId="29" borderId="223" xfId="44" applyFont="1" applyFill="1" applyBorder="1" applyAlignment="1">
      <alignment vertical="center" shrinkToFit="1"/>
    </xf>
    <xf numFmtId="38" fontId="45" fillId="29" borderId="228" xfId="44" applyNumberFormat="1" applyFont="1" applyFill="1" applyBorder="1" applyAlignment="1">
      <alignment vertical="center"/>
    </xf>
    <xf numFmtId="38" fontId="45" fillId="29" borderId="229" xfId="45" applyFont="1" applyFill="1" applyBorder="1" applyAlignment="1">
      <alignment vertical="center"/>
    </xf>
    <xf numFmtId="38" fontId="45" fillId="29" borderId="230" xfId="45" applyFont="1" applyFill="1" applyBorder="1" applyAlignment="1">
      <alignment vertical="center"/>
    </xf>
    <xf numFmtId="38" fontId="45" fillId="29" borderId="231" xfId="44" applyNumberFormat="1" applyFont="1" applyFill="1" applyBorder="1" applyAlignment="1">
      <alignment vertical="center"/>
    </xf>
    <xf numFmtId="38" fontId="45" fillId="29" borderId="229" xfId="44" applyNumberFormat="1" applyFont="1" applyFill="1" applyBorder="1" applyAlignment="1">
      <alignment vertical="center"/>
    </xf>
    <xf numFmtId="38" fontId="45" fillId="29" borderId="230" xfId="44" applyNumberFormat="1" applyFont="1" applyFill="1" applyBorder="1" applyAlignment="1">
      <alignment vertical="center"/>
    </xf>
    <xf numFmtId="38" fontId="45" fillId="29" borderId="228" xfId="45" applyFont="1" applyFill="1" applyBorder="1" applyAlignment="1">
      <alignment vertical="center"/>
    </xf>
    <xf numFmtId="38" fontId="45" fillId="29" borderId="232" xfId="45" applyFont="1" applyFill="1" applyBorder="1" applyAlignment="1">
      <alignment vertical="center"/>
    </xf>
    <xf numFmtId="38" fontId="45" fillId="31" borderId="228" xfId="45" applyFont="1" applyFill="1" applyBorder="1" applyAlignment="1">
      <alignment vertical="center"/>
    </xf>
    <xf numFmtId="38" fontId="45" fillId="29" borderId="233" xfId="45" applyFont="1" applyFill="1" applyBorder="1" applyAlignment="1">
      <alignment vertical="center"/>
    </xf>
    <xf numFmtId="38" fontId="45" fillId="29" borderId="234" xfId="45" applyFont="1" applyFill="1" applyBorder="1" applyAlignment="1">
      <alignment vertical="center"/>
    </xf>
    <xf numFmtId="38" fontId="45" fillId="29" borderId="231" xfId="45" applyFont="1" applyFill="1" applyBorder="1" applyAlignment="1">
      <alignment vertical="center"/>
    </xf>
    <xf numFmtId="38" fontId="45" fillId="31" borderId="231" xfId="45" applyFont="1" applyFill="1" applyBorder="1" applyAlignment="1">
      <alignment vertical="center"/>
    </xf>
    <xf numFmtId="38" fontId="48" fillId="29" borderId="231" xfId="45" applyFont="1" applyFill="1" applyBorder="1"/>
    <xf numFmtId="0" fontId="45" fillId="29" borderId="233" xfId="44" applyFont="1" applyFill="1" applyBorder="1" applyAlignment="1">
      <alignment horizontal="right" vertical="center" shrinkToFit="1"/>
    </xf>
    <xf numFmtId="0" fontId="45" fillId="29" borderId="229" xfId="44" applyFont="1" applyFill="1" applyBorder="1" applyAlignment="1">
      <alignment horizontal="center" vertical="center" shrinkToFit="1"/>
    </xf>
    <xf numFmtId="0" fontId="45" fillId="29" borderId="230" xfId="44" applyFont="1" applyFill="1" applyBorder="1" applyAlignment="1">
      <alignment vertical="center" shrinkToFit="1"/>
    </xf>
    <xf numFmtId="38" fontId="45" fillId="29" borderId="235" xfId="44" applyNumberFormat="1" applyFont="1" applyFill="1" applyBorder="1" applyAlignment="1">
      <alignment vertical="center"/>
    </xf>
    <xf numFmtId="38" fontId="45" fillId="29" borderId="236" xfId="45" applyFont="1" applyFill="1" applyBorder="1" applyAlignment="1">
      <alignment vertical="center"/>
    </xf>
    <xf numFmtId="38" fontId="45" fillId="29" borderId="237" xfId="45" applyFont="1" applyFill="1" applyBorder="1" applyAlignment="1">
      <alignment vertical="center"/>
    </xf>
    <xf numFmtId="38" fontId="45" fillId="29" borderId="238" xfId="44" applyNumberFormat="1" applyFont="1" applyFill="1" applyBorder="1" applyAlignment="1">
      <alignment vertical="center"/>
    </xf>
    <xf numFmtId="38" fontId="45" fillId="29" borderId="236" xfId="44" applyNumberFormat="1" applyFont="1" applyFill="1" applyBorder="1" applyAlignment="1">
      <alignment vertical="center"/>
    </xf>
    <xf numFmtId="38" fontId="45" fillId="29" borderId="237" xfId="44" applyNumberFormat="1" applyFont="1" applyFill="1" applyBorder="1" applyAlignment="1">
      <alignment vertical="center"/>
    </xf>
    <xf numFmtId="38" fontId="45" fillId="29" borderId="235" xfId="45" applyFont="1" applyFill="1" applyBorder="1" applyAlignment="1">
      <alignment vertical="center"/>
    </xf>
    <xf numFmtId="38" fontId="45" fillId="29" borderId="239" xfId="45" applyFont="1" applyFill="1" applyBorder="1" applyAlignment="1">
      <alignment vertical="center"/>
    </xf>
    <xf numFmtId="38" fontId="45" fillId="29" borderId="240" xfId="45" applyFont="1" applyFill="1" applyBorder="1" applyAlignment="1">
      <alignment vertical="center"/>
    </xf>
    <xf numFmtId="38" fontId="45" fillId="29" borderId="241" xfId="45" applyFont="1" applyFill="1" applyBorder="1" applyAlignment="1">
      <alignment vertical="center"/>
    </xf>
    <xf numFmtId="38" fontId="45" fillId="29" borderId="238" xfId="45" applyFont="1" applyFill="1" applyBorder="1" applyAlignment="1">
      <alignment vertical="center"/>
    </xf>
    <xf numFmtId="38" fontId="48" fillId="29" borderId="238" xfId="45" applyFont="1" applyFill="1" applyBorder="1"/>
    <xf numFmtId="0" fontId="45" fillId="29" borderId="240" xfId="44" applyFont="1" applyFill="1" applyBorder="1" applyAlignment="1">
      <alignment horizontal="right" vertical="center" shrinkToFit="1"/>
    </xf>
    <xf numFmtId="0" fontId="45" fillId="29" borderId="236" xfId="44" applyFont="1" applyFill="1" applyBorder="1" applyAlignment="1">
      <alignment horizontal="center" vertical="center" shrinkToFit="1"/>
    </xf>
    <xf numFmtId="0" fontId="45" fillId="29" borderId="237" xfId="44" applyFont="1" applyFill="1" applyBorder="1" applyAlignment="1">
      <alignment vertical="center" shrinkToFit="1"/>
    </xf>
    <xf numFmtId="38" fontId="45" fillId="29" borderId="242" xfId="44" applyNumberFormat="1" applyFont="1" applyFill="1" applyBorder="1" applyAlignment="1">
      <alignment vertical="center"/>
    </xf>
    <xf numFmtId="38" fontId="45" fillId="29" borderId="243" xfId="45" applyFont="1" applyFill="1" applyBorder="1" applyAlignment="1">
      <alignment vertical="center"/>
    </xf>
    <xf numFmtId="38" fontId="45" fillId="29" borderId="244" xfId="45" applyFont="1" applyFill="1" applyBorder="1" applyAlignment="1">
      <alignment vertical="center"/>
    </xf>
    <xf numFmtId="38" fontId="45" fillId="29" borderId="245" xfId="44" applyNumberFormat="1" applyFont="1" applyFill="1" applyBorder="1" applyAlignment="1">
      <alignment vertical="center"/>
    </xf>
    <xf numFmtId="38" fontId="45" fillId="29" borderId="243" xfId="44" applyNumberFormat="1" applyFont="1" applyFill="1" applyBorder="1" applyAlignment="1">
      <alignment vertical="center"/>
    </xf>
    <xf numFmtId="38" fontId="45" fillId="29" borderId="244" xfId="44" applyNumberFormat="1" applyFont="1" applyFill="1" applyBorder="1" applyAlignment="1">
      <alignment vertical="center"/>
    </xf>
    <xf numFmtId="38" fontId="45" fillId="29" borderId="242" xfId="45" applyFont="1" applyFill="1" applyBorder="1" applyAlignment="1">
      <alignment vertical="center"/>
    </xf>
    <xf numFmtId="38" fontId="45" fillId="29" borderId="246" xfId="45" applyFont="1" applyFill="1" applyBorder="1" applyAlignment="1">
      <alignment vertical="center"/>
    </xf>
    <xf numFmtId="38" fontId="45" fillId="29" borderId="247" xfId="45" applyFont="1" applyFill="1" applyBorder="1" applyAlignment="1">
      <alignment vertical="center"/>
    </xf>
    <xf numFmtId="38" fontId="45" fillId="29" borderId="248" xfId="45" applyFont="1" applyFill="1" applyBorder="1" applyAlignment="1">
      <alignment vertical="center"/>
    </xf>
    <xf numFmtId="38" fontId="45" fillId="29" borderId="245" xfId="45" applyFont="1" applyFill="1" applyBorder="1" applyAlignment="1">
      <alignment vertical="center"/>
    </xf>
    <xf numFmtId="38" fontId="48" fillId="29" borderId="245" xfId="45" applyFont="1" applyFill="1" applyBorder="1"/>
    <xf numFmtId="0" fontId="45" fillId="29" borderId="247" xfId="44" applyFont="1" applyFill="1" applyBorder="1" applyAlignment="1">
      <alignment horizontal="right" vertical="center" shrinkToFit="1"/>
    </xf>
    <xf numFmtId="0" fontId="45" fillId="29" borderId="243" xfId="44" applyFont="1" applyFill="1" applyBorder="1" applyAlignment="1">
      <alignment horizontal="center" vertical="center" shrinkToFit="1"/>
    </xf>
    <xf numFmtId="0" fontId="45" fillId="29" borderId="244" xfId="44" applyFont="1" applyFill="1" applyBorder="1" applyAlignment="1">
      <alignment vertical="center" shrinkToFit="1"/>
    </xf>
    <xf numFmtId="38" fontId="45" fillId="31" borderId="235" xfId="45" applyFont="1" applyFill="1" applyBorder="1" applyAlignment="1">
      <alignment vertical="center"/>
    </xf>
    <xf numFmtId="38" fontId="45" fillId="32" borderId="234" xfId="45" applyFont="1" applyFill="1" applyBorder="1" applyAlignment="1">
      <alignment vertical="center"/>
    </xf>
    <xf numFmtId="38" fontId="45" fillId="32" borderId="229" xfId="45" applyFont="1" applyFill="1" applyBorder="1" applyAlignment="1">
      <alignment vertical="center"/>
    </xf>
    <xf numFmtId="38" fontId="45" fillId="31" borderId="232" xfId="45" applyFont="1" applyFill="1" applyBorder="1" applyAlignment="1">
      <alignment vertical="center"/>
    </xf>
    <xf numFmtId="38" fontId="45" fillId="31" borderId="229" xfId="45" applyFont="1" applyFill="1" applyBorder="1" applyAlignment="1">
      <alignment vertical="center"/>
    </xf>
    <xf numFmtId="38" fontId="45" fillId="31" borderId="230" xfId="45" applyFont="1" applyFill="1" applyBorder="1" applyAlignment="1">
      <alignment vertical="center"/>
    </xf>
    <xf numFmtId="38" fontId="45" fillId="33" borderId="234" xfId="45" applyFont="1" applyFill="1" applyBorder="1" applyAlignment="1">
      <alignment vertical="center"/>
    </xf>
    <xf numFmtId="38" fontId="45" fillId="33" borderId="229" xfId="45" applyFont="1" applyFill="1" applyBorder="1" applyAlignment="1">
      <alignment vertical="center"/>
    </xf>
    <xf numFmtId="38" fontId="45" fillId="33" borderId="241" xfId="45" applyFont="1" applyFill="1" applyBorder="1" applyAlignment="1">
      <alignment vertical="center"/>
    </xf>
    <xf numFmtId="38" fontId="45" fillId="33" borderId="236" xfId="45" applyFont="1" applyFill="1" applyBorder="1" applyAlignment="1">
      <alignment vertical="center"/>
    </xf>
    <xf numFmtId="38" fontId="45" fillId="31" borderId="238" xfId="45" applyFont="1" applyFill="1" applyBorder="1" applyAlignment="1">
      <alignment vertical="center"/>
    </xf>
    <xf numFmtId="0" fontId="45" fillId="29" borderId="201" xfId="44" applyFont="1" applyFill="1" applyAlignment="1">
      <alignment horizontal="center" vertical="center"/>
    </xf>
    <xf numFmtId="0" fontId="45" fillId="29" borderId="201" xfId="44" applyAlignment="1">
      <alignment horizontal="center" vertical="center"/>
    </xf>
    <xf numFmtId="38" fontId="45" fillId="29" borderId="214" xfId="45" applyFont="1" applyFill="1" applyBorder="1" applyAlignment="1">
      <alignment horizontal="center" vertical="center"/>
    </xf>
    <xf numFmtId="38" fontId="45" fillId="29" borderId="228" xfId="45" applyFont="1" applyFill="1" applyBorder="1" applyAlignment="1">
      <alignment horizontal="center" vertical="center"/>
    </xf>
    <xf numFmtId="38" fontId="45" fillId="29" borderId="232" xfId="45" applyFont="1" applyFill="1" applyBorder="1" applyAlignment="1">
      <alignment horizontal="center" vertical="center"/>
    </xf>
    <xf numFmtId="38" fontId="45" fillId="29" borderId="229" xfId="45" applyFont="1" applyFill="1" applyBorder="1" applyAlignment="1">
      <alignment horizontal="center" vertical="center"/>
    </xf>
    <xf numFmtId="38" fontId="45" fillId="29" borderId="230" xfId="45" applyFont="1" applyFill="1" applyBorder="1" applyAlignment="1">
      <alignment horizontal="center" vertical="center"/>
    </xf>
    <xf numFmtId="38" fontId="45" fillId="29" borderId="215" xfId="45" applyFont="1" applyFill="1" applyBorder="1" applyAlignment="1">
      <alignment horizontal="center" vertical="center"/>
    </xf>
    <xf numFmtId="176" fontId="45" fillId="29" borderId="215" xfId="46" applyNumberFormat="1" applyFont="1" applyFill="1" applyBorder="1" applyAlignment="1">
      <alignment horizontal="center" vertical="center"/>
    </xf>
    <xf numFmtId="176" fontId="45" fillId="29" borderId="216" xfId="46" applyNumberFormat="1" applyFont="1" applyFill="1" applyBorder="1" applyAlignment="1">
      <alignment horizontal="center" vertical="center"/>
    </xf>
    <xf numFmtId="176" fontId="45" fillId="29" borderId="232" xfId="46" applyNumberFormat="1" applyFont="1" applyFill="1" applyBorder="1" applyAlignment="1">
      <alignment horizontal="center" vertical="center"/>
    </xf>
    <xf numFmtId="176" fontId="45" fillId="29" borderId="229" xfId="46" applyNumberFormat="1" applyFont="1" applyFill="1" applyBorder="1" applyAlignment="1">
      <alignment horizontal="center" vertical="center"/>
    </xf>
    <xf numFmtId="176" fontId="45" fillId="29" borderId="230" xfId="46" applyNumberFormat="1" applyFont="1" applyFill="1" applyBorder="1" applyAlignment="1">
      <alignment horizontal="center" vertical="center"/>
    </xf>
    <xf numFmtId="0" fontId="45" fillId="29" borderId="242" xfId="44" applyFont="1" applyFill="1" applyBorder="1" applyAlignment="1">
      <alignment horizontal="center" vertical="center"/>
    </xf>
    <xf numFmtId="0" fontId="45" fillId="29" borderId="267" xfId="44" applyFont="1" applyFill="1" applyBorder="1" applyAlignment="1">
      <alignment vertical="center"/>
    </xf>
    <xf numFmtId="0" fontId="51" fillId="29" borderId="267" xfId="44" applyFont="1" applyFill="1" applyBorder="1" applyAlignment="1">
      <alignment vertical="center"/>
    </xf>
    <xf numFmtId="40" fontId="45" fillId="29" borderId="201" xfId="45" applyNumberFormat="1" applyFont="1" applyFill="1" applyAlignment="1">
      <alignment vertical="center"/>
    </xf>
    <xf numFmtId="38" fontId="45" fillId="29" borderId="201" xfId="45" applyNumberFormat="1" applyFont="1" applyFill="1" applyAlignment="1">
      <alignment vertical="center"/>
    </xf>
    <xf numFmtId="0" fontId="45" fillId="29" borderId="201" xfId="44" applyFill="1" applyAlignment="1">
      <alignment vertical="center"/>
    </xf>
    <xf numFmtId="38" fontId="45" fillId="34" borderId="204" xfId="44" applyNumberFormat="1" applyFont="1" applyFill="1" applyBorder="1" applyAlignment="1">
      <alignment vertical="center"/>
    </xf>
    <xf numFmtId="38" fontId="45" fillId="34" borderId="203" xfId="44" applyNumberFormat="1" applyFont="1" applyFill="1" applyBorder="1" applyAlignment="1">
      <alignment vertical="center"/>
    </xf>
    <xf numFmtId="0" fontId="45" fillId="29" borderId="201" xfId="44" applyFont="1" applyFill="1" applyAlignment="1">
      <alignment horizontal="left" vertical="center"/>
    </xf>
    <xf numFmtId="38" fontId="45" fillId="35" borderId="217" xfId="45" applyFont="1" applyFill="1" applyBorder="1" applyAlignment="1">
      <alignment vertical="center"/>
    </xf>
    <xf numFmtId="38" fontId="45" fillId="36" borderId="231" xfId="45" applyFont="1" applyFill="1" applyBorder="1" applyAlignment="1">
      <alignment vertical="center"/>
    </xf>
    <xf numFmtId="180" fontId="45" fillId="37" borderId="218" xfId="46" applyNumberFormat="1" applyFont="1" applyFill="1" applyBorder="1" applyAlignment="1">
      <alignment horizontal="center" vertical="center"/>
    </xf>
    <xf numFmtId="180" fontId="45" fillId="37" borderId="201" xfId="46" applyNumberFormat="1" applyFont="1" applyFill="1" applyBorder="1" applyAlignment="1">
      <alignment horizontal="center" vertical="center" shrinkToFit="1"/>
    </xf>
    <xf numFmtId="38" fontId="45" fillId="38" borderId="229" xfId="45" applyFont="1" applyFill="1" applyBorder="1" applyAlignment="1">
      <alignment vertical="center"/>
    </xf>
    <xf numFmtId="0" fontId="45" fillId="29" borderId="264" xfId="44" applyFont="1" applyFill="1" applyBorder="1" applyAlignment="1">
      <alignment horizontal="center" vertical="center"/>
    </xf>
    <xf numFmtId="0" fontId="45" fillId="29" borderId="263" xfId="44" applyFont="1" applyFill="1" applyBorder="1" applyAlignment="1">
      <alignment horizontal="center" vertical="center"/>
    </xf>
    <xf numFmtId="0" fontId="45" fillId="29" borderId="262" xfId="44" applyFont="1" applyFill="1" applyBorder="1" applyAlignment="1">
      <alignment horizontal="center" vertical="center"/>
    </xf>
    <xf numFmtId="0" fontId="45" fillId="29" borderId="250" xfId="44" applyFont="1" applyFill="1" applyBorder="1" applyAlignment="1">
      <alignment horizontal="center" vertical="center"/>
    </xf>
    <xf numFmtId="0" fontId="45" fillId="29" borderId="201" xfId="44" applyFont="1" applyFill="1" applyBorder="1" applyAlignment="1">
      <alignment horizontal="center" vertical="center"/>
    </xf>
    <xf numFmtId="0" fontId="45" fillId="29" borderId="254" xfId="44" applyFont="1" applyFill="1" applyBorder="1" applyAlignment="1">
      <alignment horizontal="center" vertical="center"/>
    </xf>
    <xf numFmtId="0" fontId="45" fillId="29" borderId="256" xfId="44" applyFont="1" applyFill="1" applyBorder="1" applyAlignment="1">
      <alignment horizontal="center" vertical="center"/>
    </xf>
    <xf numFmtId="0" fontId="45" fillId="29" borderId="247" xfId="44" applyFont="1" applyFill="1" applyBorder="1" applyAlignment="1">
      <alignment horizontal="center" vertical="center"/>
    </xf>
    <xf numFmtId="0" fontId="45" fillId="29" borderId="255" xfId="44" applyFont="1" applyFill="1" applyBorder="1" applyAlignment="1">
      <alignment horizontal="center" vertical="center"/>
    </xf>
    <xf numFmtId="38" fontId="45" fillId="29" borderId="264" xfId="45" applyFont="1" applyFill="1" applyBorder="1" applyAlignment="1">
      <alignment horizontal="center" vertical="center"/>
    </xf>
    <xf numFmtId="38" fontId="45" fillId="29" borderId="263" xfId="45" applyFont="1" applyFill="1" applyBorder="1" applyAlignment="1">
      <alignment horizontal="center" vertical="center"/>
    </xf>
    <xf numFmtId="38" fontId="45" fillId="29" borderId="262" xfId="45" applyFont="1" applyFill="1" applyBorder="1" applyAlignment="1">
      <alignment horizontal="center" vertical="center"/>
    </xf>
    <xf numFmtId="38" fontId="45" fillId="29" borderId="250" xfId="45" applyFont="1" applyFill="1" applyBorder="1" applyAlignment="1">
      <alignment horizontal="center" vertical="center"/>
    </xf>
    <xf numFmtId="38" fontId="45" fillId="29" borderId="201" xfId="45" applyFont="1" applyFill="1" applyBorder="1" applyAlignment="1">
      <alignment horizontal="center" vertical="center"/>
    </xf>
    <xf numFmtId="38" fontId="45" fillId="29" borderId="254" xfId="45" applyFont="1" applyFill="1" applyBorder="1" applyAlignment="1">
      <alignment horizontal="center" vertical="center"/>
    </xf>
    <xf numFmtId="38" fontId="45" fillId="29" borderId="256" xfId="45" applyFont="1" applyFill="1" applyBorder="1" applyAlignment="1">
      <alignment horizontal="center" vertical="center"/>
    </xf>
    <xf numFmtId="38" fontId="45" fillId="29" borderId="247" xfId="45" applyFont="1" applyFill="1" applyBorder="1" applyAlignment="1">
      <alignment horizontal="center" vertical="center"/>
    </xf>
    <xf numFmtId="38" fontId="45" fillId="29" borderId="255" xfId="45" applyFont="1" applyFill="1" applyBorder="1" applyAlignment="1">
      <alignment horizontal="center" vertical="center"/>
    </xf>
    <xf numFmtId="0" fontId="45" fillId="29" borderId="237" xfId="44" applyFont="1" applyFill="1" applyBorder="1" applyAlignment="1">
      <alignment horizontal="center" vertical="center"/>
    </xf>
    <xf numFmtId="0" fontId="45" fillId="29" borderId="236" xfId="44" applyFont="1" applyFill="1" applyBorder="1" applyAlignment="1">
      <alignment horizontal="center" vertical="center"/>
    </xf>
    <xf numFmtId="0" fontId="50" fillId="29" borderId="241" xfId="44" applyFont="1" applyFill="1" applyBorder="1" applyAlignment="1">
      <alignment horizontal="center" vertical="center" wrapText="1"/>
    </xf>
    <xf numFmtId="0" fontId="50" fillId="29" borderId="220" xfId="44" applyFont="1" applyFill="1" applyBorder="1" applyAlignment="1">
      <alignment horizontal="center" vertical="center" wrapText="1"/>
    </xf>
    <xf numFmtId="0" fontId="45" fillId="29" borderId="235" xfId="44" applyFont="1" applyFill="1" applyBorder="1" applyAlignment="1">
      <alignment horizontal="center" vertical="center"/>
    </xf>
    <xf numFmtId="0" fontId="45" fillId="29" borderId="214" xfId="44" applyFont="1" applyFill="1" applyBorder="1" applyAlignment="1">
      <alignment horizontal="center" vertical="center"/>
    </xf>
    <xf numFmtId="0" fontId="45" fillId="29" borderId="261" xfId="44" applyFont="1" applyFill="1" applyBorder="1" applyAlignment="1">
      <alignment horizontal="center" vertical="center" wrapText="1"/>
    </xf>
    <xf numFmtId="0" fontId="45" fillId="29" borderId="253" xfId="44" applyFont="1" applyFill="1" applyBorder="1" applyAlignment="1">
      <alignment horizontal="center" vertical="center"/>
    </xf>
    <xf numFmtId="0" fontId="45" fillId="29" borderId="217" xfId="44" applyFont="1" applyFill="1" applyBorder="1" applyAlignment="1">
      <alignment horizontal="center" vertical="center"/>
    </xf>
    <xf numFmtId="0" fontId="45" fillId="29" borderId="260" xfId="44" applyFont="1" applyFill="1" applyBorder="1" applyAlignment="1">
      <alignment horizontal="center" vertical="center"/>
    </xf>
    <xf numFmtId="0" fontId="45" fillId="29" borderId="259" xfId="44" applyFont="1" applyFill="1" applyBorder="1" applyAlignment="1">
      <alignment horizontal="center" vertical="center"/>
    </xf>
    <xf numFmtId="0" fontId="45" fillId="29" borderId="258" xfId="44" applyFont="1" applyFill="1" applyBorder="1" applyAlignment="1">
      <alignment horizontal="center" vertical="center"/>
    </xf>
    <xf numFmtId="0" fontId="45" fillId="29" borderId="265" xfId="44" applyFont="1" applyFill="1" applyBorder="1" applyAlignment="1">
      <alignment horizontal="center" vertical="center" wrapText="1"/>
    </xf>
    <xf numFmtId="0" fontId="45" fillId="29" borderId="205" xfId="44" applyFont="1" applyFill="1" applyBorder="1" applyAlignment="1">
      <alignment horizontal="center" vertical="center"/>
    </xf>
    <xf numFmtId="0" fontId="45" fillId="29" borderId="257" xfId="44" applyFont="1" applyFill="1" applyBorder="1" applyAlignment="1">
      <alignment horizontal="center" vertical="center"/>
    </xf>
    <xf numFmtId="0" fontId="45" fillId="29" borderId="240" xfId="44" applyFont="1" applyFill="1" applyBorder="1" applyAlignment="1">
      <alignment horizontal="center" vertical="center"/>
    </xf>
    <xf numFmtId="0" fontId="45" fillId="29" borderId="241" xfId="44" applyFont="1" applyFill="1" applyBorder="1" applyAlignment="1">
      <alignment horizontal="center" vertical="center"/>
    </xf>
    <xf numFmtId="0" fontId="45" fillId="29" borderId="252" xfId="44" applyFont="1" applyFill="1" applyBorder="1" applyAlignment="1">
      <alignment horizontal="center" vertical="center"/>
    </xf>
    <xf numFmtId="0" fontId="45" fillId="29" borderId="230" xfId="44" applyFont="1" applyFill="1" applyBorder="1" applyAlignment="1">
      <alignment horizontal="center" vertical="center"/>
    </xf>
    <xf numFmtId="0" fontId="45" fillId="29" borderId="251" xfId="44" applyFont="1" applyFill="1" applyBorder="1" applyAlignment="1">
      <alignment horizontal="center" vertical="center"/>
    </xf>
    <xf numFmtId="0" fontId="45" fillId="29" borderId="229" xfId="44" applyFont="1" applyFill="1" applyBorder="1" applyAlignment="1">
      <alignment horizontal="center" vertical="center"/>
    </xf>
    <xf numFmtId="0" fontId="45" fillId="29" borderId="266" xfId="44" applyFont="1" applyFill="1" applyBorder="1" applyAlignment="1">
      <alignment horizontal="center" vertical="center"/>
    </xf>
    <xf numFmtId="0" fontId="45" fillId="29" borderId="249" xfId="44" applyFont="1" applyFill="1" applyBorder="1" applyAlignment="1">
      <alignment horizontal="center" vertical="center"/>
    </xf>
    <xf numFmtId="0" fontId="45" fillId="29" borderId="261" xfId="44" applyFont="1" applyFill="1" applyBorder="1" applyAlignment="1">
      <alignment horizontal="center" vertical="center"/>
    </xf>
    <xf numFmtId="0" fontId="45" fillId="29" borderId="231" xfId="44" applyFont="1" applyFill="1" applyBorder="1" applyAlignment="1">
      <alignment horizontal="center" vertical="center"/>
    </xf>
    <xf numFmtId="0" fontId="45" fillId="29" borderId="201" xfId="44" applyBorder="1" applyAlignment="1">
      <alignment horizontal="center" vertical="center"/>
    </xf>
    <xf numFmtId="0" fontId="45" fillId="29" borderId="201" xfId="44" applyAlignment="1">
      <alignment horizontal="center" vertical="center"/>
    </xf>
    <xf numFmtId="0" fontId="45" fillId="29" borderId="229" xfId="44" applyFont="1" applyFill="1" applyBorder="1" applyAlignment="1">
      <alignment horizontal="center" vertical="center" wrapText="1"/>
    </xf>
    <xf numFmtId="0" fontId="45" fillId="29" borderId="251" xfId="44" applyFont="1" applyFill="1" applyBorder="1" applyAlignment="1">
      <alignment horizontal="center" vertical="center" wrapText="1"/>
    </xf>
    <xf numFmtId="0" fontId="45" fillId="29" borderId="203" xfId="44" applyFont="1" applyFill="1" applyBorder="1" applyAlignment="1">
      <alignment horizontal="center" vertical="center" wrapText="1"/>
    </xf>
    <xf numFmtId="0" fontId="45" fillId="29" borderId="250" xfId="44" applyBorder="1" applyAlignment="1">
      <alignment horizontal="center" vertical="center"/>
    </xf>
    <xf numFmtId="0" fontId="45" fillId="29" borderId="264" xfId="44" applyFont="1" applyFill="1" applyBorder="1" applyAlignment="1">
      <alignment horizontal="center" vertical="center" wrapText="1"/>
    </xf>
    <xf numFmtId="0" fontId="45" fillId="29" borderId="263" xfId="44" applyFont="1" applyFill="1" applyBorder="1" applyAlignment="1">
      <alignment horizontal="center" vertical="center" wrapText="1"/>
    </xf>
    <xf numFmtId="0" fontId="45" fillId="29" borderId="262" xfId="44" applyFont="1" applyFill="1" applyBorder="1" applyAlignment="1">
      <alignment horizontal="center" vertical="center" wrapText="1"/>
    </xf>
    <xf numFmtId="0" fontId="45" fillId="29" borderId="250" xfId="44" applyFont="1" applyFill="1" applyBorder="1" applyAlignment="1">
      <alignment horizontal="center" vertical="center" wrapText="1"/>
    </xf>
    <xf numFmtId="0" fontId="45" fillId="29" borderId="201" xfId="44" applyFont="1" applyFill="1" applyBorder="1" applyAlignment="1">
      <alignment horizontal="center" vertical="center" wrapText="1"/>
    </xf>
    <xf numFmtId="0" fontId="45" fillId="29" borderId="254" xfId="44" applyFont="1" applyFill="1" applyBorder="1" applyAlignment="1">
      <alignment horizontal="center" vertical="center" wrapText="1"/>
    </xf>
    <xf numFmtId="0" fontId="63" fillId="39" borderId="268" xfId="58">
      <alignment vertical="center"/>
    </xf>
    <xf numFmtId="38" fontId="64" fillId="39" borderId="268" xfId="59" applyFont="1" applyAlignment="1">
      <alignment vertical="center"/>
    </xf>
    <xf numFmtId="38" fontId="64" fillId="39" borderId="268" xfId="59" applyFont="1" applyFill="1" applyAlignment="1">
      <alignment vertical="center"/>
    </xf>
    <xf numFmtId="38" fontId="64" fillId="39" borderId="268" xfId="59" applyFont="1" applyBorder="1" applyAlignment="1">
      <alignment vertical="center"/>
    </xf>
    <xf numFmtId="38" fontId="64" fillId="39" borderId="268" xfId="59" applyFont="1" applyFill="1" applyAlignment="1">
      <alignment horizontal="right" vertical="center"/>
    </xf>
    <xf numFmtId="38" fontId="64" fillId="39" borderId="268" xfId="59" applyFont="1" applyAlignment="1">
      <alignment horizontal="right" vertical="center"/>
    </xf>
    <xf numFmtId="38" fontId="64" fillId="39" borderId="269" xfId="59" applyFont="1" applyFill="1" applyBorder="1" applyAlignment="1">
      <alignment horizontal="right" vertical="center"/>
    </xf>
    <xf numFmtId="38" fontId="64" fillId="39" borderId="269" xfId="59" applyFont="1" applyBorder="1" applyAlignment="1">
      <alignment horizontal="right" vertical="center"/>
    </xf>
    <xf numFmtId="38" fontId="64" fillId="39" borderId="270" xfId="59" applyFont="1" applyFill="1" applyBorder="1" applyAlignment="1">
      <alignment horizontal="right" vertical="center"/>
    </xf>
    <xf numFmtId="38" fontId="64" fillId="39" borderId="271" xfId="59" applyFont="1" applyBorder="1" applyAlignment="1">
      <alignment horizontal="right" vertical="center"/>
    </xf>
    <xf numFmtId="38" fontId="64" fillId="39" borderId="272" xfId="59" applyFont="1" applyBorder="1" applyAlignment="1">
      <alignment horizontal="right" vertical="center"/>
    </xf>
    <xf numFmtId="38" fontId="64" fillId="39" borderId="273" xfId="59" applyFont="1" applyBorder="1" applyAlignment="1">
      <alignment horizontal="right" vertical="center"/>
    </xf>
    <xf numFmtId="38" fontId="64" fillId="39" borderId="274" xfId="59" applyFont="1" applyBorder="1" applyAlignment="1">
      <alignment horizontal="center" vertical="center" shrinkToFit="1"/>
    </xf>
    <xf numFmtId="38" fontId="64" fillId="39" borderId="276" xfId="59" applyFont="1" applyBorder="1" applyAlignment="1">
      <alignment vertical="center" shrinkToFit="1"/>
    </xf>
    <xf numFmtId="38" fontId="64" fillId="39" borderId="277" xfId="59" applyFont="1" applyBorder="1" applyAlignment="1">
      <alignment vertical="center" shrinkToFit="1"/>
    </xf>
    <xf numFmtId="38" fontId="64" fillId="39" borderId="274" xfId="59" applyFont="1" applyBorder="1" applyAlignment="1">
      <alignment horizontal="center" vertical="center"/>
    </xf>
    <xf numFmtId="38" fontId="64" fillId="39" borderId="276" xfId="59" applyFont="1" applyBorder="1" applyAlignment="1">
      <alignment vertical="center"/>
    </xf>
    <xf numFmtId="38" fontId="64" fillId="39" borderId="278" xfId="59" applyFont="1" applyFill="1" applyBorder="1" applyAlignment="1">
      <alignment horizontal="right" vertical="center"/>
    </xf>
    <xf numFmtId="38" fontId="64" fillId="39" borderId="278" xfId="59" applyFont="1" applyBorder="1" applyAlignment="1">
      <alignment horizontal="right" vertical="center"/>
    </xf>
    <xf numFmtId="38" fontId="64" fillId="39" borderId="279" xfId="59" applyFont="1" applyFill="1" applyBorder="1" applyAlignment="1">
      <alignment horizontal="right" vertical="center"/>
    </xf>
    <xf numFmtId="38" fontId="64" fillId="39" borderId="280" xfId="59" applyFont="1" applyBorder="1" applyAlignment="1">
      <alignment horizontal="right" vertical="center"/>
    </xf>
    <xf numFmtId="38" fontId="64" fillId="39" borderId="281" xfId="59" applyFont="1" applyBorder="1" applyAlignment="1">
      <alignment horizontal="right" vertical="center"/>
    </xf>
    <xf numFmtId="38" fontId="64" fillId="39" borderId="282" xfId="59" applyFont="1" applyBorder="1" applyAlignment="1">
      <alignment horizontal="right" vertical="center"/>
    </xf>
    <xf numFmtId="38" fontId="64" fillId="39" borderId="278" xfId="59" applyFont="1" applyBorder="1" applyAlignment="1">
      <alignment horizontal="center" vertical="center" shrinkToFit="1"/>
    </xf>
    <xf numFmtId="38" fontId="64" fillId="39" borderId="283" xfId="59" applyFont="1" applyBorder="1" applyAlignment="1">
      <alignment vertical="center" shrinkToFit="1"/>
    </xf>
    <xf numFmtId="38" fontId="64" fillId="39" borderId="282" xfId="59" applyFont="1" applyBorder="1" applyAlignment="1">
      <alignment vertical="center" shrinkToFit="1"/>
    </xf>
    <xf numFmtId="38" fontId="64" fillId="39" borderId="284" xfId="59" applyFont="1" applyFill="1" applyBorder="1" applyAlignment="1">
      <alignment horizontal="right" vertical="center"/>
    </xf>
    <xf numFmtId="38" fontId="64" fillId="41" borderId="285" xfId="59" applyFont="1" applyFill="1" applyBorder="1" applyAlignment="1">
      <alignment horizontal="right" vertical="center"/>
    </xf>
    <xf numFmtId="38" fontId="64" fillId="39" borderId="286" xfId="59" applyFont="1" applyFill="1" applyBorder="1" applyAlignment="1">
      <alignment horizontal="right" vertical="center"/>
    </xf>
    <xf numFmtId="38" fontId="64" fillId="39" borderId="287" xfId="59" applyFont="1" applyFill="1" applyBorder="1" applyAlignment="1">
      <alignment horizontal="right" vertical="center"/>
    </xf>
    <xf numFmtId="38" fontId="64" fillId="39" borderId="288" xfId="59" applyFont="1" applyFill="1" applyBorder="1" applyAlignment="1">
      <alignment horizontal="right" vertical="center"/>
    </xf>
    <xf numFmtId="38" fontId="64" fillId="39" borderId="284" xfId="59" applyFont="1" applyFill="1" applyBorder="1" applyAlignment="1">
      <alignment horizontal="left" vertical="center"/>
    </xf>
    <xf numFmtId="38" fontId="64" fillId="39" borderId="284" xfId="59" applyFont="1" applyFill="1" applyBorder="1" applyAlignment="1">
      <alignment vertical="center" shrinkToFit="1"/>
    </xf>
    <xf numFmtId="38" fontId="64" fillId="39" borderId="290" xfId="59" applyFont="1" applyFill="1" applyBorder="1" applyAlignment="1">
      <alignment horizontal="center" vertical="center" shrinkToFit="1"/>
    </xf>
    <xf numFmtId="38" fontId="64" fillId="39" borderId="287" xfId="59" applyFont="1" applyFill="1" applyBorder="1" applyAlignment="1">
      <alignment horizontal="center" vertical="center" shrinkToFit="1"/>
    </xf>
    <xf numFmtId="38" fontId="64" fillId="39" borderId="268" xfId="59" applyFont="1" applyFill="1" applyBorder="1" applyAlignment="1">
      <alignment vertical="center" shrinkToFit="1"/>
    </xf>
    <xf numFmtId="38" fontId="64" fillId="39" borderId="291" xfId="59" applyFont="1" applyFill="1" applyBorder="1" applyAlignment="1">
      <alignment horizontal="right" vertical="center"/>
    </xf>
    <xf numFmtId="38" fontId="64" fillId="39" borderId="292" xfId="59" applyFont="1" applyFill="1" applyBorder="1" applyAlignment="1">
      <alignment horizontal="right" vertical="center"/>
    </xf>
    <xf numFmtId="38" fontId="64" fillId="39" borderId="293" xfId="59" applyFont="1" applyFill="1" applyBorder="1" applyAlignment="1">
      <alignment horizontal="right" vertical="center"/>
    </xf>
    <xf numFmtId="38" fontId="64" fillId="39" borderId="294" xfId="59" applyFont="1" applyFill="1" applyBorder="1" applyAlignment="1">
      <alignment horizontal="right" vertical="center"/>
    </xf>
    <xf numFmtId="38" fontId="64" fillId="39" borderId="295" xfId="59" applyFont="1" applyFill="1" applyBorder="1" applyAlignment="1">
      <alignment horizontal="right" vertical="center"/>
    </xf>
    <xf numFmtId="38" fontId="64" fillId="39" borderId="291" xfId="59" applyFont="1" applyFill="1" applyBorder="1" applyAlignment="1">
      <alignment horizontal="left" vertical="center"/>
    </xf>
    <xf numFmtId="38" fontId="64" fillId="39" borderId="291" xfId="59" applyFont="1" applyFill="1" applyBorder="1" applyAlignment="1">
      <alignment vertical="center" shrinkToFit="1"/>
    </xf>
    <xf numFmtId="38" fontId="64" fillId="39" borderId="296" xfId="59" applyFont="1" applyFill="1" applyBorder="1" applyAlignment="1">
      <alignment horizontal="right" vertical="center"/>
    </xf>
    <xf numFmtId="38" fontId="64" fillId="39" borderId="297" xfId="59" applyFont="1" applyFill="1" applyBorder="1" applyAlignment="1">
      <alignment horizontal="center" vertical="center" shrinkToFit="1"/>
    </xf>
    <xf numFmtId="38" fontId="64" fillId="39" borderId="294" xfId="59" applyFont="1" applyFill="1" applyBorder="1" applyAlignment="1">
      <alignment horizontal="center" vertical="center" shrinkToFit="1"/>
    </xf>
    <xf numFmtId="38" fontId="64" fillId="42" borderId="291" xfId="59" applyFont="1" applyFill="1" applyBorder="1" applyAlignment="1">
      <alignment horizontal="right" vertical="center"/>
    </xf>
    <xf numFmtId="38" fontId="64" fillId="42" borderId="293" xfId="59" applyFont="1" applyFill="1" applyBorder="1" applyAlignment="1">
      <alignment horizontal="right" vertical="center"/>
    </xf>
    <xf numFmtId="38" fontId="64" fillId="42" borderId="294" xfId="59" applyFont="1" applyFill="1" applyBorder="1" applyAlignment="1">
      <alignment horizontal="right" vertical="center"/>
    </xf>
    <xf numFmtId="38" fontId="64" fillId="42" borderId="295" xfId="59" applyFont="1" applyFill="1" applyBorder="1" applyAlignment="1">
      <alignment horizontal="right" vertical="center"/>
    </xf>
    <xf numFmtId="38" fontId="63" fillId="39" borderId="291" xfId="59" applyFont="1" applyFill="1" applyBorder="1" applyAlignment="1">
      <alignment vertical="center" shrinkToFit="1"/>
    </xf>
    <xf numFmtId="38" fontId="64" fillId="39" borderId="298" xfId="59" applyFont="1" applyFill="1" applyBorder="1" applyAlignment="1">
      <alignment horizontal="right" vertical="center"/>
    </xf>
    <xf numFmtId="38" fontId="64" fillId="41" borderId="292" xfId="59" applyFont="1" applyFill="1" applyBorder="1" applyAlignment="1">
      <alignment horizontal="right" vertical="center"/>
    </xf>
    <xf numFmtId="38" fontId="68" fillId="39" borderId="268" xfId="59" applyFont="1" applyFill="1" applyAlignment="1">
      <alignment vertical="center"/>
    </xf>
    <xf numFmtId="38" fontId="64" fillId="39" borderId="293" xfId="59" applyFont="1" applyFill="1" applyBorder="1" applyAlignment="1">
      <alignment vertical="center"/>
    </xf>
    <xf numFmtId="38" fontId="64" fillId="39" borderId="268" xfId="59" applyFont="1" applyAlignment="1">
      <alignment horizontal="left" vertical="center"/>
    </xf>
    <xf numFmtId="38" fontId="64" fillId="43" borderId="293" xfId="59" applyFont="1" applyFill="1" applyBorder="1" applyAlignment="1">
      <alignment horizontal="right" vertical="center"/>
    </xf>
    <xf numFmtId="38" fontId="64" fillId="43" borderId="294" xfId="59" applyFont="1" applyFill="1" applyBorder="1" applyAlignment="1">
      <alignment horizontal="right" vertical="center"/>
    </xf>
    <xf numFmtId="38" fontId="64" fillId="44" borderId="291" xfId="59" applyFont="1" applyFill="1" applyBorder="1" applyAlignment="1">
      <alignment horizontal="right" vertical="center"/>
    </xf>
    <xf numFmtId="38" fontId="64" fillId="44" borderId="291" xfId="59" applyFont="1" applyFill="1" applyBorder="1" applyAlignment="1">
      <alignment horizontal="left" vertical="center" shrinkToFit="1"/>
    </xf>
    <xf numFmtId="38" fontId="64" fillId="39" borderId="291" xfId="59" applyFont="1" applyFill="1" applyBorder="1" applyAlignment="1">
      <alignment horizontal="left" vertical="center" shrinkToFit="1"/>
    </xf>
    <xf numFmtId="38" fontId="64" fillId="42" borderId="298" xfId="59" applyFont="1" applyFill="1" applyBorder="1" applyAlignment="1">
      <alignment horizontal="right" vertical="center"/>
    </xf>
    <xf numFmtId="38" fontId="64" fillId="39" borderId="278" xfId="59" applyFont="1" applyFill="1" applyBorder="1" applyAlignment="1">
      <alignment vertical="center"/>
    </xf>
    <xf numFmtId="38" fontId="64" fillId="39" borderId="279" xfId="59" applyFont="1" applyFill="1" applyBorder="1" applyAlignment="1">
      <alignment vertical="center"/>
    </xf>
    <xf numFmtId="38" fontId="64" fillId="39" borderId="280" xfId="59" applyFont="1" applyBorder="1" applyAlignment="1">
      <alignment vertical="center"/>
    </xf>
    <xf numFmtId="38" fontId="64" fillId="39" borderId="281" xfId="59" applyFont="1" applyBorder="1" applyAlignment="1">
      <alignment vertical="center"/>
    </xf>
    <xf numFmtId="38" fontId="64" fillId="39" borderId="283" xfId="59" applyFont="1" applyBorder="1" applyAlignment="1">
      <alignment vertical="center"/>
    </xf>
    <xf numFmtId="38" fontId="64" fillId="39" borderId="291" xfId="59" applyFont="1" applyFill="1" applyBorder="1" applyAlignment="1">
      <alignment vertical="center"/>
    </xf>
    <xf numFmtId="38" fontId="64" fillId="39" borderId="292" xfId="59" applyFont="1" applyFill="1" applyBorder="1" applyAlignment="1">
      <alignment vertical="center"/>
    </xf>
    <xf numFmtId="38" fontId="64" fillId="39" borderId="294" xfId="59" applyFont="1" applyFill="1" applyBorder="1" applyAlignment="1">
      <alignment vertical="center"/>
    </xf>
    <xf numFmtId="38" fontId="64" fillId="39" borderId="296" xfId="59" applyFont="1" applyFill="1" applyBorder="1" applyAlignment="1">
      <alignment vertical="center"/>
    </xf>
    <xf numFmtId="38" fontId="64" fillId="39" borderId="291" xfId="59" applyFont="1" applyBorder="1" applyAlignment="1">
      <alignment vertical="center" shrinkToFit="1"/>
    </xf>
    <xf numFmtId="38" fontId="64" fillId="39" borderId="298" xfId="59" applyFont="1" applyFill="1" applyBorder="1" applyAlignment="1">
      <alignment vertical="center"/>
    </xf>
    <xf numFmtId="38" fontId="64" fillId="39" borderId="295" xfId="59" applyFont="1" applyFill="1" applyBorder="1" applyAlignment="1">
      <alignment vertical="center"/>
    </xf>
    <xf numFmtId="38" fontId="63" fillId="39" borderId="291" xfId="59" applyFont="1" applyFill="1" applyBorder="1" applyAlignment="1">
      <alignment horizontal="left" vertical="center"/>
    </xf>
    <xf numFmtId="38" fontId="64" fillId="42" borderId="291" xfId="59" applyFont="1" applyFill="1" applyBorder="1" applyAlignment="1">
      <alignment vertical="center"/>
    </xf>
    <xf numFmtId="38" fontId="64" fillId="42" borderId="293" xfId="59" applyFont="1" applyFill="1" applyBorder="1" applyAlignment="1">
      <alignment vertical="center"/>
    </xf>
    <xf numFmtId="38" fontId="64" fillId="42" borderId="294" xfId="59" applyFont="1" applyFill="1" applyBorder="1" applyAlignment="1">
      <alignment vertical="center"/>
    </xf>
    <xf numFmtId="38" fontId="64" fillId="42" borderId="298" xfId="59" applyFont="1" applyFill="1" applyBorder="1" applyAlignment="1">
      <alignment vertical="center"/>
    </xf>
    <xf numFmtId="38" fontId="64" fillId="39" borderId="299" xfId="59" applyFont="1" applyFill="1" applyBorder="1" applyAlignment="1">
      <alignment vertical="center"/>
    </xf>
    <xf numFmtId="38" fontId="64" fillId="39" borderId="300" xfId="59" applyFont="1" applyFill="1" applyBorder="1" applyAlignment="1">
      <alignment vertical="center"/>
    </xf>
    <xf numFmtId="38" fontId="64" fillId="39" borderId="301" xfId="59" applyFont="1" applyFill="1" applyBorder="1" applyAlignment="1">
      <alignment vertical="center"/>
    </xf>
    <xf numFmtId="38" fontId="64" fillId="39" borderId="302" xfId="59" applyFont="1" applyFill="1" applyBorder="1" applyAlignment="1">
      <alignment vertical="center"/>
    </xf>
    <xf numFmtId="38" fontId="64" fillId="39" borderId="303" xfId="59" applyFont="1" applyFill="1" applyBorder="1" applyAlignment="1">
      <alignment vertical="center"/>
    </xf>
    <xf numFmtId="38" fontId="64" fillId="39" borderId="299" xfId="59" applyFont="1" applyFill="1" applyBorder="1" applyAlignment="1">
      <alignment horizontal="right" vertical="center"/>
    </xf>
    <xf numFmtId="38" fontId="64" fillId="39" borderId="299" xfId="59" applyFont="1" applyFill="1" applyBorder="1" applyAlignment="1">
      <alignment horizontal="left" vertical="center"/>
    </xf>
    <xf numFmtId="38" fontId="64" fillId="39" borderId="304" xfId="59" applyFont="1" applyFill="1" applyBorder="1" applyAlignment="1">
      <alignment vertical="center"/>
    </xf>
    <xf numFmtId="38" fontId="64" fillId="39" borderId="304" xfId="59" applyFont="1" applyBorder="1" applyAlignment="1">
      <alignment vertical="center"/>
    </xf>
    <xf numFmtId="38" fontId="64" fillId="39" borderId="305" xfId="59" applyFont="1" applyFill="1" applyBorder="1" applyAlignment="1">
      <alignment vertical="center"/>
    </xf>
    <xf numFmtId="38" fontId="64" fillId="39" borderId="306" xfId="59" applyFont="1" applyBorder="1" applyAlignment="1">
      <alignment vertical="center"/>
    </xf>
    <xf numFmtId="38" fontId="64" fillId="39" borderId="307" xfId="59" applyFont="1" applyBorder="1" applyAlignment="1">
      <alignment vertical="center"/>
    </xf>
    <xf numFmtId="38" fontId="64" fillId="39" borderId="308" xfId="59" applyFont="1" applyBorder="1" applyAlignment="1">
      <alignment vertical="center" wrapText="1"/>
    </xf>
    <xf numFmtId="38" fontId="64" fillId="39" borderId="304" xfId="59" applyFont="1" applyBorder="1" applyAlignment="1">
      <alignment vertical="center" wrapText="1"/>
    </xf>
    <xf numFmtId="38" fontId="64" fillId="39" borderId="304" xfId="59" applyFont="1" applyBorder="1" applyAlignment="1">
      <alignment horizontal="left" vertical="center"/>
    </xf>
    <xf numFmtId="38" fontId="64" fillId="39" borderId="304" xfId="59" applyFont="1" applyFill="1" applyBorder="1" applyAlignment="1">
      <alignment horizontal="right" vertical="center"/>
    </xf>
    <xf numFmtId="38" fontId="64" fillId="39" borderId="305" xfId="59" applyFont="1" applyFill="1" applyBorder="1" applyAlignment="1">
      <alignment horizontal="right" vertical="center"/>
    </xf>
    <xf numFmtId="38" fontId="64" fillId="39" borderId="306" xfId="59" applyFont="1" applyFill="1" applyBorder="1" applyAlignment="1">
      <alignment vertical="center"/>
    </xf>
    <xf numFmtId="38" fontId="64" fillId="39" borderId="307" xfId="59" applyFont="1" applyFill="1" applyBorder="1" applyAlignment="1">
      <alignment horizontal="right" vertical="center"/>
    </xf>
    <xf numFmtId="38" fontId="64" fillId="39" borderId="306" xfId="59" applyFont="1" applyFill="1" applyBorder="1" applyAlignment="1">
      <alignment horizontal="right" vertical="center"/>
    </xf>
    <xf numFmtId="38" fontId="64" fillId="39" borderId="304" xfId="59" applyFont="1" applyFill="1" applyBorder="1" applyAlignment="1">
      <alignment horizontal="left" vertical="center"/>
    </xf>
    <xf numFmtId="38" fontId="64" fillId="39" borderId="309" xfId="59" applyFont="1" applyFill="1" applyBorder="1" applyAlignment="1">
      <alignment horizontal="right" vertical="center"/>
    </xf>
    <xf numFmtId="38" fontId="64" fillId="39" borderId="310" xfId="59" applyFont="1" applyFill="1" applyBorder="1" applyAlignment="1">
      <alignment horizontal="right" vertical="center"/>
    </xf>
    <xf numFmtId="38" fontId="64" fillId="39" borderId="304" xfId="59" applyFont="1" applyFill="1" applyBorder="1" applyAlignment="1">
      <alignment vertical="center" shrinkToFit="1"/>
    </xf>
    <xf numFmtId="38" fontId="64" fillId="39" borderId="308" xfId="59" applyFont="1" applyFill="1" applyBorder="1" applyAlignment="1">
      <alignment horizontal="right" vertical="center"/>
    </xf>
    <xf numFmtId="38" fontId="64" fillId="39" borderId="311" xfId="59" applyFont="1" applyFill="1" applyBorder="1" applyAlignment="1">
      <alignment horizontal="center" vertical="center" shrinkToFit="1"/>
    </xf>
    <xf numFmtId="38" fontId="64" fillId="39" borderId="307" xfId="59" applyFont="1" applyFill="1" applyBorder="1" applyAlignment="1">
      <alignment horizontal="center" vertical="center" shrinkToFit="1"/>
    </xf>
    <xf numFmtId="38" fontId="64" fillId="39" borderId="268" xfId="59" applyFont="1" applyAlignment="1">
      <alignment horizontal="center" vertical="center"/>
    </xf>
    <xf numFmtId="38" fontId="69" fillId="39" borderId="313" xfId="59" applyFont="1" applyFill="1" applyBorder="1" applyAlignment="1">
      <alignment horizontal="center" vertical="center"/>
    </xf>
    <xf numFmtId="38" fontId="69" fillId="39" borderId="314" xfId="59" applyFont="1" applyBorder="1" applyAlignment="1">
      <alignment horizontal="center" vertical="center"/>
    </xf>
    <xf numFmtId="38" fontId="69" fillId="39" borderId="315" xfId="59" applyFont="1" applyBorder="1" applyAlignment="1">
      <alignment horizontal="center" vertical="center"/>
    </xf>
    <xf numFmtId="38" fontId="64" fillId="39" borderId="319" xfId="59" applyFont="1" applyBorder="1" applyAlignment="1">
      <alignment horizontal="center" vertical="center" wrapText="1"/>
    </xf>
    <xf numFmtId="38" fontId="64" fillId="39" borderId="320" xfId="59" applyFont="1" applyFill="1" applyBorder="1" applyAlignment="1">
      <alignment horizontal="center" vertical="center"/>
    </xf>
    <xf numFmtId="38" fontId="64" fillId="39" borderId="321" xfId="59" applyFont="1" applyBorder="1" applyAlignment="1">
      <alignment horizontal="center" vertical="center" wrapText="1"/>
    </xf>
    <xf numFmtId="38" fontId="64" fillId="39" borderId="322" xfId="59" applyFont="1" applyBorder="1" applyAlignment="1">
      <alignment horizontal="center" vertical="center"/>
    </xf>
    <xf numFmtId="38" fontId="63" fillId="39" borderId="268" xfId="59" applyFont="1" applyAlignment="1">
      <alignment vertical="center"/>
    </xf>
    <xf numFmtId="38" fontId="64" fillId="39" borderId="274" xfId="59" applyFont="1" applyFill="1" applyBorder="1" applyAlignment="1">
      <alignment horizontal="right" vertical="center"/>
    </xf>
    <xf numFmtId="38" fontId="64" fillId="39" borderId="274" xfId="59" applyFont="1" applyBorder="1" applyAlignment="1">
      <alignment horizontal="right" vertical="center"/>
    </xf>
    <xf numFmtId="38" fontId="64" fillId="39" borderId="328" xfId="59" applyFont="1" applyFill="1" applyBorder="1" applyAlignment="1">
      <alignment horizontal="right" vertical="center"/>
    </xf>
    <xf numFmtId="38" fontId="64" fillId="39" borderId="329" xfId="59" applyFont="1" applyBorder="1" applyAlignment="1">
      <alignment horizontal="right" vertical="center"/>
    </xf>
    <xf numFmtId="38" fontId="64" fillId="39" borderId="330" xfId="59" applyFont="1" applyBorder="1" applyAlignment="1">
      <alignment horizontal="right" vertical="center"/>
    </xf>
    <xf numFmtId="38" fontId="64" fillId="39" borderId="332" xfId="59" applyFont="1" applyBorder="1" applyAlignment="1">
      <alignment horizontal="right" vertical="center"/>
    </xf>
    <xf numFmtId="38" fontId="64" fillId="39" borderId="274" xfId="59" applyFont="1" applyBorder="1" applyAlignment="1">
      <alignment vertical="center"/>
    </xf>
    <xf numFmtId="38" fontId="64" fillId="39" borderId="271" xfId="59" applyFont="1" applyFill="1" applyBorder="1" applyAlignment="1">
      <alignment horizontal="right" vertical="center"/>
    </xf>
    <xf numFmtId="38" fontId="64" fillId="39" borderId="334" xfId="59" applyFont="1" applyBorder="1" applyAlignment="1">
      <alignment horizontal="right" vertical="center"/>
    </xf>
    <xf numFmtId="38" fontId="64" fillId="39" borderId="336" xfId="59" applyFont="1" applyBorder="1" applyAlignment="1">
      <alignment horizontal="right" vertical="center"/>
    </xf>
    <xf numFmtId="38" fontId="64" fillId="39" borderId="317" xfId="59" applyFont="1" applyFill="1" applyBorder="1" applyAlignment="1">
      <alignment horizontal="right" vertical="center"/>
    </xf>
    <xf numFmtId="38" fontId="64" fillId="39" borderId="317" xfId="59" applyFont="1" applyBorder="1" applyAlignment="1">
      <alignment horizontal="right" vertical="center"/>
    </xf>
    <xf numFmtId="38" fontId="64" fillId="39" borderId="337" xfId="59" applyFont="1" applyFill="1" applyBorder="1" applyAlignment="1">
      <alignment horizontal="right" vertical="center"/>
    </xf>
    <xf numFmtId="38" fontId="64" fillId="39" borderId="338" xfId="59" applyFont="1" applyBorder="1" applyAlignment="1">
      <alignment horizontal="right" vertical="center"/>
    </xf>
    <xf numFmtId="38" fontId="64" fillId="39" borderId="339" xfId="59" applyFont="1" applyBorder="1" applyAlignment="1">
      <alignment horizontal="right" vertical="center"/>
    </xf>
    <xf numFmtId="38" fontId="64" fillId="39" borderId="341" xfId="59" applyFont="1" applyBorder="1" applyAlignment="1">
      <alignment horizontal="right" vertical="center"/>
    </xf>
    <xf numFmtId="38" fontId="64" fillId="45" borderId="304" xfId="59" applyFont="1" applyFill="1" applyBorder="1" applyAlignment="1">
      <alignment horizontal="right" vertical="center"/>
    </xf>
    <xf numFmtId="38" fontId="64" fillId="45" borderId="306" xfId="59" applyFont="1" applyFill="1" applyBorder="1" applyAlignment="1">
      <alignment horizontal="right" vertical="center"/>
    </xf>
    <xf numFmtId="38" fontId="64" fillId="45" borderId="307" xfId="59" applyFont="1" applyFill="1" applyBorder="1" applyAlignment="1">
      <alignment horizontal="right" vertical="center"/>
    </xf>
    <xf numFmtId="38" fontId="64" fillId="39" borderId="311" xfId="59" applyFont="1" applyFill="1" applyBorder="1" applyAlignment="1">
      <alignment horizontal="right" vertical="center"/>
    </xf>
    <xf numFmtId="38" fontId="64" fillId="45" borderId="342" xfId="59" applyFont="1" applyFill="1" applyBorder="1" applyAlignment="1">
      <alignment horizontal="right" vertical="center"/>
    </xf>
    <xf numFmtId="38" fontId="64" fillId="39" borderId="304" xfId="59" applyFont="1" applyBorder="1" applyAlignment="1">
      <alignment horizontal="right" vertical="center"/>
    </xf>
    <xf numFmtId="38" fontId="64" fillId="46" borderId="278" xfId="59" applyFont="1" applyFill="1" applyBorder="1" applyAlignment="1">
      <alignment vertical="center"/>
    </xf>
    <xf numFmtId="38" fontId="64" fillId="39" borderId="326" xfId="59" applyFont="1" applyBorder="1" applyAlignment="1">
      <alignment vertical="center"/>
    </xf>
    <xf numFmtId="38" fontId="64" fillId="42" borderId="296" xfId="59" applyFont="1" applyFill="1" applyBorder="1" applyAlignment="1">
      <alignment vertical="center"/>
    </xf>
    <xf numFmtId="38" fontId="64" fillId="39" borderId="318" xfId="59" applyFont="1" applyBorder="1" applyAlignment="1">
      <alignment horizontal="right" vertical="center"/>
    </xf>
    <xf numFmtId="38" fontId="64" fillId="39" borderId="343" xfId="59" applyFont="1" applyBorder="1" applyAlignment="1">
      <alignment horizontal="right" vertical="center"/>
    </xf>
    <xf numFmtId="38" fontId="64" fillId="39" borderId="285" xfId="59" applyFont="1" applyFill="1" applyBorder="1" applyAlignment="1">
      <alignment horizontal="right" vertical="center"/>
    </xf>
    <xf numFmtId="38" fontId="64" fillId="41" borderId="286" xfId="59" applyFont="1" applyFill="1" applyBorder="1" applyAlignment="1">
      <alignment horizontal="right" vertical="center"/>
    </xf>
    <xf numFmtId="38" fontId="64" fillId="41" borderId="287" xfId="59" applyFont="1" applyFill="1" applyBorder="1" applyAlignment="1">
      <alignment horizontal="right" vertical="center"/>
    </xf>
    <xf numFmtId="38" fontId="64" fillId="39" borderId="288" xfId="59" applyFont="1" applyBorder="1" applyAlignment="1">
      <alignment horizontal="right" vertical="center"/>
    </xf>
    <xf numFmtId="38" fontId="64" fillId="39" borderId="284" xfId="59" applyFont="1" applyBorder="1" applyAlignment="1">
      <alignment vertical="center" shrinkToFit="1"/>
    </xf>
    <xf numFmtId="38" fontId="64" fillId="39" borderId="344" xfId="59" applyFont="1" applyBorder="1" applyAlignment="1">
      <alignment horizontal="right" vertical="center"/>
    </xf>
    <xf numFmtId="38" fontId="64" fillId="39" borderId="290" xfId="59" applyFont="1" applyBorder="1" applyAlignment="1">
      <alignment horizontal="center" vertical="center" shrinkToFit="1"/>
    </xf>
    <xf numFmtId="38" fontId="64" fillId="39" borderId="287" xfId="59" applyFont="1" applyBorder="1" applyAlignment="1">
      <alignment horizontal="center" vertical="center" shrinkToFit="1"/>
    </xf>
    <xf numFmtId="38" fontId="64" fillId="39" borderId="268" xfId="59" applyFont="1" applyBorder="1" applyAlignment="1">
      <alignment vertical="center" shrinkToFit="1"/>
    </xf>
    <xf numFmtId="38" fontId="64" fillId="47" borderId="295" xfId="59" applyFont="1" applyFill="1" applyBorder="1" applyAlignment="1">
      <alignment horizontal="right" vertical="center"/>
    </xf>
    <xf numFmtId="38" fontId="64" fillId="48" borderId="293" xfId="59" applyFont="1" applyFill="1" applyBorder="1" applyAlignment="1">
      <alignment horizontal="right" vertical="center"/>
    </xf>
    <xf numFmtId="38" fontId="64" fillId="48" borderId="294" xfId="59" applyFont="1" applyFill="1" applyBorder="1" applyAlignment="1">
      <alignment horizontal="right" vertical="center"/>
    </xf>
    <xf numFmtId="38" fontId="64" fillId="46" borderId="295" xfId="59" applyFont="1" applyFill="1" applyBorder="1" applyAlignment="1">
      <alignment horizontal="right" vertical="center"/>
    </xf>
    <xf numFmtId="38" fontId="64" fillId="46" borderId="298" xfId="59" applyFont="1" applyFill="1" applyBorder="1" applyAlignment="1">
      <alignment horizontal="right" vertical="center"/>
    </xf>
    <xf numFmtId="38" fontId="64" fillId="39" borderId="297" xfId="59" applyFont="1" applyBorder="1" applyAlignment="1">
      <alignment horizontal="center" vertical="center" shrinkToFit="1"/>
    </xf>
    <xf numFmtId="38" fontId="64" fillId="39" borderId="294" xfId="59" applyFont="1" applyBorder="1" applyAlignment="1">
      <alignment horizontal="center" vertical="center" shrinkToFit="1"/>
    </xf>
    <xf numFmtId="38" fontId="64" fillId="48" borderId="295" xfId="59" applyFont="1" applyFill="1" applyBorder="1" applyAlignment="1">
      <alignment horizontal="right" vertical="center"/>
    </xf>
    <xf numFmtId="38" fontId="64" fillId="39" borderId="294" xfId="59" applyFont="1" applyBorder="1" applyAlignment="1">
      <alignment horizontal="right" vertical="center"/>
    </xf>
    <xf numFmtId="38" fontId="64" fillId="39" borderId="293" xfId="59" applyFont="1" applyBorder="1" applyAlignment="1">
      <alignment horizontal="right" vertical="center"/>
    </xf>
    <xf numFmtId="38" fontId="64" fillId="39" borderId="295" xfId="59" applyFont="1" applyBorder="1" applyAlignment="1">
      <alignment horizontal="right" vertical="center"/>
    </xf>
    <xf numFmtId="38" fontId="64" fillId="39" borderId="298" xfId="59" applyFont="1" applyBorder="1" applyAlignment="1">
      <alignment horizontal="right" vertical="center"/>
    </xf>
    <xf numFmtId="38" fontId="63" fillId="39" borderId="291" xfId="59" applyFont="1" applyBorder="1" applyAlignment="1">
      <alignment vertical="center" shrinkToFit="1"/>
    </xf>
    <xf numFmtId="38" fontId="64" fillId="45" borderId="293" xfId="59" applyFont="1" applyFill="1" applyBorder="1" applyAlignment="1">
      <alignment horizontal="right" vertical="center"/>
    </xf>
    <xf numFmtId="38" fontId="64" fillId="45" borderId="294" xfId="59" applyFont="1" applyFill="1" applyBorder="1" applyAlignment="1">
      <alignment horizontal="right" vertical="center"/>
    </xf>
    <xf numFmtId="38" fontId="64" fillId="42" borderId="295" xfId="59" applyFont="1" applyFill="1" applyBorder="1" applyAlignment="1">
      <alignment vertical="center"/>
    </xf>
    <xf numFmtId="38" fontId="64" fillId="48" borderId="298" xfId="59" applyFont="1" applyFill="1" applyBorder="1" applyAlignment="1">
      <alignment horizontal="right" vertical="center"/>
    </xf>
    <xf numFmtId="38" fontId="64" fillId="47" borderId="298" xfId="59" applyFont="1" applyFill="1" applyBorder="1" applyAlignment="1">
      <alignment horizontal="right" vertical="center"/>
    </xf>
    <xf numFmtId="38" fontId="64" fillId="41" borderId="294" xfId="59" applyFont="1" applyFill="1" applyBorder="1" applyAlignment="1">
      <alignment horizontal="right" vertical="center"/>
    </xf>
    <xf numFmtId="38" fontId="64" fillId="39" borderId="312" xfId="59" applyFont="1" applyBorder="1" applyAlignment="1">
      <alignment horizontal="center" vertical="center" wrapText="1"/>
    </xf>
    <xf numFmtId="38" fontId="64" fillId="45" borderId="293" xfId="59" applyFont="1" applyFill="1" applyBorder="1" applyAlignment="1">
      <alignment vertical="center"/>
    </xf>
    <xf numFmtId="38" fontId="63" fillId="39" borderId="268" xfId="59" applyFont="1" applyAlignment="1">
      <alignment horizontal="right" vertical="center"/>
    </xf>
    <xf numFmtId="38" fontId="63" fillId="39" borderId="268" xfId="59" applyFont="1" applyAlignment="1">
      <alignment horizontal="left" vertical="center"/>
    </xf>
    <xf numFmtId="38" fontId="64" fillId="47" borderId="291" xfId="59" applyFont="1" applyFill="1" applyBorder="1" applyAlignment="1">
      <alignment horizontal="right" vertical="center"/>
    </xf>
    <xf numFmtId="38" fontId="64" fillId="39" borderId="294" xfId="59" applyFont="1" applyBorder="1" applyAlignment="1">
      <alignment vertical="center"/>
    </xf>
    <xf numFmtId="38" fontId="64" fillId="39" borderId="293" xfId="59" applyFont="1" applyBorder="1" applyAlignment="1">
      <alignment vertical="center"/>
    </xf>
    <xf numFmtId="38" fontId="64" fillId="39" borderId="291" xfId="59" applyFont="1" applyBorder="1" applyAlignment="1">
      <alignment vertical="center"/>
    </xf>
    <xf numFmtId="38" fontId="64" fillId="44" borderId="293" xfId="59" applyFont="1" applyFill="1" applyBorder="1" applyAlignment="1">
      <alignment horizontal="right" vertical="center"/>
    </xf>
    <xf numFmtId="38" fontId="64" fillId="44" borderId="298" xfId="59" applyFont="1" applyFill="1" applyBorder="1" applyAlignment="1">
      <alignment horizontal="right" vertical="center"/>
    </xf>
    <xf numFmtId="38" fontId="64" fillId="39" borderId="300" xfId="59" applyFont="1" applyFill="1" applyBorder="1" applyAlignment="1">
      <alignment horizontal="right" vertical="center"/>
    </xf>
    <xf numFmtId="38" fontId="64" fillId="39" borderId="301" xfId="59" applyFont="1" applyFill="1" applyBorder="1" applyAlignment="1">
      <alignment horizontal="right" vertical="center"/>
    </xf>
    <xf numFmtId="38" fontId="64" fillId="39" borderId="302" xfId="59" applyFont="1" applyFill="1" applyBorder="1" applyAlignment="1">
      <alignment horizontal="right" vertical="center"/>
    </xf>
    <xf numFmtId="38" fontId="64" fillId="39" borderId="345" xfId="59" applyFont="1" applyFill="1" applyBorder="1" applyAlignment="1">
      <alignment horizontal="right" vertical="center"/>
    </xf>
    <xf numFmtId="38" fontId="64" fillId="39" borderId="306" xfId="59" applyFont="1" applyBorder="1" applyAlignment="1">
      <alignment horizontal="right" vertical="center"/>
    </xf>
    <xf numFmtId="38" fontId="64" fillId="39" borderId="307" xfId="59" applyFont="1" applyBorder="1" applyAlignment="1">
      <alignment horizontal="right" vertical="center"/>
    </xf>
    <xf numFmtId="38" fontId="64" fillId="39" borderId="310" xfId="59" applyFont="1" applyBorder="1" applyAlignment="1">
      <alignment horizontal="right" vertical="center"/>
    </xf>
    <xf numFmtId="38" fontId="64" fillId="47" borderId="304" xfId="59" applyFont="1" applyFill="1" applyBorder="1" applyAlignment="1">
      <alignment horizontal="right" vertical="center"/>
    </xf>
    <xf numFmtId="38" fontId="64" fillId="39" borderId="304" xfId="59" applyFont="1" applyBorder="1" applyAlignment="1">
      <alignment vertical="center" shrinkToFit="1"/>
    </xf>
    <xf numFmtId="38" fontId="64" fillId="48" borderId="306" xfId="59" applyFont="1" applyFill="1" applyBorder="1" applyAlignment="1">
      <alignment horizontal="right" vertical="center"/>
    </xf>
    <xf numFmtId="38" fontId="64" fillId="48" borderId="307" xfId="59" applyFont="1" applyFill="1" applyBorder="1" applyAlignment="1">
      <alignment horizontal="right" vertical="center"/>
    </xf>
    <xf numFmtId="38" fontId="64" fillId="39" borderId="311" xfId="59" applyFont="1" applyBorder="1" applyAlignment="1">
      <alignment horizontal="center" vertical="center" shrinkToFit="1"/>
    </xf>
    <xf numFmtId="38" fontId="64" fillId="39" borderId="307" xfId="59" applyFont="1" applyBorder="1" applyAlignment="1">
      <alignment horizontal="center" vertical="center" shrinkToFit="1"/>
    </xf>
    <xf numFmtId="0" fontId="76" fillId="39" borderId="268" xfId="69"/>
    <xf numFmtId="38" fontId="63" fillId="39" borderId="268" xfId="64" applyFont="1" applyAlignment="1"/>
    <xf numFmtId="0" fontId="76" fillId="39" borderId="268" xfId="69" applyFill="1"/>
    <xf numFmtId="38" fontId="63" fillId="39" borderId="268" xfId="64" applyFont="1" applyFill="1" applyAlignment="1"/>
    <xf numFmtId="0" fontId="76" fillId="39" borderId="268" xfId="69" applyFill="1" applyAlignment="1">
      <alignment vertical="center"/>
    </xf>
    <xf numFmtId="38" fontId="63" fillId="39" borderId="268" xfId="64" applyFont="1" applyAlignment="1">
      <alignment horizontal="center"/>
    </xf>
    <xf numFmtId="0" fontId="76" fillId="48" borderId="268" xfId="69" applyFill="1"/>
    <xf numFmtId="179" fontId="76" fillId="39" borderId="268" xfId="69" applyNumberFormat="1"/>
    <xf numFmtId="0" fontId="76" fillId="39" borderId="268" xfId="69" applyAlignment="1"/>
    <xf numFmtId="38" fontId="63" fillId="39" borderId="268" xfId="64" applyFont="1" applyFill="1" applyAlignment="1">
      <alignment vertical="center"/>
    </xf>
    <xf numFmtId="38" fontId="63" fillId="47" borderId="268" xfId="64" applyFont="1" applyFill="1" applyAlignment="1"/>
    <xf numFmtId="0" fontId="64" fillId="39" borderId="268" xfId="66"/>
    <xf numFmtId="49" fontId="76" fillId="39" borderId="268" xfId="69" applyNumberFormat="1"/>
    <xf numFmtId="0" fontId="79" fillId="39" borderId="268" xfId="69" applyFont="1" applyAlignment="1">
      <alignment horizontal="right"/>
    </xf>
    <xf numFmtId="0" fontId="79" fillId="39" borderId="268" xfId="69" applyFont="1"/>
    <xf numFmtId="38" fontId="76" fillId="39" borderId="268" xfId="69" applyNumberFormat="1"/>
    <xf numFmtId="38" fontId="76" fillId="46" borderId="268" xfId="69" applyNumberFormat="1" applyFill="1"/>
    <xf numFmtId="0" fontId="64" fillId="39" borderId="268" xfId="66" applyFill="1" applyAlignment="1">
      <alignment vertical="center"/>
    </xf>
    <xf numFmtId="38" fontId="76" fillId="39" borderId="268" xfId="59" applyFont="1"/>
    <xf numFmtId="0" fontId="76" fillId="39" borderId="268" xfId="69" applyAlignment="1">
      <alignment horizontal="center"/>
    </xf>
    <xf numFmtId="0" fontId="76" fillId="39" borderId="268" xfId="69" applyAlignment="1">
      <alignment horizontal="centerContinuous"/>
    </xf>
    <xf numFmtId="38" fontId="80" fillId="39" borderId="268" xfId="67" applyNumberFormat="1" applyFont="1" applyFill="1" applyAlignment="1">
      <alignment vertical="center"/>
    </xf>
    <xf numFmtId="38" fontId="80" fillId="39" borderId="268" xfId="67" applyNumberFormat="1" applyFont="1" applyFill="1" applyBorder="1" applyAlignment="1">
      <alignment vertical="center"/>
    </xf>
    <xf numFmtId="38" fontId="80" fillId="39" borderId="268" xfId="67" applyNumberFormat="1" applyFont="1" applyFill="1" applyBorder="1" applyAlignment="1">
      <alignment horizontal="centerContinuous" vertical="center"/>
    </xf>
    <xf numFmtId="38" fontId="80" fillId="39" borderId="274" xfId="63" applyFont="1" applyFill="1" applyBorder="1" applyAlignment="1">
      <alignment horizontal="right" vertical="center"/>
    </xf>
    <xf numFmtId="38" fontId="80" fillId="39" borderId="318" xfId="67" applyNumberFormat="1" applyFont="1" applyFill="1" applyBorder="1" applyAlignment="1">
      <alignment vertical="center"/>
    </xf>
    <xf numFmtId="38" fontId="80" fillId="39" borderId="271" xfId="67" applyNumberFormat="1" applyFont="1" applyFill="1" applyBorder="1" applyAlignment="1">
      <alignment vertical="center"/>
    </xf>
    <xf numFmtId="38" fontId="80" fillId="39" borderId="334" xfId="67" applyNumberFormat="1" applyFont="1" applyFill="1" applyBorder="1" applyAlignment="1">
      <alignment vertical="center"/>
    </xf>
    <xf numFmtId="38" fontId="80" fillId="39" borderId="270" xfId="67" applyNumberFormat="1" applyFont="1" applyFill="1" applyBorder="1" applyAlignment="1">
      <alignment vertical="center"/>
    </xf>
    <xf numFmtId="38" fontId="80" fillId="39" borderId="275" xfId="67" applyNumberFormat="1" applyFont="1" applyFill="1" applyBorder="1" applyAlignment="1">
      <alignment vertical="center"/>
    </xf>
    <xf numFmtId="38" fontId="80" fillId="39" borderId="346" xfId="67" applyNumberFormat="1" applyFont="1" applyFill="1" applyBorder="1" applyAlignment="1">
      <alignment vertical="center"/>
    </xf>
    <xf numFmtId="38" fontId="80" fillId="39" borderId="334" xfId="67" applyNumberFormat="1" applyFont="1" applyFill="1" applyBorder="1" applyAlignment="1">
      <alignment horizontal="centerContinuous" vertical="center"/>
    </xf>
    <xf numFmtId="38" fontId="80" fillId="39" borderId="275" xfId="67" applyNumberFormat="1" applyFont="1" applyFill="1" applyBorder="1" applyAlignment="1">
      <alignment horizontal="centerContinuous" vertical="center"/>
    </xf>
    <xf numFmtId="38" fontId="80" fillId="39" borderId="272" xfId="67" applyNumberFormat="1" applyFont="1" applyFill="1" applyBorder="1" applyAlignment="1">
      <alignment horizontal="centerContinuous" vertical="center"/>
    </xf>
    <xf numFmtId="38" fontId="80" fillId="39" borderId="320" xfId="67" applyNumberFormat="1" applyFont="1" applyFill="1" applyBorder="1" applyAlignment="1">
      <alignment vertical="center"/>
    </xf>
    <xf numFmtId="38" fontId="80" fillId="39" borderId="321" xfId="67" applyNumberFormat="1" applyFont="1" applyFill="1" applyBorder="1" applyAlignment="1">
      <alignment vertical="center"/>
    </xf>
    <xf numFmtId="38" fontId="80" fillId="39" borderId="322" xfId="67" applyNumberFormat="1" applyFont="1" applyFill="1" applyBorder="1" applyAlignment="1">
      <alignment vertical="center"/>
    </xf>
    <xf numFmtId="38" fontId="80" fillId="39" borderId="347" xfId="67" applyNumberFormat="1" applyFont="1" applyFill="1" applyBorder="1" applyAlignment="1">
      <alignment vertical="center"/>
    </xf>
    <xf numFmtId="38" fontId="80" fillId="39" borderId="348" xfId="67" applyNumberFormat="1" applyFont="1" applyFill="1" applyBorder="1" applyAlignment="1">
      <alignment vertical="center"/>
    </xf>
    <xf numFmtId="38" fontId="80" fillId="39" borderId="326" xfId="67" applyNumberFormat="1" applyFont="1" applyFill="1" applyBorder="1" applyAlignment="1">
      <alignment horizontal="centerContinuous" vertical="center"/>
    </xf>
    <xf numFmtId="38" fontId="80" fillId="39" borderId="327" xfId="67" applyNumberFormat="1" applyFont="1" applyFill="1" applyBorder="1" applyAlignment="1">
      <alignment horizontal="centerContinuous" vertical="center"/>
    </xf>
    <xf numFmtId="38" fontId="80" fillId="39" borderId="349" xfId="67" applyNumberFormat="1" applyFont="1" applyFill="1" applyBorder="1" applyAlignment="1">
      <alignment vertical="center"/>
    </xf>
    <xf numFmtId="38" fontId="80" fillId="39" borderId="350" xfId="67" applyNumberFormat="1" applyFont="1" applyFill="1" applyBorder="1" applyAlignment="1">
      <alignment vertical="center"/>
    </xf>
    <xf numFmtId="38" fontId="80" fillId="39" borderId="351" xfId="67" applyNumberFormat="1" applyFont="1" applyFill="1" applyBorder="1" applyAlignment="1">
      <alignment vertical="center"/>
    </xf>
    <xf numFmtId="38" fontId="80" fillId="39" borderId="352" xfId="67" applyNumberFormat="1" applyFont="1" applyFill="1" applyBorder="1" applyAlignment="1">
      <alignment vertical="center"/>
    </xf>
    <xf numFmtId="38" fontId="80" fillId="39" borderId="353" xfId="67" applyNumberFormat="1" applyFont="1" applyFill="1" applyBorder="1" applyAlignment="1">
      <alignment vertical="center"/>
    </xf>
    <xf numFmtId="38" fontId="80" fillId="39" borderId="323" xfId="67" applyNumberFormat="1" applyFont="1" applyFill="1" applyBorder="1" applyAlignment="1">
      <alignment vertical="center"/>
    </xf>
    <xf numFmtId="38" fontId="80" fillId="39" borderId="274" xfId="67" applyNumberFormat="1" applyFont="1" applyFill="1" applyBorder="1" applyAlignment="1">
      <alignment horizontal="center" vertical="center"/>
    </xf>
    <xf numFmtId="38" fontId="80" fillId="39" borderId="292" xfId="67" applyNumberFormat="1" applyFont="1" applyFill="1" applyBorder="1" applyAlignment="1">
      <alignment vertical="center"/>
    </xf>
    <xf numFmtId="38" fontId="80" fillId="39" borderId="293" xfId="67" applyNumberFormat="1" applyFont="1" applyFill="1" applyBorder="1" applyAlignment="1">
      <alignment vertical="center"/>
    </xf>
    <xf numFmtId="38" fontId="80" fillId="39" borderId="294" xfId="67" applyNumberFormat="1" applyFont="1" applyFill="1" applyBorder="1" applyAlignment="1">
      <alignment vertical="center"/>
    </xf>
    <xf numFmtId="38" fontId="80" fillId="39" borderId="293" xfId="67" applyNumberFormat="1" applyFont="1" applyFill="1" applyBorder="1" applyAlignment="1">
      <alignment horizontal="right" vertical="center"/>
    </xf>
    <xf numFmtId="38" fontId="80" fillId="39" borderId="354" xfId="67" applyNumberFormat="1" applyFont="1" applyFill="1" applyBorder="1" applyAlignment="1">
      <alignment vertical="center"/>
    </xf>
    <xf numFmtId="38" fontId="80" fillId="39" borderId="355" xfId="67" applyNumberFormat="1" applyFont="1" applyFill="1" applyBorder="1" applyAlignment="1">
      <alignment vertical="center"/>
    </xf>
    <xf numFmtId="38" fontId="80" fillId="39" borderId="356" xfId="67" applyNumberFormat="1" applyFont="1" applyFill="1" applyBorder="1" applyAlignment="1">
      <alignment vertical="center"/>
    </xf>
    <xf numFmtId="38" fontId="80" fillId="39" borderId="301" xfId="67" applyNumberFormat="1" applyFont="1" applyFill="1" applyBorder="1" applyAlignment="1">
      <alignment vertical="center"/>
    </xf>
    <xf numFmtId="181" fontId="80" fillId="39" borderId="274" xfId="67" applyNumberFormat="1" applyFont="1" applyFill="1" applyBorder="1" applyAlignment="1">
      <alignment vertical="center"/>
    </xf>
    <xf numFmtId="38" fontId="82" fillId="39" borderId="293" xfId="67" applyNumberFormat="1" applyFont="1" applyFill="1" applyBorder="1" applyAlignment="1">
      <alignment vertical="center"/>
    </xf>
    <xf numFmtId="38" fontId="80" fillId="39" borderId="357" xfId="67" applyNumberFormat="1" applyFont="1" applyFill="1" applyBorder="1" applyAlignment="1">
      <alignment vertical="center"/>
    </xf>
    <xf numFmtId="38" fontId="80" fillId="39" borderId="315" xfId="67" applyNumberFormat="1" applyFont="1" applyFill="1" applyBorder="1" applyAlignment="1">
      <alignment vertical="center"/>
    </xf>
    <xf numFmtId="38" fontId="80" fillId="39" borderId="297" xfId="67" applyNumberFormat="1" applyFont="1" applyFill="1" applyBorder="1" applyAlignment="1">
      <alignment vertical="center"/>
    </xf>
    <xf numFmtId="38" fontId="82" fillId="39" borderId="338" xfId="67" applyNumberFormat="1" applyFont="1" applyFill="1" applyBorder="1" applyAlignment="1">
      <alignment vertical="center" wrapText="1"/>
    </xf>
    <xf numFmtId="38" fontId="80" fillId="39" borderId="338" xfId="67" applyNumberFormat="1" applyFont="1" applyFill="1" applyBorder="1" applyAlignment="1">
      <alignment vertical="center"/>
    </xf>
    <xf numFmtId="38" fontId="80" fillId="39" borderId="314" xfId="67" applyNumberFormat="1" applyFont="1" applyFill="1" applyBorder="1" applyAlignment="1">
      <alignment vertical="center"/>
    </xf>
    <xf numFmtId="38" fontId="80" fillId="39" borderId="341" xfId="67" applyNumberFormat="1" applyFont="1" applyFill="1" applyBorder="1" applyAlignment="1">
      <alignment vertical="center"/>
    </xf>
    <xf numFmtId="38" fontId="80" fillId="39" borderId="340" xfId="67" applyNumberFormat="1" applyFont="1" applyFill="1" applyBorder="1" applyAlignment="1">
      <alignment vertical="center"/>
    </xf>
    <xf numFmtId="38" fontId="80" fillId="39" borderId="268" xfId="67" applyNumberFormat="1" applyFont="1" applyFill="1" applyAlignment="1">
      <alignment horizontal="right" vertical="center"/>
    </xf>
    <xf numFmtId="38" fontId="80" fillId="39" borderId="300" xfId="67" applyNumberFormat="1" applyFont="1" applyFill="1" applyBorder="1" applyAlignment="1">
      <alignment vertical="center"/>
    </xf>
    <xf numFmtId="38" fontId="80" fillId="39" borderId="302" xfId="67" applyNumberFormat="1" applyFont="1" applyFill="1" applyBorder="1" applyAlignment="1">
      <alignment vertical="center"/>
    </xf>
    <xf numFmtId="38" fontId="80" fillId="39" borderId="358" xfId="67" applyNumberFormat="1" applyFont="1" applyFill="1" applyBorder="1" applyAlignment="1">
      <alignment vertical="center"/>
    </xf>
    <xf numFmtId="38" fontId="80" fillId="39" borderId="359" xfId="67" applyNumberFormat="1" applyFont="1" applyFill="1" applyBorder="1" applyAlignment="1">
      <alignment vertical="center"/>
    </xf>
    <xf numFmtId="38" fontId="80" fillId="39" borderId="360" xfId="67" applyNumberFormat="1" applyFont="1" applyFill="1" applyBorder="1" applyAlignment="1">
      <alignment vertical="center"/>
    </xf>
    <xf numFmtId="38" fontId="80" fillId="39" borderId="339" xfId="67" applyNumberFormat="1" applyFont="1" applyFill="1" applyBorder="1" applyAlignment="1">
      <alignment vertical="center"/>
    </xf>
    <xf numFmtId="38" fontId="80" fillId="39" borderId="333" xfId="67" applyNumberFormat="1" applyFont="1" applyFill="1" applyBorder="1" applyAlignment="1">
      <alignment horizontal="centerContinuous" vertical="center"/>
    </xf>
    <xf numFmtId="38" fontId="80" fillId="39" borderId="273" xfId="67" applyNumberFormat="1" applyFont="1" applyFill="1" applyBorder="1" applyAlignment="1">
      <alignment vertical="center"/>
    </xf>
    <xf numFmtId="38" fontId="83" fillId="39" borderId="338" xfId="67" applyNumberFormat="1" applyFont="1" applyFill="1" applyBorder="1" applyAlignment="1">
      <alignment vertical="center" wrapText="1"/>
    </xf>
    <xf numFmtId="38" fontId="80" fillId="39" borderId="361" xfId="67" applyNumberFormat="1" applyFont="1" applyFill="1" applyBorder="1" applyAlignment="1">
      <alignment vertical="center"/>
    </xf>
    <xf numFmtId="38" fontId="82" fillId="39" borderId="338" xfId="67" applyNumberFormat="1" applyFont="1" applyFill="1" applyBorder="1" applyAlignment="1">
      <alignment vertical="center"/>
    </xf>
    <xf numFmtId="38" fontId="80" fillId="39" borderId="274" xfId="67" applyNumberFormat="1" applyFont="1" applyFill="1" applyBorder="1" applyAlignment="1">
      <alignment vertical="center"/>
    </xf>
    <xf numFmtId="38" fontId="80" fillId="39" borderId="268" xfId="67" applyNumberFormat="1" applyFont="1" applyFill="1" applyAlignment="1">
      <alignment horizontal="center"/>
    </xf>
    <xf numFmtId="38" fontId="80" fillId="39" borderId="268" xfId="67" applyNumberFormat="1" applyFont="1" applyFill="1" applyAlignment="1">
      <alignment horizontal="center" vertical="center"/>
    </xf>
    <xf numFmtId="38" fontId="80" fillId="39" borderId="294" xfId="63" applyFont="1" applyFill="1" applyBorder="1" applyAlignment="1">
      <alignment vertical="center"/>
    </xf>
    <xf numFmtId="38" fontId="82" fillId="39" borderId="268" xfId="67" applyNumberFormat="1" applyFont="1" applyFill="1" applyAlignment="1">
      <alignment horizontal="distributed" vertical="center"/>
    </xf>
    <xf numFmtId="38" fontId="82" fillId="39" borderId="300" xfId="67" applyNumberFormat="1" applyFont="1" applyFill="1" applyBorder="1" applyAlignment="1">
      <alignment horizontal="distributed" vertical="center"/>
    </xf>
    <xf numFmtId="38" fontId="82" fillId="39" borderId="293" xfId="67" applyNumberFormat="1" applyFont="1" applyFill="1" applyBorder="1" applyAlignment="1">
      <alignment horizontal="distributed" vertical="center" wrapText="1"/>
    </xf>
    <xf numFmtId="38" fontId="82" fillId="39" borderId="294" xfId="67" applyNumberFormat="1" applyFont="1" applyFill="1" applyBorder="1" applyAlignment="1">
      <alignment horizontal="distributed" vertical="center" wrapText="1"/>
    </xf>
    <xf numFmtId="38" fontId="82" fillId="39" borderId="301" xfId="67" applyNumberFormat="1" applyFont="1" applyFill="1" applyBorder="1" applyAlignment="1">
      <alignment horizontal="distributed" vertical="center" wrapText="1"/>
    </xf>
    <xf numFmtId="38" fontId="82" fillId="39" borderId="354" xfId="67" applyNumberFormat="1" applyFont="1" applyFill="1" applyBorder="1" applyAlignment="1">
      <alignment horizontal="distributed" vertical="center" wrapText="1"/>
    </xf>
    <xf numFmtId="38" fontId="82" fillId="39" borderId="359" xfId="67" applyNumberFormat="1" applyFont="1" applyFill="1" applyBorder="1" applyAlignment="1">
      <alignment horizontal="distributed" vertical="center"/>
    </xf>
    <xf numFmtId="38" fontId="82" fillId="39" borderId="303" xfId="67" applyNumberFormat="1" applyFont="1" applyFill="1" applyBorder="1" applyAlignment="1">
      <alignment horizontal="distributed" vertical="center"/>
    </xf>
    <xf numFmtId="38" fontId="82" fillId="39" borderId="362" xfId="67" applyNumberFormat="1" applyFont="1" applyFill="1" applyBorder="1" applyAlignment="1">
      <alignment horizontal="distributed" vertical="center"/>
    </xf>
    <xf numFmtId="38" fontId="80" fillId="39" borderId="337" xfId="67" applyNumberFormat="1" applyFont="1" applyFill="1" applyBorder="1" applyAlignment="1">
      <alignment horizontal="center" vertical="center"/>
    </xf>
    <xf numFmtId="38" fontId="80" fillId="39" borderId="293" xfId="67" applyNumberFormat="1" applyFont="1" applyFill="1" applyBorder="1" applyAlignment="1">
      <alignment horizontal="center" vertical="center"/>
    </xf>
    <xf numFmtId="38" fontId="80" fillId="39" borderId="294" xfId="67" applyNumberFormat="1" applyFont="1" applyFill="1" applyBorder="1" applyAlignment="1">
      <alignment horizontal="center" vertical="center"/>
    </xf>
    <xf numFmtId="38" fontId="80" fillId="39" borderId="338" xfId="67" applyNumberFormat="1" applyFont="1" applyFill="1" applyBorder="1" applyAlignment="1">
      <alignment horizontal="center" vertical="center"/>
    </xf>
    <xf numFmtId="38" fontId="80" fillId="39" borderId="296" xfId="67" applyNumberFormat="1" applyFont="1" applyFill="1" applyBorder="1" applyAlignment="1">
      <alignment horizontal="center" vertical="center"/>
    </xf>
    <xf numFmtId="38" fontId="80" fillId="39" borderId="363" xfId="67" applyNumberFormat="1" applyFont="1" applyFill="1" applyBorder="1" applyAlignment="1">
      <alignment horizontal="center" vertical="center"/>
    </xf>
    <xf numFmtId="38" fontId="80" fillId="39" borderId="364" xfId="67" applyNumberFormat="1" applyFont="1" applyFill="1" applyBorder="1" applyAlignment="1">
      <alignment horizontal="center" vertical="center"/>
    </xf>
    <xf numFmtId="38" fontId="80" fillId="39" borderId="268" xfId="67" applyNumberFormat="1" applyFont="1" applyFill="1" applyBorder="1" applyAlignment="1">
      <alignment horizontal="center" vertical="center"/>
    </xf>
    <xf numFmtId="38" fontId="80" fillId="39" borderId="323" xfId="67" applyNumberFormat="1" applyFont="1" applyFill="1" applyBorder="1" applyAlignment="1">
      <alignment horizontal="centerContinuous" vertical="center"/>
    </xf>
    <xf numFmtId="38" fontId="80" fillId="39" borderId="310" xfId="67" applyNumberFormat="1" applyFont="1" applyFill="1" applyBorder="1" applyAlignment="1">
      <alignment vertical="center"/>
    </xf>
    <xf numFmtId="38" fontId="80" fillId="39" borderId="308" xfId="67" applyNumberFormat="1" applyFont="1" applyFill="1" applyBorder="1" applyAlignment="1">
      <alignment vertical="center"/>
    </xf>
    <xf numFmtId="38" fontId="80" fillId="39" borderId="309" xfId="67" applyNumberFormat="1" applyFont="1" applyFill="1" applyBorder="1" applyAlignment="1">
      <alignment vertical="center"/>
    </xf>
    <xf numFmtId="38" fontId="80" fillId="39" borderId="365" xfId="67" applyNumberFormat="1" applyFont="1" applyFill="1" applyBorder="1" applyAlignment="1">
      <alignment vertical="center"/>
    </xf>
    <xf numFmtId="38" fontId="80" fillId="39" borderId="366" xfId="67" applyNumberFormat="1" applyFont="1" applyFill="1" applyBorder="1" applyAlignment="1">
      <alignment horizontal="center" vertical="center"/>
    </xf>
    <xf numFmtId="38" fontId="80" fillId="39" borderId="268" xfId="67" quotePrefix="1" applyNumberFormat="1" applyFont="1" applyFill="1" applyAlignment="1">
      <alignment horizontal="left" vertical="center"/>
    </xf>
    <xf numFmtId="38" fontId="80" fillId="39" borderId="318" xfId="67" applyNumberFormat="1" applyFont="1" applyFill="1" applyBorder="1" applyAlignment="1">
      <alignment vertical="center" shrinkToFit="1"/>
    </xf>
    <xf numFmtId="38" fontId="80" fillId="39" borderId="271" xfId="67" applyNumberFormat="1" applyFont="1" applyFill="1" applyBorder="1" applyAlignment="1">
      <alignment vertical="center" shrinkToFit="1"/>
    </xf>
    <xf numFmtId="38" fontId="80" fillId="39" borderId="334" xfId="67" applyNumberFormat="1" applyFont="1" applyFill="1" applyBorder="1" applyAlignment="1">
      <alignment vertical="center" shrinkToFit="1"/>
    </xf>
    <xf numFmtId="38" fontId="80" fillId="39" borderId="270" xfId="67" applyNumberFormat="1" applyFont="1" applyFill="1" applyBorder="1" applyAlignment="1">
      <alignment vertical="center" shrinkToFit="1"/>
    </xf>
    <xf numFmtId="38" fontId="80" fillId="39" borderId="275" xfId="67" applyNumberFormat="1" applyFont="1" applyFill="1" applyBorder="1" applyAlignment="1">
      <alignment vertical="center" shrinkToFit="1"/>
    </xf>
    <xf numFmtId="38" fontId="80" fillId="39" borderId="346" xfId="67" applyNumberFormat="1" applyFont="1" applyFill="1" applyBorder="1" applyAlignment="1">
      <alignment vertical="center" shrinkToFit="1"/>
    </xf>
    <xf numFmtId="38" fontId="80" fillId="39" borderId="349" xfId="67" applyNumberFormat="1" applyFont="1" applyFill="1" applyBorder="1" applyAlignment="1">
      <alignment vertical="center" shrinkToFit="1"/>
    </xf>
    <xf numFmtId="38" fontId="80" fillId="39" borderId="350" xfId="67" applyNumberFormat="1" applyFont="1" applyFill="1" applyBorder="1" applyAlignment="1">
      <alignment vertical="center" shrinkToFit="1"/>
    </xf>
    <xf numFmtId="38" fontId="80" fillId="39" borderId="351" xfId="67" applyNumberFormat="1" applyFont="1" applyFill="1" applyBorder="1" applyAlignment="1">
      <alignment vertical="center" shrinkToFit="1"/>
    </xf>
    <xf numFmtId="38" fontId="80" fillId="39" borderId="352" xfId="67" applyNumberFormat="1" applyFont="1" applyFill="1" applyBorder="1" applyAlignment="1">
      <alignment vertical="center" shrinkToFit="1"/>
    </xf>
    <xf numFmtId="38" fontId="80" fillId="39" borderId="353" xfId="67" applyNumberFormat="1" applyFont="1" applyFill="1" applyBorder="1" applyAlignment="1">
      <alignment vertical="center" shrinkToFit="1"/>
    </xf>
    <xf numFmtId="38" fontId="80" fillId="39" borderId="294" xfId="67" applyNumberFormat="1" applyFont="1" applyFill="1" applyBorder="1" applyAlignment="1">
      <alignment vertical="center" shrinkToFit="1"/>
    </xf>
    <xf numFmtId="38" fontId="80" fillId="39" borderId="293" xfId="67" applyNumberFormat="1" applyFont="1" applyFill="1" applyBorder="1" applyAlignment="1">
      <alignment vertical="center" shrinkToFit="1"/>
    </xf>
    <xf numFmtId="38" fontId="80" fillId="39" borderId="268" xfId="67" applyNumberFormat="1" applyFont="1" applyFill="1" applyAlignment="1">
      <alignment vertical="center" shrinkToFit="1"/>
    </xf>
    <xf numFmtId="38" fontId="80" fillId="39" borderId="301" xfId="67" applyNumberFormat="1" applyFont="1" applyFill="1" applyBorder="1" applyAlignment="1">
      <alignment vertical="center" shrinkToFit="1"/>
    </xf>
    <xf numFmtId="38" fontId="82" fillId="39" borderId="268" xfId="67" applyNumberFormat="1" applyFont="1" applyFill="1" applyAlignment="1">
      <alignment horizontal="centerContinuous" vertical="center"/>
    </xf>
    <xf numFmtId="38" fontId="80" fillId="39" borderId="367" xfId="67" applyNumberFormat="1" applyFont="1" applyFill="1" applyBorder="1" applyAlignment="1">
      <alignment vertical="center"/>
    </xf>
    <xf numFmtId="38" fontId="80" fillId="39" borderId="368" xfId="67" applyNumberFormat="1" applyFont="1" applyFill="1" applyBorder="1" applyAlignment="1">
      <alignment vertical="center"/>
    </xf>
    <xf numFmtId="38" fontId="80" fillId="39" borderId="369" xfId="67" applyNumberFormat="1" applyFont="1" applyFill="1" applyBorder="1" applyAlignment="1">
      <alignment vertical="center"/>
    </xf>
    <xf numFmtId="38" fontId="80" fillId="39" borderId="370" xfId="67" applyNumberFormat="1" applyFont="1" applyFill="1" applyBorder="1" applyAlignment="1">
      <alignment vertical="center"/>
    </xf>
    <xf numFmtId="38" fontId="80" fillId="48" borderId="293" xfId="67" applyNumberFormat="1" applyFont="1" applyFill="1" applyBorder="1" applyAlignment="1">
      <alignment vertical="center"/>
    </xf>
    <xf numFmtId="38" fontId="80" fillId="48" borderId="294" xfId="67" applyNumberFormat="1" applyFont="1" applyFill="1" applyBorder="1" applyAlignment="1">
      <alignment vertical="center"/>
    </xf>
    <xf numFmtId="38" fontId="80" fillId="48" borderId="292" xfId="67" applyNumberFormat="1" applyFont="1" applyFill="1" applyBorder="1" applyAlignment="1">
      <alignment vertical="center"/>
    </xf>
    <xf numFmtId="38" fontId="80" fillId="48" borderId="354" xfId="67" applyNumberFormat="1" applyFont="1" applyFill="1" applyBorder="1" applyAlignment="1">
      <alignment vertical="center"/>
    </xf>
    <xf numFmtId="38" fontId="80" fillId="48" borderId="355" xfId="67" applyNumberFormat="1" applyFont="1" applyFill="1" applyBorder="1" applyAlignment="1">
      <alignment vertical="center"/>
    </xf>
    <xf numFmtId="38" fontId="80" fillId="39" borderId="371" xfId="67" applyNumberFormat="1" applyFont="1" applyFill="1" applyBorder="1" applyAlignment="1">
      <alignment vertical="center"/>
    </xf>
    <xf numFmtId="38" fontId="80" fillId="39" borderId="303" xfId="67" applyNumberFormat="1" applyFont="1" applyFill="1" applyBorder="1" applyAlignment="1">
      <alignment vertical="center"/>
    </xf>
    <xf numFmtId="38" fontId="80" fillId="39" borderId="372" xfId="67" applyNumberFormat="1" applyFont="1" applyFill="1" applyBorder="1" applyAlignment="1">
      <alignment vertical="center"/>
    </xf>
    <xf numFmtId="38" fontId="80" fillId="39" borderId="292" xfId="67" applyNumberFormat="1" applyFont="1" applyFill="1" applyBorder="1" applyAlignment="1">
      <alignment horizontal="right" vertical="center"/>
    </xf>
    <xf numFmtId="38" fontId="80" fillId="48" borderId="293" xfId="67" applyNumberFormat="1" applyFont="1" applyFill="1" applyBorder="1" applyAlignment="1">
      <alignment horizontal="right" vertical="center" wrapText="1"/>
    </xf>
    <xf numFmtId="38" fontId="80" fillId="48" borderId="294" xfId="67" applyNumberFormat="1" applyFont="1" applyFill="1" applyBorder="1" applyAlignment="1">
      <alignment horizontal="right" vertical="center" wrapText="1"/>
    </xf>
    <xf numFmtId="38" fontId="80" fillId="48" borderId="293" xfId="67" applyNumberFormat="1" applyFont="1" applyFill="1" applyBorder="1" applyAlignment="1">
      <alignment horizontal="right" vertical="center"/>
    </xf>
    <xf numFmtId="38" fontId="80" fillId="48" borderId="354" xfId="67" applyNumberFormat="1" applyFont="1" applyFill="1" applyBorder="1" applyAlignment="1">
      <alignment horizontal="right" vertical="center"/>
    </xf>
    <xf numFmtId="10" fontId="80" fillId="39" borderId="268" xfId="67" applyNumberFormat="1" applyFont="1" applyFill="1" applyAlignment="1">
      <alignment vertical="center"/>
    </xf>
    <xf numFmtId="3" fontId="80" fillId="39" borderId="268" xfId="67" applyNumberFormat="1" applyFont="1" applyFill="1" applyAlignment="1">
      <alignment vertical="center"/>
    </xf>
    <xf numFmtId="38" fontId="80" fillId="39" borderId="373" xfId="67" applyNumberFormat="1" applyFont="1" applyFill="1" applyBorder="1" applyAlignment="1">
      <alignment vertical="center"/>
    </xf>
    <xf numFmtId="38" fontId="80" fillId="39" borderId="374" xfId="67" applyNumberFormat="1" applyFont="1" applyFill="1" applyBorder="1" applyAlignment="1">
      <alignment vertical="center"/>
    </xf>
    <xf numFmtId="38" fontId="80" fillId="39" borderId="375" xfId="67" applyNumberFormat="1" applyFont="1" applyFill="1" applyBorder="1" applyAlignment="1">
      <alignment vertical="center"/>
    </xf>
    <xf numFmtId="38" fontId="84" fillId="39" borderId="268" xfId="67" applyNumberFormat="1" applyFont="1" applyFill="1" applyAlignment="1">
      <alignment horizontal="center" vertical="top"/>
    </xf>
    <xf numFmtId="0" fontId="85" fillId="39" borderId="357" xfId="67" applyFont="1" applyFill="1" applyBorder="1" applyAlignment="1">
      <alignment horizontal="distributed" vertical="center"/>
    </xf>
    <xf numFmtId="0" fontId="85" fillId="39" borderId="376" xfId="67" applyFont="1" applyFill="1" applyBorder="1" applyAlignment="1">
      <alignment horizontal="distributed" vertical="center"/>
    </xf>
    <xf numFmtId="38" fontId="80" fillId="48" borderId="268" xfId="67" applyNumberFormat="1" applyFont="1" applyFill="1" applyAlignment="1">
      <alignment vertical="center"/>
    </xf>
    <xf numFmtId="38" fontId="80" fillId="39" borderId="273" xfId="67" applyNumberFormat="1" applyFont="1" applyFill="1" applyBorder="1" applyAlignment="1">
      <alignment horizontal="centerContinuous" vertical="center"/>
    </xf>
    <xf numFmtId="0" fontId="75" fillId="39" borderId="268" xfId="67" applyFont="1" applyFill="1"/>
    <xf numFmtId="0" fontId="75" fillId="39" borderId="268" xfId="67" applyFont="1" applyFill="1" applyAlignment="1">
      <alignment vertical="center"/>
    </xf>
    <xf numFmtId="38" fontId="80" fillId="39" borderId="378" xfId="67" applyNumberFormat="1" applyFont="1" applyFill="1" applyBorder="1" applyAlignment="1">
      <alignment vertical="center"/>
    </xf>
    <xf numFmtId="38" fontId="80" fillId="39" borderId="379" xfId="67" applyNumberFormat="1" applyFont="1" applyFill="1" applyBorder="1" applyAlignment="1">
      <alignment vertical="center"/>
    </xf>
    <xf numFmtId="38" fontId="80" fillId="39" borderId="380" xfId="67" applyNumberFormat="1" applyFont="1" applyFill="1" applyBorder="1" applyAlignment="1">
      <alignment vertical="center"/>
    </xf>
    <xf numFmtId="38" fontId="80" fillId="39" borderId="381" xfId="67" applyNumberFormat="1" applyFont="1" applyFill="1" applyBorder="1" applyAlignment="1">
      <alignment vertical="center"/>
    </xf>
    <xf numFmtId="38" fontId="80" fillId="39" borderId="382" xfId="67" applyNumberFormat="1" applyFont="1" applyFill="1" applyBorder="1" applyAlignment="1">
      <alignment vertical="center"/>
    </xf>
    <xf numFmtId="38" fontId="80" fillId="39" borderId="268" xfId="67" quotePrefix="1" applyNumberFormat="1" applyFont="1" applyFill="1" applyBorder="1" applyAlignment="1">
      <alignment horizontal="left" vertical="center"/>
    </xf>
    <xf numFmtId="38" fontId="80" fillId="39" borderId="323" xfId="67" applyNumberFormat="1" applyFont="1" applyFill="1" applyBorder="1" applyAlignment="1">
      <alignment horizontal="left" vertical="center"/>
    </xf>
    <xf numFmtId="38" fontId="80" fillId="39" borderId="323" xfId="67" quotePrefix="1" applyNumberFormat="1" applyFont="1" applyFill="1" applyBorder="1" applyAlignment="1">
      <alignment horizontal="left" vertical="center"/>
    </xf>
    <xf numFmtId="38" fontId="80" fillId="39" borderId="338" xfId="67" applyNumberFormat="1" applyFont="1" applyFill="1" applyBorder="1" applyAlignment="1">
      <alignment vertical="center" shrinkToFit="1"/>
    </xf>
    <xf numFmtId="0" fontId="85" fillId="39" borderId="386" xfId="67" applyFont="1" applyFill="1" applyBorder="1" applyAlignment="1">
      <alignment horizontal="distributed" vertical="center"/>
    </xf>
    <xf numFmtId="38" fontId="80" fillId="39" borderId="315" xfId="67" quotePrefix="1" applyNumberFormat="1" applyFont="1" applyFill="1" applyBorder="1" applyAlignment="1">
      <alignment horizontal="left" vertical="center"/>
    </xf>
    <xf numFmtId="38" fontId="80" fillId="39" borderId="364" xfId="67" applyNumberFormat="1" applyFont="1" applyFill="1" applyBorder="1" applyAlignment="1">
      <alignment vertical="center"/>
    </xf>
    <xf numFmtId="38" fontId="80" fillId="39" borderId="305" xfId="67" applyNumberFormat="1" applyFont="1" applyFill="1" applyBorder="1" applyAlignment="1">
      <alignment vertical="center"/>
    </xf>
    <xf numFmtId="38" fontId="80" fillId="39" borderId="306" xfId="67" applyNumberFormat="1" applyFont="1" applyFill="1" applyBorder="1" applyAlignment="1">
      <alignment vertical="center"/>
    </xf>
    <xf numFmtId="38" fontId="80" fillId="39" borderId="307" xfId="67" applyNumberFormat="1" applyFont="1" applyFill="1" applyBorder="1" applyAlignment="1">
      <alignment vertical="center"/>
    </xf>
    <xf numFmtId="38" fontId="80" fillId="39" borderId="387" xfId="67" applyNumberFormat="1" applyFont="1" applyFill="1" applyBorder="1" applyAlignment="1">
      <alignment vertical="center"/>
    </xf>
    <xf numFmtId="38" fontId="80" fillId="39" borderId="388" xfId="67" applyNumberFormat="1" applyFont="1" applyFill="1" applyBorder="1" applyAlignment="1">
      <alignment vertical="center"/>
    </xf>
    <xf numFmtId="38" fontId="80" fillId="39" borderId="339" xfId="67" quotePrefix="1" applyNumberFormat="1" applyFont="1" applyFill="1" applyBorder="1" applyAlignment="1">
      <alignment horizontal="left" vertical="center"/>
    </xf>
    <xf numFmtId="38" fontId="80" fillId="39" borderId="389" xfId="67" applyNumberFormat="1" applyFont="1" applyFill="1" applyBorder="1" applyAlignment="1">
      <alignment horizontal="centerContinuous" vertical="center"/>
    </xf>
    <xf numFmtId="38" fontId="80" fillId="39" borderId="366" xfId="67" applyNumberFormat="1" applyFont="1" applyFill="1" applyBorder="1" applyAlignment="1">
      <alignment vertical="center"/>
    </xf>
    <xf numFmtId="38" fontId="80" fillId="39" borderId="295" xfId="67" applyNumberFormat="1" applyFont="1" applyFill="1" applyBorder="1" applyAlignment="1">
      <alignment vertical="center"/>
    </xf>
    <xf numFmtId="38" fontId="80" fillId="39" borderId="338" xfId="67" applyNumberFormat="1" applyFont="1" applyFill="1" applyBorder="1" applyAlignment="1">
      <alignment vertical="center" wrapText="1"/>
    </xf>
    <xf numFmtId="38" fontId="80" fillId="39" borderId="390" xfId="67" applyNumberFormat="1" applyFont="1" applyFill="1" applyBorder="1" applyAlignment="1">
      <alignment vertical="center"/>
    </xf>
    <xf numFmtId="38" fontId="80" fillId="39" borderId="391" xfId="67" applyNumberFormat="1" applyFont="1" applyFill="1" applyBorder="1" applyAlignment="1">
      <alignment vertical="center"/>
    </xf>
    <xf numFmtId="38" fontId="80" fillId="39" borderId="392" xfId="67" applyNumberFormat="1" applyFont="1" applyFill="1" applyBorder="1" applyAlignment="1">
      <alignment vertical="center"/>
    </xf>
    <xf numFmtId="38" fontId="82" fillId="39" borderId="268" xfId="67" applyNumberFormat="1" applyFont="1" applyFill="1" applyAlignment="1">
      <alignment vertical="center"/>
    </xf>
    <xf numFmtId="38" fontId="80" fillId="39" borderId="323" xfId="67" applyNumberFormat="1" applyFont="1" applyFill="1" applyBorder="1" applyAlignment="1">
      <alignment horizontal="center" vertical="center"/>
    </xf>
    <xf numFmtId="38" fontId="80" fillId="39" borderId="268" xfId="67" applyNumberFormat="1" applyFont="1" applyFill="1" applyAlignment="1">
      <alignment horizontal="center" vertical="center" wrapText="1"/>
    </xf>
    <xf numFmtId="38" fontId="80" fillId="39" borderId="391" xfId="67" applyNumberFormat="1" applyFont="1" applyFill="1" applyBorder="1" applyAlignment="1">
      <alignment horizontal="center" vertical="center"/>
    </xf>
    <xf numFmtId="38" fontId="86" fillId="39" borderId="268" xfId="67" applyNumberFormat="1" applyFont="1" applyFill="1" applyAlignment="1">
      <alignment vertical="center"/>
    </xf>
    <xf numFmtId="38" fontId="80" fillId="39" borderId="385" xfId="67" applyNumberFormat="1" applyFont="1" applyFill="1" applyBorder="1" applyAlignment="1">
      <alignment vertical="center"/>
    </xf>
    <xf numFmtId="0" fontId="63" fillId="39" borderId="268" xfId="58" applyAlignment="1"/>
    <xf numFmtId="0" fontId="63" fillId="39" borderId="268" xfId="58" applyFill="1" applyAlignment="1">
      <alignment vertical="center"/>
    </xf>
    <xf numFmtId="38" fontId="70" fillId="39" borderId="273" xfId="59" applyFont="1" applyFill="1" applyBorder="1" applyAlignment="1">
      <alignment horizontal="left" vertical="center"/>
    </xf>
    <xf numFmtId="38" fontId="70" fillId="39" borderId="277" xfId="59" applyFont="1" applyFill="1" applyBorder="1" applyAlignment="1">
      <alignment horizontal="left" vertical="center"/>
    </xf>
    <xf numFmtId="38" fontId="64" fillId="49" borderId="309" xfId="59" applyFont="1" applyFill="1" applyBorder="1" applyAlignment="1">
      <alignment horizontal="right" vertical="center"/>
    </xf>
    <xf numFmtId="38" fontId="64" fillId="49" borderId="298" xfId="59" applyFont="1" applyFill="1" applyBorder="1" applyAlignment="1">
      <alignment horizontal="right" vertical="center"/>
    </xf>
    <xf numFmtId="38" fontId="64" fillId="49" borderId="295" xfId="59" applyFont="1" applyFill="1" applyBorder="1" applyAlignment="1">
      <alignment horizontal="right" vertical="center"/>
    </xf>
    <xf numFmtId="38" fontId="64" fillId="49" borderId="310" xfId="59" applyFont="1" applyFill="1" applyBorder="1" applyAlignment="1">
      <alignment horizontal="right" vertical="center"/>
    </xf>
    <xf numFmtId="38" fontId="64" fillId="39" borderId="324" xfId="59" applyFont="1" applyFill="1" applyBorder="1" applyAlignment="1">
      <alignment horizontal="center" vertical="center"/>
    </xf>
    <xf numFmtId="38" fontId="63" fillId="39" borderId="268" xfId="64" applyFont="1" applyAlignment="1">
      <alignment horizontal="center"/>
    </xf>
    <xf numFmtId="38" fontId="64" fillId="39" borderId="394" xfId="59" applyFont="1" applyBorder="1" applyAlignment="1">
      <alignment horizontal="center" vertical="center"/>
    </xf>
    <xf numFmtId="38" fontId="69" fillId="39" borderId="357" xfId="59" applyFont="1" applyBorder="1" applyAlignment="1">
      <alignment horizontal="center" vertical="center"/>
    </xf>
    <xf numFmtId="38" fontId="64" fillId="39" borderId="311" xfId="59" applyFont="1" applyBorder="1" applyAlignment="1">
      <alignment horizontal="right" vertical="center"/>
    </xf>
    <xf numFmtId="38" fontId="64" fillId="39" borderId="377" xfId="59" applyFont="1" applyFill="1" applyBorder="1" applyAlignment="1">
      <alignment horizontal="right" vertical="center"/>
    </xf>
    <xf numFmtId="38" fontId="64" fillId="42" borderId="297" xfId="59" applyFont="1" applyFill="1" applyBorder="1" applyAlignment="1">
      <alignment horizontal="right" vertical="center"/>
    </xf>
    <xf numFmtId="38" fontId="64" fillId="39" borderId="297" xfId="59" applyFont="1" applyFill="1" applyBorder="1" applyAlignment="1">
      <alignment horizontal="right" vertical="center"/>
    </xf>
    <xf numFmtId="38" fontId="64" fillId="39" borderId="297" xfId="59" applyFont="1" applyFill="1" applyBorder="1" applyAlignment="1">
      <alignment vertical="center"/>
    </xf>
    <xf numFmtId="38" fontId="64" fillId="39" borderId="335" xfId="59" applyFont="1" applyBorder="1" applyAlignment="1">
      <alignment horizontal="right" vertical="center"/>
    </xf>
    <xf numFmtId="38" fontId="64" fillId="39" borderId="311" xfId="59" applyFont="1" applyBorder="1" applyAlignment="1">
      <alignment vertical="center"/>
    </xf>
    <xf numFmtId="38" fontId="64" fillId="39" borderId="377" xfId="59" applyFont="1" applyFill="1" applyBorder="1" applyAlignment="1">
      <alignment vertical="center"/>
    </xf>
    <xf numFmtId="38" fontId="64" fillId="39" borderId="335" xfId="59" applyFont="1" applyBorder="1" applyAlignment="1">
      <alignment vertical="center"/>
    </xf>
    <xf numFmtId="38" fontId="64" fillId="45" borderId="311" xfId="59" applyFont="1" applyFill="1" applyBorder="1" applyAlignment="1">
      <alignment horizontal="right" vertical="center"/>
    </xf>
    <xf numFmtId="38" fontId="64" fillId="39" borderId="340" xfId="59" applyFont="1" applyBorder="1" applyAlignment="1">
      <alignment horizontal="right" vertical="center"/>
    </xf>
    <xf numFmtId="38" fontId="64" fillId="39" borderId="333" xfId="59" applyFont="1" applyBorder="1" applyAlignment="1">
      <alignment horizontal="right" vertical="center"/>
    </xf>
    <xf numFmtId="38" fontId="64" fillId="39" borderId="331" xfId="59" applyFont="1" applyBorder="1" applyAlignment="1">
      <alignment horizontal="right" vertical="center"/>
    </xf>
    <xf numFmtId="38" fontId="64" fillId="42" borderId="297" xfId="59" applyFont="1" applyFill="1" applyBorder="1" applyAlignment="1">
      <alignment vertical="center"/>
    </xf>
    <xf numFmtId="38" fontId="69" fillId="39" borderId="316" xfId="59" applyFont="1" applyFill="1" applyBorder="1" applyAlignment="1">
      <alignment horizontal="center" vertical="center"/>
    </xf>
    <xf numFmtId="38" fontId="64" fillId="39" borderId="343" xfId="59" applyFont="1" applyFill="1" applyBorder="1" applyAlignment="1">
      <alignment horizontal="right" vertical="center"/>
    </xf>
    <xf numFmtId="38" fontId="64" fillId="39" borderId="310" xfId="59" applyFont="1" applyFill="1" applyBorder="1" applyAlignment="1">
      <alignment vertical="center"/>
    </xf>
    <xf numFmtId="38" fontId="64" fillId="39" borderId="345" xfId="59" applyFont="1" applyFill="1" applyBorder="1" applyAlignment="1">
      <alignment vertical="center"/>
    </xf>
    <xf numFmtId="38" fontId="64" fillId="39" borderId="343" xfId="59" applyFont="1" applyFill="1" applyBorder="1" applyAlignment="1">
      <alignment vertical="center"/>
    </xf>
    <xf numFmtId="38" fontId="64" fillId="39" borderId="360" xfId="59" applyFont="1" applyFill="1" applyBorder="1" applyAlignment="1">
      <alignment horizontal="right" vertical="center"/>
    </xf>
    <xf numFmtId="38" fontId="64" fillId="39" borderId="283" xfId="59" applyFont="1" applyFill="1" applyBorder="1" applyAlignment="1">
      <alignment horizontal="right" vertical="center"/>
    </xf>
    <xf numFmtId="38" fontId="64" fillId="39" borderId="275" xfId="59" applyFont="1" applyFill="1" applyBorder="1" applyAlignment="1">
      <alignment horizontal="right" vertical="center"/>
    </xf>
    <xf numFmtId="38" fontId="64" fillId="39" borderId="276" xfId="59" applyFont="1" applyFill="1" applyBorder="1" applyAlignment="1">
      <alignment horizontal="right" vertical="center"/>
    </xf>
    <xf numFmtId="38" fontId="64" fillId="47" borderId="293" xfId="59" applyFont="1" applyFill="1" applyBorder="1" applyAlignment="1">
      <alignment horizontal="right" vertical="center"/>
    </xf>
    <xf numFmtId="38" fontId="64" fillId="39" borderId="314" xfId="59" applyFont="1" applyBorder="1" applyAlignment="1">
      <alignment horizontal="center" vertical="center"/>
    </xf>
    <xf numFmtId="38" fontId="64" fillId="45" borderId="297" xfId="59" applyFont="1" applyFill="1" applyBorder="1" applyAlignment="1">
      <alignment horizontal="right" vertical="center"/>
    </xf>
    <xf numFmtId="38" fontId="64" fillId="39" borderId="297" xfId="59" applyFont="1" applyBorder="1" applyAlignment="1">
      <alignment vertical="center"/>
    </xf>
    <xf numFmtId="38" fontId="64" fillId="39" borderId="290" xfId="59" applyFont="1" applyFill="1" applyBorder="1" applyAlignment="1">
      <alignment horizontal="right" vertical="center"/>
    </xf>
    <xf numFmtId="38" fontId="64" fillId="43" borderId="297" xfId="59" applyFont="1" applyFill="1" applyBorder="1" applyAlignment="1">
      <alignment horizontal="right" vertical="center"/>
    </xf>
    <xf numFmtId="38" fontId="64" fillId="48" borderId="297" xfId="59" applyFont="1" applyFill="1" applyBorder="1" applyAlignment="1">
      <alignment horizontal="right" vertical="center"/>
    </xf>
    <xf numFmtId="38" fontId="64" fillId="39" borderId="297" xfId="59" applyFont="1" applyBorder="1" applyAlignment="1">
      <alignment horizontal="right" vertical="center"/>
    </xf>
    <xf numFmtId="38" fontId="64" fillId="44" borderId="297" xfId="59" applyFont="1" applyFill="1" applyBorder="1" applyAlignment="1">
      <alignment horizontal="right" vertical="center"/>
    </xf>
    <xf numFmtId="38" fontId="64" fillId="41" borderId="297" xfId="59" applyFont="1" applyFill="1" applyBorder="1" applyAlignment="1">
      <alignment horizontal="right" vertical="center"/>
    </xf>
    <xf numFmtId="38" fontId="64" fillId="41" borderId="290" xfId="59" applyFont="1" applyFill="1" applyBorder="1" applyAlignment="1">
      <alignment horizontal="right" vertical="center"/>
    </xf>
    <xf numFmtId="38" fontId="64" fillId="48" borderId="311" xfId="59" applyFont="1" applyFill="1" applyBorder="1" applyAlignment="1">
      <alignment horizontal="right" vertical="center"/>
    </xf>
    <xf numFmtId="38" fontId="64" fillId="39" borderId="318" xfId="59" applyFont="1" applyFill="1" applyBorder="1" applyAlignment="1">
      <alignment horizontal="right" vertical="center"/>
    </xf>
    <xf numFmtId="38" fontId="64" fillId="41" borderId="295" xfId="59" applyFont="1" applyFill="1" applyBorder="1" applyAlignment="1">
      <alignment horizontal="right" vertical="center"/>
    </xf>
    <xf numFmtId="38" fontId="64" fillId="41" borderId="288" xfId="59" applyFont="1" applyFill="1" applyBorder="1" applyAlignment="1">
      <alignment horizontal="right" vertical="center"/>
    </xf>
    <xf numFmtId="38" fontId="64" fillId="39" borderId="395" xfId="59" applyFont="1" applyBorder="1" applyAlignment="1">
      <alignment horizontal="center" vertical="center"/>
    </xf>
    <xf numFmtId="38" fontId="69" fillId="39" borderId="396" xfId="59" applyFont="1" applyBorder="1" applyAlignment="1">
      <alignment horizontal="center" vertical="center"/>
    </xf>
    <xf numFmtId="38" fontId="64" fillId="39" borderId="342" xfId="59" applyFont="1" applyFill="1" applyBorder="1" applyAlignment="1">
      <alignment horizontal="right" vertical="center"/>
    </xf>
    <xf numFmtId="38" fontId="64" fillId="39" borderId="361" xfId="59" applyFont="1" applyFill="1" applyBorder="1" applyAlignment="1">
      <alignment horizontal="right" vertical="center"/>
    </xf>
    <xf numFmtId="38" fontId="64" fillId="39" borderId="361" xfId="59" applyFont="1" applyBorder="1" applyAlignment="1">
      <alignment horizontal="right" vertical="center"/>
    </xf>
    <xf numFmtId="38" fontId="64" fillId="41" borderId="361" xfId="59" applyFont="1" applyFill="1" applyBorder="1" applyAlignment="1">
      <alignment horizontal="right" vertical="center"/>
    </xf>
    <xf numFmtId="38" fontId="64" fillId="45" borderId="361" xfId="59" applyFont="1" applyFill="1" applyBorder="1" applyAlignment="1">
      <alignment horizontal="right" vertical="center"/>
    </xf>
    <xf numFmtId="38" fontId="64" fillId="41" borderId="397" xfId="59" applyFont="1" applyFill="1" applyBorder="1" applyAlignment="1">
      <alignment horizontal="right" vertical="center"/>
    </xf>
    <xf numFmtId="38" fontId="64" fillId="42" borderId="361" xfId="59" applyFont="1" applyFill="1" applyBorder="1" applyAlignment="1">
      <alignment horizontal="right" vertical="center"/>
    </xf>
    <xf numFmtId="38" fontId="64" fillId="39" borderId="397" xfId="59" applyFont="1" applyFill="1" applyBorder="1" applyAlignment="1">
      <alignment horizontal="right" vertical="center"/>
    </xf>
    <xf numFmtId="38" fontId="64" fillId="39" borderId="286" xfId="59" applyFont="1" applyBorder="1" applyAlignment="1">
      <alignment horizontal="right" vertical="center"/>
    </xf>
    <xf numFmtId="38" fontId="64" fillId="46" borderId="293" xfId="59" applyFont="1" applyFill="1" applyBorder="1" applyAlignment="1">
      <alignment horizontal="right" vertical="center"/>
    </xf>
    <xf numFmtId="38" fontId="64" fillId="47" borderId="299" xfId="59" applyFont="1" applyFill="1" applyBorder="1" applyAlignment="1">
      <alignment horizontal="right" vertical="center"/>
    </xf>
    <xf numFmtId="38" fontId="64" fillId="45" borderId="302" xfId="59" applyFont="1" applyFill="1" applyBorder="1" applyAlignment="1">
      <alignment horizontal="right" vertical="center"/>
    </xf>
    <xf numFmtId="38" fontId="64" fillId="45" borderId="377" xfId="59" applyFont="1" applyFill="1" applyBorder="1" applyAlignment="1">
      <alignment horizontal="right" vertical="center"/>
    </xf>
    <xf numFmtId="38" fontId="64" fillId="45" borderId="301" xfId="59" applyFont="1" applyFill="1" applyBorder="1" applyAlignment="1">
      <alignment horizontal="right" vertical="center"/>
    </xf>
    <xf numFmtId="38" fontId="64" fillId="45" borderId="301" xfId="59" applyFont="1" applyFill="1" applyBorder="1" applyAlignment="1">
      <alignment vertical="center"/>
    </xf>
    <xf numFmtId="0" fontId="76" fillId="39" borderId="268" xfId="69" quotePrefix="1"/>
    <xf numFmtId="38" fontId="64" fillId="39" borderId="312" xfId="59" applyFont="1" applyBorder="1" applyAlignment="1">
      <alignment horizontal="center" vertical="center"/>
    </xf>
    <xf numFmtId="38" fontId="64" fillId="39" borderId="269" xfId="59" applyFont="1" applyBorder="1" applyAlignment="1">
      <alignment horizontal="center" vertical="center"/>
    </xf>
    <xf numFmtId="38" fontId="64" fillId="39" borderId="318" xfId="59" applyFont="1" applyBorder="1" applyAlignment="1">
      <alignment horizontal="center" vertical="center"/>
    </xf>
    <xf numFmtId="38" fontId="64" fillId="39" borderId="327" xfId="59" applyFont="1" applyBorder="1" applyAlignment="1">
      <alignment horizontal="center" vertical="center"/>
    </xf>
    <xf numFmtId="38" fontId="64" fillId="39" borderId="273" xfId="59" applyFont="1" applyBorder="1" applyAlignment="1">
      <alignment horizontal="center" vertical="center"/>
    </xf>
    <xf numFmtId="38" fontId="64" fillId="39" borderId="324" xfId="59" applyFont="1" applyFill="1" applyBorder="1" applyAlignment="1">
      <alignment horizontal="center" vertical="center"/>
    </xf>
    <xf numFmtId="38" fontId="64" fillId="39" borderId="268" xfId="59" applyFont="1" applyBorder="1" applyAlignment="1">
      <alignment horizontal="right" vertical="center"/>
    </xf>
    <xf numFmtId="38" fontId="64" fillId="39" borderId="276" xfId="59" applyFont="1" applyFill="1" applyBorder="1" applyAlignment="1">
      <alignment horizontal="center" vertical="center" shrinkToFit="1"/>
    </xf>
    <xf numFmtId="38" fontId="64" fillId="39" borderId="276" xfId="59" applyFont="1" applyFill="1" applyBorder="1" applyAlignment="1">
      <alignment vertical="center"/>
    </xf>
    <xf numFmtId="38" fontId="64" fillId="39" borderId="310" xfId="59" applyFont="1" applyFill="1" applyBorder="1" applyAlignment="1">
      <alignment vertical="center" shrinkToFit="1"/>
    </xf>
    <xf numFmtId="38" fontId="64" fillId="39" borderId="295" xfId="59" applyFont="1" applyFill="1" applyBorder="1" applyAlignment="1">
      <alignment vertical="center" shrinkToFit="1"/>
    </xf>
    <xf numFmtId="38" fontId="63" fillId="39" borderId="295" xfId="59" applyFont="1" applyFill="1" applyBorder="1" applyAlignment="1">
      <alignment vertical="center" shrinkToFit="1"/>
    </xf>
    <xf numFmtId="38" fontId="64" fillId="39" borderId="298" xfId="59" applyFont="1" applyBorder="1" applyAlignment="1">
      <alignment vertical="center" shrinkToFit="1"/>
    </xf>
    <xf numFmtId="38" fontId="64" fillId="39" borderId="298" xfId="59" applyFont="1" applyFill="1" applyBorder="1" applyAlignment="1">
      <alignment vertical="center" shrinkToFit="1"/>
    </xf>
    <xf numFmtId="38" fontId="63" fillId="39" borderId="298" xfId="59" applyFont="1" applyFill="1" applyBorder="1" applyAlignment="1">
      <alignment vertical="center" shrinkToFit="1"/>
    </xf>
    <xf numFmtId="38" fontId="64" fillId="39" borderId="288" xfId="59" applyFont="1" applyFill="1" applyBorder="1" applyAlignment="1">
      <alignment vertical="center" shrinkToFit="1"/>
    </xf>
    <xf numFmtId="38" fontId="64" fillId="39" borderId="282" xfId="59" applyFont="1" applyBorder="1" applyAlignment="1">
      <alignment horizontal="center" vertical="center" shrinkToFit="1"/>
    </xf>
    <xf numFmtId="38" fontId="64" fillId="39" borderId="273" xfId="59" applyFont="1" applyBorder="1" applyAlignment="1">
      <alignment horizontal="center" vertical="center" shrinkToFit="1"/>
    </xf>
    <xf numFmtId="38" fontId="64" fillId="39" borderId="295" xfId="59" applyFont="1" applyFill="1" applyBorder="1" applyAlignment="1">
      <alignment horizontal="left" vertical="center"/>
    </xf>
    <xf numFmtId="38" fontId="64" fillId="39" borderId="298" xfId="59" applyFont="1" applyFill="1" applyBorder="1" applyAlignment="1">
      <alignment horizontal="left" vertical="center"/>
    </xf>
    <xf numFmtId="38" fontId="64" fillId="39" borderId="288" xfId="59" applyFont="1" applyFill="1" applyBorder="1" applyAlignment="1">
      <alignment horizontal="left" vertical="center"/>
    </xf>
    <xf numFmtId="38" fontId="70" fillId="39" borderId="291" xfId="59" applyFont="1" applyFill="1" applyBorder="1" applyAlignment="1">
      <alignment horizontal="left" vertical="center"/>
    </xf>
    <xf numFmtId="38" fontId="64" fillId="39" borderId="296" xfId="59" applyFont="1" applyBorder="1" applyAlignment="1">
      <alignment vertical="center"/>
    </xf>
    <xf numFmtId="38" fontId="64" fillId="39" borderId="289" xfId="59" applyFont="1" applyFill="1" applyBorder="1" applyAlignment="1">
      <alignment vertical="center"/>
    </xf>
    <xf numFmtId="38" fontId="64" fillId="39" borderId="287" xfId="59" applyFont="1" applyFill="1" applyBorder="1" applyAlignment="1">
      <alignment vertical="center"/>
    </xf>
    <xf numFmtId="38" fontId="64" fillId="39" borderId="290" xfId="59" applyFont="1" applyFill="1" applyBorder="1" applyAlignment="1">
      <alignment vertical="center"/>
    </xf>
    <xf numFmtId="38" fontId="64" fillId="39" borderId="286" xfId="59" applyFont="1" applyFill="1" applyBorder="1" applyAlignment="1">
      <alignment vertical="center"/>
    </xf>
    <xf numFmtId="38" fontId="64" fillId="39" borderId="288" xfId="59" applyFont="1" applyFill="1" applyBorder="1" applyAlignment="1">
      <alignment vertical="center"/>
    </xf>
    <xf numFmtId="38" fontId="64" fillId="39" borderId="285" xfId="59" applyFont="1" applyFill="1" applyBorder="1" applyAlignment="1">
      <alignment vertical="center"/>
    </xf>
    <xf numFmtId="38" fontId="64" fillId="39" borderId="284" xfId="59" applyFont="1" applyFill="1" applyBorder="1" applyAlignment="1">
      <alignment vertical="center"/>
    </xf>
    <xf numFmtId="38" fontId="70" fillId="39" borderId="284" xfId="59" applyFont="1" applyFill="1" applyBorder="1" applyAlignment="1">
      <alignment horizontal="left" vertical="center"/>
    </xf>
    <xf numFmtId="38" fontId="64" fillId="39" borderId="289" xfId="59" applyFont="1" applyBorder="1" applyAlignment="1">
      <alignment vertical="center"/>
    </xf>
    <xf numFmtId="38" fontId="64" fillId="39" borderId="344" xfId="59" applyFont="1" applyFill="1" applyBorder="1" applyAlignment="1">
      <alignment vertical="center"/>
    </xf>
    <xf numFmtId="38" fontId="64" fillId="39" borderId="312" xfId="59" applyFont="1" applyBorder="1" applyAlignment="1">
      <alignment horizontal="center" vertical="center"/>
    </xf>
    <xf numFmtId="38" fontId="64" fillId="39" borderId="269" xfId="59" applyFont="1" applyBorder="1" applyAlignment="1">
      <alignment horizontal="center" vertical="center"/>
    </xf>
    <xf numFmtId="38" fontId="64" fillId="39" borderId="312" xfId="59" applyFont="1" applyFill="1" applyBorder="1" applyAlignment="1">
      <alignment horizontal="center" vertical="center"/>
    </xf>
    <xf numFmtId="38" fontId="64" fillId="39" borderId="269" xfId="59" applyFont="1" applyFill="1" applyBorder="1" applyAlignment="1">
      <alignment horizontal="center" vertical="center"/>
    </xf>
    <xf numFmtId="38" fontId="64" fillId="39" borderId="327" xfId="59" applyFont="1" applyBorder="1" applyAlignment="1">
      <alignment horizontal="center" vertical="center"/>
    </xf>
    <xf numFmtId="38" fontId="64" fillId="39" borderId="273" xfId="59" applyFont="1" applyBorder="1" applyAlignment="1">
      <alignment horizontal="center" vertical="center"/>
    </xf>
    <xf numFmtId="38" fontId="64" fillId="39" borderId="324" xfId="59" applyFont="1" applyFill="1" applyBorder="1" applyAlignment="1">
      <alignment horizontal="center" vertical="center"/>
    </xf>
    <xf numFmtId="38" fontId="64" fillId="39" borderId="319" xfId="59" applyFont="1" applyBorder="1" applyAlignment="1">
      <alignment horizontal="center" vertical="center" wrapText="1"/>
    </xf>
    <xf numFmtId="38" fontId="64" fillId="39" borderId="312" xfId="59" applyFont="1" applyBorder="1" applyAlignment="1">
      <alignment horizontal="center" vertical="center" wrapText="1"/>
    </xf>
    <xf numFmtId="38" fontId="80" fillId="39" borderId="274" xfId="67" applyNumberFormat="1" applyFont="1" applyFill="1" applyBorder="1" applyAlignment="1">
      <alignment horizontal="center" vertical="center"/>
    </xf>
    <xf numFmtId="38" fontId="64" fillId="39" borderId="344" xfId="59" applyFont="1" applyFill="1" applyBorder="1" applyAlignment="1">
      <alignment horizontal="right" vertical="center"/>
    </xf>
    <xf numFmtId="38" fontId="64" fillId="39" borderId="268" xfId="59" applyFont="1" applyFill="1" applyBorder="1" applyAlignment="1">
      <alignment vertical="center"/>
    </xf>
    <xf numFmtId="38" fontId="64" fillId="39" borderId="327" xfId="59" applyFont="1" applyFill="1" applyBorder="1" applyAlignment="1">
      <alignment horizontal="center" vertical="center"/>
    </xf>
    <xf numFmtId="38" fontId="64" fillId="39" borderId="322" xfId="59" applyFont="1" applyFill="1" applyBorder="1" applyAlignment="1">
      <alignment horizontal="center" vertical="center"/>
    </xf>
    <xf numFmtId="38" fontId="64" fillId="39" borderId="394" xfId="59" applyFont="1" applyFill="1" applyBorder="1" applyAlignment="1">
      <alignment horizontal="center" vertical="center"/>
    </xf>
    <xf numFmtId="38" fontId="64" fillId="39" borderId="321" xfId="59" applyFont="1" applyFill="1" applyBorder="1" applyAlignment="1">
      <alignment horizontal="center" vertical="center" wrapText="1"/>
    </xf>
    <xf numFmtId="38" fontId="64" fillId="39" borderId="395" xfId="59" applyFont="1" applyFill="1" applyBorder="1" applyAlignment="1">
      <alignment horizontal="center" vertical="center"/>
    </xf>
    <xf numFmtId="38" fontId="69" fillId="39" borderId="315" xfId="59" applyFont="1" applyFill="1" applyBorder="1" applyAlignment="1">
      <alignment horizontal="center" vertical="center"/>
    </xf>
    <xf numFmtId="38" fontId="69" fillId="39" borderId="357" xfId="59" applyFont="1" applyFill="1" applyBorder="1" applyAlignment="1">
      <alignment horizontal="center" vertical="center"/>
    </xf>
    <xf numFmtId="38" fontId="64" fillId="39" borderId="314" xfId="59" applyFont="1" applyFill="1" applyBorder="1" applyAlignment="1">
      <alignment horizontal="center" vertical="center"/>
    </xf>
    <xf numFmtId="38" fontId="69" fillId="39" borderId="314" xfId="59" applyFont="1" applyFill="1" applyBorder="1" applyAlignment="1">
      <alignment horizontal="center" vertical="center"/>
    </xf>
    <xf numFmtId="38" fontId="69" fillId="39" borderId="396" xfId="59" applyFont="1" applyFill="1" applyBorder="1" applyAlignment="1">
      <alignment horizontal="center" vertical="center"/>
    </xf>
    <xf numFmtId="38" fontId="64" fillId="39" borderId="268" xfId="59" applyFont="1" applyFill="1" applyAlignment="1">
      <alignment horizontal="center" vertical="center"/>
    </xf>
    <xf numFmtId="38" fontId="64" fillId="39" borderId="282" xfId="59" applyFont="1" applyFill="1" applyBorder="1" applyAlignment="1">
      <alignment vertical="center" shrinkToFit="1"/>
    </xf>
    <xf numFmtId="38" fontId="64" fillId="39" borderId="283" xfId="59" applyFont="1" applyFill="1" applyBorder="1" applyAlignment="1">
      <alignment vertical="center" shrinkToFit="1"/>
    </xf>
    <xf numFmtId="38" fontId="64" fillId="39" borderId="278" xfId="59" applyFont="1" applyFill="1" applyBorder="1" applyAlignment="1">
      <alignment horizontal="center" vertical="center" shrinkToFit="1"/>
    </xf>
    <xf numFmtId="38" fontId="64" fillId="39" borderId="282" xfId="59" applyFont="1" applyFill="1" applyBorder="1" applyAlignment="1">
      <alignment horizontal="right" vertical="center"/>
    </xf>
    <xf numFmtId="38" fontId="64" fillId="39" borderId="281" xfId="59" applyFont="1" applyFill="1" applyBorder="1" applyAlignment="1">
      <alignment horizontal="right" vertical="center"/>
    </xf>
    <xf numFmtId="38" fontId="64" fillId="39" borderId="335" xfId="59" applyFont="1" applyFill="1" applyBorder="1" applyAlignment="1">
      <alignment horizontal="right" vertical="center"/>
    </xf>
    <xf numFmtId="38" fontId="64" fillId="39" borderId="280" xfId="59" applyFont="1" applyFill="1" applyBorder="1" applyAlignment="1">
      <alignment horizontal="right" vertical="center"/>
    </xf>
    <xf numFmtId="38" fontId="64" fillId="39" borderId="336" xfId="59" applyFont="1" applyFill="1" applyBorder="1" applyAlignment="1">
      <alignment horizontal="right" vertical="center"/>
    </xf>
    <xf numFmtId="38" fontId="64" fillId="39" borderId="282" xfId="59" applyFont="1" applyFill="1" applyBorder="1" applyAlignment="1">
      <alignment horizontal="center" vertical="center" shrinkToFit="1"/>
    </xf>
    <xf numFmtId="38" fontId="64" fillId="39" borderId="277" xfId="59" applyFont="1" applyFill="1" applyBorder="1" applyAlignment="1">
      <alignment vertical="center" shrinkToFit="1"/>
    </xf>
    <xf numFmtId="38" fontId="64" fillId="39" borderId="274" xfId="59" applyFont="1" applyFill="1" applyBorder="1" applyAlignment="1">
      <alignment horizontal="center" vertical="center"/>
    </xf>
    <xf numFmtId="38" fontId="64" fillId="39" borderId="273" xfId="59" applyFont="1" applyFill="1" applyBorder="1" applyAlignment="1">
      <alignment horizontal="right" vertical="center"/>
    </xf>
    <xf numFmtId="38" fontId="64" fillId="39" borderId="272" xfId="59" applyFont="1" applyFill="1" applyBorder="1" applyAlignment="1">
      <alignment horizontal="right" vertical="center"/>
    </xf>
    <xf numFmtId="38" fontId="64" fillId="39" borderId="333" xfId="59" applyFont="1" applyFill="1" applyBorder="1" applyAlignment="1">
      <alignment horizontal="right" vertical="center"/>
    </xf>
    <xf numFmtId="38" fontId="64" fillId="39" borderId="334" xfId="59" applyFont="1" applyFill="1" applyBorder="1" applyAlignment="1">
      <alignment horizontal="right" vertical="center"/>
    </xf>
    <xf numFmtId="38" fontId="64" fillId="39" borderId="273" xfId="59" applyFont="1" applyFill="1" applyBorder="1" applyAlignment="1">
      <alignment horizontal="center" vertical="center"/>
    </xf>
    <xf numFmtId="38" fontId="64" fillId="39" borderId="276" xfId="59" applyFont="1" applyFill="1" applyBorder="1" applyAlignment="1">
      <alignment vertical="center" shrinkToFit="1"/>
    </xf>
    <xf numFmtId="38" fontId="64" fillId="39" borderId="274" xfId="59" applyFont="1" applyFill="1" applyBorder="1" applyAlignment="1">
      <alignment horizontal="center" vertical="center" shrinkToFit="1"/>
    </xf>
    <xf numFmtId="38" fontId="64" fillId="39" borderId="273" xfId="59" applyFont="1" applyFill="1" applyBorder="1" applyAlignment="1">
      <alignment horizontal="center" vertical="center" shrinkToFit="1"/>
    </xf>
    <xf numFmtId="38" fontId="64" fillId="39" borderId="326" xfId="59" applyFont="1" applyFill="1" applyBorder="1" applyAlignment="1">
      <alignment vertical="center"/>
    </xf>
    <xf numFmtId="38" fontId="64" fillId="39" borderId="318" xfId="59" applyFont="1" applyFill="1" applyBorder="1" applyAlignment="1">
      <alignment horizontal="center" vertical="center"/>
    </xf>
    <xf numFmtId="38" fontId="63" fillId="39" borderId="268" xfId="59" applyFont="1" applyFill="1" applyAlignment="1">
      <alignment vertical="center"/>
    </xf>
    <xf numFmtId="38" fontId="64" fillId="39" borderId="319" xfId="59" applyFont="1" applyFill="1" applyBorder="1" applyAlignment="1">
      <alignment horizontal="center" vertical="center" wrapText="1"/>
    </xf>
    <xf numFmtId="38" fontId="64" fillId="39" borderId="312" xfId="59" applyFont="1" applyFill="1" applyBorder="1" applyAlignment="1">
      <alignment horizontal="center" vertical="center" wrapText="1"/>
    </xf>
    <xf numFmtId="38" fontId="64" fillId="39" borderId="308" xfId="59" applyFont="1" applyFill="1" applyBorder="1" applyAlignment="1">
      <alignment vertical="center" wrapText="1"/>
    </xf>
    <xf numFmtId="38" fontId="64" fillId="39" borderId="307" xfId="59" applyFont="1" applyFill="1" applyBorder="1" applyAlignment="1">
      <alignment vertical="center"/>
    </xf>
    <xf numFmtId="38" fontId="64" fillId="39" borderId="311" xfId="59" applyFont="1" applyFill="1" applyBorder="1" applyAlignment="1">
      <alignment vertical="center"/>
    </xf>
    <xf numFmtId="38" fontId="64" fillId="39" borderId="304" xfId="59" applyFont="1" applyFill="1" applyBorder="1" applyAlignment="1">
      <alignment vertical="center" wrapText="1"/>
    </xf>
    <xf numFmtId="38" fontId="64" fillId="39" borderId="283" xfId="59" applyFont="1" applyFill="1" applyBorder="1" applyAlignment="1">
      <alignment vertical="center"/>
    </xf>
    <xf numFmtId="38" fontId="64" fillId="39" borderId="281" xfId="59" applyFont="1" applyFill="1" applyBorder="1" applyAlignment="1">
      <alignment vertical="center"/>
    </xf>
    <xf numFmtId="38" fontId="64" fillId="39" borderId="335" xfId="59" applyFont="1" applyFill="1" applyBorder="1" applyAlignment="1">
      <alignment vertical="center"/>
    </xf>
    <xf numFmtId="38" fontId="64" fillId="39" borderId="280" xfId="59" applyFont="1" applyFill="1" applyBorder="1" applyAlignment="1">
      <alignment vertical="center"/>
    </xf>
    <xf numFmtId="38" fontId="64" fillId="39" borderId="268" xfId="59" applyFont="1" applyFill="1" applyBorder="1" applyAlignment="1">
      <alignment horizontal="right" vertical="center"/>
    </xf>
    <xf numFmtId="38" fontId="64" fillId="39" borderId="268" xfId="59" applyFont="1" applyFill="1" applyAlignment="1">
      <alignment horizontal="left" vertical="center"/>
    </xf>
    <xf numFmtId="38" fontId="63" fillId="39" borderId="268" xfId="59" applyFont="1" applyFill="1" applyAlignment="1">
      <alignment horizontal="right" vertical="center"/>
    </xf>
    <xf numFmtId="38" fontId="64" fillId="39" borderId="341" xfId="59" applyFont="1" applyFill="1" applyBorder="1" applyAlignment="1">
      <alignment horizontal="right" vertical="center"/>
    </xf>
    <xf numFmtId="38" fontId="64" fillId="39" borderId="340" xfId="59" applyFont="1" applyFill="1" applyBorder="1" applyAlignment="1">
      <alignment horizontal="right" vertical="center"/>
    </xf>
    <xf numFmtId="38" fontId="64" fillId="39" borderId="338" xfId="59" applyFont="1" applyFill="1" applyBorder="1" applyAlignment="1">
      <alignment horizontal="right" vertical="center"/>
    </xf>
    <xf numFmtId="38" fontId="64" fillId="39" borderId="339" xfId="59" applyFont="1" applyFill="1" applyBorder="1" applyAlignment="1">
      <alignment horizontal="right" vertical="center"/>
    </xf>
    <xf numFmtId="38" fontId="64" fillId="39" borderId="274" xfId="59" applyFont="1" applyFill="1" applyBorder="1" applyAlignment="1">
      <alignment vertical="center"/>
    </xf>
    <xf numFmtId="38" fontId="64" fillId="39" borderId="332" xfId="59" applyFont="1" applyFill="1" applyBorder="1" applyAlignment="1">
      <alignment horizontal="right" vertical="center"/>
    </xf>
    <xf numFmtId="38" fontId="64" fillId="39" borderId="331" xfId="59" applyFont="1" applyFill="1" applyBorder="1" applyAlignment="1">
      <alignment horizontal="right" vertical="center"/>
    </xf>
    <xf numFmtId="38" fontId="64" fillId="39" borderId="329" xfId="59" applyFont="1" applyFill="1" applyBorder="1" applyAlignment="1">
      <alignment horizontal="right" vertical="center"/>
    </xf>
    <xf numFmtId="38" fontId="64" fillId="39" borderId="330" xfId="59" applyFont="1" applyFill="1" applyBorder="1" applyAlignment="1">
      <alignment horizontal="right" vertical="center"/>
    </xf>
    <xf numFmtId="38" fontId="63" fillId="39" borderId="268" xfId="59" applyFont="1" applyFill="1" applyAlignment="1">
      <alignment horizontal="left" vertical="center"/>
    </xf>
    <xf numFmtId="38" fontId="89" fillId="45" borderId="293" xfId="59" applyFont="1" applyFill="1" applyBorder="1" applyAlignment="1">
      <alignment horizontal="right" vertical="center"/>
    </xf>
    <xf numFmtId="38" fontId="89" fillId="44" borderId="298" xfId="59" applyFont="1" applyFill="1" applyBorder="1" applyAlignment="1">
      <alignment horizontal="right" vertical="center"/>
    </xf>
    <xf numFmtId="38" fontId="89" fillId="44" borderId="297" xfId="59" applyFont="1" applyFill="1" applyBorder="1" applyAlignment="1">
      <alignment horizontal="right" vertical="center"/>
    </xf>
    <xf numFmtId="38" fontId="89" fillId="39" borderId="293" xfId="59" applyFont="1" applyFill="1" applyBorder="1" applyAlignment="1">
      <alignment horizontal="right" vertical="center"/>
    </xf>
    <xf numFmtId="38" fontId="90" fillId="39" borderId="268" xfId="64" applyFont="1" applyAlignment="1">
      <alignment horizontal="center"/>
    </xf>
    <xf numFmtId="38" fontId="91" fillId="39" borderId="268" xfId="64" applyFont="1" applyAlignment="1"/>
    <xf numFmtId="38" fontId="91" fillId="39" borderId="268" xfId="64" applyFont="1" applyFill="1" applyAlignment="1"/>
    <xf numFmtId="38" fontId="90" fillId="39" borderId="268" xfId="64" applyFont="1" applyAlignment="1"/>
    <xf numFmtId="38" fontId="90" fillId="39" borderId="268" xfId="64" applyFont="1" applyFill="1" applyAlignment="1"/>
    <xf numFmtId="38" fontId="91" fillId="39" borderId="268" xfId="64" applyFont="1" applyFill="1" applyAlignment="1">
      <alignment horizontal="center"/>
    </xf>
    <xf numFmtId="38" fontId="63" fillId="50" borderId="268" xfId="64" applyFont="1" applyFill="1" applyAlignment="1"/>
    <xf numFmtId="38" fontId="63" fillId="48" borderId="268" xfId="64" applyFont="1" applyFill="1" applyAlignment="1"/>
    <xf numFmtId="38" fontId="80" fillId="51" borderId="338" xfId="67" applyNumberFormat="1" applyFont="1" applyFill="1" applyBorder="1" applyAlignment="1">
      <alignment vertical="center"/>
    </xf>
    <xf numFmtId="38" fontId="80" fillId="51" borderId="355" xfId="67" applyNumberFormat="1" applyFont="1" applyFill="1" applyBorder="1" applyAlignment="1">
      <alignment vertical="center"/>
    </xf>
    <xf numFmtId="38" fontId="80" fillId="51" borderId="354" xfId="67" applyNumberFormat="1" applyFont="1" applyFill="1" applyBorder="1" applyAlignment="1">
      <alignment vertical="center"/>
    </xf>
    <xf numFmtId="38" fontId="80" fillId="51" borderId="293" xfId="67" applyNumberFormat="1" applyFont="1" applyFill="1" applyBorder="1" applyAlignment="1">
      <alignment vertical="center"/>
    </xf>
    <xf numFmtId="38" fontId="80" fillId="51" borderId="292" xfId="67" applyNumberFormat="1" applyFont="1" applyFill="1" applyBorder="1" applyAlignment="1">
      <alignment vertical="center"/>
    </xf>
    <xf numFmtId="38" fontId="80" fillId="51" borderId="294" xfId="67" applyNumberFormat="1" applyFont="1" applyFill="1" applyBorder="1" applyAlignment="1">
      <alignment vertical="center"/>
    </xf>
    <xf numFmtId="38" fontId="63" fillId="39" borderId="268" xfId="64" applyFont="1" applyAlignment="1">
      <alignment wrapText="1"/>
    </xf>
    <xf numFmtId="38" fontId="91" fillId="39" borderId="268" xfId="64" applyFont="1" applyFill="1" applyAlignment="1">
      <alignment wrapText="1"/>
    </xf>
    <xf numFmtId="38" fontId="64" fillId="52" borderId="294" xfId="59" applyFont="1" applyFill="1" applyBorder="1" applyAlignment="1">
      <alignment horizontal="right" vertical="center"/>
    </xf>
    <xf numFmtId="0" fontId="76" fillId="39" borderId="268" xfId="69" applyFill="1" applyAlignment="1">
      <alignment horizontal="left" vertical="center"/>
    </xf>
    <xf numFmtId="0" fontId="76" fillId="39" borderId="268" xfId="69" applyAlignment="1">
      <alignment horizontal="left"/>
    </xf>
    <xf numFmtId="182" fontId="63" fillId="39" borderId="268" xfId="59" applyNumberFormat="1" applyFont="1" applyAlignment="1"/>
    <xf numFmtId="0" fontId="76" fillId="39" borderId="268" xfId="69" applyFill="1" applyAlignment="1">
      <alignment horizontal="left"/>
    </xf>
    <xf numFmtId="183" fontId="64" fillId="39" borderId="268" xfId="59" applyNumberFormat="1" applyFont="1" applyAlignment="1">
      <alignment vertical="center"/>
    </xf>
    <xf numFmtId="184" fontId="64" fillId="39" borderId="268" xfId="71" applyNumberFormat="1" applyFont="1" applyAlignment="1">
      <alignment vertical="center"/>
    </xf>
    <xf numFmtId="38" fontId="63" fillId="39" borderId="268" xfId="64" applyFont="1" applyAlignment="1">
      <alignment horizontal="right" wrapText="1"/>
    </xf>
    <xf numFmtId="0" fontId="76" fillId="48" borderId="268" xfId="69" applyFill="1" applyAlignment="1"/>
    <xf numFmtId="38" fontId="90" fillId="53" borderId="268" xfId="64" applyFont="1" applyFill="1" applyAlignment="1"/>
    <xf numFmtId="38" fontId="91" fillId="53" borderId="268" xfId="64" applyFont="1" applyFill="1" applyAlignment="1"/>
    <xf numFmtId="0" fontId="79" fillId="39" borderId="268" xfId="69" applyFont="1" applyAlignment="1">
      <alignment horizontal="center"/>
    </xf>
    <xf numFmtId="38" fontId="64" fillId="39" borderId="319" xfId="59" applyFont="1" applyBorder="1" applyAlignment="1">
      <alignment horizontal="center" vertical="center"/>
    </xf>
    <xf numFmtId="38" fontId="64" fillId="39" borderId="312" xfId="59" applyFont="1" applyBorder="1" applyAlignment="1">
      <alignment horizontal="center" vertical="center"/>
    </xf>
    <xf numFmtId="38" fontId="64" fillId="39" borderId="269" xfId="59" applyFont="1" applyBorder="1" applyAlignment="1">
      <alignment horizontal="center" vertical="center"/>
    </xf>
    <xf numFmtId="38" fontId="64" fillId="39" borderId="319" xfId="59" applyFont="1" applyFill="1" applyBorder="1" applyAlignment="1">
      <alignment horizontal="center" vertical="center"/>
    </xf>
    <xf numFmtId="38" fontId="64" fillId="39" borderId="312" xfId="59" applyFont="1" applyFill="1" applyBorder="1" applyAlignment="1">
      <alignment horizontal="center" vertical="center"/>
    </xf>
    <xf numFmtId="38" fontId="64" fillId="39" borderId="269" xfId="59" applyFont="1" applyFill="1" applyBorder="1" applyAlignment="1">
      <alignment horizontal="center" vertical="center"/>
    </xf>
    <xf numFmtId="38" fontId="64" fillId="39" borderId="316" xfId="59" applyFont="1" applyBorder="1" applyAlignment="1">
      <alignment horizontal="center" vertical="center"/>
    </xf>
    <xf numFmtId="38" fontId="64" fillId="39" borderId="327" xfId="59" applyFont="1" applyBorder="1" applyAlignment="1">
      <alignment horizontal="center" vertical="center"/>
    </xf>
    <xf numFmtId="38" fontId="64" fillId="39" borderId="326" xfId="59" applyFont="1" applyBorder="1" applyAlignment="1">
      <alignment horizontal="center" vertical="center"/>
    </xf>
    <xf numFmtId="38" fontId="64" fillId="39" borderId="323" xfId="59" applyFont="1" applyBorder="1" applyAlignment="1">
      <alignment horizontal="center" vertical="center"/>
    </xf>
    <xf numFmtId="38" fontId="64" fillId="39" borderId="268" xfId="59" applyFont="1" applyBorder="1" applyAlignment="1">
      <alignment horizontal="center" vertical="center"/>
    </xf>
    <xf numFmtId="38" fontId="64" fillId="39" borderId="273" xfId="59" applyFont="1" applyBorder="1" applyAlignment="1">
      <alignment horizontal="center" vertical="center"/>
    </xf>
    <xf numFmtId="38" fontId="64" fillId="39" borderId="275" xfId="59" applyFont="1" applyBorder="1" applyAlignment="1">
      <alignment horizontal="center" vertical="center"/>
    </xf>
    <xf numFmtId="38" fontId="64" fillId="39" borderId="277" xfId="59" applyFont="1" applyBorder="1" applyAlignment="1">
      <alignment horizontal="center" vertical="center"/>
    </xf>
    <xf numFmtId="38" fontId="64" fillId="39" borderId="276" xfId="59" applyFont="1" applyBorder="1" applyAlignment="1">
      <alignment horizontal="center" vertical="center"/>
    </xf>
    <xf numFmtId="38" fontId="64" fillId="39" borderId="325" xfId="59" applyFont="1" applyBorder="1" applyAlignment="1">
      <alignment horizontal="center" vertical="center"/>
    </xf>
    <xf numFmtId="38" fontId="64" fillId="39" borderId="324" xfId="59" applyFont="1" applyBorder="1" applyAlignment="1">
      <alignment horizontal="center" vertical="center" wrapText="1"/>
    </xf>
    <xf numFmtId="38" fontId="64" fillId="39" borderId="316" xfId="59" applyFont="1" applyBorder="1" applyAlignment="1">
      <alignment horizontal="center" vertical="center" wrapText="1"/>
    </xf>
    <xf numFmtId="38" fontId="64" fillId="39" borderId="324" xfId="59" applyFont="1" applyFill="1" applyBorder="1" applyAlignment="1">
      <alignment horizontal="center" vertical="center"/>
    </xf>
    <xf numFmtId="38" fontId="69" fillId="39" borderId="319" xfId="59" applyFont="1" applyFill="1" applyBorder="1" applyAlignment="1">
      <alignment horizontal="left" vertical="center" wrapText="1"/>
    </xf>
    <xf numFmtId="38" fontId="69" fillId="39" borderId="312" xfId="59" applyFont="1" applyFill="1" applyBorder="1" applyAlignment="1">
      <alignment horizontal="left" vertical="center" wrapText="1"/>
    </xf>
    <xf numFmtId="38" fontId="69" fillId="39" borderId="269" xfId="59" applyFont="1" applyFill="1" applyBorder="1" applyAlignment="1">
      <alignment horizontal="left" vertical="center" wrapText="1"/>
    </xf>
    <xf numFmtId="38" fontId="64" fillId="39" borderId="324" xfId="59" applyFont="1" applyBorder="1" applyAlignment="1">
      <alignment horizontal="center" vertical="center"/>
    </xf>
    <xf numFmtId="38" fontId="64" fillId="39" borderId="319" xfId="59" applyFont="1" applyBorder="1" applyAlignment="1">
      <alignment horizontal="center" vertical="center" wrapText="1"/>
    </xf>
    <xf numFmtId="38" fontId="64" fillId="39" borderId="312" xfId="59" applyFont="1" applyBorder="1" applyAlignment="1">
      <alignment horizontal="center" vertical="center" wrapText="1"/>
    </xf>
    <xf numFmtId="38" fontId="69" fillId="39" borderId="304" xfId="59" applyFont="1" applyBorder="1" applyAlignment="1">
      <alignment horizontal="center" vertical="center" wrapText="1"/>
    </xf>
    <xf numFmtId="38" fontId="69" fillId="39" borderId="291" xfId="59" applyFont="1" applyBorder="1" applyAlignment="1">
      <alignment horizontal="center" vertical="center" wrapText="1"/>
    </xf>
    <xf numFmtId="38" fontId="69" fillId="39" borderId="317" xfId="59" applyFont="1" applyBorder="1" applyAlignment="1">
      <alignment horizontal="center" vertical="center" wrapText="1"/>
    </xf>
    <xf numFmtId="38" fontId="64" fillId="39" borderId="304" xfId="59" applyFont="1" applyBorder="1" applyAlignment="1">
      <alignment horizontal="center" vertical="center" wrapText="1"/>
    </xf>
    <xf numFmtId="38" fontId="64" fillId="39" borderId="291" xfId="59" applyFont="1" applyBorder="1" applyAlignment="1">
      <alignment horizontal="center" vertical="center" wrapText="1"/>
    </xf>
    <xf numFmtId="38" fontId="64" fillId="39" borderId="317" xfId="59" applyFont="1" applyBorder="1" applyAlignment="1">
      <alignment horizontal="center" vertical="center" wrapText="1"/>
    </xf>
    <xf numFmtId="38" fontId="63" fillId="39" borderId="268" xfId="64" applyFont="1" applyAlignment="1">
      <alignment horizontal="center"/>
    </xf>
    <xf numFmtId="38" fontId="90" fillId="39" borderId="268" xfId="64" applyFont="1" applyFill="1" applyAlignment="1">
      <alignment horizontal="center"/>
    </xf>
    <xf numFmtId="38" fontId="63" fillId="39" borderId="268" xfId="64" applyFont="1" applyAlignment="1">
      <alignment horizontal="center" wrapText="1"/>
    </xf>
    <xf numFmtId="38" fontId="80" fillId="39" borderId="274" xfId="67" applyNumberFormat="1" applyFont="1" applyFill="1" applyBorder="1" applyAlignment="1">
      <alignment vertical="center" wrapText="1"/>
    </xf>
    <xf numFmtId="38" fontId="82" fillId="39" borderId="274" xfId="67" applyNumberFormat="1" applyFont="1" applyFill="1" applyBorder="1" applyAlignment="1">
      <alignment vertical="center" wrapText="1"/>
    </xf>
    <xf numFmtId="38" fontId="80" fillId="39" borderId="274" xfId="67" applyNumberFormat="1" applyFont="1" applyFill="1" applyBorder="1" applyAlignment="1">
      <alignment horizontal="center" vertical="center"/>
    </xf>
    <xf numFmtId="0" fontId="85" fillId="39" borderId="297" xfId="67" applyFont="1" applyFill="1" applyBorder="1" applyAlignment="1">
      <alignment horizontal="distributed" vertical="center"/>
    </xf>
    <xf numFmtId="0" fontId="85" fillId="39" borderId="295" xfId="67" applyFont="1" applyFill="1" applyBorder="1" applyAlignment="1">
      <alignment horizontal="distributed" vertical="center"/>
    </xf>
    <xf numFmtId="0" fontId="85" fillId="39" borderId="393" xfId="67" applyFont="1" applyFill="1" applyBorder="1" applyAlignment="1">
      <alignment horizontal="distributed" vertical="center"/>
    </xf>
    <xf numFmtId="0" fontId="85" fillId="39" borderId="326" xfId="67" applyFont="1" applyFill="1" applyBorder="1" applyAlignment="1">
      <alignment horizontal="distributed" vertical="center"/>
    </xf>
    <xf numFmtId="0" fontId="85" fillId="39" borderId="324" xfId="67" applyFont="1" applyFill="1" applyBorder="1" applyAlignment="1">
      <alignment horizontal="distributed" vertical="center"/>
    </xf>
    <xf numFmtId="0" fontId="85" fillId="39" borderId="372" xfId="67" applyFont="1" applyFill="1" applyBorder="1" applyAlignment="1">
      <alignment horizontal="distributed" vertical="center"/>
    </xf>
    <xf numFmtId="0" fontId="85" fillId="39" borderId="303" xfId="67" applyFont="1" applyFill="1" applyBorder="1" applyAlignment="1">
      <alignment horizontal="distributed" vertical="center"/>
    </xf>
    <xf numFmtId="0" fontId="85" fillId="39" borderId="345" xfId="67" applyFont="1" applyFill="1" applyBorder="1" applyAlignment="1">
      <alignment horizontal="distributed" vertical="center"/>
    </xf>
    <xf numFmtId="0" fontId="85" fillId="39" borderId="340" xfId="67" applyFont="1" applyFill="1" applyBorder="1" applyAlignment="1">
      <alignment horizontal="distributed" vertical="center"/>
    </xf>
    <xf numFmtId="0" fontId="85" fillId="39" borderId="383" xfId="67" applyFont="1" applyFill="1" applyBorder="1" applyAlignment="1">
      <alignment horizontal="distributed" vertical="center"/>
    </xf>
    <xf numFmtId="0" fontId="85" fillId="39" borderId="377" xfId="67" applyFont="1" applyFill="1" applyBorder="1" applyAlignment="1">
      <alignment horizontal="distributed" vertical="center"/>
    </xf>
    <xf numFmtId="0" fontId="85" fillId="39" borderId="337" xfId="67" applyFont="1" applyFill="1" applyBorder="1" applyAlignment="1">
      <alignment horizontal="distributed" vertical="center"/>
    </xf>
    <xf numFmtId="0" fontId="85" fillId="39" borderId="313" xfId="67" applyFont="1" applyFill="1" applyBorder="1" applyAlignment="1">
      <alignment horizontal="distributed" vertical="center"/>
    </xf>
    <xf numFmtId="0" fontId="85" fillId="39" borderId="300" xfId="67" applyFont="1" applyFill="1" applyBorder="1" applyAlignment="1">
      <alignment horizontal="distributed" vertical="center"/>
    </xf>
    <xf numFmtId="0" fontId="75" fillId="39" borderId="313" xfId="67" applyFont="1" applyFill="1" applyBorder="1"/>
    <xf numFmtId="0" fontId="75" fillId="39" borderId="300" xfId="67" applyFont="1" applyFill="1" applyBorder="1"/>
    <xf numFmtId="0" fontId="85" fillId="39" borderId="297" xfId="67" applyFont="1" applyFill="1" applyBorder="1" applyAlignment="1">
      <alignment horizontal="distributed" vertical="center" wrapText="1"/>
    </xf>
    <xf numFmtId="0" fontId="85" fillId="39" borderId="385" xfId="67" applyFont="1" applyFill="1" applyBorder="1" applyAlignment="1">
      <alignment horizontal="distributed" vertical="center"/>
    </xf>
    <xf numFmtId="0" fontId="85" fillId="39" borderId="373" xfId="67" applyFont="1" applyFill="1" applyBorder="1" applyAlignment="1">
      <alignment horizontal="distributed" vertical="center"/>
    </xf>
    <xf numFmtId="0" fontId="85" fillId="39" borderId="384" xfId="67" applyFont="1" applyFill="1" applyBorder="1" applyAlignment="1">
      <alignment horizontal="distributed" vertical="center"/>
    </xf>
    <xf numFmtId="0" fontId="85" fillId="39" borderId="360" xfId="67" applyFont="1" applyFill="1" applyBorder="1" applyAlignment="1">
      <alignment horizontal="distributed" vertical="center"/>
    </xf>
    <xf numFmtId="38" fontId="64" fillId="39" borderId="277" xfId="59" applyFont="1" applyFill="1" applyBorder="1" applyAlignment="1">
      <alignment horizontal="center" vertical="center"/>
    </xf>
    <xf numFmtId="38" fontId="64" fillId="39" borderId="276" xfId="59" applyFont="1" applyFill="1" applyBorder="1" applyAlignment="1">
      <alignment horizontal="center" vertical="center"/>
    </xf>
    <xf numFmtId="38" fontId="64" fillId="39" borderId="325" xfId="59" applyFont="1" applyFill="1" applyBorder="1" applyAlignment="1">
      <alignment horizontal="center" vertical="center"/>
    </xf>
    <xf numFmtId="38" fontId="64" fillId="39" borderId="304" xfId="59" applyFont="1" applyFill="1" applyBorder="1" applyAlignment="1">
      <alignment horizontal="center" vertical="center" wrapText="1"/>
    </xf>
    <xf numFmtId="38" fontId="64" fillId="39" borderId="291" xfId="59" applyFont="1" applyFill="1" applyBorder="1" applyAlignment="1">
      <alignment horizontal="center" vertical="center" wrapText="1"/>
    </xf>
    <xf numFmtId="38" fontId="64" fillId="39" borderId="317" xfId="59" applyFont="1" applyFill="1" applyBorder="1" applyAlignment="1">
      <alignment horizontal="center" vertical="center" wrapText="1"/>
    </xf>
    <xf numFmtId="38" fontId="64" fillId="39" borderId="316" xfId="59" applyFont="1" applyFill="1" applyBorder="1" applyAlignment="1">
      <alignment horizontal="center" vertical="center"/>
    </xf>
    <xf numFmtId="38" fontId="64" fillId="39" borderId="324" xfId="59" applyFont="1" applyFill="1" applyBorder="1" applyAlignment="1">
      <alignment horizontal="center" vertical="center" wrapText="1"/>
    </xf>
    <xf numFmtId="38" fontId="64" fillId="39" borderId="316" xfId="59" applyFont="1" applyFill="1" applyBorder="1" applyAlignment="1">
      <alignment horizontal="center" vertical="center" wrapText="1"/>
    </xf>
    <xf numFmtId="38" fontId="64" fillId="39" borderId="319" xfId="59" applyFont="1" applyFill="1" applyBorder="1" applyAlignment="1">
      <alignment horizontal="center" vertical="center" wrapText="1"/>
    </xf>
    <xf numFmtId="38" fontId="64" fillId="39" borderId="312" xfId="59" applyFont="1" applyFill="1" applyBorder="1" applyAlignment="1">
      <alignment horizontal="center" vertical="center" wrapText="1"/>
    </xf>
    <xf numFmtId="38" fontId="69" fillId="39" borderId="304" xfId="59" applyFont="1" applyFill="1" applyBorder="1" applyAlignment="1">
      <alignment horizontal="center" vertical="center" wrapText="1"/>
    </xf>
    <xf numFmtId="38" fontId="69" fillId="39" borderId="291" xfId="59" applyFont="1" applyFill="1" applyBorder="1" applyAlignment="1">
      <alignment horizontal="center" vertical="center" wrapText="1"/>
    </xf>
    <xf numFmtId="38" fontId="69" fillId="39" borderId="317" xfId="59" applyFont="1" applyFill="1" applyBorder="1" applyAlignment="1">
      <alignment horizontal="center" vertical="center" wrapText="1"/>
    </xf>
    <xf numFmtId="38" fontId="64" fillId="39" borderId="268" xfId="59" applyFont="1" applyFill="1" applyBorder="1" applyAlignment="1">
      <alignment horizontal="center" vertical="center"/>
    </xf>
    <xf numFmtId="38" fontId="64" fillId="39" borderId="327" xfId="59" applyFont="1" applyFill="1" applyBorder="1" applyAlignment="1">
      <alignment horizontal="center" vertical="center"/>
    </xf>
    <xf numFmtId="38" fontId="64" fillId="39" borderId="326" xfId="59" applyFont="1" applyFill="1" applyBorder="1" applyAlignment="1">
      <alignment horizontal="center" vertical="center"/>
    </xf>
    <xf numFmtId="38" fontId="64" fillId="39" borderId="323" xfId="59" applyFont="1" applyFill="1" applyBorder="1" applyAlignment="1">
      <alignment horizontal="center" vertical="center"/>
    </xf>
    <xf numFmtId="38" fontId="64" fillId="39" borderId="273" xfId="59" applyFont="1" applyFill="1" applyBorder="1" applyAlignment="1">
      <alignment horizontal="center" vertical="center"/>
    </xf>
    <xf numFmtId="38" fontId="64" fillId="39" borderId="275" xfId="59" applyFont="1" applyFill="1" applyBorder="1" applyAlignment="1">
      <alignment horizontal="center" vertical="center"/>
    </xf>
    <xf numFmtId="0" fontId="97" fillId="54" borderId="398" xfId="72"/>
    <xf numFmtId="0" fontId="100" fillId="54" borderId="398" xfId="72" applyFont="1"/>
    <xf numFmtId="0" fontId="100" fillId="54" borderId="398" xfId="72" applyFont="1" applyBorder="1" applyAlignment="1">
      <alignment horizontal="distributed" vertical="center"/>
    </xf>
    <xf numFmtId="0" fontId="100" fillId="54" borderId="400" xfId="72" applyFont="1" applyBorder="1"/>
    <xf numFmtId="0" fontId="100" fillId="54" borderId="400" xfId="72" applyFont="1" applyBorder="1" applyAlignment="1">
      <alignment vertical="center"/>
    </xf>
    <xf numFmtId="0" fontId="100" fillId="54" borderId="401" xfId="72" applyFont="1" applyBorder="1" applyAlignment="1">
      <alignment vertical="center"/>
    </xf>
    <xf numFmtId="0" fontId="100" fillId="54" borderId="402" xfId="72" applyFont="1" applyBorder="1" applyAlignment="1">
      <alignment horizontal="distributed" vertical="center"/>
    </xf>
    <xf numFmtId="0" fontId="100" fillId="54" borderId="403" xfId="72" applyFont="1" applyBorder="1" applyAlignment="1">
      <alignment vertical="center"/>
    </xf>
    <xf numFmtId="0" fontId="100" fillId="54" borderId="404" xfId="72" applyFont="1" applyBorder="1" applyAlignment="1">
      <alignment horizontal="distributed" vertical="center"/>
    </xf>
    <xf numFmtId="0" fontId="100" fillId="54" borderId="405" xfId="72" applyFont="1" applyBorder="1" applyAlignment="1">
      <alignment vertical="center"/>
    </xf>
    <xf numFmtId="0" fontId="100" fillId="54" borderId="407" xfId="72" applyFont="1" applyBorder="1" applyAlignment="1">
      <alignment horizontal="distributed" vertical="center"/>
    </xf>
    <xf numFmtId="0" fontId="100" fillId="54" borderId="399" xfId="72" applyFont="1" applyBorder="1" applyAlignment="1">
      <alignment vertical="center"/>
    </xf>
    <xf numFmtId="0" fontId="100" fillId="54" borderId="407" xfId="72" applyFont="1" applyBorder="1"/>
    <xf numFmtId="0" fontId="100" fillId="54" borderId="409" xfId="72" applyFont="1" applyBorder="1"/>
    <xf numFmtId="0" fontId="100" fillId="54" borderId="398" xfId="72" applyFont="1" applyBorder="1" applyAlignment="1">
      <alignment horizontal="distributed" vertical="center" justifyLastLine="1"/>
    </xf>
    <xf numFmtId="0" fontId="100" fillId="54" borderId="410" xfId="72" applyFont="1" applyBorder="1"/>
    <xf numFmtId="0" fontId="100" fillId="54" borderId="402" xfId="72" applyFont="1" applyBorder="1"/>
    <xf numFmtId="0" fontId="100" fillId="54" borderId="402" xfId="72" applyFont="1" applyBorder="1" applyAlignment="1">
      <alignment horizontal="distributed" vertical="center" justifyLastLine="1"/>
    </xf>
    <xf numFmtId="0" fontId="100" fillId="54" borderId="412" xfId="72" applyFont="1" applyBorder="1"/>
    <xf numFmtId="0" fontId="100" fillId="54" borderId="413" xfId="72" applyFont="1" applyBorder="1"/>
    <xf numFmtId="0" fontId="100" fillId="54" borderId="414" xfId="72" applyFont="1" applyBorder="1"/>
    <xf numFmtId="0" fontId="103" fillId="54" borderId="398" xfId="72" applyFont="1" applyAlignment="1">
      <alignment horizontal="center"/>
    </xf>
    <xf numFmtId="0" fontId="100" fillId="54" borderId="398" xfId="72" applyFont="1" applyAlignment="1">
      <alignment horizontal="right"/>
    </xf>
    <xf numFmtId="0" fontId="102" fillId="54" borderId="398" xfId="72" applyFont="1"/>
    <xf numFmtId="0" fontId="100" fillId="54" borderId="416" xfId="72" applyFont="1" applyBorder="1" applyAlignment="1">
      <alignment horizontal="distributed" vertical="center" justifyLastLine="1"/>
    </xf>
    <xf numFmtId="0" fontId="100" fillId="54" borderId="417" xfId="72" applyFont="1" applyBorder="1" applyAlignment="1">
      <alignment horizontal="distributed" vertical="center"/>
    </xf>
    <xf numFmtId="0" fontId="102" fillId="54" borderId="422" xfId="72" applyFont="1" applyBorder="1" applyAlignment="1">
      <alignment horizontal="distributed" vertical="center" justifyLastLine="1"/>
    </xf>
    <xf numFmtId="0" fontId="102" fillId="54" borderId="423" xfId="72" applyFont="1" applyBorder="1"/>
    <xf numFmtId="0" fontId="97" fillId="54" borderId="423" xfId="72" applyBorder="1"/>
    <xf numFmtId="0" fontId="97" fillId="54" borderId="424" xfId="72" applyBorder="1"/>
    <xf numFmtId="0" fontId="102" fillId="54" borderId="424" xfId="72" applyFont="1" applyBorder="1"/>
    <xf numFmtId="0" fontId="102" fillId="54" borderId="425" xfId="72" applyFont="1" applyBorder="1" applyAlignment="1">
      <alignment horizontal="distributed" vertical="center" justifyLastLine="1"/>
    </xf>
    <xf numFmtId="0" fontId="102" fillId="54" borderId="426" xfId="72" applyFont="1" applyBorder="1" applyAlignment="1">
      <alignment horizontal="distributed" vertical="center" justifyLastLine="1"/>
    </xf>
    <xf numFmtId="0" fontId="102" fillId="54" borderId="427" xfId="72" applyFont="1" applyBorder="1" applyAlignment="1">
      <alignment horizontal="distributed" vertical="center" justifyLastLine="1"/>
    </xf>
    <xf numFmtId="0" fontId="102" fillId="54" borderId="428" xfId="72" applyFont="1" applyBorder="1" applyAlignment="1">
      <alignment horizontal="distributed" vertical="center" justifyLastLine="1"/>
    </xf>
    <xf numFmtId="0" fontId="102" fillId="54" borderId="429" xfId="72" applyFont="1" applyBorder="1" applyAlignment="1">
      <alignment horizontal="distributed" vertical="center" justifyLastLine="1"/>
    </xf>
    <xf numFmtId="179" fontId="105" fillId="54" borderId="430" xfId="72" applyNumberFormat="1" applyFont="1" applyBorder="1" applyAlignment="1">
      <alignment vertical="center"/>
    </xf>
    <xf numFmtId="0" fontId="106" fillId="54" borderId="422" xfId="72" applyFont="1" applyBorder="1"/>
    <xf numFmtId="179" fontId="100" fillId="54" borderId="431" xfId="72" applyNumberFormat="1" applyFont="1" applyBorder="1" applyAlignment="1">
      <alignment vertical="center"/>
    </xf>
    <xf numFmtId="0" fontId="100" fillId="54" borderId="432" xfId="72" applyFont="1" applyBorder="1"/>
    <xf numFmtId="0" fontId="100" fillId="54" borderId="422" xfId="72" applyFont="1" applyBorder="1" applyAlignment="1">
      <alignment horizontal="distributed" vertical="center" justifyLastLine="1"/>
    </xf>
    <xf numFmtId="0" fontId="100" fillId="54" borderId="433" xfId="72" applyFont="1" applyBorder="1" applyAlignment="1">
      <alignment horizontal="distributed" vertical="center"/>
    </xf>
    <xf numFmtId="0" fontId="100" fillId="54" borderId="434" xfId="72" applyFont="1" applyBorder="1" applyAlignment="1">
      <alignment horizontal="distributed" vertical="center"/>
    </xf>
    <xf numFmtId="0" fontId="100" fillId="54" borderId="398" xfId="72" applyFont="1" applyBorder="1" applyAlignment="1">
      <alignment horizontal="distributed" vertical="center" wrapText="1" justifyLastLine="1"/>
    </xf>
    <xf numFmtId="179" fontId="100" fillId="54" borderId="398" xfId="72" applyNumberFormat="1" applyFont="1" applyBorder="1" applyAlignment="1">
      <alignment horizontal="center"/>
    </xf>
    <xf numFmtId="179" fontId="100" fillId="54" borderId="398" xfId="72" applyNumberFormat="1" applyFont="1" applyBorder="1" applyAlignment="1">
      <alignment vertical="center"/>
    </xf>
    <xf numFmtId="0" fontId="100" fillId="54" borderId="436" xfId="72" applyFont="1" applyBorder="1" applyAlignment="1">
      <alignment vertical="center"/>
    </xf>
    <xf numFmtId="0" fontId="100" fillId="54" borderId="412" xfId="72" applyFont="1" applyBorder="1" applyAlignment="1">
      <alignment horizontal="distributed" vertical="center" justifyLastLine="1"/>
    </xf>
    <xf numFmtId="0" fontId="100" fillId="54" borderId="437" xfId="72" applyFont="1" applyBorder="1" applyAlignment="1">
      <alignment horizontal="distributed" vertical="center" justifyLastLine="1"/>
    </xf>
    <xf numFmtId="0" fontId="102" fillId="54" borderId="438" xfId="72" applyFont="1" applyBorder="1"/>
    <xf numFmtId="0" fontId="102" fillId="54" borderId="439" xfId="72" applyFont="1" applyBorder="1"/>
    <xf numFmtId="0" fontId="102" fillId="54" borderId="441" xfId="72" applyFont="1" applyBorder="1" applyAlignment="1">
      <alignment horizontal="distributed" vertical="center" justifyLastLine="1"/>
    </xf>
    <xf numFmtId="0" fontId="102" fillId="54" borderId="442" xfId="72" applyFont="1" applyBorder="1" applyAlignment="1">
      <alignment horizontal="center" vertical="center"/>
    </xf>
    <xf numFmtId="0" fontId="102" fillId="54" borderId="443" xfId="72" applyFont="1" applyBorder="1" applyAlignment="1">
      <alignment horizontal="center" vertical="center"/>
    </xf>
    <xf numFmtId="179" fontId="102" fillId="54" borderId="398" xfId="72" applyNumberFormat="1" applyFont="1"/>
    <xf numFmtId="0" fontId="100" fillId="54" borderId="410" xfId="72" applyFont="1" applyBorder="1" applyAlignment="1">
      <alignment horizontal="distributed" vertical="center"/>
    </xf>
    <xf numFmtId="0" fontId="100" fillId="54" borderId="424" xfId="72" applyFont="1" applyBorder="1" applyAlignment="1">
      <alignment horizontal="distributed" vertical="center" justifyLastLine="1"/>
    </xf>
    <xf numFmtId="0" fontId="100" fillId="54" borderId="431" xfId="72" applyFont="1" applyBorder="1" applyAlignment="1">
      <alignment horizontal="distributed" vertical="center" justifyLastLine="1"/>
    </xf>
    <xf numFmtId="0" fontId="100" fillId="54" borderId="431" xfId="72" applyFont="1" applyBorder="1" applyAlignment="1">
      <alignment horizontal="distributed" vertical="center"/>
    </xf>
    <xf numFmtId="0" fontId="100" fillId="54" borderId="431" xfId="72" applyFont="1" applyBorder="1" applyAlignment="1">
      <alignment horizontal="distributed" vertical="center" wrapText="1"/>
    </xf>
    <xf numFmtId="0" fontId="100" fillId="54" borderId="456" xfId="72" applyFont="1" applyBorder="1" applyAlignment="1">
      <alignment horizontal="distributed" vertical="center" justifyLastLine="1"/>
    </xf>
    <xf numFmtId="0" fontId="100" fillId="54" borderId="457" xfId="72" applyFont="1" applyBorder="1" applyAlignment="1">
      <alignment horizontal="distributed" vertical="center" justifyLastLine="1"/>
    </xf>
    <xf numFmtId="0" fontId="101" fillId="54" borderId="402" xfId="72" applyFont="1" applyBorder="1" applyAlignment="1">
      <alignment horizontal="distributed" vertical="center"/>
    </xf>
    <xf numFmtId="0" fontId="101" fillId="54" borderId="405" xfId="72" applyFont="1" applyBorder="1" applyAlignment="1">
      <alignment vertical="center"/>
    </xf>
    <xf numFmtId="0" fontId="101" fillId="54" borderId="405" xfId="72" applyFont="1" applyBorder="1"/>
    <xf numFmtId="0" fontId="101" fillId="54" borderId="403" xfId="72" applyFont="1" applyBorder="1" applyAlignment="1">
      <alignment vertical="center"/>
    </xf>
    <xf numFmtId="0" fontId="101" fillId="54" borderId="402" xfId="72" applyFont="1" applyBorder="1"/>
    <xf numFmtId="0" fontId="101" fillId="54" borderId="407" xfId="72" applyFont="1" applyBorder="1" applyAlignment="1">
      <alignment horizontal="distributed" vertical="center"/>
    </xf>
    <xf numFmtId="0" fontId="101" fillId="54" borderId="407" xfId="72" applyFont="1" applyBorder="1"/>
    <xf numFmtId="0" fontId="100" fillId="54" borderId="399" xfId="72" applyFont="1" applyBorder="1"/>
    <xf numFmtId="0" fontId="100" fillId="54" borderId="459" xfId="72" applyFont="1" applyBorder="1"/>
    <xf numFmtId="0" fontId="100" fillId="54" borderId="433" xfId="72" applyFont="1" applyBorder="1"/>
    <xf numFmtId="38" fontId="97" fillId="54" borderId="398" xfId="73" applyFont="1"/>
    <xf numFmtId="0" fontId="112" fillId="54" borderId="398" xfId="72" applyFont="1"/>
    <xf numFmtId="38" fontId="112" fillId="54" borderId="398" xfId="73" applyFont="1"/>
    <xf numFmtId="38" fontId="112" fillId="54" borderId="453" xfId="73" applyFont="1" applyBorder="1"/>
    <xf numFmtId="38" fontId="112" fillId="56" borderId="453" xfId="73" applyFont="1" applyFill="1" applyBorder="1"/>
    <xf numFmtId="38" fontId="112" fillId="54" borderId="453" xfId="73" applyFont="1" applyFill="1" applyBorder="1"/>
    <xf numFmtId="179" fontId="113" fillId="54" borderId="447" xfId="72" applyNumberFormat="1" applyFont="1" applyBorder="1" applyAlignment="1">
      <alignment vertical="center"/>
    </xf>
    <xf numFmtId="179" fontId="113" fillId="54" borderId="457" xfId="72" applyNumberFormat="1" applyFont="1" applyBorder="1" applyAlignment="1">
      <alignment vertical="center"/>
    </xf>
    <xf numFmtId="179" fontId="113" fillId="54" borderId="460" xfId="72" applyNumberFormat="1" applyFont="1" applyBorder="1" applyAlignment="1">
      <alignment vertical="center"/>
    </xf>
    <xf numFmtId="179" fontId="113" fillId="54" borderId="430" xfId="72" applyNumberFormat="1" applyFont="1" applyBorder="1" applyAlignment="1">
      <alignment vertical="center"/>
    </xf>
    <xf numFmtId="0" fontId="112" fillId="54" borderId="453" xfId="72" applyFont="1" applyFill="1" applyBorder="1"/>
    <xf numFmtId="0" fontId="100" fillId="54" borderId="464" xfId="72" applyFont="1" applyBorder="1" applyAlignment="1">
      <alignment horizontal="distributed" vertical="center"/>
    </xf>
    <xf numFmtId="0" fontId="100" fillId="54" borderId="465" xfId="72" applyFont="1" applyBorder="1" applyAlignment="1">
      <alignment horizontal="distributed" vertical="center"/>
    </xf>
    <xf numFmtId="0" fontId="100" fillId="54" borderId="434" xfId="72" applyFont="1" applyFill="1" applyBorder="1" applyAlignment="1">
      <alignment horizontal="distributed" vertical="center"/>
    </xf>
    <xf numFmtId="0" fontId="112" fillId="54" borderId="453" xfId="72" applyFont="1" applyFill="1" applyBorder="1" applyAlignment="1">
      <alignment shrinkToFit="1"/>
    </xf>
    <xf numFmtId="0" fontId="97" fillId="54" borderId="398" xfId="72" applyFill="1"/>
    <xf numFmtId="179" fontId="102" fillId="54" borderId="466" xfId="72" applyNumberFormat="1" applyFont="1" applyFill="1" applyBorder="1" applyAlignment="1">
      <alignment vertical="center"/>
    </xf>
    <xf numFmtId="179" fontId="102" fillId="54" borderId="467" xfId="72" applyNumberFormat="1" applyFont="1" applyFill="1" applyBorder="1" applyAlignment="1">
      <alignment vertical="center"/>
    </xf>
    <xf numFmtId="0" fontId="100" fillId="54" borderId="407" xfId="72" applyFont="1" applyBorder="1" applyAlignment="1">
      <alignment horizontal="distributed" vertical="center" justifyLastLine="1"/>
    </xf>
    <xf numFmtId="0" fontId="100" fillId="54" borderId="411" xfId="72" applyFont="1" applyBorder="1"/>
    <xf numFmtId="0" fontId="100" fillId="54" borderId="469" xfId="72" applyFont="1" applyBorder="1" applyAlignment="1">
      <alignment horizontal="distributed" vertical="center"/>
    </xf>
    <xf numFmtId="0" fontId="100" fillId="54" borderId="470" xfId="72" applyFont="1" applyBorder="1" applyAlignment="1">
      <alignment horizontal="distributed" vertical="center"/>
    </xf>
    <xf numFmtId="0" fontId="100" fillId="54" borderId="471" xfId="72" applyFont="1" applyBorder="1" applyAlignment="1">
      <alignment horizontal="distributed" vertical="center"/>
    </xf>
    <xf numFmtId="0" fontId="100" fillId="54" borderId="472" xfId="72" applyFont="1" applyBorder="1" applyAlignment="1">
      <alignment horizontal="distributed" vertical="center"/>
    </xf>
    <xf numFmtId="0" fontId="100" fillId="54" borderId="473" xfId="72" applyFont="1" applyBorder="1" applyAlignment="1">
      <alignment horizontal="distributed" vertical="center"/>
    </xf>
    <xf numFmtId="0" fontId="100" fillId="54" borderId="405" xfId="72" applyFont="1" applyBorder="1" applyAlignment="1">
      <alignment horizontal="distributed" vertical="center" justifyLastLine="1"/>
    </xf>
    <xf numFmtId="0" fontId="101" fillId="54" borderId="402" xfId="72" applyFont="1" applyBorder="1" applyAlignment="1">
      <alignment horizontal="distributed" vertical="center" justifyLastLine="1"/>
    </xf>
    <xf numFmtId="0" fontId="101" fillId="54" borderId="411" xfId="72" applyFont="1" applyBorder="1" applyAlignment="1">
      <alignment horizontal="distributed" vertical="center" justifyLastLine="1"/>
    </xf>
    <xf numFmtId="0" fontId="112" fillId="54" borderId="398" xfId="72" applyFont="1" applyFill="1"/>
    <xf numFmtId="0" fontId="100" fillId="54" borderId="398" xfId="72" applyFont="1" applyFill="1"/>
    <xf numFmtId="0" fontId="102" fillId="54" borderId="398" xfId="72" applyFont="1" applyFill="1"/>
    <xf numFmtId="179" fontId="102" fillId="54" borderId="398" xfId="72" applyNumberFormat="1" applyFont="1" applyFill="1"/>
    <xf numFmtId="179" fontId="125" fillId="54" borderId="422" xfId="72" applyNumberFormat="1" applyFont="1" applyFill="1" applyBorder="1" applyAlignment="1">
      <alignment vertical="center"/>
    </xf>
    <xf numFmtId="0" fontId="102" fillId="54" borderId="476" xfId="72" applyFont="1" applyFill="1" applyBorder="1" applyAlignment="1">
      <alignment horizontal="center" vertical="center" shrinkToFit="1"/>
    </xf>
    <xf numFmtId="0" fontId="102" fillId="54" borderId="477" xfId="72" applyFont="1" applyFill="1" applyBorder="1" applyAlignment="1">
      <alignment horizontal="distributed" vertical="center" justifyLastLine="1"/>
    </xf>
    <xf numFmtId="179" fontId="124" fillId="54" borderId="398" xfId="72" applyNumberFormat="1" applyFont="1"/>
    <xf numFmtId="179" fontId="127" fillId="54" borderId="422" xfId="72" applyNumberFormat="1" applyFont="1" applyBorder="1" applyAlignment="1">
      <alignment vertical="center"/>
    </xf>
    <xf numFmtId="0" fontId="102" fillId="54" borderId="422" xfId="72" applyFont="1" applyFill="1" applyBorder="1" applyAlignment="1">
      <alignment horizontal="distributed" vertical="center" justifyLastLine="1"/>
    </xf>
    <xf numFmtId="0" fontId="100" fillId="54" borderId="479" xfId="72" applyFont="1" applyBorder="1" applyAlignment="1">
      <alignment horizontal="distributed" vertical="center"/>
    </xf>
    <xf numFmtId="0" fontId="100" fillId="54" borderId="480" xfId="72" applyFont="1" applyBorder="1" applyAlignment="1">
      <alignment horizontal="distributed" vertical="center"/>
    </xf>
    <xf numFmtId="179" fontId="104" fillId="54" borderId="436" xfId="72" applyNumberFormat="1" applyFont="1" applyBorder="1" applyAlignment="1">
      <alignment vertical="center"/>
    </xf>
    <xf numFmtId="0" fontId="102" fillId="54" borderId="451" xfId="72" applyFont="1" applyBorder="1" applyAlignment="1">
      <alignment horizontal="distributed" vertical="center"/>
    </xf>
    <xf numFmtId="179" fontId="104" fillId="54" borderId="401" xfId="72" applyNumberFormat="1" applyFont="1" applyBorder="1" applyAlignment="1">
      <alignment vertical="center"/>
    </xf>
    <xf numFmtId="179" fontId="125" fillId="54" borderId="401" xfId="72" applyNumberFormat="1" applyFont="1" applyFill="1" applyBorder="1" applyAlignment="1">
      <alignment vertical="center"/>
    </xf>
    <xf numFmtId="187" fontId="102" fillId="54" borderId="401" xfId="72" applyNumberFormat="1" applyFont="1" applyBorder="1" applyAlignment="1">
      <alignment horizontal="center" vertical="center"/>
    </xf>
    <xf numFmtId="188" fontId="102" fillId="54" borderId="401" xfId="72" applyNumberFormat="1" applyFont="1" applyBorder="1" applyAlignment="1">
      <alignment horizontal="center" vertical="center"/>
    </xf>
    <xf numFmtId="49" fontId="102" fillId="54" borderId="422" xfId="72" applyNumberFormat="1" applyFont="1" applyBorder="1" applyAlignment="1">
      <alignment horizontal="center" vertical="center"/>
    </xf>
    <xf numFmtId="179" fontId="104" fillId="54" borderId="422" xfId="72" applyNumberFormat="1" applyFont="1" applyBorder="1" applyAlignment="1">
      <alignment vertical="center"/>
    </xf>
    <xf numFmtId="186" fontId="104" fillId="54" borderId="401" xfId="72" applyNumberFormat="1" applyFont="1" applyBorder="1" applyAlignment="1">
      <alignment vertical="center"/>
    </xf>
    <xf numFmtId="186" fontId="104" fillId="54" borderId="436" xfId="72" applyNumberFormat="1" applyFont="1" applyBorder="1" applyAlignment="1">
      <alignment vertical="center"/>
    </xf>
    <xf numFmtId="179" fontId="101" fillId="58" borderId="482" xfId="72" applyNumberFormat="1" applyFont="1" applyFill="1" applyBorder="1" applyAlignment="1">
      <alignment vertical="center"/>
    </xf>
    <xf numFmtId="179" fontId="101" fillId="58" borderId="460" xfId="72" applyNumberFormat="1" applyFont="1" applyFill="1" applyBorder="1" applyAlignment="1">
      <alignment vertical="center"/>
    </xf>
    <xf numFmtId="0" fontId="97" fillId="54" borderId="483" xfId="72" applyFill="1" applyBorder="1"/>
    <xf numFmtId="0" fontId="97" fillId="54" borderId="484" xfId="72" applyBorder="1" applyAlignment="1">
      <alignment horizontal="center"/>
    </xf>
    <xf numFmtId="0" fontId="97" fillId="54" borderId="485" xfId="72" applyFill="1" applyBorder="1"/>
    <xf numFmtId="0" fontId="97" fillId="54" borderId="486" xfId="72" applyBorder="1" applyAlignment="1">
      <alignment horizontal="center"/>
    </xf>
    <xf numFmtId="0" fontId="97" fillId="54" borderId="487" xfId="72" applyFill="1" applyBorder="1"/>
    <xf numFmtId="0" fontId="97" fillId="54" borderId="428" xfId="72" applyBorder="1" applyAlignment="1">
      <alignment horizontal="center"/>
    </xf>
    <xf numFmtId="0" fontId="97" fillId="54" borderId="483" xfId="72" applyBorder="1"/>
    <xf numFmtId="0" fontId="97" fillId="54" borderId="485" xfId="72" applyBorder="1"/>
    <xf numFmtId="0" fontId="97" fillId="54" borderId="487" xfId="72" applyBorder="1"/>
    <xf numFmtId="0" fontId="97" fillId="54" borderId="485" xfId="72" applyBorder="1" applyAlignment="1">
      <alignment horizontal="center"/>
    </xf>
    <xf numFmtId="0" fontId="97" fillId="54" borderId="485" xfId="72" applyFill="1" applyBorder="1" applyAlignment="1">
      <alignment horizontal="center"/>
    </xf>
    <xf numFmtId="0" fontId="97" fillId="54" borderId="415" xfId="72" applyBorder="1"/>
    <xf numFmtId="0" fontId="97" fillId="54" borderId="415" xfId="72" applyBorder="1" applyAlignment="1">
      <alignment horizontal="center"/>
    </xf>
    <xf numFmtId="0" fontId="97" fillId="54" borderId="408" xfId="72" applyBorder="1"/>
    <xf numFmtId="0" fontId="97" fillId="54" borderId="488" xfId="72" applyBorder="1" applyAlignment="1">
      <alignment horizontal="center"/>
    </xf>
    <xf numFmtId="0" fontId="103" fillId="54" borderId="398" xfId="72" applyFont="1" applyAlignment="1">
      <alignment horizontal="center"/>
    </xf>
    <xf numFmtId="0" fontId="97" fillId="54" borderId="398" xfId="72" applyFont="1"/>
    <xf numFmtId="0" fontId="97" fillId="54" borderId="415" xfId="72" applyFont="1" applyBorder="1" applyAlignment="1"/>
    <xf numFmtId="0" fontId="97" fillId="54" borderId="398" xfId="72" applyFont="1" applyAlignment="1"/>
    <xf numFmtId="38" fontId="97" fillId="54" borderId="415" xfId="73" applyFont="1" applyBorder="1" applyAlignment="1"/>
    <xf numFmtId="38" fontId="97" fillId="54" borderId="398" xfId="73" applyFont="1" applyAlignment="1"/>
    <xf numFmtId="38" fontId="97" fillId="54" borderId="398" xfId="73" applyFont="1" applyFill="1"/>
    <xf numFmtId="0" fontId="97" fillId="54" borderId="398" xfId="72" applyFont="1" applyFill="1"/>
    <xf numFmtId="38" fontId="124" fillId="54" borderId="398" xfId="73" applyFont="1" applyFill="1"/>
    <xf numFmtId="179" fontId="97" fillId="54" borderId="398" xfId="72" applyNumberFormat="1" applyFont="1"/>
    <xf numFmtId="0" fontId="100" fillId="54" borderId="406" xfId="72" applyFont="1" applyBorder="1" applyAlignment="1">
      <alignment horizontal="distributed" vertical="center"/>
    </xf>
    <xf numFmtId="0" fontId="100" fillId="54" borderId="411" xfId="72" applyFont="1" applyBorder="1" applyAlignment="1">
      <alignment horizontal="distributed" vertical="center"/>
    </xf>
    <xf numFmtId="0" fontId="100" fillId="54" borderId="408" xfId="72" applyFont="1" applyBorder="1" applyAlignment="1">
      <alignment horizontal="distributed" vertical="center"/>
    </xf>
    <xf numFmtId="0" fontId="100" fillId="54" borderId="398" xfId="72" applyFont="1" applyBorder="1" applyAlignment="1">
      <alignment horizontal="distributed" vertical="center"/>
    </xf>
    <xf numFmtId="179" fontId="102" fillId="57" borderId="401" xfId="72" applyNumberFormat="1" applyFont="1" applyFill="1" applyBorder="1" applyAlignment="1">
      <alignment vertical="center"/>
    </xf>
    <xf numFmtId="0" fontId="100" fillId="54" borderId="415" xfId="72" applyFont="1" applyBorder="1" applyAlignment="1">
      <alignment horizontal="distributed" vertical="center"/>
    </xf>
    <xf numFmtId="0" fontId="100" fillId="54" borderId="405" xfId="72" applyFont="1" applyBorder="1" applyAlignment="1">
      <alignment vertical="center"/>
    </xf>
    <xf numFmtId="0" fontId="100" fillId="54" borderId="436" xfId="72" applyFont="1" applyBorder="1" applyAlignment="1">
      <alignment vertical="center"/>
    </xf>
    <xf numFmtId="0" fontId="101" fillId="54" borderId="402" xfId="72" applyFont="1" applyBorder="1" applyAlignment="1">
      <alignment horizontal="distributed" vertical="center"/>
    </xf>
    <xf numFmtId="0" fontId="100" fillId="54" borderId="407" xfId="72" applyFont="1" applyBorder="1" applyAlignment="1">
      <alignment horizontal="distributed" vertical="center"/>
    </xf>
    <xf numFmtId="0" fontId="100" fillId="54" borderId="402" xfId="72" applyFont="1" applyBorder="1" applyAlignment="1">
      <alignment horizontal="distributed" vertical="center"/>
    </xf>
    <xf numFmtId="0" fontId="100" fillId="54" borderId="403" xfId="72" applyFont="1" applyBorder="1" applyAlignment="1">
      <alignment vertical="center"/>
    </xf>
    <xf numFmtId="0" fontId="101" fillId="54" borderId="411" xfId="72" applyFont="1" applyBorder="1" applyAlignment="1">
      <alignment horizontal="distributed" vertical="center"/>
    </xf>
    <xf numFmtId="0" fontId="100" fillId="54" borderId="404" xfId="72" applyFont="1" applyBorder="1" applyAlignment="1">
      <alignment horizontal="distributed" vertical="center"/>
    </xf>
    <xf numFmtId="0" fontId="103" fillId="54" borderId="398" xfId="72" applyFont="1" applyAlignment="1">
      <alignment horizontal="center"/>
    </xf>
    <xf numFmtId="0" fontId="100" fillId="54" borderId="403" xfId="72" applyFont="1" applyBorder="1" applyAlignment="1">
      <alignment horizontal="distributed" vertical="center" justifyLastLine="1"/>
    </xf>
    <xf numFmtId="0" fontId="100" fillId="54" borderId="468" xfId="72" applyFont="1" applyBorder="1" applyAlignment="1">
      <alignment horizontal="distributed" vertical="center"/>
    </xf>
    <xf numFmtId="0" fontId="101" fillId="54" borderId="405" xfId="72" applyFont="1" applyBorder="1" applyAlignment="1">
      <alignment vertical="center"/>
    </xf>
    <xf numFmtId="0" fontId="101" fillId="54" borderId="403" xfId="72" applyFont="1" applyBorder="1" applyAlignment="1">
      <alignment vertical="center"/>
    </xf>
    <xf numFmtId="0" fontId="100" fillId="54" borderId="398" xfId="72" applyFont="1" applyBorder="1" applyAlignment="1">
      <alignment horizontal="distributed" vertical="center"/>
    </xf>
    <xf numFmtId="38" fontId="103" fillId="54" borderId="398" xfId="73" applyFont="1" applyAlignment="1">
      <alignment horizontal="center"/>
    </xf>
    <xf numFmtId="38" fontId="103" fillId="54" borderId="398" xfId="73" applyFont="1" applyFill="1" applyAlignment="1">
      <alignment horizontal="center"/>
    </xf>
    <xf numFmtId="38" fontId="100" fillId="54" borderId="398" xfId="73" applyFont="1"/>
    <xf numFmtId="38" fontId="100" fillId="54" borderId="398" xfId="73" applyFont="1" applyFill="1"/>
    <xf numFmtId="38" fontId="100" fillId="54" borderId="398" xfId="73" applyFont="1" applyFill="1" applyAlignment="1">
      <alignment horizontal="right"/>
    </xf>
    <xf numFmtId="38" fontId="100" fillId="54" borderId="399" xfId="73" applyFont="1" applyFill="1" applyBorder="1" applyAlignment="1">
      <alignment horizontal="distributed" vertical="center" justifyLastLine="1"/>
    </xf>
    <xf numFmtId="38" fontId="97" fillId="54" borderId="415" xfId="73" applyFont="1" applyFill="1" applyBorder="1" applyAlignment="1"/>
    <xf numFmtId="38" fontId="97" fillId="54" borderId="398" xfId="73" applyFont="1" applyFill="1" applyAlignment="1"/>
    <xf numFmtId="38" fontId="100" fillId="54" borderId="416" xfId="73" applyFont="1" applyFill="1" applyBorder="1" applyAlignment="1">
      <alignment horizontal="distributed" vertical="center" justifyLastLine="1"/>
    </xf>
    <xf numFmtId="38" fontId="97" fillId="54" borderId="398" xfId="73" applyFont="1" applyFill="1" applyAlignment="1">
      <alignment horizontal="center"/>
    </xf>
    <xf numFmtId="38" fontId="100" fillId="54" borderId="455" xfId="73" applyFont="1" applyFill="1" applyBorder="1" applyAlignment="1">
      <alignment vertical="center"/>
    </xf>
    <xf numFmtId="38" fontId="100" fillId="54" borderId="415" xfId="73" applyFont="1" applyBorder="1" applyAlignment="1">
      <alignment horizontal="distributed" vertical="center"/>
    </xf>
    <xf numFmtId="38" fontId="100" fillId="54" borderId="436" xfId="73" applyFont="1" applyFill="1" applyBorder="1" applyAlignment="1">
      <alignment vertical="center"/>
    </xf>
    <xf numFmtId="38" fontId="100" fillId="54" borderId="418" xfId="73" applyFont="1" applyFill="1" applyBorder="1"/>
    <xf numFmtId="38" fontId="100" fillId="54" borderId="478" xfId="73" applyFont="1" applyFill="1" applyBorder="1"/>
    <xf numFmtId="38" fontId="100" fillId="54" borderId="421" xfId="73" applyFont="1" applyFill="1" applyBorder="1" applyAlignment="1">
      <alignment vertical="center"/>
    </xf>
    <xf numFmtId="38" fontId="112" fillId="54" borderId="398" xfId="73" applyFont="1" applyFill="1"/>
    <xf numFmtId="9" fontId="97" fillId="54" borderId="398" xfId="74" applyFont="1" applyFill="1" applyAlignment="1">
      <alignment horizontal="center"/>
    </xf>
    <xf numFmtId="38" fontId="100" fillId="54" borderId="398" xfId="73" applyFont="1" applyAlignment="1">
      <alignment horizontal="right"/>
    </xf>
    <xf numFmtId="38" fontId="100" fillId="54" borderId="416" xfId="73" applyFont="1" applyBorder="1" applyAlignment="1">
      <alignment horizontal="distributed" vertical="center" justifyLastLine="1"/>
    </xf>
    <xf numFmtId="38" fontId="97" fillId="54" borderId="418" xfId="73" applyFont="1" applyFill="1" applyBorder="1"/>
    <xf numFmtId="38" fontId="114" fillId="54" borderId="455" xfId="73" applyFont="1" applyBorder="1"/>
    <xf numFmtId="38" fontId="114" fillId="54" borderId="418" xfId="73" applyFont="1" applyBorder="1"/>
    <xf numFmtId="38" fontId="102" fillId="54" borderId="398" xfId="73" applyFont="1"/>
    <xf numFmtId="38" fontId="100" fillId="54" borderId="412" xfId="73" applyFont="1" applyFill="1" applyBorder="1" applyAlignment="1">
      <alignment horizontal="distributed" vertical="center" justifyLastLine="1"/>
    </xf>
    <xf numFmtId="38" fontId="100" fillId="54" borderId="437" xfId="73" applyFont="1" applyFill="1" applyBorder="1" applyAlignment="1">
      <alignment horizontal="distributed" vertical="center" justifyLastLine="1"/>
    </xf>
    <xf numFmtId="38" fontId="100" fillId="54" borderId="420" xfId="73" applyFont="1" applyFill="1" applyBorder="1" applyAlignment="1">
      <alignment vertical="center"/>
    </xf>
    <xf numFmtId="9" fontId="97" fillId="54" borderId="398" xfId="74" applyFont="1" applyAlignment="1">
      <alignment horizontal="center"/>
    </xf>
    <xf numFmtId="9" fontId="97" fillId="54" borderId="398" xfId="74" applyFont="1" applyFill="1" applyBorder="1" applyAlignment="1">
      <alignment horizontal="center"/>
    </xf>
    <xf numFmtId="38" fontId="100" fillId="60" borderId="419" xfId="73" applyFont="1" applyFill="1" applyBorder="1" applyAlignment="1">
      <alignment vertical="center"/>
    </xf>
    <xf numFmtId="38" fontId="100" fillId="60" borderId="481" xfId="73" applyFont="1" applyFill="1" applyBorder="1" applyAlignment="1">
      <alignment vertical="center"/>
    </xf>
    <xf numFmtId="38" fontId="102" fillId="54" borderId="438" xfId="73" applyFont="1" applyFill="1" applyBorder="1"/>
    <xf numFmtId="38" fontId="102" fillId="54" borderId="439" xfId="73" applyFont="1" applyFill="1" applyBorder="1"/>
    <xf numFmtId="0" fontId="100" fillId="54" borderId="415" xfId="72" applyFont="1" applyFill="1" applyBorder="1" applyAlignment="1">
      <alignment horizontal="distributed" vertical="center"/>
    </xf>
    <xf numFmtId="38" fontId="101" fillId="54" borderId="436" xfId="73" applyFont="1" applyFill="1" applyBorder="1" applyAlignment="1"/>
    <xf numFmtId="38" fontId="105" fillId="54" borderId="496" xfId="73" applyFont="1" applyFill="1" applyBorder="1" applyAlignment="1">
      <alignment vertical="center"/>
    </xf>
    <xf numFmtId="38" fontId="101" fillId="54" borderId="436" xfId="73" applyFont="1" applyFill="1" applyBorder="1" applyAlignment="1">
      <alignment vertical="top"/>
    </xf>
    <xf numFmtId="38" fontId="101" fillId="54" borderId="435" xfId="73" applyFont="1" applyFill="1" applyBorder="1" applyAlignment="1">
      <alignment vertical="top"/>
    </xf>
    <xf numFmtId="38" fontId="105" fillId="54" borderId="435" xfId="73" applyFont="1" applyFill="1" applyBorder="1" applyAlignment="1">
      <alignment vertical="center"/>
    </xf>
    <xf numFmtId="38" fontId="105" fillId="54" borderId="525" xfId="73" applyFont="1" applyFill="1" applyBorder="1" applyAlignment="1">
      <alignment vertical="center"/>
    </xf>
    <xf numFmtId="0" fontId="102" fillId="54" borderId="415" xfId="72" applyFont="1" applyFill="1" applyBorder="1"/>
    <xf numFmtId="38" fontId="97" fillId="54" borderId="401" xfId="73" applyFont="1" applyFill="1" applyBorder="1"/>
    <xf numFmtId="38" fontId="97" fillId="54" borderId="505" xfId="73" applyFont="1" applyFill="1" applyBorder="1"/>
    <xf numFmtId="0" fontId="102" fillId="54" borderId="408" xfId="72" applyFont="1" applyFill="1" applyBorder="1"/>
    <xf numFmtId="38" fontId="101" fillId="54" borderId="400" xfId="73" applyFont="1" applyFill="1" applyBorder="1" applyAlignment="1">
      <alignment vertical="top"/>
    </xf>
    <xf numFmtId="38" fontId="105" fillId="54" borderId="400" xfId="73" applyFont="1" applyFill="1" applyBorder="1" applyAlignment="1">
      <alignment vertical="center"/>
    </xf>
    <xf numFmtId="38" fontId="105" fillId="54" borderId="462" xfId="73" applyFont="1" applyFill="1" applyBorder="1" applyAlignment="1">
      <alignment vertical="center"/>
    </xf>
    <xf numFmtId="38" fontId="111" fillId="54" borderId="398" xfId="73" applyFont="1" applyFill="1"/>
    <xf numFmtId="38" fontId="100" fillId="54" borderId="496" xfId="73" applyFont="1" applyFill="1" applyBorder="1" applyAlignment="1">
      <alignment vertical="center"/>
    </xf>
    <xf numFmtId="38" fontId="100" fillId="54" borderId="435" xfId="73" applyFont="1" applyFill="1" applyBorder="1" applyAlignment="1">
      <alignment vertical="center"/>
    </xf>
    <xf numFmtId="38" fontId="100" fillId="54" borderId="525" xfId="73" applyFont="1" applyFill="1" applyBorder="1" applyAlignment="1">
      <alignment vertical="center"/>
    </xf>
    <xf numFmtId="38" fontId="100" fillId="54" borderId="400" xfId="73" applyFont="1" applyFill="1" applyBorder="1" applyAlignment="1">
      <alignment vertical="center"/>
    </xf>
    <xf numFmtId="38" fontId="100" fillId="54" borderId="462" xfId="73" applyFont="1" applyFill="1" applyBorder="1" applyAlignment="1">
      <alignment vertical="center"/>
    </xf>
    <xf numFmtId="38" fontId="129" fillId="54" borderId="398" xfId="73" applyFont="1" applyFill="1"/>
    <xf numFmtId="38" fontId="97" fillId="57" borderId="398" xfId="73" applyFont="1" applyFill="1"/>
    <xf numFmtId="38" fontId="100" fillId="54" borderId="436" xfId="73" applyFont="1" applyFill="1" applyBorder="1" applyAlignment="1">
      <alignment vertical="top"/>
    </xf>
    <xf numFmtId="38" fontId="100" fillId="54" borderId="436" xfId="73" applyFont="1" applyFill="1" applyBorder="1" applyAlignment="1"/>
    <xf numFmtId="38" fontId="100" fillId="54" borderId="400" xfId="73" applyFont="1" applyFill="1" applyBorder="1" applyAlignment="1">
      <alignment vertical="top"/>
    </xf>
    <xf numFmtId="38" fontId="101" fillId="57" borderId="403" xfId="73" applyFont="1" applyFill="1" applyBorder="1" applyAlignment="1"/>
    <xf numFmtId="38" fontId="101" fillId="57" borderId="405" xfId="73" applyFont="1" applyFill="1" applyBorder="1" applyAlignment="1">
      <alignment vertical="top"/>
    </xf>
    <xf numFmtId="38" fontId="100" fillId="57" borderId="403" xfId="73" applyFont="1" applyFill="1" applyBorder="1" applyAlignment="1"/>
    <xf numFmtId="38" fontId="100" fillId="57" borderId="405" xfId="73" applyFont="1" applyFill="1" applyBorder="1" applyAlignment="1">
      <alignment vertical="top"/>
    </xf>
    <xf numFmtId="38" fontId="124" fillId="57" borderId="398" xfId="73" applyFont="1" applyFill="1"/>
    <xf numFmtId="179" fontId="97" fillId="54" borderId="398" xfId="72" applyNumberFormat="1" applyFill="1"/>
    <xf numFmtId="179" fontId="102" fillId="57" borderId="422" xfId="72" applyNumberFormat="1" applyFont="1" applyFill="1" applyBorder="1" applyAlignment="1">
      <alignment vertical="center"/>
    </xf>
    <xf numFmtId="179" fontId="102" fillId="57" borderId="475" xfId="72" applyNumberFormat="1" applyFont="1" applyFill="1" applyBorder="1" applyAlignment="1">
      <alignment vertical="center"/>
    </xf>
    <xf numFmtId="38" fontId="114" fillId="54" borderId="419" xfId="73" applyFont="1" applyFill="1" applyBorder="1"/>
    <xf numFmtId="38" fontId="114" fillId="54" borderId="419" xfId="73" applyFont="1" applyBorder="1"/>
    <xf numFmtId="38" fontId="114" fillId="54" borderId="400" xfId="73" applyFont="1" applyBorder="1"/>
    <xf numFmtId="179" fontId="102" fillId="62" borderId="422" xfId="72" applyNumberFormat="1" applyFont="1" applyFill="1" applyBorder="1" applyAlignment="1">
      <alignment vertical="center"/>
    </xf>
    <xf numFmtId="38" fontId="97" fillId="62" borderId="398" xfId="73" applyFont="1" applyFill="1"/>
    <xf numFmtId="38" fontId="114" fillId="57" borderId="419" xfId="73" applyFont="1" applyFill="1" applyBorder="1"/>
    <xf numFmtId="38" fontId="114" fillId="54" borderId="455" xfId="73" applyFont="1" applyFill="1" applyBorder="1"/>
    <xf numFmtId="38" fontId="114" fillId="54" borderId="418" xfId="73" applyFont="1" applyFill="1" applyBorder="1"/>
    <xf numFmtId="0" fontId="100" fillId="54" borderId="408" xfId="72" applyFont="1" applyFill="1" applyBorder="1" applyAlignment="1">
      <alignment horizontal="distributed" vertical="center"/>
    </xf>
    <xf numFmtId="38" fontId="102" fillId="54" borderId="398" xfId="73" applyFont="1" applyFill="1"/>
    <xf numFmtId="0" fontId="102" fillId="54" borderId="441" xfId="72" applyFont="1" applyFill="1" applyBorder="1" applyAlignment="1">
      <alignment horizontal="distributed" vertical="center" justifyLastLine="1"/>
    </xf>
    <xf numFmtId="0" fontId="102" fillId="54" borderId="442" xfId="72" applyFont="1" applyFill="1" applyBorder="1" applyAlignment="1">
      <alignment horizontal="center" vertical="center"/>
    </xf>
    <xf numFmtId="0" fontId="102" fillId="54" borderId="443" xfId="72" applyFont="1" applyFill="1" applyBorder="1" applyAlignment="1">
      <alignment horizontal="center" vertical="center"/>
    </xf>
    <xf numFmtId="179" fontId="102" fillId="54" borderId="475" xfId="72" applyNumberFormat="1" applyFont="1" applyFill="1" applyBorder="1" applyAlignment="1">
      <alignment vertical="center"/>
    </xf>
    <xf numFmtId="179" fontId="102" fillId="54" borderId="422" xfId="72" applyNumberFormat="1" applyFont="1" applyFill="1" applyBorder="1" applyAlignment="1">
      <alignment vertical="center"/>
    </xf>
    <xf numFmtId="38" fontId="114" fillId="54" borderId="400" xfId="73" applyFont="1" applyFill="1" applyBorder="1"/>
    <xf numFmtId="38" fontId="97" fillId="54" borderId="419" xfId="73" applyFont="1" applyFill="1" applyBorder="1" applyAlignment="1">
      <alignment vertical="center"/>
    </xf>
    <xf numFmtId="38" fontId="97" fillId="54" borderId="420" xfId="73" applyFont="1" applyFill="1" applyBorder="1"/>
    <xf numFmtId="0" fontId="100" fillId="54" borderId="400" xfId="72" applyFont="1" applyFill="1" applyBorder="1" applyAlignment="1">
      <alignment vertical="center"/>
    </xf>
    <xf numFmtId="0" fontId="109" fillId="54" borderId="398" xfId="72" applyFont="1" applyFill="1"/>
    <xf numFmtId="38" fontId="97" fillId="63" borderId="419" xfId="73" applyFont="1" applyFill="1" applyBorder="1" applyAlignment="1">
      <alignment vertical="center"/>
    </xf>
    <xf numFmtId="0" fontId="112" fillId="57" borderId="453" xfId="72" applyFont="1" applyFill="1" applyBorder="1" applyAlignment="1">
      <alignment shrinkToFit="1"/>
    </xf>
    <xf numFmtId="38" fontId="112" fillId="57" borderId="453" xfId="73" applyFont="1" applyFill="1" applyBorder="1"/>
    <xf numFmtId="0" fontId="130" fillId="54" borderId="398" xfId="72" applyFont="1"/>
    <xf numFmtId="38" fontId="112" fillId="54" borderId="398" xfId="72" applyNumberFormat="1" applyFont="1"/>
    <xf numFmtId="38" fontId="112" fillId="54" borderId="398" xfId="72" applyNumberFormat="1" applyFont="1" applyFill="1"/>
    <xf numFmtId="38" fontId="112" fillId="54" borderId="406" xfId="73" applyFont="1" applyBorder="1"/>
    <xf numFmtId="38" fontId="112" fillId="54" borderId="474" xfId="73" applyFont="1" applyBorder="1"/>
    <xf numFmtId="179" fontId="100" fillId="54" borderId="401" xfId="72" applyNumberFormat="1" applyFont="1" applyBorder="1" applyAlignment="1">
      <alignment vertical="center"/>
    </xf>
    <xf numFmtId="179" fontId="100" fillId="54" borderId="436" xfId="72" applyNumberFormat="1" applyFont="1" applyBorder="1" applyAlignment="1">
      <alignment vertical="center"/>
    </xf>
    <xf numFmtId="179" fontId="100" fillId="54" borderId="435" xfId="72" applyNumberFormat="1" applyFont="1" applyBorder="1" applyAlignment="1">
      <alignment vertical="center"/>
    </xf>
    <xf numFmtId="179" fontId="100" fillId="64" borderId="416" xfId="72" applyNumberFormat="1" applyFont="1" applyFill="1" applyBorder="1" applyAlignment="1">
      <alignment vertical="center"/>
    </xf>
    <xf numFmtId="179" fontId="100" fillId="64" borderId="419" xfId="72" applyNumberFormat="1" applyFont="1" applyFill="1" applyBorder="1" applyAlignment="1">
      <alignment vertical="center"/>
    </xf>
    <xf numFmtId="179" fontId="100" fillId="64" borderId="459" xfId="72" applyNumberFormat="1" applyFont="1" applyFill="1" applyBorder="1" applyAlignment="1">
      <alignment vertical="center"/>
    </xf>
    <xf numFmtId="179" fontId="100" fillId="64" borderId="422" xfId="72" applyNumberFormat="1" applyFont="1" applyFill="1" applyBorder="1" applyAlignment="1">
      <alignment vertical="center"/>
    </xf>
    <xf numFmtId="179" fontId="101" fillId="57" borderId="482" xfId="72" applyNumberFormat="1" applyFont="1" applyFill="1" applyBorder="1" applyAlignment="1">
      <alignment vertical="center"/>
    </xf>
    <xf numFmtId="179" fontId="101" fillId="57" borderId="460" xfId="72" applyNumberFormat="1" applyFont="1" applyFill="1" applyBorder="1" applyAlignment="1">
      <alignment vertical="center"/>
    </xf>
    <xf numFmtId="38" fontId="100" fillId="65" borderId="419" xfId="73" applyFont="1" applyFill="1" applyBorder="1" applyAlignment="1">
      <alignment vertical="center"/>
    </xf>
    <xf numFmtId="9" fontId="97" fillId="54" borderId="398" xfId="72" applyNumberFormat="1" applyFont="1" applyAlignment="1">
      <alignment horizontal="center"/>
    </xf>
    <xf numFmtId="0" fontId="97" fillId="54" borderId="470" xfId="72" applyFont="1" applyBorder="1" applyAlignment="1">
      <alignment vertical="center"/>
    </xf>
    <xf numFmtId="38" fontId="100" fillId="62" borderId="398" xfId="73" applyFont="1" applyFill="1" applyBorder="1" applyAlignment="1">
      <alignment horizontal="right"/>
    </xf>
    <xf numFmtId="38" fontId="100" fillId="66" borderId="398" xfId="73" applyFont="1" applyFill="1" applyBorder="1" applyAlignment="1">
      <alignment horizontal="right"/>
    </xf>
    <xf numFmtId="0" fontId="100" fillId="54" borderId="399" xfId="72" applyFont="1" applyBorder="1" applyAlignment="1">
      <alignment horizontal="distributed" vertical="center" justifyLastLine="1"/>
    </xf>
    <xf numFmtId="0" fontId="100" fillId="54" borderId="404" xfId="72" applyFont="1" applyBorder="1" applyAlignment="1">
      <alignment horizontal="distributed" vertical="center"/>
    </xf>
    <xf numFmtId="0" fontId="100" fillId="54" borderId="408" xfId="72" applyFont="1" applyBorder="1" applyAlignment="1">
      <alignment horizontal="distributed" vertical="center"/>
    </xf>
    <xf numFmtId="38" fontId="100" fillId="54" borderId="404" xfId="73" applyFont="1" applyBorder="1" applyAlignment="1">
      <alignment horizontal="distributed" vertical="center"/>
    </xf>
    <xf numFmtId="38" fontId="100" fillId="54" borderId="399" xfId="73" applyFont="1" applyFill="1" applyBorder="1" applyAlignment="1">
      <alignment horizontal="distributed" vertical="center" justifyLastLine="1"/>
    </xf>
    <xf numFmtId="0" fontId="100" fillId="54" borderId="522" xfId="72" applyFont="1" applyBorder="1" applyAlignment="1">
      <alignment horizontal="distributed" vertical="center"/>
    </xf>
    <xf numFmtId="38" fontId="100" fillId="54" borderId="478" xfId="73" applyFont="1" applyFill="1" applyBorder="1" applyAlignment="1">
      <alignment vertical="center"/>
    </xf>
    <xf numFmtId="38" fontId="100" fillId="54" borderId="418" xfId="73" applyFont="1" applyFill="1" applyBorder="1" applyAlignment="1">
      <alignment vertical="center"/>
    </xf>
    <xf numFmtId="0" fontId="100" fillId="54" borderId="415" xfId="72" applyFont="1" applyBorder="1" applyAlignment="1">
      <alignment horizontal="distributed" vertical="center"/>
    </xf>
    <xf numFmtId="38" fontId="97" fillId="54" borderId="398" xfId="72" applyNumberFormat="1" applyFont="1"/>
    <xf numFmtId="38" fontId="117" fillId="54" borderId="398" xfId="72" applyNumberFormat="1" applyFont="1"/>
    <xf numFmtId="38" fontId="100" fillId="65" borderId="436" xfId="73" applyFont="1" applyFill="1" applyBorder="1" applyAlignment="1">
      <alignment vertical="center"/>
    </xf>
    <xf numFmtId="38" fontId="112" fillId="54" borderId="398" xfId="73" applyFont="1" applyFill="1" applyAlignment="1">
      <alignment horizontal="right"/>
    </xf>
    <xf numFmtId="38" fontId="112" fillId="54" borderId="398" xfId="73" applyFont="1" applyFill="1" applyAlignment="1">
      <alignment horizontal="center"/>
    </xf>
    <xf numFmtId="38" fontId="112" fillId="65" borderId="398" xfId="73" applyFont="1" applyFill="1"/>
    <xf numFmtId="38" fontId="112" fillId="54" borderId="415" xfId="73" applyFont="1" applyFill="1" applyBorder="1" applyAlignment="1"/>
    <xf numFmtId="38" fontId="112" fillId="54" borderId="398" xfId="73" applyFont="1" applyFill="1" applyAlignment="1"/>
    <xf numFmtId="9" fontId="112" fillId="54" borderId="398" xfId="74" applyFont="1" applyFill="1" applyAlignment="1">
      <alignment horizontal="center"/>
    </xf>
    <xf numFmtId="38" fontId="112" fillId="60" borderId="398" xfId="73" applyFont="1" applyFill="1"/>
    <xf numFmtId="38" fontId="112" fillId="54" borderId="408" xfId="73" applyFont="1" applyBorder="1"/>
    <xf numFmtId="9" fontId="112" fillId="54" borderId="398" xfId="74" applyFont="1" applyFill="1" applyBorder="1" applyAlignment="1">
      <alignment horizontal="center"/>
    </xf>
    <xf numFmtId="0" fontId="102" fillId="54" borderId="401" xfId="72" applyFont="1" applyBorder="1" applyAlignment="1">
      <alignment horizontal="distributed" vertical="center" justifyLastLine="1"/>
    </xf>
    <xf numFmtId="0" fontId="102" fillId="54" borderId="435" xfId="72" applyFont="1" applyBorder="1" applyAlignment="1">
      <alignment horizontal="distributed" vertical="center" justifyLastLine="1"/>
    </xf>
    <xf numFmtId="38" fontId="97" fillId="63" borderId="398" xfId="73" applyFont="1" applyFill="1"/>
    <xf numFmtId="0" fontId="102" fillId="54" borderId="398" xfId="72" applyFont="1" applyBorder="1" applyAlignment="1">
      <alignment horizontal="distributed" vertical="center" wrapText="1"/>
    </xf>
    <xf numFmtId="0" fontId="102" fillId="54" borderId="398" xfId="72" applyFont="1" applyBorder="1" applyAlignment="1">
      <alignment horizontal="distributed" vertical="center"/>
    </xf>
    <xf numFmtId="179" fontId="104" fillId="54" borderId="398" xfId="72" applyNumberFormat="1" applyFont="1" applyBorder="1" applyAlignment="1">
      <alignment vertical="center"/>
    </xf>
    <xf numFmtId="0" fontId="97" fillId="57" borderId="398" xfId="72" applyFill="1"/>
    <xf numFmtId="0" fontId="97" fillId="64" borderId="398" xfId="72" applyFill="1"/>
    <xf numFmtId="0" fontId="97" fillId="54" borderId="422" xfId="72" applyBorder="1" applyAlignment="1">
      <alignment horizontal="center"/>
    </xf>
    <xf numFmtId="0" fontId="97" fillId="54" borderId="422" xfId="72" applyBorder="1"/>
    <xf numFmtId="38" fontId="97" fillId="54" borderId="422" xfId="73" applyFont="1" applyBorder="1"/>
    <xf numFmtId="38" fontId="97" fillId="54" borderId="422" xfId="72" applyNumberFormat="1" applyBorder="1"/>
    <xf numFmtId="38" fontId="97" fillId="64" borderId="398" xfId="73" applyFont="1" applyFill="1"/>
    <xf numFmtId="38" fontId="112" fillId="54" borderId="398" xfId="73" applyFont="1" applyAlignment="1">
      <alignment horizontal="right"/>
    </xf>
    <xf numFmtId="38" fontId="130" fillId="54" borderId="398" xfId="73" applyFont="1"/>
    <xf numFmtId="38" fontId="112" fillId="54" borderId="419" xfId="73" applyFont="1" applyFill="1" applyBorder="1" applyAlignment="1">
      <alignment horizontal="right"/>
    </xf>
    <xf numFmtId="38" fontId="112" fillId="54" borderId="403" xfId="73" applyFont="1" applyFill="1" applyBorder="1" applyAlignment="1">
      <alignment horizontal="right"/>
    </xf>
    <xf numFmtId="38" fontId="112" fillId="54" borderId="458" xfId="73" applyFont="1" applyFill="1" applyBorder="1" applyAlignment="1">
      <alignment horizontal="right"/>
    </xf>
    <xf numFmtId="38" fontId="97" fillId="54" borderId="398" xfId="73" applyFont="1" applyFill="1" applyAlignment="1">
      <alignment horizontal="right"/>
    </xf>
    <xf numFmtId="38" fontId="112" fillId="54" borderId="405" xfId="73" applyFont="1" applyFill="1" applyBorder="1" applyAlignment="1">
      <alignment horizontal="right"/>
    </xf>
    <xf numFmtId="38" fontId="112" fillId="54" borderId="416" xfId="73" applyFont="1" applyFill="1" applyBorder="1" applyAlignment="1">
      <alignment horizontal="right"/>
    </xf>
    <xf numFmtId="38" fontId="130" fillId="54" borderId="398" xfId="73" applyFont="1" applyAlignment="1">
      <alignment horizontal="right"/>
    </xf>
    <xf numFmtId="38" fontId="131" fillId="54" borderId="398" xfId="73" applyFont="1" applyFill="1"/>
    <xf numFmtId="38" fontId="132" fillId="54" borderId="398" xfId="73" applyFont="1" applyFill="1" applyAlignment="1">
      <alignment horizontal="right"/>
    </xf>
    <xf numFmtId="0" fontId="112" fillId="57" borderId="453" xfId="72" applyFont="1" applyFill="1" applyBorder="1"/>
    <xf numFmtId="179" fontId="101" fillId="54" borderId="436" xfId="72" applyNumberFormat="1" applyFont="1" applyFill="1" applyBorder="1" applyAlignment="1"/>
    <xf numFmtId="0" fontId="134" fillId="54" borderId="398" xfId="72" applyFont="1"/>
    <xf numFmtId="9" fontId="98" fillId="54" borderId="553" xfId="74" applyFont="1" applyFill="1" applyBorder="1" applyAlignment="1">
      <alignment horizontal="center"/>
    </xf>
    <xf numFmtId="38" fontId="100" fillId="54" borderId="399" xfId="73" applyFont="1" applyFill="1" applyBorder="1" applyAlignment="1">
      <alignment horizontal="center" vertical="center" justifyLastLine="1"/>
    </xf>
    <xf numFmtId="38" fontId="100" fillId="54" borderId="416" xfId="73" applyFont="1" applyFill="1" applyBorder="1" applyAlignment="1">
      <alignment horizontal="center" vertical="center" justifyLastLine="1"/>
    </xf>
    <xf numFmtId="0" fontId="100" fillId="54" borderId="405" xfId="72" applyFont="1" applyFill="1" applyBorder="1" applyAlignment="1">
      <alignment vertical="center"/>
    </xf>
    <xf numFmtId="0" fontId="100" fillId="54" borderId="436" xfId="72" applyFont="1" applyFill="1" applyBorder="1" applyAlignment="1">
      <alignment vertical="center"/>
    </xf>
    <xf numFmtId="38" fontId="100" fillId="54" borderId="496" xfId="73" applyFont="1" applyFill="1" applyBorder="1" applyAlignment="1">
      <alignment vertical="center"/>
    </xf>
    <xf numFmtId="38" fontId="100" fillId="54" borderId="436" xfId="73" applyFont="1" applyFill="1" applyBorder="1" applyAlignment="1">
      <alignment vertical="center"/>
    </xf>
    <xf numFmtId="38" fontId="100" fillId="54" borderId="400" xfId="73" applyFont="1" applyFill="1" applyBorder="1" applyAlignment="1">
      <alignment vertical="center"/>
    </xf>
    <xf numFmtId="38" fontId="100" fillId="54" borderId="462" xfId="73" applyFont="1" applyFill="1" applyBorder="1" applyAlignment="1">
      <alignment vertical="center"/>
    </xf>
    <xf numFmtId="38" fontId="100" fillId="54" borderId="435" xfId="73" applyFont="1" applyFill="1" applyBorder="1" applyAlignment="1">
      <alignment vertical="center"/>
    </xf>
    <xf numFmtId="38" fontId="100" fillId="54" borderId="525" xfId="73" applyFont="1" applyFill="1" applyBorder="1" applyAlignment="1">
      <alignment vertical="center"/>
    </xf>
    <xf numFmtId="38" fontId="105" fillId="54" borderId="436" xfId="73" applyFont="1" applyFill="1" applyBorder="1" applyAlignment="1">
      <alignment vertical="center"/>
    </xf>
    <xf numFmtId="38" fontId="98" fillId="54" borderId="491" xfId="73" applyFont="1" applyBorder="1"/>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22" xfId="72" applyNumberFormat="1" applyFont="1" applyFill="1" applyBorder="1" applyAlignment="1">
      <alignment vertical="center"/>
    </xf>
    <xf numFmtId="179" fontId="102" fillId="57" borderId="422"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179" fontId="102" fillId="57" borderId="401" xfId="72" applyNumberFormat="1" applyFont="1" applyFill="1" applyBorder="1" applyAlignment="1">
      <alignment vertical="center"/>
    </xf>
    <xf numFmtId="38" fontId="98" fillId="57" borderId="490" xfId="73" applyFont="1" applyFill="1" applyBorder="1" applyAlignment="1">
      <alignment horizontal="right"/>
    </xf>
    <xf numFmtId="38" fontId="98" fillId="54" borderId="489" xfId="73" applyFont="1" applyBorder="1" applyAlignment="1">
      <alignment horizontal="right"/>
    </xf>
    <xf numFmtId="38" fontId="101" fillId="57" borderId="405" xfId="73" applyFont="1" applyFill="1" applyBorder="1" applyAlignment="1">
      <alignment vertical="center"/>
    </xf>
    <xf numFmtId="38" fontId="101" fillId="57" borderId="436" xfId="73" applyFont="1" applyFill="1" applyBorder="1" applyAlignment="1">
      <alignment vertical="center"/>
    </xf>
    <xf numFmtId="38" fontId="101" fillId="57" borderId="405" xfId="73" applyFont="1" applyFill="1" applyBorder="1" applyAlignment="1">
      <alignment vertical="center"/>
    </xf>
    <xf numFmtId="38" fontId="101" fillId="57" borderId="403" xfId="73" applyFont="1" applyFill="1" applyBorder="1" applyAlignment="1">
      <alignment vertical="center"/>
    </xf>
    <xf numFmtId="38" fontId="101" fillId="54" borderId="436" xfId="73" applyFont="1" applyFill="1" applyBorder="1" applyAlignment="1">
      <alignment vertical="top"/>
    </xf>
    <xf numFmtId="38" fontId="101" fillId="54" borderId="435" xfId="73" applyFont="1" applyFill="1" applyBorder="1" applyAlignment="1">
      <alignment vertical="top"/>
    </xf>
    <xf numFmtId="38" fontId="101" fillId="57" borderId="405" xfId="73" applyFont="1" applyFill="1" applyBorder="1" applyAlignment="1">
      <alignment vertical="center"/>
    </xf>
    <xf numFmtId="38" fontId="101" fillId="57" borderId="403" xfId="73" applyFont="1" applyFill="1" applyBorder="1" applyAlignment="1">
      <alignment vertical="center"/>
    </xf>
    <xf numFmtId="38" fontId="100" fillId="54" borderId="436" xfId="73" applyFont="1" applyFill="1" applyBorder="1" applyAlignment="1">
      <alignment vertical="top"/>
    </xf>
    <xf numFmtId="38" fontId="100" fillId="54" borderId="436" xfId="73" applyFont="1" applyFill="1" applyBorder="1" applyAlignment="1"/>
    <xf numFmtId="38" fontId="100" fillId="57" borderId="405" xfId="73" applyFont="1" applyFill="1" applyBorder="1" applyAlignment="1">
      <alignment vertical="center"/>
    </xf>
    <xf numFmtId="38" fontId="100" fillId="57" borderId="403" xfId="73" applyFont="1" applyFill="1" applyBorder="1" applyAlignment="1">
      <alignment vertical="center"/>
    </xf>
    <xf numFmtId="38" fontId="101" fillId="54" borderId="436" xfId="73" applyFont="1" applyFill="1" applyBorder="1" applyAlignment="1">
      <alignment vertical="top"/>
    </xf>
    <xf numFmtId="38" fontId="101" fillId="54" borderId="435" xfId="73" applyFont="1" applyFill="1" applyBorder="1" applyAlignment="1">
      <alignment vertical="top"/>
    </xf>
    <xf numFmtId="38" fontId="97" fillId="57" borderId="398" xfId="73" applyFont="1" applyFill="1"/>
    <xf numFmtId="38" fontId="100" fillId="54" borderId="436" xfId="73" applyFont="1" applyFill="1" applyBorder="1" applyAlignment="1"/>
    <xf numFmtId="38" fontId="101" fillId="57" borderId="403" xfId="73" applyFont="1" applyFill="1" applyBorder="1" applyAlignment="1"/>
    <xf numFmtId="38" fontId="101" fillId="57" borderId="405" xfId="73" applyFont="1" applyFill="1" applyBorder="1" applyAlignment="1">
      <alignment vertical="top"/>
    </xf>
    <xf numFmtId="38" fontId="100" fillId="57" borderId="403" xfId="73" applyFont="1" applyFill="1" applyBorder="1" applyAlignment="1"/>
    <xf numFmtId="38" fontId="100" fillId="57" borderId="405" xfId="73" applyFont="1" applyFill="1" applyBorder="1" applyAlignment="1">
      <alignment vertical="top"/>
    </xf>
    <xf numFmtId="0" fontId="100" fillId="54" borderId="405" xfId="72" applyFont="1" applyFill="1" applyBorder="1" applyAlignment="1">
      <alignment vertical="center"/>
    </xf>
    <xf numFmtId="0" fontId="100" fillId="54" borderId="436" xfId="72" applyFont="1" applyFill="1" applyBorder="1" applyAlignment="1">
      <alignment vertical="center"/>
    </xf>
    <xf numFmtId="179" fontId="104" fillId="54" borderId="401" xfId="72" applyNumberFormat="1" applyFont="1" applyFill="1" applyBorder="1" applyAlignment="1">
      <alignment vertical="center"/>
    </xf>
    <xf numFmtId="38" fontId="150" fillId="64" borderId="453" xfId="73" applyFont="1" applyFill="1" applyBorder="1"/>
    <xf numFmtId="179" fontId="105" fillId="54" borderId="401" xfId="72" applyNumberFormat="1" applyFont="1" applyBorder="1" applyAlignment="1">
      <alignment vertical="center"/>
    </xf>
    <xf numFmtId="179" fontId="105" fillId="54" borderId="505" xfId="72" applyNumberFormat="1" applyFont="1" applyBorder="1" applyAlignment="1">
      <alignment vertical="center"/>
    </xf>
    <xf numFmtId="38" fontId="105" fillId="54" borderId="436" xfId="73" applyFont="1" applyFill="1" applyBorder="1" applyAlignment="1">
      <alignment vertical="center"/>
    </xf>
    <xf numFmtId="179" fontId="100" fillId="54" borderId="478" xfId="72" applyNumberFormat="1" applyFont="1" applyFill="1" applyBorder="1" applyAlignment="1">
      <alignment vertical="center"/>
    </xf>
    <xf numFmtId="179" fontId="100" fillId="54" borderId="530" xfId="72" applyNumberFormat="1" applyFont="1" applyFill="1" applyBorder="1" applyAlignment="1">
      <alignment vertical="center"/>
    </xf>
    <xf numFmtId="179" fontId="105" fillId="54" borderId="496" xfId="72" applyNumberFormat="1" applyFont="1" applyBorder="1" applyAlignment="1">
      <alignment vertical="center"/>
    </xf>
    <xf numFmtId="179" fontId="100" fillId="54" borderId="531" xfId="72" applyNumberFormat="1" applyFont="1" applyFill="1" applyBorder="1" applyAlignment="1">
      <alignment vertical="center"/>
    </xf>
    <xf numFmtId="179" fontId="105" fillId="54" borderId="436" xfId="72" applyNumberFormat="1" applyFont="1" applyBorder="1" applyAlignment="1">
      <alignment vertical="center"/>
    </xf>
    <xf numFmtId="0" fontId="100" fillId="54" borderId="398" xfId="72" applyFont="1" applyBorder="1" applyAlignment="1">
      <alignment horizontal="distributed" vertical="center"/>
    </xf>
    <xf numFmtId="179" fontId="100" fillId="54" borderId="518" xfId="72" applyNumberFormat="1" applyFont="1" applyFill="1" applyBorder="1" applyAlignment="1">
      <alignment vertical="center"/>
    </xf>
    <xf numFmtId="179" fontId="105" fillId="54" borderId="505" xfId="72" applyNumberFormat="1" applyFont="1" applyBorder="1" applyAlignment="1">
      <alignment vertical="center"/>
    </xf>
    <xf numFmtId="179" fontId="105" fillId="54" borderId="401" xfId="72" applyNumberFormat="1" applyFont="1" applyBorder="1" applyAlignment="1">
      <alignment vertical="center"/>
    </xf>
    <xf numFmtId="38" fontId="105" fillId="54" borderId="436" xfId="73" applyFont="1" applyFill="1" applyBorder="1" applyAlignment="1">
      <alignment vertical="center"/>
    </xf>
    <xf numFmtId="179" fontId="105" fillId="54" borderId="436" xfId="72" applyNumberFormat="1" applyFont="1" applyBorder="1" applyAlignment="1">
      <alignment vertical="center"/>
    </xf>
    <xf numFmtId="0" fontId="100" fillId="54" borderId="398" xfId="72" applyFont="1" applyBorder="1" applyAlignment="1">
      <alignment horizontal="distributed" vertical="center"/>
    </xf>
    <xf numFmtId="0" fontId="100" fillId="54" borderId="483" xfId="72" applyFont="1" applyBorder="1" applyAlignment="1">
      <alignment horizontal="distributed" vertical="center"/>
    </xf>
    <xf numFmtId="0" fontId="100" fillId="54" borderId="485" xfId="72" applyFont="1" applyBorder="1" applyAlignment="1">
      <alignment horizontal="distributed" vertical="center"/>
    </xf>
    <xf numFmtId="0" fontId="102" fillId="54" borderId="563" xfId="72" applyFont="1" applyBorder="1"/>
    <xf numFmtId="38" fontId="124" fillId="54" borderId="398" xfId="72" applyNumberFormat="1" applyFont="1"/>
    <xf numFmtId="179" fontId="101" fillId="57" borderId="436" xfId="72" applyNumberFormat="1" applyFont="1" applyFill="1" applyBorder="1" applyAlignment="1"/>
    <xf numFmtId="179" fontId="100" fillId="54" borderId="551" xfId="72" applyNumberFormat="1" applyFont="1" applyFill="1" applyBorder="1" applyAlignment="1">
      <alignment vertical="center"/>
    </xf>
    <xf numFmtId="179" fontId="101" fillId="57" borderId="405" xfId="72" applyNumberFormat="1" applyFont="1" applyFill="1" applyBorder="1" applyAlignment="1"/>
    <xf numFmtId="179" fontId="101" fillId="54" borderId="401" xfId="72" applyNumberFormat="1" applyFont="1" applyFill="1" applyBorder="1" applyAlignment="1"/>
    <xf numFmtId="179" fontId="101" fillId="54" borderId="435" xfId="72" applyNumberFormat="1" applyFont="1" applyFill="1" applyBorder="1" applyAlignment="1"/>
    <xf numFmtId="0" fontId="100" fillId="54" borderId="564" xfId="72" applyFont="1" applyBorder="1" applyAlignment="1">
      <alignment horizontal="distributed" vertical="center"/>
    </xf>
    <xf numFmtId="179" fontId="101" fillId="54" borderId="400" xfId="72" applyNumberFormat="1" applyFont="1" applyFill="1" applyBorder="1" applyAlignment="1"/>
    <xf numFmtId="38" fontId="134" fillId="54" borderId="398" xfId="72" applyNumberFormat="1" applyFont="1"/>
    <xf numFmtId="0" fontId="102" fillId="54" borderId="526" xfId="72" applyFont="1" applyBorder="1"/>
    <xf numFmtId="179" fontId="101" fillId="60" borderId="436" xfId="72" applyNumberFormat="1" applyFont="1" applyFill="1" applyBorder="1" applyAlignment="1"/>
    <xf numFmtId="179" fontId="101" fillId="60" borderId="405" xfId="72" applyNumberFormat="1" applyFont="1" applyFill="1" applyBorder="1" applyAlignment="1"/>
    <xf numFmtId="0" fontId="97" fillId="54" borderId="398" xfId="72" applyAlignment="1">
      <alignment horizontal="center"/>
    </xf>
    <xf numFmtId="0" fontId="97" fillId="54" borderId="398" xfId="72" applyFont="1" applyFill="1" applyAlignment="1">
      <alignment horizontal="center"/>
    </xf>
    <xf numFmtId="0" fontId="97" fillId="54" borderId="398" xfId="72" applyFont="1" applyAlignment="1">
      <alignment horizontal="center"/>
    </xf>
    <xf numFmtId="0" fontId="97" fillId="54" borderId="398" xfId="72" applyFill="1" applyAlignment="1">
      <alignment horizontal="center"/>
    </xf>
    <xf numFmtId="38" fontId="97" fillId="54" borderId="398" xfId="72" applyNumberFormat="1" applyFont="1" applyFill="1"/>
    <xf numFmtId="38" fontId="97" fillId="54" borderId="398" xfId="72" applyNumberFormat="1" applyFill="1"/>
    <xf numFmtId="38" fontId="97" fillId="54" borderId="398" xfId="72" applyNumberFormat="1"/>
    <xf numFmtId="38" fontId="97" fillId="54" borderId="565" xfId="72" applyNumberFormat="1" applyFont="1" applyFill="1" applyBorder="1"/>
    <xf numFmtId="0" fontId="153" fillId="54" borderId="566" xfId="72" applyFont="1" applyFill="1" applyBorder="1"/>
    <xf numFmtId="9" fontId="97" fillId="84" borderId="398" xfId="72" applyNumberFormat="1" applyFont="1" applyFill="1" applyAlignment="1">
      <alignment horizontal="center"/>
    </xf>
    <xf numFmtId="0" fontId="97" fillId="54" borderId="401" xfId="72" applyBorder="1" applyAlignment="1">
      <alignment vertical="center" wrapText="1"/>
    </xf>
    <xf numFmtId="0" fontId="97" fillId="54" borderId="436" xfId="72" applyBorder="1" applyAlignment="1">
      <alignment vertical="center" wrapText="1"/>
    </xf>
    <xf numFmtId="0" fontId="97" fillId="54" borderId="435" xfId="72" applyBorder="1" applyAlignment="1">
      <alignment vertical="center" wrapText="1"/>
    </xf>
    <xf numFmtId="38" fontId="97" fillId="85" borderId="398" xfId="73" applyFont="1" applyFill="1"/>
    <xf numFmtId="9" fontId="112" fillId="54" borderId="567" xfId="74" applyFont="1" applyFill="1" applyBorder="1" applyAlignment="1">
      <alignment horizontal="center"/>
    </xf>
    <xf numFmtId="9" fontId="97" fillId="54" borderId="567" xfId="74" applyFont="1" applyFill="1" applyBorder="1" applyAlignment="1">
      <alignment horizontal="center"/>
    </xf>
    <xf numFmtId="179" fontId="102" fillId="57" borderId="401" xfId="72" applyNumberFormat="1" applyFont="1" applyFill="1" applyBorder="1" applyAlignment="1">
      <alignment vertical="center"/>
    </xf>
    <xf numFmtId="0" fontId="97" fillId="64" borderId="398" xfId="72" applyFill="1" applyAlignment="1">
      <alignment horizontal="center" vertical="center"/>
    </xf>
    <xf numFmtId="38" fontId="97" fillId="86" borderId="398" xfId="73" applyFont="1" applyFill="1"/>
    <xf numFmtId="0" fontId="100" fillId="54" borderId="405" xfId="72" applyFont="1" applyFill="1" applyBorder="1" applyAlignment="1">
      <alignment vertical="center"/>
    </xf>
    <xf numFmtId="0" fontId="100" fillId="54" borderId="436" xfId="72" applyFont="1" applyFill="1" applyBorder="1" applyAlignment="1">
      <alignment vertical="center"/>
    </xf>
    <xf numFmtId="0" fontId="100" fillId="54" borderId="403" xfId="72" applyFont="1" applyFill="1" applyBorder="1" applyAlignment="1">
      <alignment vertical="center"/>
    </xf>
    <xf numFmtId="0" fontId="100" fillId="54" borderId="398" xfId="72" applyFont="1" applyBorder="1" applyAlignment="1">
      <alignment horizontal="distributed" vertical="center"/>
    </xf>
    <xf numFmtId="0" fontId="100" fillId="54" borderId="419" xfId="72" applyFont="1" applyFill="1" applyBorder="1" applyAlignment="1">
      <alignment vertical="center"/>
    </xf>
    <xf numFmtId="38" fontId="97" fillId="63" borderId="405" xfId="73" applyFont="1" applyFill="1" applyBorder="1" applyAlignment="1">
      <alignment vertical="center"/>
    </xf>
    <xf numFmtId="0" fontId="100" fillId="54" borderId="570" xfId="72" applyFont="1" applyFill="1" applyBorder="1" applyAlignment="1">
      <alignment horizontal="distributed" vertical="center"/>
    </xf>
    <xf numFmtId="0" fontId="100" fillId="54" borderId="479" xfId="72" applyFont="1" applyFill="1" applyBorder="1" applyAlignment="1">
      <alignment horizontal="distributed" vertical="center"/>
    </xf>
    <xf numFmtId="0" fontId="100" fillId="54" borderId="480" xfId="72" applyFont="1" applyFill="1" applyBorder="1" applyAlignment="1">
      <alignment horizontal="distributed" vertical="center"/>
    </xf>
    <xf numFmtId="38" fontId="97" fillId="63" borderId="481" xfId="73" applyFont="1" applyFill="1" applyBorder="1" applyAlignment="1">
      <alignment vertical="center"/>
    </xf>
    <xf numFmtId="38" fontId="97" fillId="63" borderId="403" xfId="73" applyFont="1" applyFill="1" applyBorder="1" applyAlignment="1">
      <alignment vertical="center"/>
    </xf>
    <xf numFmtId="0" fontId="100" fillId="54" borderId="572" xfId="72" applyFont="1" applyFill="1" applyBorder="1" applyAlignment="1">
      <alignment vertical="center"/>
    </xf>
    <xf numFmtId="0" fontId="100" fillId="54" borderId="472" xfId="72" applyFont="1" applyFill="1" applyBorder="1" applyAlignment="1">
      <alignment vertical="center"/>
    </xf>
    <xf numFmtId="0" fontId="100" fillId="54" borderId="472" xfId="72" applyFont="1" applyFill="1" applyBorder="1" applyAlignment="1">
      <alignment vertical="center" wrapText="1"/>
    </xf>
    <xf numFmtId="38" fontId="97" fillId="54" borderId="573" xfId="73" applyFont="1" applyFill="1" applyBorder="1" applyAlignment="1">
      <alignment vertical="center"/>
    </xf>
    <xf numFmtId="179" fontId="102" fillId="57" borderId="401" xfId="72" applyNumberFormat="1" applyFont="1" applyFill="1" applyBorder="1" applyAlignment="1">
      <alignment vertical="center"/>
    </xf>
    <xf numFmtId="38" fontId="97" fillId="88" borderId="398" xfId="73" applyFont="1" applyFill="1"/>
    <xf numFmtId="179" fontId="104" fillId="54" borderId="401" xfId="72" applyNumberFormat="1" applyFont="1" applyBorder="1" applyAlignment="1">
      <alignment vertical="center"/>
    </xf>
    <xf numFmtId="179" fontId="104" fillId="89" borderId="401" xfId="72" applyNumberFormat="1" applyFont="1" applyFill="1" applyBorder="1" applyAlignment="1">
      <alignment vertical="center"/>
    </xf>
    <xf numFmtId="38" fontId="97" fillId="54" borderId="574" xfId="73" applyFont="1" applyBorder="1" applyAlignment="1">
      <alignment horizontal="right"/>
    </xf>
    <xf numFmtId="38" fontId="97" fillId="54" borderId="575" xfId="73" applyFont="1" applyBorder="1"/>
    <xf numFmtId="38" fontId="97" fillId="54" borderId="576" xfId="73" applyFont="1" applyBorder="1"/>
    <xf numFmtId="38" fontId="124" fillId="54" borderId="577" xfId="73" applyFont="1" applyBorder="1"/>
    <xf numFmtId="38" fontId="97" fillId="54" borderId="578" xfId="73" applyFont="1" applyBorder="1"/>
    <xf numFmtId="0" fontId="112" fillId="54" borderId="468" xfId="72" applyFont="1" applyBorder="1" applyAlignment="1">
      <alignment horizontal="distributed" vertical="center" justifyLastLine="1"/>
    </xf>
    <xf numFmtId="0" fontId="112" fillId="90" borderId="473" xfId="72" applyFont="1" applyFill="1" applyBorder="1" applyAlignment="1">
      <alignment horizontal="distributed" vertical="center" justifyLastLine="1"/>
    </xf>
    <xf numFmtId="0" fontId="112" fillId="90" borderId="473" xfId="72" applyFont="1" applyFill="1" applyBorder="1" applyAlignment="1">
      <alignment horizontal="distributed" vertical="center"/>
    </xf>
    <xf numFmtId="0" fontId="112" fillId="90" borderId="398" xfId="72" applyFont="1" applyFill="1"/>
    <xf numFmtId="179" fontId="100" fillId="62" borderId="419" xfId="72" applyNumberFormat="1" applyFont="1" applyFill="1" applyBorder="1" applyAlignment="1">
      <alignment vertical="center"/>
    </xf>
    <xf numFmtId="179" fontId="100" fillId="62" borderId="405" xfId="72" applyNumberFormat="1" applyFont="1" applyFill="1" applyBorder="1" applyAlignment="1">
      <alignment vertical="center"/>
    </xf>
    <xf numFmtId="0" fontId="100" fillId="54" borderId="403" xfId="72" applyFont="1" applyBorder="1" applyAlignment="1">
      <alignment vertical="center" wrapText="1"/>
    </xf>
    <xf numFmtId="0" fontId="100" fillId="54" borderId="448" xfId="72" applyFont="1" applyBorder="1" applyAlignment="1">
      <alignment horizontal="distributed" vertical="distributed"/>
    </xf>
    <xf numFmtId="0" fontId="100" fillId="54" borderId="448" xfId="72" applyFont="1" applyBorder="1" applyAlignment="1">
      <alignment horizontal="distributed" vertical="distributed" wrapText="1"/>
    </xf>
    <xf numFmtId="0" fontId="100" fillId="54" borderId="419" xfId="72" applyFont="1" applyBorder="1" applyAlignment="1">
      <alignment vertical="center" wrapText="1"/>
    </xf>
    <xf numFmtId="0" fontId="100" fillId="54" borderId="468" xfId="72" applyFont="1" applyBorder="1" applyAlignment="1">
      <alignment horizontal="center" vertical="center" textRotation="255" wrapText="1"/>
    </xf>
    <xf numFmtId="0" fontId="100" fillId="54" borderId="472" xfId="72" applyFont="1" applyBorder="1" applyAlignment="1">
      <alignment horizontal="center" vertical="center" textRotation="255" wrapText="1"/>
    </xf>
    <xf numFmtId="0" fontId="100" fillId="54" borderId="473" xfId="72" applyFont="1" applyBorder="1" applyAlignment="1">
      <alignment horizontal="center" vertical="center" textRotation="255" wrapText="1"/>
    </xf>
    <xf numFmtId="0" fontId="101" fillId="54" borderId="444" xfId="72" applyFont="1" applyBorder="1" applyAlignment="1">
      <alignment horizontal="distributed" vertical="center"/>
    </xf>
    <xf numFmtId="0" fontId="101" fillId="54" borderId="497" xfId="72" applyFont="1" applyBorder="1" applyAlignment="1">
      <alignment horizontal="distributed" vertical="center"/>
    </xf>
    <xf numFmtId="0" fontId="101" fillId="54" borderId="419" xfId="72" applyFont="1" applyBorder="1" applyAlignment="1">
      <alignment horizontal="left" vertical="center"/>
    </xf>
    <xf numFmtId="0" fontId="101" fillId="54" borderId="405" xfId="72" applyFont="1" applyBorder="1" applyAlignment="1">
      <alignment horizontal="distributed" vertical="center" wrapText="1"/>
    </xf>
    <xf numFmtId="0" fontId="101" fillId="54" borderId="403" xfId="72" applyFont="1" applyBorder="1" applyAlignment="1">
      <alignment horizontal="distributed" vertical="center" wrapText="1"/>
    </xf>
    <xf numFmtId="185" fontId="152" fillId="54" borderId="405" xfId="72" applyNumberFormat="1" applyFont="1" applyBorder="1" applyAlignment="1">
      <alignment horizontal="right" vertical="center"/>
    </xf>
    <xf numFmtId="185" fontId="152" fillId="54" borderId="403" xfId="72" applyNumberFormat="1" applyFont="1" applyBorder="1" applyAlignment="1">
      <alignment horizontal="right" vertical="center"/>
    </xf>
    <xf numFmtId="179" fontId="152" fillId="54" borderId="419" xfId="72" applyNumberFormat="1" applyFont="1" applyBorder="1" applyAlignment="1">
      <alignment horizontal="right" vertical="center"/>
    </xf>
    <xf numFmtId="179" fontId="152" fillId="54" borderId="463" xfId="72" applyNumberFormat="1" applyFont="1" applyBorder="1" applyAlignment="1">
      <alignment horizontal="right" vertical="center"/>
    </xf>
    <xf numFmtId="0" fontId="101" fillId="54" borderId="407" xfId="72" applyFont="1" applyBorder="1" applyAlignment="1">
      <alignment horizontal="distributed" vertical="center" wrapText="1"/>
    </xf>
    <xf numFmtId="0" fontId="101" fillId="54" borderId="402" xfId="72" applyFont="1" applyBorder="1" applyAlignment="1">
      <alignment horizontal="distributed" vertical="center"/>
    </xf>
    <xf numFmtId="0" fontId="101" fillId="54" borderId="411" xfId="72" applyFont="1" applyBorder="1" applyAlignment="1">
      <alignment horizontal="distributed" vertical="center"/>
    </xf>
    <xf numFmtId="0" fontId="101" fillId="54" borderId="436" xfId="72" applyFont="1" applyBorder="1" applyAlignment="1">
      <alignment horizontal="distributed" vertical="center" wrapText="1"/>
    </xf>
    <xf numFmtId="0" fontId="101" fillId="54" borderId="436" xfId="72" applyFont="1" applyBorder="1" applyAlignment="1">
      <alignment horizontal="distributed" vertical="center"/>
    </xf>
    <xf numFmtId="0" fontId="101" fillId="54" borderId="405" xfId="72" applyFont="1" applyBorder="1" applyAlignment="1">
      <alignment vertical="center"/>
    </xf>
    <xf numFmtId="0" fontId="101" fillId="54" borderId="403" xfId="72" applyFont="1" applyBorder="1" applyAlignment="1">
      <alignment vertical="center"/>
    </xf>
    <xf numFmtId="0" fontId="101" fillId="54" borderId="419" xfId="72" applyFont="1" applyBorder="1" applyAlignment="1">
      <alignment horizontal="distributed" vertical="center" wrapText="1"/>
    </xf>
    <xf numFmtId="0" fontId="101" fillId="54" borderId="405" xfId="72" applyFont="1" applyBorder="1" applyAlignment="1">
      <alignment horizontal="distributed" vertical="center"/>
    </xf>
    <xf numFmtId="0" fontId="100" fillId="54" borderId="468" xfId="72" applyFont="1" applyFill="1" applyBorder="1" applyAlignment="1">
      <alignment horizontal="center" vertical="center" textRotation="255"/>
    </xf>
    <xf numFmtId="0" fontId="100" fillId="54" borderId="472" xfId="72" applyFont="1" applyFill="1" applyBorder="1" applyAlignment="1">
      <alignment horizontal="center" vertical="center" textRotation="255"/>
    </xf>
    <xf numFmtId="0" fontId="100" fillId="54" borderId="473" xfId="72" applyFont="1" applyFill="1" applyBorder="1" applyAlignment="1">
      <alignment horizontal="center" vertical="center" textRotation="255"/>
    </xf>
    <xf numFmtId="179" fontId="126" fillId="54" borderId="405" xfId="72" applyNumberFormat="1" applyFont="1" applyBorder="1" applyAlignment="1">
      <alignment horizontal="right" vertical="center"/>
    </xf>
    <xf numFmtId="179" fontId="126" fillId="54" borderId="436" xfId="72" applyNumberFormat="1" applyFont="1" applyBorder="1" applyAlignment="1">
      <alignment horizontal="right" vertical="center"/>
    </xf>
    <xf numFmtId="179" fontId="126" fillId="54" borderId="403" xfId="72" applyNumberFormat="1" applyFont="1" applyBorder="1" applyAlignment="1">
      <alignment horizontal="right" vertical="center"/>
    </xf>
    <xf numFmtId="0" fontId="100" fillId="54" borderId="444" xfId="72" applyFont="1" applyBorder="1" applyAlignment="1">
      <alignment horizontal="distributed" vertical="center"/>
    </xf>
    <xf numFmtId="0" fontId="100" fillId="54" borderId="445" xfId="72" applyFont="1" applyBorder="1" applyAlignment="1">
      <alignment horizontal="distributed" vertical="center"/>
    </xf>
    <xf numFmtId="0" fontId="101" fillId="54" borderId="452" xfId="72" applyFont="1" applyBorder="1" applyAlignment="1">
      <alignment horizontal="distributed" vertical="center"/>
    </xf>
    <xf numFmtId="0" fontId="101" fillId="54" borderId="493" xfId="72" applyFont="1" applyBorder="1" applyAlignment="1">
      <alignment horizontal="distributed" vertical="center"/>
    </xf>
    <xf numFmtId="0" fontId="100" fillId="54" borderId="405" xfId="72" applyFont="1" applyFill="1" applyBorder="1" applyAlignment="1">
      <alignment vertical="center"/>
    </xf>
    <xf numFmtId="0" fontId="100" fillId="54" borderId="436" xfId="72" applyFont="1" applyFill="1" applyBorder="1" applyAlignment="1">
      <alignment vertical="center"/>
    </xf>
    <xf numFmtId="0" fontId="100" fillId="54" borderId="403" xfId="72" applyFont="1" applyFill="1" applyBorder="1" applyAlignment="1">
      <alignment vertical="center"/>
    </xf>
    <xf numFmtId="0" fontId="101" fillId="54" borderId="446" xfId="72" applyFont="1" applyBorder="1" applyAlignment="1">
      <alignment horizontal="distributed" vertical="center" wrapText="1"/>
    </xf>
    <xf numFmtId="0" fontId="101" fillId="54" borderId="446" xfId="72" applyFont="1" applyBorder="1" applyAlignment="1">
      <alignment horizontal="distributed" vertical="center"/>
    </xf>
    <xf numFmtId="0" fontId="100" fillId="54" borderId="497" xfId="72" applyFont="1" applyBorder="1" applyAlignment="1">
      <alignment horizontal="distributed" vertical="center"/>
    </xf>
    <xf numFmtId="0" fontId="100" fillId="54" borderId="419" xfId="72" applyFont="1" applyBorder="1" applyAlignment="1">
      <alignment vertical="center"/>
    </xf>
    <xf numFmtId="0" fontId="100" fillId="54" borderId="405" xfId="72" applyFont="1" applyBorder="1" applyAlignment="1">
      <alignment vertical="center"/>
    </xf>
    <xf numFmtId="0" fontId="100" fillId="54" borderId="436" xfId="72" applyFont="1" applyBorder="1" applyAlignment="1">
      <alignment vertical="center"/>
    </xf>
    <xf numFmtId="0" fontId="100" fillId="54" borderId="403" xfId="72" applyFont="1" applyBorder="1" applyAlignment="1">
      <alignment vertical="center"/>
    </xf>
    <xf numFmtId="0" fontId="100" fillId="54" borderId="406" xfId="72" applyFont="1" applyBorder="1" applyAlignment="1">
      <alignment horizontal="distributed" vertical="center"/>
    </xf>
    <xf numFmtId="0" fontId="100" fillId="54" borderId="448" xfId="72" applyFont="1" applyBorder="1" applyAlignment="1">
      <alignment horizontal="distributed" vertical="center"/>
    </xf>
    <xf numFmtId="0" fontId="100" fillId="54" borderId="450" xfId="72" applyFont="1" applyBorder="1" applyAlignment="1">
      <alignment horizontal="distributed" vertical="center"/>
    </xf>
    <xf numFmtId="0" fontId="100" fillId="54" borderId="452" xfId="72" applyFont="1" applyBorder="1" applyAlignment="1">
      <alignment horizontal="distributed" vertical="center"/>
    </xf>
    <xf numFmtId="0" fontId="100" fillId="54" borderId="464" xfId="72" applyFont="1" applyBorder="1" applyAlignment="1">
      <alignment horizontal="distributed" vertical="center"/>
    </xf>
    <xf numFmtId="0" fontId="97" fillId="54" borderId="452" xfId="72" applyBorder="1" applyAlignment="1">
      <alignment horizontal="distributed" vertical="center"/>
    </xf>
    <xf numFmtId="0" fontId="97" fillId="54" borderId="465" xfId="72" applyBorder="1" applyAlignment="1">
      <alignment horizontal="distributed" vertical="center"/>
    </xf>
    <xf numFmtId="0" fontId="97" fillId="54" borderId="493" xfId="72" applyBorder="1" applyAlignment="1">
      <alignment horizontal="distributed" vertical="center"/>
    </xf>
    <xf numFmtId="0" fontId="100" fillId="54" borderId="450" xfId="72" applyFont="1" applyBorder="1" applyAlignment="1">
      <alignment horizontal="center" vertical="center" wrapText="1"/>
    </xf>
    <xf numFmtId="0" fontId="100" fillId="54" borderId="404" xfId="72" applyFont="1" applyBorder="1" applyAlignment="1">
      <alignment horizontal="center" vertical="center" wrapText="1"/>
    </xf>
    <xf numFmtId="0" fontId="100" fillId="54" borderId="472" xfId="72" applyFont="1" applyBorder="1" applyAlignment="1">
      <alignment horizontal="center" vertical="center" wrapText="1"/>
    </xf>
    <xf numFmtId="0" fontId="100" fillId="54" borderId="473" xfId="72" applyFont="1" applyBorder="1" applyAlignment="1">
      <alignment horizontal="center" vertical="center" wrapText="1"/>
    </xf>
    <xf numFmtId="0" fontId="100" fillId="54" borderId="419" xfId="72" applyFont="1" applyBorder="1" applyAlignment="1">
      <alignment vertical="center" shrinkToFit="1"/>
    </xf>
    <xf numFmtId="0" fontId="101" fillId="54" borderId="402" xfId="72" applyFont="1" applyBorder="1" applyAlignment="1">
      <alignment horizontal="center"/>
    </xf>
    <xf numFmtId="179" fontId="105" fillId="54" borderId="403" xfId="72" applyNumberFormat="1" applyFont="1" applyBorder="1" applyAlignment="1">
      <alignment vertical="center"/>
    </xf>
    <xf numFmtId="0" fontId="101" fillId="54" borderId="411" xfId="72" applyFont="1" applyBorder="1" applyAlignment="1">
      <alignment horizontal="distributed" vertical="center" wrapText="1"/>
    </xf>
    <xf numFmtId="179" fontId="100" fillId="54" borderId="405" xfId="72" applyNumberFormat="1" applyFont="1" applyBorder="1" applyAlignment="1">
      <alignment vertical="center"/>
    </xf>
    <xf numFmtId="179" fontId="100" fillId="54" borderId="403" xfId="72" applyNumberFormat="1" applyFont="1" applyBorder="1" applyAlignment="1">
      <alignment vertical="center"/>
    </xf>
    <xf numFmtId="0" fontId="101" fillId="54" borderId="419" xfId="72" applyFont="1" applyBorder="1" applyAlignment="1">
      <alignment horizontal="distributed" vertical="center"/>
    </xf>
    <xf numFmtId="0" fontId="101" fillId="54" borderId="452" xfId="72" applyFont="1" applyBorder="1" applyAlignment="1">
      <alignment horizontal="distributed" vertical="center" wrapText="1"/>
    </xf>
    <xf numFmtId="0" fontId="101" fillId="54" borderId="403" xfId="72" applyFont="1" applyBorder="1" applyAlignment="1">
      <alignment horizontal="distributed" vertical="center"/>
    </xf>
    <xf numFmtId="0" fontId="100" fillId="54" borderId="509" xfId="72" applyFont="1" applyBorder="1" applyAlignment="1">
      <alignment horizontal="distributed" vertical="center" justifyLastLine="1"/>
    </xf>
    <xf numFmtId="0" fontId="100" fillId="54" borderId="510" xfId="72" applyFont="1" applyBorder="1" applyAlignment="1">
      <alignment horizontal="distributed" vertical="center" justifyLastLine="1"/>
    </xf>
    <xf numFmtId="0" fontId="100" fillId="54" borderId="511" xfId="72" applyFont="1" applyBorder="1" applyAlignment="1">
      <alignment horizontal="distributed" vertical="center" justifyLastLine="1"/>
    </xf>
    <xf numFmtId="0" fontId="100" fillId="54" borderId="408" xfId="72" applyFont="1" applyBorder="1" applyAlignment="1">
      <alignment horizontal="distributed" vertical="center" justifyLastLine="1"/>
    </xf>
    <xf numFmtId="0" fontId="100" fillId="54" borderId="502" xfId="72" applyFont="1" applyBorder="1" applyAlignment="1">
      <alignment horizontal="distributed" vertical="center" justifyLastLine="1"/>
    </xf>
    <xf numFmtId="0" fontId="100" fillId="54" borderId="461" xfId="72" applyFont="1" applyBorder="1" applyAlignment="1">
      <alignment horizontal="distributed" vertical="center" justifyLastLine="1"/>
    </xf>
    <xf numFmtId="0" fontId="101" fillId="54" borderId="406" xfId="72" applyFont="1" applyBorder="1" applyAlignment="1">
      <alignment horizontal="distributed" vertical="center" wrapText="1"/>
    </xf>
    <xf numFmtId="0" fontId="101" fillId="54" borderId="448" xfId="72" applyFont="1" applyBorder="1" applyAlignment="1">
      <alignment horizontal="distributed" vertical="center"/>
    </xf>
    <xf numFmtId="0" fontId="101" fillId="54" borderId="406" xfId="72" applyFont="1" applyBorder="1" applyAlignment="1">
      <alignment horizontal="distributed" vertical="center"/>
    </xf>
    <xf numFmtId="0" fontId="101" fillId="54" borderId="450" xfId="72" applyFont="1" applyBorder="1" applyAlignment="1">
      <alignment horizontal="distributed" vertical="center"/>
    </xf>
    <xf numFmtId="0" fontId="100" fillId="54" borderId="465" xfId="72" applyFont="1" applyBorder="1" applyAlignment="1">
      <alignment horizontal="distributed" vertical="center"/>
    </xf>
    <xf numFmtId="0" fontId="100" fillId="54" borderId="493" xfId="72" applyFont="1" applyBorder="1" applyAlignment="1">
      <alignment horizontal="distributed" vertical="center"/>
    </xf>
    <xf numFmtId="0" fontId="101" fillId="54" borderId="453" xfId="72" applyFont="1" applyBorder="1" applyAlignment="1">
      <alignment horizontal="distributed" vertical="center" wrapText="1"/>
    </xf>
    <xf numFmtId="0" fontId="101" fillId="54" borderId="453" xfId="72" applyFont="1" applyBorder="1" applyAlignment="1">
      <alignment horizontal="distributed" vertical="center"/>
    </xf>
    <xf numFmtId="0" fontId="100" fillId="54" borderId="501" xfId="72" applyFont="1" applyBorder="1" applyAlignment="1">
      <alignment horizontal="center" vertical="center"/>
    </xf>
    <xf numFmtId="0" fontId="100" fillId="54" borderId="499" xfId="72" applyFont="1" applyBorder="1" applyAlignment="1">
      <alignment horizontal="center" vertical="center"/>
    </xf>
    <xf numFmtId="0" fontId="100" fillId="54" borderId="500" xfId="72" applyFont="1" applyBorder="1" applyAlignment="1">
      <alignment horizontal="center" vertical="center"/>
    </xf>
    <xf numFmtId="0" fontId="100" fillId="54" borderId="512" xfId="72" applyFont="1" applyBorder="1" applyAlignment="1">
      <alignment horizontal="center" vertical="center"/>
    </xf>
    <xf numFmtId="0" fontId="100" fillId="54" borderId="432" xfId="72" applyFont="1" applyBorder="1" applyAlignment="1">
      <alignment horizontal="center" vertical="center"/>
    </xf>
    <xf numFmtId="0" fontId="100" fillId="54" borderId="513" xfId="72" applyFont="1" applyBorder="1" applyAlignment="1">
      <alignment horizontal="center" vertical="center"/>
    </xf>
    <xf numFmtId="0" fontId="97" fillId="54" borderId="514" xfId="72" applyBorder="1" applyAlignment="1">
      <alignment horizontal="center" vertical="center" wrapText="1"/>
    </xf>
    <xf numFmtId="0" fontId="97" fillId="54" borderId="485" xfId="72" applyBorder="1" applyAlignment="1">
      <alignment horizontal="center" vertical="center" wrapText="1"/>
    </xf>
    <xf numFmtId="0" fontId="97" fillId="54" borderId="415" xfId="72" applyBorder="1" applyAlignment="1">
      <alignment horizontal="center" vertical="center" wrapText="1"/>
    </xf>
    <xf numFmtId="0" fontId="97" fillId="54" borderId="512" xfId="72" applyBorder="1" applyAlignment="1">
      <alignment horizontal="center" vertical="center" wrapText="1"/>
    </xf>
    <xf numFmtId="0" fontId="100" fillId="54" borderId="407" xfId="72" applyFont="1" applyBorder="1" applyAlignment="1">
      <alignment horizontal="distributed" vertical="center"/>
    </xf>
    <xf numFmtId="0" fontId="100" fillId="54" borderId="402" xfId="72" applyFont="1" applyBorder="1" applyAlignment="1">
      <alignment horizontal="distributed" vertical="center"/>
    </xf>
    <xf numFmtId="0" fontId="100" fillId="54" borderId="444" xfId="72" applyFont="1" applyFill="1" applyBorder="1" applyAlignment="1">
      <alignment horizontal="distributed" vertical="center"/>
    </xf>
    <xf numFmtId="0" fontId="100" fillId="54" borderId="445" xfId="72" applyFont="1" applyFill="1" applyBorder="1" applyAlignment="1">
      <alignment horizontal="distributed" vertical="center"/>
    </xf>
    <xf numFmtId="0" fontId="100" fillId="54" borderId="497" xfId="72" applyFont="1" applyFill="1" applyBorder="1" applyAlignment="1">
      <alignment horizontal="distributed" vertical="center"/>
    </xf>
    <xf numFmtId="0" fontId="100" fillId="54" borderId="453" xfId="72" applyFont="1" applyBorder="1" applyAlignment="1">
      <alignment horizontal="distributed" vertical="center"/>
    </xf>
    <xf numFmtId="0" fontId="100" fillId="54" borderId="446" xfId="72" applyFont="1" applyBorder="1" applyAlignment="1">
      <alignment horizontal="distributed" vertical="center"/>
    </xf>
    <xf numFmtId="0" fontId="100" fillId="54" borderId="468" xfId="72" applyFont="1" applyBorder="1" applyAlignment="1">
      <alignment horizontal="distributed" vertical="center"/>
    </xf>
    <xf numFmtId="0" fontId="100" fillId="54" borderId="492" xfId="72" applyFont="1" applyBorder="1" applyAlignment="1">
      <alignment horizontal="distributed" vertical="center"/>
    </xf>
    <xf numFmtId="0" fontId="100" fillId="54" borderId="468" xfId="72" applyFont="1" applyBorder="1" applyAlignment="1">
      <alignment horizontal="center" vertical="center" textRotation="255"/>
    </xf>
    <xf numFmtId="0" fontId="100" fillId="54" borderId="472" xfId="72" applyFont="1" applyBorder="1" applyAlignment="1">
      <alignment horizontal="center" vertical="center" textRotation="255"/>
    </xf>
    <xf numFmtId="0" fontId="100" fillId="54" borderId="473" xfId="72" applyFont="1" applyBorder="1" applyAlignment="1">
      <alignment horizontal="center" vertical="center" textRotation="255"/>
    </xf>
    <xf numFmtId="0" fontId="100" fillId="54" borderId="405" xfId="72" applyFont="1" applyBorder="1" applyAlignment="1">
      <alignment horizontal="distributed" vertical="center" wrapText="1" justifyLastLine="1"/>
    </xf>
    <xf numFmtId="0" fontId="100" fillId="54" borderId="436" xfId="72" applyFont="1" applyBorder="1" applyAlignment="1">
      <alignment horizontal="distributed" vertical="center" justifyLastLine="1"/>
    </xf>
    <xf numFmtId="0" fontId="100" fillId="54" borderId="403" xfId="72" applyFont="1" applyBorder="1" applyAlignment="1">
      <alignment horizontal="distributed" vertical="center" justifyLastLine="1"/>
    </xf>
    <xf numFmtId="0" fontId="100" fillId="54" borderId="411" xfId="72" applyFont="1" applyBorder="1" applyAlignment="1">
      <alignment horizontal="distributed" vertical="center"/>
    </xf>
    <xf numFmtId="0" fontId="101" fillId="54" borderId="405" xfId="72" applyFont="1" applyFill="1" applyBorder="1" applyAlignment="1">
      <alignment horizontal="distributed" vertical="center" wrapText="1" justifyLastLine="1"/>
    </xf>
    <xf numFmtId="0" fontId="101" fillId="54" borderId="436" xfId="72" applyFont="1" applyFill="1" applyBorder="1" applyAlignment="1">
      <alignment horizontal="distributed" vertical="center" justifyLastLine="1"/>
    </xf>
    <xf numFmtId="0" fontId="101" fillId="54" borderId="403" xfId="72" applyFont="1" applyFill="1" applyBorder="1" applyAlignment="1">
      <alignment horizontal="distributed" vertical="center" justifyLastLine="1"/>
    </xf>
    <xf numFmtId="0" fontId="101" fillId="54" borderId="405" xfId="72" applyFont="1" applyBorder="1" applyAlignment="1">
      <alignment horizontal="distributed" vertical="center" wrapText="1" justifyLastLine="1"/>
    </xf>
    <xf numFmtId="0" fontId="101" fillId="54" borderId="436" xfId="72" applyFont="1" applyBorder="1" applyAlignment="1">
      <alignment horizontal="distributed" vertical="center" justifyLastLine="1"/>
    </xf>
    <xf numFmtId="0" fontId="101" fillId="54" borderId="403" xfId="72" applyFont="1" applyBorder="1" applyAlignment="1">
      <alignment horizontal="distributed" vertical="center" justifyLastLine="1"/>
    </xf>
    <xf numFmtId="0" fontId="101" fillId="54" borderId="419" xfId="72" applyFont="1" applyBorder="1" applyAlignment="1">
      <alignment vertical="center" wrapText="1"/>
    </xf>
    <xf numFmtId="0" fontId="101" fillId="54" borderId="419" xfId="72" applyFont="1" applyBorder="1" applyAlignment="1">
      <alignment vertical="center"/>
    </xf>
    <xf numFmtId="0" fontId="97" fillId="54" borderId="483" xfId="72" applyBorder="1" applyAlignment="1">
      <alignment horizontal="center" vertical="center" wrapText="1"/>
    </xf>
    <xf numFmtId="0" fontId="97" fillId="54" borderId="408" xfId="72" applyBorder="1" applyAlignment="1">
      <alignment horizontal="center" vertical="center" wrapText="1"/>
    </xf>
    <xf numFmtId="179" fontId="100" fillId="54" borderId="405" xfId="72" applyNumberFormat="1" applyFont="1" applyFill="1" applyBorder="1" applyAlignment="1">
      <alignment vertical="center"/>
    </xf>
    <xf numFmtId="179" fontId="100" fillId="54" borderId="403" xfId="72" applyNumberFormat="1" applyFont="1" applyFill="1" applyBorder="1" applyAlignment="1">
      <alignment vertical="center"/>
    </xf>
    <xf numFmtId="179" fontId="126" fillId="54" borderId="405" xfId="72" applyNumberFormat="1" applyFont="1" applyFill="1" applyBorder="1" applyAlignment="1">
      <alignment horizontal="right" vertical="center"/>
    </xf>
    <xf numFmtId="179" fontId="126" fillId="54" borderId="436" xfId="72" applyNumberFormat="1" applyFont="1" applyFill="1" applyBorder="1" applyAlignment="1">
      <alignment horizontal="right" vertical="center"/>
    </xf>
    <xf numFmtId="179" fontId="126" fillId="54" borderId="403" xfId="72" applyNumberFormat="1" applyFont="1" applyFill="1" applyBorder="1" applyAlignment="1">
      <alignment horizontal="right" vertical="center"/>
    </xf>
    <xf numFmtId="185" fontId="100" fillId="54" borderId="405" xfId="72" applyNumberFormat="1" applyFont="1" applyBorder="1" applyAlignment="1">
      <alignment vertical="center"/>
    </xf>
    <xf numFmtId="185" fontId="100" fillId="54" borderId="403" xfId="72" applyNumberFormat="1" applyFont="1" applyBorder="1" applyAlignment="1">
      <alignment vertical="center"/>
    </xf>
    <xf numFmtId="0" fontId="103" fillId="54" borderId="398" xfId="72" applyFont="1" applyAlignment="1">
      <alignment horizontal="center"/>
    </xf>
    <xf numFmtId="0" fontId="100" fillId="54" borderId="503" xfId="72" applyFont="1" applyBorder="1" applyAlignment="1">
      <alignment horizontal="distributed" vertical="center" wrapText="1" justifyLastLine="1"/>
    </xf>
    <xf numFmtId="0" fontId="100" fillId="54" borderId="504" xfId="72" applyFont="1" applyBorder="1" applyAlignment="1">
      <alignment horizontal="distributed" vertical="center" justifyLastLine="1"/>
    </xf>
    <xf numFmtId="0" fontId="100" fillId="54" borderId="499" xfId="72" applyFont="1" applyBorder="1" applyAlignment="1">
      <alignment horizontal="distributed" vertical="center" justifyLastLine="1"/>
    </xf>
    <xf numFmtId="0" fontId="100" fillId="54" borderId="515" xfId="72" applyFont="1" applyBorder="1" applyAlignment="1">
      <alignment horizontal="distributed" vertical="center" justifyLastLine="1"/>
    </xf>
    <xf numFmtId="0" fontId="100" fillId="54" borderId="399" xfId="72" applyFont="1" applyBorder="1" applyAlignment="1">
      <alignment horizontal="distributed" vertical="center" justifyLastLine="1"/>
    </xf>
    <xf numFmtId="0" fontId="100" fillId="54" borderId="435" xfId="72" applyFont="1" applyBorder="1" applyAlignment="1">
      <alignment horizontal="distributed" vertical="center" justifyLastLine="1"/>
    </xf>
    <xf numFmtId="179" fontId="105" fillId="54" borderId="401" xfId="72" applyNumberFormat="1" applyFont="1" applyBorder="1" applyAlignment="1">
      <alignment vertical="center"/>
    </xf>
    <xf numFmtId="0" fontId="100" fillId="54" borderId="501" xfId="72" applyFont="1" applyBorder="1" applyAlignment="1">
      <alignment horizontal="distributed" vertical="center" justifyLastLine="1"/>
    </xf>
    <xf numFmtId="0" fontId="100" fillId="54" borderId="500" xfId="72" applyFont="1" applyBorder="1" applyAlignment="1">
      <alignment horizontal="distributed" vertical="center" justifyLastLine="1"/>
    </xf>
    <xf numFmtId="0" fontId="100" fillId="54" borderId="440" xfId="72" applyFont="1" applyBorder="1" applyAlignment="1">
      <alignment horizontal="distributed" vertical="center" justifyLastLine="1"/>
    </xf>
    <xf numFmtId="0" fontId="100" fillId="54" borderId="449" xfId="72" applyFont="1" applyBorder="1" applyAlignment="1">
      <alignment horizontal="distributed" vertical="center" justifyLastLine="1"/>
    </xf>
    <xf numFmtId="0" fontId="100" fillId="54" borderId="404" xfId="72" applyFont="1" applyBorder="1" applyAlignment="1">
      <alignment horizontal="distributed" vertical="center"/>
    </xf>
    <xf numFmtId="0" fontId="100" fillId="54" borderId="451" xfId="72" applyFont="1" applyBorder="1" applyAlignment="1">
      <alignment horizontal="distributed" vertical="center"/>
    </xf>
    <xf numFmtId="0" fontId="100" fillId="54" borderId="423" xfId="72" applyFont="1" applyBorder="1" applyAlignment="1">
      <alignment horizontal="distributed" vertical="center"/>
    </xf>
    <xf numFmtId="0" fontId="100" fillId="54" borderId="424" xfId="72" applyFont="1" applyBorder="1" applyAlignment="1">
      <alignment horizontal="distributed" vertical="center"/>
    </xf>
    <xf numFmtId="0" fontId="101" fillId="54" borderId="450" xfId="72" applyFont="1" applyBorder="1" applyAlignment="1">
      <alignment horizontal="distributed" vertical="center" wrapText="1"/>
    </xf>
    <xf numFmtId="0" fontId="101" fillId="54" borderId="492" xfId="72" applyFont="1" applyBorder="1" applyAlignment="1">
      <alignment horizontal="distributed" vertical="center"/>
    </xf>
    <xf numFmtId="0" fontId="101" fillId="54" borderId="444" xfId="72" applyFont="1" applyBorder="1" applyAlignment="1">
      <alignment horizontal="left" vertical="center"/>
    </xf>
    <xf numFmtId="0" fontId="101" fillId="54" borderId="497" xfId="72" applyFont="1" applyBorder="1" applyAlignment="1">
      <alignment horizontal="left" vertical="center"/>
    </xf>
    <xf numFmtId="0" fontId="100" fillId="54" borderId="405" xfId="72" applyFont="1" applyBorder="1" applyAlignment="1">
      <alignment vertical="center" shrinkToFit="1"/>
    </xf>
    <xf numFmtId="0" fontId="100" fillId="54" borderId="403" xfId="72" applyFont="1" applyBorder="1" applyAlignment="1">
      <alignment vertical="center" shrinkToFit="1"/>
    </xf>
    <xf numFmtId="0" fontId="100" fillId="54" borderId="405" xfId="72" applyFont="1" applyBorder="1" applyAlignment="1">
      <alignment horizontal="center" vertical="center"/>
    </xf>
    <xf numFmtId="0" fontId="100" fillId="54" borderId="403" xfId="72" applyFont="1" applyBorder="1" applyAlignment="1">
      <alignment horizontal="center" vertical="center"/>
    </xf>
    <xf numFmtId="0" fontId="100" fillId="54" borderId="499" xfId="72" applyFont="1" applyBorder="1" applyAlignment="1">
      <alignment horizontal="distributed" vertical="center"/>
    </xf>
    <xf numFmtId="0" fontId="100" fillId="54" borderId="500" xfId="72" applyFont="1" applyBorder="1" applyAlignment="1">
      <alignment horizontal="distributed" vertical="center"/>
    </xf>
    <xf numFmtId="0" fontId="100" fillId="54" borderId="405" xfId="72" applyFont="1" applyBorder="1" applyAlignment="1">
      <alignment horizontal="distributed" vertical="center"/>
    </xf>
    <xf numFmtId="0" fontId="100" fillId="54" borderId="400" xfId="72" applyFont="1" applyBorder="1" applyAlignment="1">
      <alignment horizontal="distributed" vertical="center"/>
    </xf>
    <xf numFmtId="0" fontId="100" fillId="54" borderId="501" xfId="72" applyFont="1" applyBorder="1" applyAlignment="1">
      <alignment horizontal="distributed" vertical="center"/>
    </xf>
    <xf numFmtId="0" fontId="100" fillId="54" borderId="408" xfId="72" applyFont="1" applyBorder="1" applyAlignment="1">
      <alignment horizontal="distributed" vertical="center"/>
    </xf>
    <xf numFmtId="0" fontId="100" fillId="54" borderId="502" xfId="72" applyFont="1" applyBorder="1" applyAlignment="1">
      <alignment horizontal="distributed" vertical="center"/>
    </xf>
    <xf numFmtId="0" fontId="100" fillId="54" borderId="461" xfId="72" applyFont="1" applyBorder="1" applyAlignment="1">
      <alignment horizontal="distributed" vertical="center"/>
    </xf>
    <xf numFmtId="0" fontId="100" fillId="54" borderId="407" xfId="72" applyFont="1" applyBorder="1" applyAlignment="1">
      <alignment horizontal="center" vertical="center" shrinkToFit="1"/>
    </xf>
    <xf numFmtId="0" fontId="100" fillId="54" borderId="464" xfId="72" applyFont="1" applyBorder="1" applyAlignment="1">
      <alignment horizontal="center" vertical="center" shrinkToFit="1"/>
    </xf>
    <xf numFmtId="0" fontId="100" fillId="54" borderId="452" xfId="72" applyFont="1" applyBorder="1" applyAlignment="1">
      <alignment horizontal="center" vertical="center" shrinkToFit="1"/>
    </xf>
    <xf numFmtId="0" fontId="100" fillId="54" borderId="413" xfId="72" applyFont="1" applyBorder="1" applyAlignment="1">
      <alignment horizontal="center" vertical="center" shrinkToFit="1"/>
    </xf>
    <xf numFmtId="0" fontId="100" fillId="54" borderId="502" xfId="72" applyFont="1" applyBorder="1" applyAlignment="1">
      <alignment horizontal="center" vertical="center" shrinkToFit="1"/>
    </xf>
    <xf numFmtId="0" fontId="100" fillId="54" borderId="461" xfId="72" applyFont="1" applyBorder="1" applyAlignment="1">
      <alignment horizontal="center" vertical="center" shrinkToFit="1"/>
    </xf>
    <xf numFmtId="179" fontId="126" fillId="54" borderId="494" xfId="72" applyNumberFormat="1" applyFont="1" applyBorder="1" applyAlignment="1">
      <alignment horizontal="right" vertical="center"/>
    </xf>
    <xf numFmtId="179" fontId="126" fillId="54" borderId="495" xfId="72" applyNumberFormat="1" applyFont="1" applyBorder="1" applyAlignment="1">
      <alignment horizontal="right" vertical="center"/>
    </xf>
    <xf numFmtId="0" fontId="100" fillId="54" borderId="450" xfId="72" applyFont="1" applyFill="1" applyBorder="1" applyAlignment="1">
      <alignment horizontal="distributed" vertical="center"/>
    </xf>
    <xf numFmtId="0" fontId="100" fillId="54" borderId="452" xfId="72" applyFont="1" applyFill="1" applyBorder="1" applyAlignment="1">
      <alignment horizontal="distributed" vertical="center"/>
    </xf>
    <xf numFmtId="0" fontId="100" fillId="54" borderId="492" xfId="72" applyFont="1" applyFill="1" applyBorder="1" applyAlignment="1">
      <alignment horizontal="distributed" vertical="center"/>
    </xf>
    <xf numFmtId="0" fontId="100" fillId="54" borderId="493" xfId="72" applyFont="1" applyFill="1" applyBorder="1" applyAlignment="1">
      <alignment horizontal="distributed" vertical="center"/>
    </xf>
    <xf numFmtId="0" fontId="101" fillId="54" borderId="405" xfId="72" applyFont="1" applyFill="1" applyBorder="1" applyAlignment="1">
      <alignment horizontal="distributed" vertical="center" wrapText="1"/>
    </xf>
    <xf numFmtId="0" fontId="101" fillId="54" borderId="403" xfId="72" applyFont="1" applyFill="1" applyBorder="1" applyAlignment="1">
      <alignment horizontal="distributed" vertical="center"/>
    </xf>
    <xf numFmtId="0" fontId="101" fillId="54" borderId="405" xfId="72" applyFont="1" applyFill="1" applyBorder="1" applyAlignment="1">
      <alignment horizontal="distributed" wrapText="1"/>
    </xf>
    <xf numFmtId="0" fontId="101" fillId="54" borderId="403" xfId="72" applyFont="1" applyFill="1" applyBorder="1" applyAlignment="1">
      <alignment horizontal="distributed"/>
    </xf>
    <xf numFmtId="0" fontId="101" fillId="54" borderId="400" xfId="72" applyFont="1" applyBorder="1" applyAlignment="1">
      <alignment horizontal="distributed" vertical="center"/>
    </xf>
    <xf numFmtId="185" fontId="100" fillId="54" borderId="494" xfId="72" applyNumberFormat="1" applyFont="1" applyBorder="1" applyAlignment="1">
      <alignment vertical="center"/>
    </xf>
    <xf numFmtId="185" fontId="100" fillId="54" borderId="495" xfId="72" applyNumberFormat="1" applyFont="1" applyBorder="1" applyAlignment="1">
      <alignment vertical="center"/>
    </xf>
    <xf numFmtId="0" fontId="100" fillId="54" borderId="419" xfId="72" applyFont="1" applyBorder="1" applyAlignment="1">
      <alignment horizontal="left" vertical="center"/>
    </xf>
    <xf numFmtId="0" fontId="100" fillId="54" borderId="405" xfId="72" applyFont="1" applyBorder="1" applyAlignment="1">
      <alignment horizontal="distributed" vertical="center" wrapText="1"/>
    </xf>
    <xf numFmtId="0" fontId="100" fillId="54" borderId="403" xfId="72" applyFont="1" applyBorder="1" applyAlignment="1">
      <alignment horizontal="distributed" vertical="center" wrapText="1"/>
    </xf>
    <xf numFmtId="185" fontId="100" fillId="66" borderId="405" xfId="72" applyNumberFormat="1" applyFont="1" applyFill="1" applyBorder="1" applyAlignment="1">
      <alignment horizontal="right" vertical="center"/>
    </xf>
    <xf numFmtId="185" fontId="100" fillId="66" borderId="403" xfId="72" applyNumberFormat="1" applyFont="1" applyFill="1" applyBorder="1" applyAlignment="1">
      <alignment horizontal="right" vertical="center"/>
    </xf>
    <xf numFmtId="179" fontId="100" fillId="66" borderId="419" xfId="72" applyNumberFormat="1" applyFont="1" applyFill="1" applyBorder="1" applyAlignment="1">
      <alignment horizontal="right" vertical="center"/>
    </xf>
    <xf numFmtId="179" fontId="100" fillId="66" borderId="463" xfId="72" applyNumberFormat="1" applyFont="1" applyFill="1" applyBorder="1" applyAlignment="1">
      <alignment horizontal="right" vertical="center"/>
    </xf>
    <xf numFmtId="179" fontId="100" fillId="54" borderId="399" xfId="72" applyNumberFormat="1" applyFont="1" applyBorder="1" applyAlignment="1">
      <alignment vertical="center"/>
    </xf>
    <xf numFmtId="179" fontId="100" fillId="54" borderId="494" xfId="72" applyNumberFormat="1" applyFont="1" applyBorder="1" applyAlignment="1">
      <alignment vertical="center"/>
    </xf>
    <xf numFmtId="0" fontId="97" fillId="54" borderId="495" xfId="72" applyFont="1" applyBorder="1" applyAlignment="1">
      <alignment vertical="center"/>
    </xf>
    <xf numFmtId="179" fontId="100" fillId="62" borderId="405" xfId="72" applyNumberFormat="1" applyFont="1" applyFill="1" applyBorder="1" applyAlignment="1">
      <alignment horizontal="right" vertical="center"/>
    </xf>
    <xf numFmtId="179" fontId="100" fillId="62" borderId="436" xfId="72" applyNumberFormat="1" applyFont="1" applyFill="1" applyBorder="1" applyAlignment="1">
      <alignment horizontal="right" vertical="center"/>
    </xf>
    <xf numFmtId="179" fontId="100" fillId="62" borderId="403" xfId="72" applyNumberFormat="1" applyFont="1" applyFill="1" applyBorder="1" applyAlignment="1">
      <alignment horizontal="right" vertical="center"/>
    </xf>
    <xf numFmtId="0" fontId="100" fillId="54" borderId="405" xfId="72" applyFont="1" applyFill="1" applyBorder="1" applyAlignment="1">
      <alignment horizontal="distributed" vertical="center" wrapText="1" justifyLastLine="1"/>
    </xf>
    <xf numFmtId="0" fontId="100" fillId="54" borderId="436" xfId="72" applyFont="1" applyFill="1" applyBorder="1" applyAlignment="1">
      <alignment horizontal="distributed" vertical="center" wrapText="1" justifyLastLine="1"/>
    </xf>
    <xf numFmtId="0" fontId="100" fillId="54" borderId="403" xfId="72" applyFont="1" applyFill="1" applyBorder="1" applyAlignment="1">
      <alignment horizontal="distributed" vertical="center" wrapText="1" justifyLastLine="1"/>
    </xf>
    <xf numFmtId="0" fontId="100" fillId="54" borderId="444" xfId="72" applyFont="1" applyBorder="1" applyAlignment="1">
      <alignment horizontal="left" vertical="center"/>
    </xf>
    <xf numFmtId="0" fontId="100" fillId="54" borderId="497" xfId="72" applyFont="1" applyBorder="1" applyAlignment="1">
      <alignment horizontal="left" vertical="center"/>
    </xf>
    <xf numFmtId="0" fontId="97" fillId="54" borderId="403" xfId="72" applyFont="1" applyBorder="1" applyAlignment="1">
      <alignment vertical="center"/>
    </xf>
    <xf numFmtId="179" fontId="100" fillId="62" borderId="419" xfId="72" applyNumberFormat="1" applyFont="1" applyFill="1" applyBorder="1" applyAlignment="1">
      <alignment vertical="center"/>
    </xf>
    <xf numFmtId="179" fontId="100" fillId="62" borderId="463" xfId="72" applyNumberFormat="1" applyFont="1" applyFill="1" applyBorder="1" applyAlignment="1">
      <alignment vertical="center"/>
    </xf>
    <xf numFmtId="179" fontId="100" fillId="62" borderId="436" xfId="72" applyNumberFormat="1" applyFont="1" applyFill="1" applyBorder="1" applyAlignment="1">
      <alignment vertical="center"/>
    </xf>
    <xf numFmtId="179" fontId="100" fillId="62" borderId="403" xfId="72" applyNumberFormat="1" applyFont="1" applyFill="1" applyBorder="1" applyAlignment="1">
      <alignment vertical="center"/>
    </xf>
    <xf numFmtId="0" fontId="100" fillId="54" borderId="453" xfId="72" applyFont="1" applyBorder="1" applyAlignment="1">
      <alignment horizontal="center" vertical="center" wrapText="1"/>
    </xf>
    <xf numFmtId="0" fontId="100" fillId="54" borderId="468" xfId="72" applyFont="1" applyBorder="1" applyAlignment="1">
      <alignment horizontal="center" vertical="center" wrapText="1"/>
    </xf>
    <xf numFmtId="0" fontId="97" fillId="54" borderId="464" xfId="72" applyFont="1" applyBorder="1" applyAlignment="1">
      <alignment vertical="center"/>
    </xf>
    <xf numFmtId="0" fontId="97" fillId="54" borderId="452" xfId="72" applyFont="1" applyBorder="1" applyAlignment="1">
      <alignment vertical="center"/>
    </xf>
    <xf numFmtId="0" fontId="97" fillId="54" borderId="465" xfId="72" applyFont="1" applyBorder="1" applyAlignment="1">
      <alignment vertical="center"/>
    </xf>
    <xf numFmtId="0" fontId="97" fillId="54" borderId="493" xfId="72" applyFont="1" applyBorder="1" applyAlignment="1">
      <alignment vertical="center"/>
    </xf>
    <xf numFmtId="0" fontId="103" fillId="54" borderId="398" xfId="72" applyFont="1" applyFill="1" applyAlignment="1">
      <alignment horizontal="center"/>
    </xf>
    <xf numFmtId="0" fontId="100" fillId="54" borderId="405" xfId="72" applyFont="1" applyBorder="1" applyAlignment="1">
      <alignment horizontal="distributed" vertical="distributed" wrapText="1"/>
    </xf>
    <xf numFmtId="0" fontId="100" fillId="54" borderId="436" xfId="72" applyFont="1" applyBorder="1" applyAlignment="1">
      <alignment horizontal="distributed" vertical="distributed" wrapText="1"/>
    </xf>
    <xf numFmtId="179" fontId="100" fillId="54" borderId="495" xfId="72" applyNumberFormat="1" applyFont="1" applyBorder="1" applyAlignment="1">
      <alignment vertical="center"/>
    </xf>
    <xf numFmtId="179" fontId="100" fillId="66" borderId="452" xfId="72" applyNumberFormat="1" applyFont="1" applyFill="1" applyBorder="1" applyAlignment="1">
      <alignment vertical="center"/>
    </xf>
    <xf numFmtId="179" fontId="100" fillId="66" borderId="493" xfId="72" applyNumberFormat="1" applyFont="1" applyFill="1" applyBorder="1" applyAlignment="1">
      <alignment vertical="center"/>
    </xf>
    <xf numFmtId="179" fontId="100" fillId="54" borderId="498" xfId="72" applyNumberFormat="1" applyFont="1" applyBorder="1" applyAlignment="1">
      <alignment vertical="center"/>
    </xf>
    <xf numFmtId="179" fontId="100" fillId="54" borderId="462" xfId="72" applyNumberFormat="1" applyFont="1" applyBorder="1" applyAlignment="1">
      <alignment vertical="center"/>
    </xf>
    <xf numFmtId="179" fontId="100" fillId="66" borderId="405" xfId="72" applyNumberFormat="1" applyFont="1" applyFill="1" applyBorder="1" applyAlignment="1">
      <alignment vertical="center"/>
    </xf>
    <xf numFmtId="179" fontId="100" fillId="66" borderId="403" xfId="72" applyNumberFormat="1" applyFont="1" applyFill="1" applyBorder="1" applyAlignment="1">
      <alignment vertical="center"/>
    </xf>
    <xf numFmtId="0" fontId="97" fillId="54" borderId="464" xfId="72" applyFont="1" applyBorder="1" applyAlignment="1">
      <alignment horizontal="distributed" vertical="center"/>
    </xf>
    <xf numFmtId="0" fontId="97" fillId="54" borderId="452" xfId="72" applyFont="1" applyBorder="1" applyAlignment="1">
      <alignment horizontal="distributed" vertical="center"/>
    </xf>
    <xf numFmtId="0" fontId="97" fillId="54" borderId="465" xfId="72" applyFont="1" applyBorder="1" applyAlignment="1">
      <alignment horizontal="distributed" vertical="center"/>
    </xf>
    <xf numFmtId="0" fontId="97" fillId="54" borderId="493" xfId="72" applyFont="1" applyBorder="1" applyAlignment="1">
      <alignment horizontal="distributed" vertical="center"/>
    </xf>
    <xf numFmtId="179" fontId="100" fillId="57" borderId="405" xfId="72" applyNumberFormat="1" applyFont="1" applyFill="1" applyBorder="1" applyAlignment="1">
      <alignment vertical="center"/>
    </xf>
    <xf numFmtId="179" fontId="100" fillId="57" borderId="403" xfId="72" applyNumberFormat="1" applyFont="1" applyFill="1" applyBorder="1" applyAlignment="1">
      <alignment vertical="center"/>
    </xf>
    <xf numFmtId="179" fontId="100" fillId="62" borderId="494" xfId="72" applyNumberFormat="1" applyFont="1" applyFill="1" applyBorder="1" applyAlignment="1">
      <alignment vertical="center"/>
    </xf>
    <xf numFmtId="179" fontId="100" fillId="62" borderId="495" xfId="72" applyNumberFormat="1" applyFont="1" applyFill="1" applyBorder="1" applyAlignment="1">
      <alignment vertical="center"/>
    </xf>
    <xf numFmtId="179" fontId="100" fillId="54" borderId="496" xfId="72" applyNumberFormat="1" applyFont="1" applyBorder="1" applyAlignment="1">
      <alignment vertical="center"/>
    </xf>
    <xf numFmtId="179" fontId="100" fillId="62" borderId="496" xfId="72" applyNumberFormat="1" applyFont="1" applyFill="1" applyBorder="1" applyAlignment="1">
      <alignment vertical="center"/>
    </xf>
    <xf numFmtId="179" fontId="100" fillId="62" borderId="405" xfId="72" applyNumberFormat="1" applyFont="1" applyFill="1" applyBorder="1" applyAlignment="1">
      <alignment vertical="center"/>
    </xf>
    <xf numFmtId="179" fontId="100" fillId="54" borderId="436" xfId="72" applyNumberFormat="1" applyFont="1" applyBorder="1" applyAlignment="1">
      <alignment vertical="center"/>
    </xf>
    <xf numFmtId="179" fontId="100" fillId="54" borderId="400" xfId="72" applyNumberFormat="1" applyFont="1" applyBorder="1" applyAlignment="1">
      <alignment vertical="center"/>
    </xf>
    <xf numFmtId="179" fontId="100" fillId="66" borderId="436" xfId="72" applyNumberFormat="1" applyFont="1" applyFill="1" applyBorder="1" applyAlignment="1">
      <alignment vertical="center"/>
    </xf>
    <xf numFmtId="0" fontId="97" fillId="62" borderId="463" xfId="72" applyFont="1" applyFill="1" applyBorder="1" applyAlignment="1">
      <alignment vertical="center"/>
    </xf>
    <xf numFmtId="179" fontId="100" fillId="54" borderId="459" xfId="72" applyNumberFormat="1" applyFont="1" applyBorder="1" applyAlignment="1">
      <alignment vertical="center"/>
    </xf>
    <xf numFmtId="179" fontId="100" fillId="54" borderId="409" xfId="72" applyNumberFormat="1" applyFont="1" applyBorder="1" applyAlignment="1">
      <alignment vertical="center"/>
    </xf>
    <xf numFmtId="179" fontId="100" fillId="54" borderId="401" xfId="72" applyNumberFormat="1" applyFont="1" applyBorder="1" applyAlignment="1">
      <alignment vertical="center"/>
    </xf>
    <xf numFmtId="179" fontId="100" fillId="54" borderId="505" xfId="72" applyNumberFormat="1" applyFont="1" applyBorder="1" applyAlignment="1">
      <alignment vertical="center"/>
    </xf>
    <xf numFmtId="0" fontId="100" fillId="54" borderId="436" xfId="72" applyFont="1" applyBorder="1" applyAlignment="1">
      <alignment horizontal="distributed" vertical="center" wrapText="1" justifyLastLine="1"/>
    </xf>
    <xf numFmtId="0" fontId="100" fillId="54" borderId="403" xfId="72" applyFont="1" applyBorder="1" applyAlignment="1">
      <alignment horizontal="distributed" vertical="center" wrapText="1" justifyLastLine="1"/>
    </xf>
    <xf numFmtId="0" fontId="112" fillId="54" borderId="403" xfId="72" applyFont="1" applyBorder="1" applyAlignment="1">
      <alignment horizontal="distributed" vertical="center" justifyLastLine="1"/>
    </xf>
    <xf numFmtId="0" fontId="117" fillId="54" borderId="403" xfId="72" applyFont="1" applyBorder="1" applyAlignment="1">
      <alignment horizontal="distributed" vertical="center" justifyLastLine="1"/>
    </xf>
    <xf numFmtId="179" fontId="100" fillId="54" borderId="506" xfId="72" applyNumberFormat="1" applyFont="1" applyBorder="1" applyAlignment="1">
      <alignment vertical="center"/>
    </xf>
    <xf numFmtId="179" fontId="100" fillId="54" borderId="507" xfId="72" applyNumberFormat="1" applyFont="1" applyBorder="1" applyAlignment="1">
      <alignment vertical="center"/>
    </xf>
    <xf numFmtId="179" fontId="100" fillId="54" borderId="508" xfId="72" applyNumberFormat="1" applyFont="1" applyBorder="1" applyAlignment="1">
      <alignment vertical="center"/>
    </xf>
    <xf numFmtId="0" fontId="97" fillId="54" borderId="514" xfId="72" applyFont="1" applyBorder="1" applyAlignment="1">
      <alignment horizontal="center" vertical="center" wrapText="1"/>
    </xf>
    <xf numFmtId="0" fontId="97" fillId="54" borderId="485" xfId="72" applyFont="1" applyBorder="1" applyAlignment="1">
      <alignment horizontal="center" vertical="center" wrapText="1"/>
    </xf>
    <xf numFmtId="0" fontId="97" fillId="54" borderId="517" xfId="72" applyFont="1" applyBorder="1" applyAlignment="1">
      <alignment horizontal="center" vertical="center" wrapText="1"/>
    </xf>
    <xf numFmtId="0" fontId="97" fillId="54" borderId="453" xfId="72" applyFont="1" applyBorder="1" applyAlignment="1">
      <alignment horizontal="center" vertical="center" wrapText="1"/>
    </xf>
    <xf numFmtId="0" fontId="97" fillId="54" borderId="448" xfId="72" applyFont="1" applyBorder="1" applyAlignment="1">
      <alignment horizontal="distributed" vertical="center"/>
    </xf>
    <xf numFmtId="0" fontId="97" fillId="54" borderId="450" xfId="72" applyFont="1" applyBorder="1" applyAlignment="1">
      <alignment horizontal="distributed" vertical="center"/>
    </xf>
    <xf numFmtId="0" fontId="100" fillId="54" borderId="405" xfId="72" applyFont="1" applyBorder="1" applyAlignment="1">
      <alignment vertical="center" wrapText="1"/>
    </xf>
    <xf numFmtId="0" fontId="100" fillId="54" borderId="403" xfId="72" applyFont="1" applyBorder="1" applyAlignment="1">
      <alignment vertical="center" wrapText="1"/>
    </xf>
    <xf numFmtId="0" fontId="97" fillId="54" borderId="516" xfId="72" applyFont="1" applyBorder="1" applyAlignment="1">
      <alignment horizontal="distributed" vertical="center"/>
    </xf>
    <xf numFmtId="0" fontId="97" fillId="54" borderId="406" xfId="72" applyFont="1" applyBorder="1" applyAlignment="1">
      <alignment horizontal="distributed" vertical="center"/>
    </xf>
    <xf numFmtId="0" fontId="97" fillId="54" borderId="492" xfId="72" applyFont="1" applyBorder="1" applyAlignment="1">
      <alignment vertical="center"/>
    </xf>
    <xf numFmtId="0" fontId="97" fillId="54" borderId="492" xfId="72" applyFont="1" applyBorder="1" applyAlignment="1">
      <alignment horizontal="distributed" vertical="center"/>
    </xf>
    <xf numFmtId="0" fontId="97" fillId="54" borderId="483" xfId="72" applyFont="1" applyBorder="1" applyAlignment="1">
      <alignment horizontal="center" vertical="center" wrapText="1"/>
    </xf>
    <xf numFmtId="0" fontId="97" fillId="54" borderId="415" xfId="72" applyFont="1" applyBorder="1" applyAlignment="1">
      <alignment horizontal="center" vertical="center" wrapText="1"/>
    </xf>
    <xf numFmtId="0" fontId="97" fillId="54" borderId="408" xfId="72" applyFont="1" applyBorder="1" applyAlignment="1">
      <alignment horizontal="center" vertical="center" wrapText="1"/>
    </xf>
    <xf numFmtId="179" fontId="100" fillId="66" borderId="400" xfId="72" applyNumberFormat="1" applyFont="1" applyFill="1" applyBorder="1" applyAlignment="1">
      <alignment vertical="center"/>
    </xf>
    <xf numFmtId="179" fontId="100" fillId="61" borderId="405" xfId="72" applyNumberFormat="1" applyFont="1" applyFill="1" applyBorder="1" applyAlignment="1">
      <alignment vertical="center"/>
    </xf>
    <xf numFmtId="179" fontId="100" fillId="61" borderId="400" xfId="72" applyNumberFormat="1" applyFont="1" applyFill="1" applyBorder="1" applyAlignment="1">
      <alignment vertical="center"/>
    </xf>
    <xf numFmtId="0" fontId="100" fillId="54" borderId="412" xfId="72" applyFont="1" applyBorder="1" applyAlignment="1">
      <alignment horizontal="distributed" vertical="center"/>
    </xf>
    <xf numFmtId="0" fontId="97" fillId="62" borderId="419" xfId="72" applyFont="1" applyFill="1" applyBorder="1" applyAlignment="1">
      <alignment vertical="center"/>
    </xf>
    <xf numFmtId="179" fontId="100" fillId="54" borderId="494" xfId="72" applyNumberFormat="1" applyFont="1" applyFill="1" applyBorder="1" applyAlignment="1">
      <alignment vertical="center"/>
    </xf>
    <xf numFmtId="179" fontId="100" fillId="54" borderId="495" xfId="72" applyNumberFormat="1" applyFont="1" applyFill="1" applyBorder="1" applyAlignment="1">
      <alignment vertical="center"/>
    </xf>
    <xf numFmtId="0" fontId="101" fillId="54" borderId="464" xfId="72" applyFont="1" applyBorder="1" applyAlignment="1">
      <alignment horizontal="distributed" vertical="center" wrapText="1"/>
    </xf>
    <xf numFmtId="0" fontId="97" fillId="54" borderId="464" xfId="72" applyFont="1" applyFill="1" applyBorder="1" applyAlignment="1">
      <alignment horizontal="distributed" vertical="center"/>
    </xf>
    <xf numFmtId="0" fontId="97" fillId="54" borderId="452" xfId="72" applyFont="1" applyFill="1" applyBorder="1" applyAlignment="1">
      <alignment horizontal="distributed" vertical="center"/>
    </xf>
    <xf numFmtId="0" fontId="97" fillId="54" borderId="492" xfId="72" applyFont="1" applyFill="1" applyBorder="1" applyAlignment="1">
      <alignment horizontal="distributed" vertical="center"/>
    </xf>
    <xf numFmtId="0" fontId="97" fillId="54" borderId="465" xfId="72" applyFont="1" applyFill="1" applyBorder="1" applyAlignment="1">
      <alignment horizontal="distributed" vertical="center"/>
    </xf>
    <xf numFmtId="0" fontId="97" fillId="54" borderId="493" xfId="72" applyFont="1" applyFill="1" applyBorder="1" applyAlignment="1">
      <alignment horizontal="distributed" vertical="center"/>
    </xf>
    <xf numFmtId="38" fontId="100" fillId="54" borderId="450" xfId="73" applyFont="1" applyBorder="1" applyAlignment="1">
      <alignment horizontal="distributed" vertical="center"/>
    </xf>
    <xf numFmtId="38" fontId="100" fillId="54" borderId="452" xfId="73" applyFont="1" applyBorder="1" applyAlignment="1">
      <alignment horizontal="distributed" vertical="center"/>
    </xf>
    <xf numFmtId="38" fontId="100" fillId="54" borderId="404" xfId="73" applyFont="1" applyBorder="1" applyAlignment="1">
      <alignment horizontal="distributed" vertical="center"/>
    </xf>
    <xf numFmtId="38" fontId="100" fillId="54" borderId="451" xfId="73" applyFont="1" applyBorder="1" applyAlignment="1">
      <alignment horizontal="distributed" vertical="center"/>
    </xf>
    <xf numFmtId="38" fontId="112" fillId="54" borderId="404" xfId="73" applyFont="1" applyBorder="1" applyAlignment="1">
      <alignment horizontal="distributed" vertical="center"/>
    </xf>
    <xf numFmtId="38" fontId="112" fillId="54" borderId="451" xfId="73" applyFont="1" applyBorder="1" applyAlignment="1">
      <alignment horizontal="distributed" vertical="center"/>
    </xf>
    <xf numFmtId="38" fontId="112" fillId="54" borderId="519" xfId="73" applyFont="1" applyBorder="1" applyAlignment="1">
      <alignment horizontal="distributed" vertical="center"/>
    </xf>
    <xf numFmtId="38" fontId="112" fillId="54" borderId="461" xfId="73" applyFont="1" applyBorder="1" applyAlignment="1">
      <alignment horizontal="distributed" vertical="center"/>
    </xf>
    <xf numFmtId="38" fontId="100" fillId="54" borderId="405" xfId="73" applyFont="1" applyBorder="1" applyAlignment="1">
      <alignment horizontal="distributed" vertical="center"/>
    </xf>
    <xf numFmtId="38" fontId="100" fillId="54" borderId="436" xfId="73" applyFont="1" applyBorder="1" applyAlignment="1">
      <alignment horizontal="distributed" vertical="center"/>
    </xf>
    <xf numFmtId="38" fontId="112" fillId="54" borderId="436" xfId="73" applyFont="1" applyBorder="1" applyAlignment="1">
      <alignment horizontal="distributed" vertical="center"/>
    </xf>
    <xf numFmtId="38" fontId="112" fillId="54" borderId="400" xfId="73" applyFont="1" applyBorder="1" applyAlignment="1">
      <alignment horizontal="distributed" vertical="center"/>
    </xf>
    <xf numFmtId="38" fontId="100" fillId="54" borderId="399" xfId="73" applyFont="1" applyBorder="1" applyAlignment="1">
      <alignment horizontal="distributed" vertical="center" justifyLastLine="1"/>
    </xf>
    <xf numFmtId="38" fontId="100" fillId="54" borderId="435" xfId="73" applyFont="1" applyBorder="1" applyAlignment="1">
      <alignment horizontal="distributed" vertical="center" justifyLastLine="1"/>
    </xf>
    <xf numFmtId="38" fontId="100" fillId="54" borderId="499" xfId="73" applyFont="1" applyBorder="1" applyAlignment="1">
      <alignment horizontal="distributed" vertical="center" justifyLastLine="1"/>
    </xf>
    <xf numFmtId="38" fontId="100" fillId="54" borderId="515" xfId="73" applyFont="1" applyBorder="1" applyAlignment="1">
      <alignment horizontal="distributed" vertical="center" justifyLastLine="1"/>
    </xf>
    <xf numFmtId="38" fontId="100" fillId="54" borderId="406" xfId="73" applyFont="1" applyBorder="1" applyAlignment="1">
      <alignment horizontal="distributed" vertical="center"/>
    </xf>
    <xf numFmtId="38" fontId="100" fillId="54" borderId="448" xfId="73" applyFont="1" applyBorder="1" applyAlignment="1">
      <alignment horizontal="distributed" vertical="center"/>
    </xf>
    <xf numFmtId="38" fontId="100" fillId="54" borderId="419" xfId="73" applyFont="1" applyBorder="1" applyAlignment="1">
      <alignment horizontal="distributed" vertical="center"/>
    </xf>
    <xf numFmtId="38" fontId="100" fillId="54" borderId="407" xfId="73" applyFont="1" applyBorder="1" applyAlignment="1">
      <alignment horizontal="distributed" vertical="center" wrapText="1"/>
    </xf>
    <xf numFmtId="38" fontId="100" fillId="54" borderId="402" xfId="73" applyFont="1" applyBorder="1" applyAlignment="1">
      <alignment horizontal="distributed" vertical="center"/>
    </xf>
    <xf numFmtId="38" fontId="100" fillId="54" borderId="405" xfId="73" applyFont="1" applyBorder="1" applyAlignment="1">
      <alignment horizontal="distributed" vertical="center" wrapText="1"/>
    </xf>
    <xf numFmtId="38" fontId="100" fillId="54" borderId="403" xfId="73" applyFont="1" applyBorder="1" applyAlignment="1">
      <alignment horizontal="distributed" vertical="center"/>
    </xf>
    <xf numFmtId="38" fontId="100" fillId="54" borderId="520" xfId="73" applyFont="1" applyBorder="1" applyAlignment="1">
      <alignment horizontal="distributed" vertical="center"/>
    </xf>
    <xf numFmtId="38" fontId="100" fillId="54" borderId="423" xfId="73" applyFont="1" applyBorder="1" applyAlignment="1">
      <alignment horizontal="distributed" vertical="center"/>
    </xf>
    <xf numFmtId="38" fontId="100" fillId="54" borderId="424" xfId="73" applyFont="1" applyBorder="1" applyAlignment="1">
      <alignment horizontal="distributed" vertical="center"/>
    </xf>
    <xf numFmtId="38" fontId="100" fillId="54" borderId="521" xfId="73" applyFont="1" applyBorder="1" applyAlignment="1">
      <alignment horizontal="distributed" vertical="center"/>
    </xf>
    <xf numFmtId="38" fontId="100" fillId="54" borderId="465" xfId="73" applyFont="1" applyBorder="1" applyAlignment="1">
      <alignment horizontal="distributed" vertical="center"/>
    </xf>
    <xf numFmtId="38" fontId="100" fillId="54" borderId="493" xfId="73" applyFont="1" applyBorder="1" applyAlignment="1">
      <alignment horizontal="distributed" vertical="center"/>
    </xf>
    <xf numFmtId="38" fontId="100" fillId="54" borderId="444" xfId="73" applyFont="1" applyBorder="1" applyAlignment="1">
      <alignment horizontal="distributed" vertical="center"/>
    </xf>
    <xf numFmtId="38" fontId="100" fillId="54" borderId="497" xfId="73" applyFont="1" applyBorder="1" applyAlignment="1">
      <alignment horizontal="distributed" vertical="center"/>
    </xf>
    <xf numFmtId="38" fontId="112" fillId="54" borderId="436" xfId="73" applyFont="1" applyBorder="1"/>
    <xf numFmtId="38" fontId="112" fillId="54" borderId="403" xfId="73" applyFont="1" applyBorder="1"/>
    <xf numFmtId="38" fontId="100" fillId="54" borderId="464" xfId="73" applyFont="1" applyBorder="1" applyAlignment="1">
      <alignment horizontal="distributed" vertical="center" wrapText="1"/>
    </xf>
    <xf numFmtId="38" fontId="100" fillId="54" borderId="398" xfId="73" applyFont="1" applyBorder="1" applyAlignment="1">
      <alignment horizontal="distributed" vertical="center"/>
    </xf>
    <xf numFmtId="38" fontId="100" fillId="54" borderId="405" xfId="73" applyFont="1" applyBorder="1" applyAlignment="1">
      <alignment horizontal="center" vertical="center" justifyLastLine="1"/>
    </xf>
    <xf numFmtId="38" fontId="100" fillId="54" borderId="400" xfId="73" applyFont="1" applyBorder="1" applyAlignment="1">
      <alignment horizontal="center" vertical="center" justifyLastLine="1"/>
    </xf>
    <xf numFmtId="38" fontId="100" fillId="59" borderId="405" xfId="73" applyFont="1" applyFill="1" applyBorder="1" applyAlignment="1">
      <alignment vertical="center"/>
    </xf>
    <xf numFmtId="38" fontId="100" fillId="59" borderId="403" xfId="73" applyFont="1" applyFill="1" applyBorder="1" applyAlignment="1">
      <alignment vertical="center"/>
    </xf>
    <xf numFmtId="38" fontId="100" fillId="54" borderId="445" xfId="73" applyFont="1" applyBorder="1" applyAlignment="1">
      <alignment horizontal="distributed" vertical="center"/>
    </xf>
    <xf numFmtId="38" fontId="100" fillId="54" borderId="436" xfId="73" applyFont="1" applyBorder="1" applyAlignment="1">
      <alignment horizontal="distributed" vertical="center" wrapText="1"/>
    </xf>
    <xf numFmtId="38" fontId="112" fillId="54" borderId="445" xfId="73" applyFont="1" applyBorder="1"/>
    <xf numFmtId="38" fontId="112" fillId="54" borderId="497" xfId="73" applyFont="1" applyBorder="1"/>
    <xf numFmtId="38" fontId="100" fillId="54" borderId="405" xfId="73" applyFont="1" applyFill="1" applyBorder="1" applyAlignment="1">
      <alignment horizontal="right" vertical="center"/>
    </xf>
    <xf numFmtId="38" fontId="100" fillId="54" borderId="403" xfId="73" applyFont="1" applyFill="1" applyBorder="1" applyAlignment="1">
      <alignment horizontal="right" vertical="center"/>
    </xf>
    <xf numFmtId="38" fontId="100" fillId="59" borderId="405" xfId="73" applyFont="1" applyFill="1" applyBorder="1" applyAlignment="1">
      <alignment horizontal="right" vertical="center"/>
    </xf>
    <xf numFmtId="38" fontId="100" fillId="59" borderId="436" xfId="73" applyFont="1" applyFill="1" applyBorder="1" applyAlignment="1">
      <alignment horizontal="right" vertical="center"/>
    </xf>
    <xf numFmtId="38" fontId="100" fillId="54" borderId="403" xfId="73" applyFont="1" applyBorder="1" applyAlignment="1">
      <alignment horizontal="center" vertical="center" justifyLastLine="1"/>
    </xf>
    <xf numFmtId="38" fontId="103" fillId="54" borderId="398" xfId="73" applyFont="1" applyFill="1" applyAlignment="1">
      <alignment horizontal="center"/>
    </xf>
    <xf numFmtId="38" fontId="100" fillId="54" borderId="503" xfId="73" applyFont="1" applyFill="1" applyBorder="1" applyAlignment="1">
      <alignment horizontal="distributed" vertical="center" wrapText="1" justifyLastLine="1"/>
    </xf>
    <xf numFmtId="38" fontId="100" fillId="54" borderId="504" xfId="73" applyFont="1" applyFill="1" applyBorder="1" applyAlignment="1">
      <alignment horizontal="distributed" vertical="center" justifyLastLine="1"/>
    </xf>
    <xf numFmtId="38" fontId="100" fillId="54" borderId="501" xfId="73" applyFont="1" applyBorder="1" applyAlignment="1">
      <alignment horizontal="distributed" vertical="center" justifyLastLine="1"/>
    </xf>
    <xf numFmtId="38" fontId="100" fillId="54" borderId="500" xfId="73" applyFont="1" applyBorder="1" applyAlignment="1">
      <alignment horizontal="distributed" vertical="center" justifyLastLine="1"/>
    </xf>
    <xf numFmtId="38" fontId="100" fillId="54" borderId="440" xfId="73" applyFont="1" applyBorder="1" applyAlignment="1">
      <alignment horizontal="distributed" vertical="center" justifyLastLine="1"/>
    </xf>
    <xf numFmtId="38" fontId="100" fillId="54" borderId="449" xfId="73" applyFont="1" applyBorder="1" applyAlignment="1">
      <alignment horizontal="distributed" vertical="center" justifyLastLine="1"/>
    </xf>
    <xf numFmtId="38" fontId="100" fillId="54" borderId="399" xfId="73" applyFont="1" applyFill="1" applyBorder="1" applyAlignment="1">
      <alignment horizontal="distributed" vertical="center" justifyLastLine="1"/>
    </xf>
    <xf numFmtId="38" fontId="100" fillId="54" borderId="435" xfId="73" applyFont="1" applyFill="1" applyBorder="1" applyAlignment="1">
      <alignment horizontal="distributed" vertical="center" justifyLastLine="1"/>
    </xf>
    <xf numFmtId="38" fontId="100" fillId="54" borderId="492" xfId="73" applyFont="1" applyBorder="1" applyAlignment="1">
      <alignment horizontal="distributed" vertical="center"/>
    </xf>
    <xf numFmtId="38" fontId="100" fillId="54" borderId="405" xfId="73" applyFont="1" applyFill="1" applyBorder="1" applyAlignment="1">
      <alignment vertical="center"/>
    </xf>
    <xf numFmtId="38" fontId="100" fillId="54" borderId="403" xfId="73" applyFont="1" applyFill="1" applyBorder="1" applyAlignment="1">
      <alignment vertical="center"/>
    </xf>
    <xf numFmtId="38" fontId="100" fillId="54" borderId="478" xfId="73" applyFont="1" applyBorder="1" applyAlignment="1">
      <alignment horizontal="center"/>
    </xf>
    <xf numFmtId="38" fontId="100" fillId="54" borderId="518" xfId="73" applyFont="1" applyBorder="1" applyAlignment="1">
      <alignment horizontal="center"/>
    </xf>
    <xf numFmtId="38" fontId="100" fillId="54" borderId="478" xfId="73" applyFont="1" applyBorder="1" applyAlignment="1">
      <alignment horizontal="center" vertical="center"/>
    </xf>
    <xf numFmtId="38" fontId="100" fillId="54" borderId="518" xfId="73" applyFont="1" applyBorder="1" applyAlignment="1">
      <alignment horizontal="center" vertical="center"/>
    </xf>
    <xf numFmtId="38" fontId="100" fillId="54" borderId="401" xfId="73" applyFont="1" applyFill="1" applyBorder="1" applyAlignment="1">
      <alignment vertical="center"/>
    </xf>
    <xf numFmtId="38" fontId="100" fillId="54" borderId="455" xfId="73" applyFont="1" applyBorder="1" applyAlignment="1">
      <alignment horizontal="center" vertical="center"/>
    </xf>
    <xf numFmtId="38" fontId="100" fillId="54" borderId="455" xfId="73" applyFont="1" applyBorder="1" applyAlignment="1">
      <alignment horizontal="center"/>
    </xf>
    <xf numFmtId="38" fontId="100" fillId="54" borderId="505" xfId="73" applyFont="1" applyFill="1" applyBorder="1" applyAlignment="1">
      <alignment vertical="center"/>
    </xf>
    <xf numFmtId="38" fontId="100" fillId="54" borderId="495" xfId="73" applyFont="1" applyFill="1" applyBorder="1" applyAlignment="1">
      <alignment vertical="center"/>
    </xf>
    <xf numFmtId="38" fontId="100" fillId="54" borderId="494" xfId="73" applyFont="1" applyFill="1" applyBorder="1" applyAlignment="1">
      <alignment vertical="center"/>
    </xf>
    <xf numFmtId="38" fontId="100" fillId="59" borderId="436" xfId="73" applyFont="1" applyFill="1" applyBorder="1" applyAlignment="1">
      <alignment horizontal="center"/>
    </xf>
    <xf numFmtId="38" fontId="100" fillId="54" borderId="496" xfId="73" applyFont="1" applyFill="1" applyBorder="1" applyAlignment="1">
      <alignment vertical="center"/>
    </xf>
    <xf numFmtId="38" fontId="100" fillId="54" borderId="463" xfId="73" applyFont="1" applyFill="1" applyBorder="1" applyAlignment="1">
      <alignment horizontal="right" vertical="center"/>
    </xf>
    <xf numFmtId="38" fontId="100" fillId="54" borderId="436" xfId="73" applyFont="1" applyFill="1" applyBorder="1" applyAlignment="1">
      <alignment horizontal="right" vertical="center"/>
    </xf>
    <xf numFmtId="38" fontId="100" fillId="54" borderId="494" xfId="73" applyFont="1" applyFill="1" applyBorder="1" applyAlignment="1">
      <alignment horizontal="right" vertical="center"/>
    </xf>
    <xf numFmtId="38" fontId="100" fillId="54" borderId="462" xfId="73" applyFont="1" applyFill="1" applyBorder="1" applyAlignment="1">
      <alignment horizontal="right" vertical="center"/>
    </xf>
    <xf numFmtId="38" fontId="100" fillId="54" borderId="496" xfId="73" applyFont="1" applyFill="1" applyBorder="1" applyAlignment="1">
      <alignment horizontal="right" vertical="center"/>
    </xf>
    <xf numFmtId="38" fontId="100" fillId="54" borderId="400" xfId="73" applyFont="1" applyFill="1" applyBorder="1" applyAlignment="1">
      <alignment horizontal="right" vertical="center"/>
    </xf>
    <xf numFmtId="38" fontId="100" fillId="59" borderId="436" xfId="73" applyFont="1" applyFill="1" applyBorder="1" applyAlignment="1">
      <alignment vertical="center"/>
    </xf>
    <xf numFmtId="38" fontId="100" fillId="54" borderId="436" xfId="73" applyFont="1" applyFill="1" applyBorder="1" applyAlignment="1">
      <alignment vertical="center"/>
    </xf>
    <xf numFmtId="38" fontId="100" fillId="59" borderId="405" xfId="73" applyFont="1" applyFill="1" applyBorder="1" applyAlignment="1">
      <alignment vertical="center" shrinkToFit="1"/>
    </xf>
    <xf numFmtId="38" fontId="100" fillId="59" borderId="403" xfId="73" applyFont="1" applyFill="1" applyBorder="1" applyAlignment="1">
      <alignment vertical="center" shrinkToFit="1"/>
    </xf>
    <xf numFmtId="38" fontId="100" fillId="54" borderId="405" xfId="73" applyFont="1" applyFill="1" applyBorder="1" applyAlignment="1">
      <alignment vertical="center" shrinkToFit="1"/>
    </xf>
    <xf numFmtId="38" fontId="100" fillId="54" borderId="403" xfId="73" applyFont="1" applyFill="1" applyBorder="1" applyAlignment="1">
      <alignment vertical="center" shrinkToFit="1"/>
    </xf>
    <xf numFmtId="38" fontId="100" fillId="54" borderId="494" xfId="73" applyFont="1" applyFill="1" applyBorder="1" applyAlignment="1">
      <alignment vertical="center" shrinkToFit="1"/>
    </xf>
    <xf numFmtId="38" fontId="100" fillId="54" borderId="495" xfId="73" applyFont="1" applyFill="1" applyBorder="1" applyAlignment="1">
      <alignment vertical="center" shrinkToFit="1"/>
    </xf>
    <xf numFmtId="38" fontId="100" fillId="54" borderId="498" xfId="73" applyFont="1" applyFill="1" applyBorder="1" applyAlignment="1">
      <alignment horizontal="distributed" vertical="center" wrapText="1" justifyLastLine="1"/>
    </xf>
    <xf numFmtId="38" fontId="100" fillId="54" borderId="525" xfId="73" applyFont="1" applyFill="1" applyBorder="1" applyAlignment="1">
      <alignment horizontal="distributed" vertical="center" justifyLastLine="1"/>
    </xf>
    <xf numFmtId="0" fontId="100" fillId="54" borderId="526" xfId="72" applyFont="1" applyBorder="1" applyAlignment="1">
      <alignment horizontal="center"/>
    </xf>
    <xf numFmtId="0" fontId="100" fillId="54" borderId="524" xfId="72" applyFont="1" applyBorder="1" applyAlignment="1">
      <alignment horizontal="center"/>
    </xf>
    <xf numFmtId="0" fontId="100" fillId="54" borderId="436" xfId="72" applyFont="1" applyBorder="1" applyAlignment="1">
      <alignment horizontal="distributed" vertical="center" wrapText="1"/>
    </xf>
    <xf numFmtId="38" fontId="100" fillId="54" borderId="401" xfId="73" applyFont="1" applyFill="1" applyBorder="1" applyAlignment="1">
      <alignment vertical="center" shrinkToFit="1"/>
    </xf>
    <xf numFmtId="38" fontId="100" fillId="54" borderId="505" xfId="73" applyFont="1" applyFill="1" applyBorder="1" applyAlignment="1">
      <alignment vertical="center" shrinkToFit="1"/>
    </xf>
    <xf numFmtId="0" fontId="100" fillId="54" borderId="522" xfId="72" applyFont="1" applyBorder="1" applyAlignment="1">
      <alignment horizontal="distributed" vertical="center"/>
    </xf>
    <xf numFmtId="0" fontId="100" fillId="54" borderId="521" xfId="72" applyFont="1" applyBorder="1" applyAlignment="1">
      <alignment horizontal="distributed" vertical="center"/>
    </xf>
    <xf numFmtId="0" fontId="100" fillId="54" borderId="455" xfId="72" applyFont="1" applyBorder="1" applyAlignment="1">
      <alignment horizontal="center" vertical="center"/>
    </xf>
    <xf numFmtId="0" fontId="100" fillId="54" borderId="518" xfId="72" applyFont="1" applyBorder="1" applyAlignment="1">
      <alignment horizontal="center" vertical="center"/>
    </xf>
    <xf numFmtId="0" fontId="100" fillId="54" borderId="523" xfId="72" applyFont="1" applyBorder="1" applyAlignment="1">
      <alignment horizontal="center"/>
    </xf>
    <xf numFmtId="38" fontId="100" fillId="59" borderId="400" xfId="73" applyFont="1" applyFill="1" applyBorder="1" applyAlignment="1">
      <alignment vertical="center"/>
    </xf>
    <xf numFmtId="38" fontId="100" fillId="54" borderId="400" xfId="73" applyFont="1" applyFill="1" applyBorder="1" applyAlignment="1">
      <alignment vertical="center"/>
    </xf>
    <xf numFmtId="38" fontId="100" fillId="54" borderId="462" xfId="73" applyFont="1" applyFill="1" applyBorder="1" applyAlignment="1">
      <alignment vertical="center"/>
    </xf>
    <xf numFmtId="0" fontId="100" fillId="54" borderId="519" xfId="72" applyFont="1" applyFill="1" applyBorder="1" applyAlignment="1">
      <alignment horizontal="distributed" vertical="center"/>
    </xf>
    <xf numFmtId="0" fontId="100" fillId="54" borderId="461" xfId="72" applyFont="1" applyFill="1" applyBorder="1" applyAlignment="1">
      <alignment horizontal="distributed" vertical="center"/>
    </xf>
    <xf numFmtId="0" fontId="100" fillId="54" borderId="478" xfId="72" applyFont="1" applyBorder="1" applyAlignment="1">
      <alignment horizontal="center" vertical="center"/>
    </xf>
    <xf numFmtId="0" fontId="100" fillId="54" borderId="436" xfId="72" applyFont="1" applyBorder="1" applyAlignment="1">
      <alignment horizontal="distributed" vertical="center"/>
    </xf>
    <xf numFmtId="0" fontId="100" fillId="54" borderId="411" xfId="72" applyFont="1" applyBorder="1" applyAlignment="1">
      <alignment horizontal="distributed" vertical="center" wrapText="1"/>
    </xf>
    <xf numFmtId="0" fontId="100" fillId="54" borderId="403" xfId="72" applyFont="1" applyBorder="1" applyAlignment="1">
      <alignment horizontal="distributed" vertical="center"/>
    </xf>
    <xf numFmtId="0" fontId="100" fillId="54" borderId="405" xfId="72" applyFont="1" applyFill="1" applyBorder="1" applyAlignment="1">
      <alignment horizontal="distributed" vertical="center" wrapText="1"/>
    </xf>
    <xf numFmtId="0" fontId="100" fillId="54" borderId="400" xfId="72" applyFont="1" applyFill="1" applyBorder="1" applyAlignment="1">
      <alignment horizontal="distributed" vertical="center"/>
    </xf>
    <xf numFmtId="0" fontId="100" fillId="54" borderId="407" xfId="72" applyFont="1" applyFill="1" applyBorder="1" applyAlignment="1">
      <alignment horizontal="distributed" vertical="center" wrapText="1"/>
    </xf>
    <xf numFmtId="0" fontId="100" fillId="54" borderId="413" xfId="72" applyFont="1" applyFill="1" applyBorder="1" applyAlignment="1">
      <alignment horizontal="distributed" vertical="center"/>
    </xf>
    <xf numFmtId="0" fontId="100" fillId="54" borderId="407" xfId="72" applyFont="1" applyBorder="1" applyAlignment="1">
      <alignment horizontal="distributed" vertical="center" wrapText="1"/>
    </xf>
    <xf numFmtId="0" fontId="100" fillId="54" borderId="405" xfId="72" applyFont="1" applyBorder="1" applyAlignment="1">
      <alignment horizontal="center" vertical="center" justifyLastLine="1"/>
    </xf>
    <xf numFmtId="0" fontId="100" fillId="54" borderId="403" xfId="72" applyFont="1" applyBorder="1" applyAlignment="1">
      <alignment horizontal="center" vertical="center" justifyLastLine="1"/>
    </xf>
    <xf numFmtId="38" fontId="100" fillId="54" borderId="495" xfId="73" applyFont="1" applyFill="1" applyBorder="1" applyAlignment="1">
      <alignment horizontal="right" vertical="center"/>
    </xf>
    <xf numFmtId="38" fontId="100" fillId="59" borderId="403" xfId="73" applyFont="1" applyFill="1" applyBorder="1" applyAlignment="1">
      <alignment horizontal="right" vertical="center"/>
    </xf>
    <xf numFmtId="0" fontId="100" fillId="54" borderId="520" xfId="72" applyFont="1" applyBorder="1" applyAlignment="1">
      <alignment horizontal="distributed" vertical="center"/>
    </xf>
    <xf numFmtId="0" fontId="100" fillId="54" borderId="455" xfId="72" applyFont="1" applyBorder="1" applyAlignment="1">
      <alignment horizontal="center"/>
    </xf>
    <xf numFmtId="0" fontId="100" fillId="54" borderId="518" xfId="72" applyFont="1" applyBorder="1" applyAlignment="1">
      <alignment horizontal="center"/>
    </xf>
    <xf numFmtId="0" fontId="100" fillId="54" borderId="519" xfId="72" applyFont="1" applyBorder="1" applyAlignment="1">
      <alignment horizontal="distributed" vertical="center"/>
    </xf>
    <xf numFmtId="0" fontId="100" fillId="54" borderId="413" xfId="72" applyFont="1" applyBorder="1" applyAlignment="1">
      <alignment horizontal="distributed" vertical="center"/>
    </xf>
    <xf numFmtId="38" fontId="100" fillId="54" borderId="454" xfId="73" applyFont="1" applyFill="1" applyBorder="1" applyAlignment="1">
      <alignment vertical="center"/>
    </xf>
    <xf numFmtId="0" fontId="100" fillId="54" borderId="479" xfId="72" applyFont="1" applyBorder="1" applyAlignment="1">
      <alignment horizontal="center" vertical="distributed" textRotation="255" justifyLastLine="1"/>
    </xf>
    <xf numFmtId="0" fontId="112" fillId="54" borderId="479" xfId="72" applyFont="1" applyBorder="1" applyAlignment="1">
      <alignment horizontal="center" vertical="distributed" textRotation="255" justifyLastLine="1"/>
    </xf>
    <xf numFmtId="0" fontId="100" fillId="57" borderId="436" xfId="72" applyFont="1" applyFill="1" applyBorder="1" applyAlignment="1">
      <alignment horizontal="distributed" vertical="center" wrapText="1"/>
    </xf>
    <xf numFmtId="0" fontId="100" fillId="57" borderId="436" xfId="72" applyFont="1" applyFill="1" applyBorder="1" applyAlignment="1">
      <alignment horizontal="distributed" vertical="center"/>
    </xf>
    <xf numFmtId="38" fontId="100" fillId="57" borderId="405" xfId="73" applyFont="1" applyFill="1" applyBorder="1" applyAlignment="1">
      <alignment vertical="center"/>
    </xf>
    <xf numFmtId="38" fontId="100" fillId="57" borderId="403" xfId="73" applyFont="1" applyFill="1" applyBorder="1" applyAlignment="1">
      <alignment vertical="center"/>
    </xf>
    <xf numFmtId="38" fontId="100" fillId="54" borderId="435" xfId="73" applyFont="1" applyFill="1" applyBorder="1" applyAlignment="1">
      <alignment vertical="center"/>
    </xf>
    <xf numFmtId="0" fontId="100" fillId="54" borderId="401" xfId="72" applyFont="1" applyBorder="1" applyAlignment="1">
      <alignment horizontal="distributed" vertical="center"/>
    </xf>
    <xf numFmtId="0" fontId="100" fillId="54" borderId="435" xfId="72" applyFont="1" applyBorder="1" applyAlignment="1">
      <alignment horizontal="distributed" vertical="center"/>
    </xf>
    <xf numFmtId="38" fontId="100" fillId="54" borderId="532" xfId="73" applyFont="1" applyFill="1" applyBorder="1" applyAlignment="1">
      <alignment vertical="center"/>
    </xf>
    <xf numFmtId="38" fontId="100" fillId="54" borderId="533" xfId="73" applyFont="1" applyFill="1" applyBorder="1" applyAlignment="1">
      <alignment vertical="center"/>
    </xf>
    <xf numFmtId="38" fontId="112" fillId="54" borderId="478" xfId="73" applyFont="1" applyFill="1" applyBorder="1" applyAlignment="1">
      <alignment horizontal="right"/>
    </xf>
    <xf numFmtId="38" fontId="112" fillId="54" borderId="551" xfId="73" applyFont="1" applyFill="1" applyBorder="1" applyAlignment="1">
      <alignment horizontal="right"/>
    </xf>
    <xf numFmtId="38" fontId="100" fillId="57" borderId="436" xfId="73" applyFont="1" applyFill="1" applyBorder="1" applyAlignment="1">
      <alignment vertical="center"/>
    </xf>
    <xf numFmtId="0" fontId="100" fillId="57" borderId="450" xfId="72" applyFont="1" applyFill="1" applyBorder="1" applyAlignment="1">
      <alignment horizontal="distributed" vertical="center" wrapText="1"/>
    </xf>
    <xf numFmtId="0" fontId="100" fillId="57" borderId="452" xfId="72" applyFont="1" applyFill="1" applyBorder="1" applyAlignment="1">
      <alignment horizontal="distributed" vertical="center"/>
    </xf>
    <xf numFmtId="0" fontId="100" fillId="57" borderId="492" xfId="72" applyFont="1" applyFill="1" applyBorder="1" applyAlignment="1">
      <alignment horizontal="distributed" vertical="center"/>
    </xf>
    <xf numFmtId="0" fontId="100" fillId="57" borderId="493" xfId="72" applyFont="1" applyFill="1" applyBorder="1" applyAlignment="1">
      <alignment horizontal="distributed" vertical="center"/>
    </xf>
    <xf numFmtId="0" fontId="100" fillId="57" borderId="405" xfId="72" applyFont="1" applyFill="1" applyBorder="1" applyAlignment="1">
      <alignment horizontal="distributed" vertical="center"/>
    </xf>
    <xf numFmtId="0" fontId="100" fillId="57" borderId="403" xfId="72" applyFont="1" applyFill="1" applyBorder="1" applyAlignment="1">
      <alignment horizontal="distributed" vertical="center"/>
    </xf>
    <xf numFmtId="0" fontId="100" fillId="57" borderId="405" xfId="72" applyFont="1" applyFill="1" applyBorder="1" applyAlignment="1">
      <alignment horizontal="distributed" vertical="center" wrapText="1"/>
    </xf>
    <xf numFmtId="0" fontId="100" fillId="57" borderId="403" xfId="72" applyFont="1" applyFill="1" applyBorder="1" applyAlignment="1">
      <alignment horizontal="distributed" vertical="center" wrapText="1"/>
    </xf>
    <xf numFmtId="0" fontId="100" fillId="54" borderId="404" xfId="72" applyFont="1" applyBorder="1" applyAlignment="1">
      <alignment horizontal="center" vertical="center"/>
    </xf>
    <xf numFmtId="0" fontId="100" fillId="54" borderId="451" xfId="72" applyFont="1" applyBorder="1" applyAlignment="1">
      <alignment horizontal="center" vertical="center"/>
    </xf>
    <xf numFmtId="0" fontId="100" fillId="54" borderId="519" xfId="72" applyFont="1" applyBorder="1" applyAlignment="1">
      <alignment horizontal="center" vertical="center"/>
    </xf>
    <xf numFmtId="0" fontId="100" fillId="54" borderId="461" xfId="72" applyFont="1" applyBorder="1" applyAlignment="1">
      <alignment horizontal="center" vertical="center"/>
    </xf>
    <xf numFmtId="0" fontId="100" fillId="54" borderId="520" xfId="72" applyFont="1" applyBorder="1" applyAlignment="1">
      <alignment horizontal="distributed" vertical="center" justifyLastLine="1"/>
    </xf>
    <xf numFmtId="0" fontId="100" fillId="54" borderId="423" xfId="72" applyFont="1" applyBorder="1" applyAlignment="1">
      <alignment horizontal="distributed" vertical="center" justifyLastLine="1"/>
    </xf>
    <xf numFmtId="0" fontId="100" fillId="54" borderId="424" xfId="72" applyFont="1" applyBorder="1" applyAlignment="1">
      <alignment horizontal="distributed" vertical="center" justifyLastLine="1"/>
    </xf>
    <xf numFmtId="38" fontId="100" fillId="54" borderId="525" xfId="73" applyFont="1" applyFill="1" applyBorder="1" applyAlignment="1">
      <alignment vertical="center"/>
    </xf>
    <xf numFmtId="38" fontId="100" fillId="54" borderId="529" xfId="73" applyFont="1" applyFill="1" applyBorder="1" applyAlignment="1">
      <alignment vertical="center"/>
    </xf>
    <xf numFmtId="0" fontId="100" fillId="54" borderId="450" xfId="72" applyFont="1" applyFill="1" applyBorder="1" applyAlignment="1">
      <alignment horizontal="distributed" vertical="center" wrapText="1"/>
    </xf>
    <xf numFmtId="38" fontId="100" fillId="57" borderId="401" xfId="73" applyFont="1" applyFill="1" applyBorder="1" applyAlignment="1">
      <alignment vertical="center"/>
    </xf>
    <xf numFmtId="38" fontId="112" fillId="54" borderId="418" xfId="73" applyFont="1" applyFill="1" applyBorder="1" applyAlignment="1">
      <alignment horizontal="right"/>
    </xf>
    <xf numFmtId="38" fontId="112" fillId="54" borderId="421" xfId="73" applyFont="1" applyFill="1" applyBorder="1" applyAlignment="1">
      <alignment horizontal="right"/>
    </xf>
    <xf numFmtId="0" fontId="100" fillId="57" borderId="404" xfId="72" applyFont="1" applyFill="1" applyBorder="1" applyAlignment="1">
      <alignment horizontal="distributed" vertical="center" wrapText="1"/>
    </xf>
    <xf numFmtId="0" fontId="100" fillId="57" borderId="451" xfId="72" applyFont="1" applyFill="1" applyBorder="1" applyAlignment="1">
      <alignment horizontal="distributed" vertical="center"/>
    </xf>
    <xf numFmtId="0" fontId="100" fillId="57" borderId="404" xfId="72" applyFont="1" applyFill="1" applyBorder="1" applyAlignment="1">
      <alignment horizontal="distributed" vertical="center"/>
    </xf>
    <xf numFmtId="38" fontId="112" fillId="54" borderId="455" xfId="73" applyFont="1" applyFill="1" applyBorder="1" applyAlignment="1">
      <alignment horizontal="right" wrapText="1"/>
    </xf>
    <xf numFmtId="38" fontId="112" fillId="54" borderId="530" xfId="73" applyFont="1" applyFill="1" applyBorder="1" applyAlignment="1">
      <alignment horizontal="right" wrapText="1"/>
    </xf>
    <xf numFmtId="0" fontId="100" fillId="57" borderId="401" xfId="72" applyFont="1" applyFill="1" applyBorder="1" applyAlignment="1">
      <alignment horizontal="distributed" vertical="center"/>
    </xf>
    <xf numFmtId="0" fontId="100" fillId="57" borderId="452" xfId="72" applyFont="1" applyFill="1" applyBorder="1" applyAlignment="1">
      <alignment horizontal="distributed" vertical="center" wrapText="1"/>
    </xf>
    <xf numFmtId="0" fontId="100" fillId="57" borderId="492" xfId="72" applyFont="1" applyFill="1" applyBorder="1" applyAlignment="1">
      <alignment horizontal="distributed" vertical="center" wrapText="1"/>
    </xf>
    <xf numFmtId="0" fontId="100" fillId="57" borderId="493" xfId="72" applyFont="1" applyFill="1" applyBorder="1" applyAlignment="1">
      <alignment horizontal="distributed" vertical="center" wrapText="1"/>
    </xf>
    <xf numFmtId="0" fontId="100" fillId="57" borderId="550" xfId="72" applyFont="1" applyFill="1" applyBorder="1" applyAlignment="1">
      <alignment horizontal="distributed" vertical="center" wrapText="1"/>
    </xf>
    <xf numFmtId="0" fontId="100" fillId="57" borderId="424" xfId="72" applyFont="1" applyFill="1" applyBorder="1" applyAlignment="1">
      <alignment horizontal="distributed" vertical="center"/>
    </xf>
    <xf numFmtId="0" fontId="100" fillId="54" borderId="401" xfId="72" applyFont="1" applyBorder="1" applyAlignment="1">
      <alignment horizontal="distributed" vertical="center" wrapText="1"/>
    </xf>
    <xf numFmtId="0" fontId="100" fillId="57" borderId="401" xfId="72" applyFont="1" applyFill="1" applyBorder="1" applyAlignment="1">
      <alignment horizontal="distributed" vertical="center" wrapText="1"/>
    </xf>
    <xf numFmtId="0" fontId="100" fillId="54" borderId="534" xfId="72" applyFont="1" applyBorder="1" applyAlignment="1">
      <alignment horizontal="center" vertical="center"/>
    </xf>
    <xf numFmtId="0" fontId="100" fillId="54" borderId="449" xfId="72" applyFont="1" applyBorder="1" applyAlignment="1">
      <alignment horizontal="center" vertical="center"/>
    </xf>
    <xf numFmtId="38" fontId="100" fillId="57" borderId="405" xfId="73" applyFont="1" applyFill="1" applyBorder="1" applyAlignment="1">
      <alignment horizontal="distributed" vertical="center"/>
    </xf>
    <xf numFmtId="38" fontId="100" fillId="57" borderId="403" xfId="73" applyFont="1" applyFill="1" applyBorder="1" applyAlignment="1">
      <alignment horizontal="distributed" vertical="center"/>
    </xf>
    <xf numFmtId="0" fontId="100" fillId="54" borderId="527" xfId="72" applyFont="1" applyBorder="1" applyAlignment="1">
      <alignment horizontal="center" vertical="distributed" textRotation="255" justifyLastLine="1"/>
    </xf>
    <xf numFmtId="0" fontId="100" fillId="54" borderId="480" xfId="72" applyFont="1" applyBorder="1" applyAlignment="1">
      <alignment horizontal="center" vertical="distributed" textRotation="255" justifyLastLine="1"/>
    </xf>
    <xf numFmtId="38" fontId="100" fillId="61" borderId="436" xfId="73" applyFont="1" applyFill="1" applyBorder="1" applyAlignment="1">
      <alignment vertical="center"/>
    </xf>
    <xf numFmtId="38" fontId="100" fillId="61" borderId="403" xfId="73" applyFont="1" applyFill="1" applyBorder="1" applyAlignment="1">
      <alignment vertical="center"/>
    </xf>
    <xf numFmtId="38" fontId="100" fillId="61" borderId="405" xfId="73" applyFont="1" applyFill="1" applyBorder="1" applyAlignment="1">
      <alignment vertical="center"/>
    </xf>
    <xf numFmtId="38" fontId="100" fillId="54" borderId="504" xfId="73" applyFont="1" applyFill="1" applyBorder="1" applyAlignment="1">
      <alignment vertical="center"/>
    </xf>
    <xf numFmtId="0" fontId="100" fillId="54" borderId="520" xfId="72" applyFont="1" applyFill="1" applyBorder="1" applyAlignment="1">
      <alignment horizontal="distributed" vertical="center" wrapText="1"/>
    </xf>
    <xf numFmtId="0" fontId="100" fillId="54" borderId="423" xfId="72" applyFont="1" applyFill="1" applyBorder="1" applyAlignment="1">
      <alignment horizontal="distributed" vertical="center" wrapText="1"/>
    </xf>
    <xf numFmtId="0" fontId="100" fillId="54" borderId="424" xfId="72" applyFont="1" applyFill="1" applyBorder="1" applyAlignment="1">
      <alignment horizontal="distributed" vertical="center" wrapText="1"/>
    </xf>
    <xf numFmtId="0" fontId="100" fillId="54" borderId="440" xfId="72" applyFont="1" applyFill="1" applyBorder="1" applyAlignment="1">
      <alignment horizontal="distributed" vertical="center" wrapText="1"/>
    </xf>
    <xf numFmtId="0" fontId="100" fillId="54" borderId="515" xfId="72" applyFont="1" applyFill="1" applyBorder="1" applyAlignment="1">
      <alignment horizontal="distributed" vertical="center" wrapText="1"/>
    </xf>
    <xf numFmtId="0" fontId="100" fillId="54" borderId="449" xfId="72" applyFont="1" applyFill="1" applyBorder="1" applyAlignment="1">
      <alignment horizontal="distributed" vertical="center" wrapText="1"/>
    </xf>
    <xf numFmtId="0" fontId="100" fillId="54" borderId="528" xfId="72" applyFont="1" applyBorder="1" applyAlignment="1">
      <alignment horizontal="center" vertical="distributed" textRotation="255" justifyLastLine="1"/>
    </xf>
    <xf numFmtId="38" fontId="100" fillId="61" borderId="401" xfId="73" applyFont="1" applyFill="1" applyBorder="1" applyAlignment="1">
      <alignment vertical="center"/>
    </xf>
    <xf numFmtId="38" fontId="100" fillId="61" borderId="435" xfId="73" applyFont="1" applyFill="1" applyBorder="1" applyAlignment="1">
      <alignment vertical="center"/>
    </xf>
    <xf numFmtId="38" fontId="112" fillId="54" borderId="552" xfId="73" applyFont="1" applyFill="1" applyBorder="1" applyAlignment="1">
      <alignment horizontal="right"/>
    </xf>
    <xf numFmtId="0" fontId="100" fillId="54" borderId="419" xfId="72" applyFont="1" applyBorder="1" applyAlignment="1">
      <alignment horizontal="distributed" vertical="center"/>
    </xf>
    <xf numFmtId="38" fontId="105" fillId="54" borderId="436" xfId="73" applyFont="1" applyFill="1" applyBorder="1" applyAlignment="1">
      <alignment horizontal="right" vertical="center"/>
    </xf>
    <xf numFmtId="38" fontId="105" fillId="54" borderId="496" xfId="73" applyFont="1" applyFill="1" applyBorder="1" applyAlignment="1">
      <alignment horizontal="right" vertical="center"/>
    </xf>
    <xf numFmtId="0" fontId="100" fillId="54" borderId="481" xfId="72" applyFont="1" applyBorder="1" applyAlignment="1">
      <alignment horizontal="distributed" vertical="center"/>
    </xf>
    <xf numFmtId="0" fontId="100" fillId="54" borderId="481" xfId="72" applyFont="1" applyBorder="1" applyAlignment="1">
      <alignment vertical="center"/>
    </xf>
    <xf numFmtId="179" fontId="105" fillId="54" borderId="529" xfId="72" applyNumberFormat="1" applyFont="1" applyBorder="1" applyAlignment="1">
      <alignment vertical="center"/>
    </xf>
    <xf numFmtId="179" fontId="105" fillId="54" borderId="504" xfId="72" applyNumberFormat="1" applyFont="1" applyBorder="1" applyAlignment="1">
      <alignment vertical="center"/>
    </xf>
    <xf numFmtId="0" fontId="100" fillId="54" borderId="401" xfId="72" applyFont="1" applyBorder="1" applyAlignment="1">
      <alignment horizontal="center" vertical="center" textRotation="255" wrapText="1"/>
    </xf>
    <xf numFmtId="0" fontId="100" fillId="54" borderId="436" xfId="72" applyFont="1" applyBorder="1" applyAlignment="1">
      <alignment horizontal="center" vertical="center" textRotation="255" wrapText="1"/>
    </xf>
    <xf numFmtId="0" fontId="100" fillId="54" borderId="400" xfId="72" applyFont="1" applyBorder="1" applyAlignment="1">
      <alignment horizontal="center" vertical="center" textRotation="255" wrapText="1"/>
    </xf>
    <xf numFmtId="0" fontId="100" fillId="54" borderId="458" xfId="72" applyFont="1" applyBorder="1" applyAlignment="1">
      <alignment vertical="center"/>
    </xf>
    <xf numFmtId="0" fontId="102" fillId="54" borderId="401" xfId="72" applyFont="1" applyBorder="1" applyAlignment="1">
      <alignment horizontal="distributed" vertical="center" wrapText="1" indent="1"/>
    </xf>
    <xf numFmtId="0" fontId="102" fillId="54" borderId="436" xfId="72" applyFont="1" applyBorder="1" applyAlignment="1">
      <alignment horizontal="distributed" vertical="center" wrapText="1" indent="1"/>
    </xf>
    <xf numFmtId="179" fontId="100" fillId="57" borderId="401" xfId="72" applyNumberFormat="1" applyFont="1" applyFill="1" applyBorder="1" applyAlignment="1">
      <alignment horizontal="right" vertical="center"/>
    </xf>
    <xf numFmtId="179" fontId="100" fillId="57" borderId="403" xfId="72" applyNumberFormat="1" applyFont="1" applyFill="1" applyBorder="1" applyAlignment="1">
      <alignment horizontal="right" vertical="center"/>
    </xf>
    <xf numFmtId="0" fontId="102" fillId="54" borderId="400" xfId="72" applyFont="1" applyBorder="1" applyAlignment="1">
      <alignment horizontal="distributed" vertical="center" wrapText="1" indent="1"/>
    </xf>
    <xf numFmtId="0" fontId="100" fillId="83" borderId="410" xfId="72" applyFont="1" applyFill="1" applyBorder="1" applyAlignment="1">
      <alignment horizontal="distributed" vertical="center"/>
    </xf>
    <xf numFmtId="0" fontId="100" fillId="83" borderId="424" xfId="72" applyFont="1" applyFill="1" applyBorder="1" applyAlignment="1">
      <alignment horizontal="distributed" vertical="center"/>
    </xf>
    <xf numFmtId="0" fontId="100" fillId="83" borderId="417" xfId="72" applyFont="1" applyFill="1" applyBorder="1" applyAlignment="1">
      <alignment horizontal="distributed" vertical="center"/>
    </xf>
    <xf numFmtId="0" fontId="100" fillId="83" borderId="449" xfId="72" applyFont="1" applyFill="1" applyBorder="1" applyAlignment="1">
      <alignment horizontal="distributed" vertical="center"/>
    </xf>
    <xf numFmtId="0" fontId="100" fillId="54" borderId="530" xfId="72" applyFont="1" applyBorder="1" applyAlignment="1">
      <alignment horizontal="center" vertical="center"/>
    </xf>
    <xf numFmtId="0" fontId="100" fillId="54" borderId="530" xfId="72" applyFont="1" applyBorder="1" applyAlignment="1">
      <alignment horizontal="center"/>
    </xf>
    <xf numFmtId="179" fontId="105" fillId="54" borderId="435" xfId="72" applyNumberFormat="1" applyFont="1" applyBorder="1" applyAlignment="1">
      <alignment vertical="center"/>
    </xf>
    <xf numFmtId="0" fontId="100" fillId="54" borderId="416" xfId="72" applyFont="1" applyBorder="1" applyAlignment="1">
      <alignment horizontal="distributed" vertical="center"/>
    </xf>
    <xf numFmtId="0" fontId="100" fillId="54" borderId="416" xfId="72" applyFont="1" applyBorder="1" applyAlignment="1">
      <alignment vertical="center"/>
    </xf>
    <xf numFmtId="0" fontId="100" fillId="54" borderId="435" xfId="72" applyFont="1" applyBorder="1" applyAlignment="1">
      <alignment horizontal="center" vertical="center" textRotation="255" wrapText="1"/>
    </xf>
    <xf numFmtId="0" fontId="100" fillId="54" borderId="458" xfId="72" applyFont="1" applyBorder="1" applyAlignment="1">
      <alignment horizontal="distributed" vertical="center" wrapText="1"/>
    </xf>
    <xf numFmtId="0" fontId="102" fillId="54" borderId="435" xfId="72" applyFont="1" applyBorder="1" applyAlignment="1">
      <alignment horizontal="distributed" vertical="center" wrapText="1" indent="1"/>
    </xf>
    <xf numFmtId="179" fontId="105" fillId="54" borderId="454" xfId="72" applyNumberFormat="1" applyFont="1" applyBorder="1" applyAlignment="1">
      <alignment vertical="center"/>
    </xf>
    <xf numFmtId="0" fontId="100" fillId="54" borderId="415" xfId="72" applyFont="1" applyBorder="1" applyAlignment="1">
      <alignment horizontal="distributed" vertical="center"/>
    </xf>
    <xf numFmtId="0" fontId="100" fillId="54" borderId="398" xfId="72" applyFont="1" applyBorder="1" applyAlignment="1">
      <alignment horizontal="distributed" vertical="center"/>
    </xf>
    <xf numFmtId="0" fontId="100" fillId="54" borderId="551" xfId="72" applyFont="1" applyBorder="1" applyAlignment="1">
      <alignment horizontal="center" vertical="center"/>
    </xf>
    <xf numFmtId="0" fontId="100" fillId="54" borderId="551" xfId="72" applyFont="1" applyBorder="1" applyAlignment="1">
      <alignment horizontal="center"/>
    </xf>
    <xf numFmtId="179" fontId="105" fillId="54" borderId="436" xfId="72" applyNumberFormat="1" applyFont="1" applyBorder="1" applyAlignment="1">
      <alignment vertical="center"/>
    </xf>
    <xf numFmtId="0" fontId="100" fillId="54" borderId="419" xfId="72" applyFont="1" applyFill="1" applyBorder="1" applyAlignment="1">
      <alignment vertical="center"/>
    </xf>
    <xf numFmtId="38" fontId="100" fillId="54" borderId="478" xfId="73" applyFont="1" applyFill="1" applyBorder="1" applyAlignment="1">
      <alignment vertical="center"/>
    </xf>
    <xf numFmtId="38" fontId="100" fillId="54" borderId="518" xfId="73" applyFont="1" applyFill="1" applyBorder="1" applyAlignment="1">
      <alignment vertical="center"/>
    </xf>
    <xf numFmtId="38" fontId="100" fillId="57" borderId="419" xfId="73" applyFont="1" applyFill="1" applyBorder="1" applyAlignment="1">
      <alignment vertical="center"/>
    </xf>
    <xf numFmtId="0" fontId="102" fillId="54" borderId="405" xfId="72" applyFont="1" applyFill="1" applyBorder="1" applyAlignment="1">
      <alignment horizontal="distributed" vertical="center" wrapText="1"/>
    </xf>
    <xf numFmtId="0" fontId="102" fillId="54" borderId="436" xfId="72" applyFont="1" applyFill="1" applyBorder="1" applyAlignment="1">
      <alignment horizontal="distributed" vertical="center"/>
    </xf>
    <xf numFmtId="38" fontId="100" fillId="57" borderId="405" xfId="116" applyNumberFormat="1" applyFont="1" applyFill="1" applyBorder="1" applyAlignment="1">
      <alignment vertical="center"/>
    </xf>
    <xf numFmtId="38" fontId="100" fillId="57" borderId="403" xfId="116" applyNumberFormat="1" applyFont="1" applyFill="1" applyBorder="1" applyAlignment="1">
      <alignment vertical="center"/>
    </xf>
    <xf numFmtId="0" fontId="100" fillId="54" borderId="446" xfId="72" applyFont="1" applyFill="1" applyBorder="1" applyAlignment="1">
      <alignment horizontal="distributed" vertical="center"/>
    </xf>
    <xf numFmtId="0" fontId="100" fillId="54" borderId="446" xfId="72" applyFont="1" applyFill="1" applyBorder="1" applyAlignment="1">
      <alignment horizontal="distributed" vertical="center" wrapText="1"/>
    </xf>
    <xf numFmtId="0" fontId="100" fillId="57" borderId="419" xfId="72" applyFont="1" applyFill="1" applyBorder="1" applyAlignment="1">
      <alignment vertical="center"/>
    </xf>
    <xf numFmtId="0" fontId="100" fillId="57" borderId="458" xfId="72" applyFont="1" applyFill="1" applyBorder="1" applyAlignment="1">
      <alignment vertical="center"/>
    </xf>
    <xf numFmtId="0" fontId="100" fillId="54" borderId="455" xfId="72" applyFont="1" applyFill="1" applyBorder="1" applyAlignment="1">
      <alignment horizontal="center"/>
    </xf>
    <xf numFmtId="0" fontId="100" fillId="54" borderId="518" xfId="72" applyFont="1" applyFill="1" applyBorder="1" applyAlignment="1">
      <alignment horizontal="center"/>
    </xf>
    <xf numFmtId="0" fontId="100" fillId="54" borderId="415" xfId="72" applyFont="1" applyFill="1" applyBorder="1" applyAlignment="1">
      <alignment horizontal="distributed" vertical="center"/>
    </xf>
    <xf numFmtId="0" fontId="100" fillId="54" borderId="398" xfId="72" applyFont="1" applyFill="1" applyBorder="1" applyAlignment="1">
      <alignment horizontal="distributed" vertical="center"/>
    </xf>
    <xf numFmtId="0" fontId="100" fillId="54" borderId="451" xfId="72" applyFont="1" applyFill="1" applyBorder="1" applyAlignment="1">
      <alignment horizontal="distributed" vertical="center"/>
    </xf>
    <xf numFmtId="0" fontId="100" fillId="54" borderId="521" xfId="72" applyFont="1" applyFill="1" applyBorder="1" applyAlignment="1">
      <alignment horizontal="distributed" vertical="center"/>
    </xf>
    <xf numFmtId="0" fontId="100" fillId="54" borderId="465" xfId="72" applyFont="1" applyFill="1" applyBorder="1" applyAlignment="1">
      <alignment horizontal="distributed" vertical="center"/>
    </xf>
    <xf numFmtId="0" fontId="100" fillId="54" borderId="537" xfId="72" applyFont="1" applyFill="1" applyBorder="1" applyAlignment="1">
      <alignment horizontal="center" vertical="center" wrapText="1"/>
    </xf>
    <xf numFmtId="0" fontId="100" fillId="54" borderId="538" xfId="72" applyFont="1" applyFill="1" applyBorder="1" applyAlignment="1">
      <alignment horizontal="center" vertical="center" wrapText="1"/>
    </xf>
    <xf numFmtId="0" fontId="100" fillId="54" borderId="539" xfId="72" applyFont="1" applyFill="1" applyBorder="1" applyAlignment="1">
      <alignment horizontal="center" vertical="center" wrapText="1"/>
    </xf>
    <xf numFmtId="0" fontId="100" fillId="54" borderId="536" xfId="72" applyFont="1" applyFill="1" applyBorder="1" applyAlignment="1">
      <alignment horizontal="distributed" vertical="center"/>
    </xf>
    <xf numFmtId="0" fontId="100" fillId="54" borderId="455" xfId="72" applyFont="1" applyFill="1" applyBorder="1" applyAlignment="1">
      <alignment horizontal="center" vertical="center"/>
    </xf>
    <xf numFmtId="0" fontId="100" fillId="54" borderId="518" xfId="72" applyFont="1" applyFill="1" applyBorder="1" applyAlignment="1">
      <alignment horizontal="center" vertical="center"/>
    </xf>
    <xf numFmtId="0" fontId="100" fillId="54" borderId="535" xfId="72" applyFont="1" applyFill="1" applyBorder="1" applyAlignment="1">
      <alignment horizontal="distributed" vertical="center"/>
    </xf>
    <xf numFmtId="0" fontId="100" fillId="54" borderId="501" xfId="72" applyFont="1" applyFill="1" applyBorder="1" applyAlignment="1">
      <alignment horizontal="distributed" vertical="center" justifyLastLine="1"/>
    </xf>
    <xf numFmtId="0" fontId="100" fillId="54" borderId="499" xfId="72" applyFont="1" applyFill="1" applyBorder="1" applyAlignment="1">
      <alignment horizontal="distributed" vertical="center" justifyLastLine="1"/>
    </xf>
    <xf numFmtId="0" fontId="100" fillId="54" borderId="500" xfId="72" applyFont="1" applyFill="1" applyBorder="1" applyAlignment="1">
      <alignment horizontal="distributed" vertical="center" justifyLastLine="1"/>
    </xf>
    <xf numFmtId="0" fontId="100" fillId="54" borderId="440" xfId="72" applyFont="1" applyFill="1" applyBorder="1" applyAlignment="1">
      <alignment horizontal="distributed" vertical="center" justifyLastLine="1"/>
    </xf>
    <xf numFmtId="0" fontId="100" fillId="54" borderId="515" xfId="72" applyFont="1" applyFill="1" applyBorder="1" applyAlignment="1">
      <alignment horizontal="distributed" vertical="center" justifyLastLine="1"/>
    </xf>
    <xf numFmtId="0" fontId="100" fillId="54" borderId="449" xfId="72" applyFont="1" applyFill="1" applyBorder="1" applyAlignment="1">
      <alignment horizontal="distributed" vertical="center" justifyLastLine="1"/>
    </xf>
    <xf numFmtId="0" fontId="100" fillId="54" borderId="399" xfId="72" applyFont="1" applyFill="1" applyBorder="1" applyAlignment="1">
      <alignment horizontal="distributed" vertical="center" justifyLastLine="1"/>
    </xf>
    <xf numFmtId="0" fontId="100" fillId="54" borderId="435" xfId="72" applyFont="1" applyFill="1" applyBorder="1" applyAlignment="1">
      <alignment horizontal="distributed" vertical="center" justifyLastLine="1"/>
    </xf>
    <xf numFmtId="38" fontId="100" fillId="54" borderId="531" xfId="73" applyFont="1" applyFill="1" applyBorder="1" applyAlignment="1">
      <alignment vertical="center"/>
    </xf>
    <xf numFmtId="0" fontId="100" fillId="54" borderId="481" xfId="72" applyFont="1" applyFill="1" applyBorder="1" applyAlignment="1">
      <alignment vertical="center"/>
    </xf>
    <xf numFmtId="0" fontId="102" fillId="54" borderId="401" xfId="72" applyFont="1" applyFill="1" applyBorder="1" applyAlignment="1">
      <alignment horizontal="distributed" vertical="center" wrapText="1"/>
    </xf>
    <xf numFmtId="0" fontId="102" fillId="54" borderId="400" xfId="72" applyFont="1" applyFill="1" applyBorder="1" applyAlignment="1">
      <alignment horizontal="distributed" vertical="center"/>
    </xf>
    <xf numFmtId="38" fontId="100" fillId="57" borderId="401" xfId="73" applyFont="1" applyFill="1" applyBorder="1" applyAlignment="1">
      <alignment horizontal="right" vertical="center"/>
    </xf>
    <xf numFmtId="38" fontId="100" fillId="57" borderId="403" xfId="73" applyFont="1" applyFill="1" applyBorder="1" applyAlignment="1">
      <alignment horizontal="right" vertical="center"/>
    </xf>
    <xf numFmtId="38" fontId="100" fillId="54" borderId="530" xfId="73" applyFont="1" applyFill="1" applyBorder="1" applyAlignment="1">
      <alignment vertical="center"/>
    </xf>
    <xf numFmtId="38" fontId="100" fillId="54" borderId="418" xfId="73" applyFont="1" applyFill="1" applyBorder="1" applyAlignment="1">
      <alignment vertical="center"/>
    </xf>
    <xf numFmtId="0" fontId="100" fillId="54" borderId="416" xfId="72" applyFont="1" applyFill="1" applyBorder="1" applyAlignment="1">
      <alignment vertical="center"/>
    </xf>
    <xf numFmtId="38" fontId="100" fillId="54" borderId="568" xfId="73" applyFont="1" applyFill="1" applyBorder="1" applyAlignment="1">
      <alignment vertical="center"/>
    </xf>
    <xf numFmtId="38" fontId="100" fillId="54" borderId="569" xfId="73" applyFont="1" applyFill="1" applyBorder="1" applyAlignment="1">
      <alignment vertical="center"/>
    </xf>
    <xf numFmtId="38" fontId="128" fillId="57" borderId="401" xfId="73" applyFont="1" applyFill="1" applyBorder="1" applyAlignment="1">
      <alignment vertical="center"/>
    </xf>
    <xf numFmtId="38" fontId="128" fillId="57" borderId="403" xfId="73" applyFont="1" applyFill="1" applyBorder="1" applyAlignment="1">
      <alignment vertical="center"/>
    </xf>
    <xf numFmtId="0" fontId="100" fillId="57" borderId="403" xfId="72" applyFont="1" applyFill="1" applyBorder="1" applyAlignment="1">
      <alignment vertical="center"/>
    </xf>
    <xf numFmtId="38" fontId="105" fillId="54" borderId="529" xfId="73" applyFont="1" applyFill="1" applyBorder="1" applyAlignment="1">
      <alignment vertical="center"/>
    </xf>
    <xf numFmtId="38" fontId="105" fillId="54" borderId="533" xfId="73" applyFont="1" applyFill="1" applyBorder="1" applyAlignment="1">
      <alignment vertical="center"/>
    </xf>
    <xf numFmtId="38" fontId="105" fillId="54" borderId="436" xfId="73" applyFont="1" applyFill="1" applyBorder="1" applyAlignment="1">
      <alignment vertical="center"/>
    </xf>
    <xf numFmtId="38" fontId="105" fillId="54" borderId="403" xfId="73" applyFont="1" applyFill="1" applyBorder="1" applyAlignment="1">
      <alignment vertical="center"/>
    </xf>
    <xf numFmtId="38" fontId="128" fillId="57" borderId="405" xfId="73" applyFont="1" applyFill="1" applyBorder="1" applyAlignment="1">
      <alignment vertical="center"/>
    </xf>
    <xf numFmtId="0" fontId="100" fillId="57" borderId="419" xfId="72" applyFont="1" applyFill="1" applyBorder="1" applyAlignment="1">
      <alignment vertical="center" wrapText="1"/>
    </xf>
    <xf numFmtId="38" fontId="114" fillId="54" borderId="436" xfId="73" applyFont="1" applyBorder="1" applyAlignment="1">
      <alignment vertical="center"/>
    </xf>
    <xf numFmtId="38" fontId="114" fillId="54" borderId="400" xfId="73" applyFont="1" applyBorder="1" applyAlignment="1">
      <alignment vertical="center"/>
    </xf>
    <xf numFmtId="38" fontId="114" fillId="54" borderId="496" xfId="73" applyFont="1" applyBorder="1" applyAlignment="1">
      <alignment vertical="center"/>
    </xf>
    <xf numFmtId="38" fontId="114" fillId="54" borderId="462" xfId="73" applyFont="1" applyBorder="1" applyAlignment="1">
      <alignment vertical="center"/>
    </xf>
    <xf numFmtId="38" fontId="114" fillId="54" borderId="401" xfId="73" applyFont="1" applyBorder="1" applyAlignment="1">
      <alignment vertical="center"/>
    </xf>
    <xf numFmtId="38" fontId="114" fillId="54" borderId="505" xfId="73" applyFont="1" applyBorder="1" applyAlignment="1">
      <alignment vertical="center"/>
    </xf>
    <xf numFmtId="38" fontId="114" fillId="54" borderId="494" xfId="73" applyFont="1" applyBorder="1" applyAlignment="1">
      <alignment vertical="center"/>
    </xf>
    <xf numFmtId="38" fontId="114" fillId="54" borderId="495" xfId="73" applyFont="1" applyBorder="1" applyAlignment="1">
      <alignment vertical="center"/>
    </xf>
    <xf numFmtId="38" fontId="114" fillId="54" borderId="405" xfId="73" applyFont="1" applyBorder="1" applyAlignment="1">
      <alignment vertical="center"/>
    </xf>
    <xf numFmtId="38" fontId="114" fillId="54" borderId="403" xfId="73" applyFont="1" applyBorder="1" applyAlignment="1">
      <alignment vertical="center"/>
    </xf>
    <xf numFmtId="0" fontId="100" fillId="54" borderId="406" xfId="72" applyFont="1" applyBorder="1" applyAlignment="1">
      <alignment horizontal="distributed" vertical="center" wrapText="1"/>
    </xf>
    <xf numFmtId="0" fontId="100" fillId="54" borderId="540" xfId="72" applyFont="1" applyBorder="1" applyAlignment="1">
      <alignment horizontal="distributed" vertical="center"/>
    </xf>
    <xf numFmtId="0" fontId="100" fillId="54" borderId="541" xfId="72" applyFont="1" applyBorder="1" applyAlignment="1">
      <alignment horizontal="distributed" vertical="center"/>
    </xf>
    <xf numFmtId="38" fontId="114" fillId="54" borderId="496" xfId="73" applyFont="1" applyFill="1" applyBorder="1" applyAlignment="1">
      <alignment vertical="center" shrinkToFit="1"/>
    </xf>
    <xf numFmtId="38" fontId="114" fillId="54" borderId="462" xfId="73" applyFont="1" applyFill="1" applyBorder="1" applyAlignment="1">
      <alignment vertical="center" shrinkToFit="1"/>
    </xf>
    <xf numFmtId="0" fontId="100" fillId="54" borderId="406" xfId="72" applyFont="1" applyFill="1" applyBorder="1" applyAlignment="1">
      <alignment horizontal="distributed" vertical="center" wrapText="1"/>
    </xf>
    <xf numFmtId="0" fontId="100" fillId="54" borderId="448" xfId="72" applyFont="1" applyFill="1" applyBorder="1" applyAlignment="1">
      <alignment horizontal="distributed" vertical="center"/>
    </xf>
    <xf numFmtId="0" fontId="100" fillId="54" borderId="540" xfId="72" applyFont="1" applyFill="1" applyBorder="1" applyAlignment="1">
      <alignment horizontal="distributed" vertical="center"/>
    </xf>
    <xf numFmtId="0" fontId="100" fillId="54" borderId="541" xfId="72" applyFont="1" applyFill="1" applyBorder="1" applyAlignment="1">
      <alignment horizontal="distributed" vertical="center"/>
    </xf>
    <xf numFmtId="38" fontId="114" fillId="54" borderId="436" xfId="73" applyFont="1" applyFill="1" applyBorder="1" applyAlignment="1">
      <alignment vertical="center"/>
    </xf>
    <xf numFmtId="38" fontId="114" fillId="54" borderId="400" xfId="73" applyFont="1" applyFill="1" applyBorder="1" applyAlignment="1">
      <alignment vertical="center"/>
    </xf>
    <xf numFmtId="38" fontId="114" fillId="54" borderId="436" xfId="73" applyFont="1" applyFill="1" applyBorder="1" applyAlignment="1">
      <alignment vertical="center" shrinkToFit="1"/>
    </xf>
    <xf numFmtId="38" fontId="114" fillId="54" borderId="400" xfId="73" applyFont="1" applyFill="1" applyBorder="1" applyAlignment="1">
      <alignment vertical="center" shrinkToFit="1"/>
    </xf>
    <xf numFmtId="38" fontId="114" fillId="54" borderId="505" xfId="73" applyFont="1" applyFill="1" applyBorder="1" applyAlignment="1">
      <alignment vertical="center" shrinkToFit="1"/>
    </xf>
    <xf numFmtId="0" fontId="100" fillId="54" borderId="406" xfId="72" applyFont="1" applyFill="1" applyBorder="1" applyAlignment="1">
      <alignment horizontal="distributed" vertical="center"/>
    </xf>
    <xf numFmtId="0" fontId="100" fillId="54" borderId="402" xfId="72" applyFont="1" applyFill="1" applyBorder="1" applyAlignment="1">
      <alignment horizontal="distributed" vertical="center"/>
    </xf>
    <xf numFmtId="38" fontId="114" fillId="54" borderId="405" xfId="73" applyFont="1" applyFill="1" applyBorder="1" applyAlignment="1">
      <alignment vertical="center"/>
    </xf>
    <xf numFmtId="38" fontId="114" fillId="54" borderId="403" xfId="73" applyFont="1" applyFill="1" applyBorder="1" applyAlignment="1">
      <alignment vertical="center"/>
    </xf>
    <xf numFmtId="38" fontId="114" fillId="54" borderId="405" xfId="73" applyFont="1" applyFill="1" applyBorder="1" applyAlignment="1">
      <alignment vertical="center" shrinkToFit="1"/>
    </xf>
    <xf numFmtId="38" fontId="114" fillId="54" borderId="403" xfId="73" applyFont="1" applyFill="1" applyBorder="1" applyAlignment="1">
      <alignment vertical="center" shrinkToFit="1"/>
    </xf>
    <xf numFmtId="38" fontId="114" fillId="54" borderId="494" xfId="73" applyFont="1" applyFill="1" applyBorder="1" applyAlignment="1">
      <alignment vertical="center" shrinkToFit="1"/>
    </xf>
    <xf numFmtId="38" fontId="114" fillId="54" borderId="495" xfId="73" applyFont="1" applyFill="1" applyBorder="1" applyAlignment="1">
      <alignment vertical="center" shrinkToFit="1"/>
    </xf>
    <xf numFmtId="0" fontId="100" fillId="54" borderId="522" xfId="72" applyFont="1" applyFill="1" applyBorder="1" applyAlignment="1">
      <alignment horizontal="distributed" vertical="center"/>
    </xf>
    <xf numFmtId="0" fontId="100" fillId="54" borderId="464" xfId="72" applyFont="1" applyFill="1" applyBorder="1" applyAlignment="1">
      <alignment horizontal="distributed" vertical="center"/>
    </xf>
    <xf numFmtId="38" fontId="114" fillId="54" borderId="401" xfId="73" applyFont="1" applyFill="1" applyBorder="1" applyAlignment="1">
      <alignment vertical="center"/>
    </xf>
    <xf numFmtId="38" fontId="114" fillId="54" borderId="401" xfId="73" applyFont="1" applyFill="1" applyBorder="1" applyAlignment="1">
      <alignment vertical="center" shrinkToFit="1"/>
    </xf>
    <xf numFmtId="179" fontId="105" fillId="54" borderId="533" xfId="72" applyNumberFormat="1" applyFont="1" applyBorder="1" applyAlignment="1">
      <alignment vertical="center"/>
    </xf>
    <xf numFmtId="38" fontId="97" fillId="64" borderId="494" xfId="73" applyFont="1" applyFill="1" applyBorder="1" applyAlignment="1">
      <alignment vertical="center"/>
    </xf>
    <xf numFmtId="38" fontId="97" fillId="64" borderId="495" xfId="73" applyFont="1" applyFill="1" applyBorder="1" applyAlignment="1">
      <alignment vertical="center"/>
    </xf>
    <xf numFmtId="38" fontId="97" fillId="64" borderId="405" xfId="73" applyFont="1" applyFill="1" applyBorder="1" applyAlignment="1">
      <alignment vertical="center"/>
    </xf>
    <xf numFmtId="38" fontId="97" fillId="64" borderId="403" xfId="73" applyFont="1" applyFill="1" applyBorder="1" applyAlignment="1">
      <alignment vertical="center"/>
    </xf>
    <xf numFmtId="38" fontId="124" fillId="87" borderId="405" xfId="73" applyFont="1" applyFill="1" applyBorder="1" applyAlignment="1">
      <alignment vertical="center"/>
    </xf>
    <xf numFmtId="38" fontId="124" fillId="87" borderId="403" xfId="73" applyFont="1" applyFill="1" applyBorder="1" applyAlignment="1">
      <alignment vertical="center"/>
    </xf>
    <xf numFmtId="38" fontId="97" fillId="54" borderId="405" xfId="73" applyFont="1" applyFill="1" applyBorder="1" applyAlignment="1">
      <alignment vertical="center"/>
    </xf>
    <xf numFmtId="38" fontId="97" fillId="54" borderId="436" xfId="73" applyFont="1" applyFill="1" applyBorder="1" applyAlignment="1">
      <alignment vertical="center"/>
    </xf>
    <xf numFmtId="38" fontId="97" fillId="54" borderId="494" xfId="73" applyFont="1" applyFill="1" applyBorder="1" applyAlignment="1">
      <alignment vertical="center"/>
    </xf>
    <xf numFmtId="38" fontId="97" fillId="54" borderId="496" xfId="73" applyFont="1" applyFill="1" applyBorder="1" applyAlignment="1">
      <alignment vertical="center"/>
    </xf>
    <xf numFmtId="38" fontId="97" fillId="54" borderId="401" xfId="73" applyFont="1" applyFill="1" applyBorder="1" applyAlignment="1">
      <alignment vertical="center"/>
    </xf>
    <xf numFmtId="38" fontId="97" fillId="54" borderId="403" xfId="73" applyFont="1" applyFill="1" applyBorder="1" applyAlignment="1">
      <alignment vertical="center"/>
    </xf>
    <xf numFmtId="0" fontId="100" fillId="54" borderId="453" xfId="72" applyFont="1" applyFill="1" applyBorder="1" applyAlignment="1">
      <alignment horizontal="distributed" vertical="center" wrapText="1"/>
    </xf>
    <xf numFmtId="0" fontId="100" fillId="54" borderId="453" xfId="72" applyFont="1" applyFill="1" applyBorder="1" applyAlignment="1">
      <alignment horizontal="distributed" vertical="center"/>
    </xf>
    <xf numFmtId="0" fontId="100" fillId="54" borderId="403" xfId="72" applyFont="1" applyFill="1" applyBorder="1" applyAlignment="1">
      <alignment horizontal="distributed" vertical="center"/>
    </xf>
    <xf numFmtId="38" fontId="97" fillId="54" borderId="505" xfId="73" applyFont="1" applyFill="1" applyBorder="1" applyAlignment="1">
      <alignment vertical="center"/>
    </xf>
    <xf numFmtId="38" fontId="97" fillId="54" borderId="495" xfId="73" applyFont="1" applyFill="1" applyBorder="1" applyAlignment="1">
      <alignment vertical="center"/>
    </xf>
    <xf numFmtId="38" fontId="97" fillId="64" borderId="436" xfId="73" applyFont="1" applyFill="1" applyBorder="1" applyAlignment="1">
      <alignment vertical="center"/>
    </xf>
    <xf numFmtId="0" fontId="101" fillId="54" borderId="419" xfId="72" applyFont="1" applyFill="1" applyBorder="1" applyAlignment="1">
      <alignment vertical="center" wrapText="1"/>
    </xf>
    <xf numFmtId="0" fontId="101" fillId="54" borderId="419" xfId="72" applyFont="1" applyFill="1" applyBorder="1" applyAlignment="1">
      <alignment vertical="center"/>
    </xf>
    <xf numFmtId="0" fontId="100" fillId="54" borderId="468" xfId="72" applyFont="1" applyFill="1" applyBorder="1" applyAlignment="1">
      <alignment horizontal="distributed" vertical="center"/>
    </xf>
    <xf numFmtId="0" fontId="100" fillId="54" borderId="436" xfId="72" applyFont="1" applyFill="1" applyBorder="1" applyAlignment="1">
      <alignment horizontal="distributed" vertical="center"/>
    </xf>
    <xf numFmtId="0" fontId="100" fillId="54" borderId="473" xfId="72" applyFont="1" applyFill="1" applyBorder="1" applyAlignment="1">
      <alignment horizontal="distributed" vertical="center" wrapText="1"/>
    </xf>
    <xf numFmtId="0" fontId="100" fillId="54" borderId="436" xfId="72" applyFont="1" applyFill="1" applyBorder="1" applyAlignment="1">
      <alignment horizontal="distributed" vertical="center" wrapText="1"/>
    </xf>
    <xf numFmtId="38" fontId="124" fillId="54" borderId="436" xfId="73" applyFont="1" applyFill="1" applyBorder="1" applyAlignment="1">
      <alignment vertical="center"/>
    </xf>
    <xf numFmtId="0" fontId="100" fillId="54" borderId="419" xfId="72" applyFont="1" applyFill="1" applyBorder="1" applyAlignment="1">
      <alignment horizontal="distributed" vertical="center" wrapText="1"/>
    </xf>
    <xf numFmtId="0" fontId="100" fillId="54" borderId="419" xfId="72" applyFont="1" applyFill="1" applyBorder="1" applyAlignment="1">
      <alignment horizontal="distributed" vertical="center"/>
    </xf>
    <xf numFmtId="38" fontId="97" fillId="64" borderId="419" xfId="73" applyFont="1" applyFill="1" applyBorder="1" applyAlignment="1">
      <alignment vertical="center"/>
    </xf>
    <xf numFmtId="38" fontId="124" fillId="87" borderId="419" xfId="73" applyFont="1" applyFill="1" applyBorder="1" applyAlignment="1">
      <alignment vertical="center"/>
    </xf>
    <xf numFmtId="38" fontId="97" fillId="54" borderId="463" xfId="73" applyFont="1" applyFill="1" applyBorder="1" applyAlignment="1">
      <alignment vertical="center"/>
    </xf>
    <xf numFmtId="0" fontId="100" fillId="54" borderId="446" xfId="72" applyFont="1" applyFill="1" applyBorder="1" applyAlignment="1">
      <alignment horizontal="center" vertical="center"/>
    </xf>
    <xf numFmtId="38" fontId="97" fillId="64" borderId="400" xfId="73" applyFont="1" applyFill="1" applyBorder="1" applyAlignment="1">
      <alignment vertical="center"/>
    </xf>
    <xf numFmtId="38" fontId="124" fillId="87" borderId="436" xfId="73" applyFont="1" applyFill="1" applyBorder="1" applyAlignment="1">
      <alignment vertical="center"/>
    </xf>
    <xf numFmtId="38" fontId="124" fillId="87" borderId="400" xfId="73" applyFont="1" applyFill="1" applyBorder="1" applyAlignment="1">
      <alignment vertical="center"/>
    </xf>
    <xf numFmtId="38" fontId="97" fillId="54" borderId="462" xfId="73" applyFont="1" applyFill="1" applyBorder="1" applyAlignment="1">
      <alignment vertical="center"/>
    </xf>
    <xf numFmtId="0" fontId="100" fillId="54" borderId="445" xfId="72" applyFont="1" applyFill="1" applyBorder="1" applyAlignment="1">
      <alignment horizontal="center" vertical="center"/>
    </xf>
    <xf numFmtId="0" fontId="100" fillId="54" borderId="571" xfId="72" applyFont="1" applyFill="1" applyBorder="1" applyAlignment="1">
      <alignment horizontal="center" vertical="center"/>
    </xf>
    <xf numFmtId="0" fontId="112" fillId="54" borderId="453" xfId="72" applyFont="1" applyBorder="1" applyAlignment="1">
      <alignment horizontal="distributed" vertical="center" justifyLastLine="1"/>
    </xf>
    <xf numFmtId="0" fontId="112" fillId="54" borderId="468" xfId="72" applyFont="1" applyBorder="1" applyAlignment="1">
      <alignment horizontal="distributed" vertical="center" justifyLastLine="1"/>
    </xf>
    <xf numFmtId="0" fontId="112" fillId="54" borderId="453" xfId="72" applyFont="1" applyBorder="1" applyAlignment="1">
      <alignment horizontal="distributed" vertical="center" wrapText="1"/>
    </xf>
    <xf numFmtId="0" fontId="112" fillId="54" borderId="453" xfId="72" applyFont="1" applyBorder="1" applyAlignment="1">
      <alignment horizontal="distributed" vertical="center"/>
    </xf>
    <xf numFmtId="0" fontId="112" fillId="54" borderId="468" xfId="72" applyFont="1" applyBorder="1" applyAlignment="1">
      <alignment horizontal="distributed" vertical="center"/>
    </xf>
    <xf numFmtId="0" fontId="112" fillId="54" borderId="453" xfId="72" applyFont="1" applyFill="1" applyBorder="1" applyAlignment="1">
      <alignment horizontal="distributed" vertical="center" justifyLastLine="1"/>
    </xf>
    <xf numFmtId="0" fontId="112" fillId="54" borderId="468" xfId="72" applyFont="1" applyFill="1" applyBorder="1" applyAlignment="1">
      <alignment horizontal="distributed" vertical="center" justifyLastLine="1"/>
    </xf>
    <xf numFmtId="0" fontId="112" fillId="54" borderId="453" xfId="72" applyFont="1" applyBorder="1" applyAlignment="1">
      <alignment horizontal="distributed" vertical="center" wrapText="1" justifyLastLine="1"/>
    </xf>
    <xf numFmtId="0" fontId="112" fillId="54" borderId="453" xfId="72" applyFont="1" applyFill="1" applyBorder="1" applyAlignment="1">
      <alignment horizontal="center" vertical="center" justifyLastLine="1"/>
    </xf>
    <xf numFmtId="0" fontId="112" fillId="54" borderId="468" xfId="72" applyFont="1" applyBorder="1" applyAlignment="1">
      <alignment horizontal="center" vertical="center" wrapText="1" justifyLastLine="1"/>
    </xf>
    <xf numFmtId="0" fontId="112" fillId="54" borderId="472" xfId="72" applyFont="1" applyBorder="1" applyAlignment="1">
      <alignment horizontal="center" vertical="center" wrapText="1" justifyLastLine="1"/>
    </xf>
    <xf numFmtId="0" fontId="112" fillId="54" borderId="473" xfId="72" applyFont="1" applyBorder="1" applyAlignment="1">
      <alignment horizontal="center" vertical="center" wrapText="1" justifyLastLine="1"/>
    </xf>
    <xf numFmtId="0" fontId="112" fillId="54" borderId="453" xfId="72" applyFont="1" applyBorder="1" applyAlignment="1">
      <alignment horizontal="center" vertical="center" wrapText="1"/>
    </xf>
    <xf numFmtId="0" fontId="112" fillId="54" borderId="453" xfId="72" applyFont="1" applyBorder="1" applyAlignment="1">
      <alignment horizontal="center" vertical="center"/>
    </xf>
    <xf numFmtId="0" fontId="112" fillId="54" borderId="453" xfId="72" applyFont="1" applyBorder="1" applyAlignment="1">
      <alignment horizontal="center"/>
    </xf>
    <xf numFmtId="0" fontId="100" fillId="54" borderId="410" xfId="72" applyFont="1" applyBorder="1" applyAlignment="1">
      <alignment horizontal="distributed" vertical="center" justifyLastLine="1"/>
    </xf>
    <xf numFmtId="0" fontId="100" fillId="54" borderId="417" xfId="72" applyFont="1" applyBorder="1" applyAlignment="1">
      <alignment horizontal="distributed" vertical="center" justifyLastLine="1"/>
    </xf>
    <xf numFmtId="0" fontId="100" fillId="54" borderId="542" xfId="72" applyFont="1" applyBorder="1" applyAlignment="1">
      <alignment horizontal="distributed" vertical="center" justifyLastLine="1"/>
    </xf>
    <xf numFmtId="0" fontId="100" fillId="54" borderId="543" xfId="72" applyFont="1" applyBorder="1" applyAlignment="1">
      <alignment horizontal="distributed" vertical="center" justifyLastLine="1"/>
    </xf>
    <xf numFmtId="0" fontId="100" fillId="54" borderId="435" xfId="72" applyFont="1" applyBorder="1" applyAlignment="1">
      <alignment horizontal="distributed" vertical="center" wrapText="1"/>
    </xf>
    <xf numFmtId="38" fontId="98" fillId="57" borderId="544" xfId="73" applyFont="1" applyFill="1" applyBorder="1" applyAlignment="1">
      <alignment horizontal="right" vertical="center"/>
    </xf>
    <xf numFmtId="0" fontId="102" fillId="54" borderId="401" xfId="72" applyFont="1" applyBorder="1" applyAlignment="1">
      <alignment horizontal="center" vertical="center" justifyLastLine="1"/>
    </xf>
    <xf numFmtId="0" fontId="102" fillId="54" borderId="435" xfId="72" applyFont="1" applyBorder="1" applyAlignment="1">
      <alignment horizontal="center" vertical="center" justifyLastLine="1"/>
    </xf>
    <xf numFmtId="0" fontId="102" fillId="54" borderId="401" xfId="72" applyFont="1" applyBorder="1" applyAlignment="1">
      <alignment horizontal="distributed" vertical="center"/>
    </xf>
    <xf numFmtId="0" fontId="102" fillId="54" borderId="435" xfId="72" applyFont="1" applyBorder="1" applyAlignment="1">
      <alignment horizontal="distributed" vertical="center"/>
    </xf>
    <xf numFmtId="0" fontId="102" fillId="54" borderId="424" xfId="72" applyFont="1" applyBorder="1" applyAlignment="1">
      <alignment horizontal="distributed" vertical="center" wrapText="1"/>
    </xf>
    <xf numFmtId="0" fontId="102" fillId="54" borderId="449" xfId="72" applyFont="1" applyBorder="1" applyAlignment="1">
      <alignment horizontal="distributed" vertical="center"/>
    </xf>
    <xf numFmtId="0" fontId="97" fillId="54" borderId="398" xfId="72" applyAlignment="1">
      <alignment horizontal="center" wrapText="1"/>
    </xf>
    <xf numFmtId="0" fontId="97" fillId="54" borderId="398" xfId="72" applyAlignment="1">
      <alignment horizontal="center"/>
    </xf>
    <xf numFmtId="0" fontId="102" fillId="54" borderId="401" xfId="72" applyFont="1" applyBorder="1" applyAlignment="1">
      <alignment horizontal="distributed" vertical="center" justifyLastLine="1"/>
    </xf>
    <xf numFmtId="0" fontId="102" fillId="54" borderId="436" xfId="72" applyFont="1" applyBorder="1" applyAlignment="1">
      <alignment horizontal="distributed" vertical="center" justifyLastLine="1"/>
    </xf>
    <xf numFmtId="0" fontId="102" fillId="54" borderId="435" xfId="72" applyFont="1" applyBorder="1" applyAlignment="1">
      <alignment horizontal="distributed" vertical="center" justifyLastLine="1"/>
    </xf>
    <xf numFmtId="0" fontId="102" fillId="54" borderId="401" xfId="72" applyFont="1" applyBorder="1" applyAlignment="1">
      <alignment horizontal="distributed" vertical="center" wrapText="1"/>
    </xf>
    <xf numFmtId="188" fontId="102" fillId="54" borderId="401" xfId="72" applyNumberFormat="1" applyFont="1" applyBorder="1" applyAlignment="1">
      <alignment horizontal="center" vertical="center"/>
    </xf>
    <xf numFmtId="188" fontId="102" fillId="54" borderId="435" xfId="72" applyNumberFormat="1" applyFont="1" applyBorder="1" applyAlignment="1">
      <alignment horizontal="center" vertical="center"/>
    </xf>
    <xf numFmtId="0" fontId="97" fillId="54" borderId="501" xfId="72" applyBorder="1" applyAlignment="1">
      <alignment horizontal="center" vertical="center"/>
    </xf>
    <xf numFmtId="0" fontId="97" fillId="54" borderId="546" xfId="72" applyBorder="1" applyAlignment="1">
      <alignment horizontal="center" vertical="center"/>
    </xf>
    <xf numFmtId="0" fontId="97" fillId="54" borderId="440" xfId="72" applyBorder="1" applyAlignment="1">
      <alignment horizontal="center" vertical="center"/>
    </xf>
    <xf numFmtId="0" fontId="97" fillId="54" borderId="547" xfId="72" applyBorder="1" applyAlignment="1">
      <alignment horizontal="center" vertical="center"/>
    </xf>
    <xf numFmtId="38" fontId="122" fillId="54" borderId="548" xfId="73" applyFont="1" applyBorder="1" applyAlignment="1">
      <alignment horizontal="center" vertical="center"/>
    </xf>
    <xf numFmtId="38" fontId="122" fillId="54" borderId="549" xfId="73" applyFont="1" applyBorder="1" applyAlignment="1">
      <alignment horizontal="center" vertical="center"/>
    </xf>
    <xf numFmtId="38" fontId="98" fillId="57" borderId="545" xfId="73" applyFont="1" applyFill="1" applyBorder="1" applyAlignment="1">
      <alignment horizontal="right" vertical="center"/>
    </xf>
    <xf numFmtId="0" fontId="102" fillId="54" borderId="435" xfId="72" applyFont="1" applyBorder="1" applyAlignment="1">
      <alignment horizontal="distributed" vertical="center" wrapText="1"/>
    </xf>
    <xf numFmtId="0" fontId="97" fillId="54" borderId="401" xfId="72" applyBorder="1" applyAlignment="1">
      <alignment horizontal="center" vertical="center" wrapText="1"/>
    </xf>
    <xf numFmtId="0" fontId="97" fillId="54" borderId="436" xfId="72" applyBorder="1" applyAlignment="1">
      <alignment horizontal="center" vertical="center" wrapText="1"/>
    </xf>
    <xf numFmtId="0" fontId="97" fillId="54" borderId="435" xfId="72" applyBorder="1" applyAlignment="1">
      <alignment horizontal="center" vertical="center" wrapText="1"/>
    </xf>
    <xf numFmtId="0" fontId="102" fillId="54" borderId="423" xfId="72" applyFont="1" applyBorder="1" applyAlignment="1">
      <alignment horizontal="distributed" vertical="center" justifyLastLine="1"/>
    </xf>
    <xf numFmtId="0" fontId="97" fillId="54" borderId="436" xfId="72" applyBorder="1" applyAlignment="1">
      <alignment horizontal="center" wrapText="1"/>
    </xf>
    <xf numFmtId="0" fontId="97" fillId="54" borderId="436" xfId="72" applyBorder="1" applyAlignment="1">
      <alignment horizontal="center"/>
    </xf>
    <xf numFmtId="187" fontId="102" fillId="54" borderId="401" xfId="72" applyNumberFormat="1" applyFont="1" applyBorder="1" applyAlignment="1">
      <alignment horizontal="center" vertical="center"/>
    </xf>
    <xf numFmtId="187" fontId="102" fillId="54" borderId="435" xfId="72" applyNumberFormat="1" applyFont="1" applyBorder="1" applyAlignment="1">
      <alignment horizontal="center" vertical="center"/>
    </xf>
    <xf numFmtId="179" fontId="102" fillId="57" borderId="401" xfId="72" applyNumberFormat="1" applyFont="1" applyFill="1" applyBorder="1" applyAlignment="1">
      <alignment vertical="center"/>
    </xf>
    <xf numFmtId="179" fontId="102" fillId="57" borderId="435" xfId="72" applyNumberFormat="1" applyFont="1" applyFill="1" applyBorder="1" applyAlignment="1">
      <alignment vertical="center"/>
    </xf>
    <xf numFmtId="179" fontId="104" fillId="54" borderId="401" xfId="72" applyNumberFormat="1" applyFont="1" applyBorder="1" applyAlignment="1">
      <alignment vertical="center"/>
    </xf>
    <xf numFmtId="179" fontId="104" fillId="54" borderId="435" xfId="72" applyNumberFormat="1" applyFont="1" applyBorder="1" applyAlignment="1">
      <alignment vertical="center"/>
    </xf>
    <xf numFmtId="0" fontId="97" fillId="54" borderId="401" xfId="72" applyBorder="1" applyAlignment="1">
      <alignment horizontal="distributed" vertical="center"/>
    </xf>
    <xf numFmtId="0" fontId="97" fillId="54" borderId="435" xfId="72" applyBorder="1" applyAlignment="1">
      <alignment horizontal="distributed" vertical="center"/>
    </xf>
    <xf numFmtId="0" fontId="102" fillId="54" borderId="423" xfId="72" applyFont="1" applyBorder="1" applyAlignment="1">
      <alignment horizontal="distributed" vertical="center"/>
    </xf>
    <xf numFmtId="0" fontId="97" fillId="54" borderId="423" xfId="72" applyBorder="1" applyAlignment="1">
      <alignment horizontal="distributed" vertical="center"/>
    </xf>
    <xf numFmtId="179" fontId="105" fillId="54" borderId="401" xfId="72" applyNumberFormat="1" applyFont="1" applyBorder="1" applyAlignment="1">
      <alignment horizontal="right" vertical="center"/>
    </xf>
    <xf numFmtId="179" fontId="105" fillId="54" borderId="505" xfId="72" applyNumberFormat="1" applyFont="1" applyBorder="1" applyAlignment="1">
      <alignment horizontal="right" vertical="center"/>
    </xf>
    <xf numFmtId="179" fontId="105" fillId="54" borderId="403" xfId="72" applyNumberFormat="1" applyFont="1" applyBorder="1" applyAlignment="1">
      <alignment horizontal="right" vertical="center"/>
    </xf>
    <xf numFmtId="179" fontId="105" fillId="54" borderId="495" xfId="72" applyNumberFormat="1" applyFont="1" applyBorder="1" applyAlignment="1">
      <alignment horizontal="right" vertical="center"/>
    </xf>
    <xf numFmtId="179" fontId="105" fillId="54" borderId="405" xfId="72" applyNumberFormat="1" applyFont="1" applyBorder="1" applyAlignment="1">
      <alignment horizontal="right" vertical="center"/>
    </xf>
    <xf numFmtId="179" fontId="105" fillId="54" borderId="494" xfId="72" applyNumberFormat="1" applyFont="1" applyBorder="1" applyAlignment="1">
      <alignment horizontal="right" vertical="center"/>
    </xf>
    <xf numFmtId="179" fontId="126" fillId="54" borderId="452" xfId="72" applyNumberFormat="1" applyFont="1" applyBorder="1" applyAlignment="1">
      <alignment horizontal="right" vertical="center"/>
    </xf>
    <xf numFmtId="179" fontId="126" fillId="54" borderId="493" xfId="72" applyNumberFormat="1" applyFont="1" applyBorder="1" applyAlignment="1">
      <alignment horizontal="right" vertical="center"/>
    </xf>
    <xf numFmtId="179" fontId="123" fillId="54" borderId="405" xfId="72" applyNumberFormat="1" applyFont="1" applyBorder="1" applyAlignment="1">
      <alignment horizontal="right" vertical="center"/>
    </xf>
    <xf numFmtId="179" fontId="123" fillId="54" borderId="403" xfId="72" applyNumberFormat="1" applyFont="1" applyBorder="1" applyAlignment="1">
      <alignment horizontal="right" vertical="center"/>
    </xf>
    <xf numFmtId="179" fontId="100" fillId="54" borderId="405" xfId="72" applyNumberFormat="1" applyFont="1" applyFill="1" applyBorder="1" applyAlignment="1">
      <alignment horizontal="right" vertical="center"/>
    </xf>
    <xf numFmtId="179" fontId="100" fillId="54" borderId="405" xfId="72" applyNumberFormat="1" applyFont="1" applyBorder="1" applyAlignment="1">
      <alignment horizontal="right" vertical="center"/>
    </xf>
    <xf numFmtId="179" fontId="100" fillId="54" borderId="403" xfId="72" applyNumberFormat="1" applyFont="1" applyFill="1" applyBorder="1" applyAlignment="1">
      <alignment horizontal="right" vertical="center"/>
    </xf>
    <xf numFmtId="179" fontId="100" fillId="54" borderId="403" xfId="72" applyNumberFormat="1" applyFont="1" applyBorder="1" applyAlignment="1">
      <alignment horizontal="right" vertical="center"/>
    </xf>
    <xf numFmtId="179" fontId="110" fillId="54" borderId="405" xfId="72" applyNumberFormat="1" applyFont="1" applyFill="1" applyBorder="1" applyAlignment="1">
      <alignment horizontal="right" vertical="center"/>
    </xf>
    <xf numFmtId="179" fontId="110" fillId="54" borderId="403" xfId="72" applyNumberFormat="1" applyFont="1" applyFill="1" applyBorder="1" applyAlignment="1">
      <alignment horizontal="right" vertical="center"/>
    </xf>
    <xf numFmtId="179" fontId="105" fillId="54" borderId="405" xfId="72" applyNumberFormat="1" applyFont="1" applyFill="1" applyBorder="1" applyAlignment="1">
      <alignment horizontal="right" vertical="center"/>
    </xf>
    <xf numFmtId="179" fontId="105" fillId="54" borderId="494" xfId="72" applyNumberFormat="1" applyFont="1" applyFill="1" applyBorder="1" applyAlignment="1">
      <alignment horizontal="right" vertical="center"/>
    </xf>
    <xf numFmtId="179" fontId="105" fillId="54" borderId="403" xfId="72" applyNumberFormat="1" applyFont="1" applyFill="1" applyBorder="1" applyAlignment="1">
      <alignment horizontal="right" vertical="center"/>
    </xf>
    <xf numFmtId="179" fontId="105" fillId="54" borderId="495" xfId="72" applyNumberFormat="1" applyFont="1" applyFill="1" applyBorder="1" applyAlignment="1">
      <alignment horizontal="right" vertical="center"/>
    </xf>
    <xf numFmtId="179" fontId="126" fillId="54" borderId="400" xfId="72" applyNumberFormat="1" applyFont="1" applyFill="1" applyBorder="1" applyAlignment="1">
      <alignment horizontal="right" vertical="center"/>
    </xf>
    <xf numFmtId="179" fontId="126" fillId="54" borderId="400" xfId="72" applyNumberFormat="1" applyFont="1" applyBorder="1" applyAlignment="1">
      <alignment horizontal="right" vertical="center"/>
    </xf>
    <xf numFmtId="179" fontId="105" fillId="54" borderId="462" xfId="72" applyNumberFormat="1" applyFont="1" applyBorder="1" applyAlignment="1">
      <alignment horizontal="right" vertical="center"/>
    </xf>
    <xf numFmtId="179" fontId="105" fillId="54" borderId="399" xfId="72" applyNumberFormat="1" applyFont="1" applyFill="1" applyBorder="1" applyAlignment="1">
      <alignment horizontal="right" vertical="center"/>
    </xf>
    <xf numFmtId="179" fontId="105" fillId="54" borderId="399" xfId="72" applyNumberFormat="1" applyFont="1" applyBorder="1" applyAlignment="1">
      <alignment horizontal="right" vertical="center"/>
    </xf>
    <xf numFmtId="179" fontId="105" fillId="54" borderId="498" xfId="72" applyNumberFormat="1" applyFont="1" applyBorder="1" applyAlignment="1">
      <alignment horizontal="right" vertical="center"/>
    </xf>
    <xf numFmtId="179" fontId="105" fillId="54" borderId="400" xfId="72" applyNumberFormat="1" applyFont="1" applyFill="1" applyBorder="1" applyAlignment="1">
      <alignment horizontal="right" vertical="center"/>
    </xf>
    <xf numFmtId="179" fontId="105" fillId="54" borderId="400" xfId="72" applyNumberFormat="1" applyFont="1" applyBorder="1" applyAlignment="1">
      <alignment horizontal="right" vertical="center"/>
    </xf>
    <xf numFmtId="179" fontId="123" fillId="54" borderId="399" xfId="72" applyNumberFormat="1" applyFont="1" applyBorder="1" applyAlignment="1">
      <alignment horizontal="right" vertical="center"/>
    </xf>
    <xf numFmtId="179" fontId="123" fillId="54" borderId="498" xfId="72" applyNumberFormat="1" applyFont="1" applyBorder="1" applyAlignment="1">
      <alignment horizontal="right" vertical="center"/>
    </xf>
    <xf numFmtId="179" fontId="123" fillId="54" borderId="495" xfId="72" applyNumberFormat="1" applyFont="1" applyBorder="1" applyAlignment="1">
      <alignment horizontal="right" vertical="center"/>
    </xf>
    <xf numFmtId="179" fontId="126" fillId="54" borderId="496" xfId="72" applyNumberFormat="1" applyFont="1" applyBorder="1" applyAlignment="1">
      <alignment horizontal="right" vertical="center"/>
    </xf>
    <xf numFmtId="179" fontId="126" fillId="54" borderId="419" xfId="72" applyNumberFormat="1" applyFont="1" applyBorder="1" applyAlignment="1">
      <alignment horizontal="right" vertical="center"/>
    </xf>
    <xf numFmtId="179" fontId="107" fillId="54" borderId="405" xfId="72" applyNumberFormat="1" applyFont="1" applyBorder="1" applyAlignment="1">
      <alignment horizontal="right" vertical="center"/>
    </xf>
    <xf numFmtId="179" fontId="107" fillId="54" borderId="494" xfId="72" applyNumberFormat="1" applyFont="1" applyBorder="1" applyAlignment="1">
      <alignment horizontal="right" vertical="center"/>
    </xf>
    <xf numFmtId="179" fontId="107" fillId="54" borderId="403" xfId="72" applyNumberFormat="1" applyFont="1" applyBorder="1" applyAlignment="1">
      <alignment horizontal="right" vertical="center"/>
    </xf>
    <xf numFmtId="179" fontId="107" fillId="54" borderId="495" xfId="72" applyNumberFormat="1" applyFont="1" applyBorder="1" applyAlignment="1">
      <alignment horizontal="right" vertical="center"/>
    </xf>
    <xf numFmtId="179" fontId="123" fillId="54" borderId="494" xfId="72" applyNumberFormat="1" applyFont="1" applyBorder="1" applyAlignment="1">
      <alignment horizontal="right" vertical="center"/>
    </xf>
    <xf numFmtId="179" fontId="126" fillId="57" borderId="419" xfId="72" applyNumberFormat="1" applyFont="1" applyFill="1" applyBorder="1" applyAlignment="1">
      <alignment horizontal="right" vertical="center"/>
    </xf>
    <xf numFmtId="179" fontId="126" fillId="54" borderId="494" xfId="72" applyNumberFormat="1" applyFont="1" applyFill="1" applyBorder="1" applyAlignment="1">
      <alignment horizontal="right" vertical="center"/>
    </xf>
    <xf numFmtId="179" fontId="126" fillId="54" borderId="496" xfId="72" applyNumberFormat="1" applyFont="1" applyFill="1" applyBorder="1" applyAlignment="1">
      <alignment horizontal="right" vertical="center"/>
    </xf>
    <xf numFmtId="179" fontId="126" fillId="57" borderId="405" xfId="72" applyNumberFormat="1" applyFont="1" applyFill="1" applyBorder="1" applyAlignment="1">
      <alignment horizontal="right" vertical="center"/>
    </xf>
    <xf numFmtId="179" fontId="126" fillId="57" borderId="403" xfId="72" applyNumberFormat="1" applyFont="1" applyFill="1" applyBorder="1" applyAlignment="1">
      <alignment horizontal="right" vertical="center"/>
    </xf>
    <xf numFmtId="179" fontId="126" fillId="54" borderId="495" xfId="72" applyNumberFormat="1" applyFont="1" applyFill="1" applyBorder="1" applyAlignment="1">
      <alignment horizontal="right" vertical="center"/>
    </xf>
    <xf numFmtId="179" fontId="126" fillId="57" borderId="436" xfId="72" applyNumberFormat="1" applyFont="1" applyFill="1" applyBorder="1" applyAlignment="1">
      <alignment horizontal="right" vertical="center"/>
    </xf>
    <xf numFmtId="185" fontId="100" fillId="54" borderId="405" xfId="72" applyNumberFormat="1" applyFont="1" applyBorder="1" applyAlignment="1">
      <alignment horizontal="right" vertical="center"/>
    </xf>
    <xf numFmtId="185" fontId="100" fillId="54" borderId="494" xfId="72" applyNumberFormat="1" applyFont="1" applyBorder="1" applyAlignment="1">
      <alignment horizontal="right" vertical="center"/>
    </xf>
    <xf numFmtId="185" fontId="100" fillId="54" borderId="403" xfId="72" applyNumberFormat="1" applyFont="1" applyBorder="1" applyAlignment="1">
      <alignment horizontal="right" vertical="center"/>
    </xf>
    <xf numFmtId="185" fontId="100" fillId="54" borderId="495" xfId="72" applyNumberFormat="1" applyFont="1" applyBorder="1" applyAlignment="1">
      <alignment horizontal="right" vertical="center"/>
    </xf>
    <xf numFmtId="179" fontId="126" fillId="54" borderId="463" xfId="72" applyNumberFormat="1" applyFont="1" applyBorder="1" applyAlignment="1">
      <alignment horizontal="right" vertical="center"/>
    </xf>
    <xf numFmtId="179" fontId="105" fillId="54" borderId="459" xfId="72" applyNumberFormat="1" applyFont="1" applyBorder="1" applyAlignment="1">
      <alignment horizontal="right" vertical="center"/>
    </xf>
    <xf numFmtId="179" fontId="105" fillId="54" borderId="508" xfId="72" applyNumberFormat="1" applyFont="1" applyBorder="1" applyAlignment="1">
      <alignment horizontal="right" vertical="center"/>
    </xf>
    <xf numFmtId="179" fontId="105" fillId="54" borderId="409" xfId="72" applyNumberFormat="1" applyFont="1" applyBorder="1" applyAlignment="1">
      <alignment horizontal="right" vertical="center"/>
    </xf>
    <xf numFmtId="179" fontId="105" fillId="54" borderId="506" xfId="72" applyNumberFormat="1" applyFont="1" applyBorder="1" applyAlignment="1">
      <alignment horizontal="right" vertical="center"/>
    </xf>
    <xf numFmtId="179" fontId="105" fillId="54" borderId="507" xfId="72" applyNumberFormat="1" applyFont="1" applyBorder="1" applyAlignment="1">
      <alignment horizontal="right" vertical="center"/>
    </xf>
    <xf numFmtId="0" fontId="157" fillId="91" borderId="579" xfId="117"/>
    <xf numFmtId="0" fontId="159" fillId="91" borderId="579" xfId="119" applyFont="1">
      <alignment vertical="center"/>
    </xf>
    <xf numFmtId="189" fontId="159" fillId="91" borderId="579" xfId="119" applyNumberFormat="1" applyFont="1">
      <alignment vertical="center"/>
    </xf>
    <xf numFmtId="0" fontId="159" fillId="91" borderId="579" xfId="119" applyFont="1" applyAlignment="1">
      <alignment vertical="center" wrapText="1"/>
    </xf>
    <xf numFmtId="0" fontId="159" fillId="91" borderId="580" xfId="119" applyFont="1" applyBorder="1">
      <alignment vertical="center"/>
    </xf>
    <xf numFmtId="0" fontId="159" fillId="91" borderId="581" xfId="119" applyFont="1" applyBorder="1">
      <alignment vertical="center"/>
    </xf>
    <xf numFmtId="0" fontId="159" fillId="91" borderId="582" xfId="119" applyFont="1" applyBorder="1">
      <alignment vertical="center"/>
    </xf>
    <xf numFmtId="189" fontId="159" fillId="91" borderId="582" xfId="119" applyNumberFormat="1" applyFont="1" applyBorder="1">
      <alignment vertical="center"/>
    </xf>
    <xf numFmtId="0" fontId="159" fillId="91" borderId="583" xfId="119" applyFont="1" applyBorder="1">
      <alignment vertical="center"/>
    </xf>
    <xf numFmtId="0" fontId="159" fillId="91" borderId="584" xfId="119" applyFont="1" applyBorder="1">
      <alignment vertical="center"/>
    </xf>
    <xf numFmtId="0" fontId="159" fillId="91" borderId="585" xfId="119" applyFont="1" applyBorder="1">
      <alignment vertical="center"/>
    </xf>
    <xf numFmtId="0" fontId="159" fillId="91" borderId="579" xfId="119" applyFont="1" applyBorder="1">
      <alignment vertical="center"/>
    </xf>
    <xf numFmtId="189" fontId="159" fillId="91" borderId="579" xfId="119" applyNumberFormat="1" applyFont="1" applyBorder="1">
      <alignment vertical="center"/>
    </xf>
    <xf numFmtId="0" fontId="159" fillId="91" borderId="586" xfId="119" applyFont="1" applyBorder="1">
      <alignment vertical="center"/>
    </xf>
    <xf numFmtId="0" fontId="159" fillId="91" borderId="587" xfId="119" applyFont="1" applyBorder="1">
      <alignment vertical="center"/>
    </xf>
    <xf numFmtId="0" fontId="159" fillId="91" borderId="588" xfId="119" applyFont="1" applyBorder="1">
      <alignment vertical="center"/>
    </xf>
    <xf numFmtId="0" fontId="159" fillId="91" borderId="589" xfId="119" applyFont="1" applyBorder="1">
      <alignment vertical="center"/>
    </xf>
    <xf numFmtId="189" fontId="159" fillId="91" borderId="589" xfId="119" applyNumberFormat="1" applyFont="1" applyBorder="1">
      <alignment vertical="center"/>
    </xf>
    <xf numFmtId="0" fontId="159" fillId="91" borderId="590" xfId="119" applyFont="1" applyBorder="1">
      <alignment vertical="center"/>
    </xf>
    <xf numFmtId="0" fontId="162" fillId="91" borderId="579" xfId="119" applyFont="1" applyBorder="1">
      <alignment vertical="center"/>
    </xf>
    <xf numFmtId="0" fontId="159" fillId="91" borderId="595" xfId="119" applyFont="1" applyBorder="1">
      <alignment vertical="center"/>
    </xf>
    <xf numFmtId="0" fontId="159" fillId="91" borderId="580" xfId="119" applyFont="1" applyBorder="1" applyAlignment="1">
      <alignment vertical="center" wrapText="1"/>
    </xf>
    <xf numFmtId="0" fontId="159" fillId="91" borderId="584" xfId="119" applyFont="1" applyBorder="1" applyAlignment="1">
      <alignment vertical="center" wrapText="1"/>
    </xf>
    <xf numFmtId="0" fontId="159" fillId="91" borderId="587" xfId="119" applyFont="1" applyBorder="1" applyAlignment="1">
      <alignment vertical="center" wrapText="1"/>
    </xf>
    <xf numFmtId="0" fontId="162" fillId="91" borderId="579" xfId="117" applyFont="1" applyBorder="1" applyAlignment="1">
      <alignment vertical="center"/>
    </xf>
    <xf numFmtId="0" fontId="159" fillId="91" borderId="586" xfId="117" applyFont="1" applyBorder="1" applyAlignment="1">
      <alignment vertical="center"/>
    </xf>
    <xf numFmtId="0" fontId="159" fillId="91" borderId="579" xfId="119" applyFont="1" applyBorder="1" applyAlignment="1">
      <alignment vertical="top"/>
    </xf>
    <xf numFmtId="0" fontId="162" fillId="91" borderId="582" xfId="119" applyFont="1" applyBorder="1">
      <alignment vertical="center"/>
    </xf>
    <xf numFmtId="189" fontId="159" fillId="91" borderId="586" xfId="119" applyNumberFormat="1" applyFont="1" applyBorder="1">
      <alignment vertical="center"/>
    </xf>
    <xf numFmtId="0" fontId="159" fillId="91" borderId="579" xfId="119" applyFont="1" applyFill="1" applyBorder="1">
      <alignment vertical="center"/>
    </xf>
    <xf numFmtId="0" fontId="162" fillId="91" borderId="579" xfId="119" applyFont="1" applyFill="1" applyBorder="1">
      <alignment vertical="center"/>
    </xf>
    <xf numFmtId="10" fontId="159" fillId="91" borderId="579" xfId="119" applyNumberFormat="1" applyFont="1" applyFill="1" applyBorder="1">
      <alignment vertical="center"/>
    </xf>
    <xf numFmtId="189" fontId="159" fillId="91" borderId="579" xfId="119" applyNumberFormat="1" applyFont="1" applyFill="1" applyBorder="1">
      <alignment vertical="center"/>
    </xf>
    <xf numFmtId="0" fontId="159" fillId="91" borderId="594" xfId="119" applyFont="1" applyBorder="1" applyAlignment="1">
      <alignment horizontal="center" vertical="center"/>
    </xf>
    <xf numFmtId="0" fontId="159" fillId="91" borderId="579" xfId="119" applyFont="1" applyAlignment="1">
      <alignment horizontal="right" vertical="center"/>
    </xf>
    <xf numFmtId="0" fontId="164" fillId="91" borderId="579" xfId="119" applyFont="1">
      <alignment vertical="center"/>
    </xf>
    <xf numFmtId="38" fontId="157" fillId="91" borderId="579" xfId="122" applyFont="1" applyFill="1" applyAlignment="1">
      <alignment vertical="center"/>
    </xf>
    <xf numFmtId="38" fontId="157" fillId="91" borderId="579" xfId="122" applyFont="1" applyFill="1" applyAlignment="1">
      <alignment horizontal="center" vertical="center"/>
    </xf>
    <xf numFmtId="38" fontId="157" fillId="91" borderId="579" xfId="122" applyFont="1" applyFill="1" applyAlignment="1">
      <alignment horizontal="right" vertical="center"/>
    </xf>
    <xf numFmtId="38" fontId="157" fillId="93" borderId="579" xfId="122" applyFont="1" applyFill="1" applyAlignment="1">
      <alignment vertical="center"/>
    </xf>
    <xf numFmtId="38" fontId="157" fillId="91" borderId="601" xfId="122" applyFont="1" applyFill="1" applyBorder="1" applyAlignment="1">
      <alignment vertical="center"/>
    </xf>
    <xf numFmtId="38" fontId="163" fillId="91" borderId="602" xfId="122" applyFont="1" applyFill="1" applyBorder="1" applyAlignment="1">
      <alignment vertical="center"/>
    </xf>
    <xf numFmtId="38" fontId="169" fillId="91" borderId="603" xfId="122" applyFont="1" applyFill="1" applyBorder="1" applyAlignment="1">
      <alignment horizontal="center" vertical="center"/>
    </xf>
    <xf numFmtId="38" fontId="163" fillId="91" borderId="582" xfId="122" applyFont="1" applyFill="1" applyBorder="1" applyAlignment="1">
      <alignment vertical="center"/>
    </xf>
    <xf numFmtId="38" fontId="170" fillId="91" borderId="601" xfId="122" applyFont="1" applyFill="1" applyBorder="1" applyAlignment="1">
      <alignment horizontal="center" vertical="center"/>
    </xf>
    <xf numFmtId="38" fontId="163" fillId="91" borderId="579" xfId="122" applyFont="1" applyFill="1" applyBorder="1" applyAlignment="1">
      <alignment vertical="center"/>
    </xf>
    <xf numFmtId="38" fontId="171" fillId="91" borderId="601" xfId="122" applyFont="1" applyFill="1" applyBorder="1" applyAlignment="1">
      <alignment vertical="center"/>
    </xf>
    <xf numFmtId="10" fontId="163" fillId="91" borderId="579" xfId="118" applyNumberFormat="1" applyFont="1" applyFill="1" applyBorder="1" applyAlignment="1">
      <alignment vertical="center"/>
    </xf>
    <xf numFmtId="38" fontId="171" fillId="91" borderId="601" xfId="122" applyFont="1" applyFill="1" applyBorder="1" applyAlignment="1">
      <alignment horizontal="left" vertical="center"/>
    </xf>
    <xf numFmtId="38" fontId="163" fillId="95" borderId="579" xfId="122" applyFont="1" applyFill="1" applyBorder="1" applyAlignment="1">
      <alignment vertical="center"/>
    </xf>
    <xf numFmtId="38" fontId="157" fillId="91" borderId="601" xfId="122" applyFont="1" applyFill="1" applyBorder="1" applyAlignment="1">
      <alignment horizontal="left" vertical="center"/>
    </xf>
    <xf numFmtId="38" fontId="163" fillId="96" borderId="579" xfId="122" applyFont="1" applyFill="1" applyBorder="1" applyAlignment="1">
      <alignment vertical="center"/>
    </xf>
    <xf numFmtId="38" fontId="171" fillId="91" borderId="579" xfId="122" applyFont="1" applyFill="1" applyAlignment="1">
      <alignment vertical="center"/>
    </xf>
    <xf numFmtId="38" fontId="171" fillId="93" borderId="594" xfId="122" applyFont="1" applyFill="1" applyBorder="1" applyAlignment="1">
      <alignment vertical="center"/>
    </xf>
    <xf numFmtId="38" fontId="157" fillId="91" borderId="604" xfId="122" applyFont="1" applyFill="1" applyBorder="1" applyAlignment="1">
      <alignment vertical="center"/>
    </xf>
    <xf numFmtId="38" fontId="157" fillId="91" borderId="605" xfId="122" applyFont="1" applyFill="1" applyBorder="1" applyAlignment="1">
      <alignment vertical="center"/>
    </xf>
    <xf numFmtId="38" fontId="157" fillId="97" borderId="579" xfId="122" applyFont="1" applyFill="1" applyAlignment="1">
      <alignment vertical="center"/>
    </xf>
    <xf numFmtId="38" fontId="157" fillId="96" borderId="579" xfId="122" applyFont="1" applyFill="1" applyAlignment="1">
      <alignment vertical="center"/>
    </xf>
    <xf numFmtId="38" fontId="157" fillId="98" borderId="579" xfId="122" applyFont="1" applyFill="1" applyAlignment="1">
      <alignment vertical="center"/>
    </xf>
    <xf numFmtId="38" fontId="171" fillId="91" borderId="579" xfId="122" applyFont="1" applyFill="1" applyAlignment="1">
      <alignment horizontal="left" vertical="center"/>
    </xf>
    <xf numFmtId="38" fontId="157" fillId="99" borderId="579" xfId="122" applyFont="1" applyFill="1" applyAlignment="1">
      <alignment vertical="center"/>
    </xf>
    <xf numFmtId="38" fontId="157" fillId="95" borderId="579" xfId="122" applyFont="1" applyFill="1" applyAlignment="1">
      <alignment vertical="center"/>
    </xf>
    <xf numFmtId="38" fontId="157" fillId="91" borderId="594" xfId="122" applyFont="1" applyFill="1" applyBorder="1" applyAlignment="1">
      <alignment vertical="center"/>
    </xf>
    <xf numFmtId="38" fontId="157" fillId="91" borderId="594" xfId="122" applyFont="1" applyFill="1" applyBorder="1" applyAlignment="1">
      <alignment horizontal="center" vertical="center"/>
    </xf>
    <xf numFmtId="38" fontId="157" fillId="91" borderId="606" xfId="122" applyFont="1" applyFill="1" applyBorder="1" applyAlignment="1">
      <alignment vertical="center"/>
    </xf>
    <xf numFmtId="38" fontId="157" fillId="100" borderId="579" xfId="122" applyFont="1" applyFill="1" applyAlignment="1">
      <alignment vertical="center"/>
    </xf>
    <xf numFmtId="38" fontId="157" fillId="101" borderId="579" xfId="122" applyFont="1" applyFill="1" applyAlignment="1">
      <alignment vertical="center"/>
    </xf>
    <xf numFmtId="38" fontId="157" fillId="91" borderId="606" xfId="122" applyFont="1" applyFill="1" applyBorder="1" applyAlignment="1">
      <alignment horizontal="right" vertical="center"/>
    </xf>
    <xf numFmtId="38" fontId="157" fillId="95" borderId="594" xfId="122" applyFont="1" applyFill="1" applyBorder="1" applyAlignment="1">
      <alignment vertical="center"/>
    </xf>
    <xf numFmtId="38" fontId="157" fillId="91" borderId="587" xfId="122" applyFont="1" applyFill="1" applyBorder="1" applyAlignment="1">
      <alignment vertical="center" wrapText="1"/>
    </xf>
    <xf numFmtId="38" fontId="157" fillId="91" borderId="587" xfId="122" applyFont="1" applyFill="1" applyBorder="1" applyAlignment="1">
      <alignment horizontal="center" vertical="center"/>
    </xf>
    <xf numFmtId="38" fontId="157" fillId="91" borderId="587" xfId="122" applyFont="1" applyFill="1" applyBorder="1" applyAlignment="1">
      <alignment horizontal="center" vertical="center" wrapText="1"/>
    </xf>
    <xf numFmtId="38" fontId="172" fillId="91" borderId="579" xfId="122" applyFont="1" applyFill="1" applyAlignment="1">
      <alignment vertical="center"/>
    </xf>
    <xf numFmtId="38" fontId="173" fillId="91" borderId="579" xfId="122" applyFont="1" applyFill="1" applyAlignment="1">
      <alignment vertical="center"/>
    </xf>
    <xf numFmtId="0" fontId="167" fillId="91" borderId="579" xfId="128"/>
    <xf numFmtId="38" fontId="157" fillId="91" borderId="579" xfId="124" applyFont="1" applyAlignment="1"/>
    <xf numFmtId="0" fontId="167" fillId="91" borderId="579" xfId="128" applyFill="1" applyAlignment="1">
      <alignment vertical="center"/>
    </xf>
    <xf numFmtId="0" fontId="167" fillId="91" borderId="579" xfId="128" applyFill="1"/>
    <xf numFmtId="0" fontId="167" fillId="94" borderId="579" xfId="128" applyFill="1"/>
    <xf numFmtId="179" fontId="167" fillId="91" borderId="579" xfId="128" applyNumberFormat="1"/>
    <xf numFmtId="0" fontId="167" fillId="91" borderId="579" xfId="128" applyAlignment="1"/>
    <xf numFmtId="38" fontId="157" fillId="91" borderId="579" xfId="124" applyFont="1" applyFill="1" applyAlignment="1">
      <alignment vertical="center"/>
    </xf>
    <xf numFmtId="0" fontId="179" fillId="91" borderId="579" xfId="128" applyFont="1"/>
    <xf numFmtId="38" fontId="171" fillId="91" borderId="579" xfId="124" applyFont="1" applyAlignment="1"/>
    <xf numFmtId="0" fontId="171" fillId="91" borderId="579" xfId="117" applyFont="1" applyAlignment="1">
      <alignment horizontal="right"/>
    </xf>
    <xf numFmtId="0" fontId="180" fillId="91" borderId="579" xfId="128" applyFont="1"/>
    <xf numFmtId="38" fontId="179" fillId="91" borderId="579" xfId="128" applyNumberFormat="1" applyFont="1"/>
    <xf numFmtId="38" fontId="167" fillId="91" borderId="579" xfId="128" applyNumberFormat="1"/>
    <xf numFmtId="0" fontId="157" fillId="91" borderId="579" xfId="117" applyAlignment="1">
      <alignment horizontal="right"/>
    </xf>
    <xf numFmtId="0" fontId="158" fillId="91" borderId="579" xfId="119">
      <alignment vertical="center"/>
    </xf>
    <xf numFmtId="0" fontId="159" fillId="91" borderId="579" xfId="119" applyFont="1" applyAlignment="1">
      <alignment horizontal="left" vertical="center" wrapText="1" indent="1"/>
    </xf>
    <xf numFmtId="189" fontId="158" fillId="91" borderId="579" xfId="119" applyNumberFormat="1" applyFill="1">
      <alignment vertical="center"/>
    </xf>
    <xf numFmtId="191" fontId="159" fillId="91" borderId="579" xfId="119" applyNumberFormat="1" applyFont="1" applyAlignment="1">
      <alignment horizontal="left" vertical="center" wrapText="1"/>
    </xf>
    <xf numFmtId="0" fontId="159" fillId="91" borderId="610" xfId="119" applyFont="1" applyBorder="1" applyAlignment="1">
      <alignment horizontal="left" vertical="center" wrapText="1" indent="1"/>
    </xf>
    <xf numFmtId="189" fontId="181" fillId="91" borderId="611" xfId="119" applyNumberFormat="1" applyFont="1" applyFill="1" applyBorder="1">
      <alignment vertical="center"/>
    </xf>
    <xf numFmtId="189" fontId="158" fillId="91" borderId="613" xfId="119" applyNumberFormat="1" applyFill="1" applyBorder="1">
      <alignment vertical="center"/>
    </xf>
    <xf numFmtId="189" fontId="158" fillId="91" borderId="614" xfId="119" applyNumberFormat="1" applyFill="1" applyBorder="1">
      <alignment vertical="center"/>
    </xf>
    <xf numFmtId="189" fontId="158" fillId="91" borderId="615" xfId="119" applyNumberFormat="1" applyFill="1" applyBorder="1">
      <alignment vertical="center"/>
    </xf>
    <xf numFmtId="0" fontId="158" fillId="91" borderId="616" xfId="119" applyBorder="1">
      <alignment vertical="center"/>
    </xf>
    <xf numFmtId="0" fontId="159" fillId="91" borderId="618" xfId="119" applyFont="1" applyBorder="1" applyAlignment="1">
      <alignment horizontal="left" vertical="center" wrapText="1" indent="1"/>
    </xf>
    <xf numFmtId="189" fontId="182" fillId="91" borderId="621" xfId="119" applyNumberFormat="1" applyFont="1" applyFill="1" applyBorder="1">
      <alignment vertical="center"/>
    </xf>
    <xf numFmtId="189" fontId="182" fillId="91" borderId="622" xfId="119" applyNumberFormat="1" applyFont="1" applyFill="1" applyBorder="1">
      <alignment vertical="center"/>
    </xf>
    <xf numFmtId="189" fontId="182" fillId="91" borderId="623" xfId="119" applyNumberFormat="1" applyFont="1" applyFill="1" applyBorder="1">
      <alignment vertical="center"/>
    </xf>
    <xf numFmtId="0" fontId="158" fillId="91" borderId="624" xfId="119" applyBorder="1">
      <alignment vertical="center"/>
    </xf>
    <xf numFmtId="0" fontId="159" fillId="91" borderId="627" xfId="119" applyFont="1" applyBorder="1" applyAlignment="1">
      <alignment horizontal="left" vertical="center" wrapText="1" indent="1"/>
    </xf>
    <xf numFmtId="189" fontId="181" fillId="91" borderId="628" xfId="119" applyNumberFormat="1" applyFont="1" applyFill="1" applyBorder="1">
      <alignment vertical="center"/>
    </xf>
    <xf numFmtId="189" fontId="182" fillId="91" borderId="629" xfId="119" applyNumberFormat="1" applyFont="1" applyFill="1" applyBorder="1">
      <alignment vertical="center"/>
    </xf>
    <xf numFmtId="189" fontId="182" fillId="91" borderId="630" xfId="119" applyNumberFormat="1" applyFont="1" applyFill="1" applyBorder="1">
      <alignment vertical="center"/>
    </xf>
    <xf numFmtId="189" fontId="182" fillId="91" borderId="631" xfId="119" applyNumberFormat="1" applyFont="1" applyFill="1" applyBorder="1">
      <alignment vertical="center"/>
    </xf>
    <xf numFmtId="189" fontId="182" fillId="91" borderId="632" xfId="119" applyNumberFormat="1" applyFont="1" applyFill="1" applyBorder="1">
      <alignment vertical="center"/>
    </xf>
    <xf numFmtId="0" fontId="159" fillId="91" borderId="634" xfId="119" applyFont="1" applyBorder="1" applyAlignment="1">
      <alignment horizontal="left" vertical="center" wrapText="1" indent="1"/>
    </xf>
    <xf numFmtId="189" fontId="181" fillId="91" borderId="635" xfId="119" applyNumberFormat="1" applyFont="1" applyFill="1" applyBorder="1">
      <alignment vertical="center"/>
    </xf>
    <xf numFmtId="189" fontId="182" fillId="91" borderId="636" xfId="119" applyNumberFormat="1" applyFont="1" applyFill="1" applyBorder="1">
      <alignment vertical="center"/>
    </xf>
    <xf numFmtId="189" fontId="182" fillId="91" borderId="637" xfId="119" applyNumberFormat="1" applyFont="1" applyFill="1" applyBorder="1">
      <alignment vertical="center"/>
    </xf>
    <xf numFmtId="189" fontId="182" fillId="91" borderId="638" xfId="119" applyNumberFormat="1" applyFont="1" applyFill="1" applyBorder="1">
      <alignment vertical="center"/>
    </xf>
    <xf numFmtId="189" fontId="182" fillId="91" borderId="639" xfId="119" applyNumberFormat="1" applyFont="1" applyFill="1" applyBorder="1">
      <alignment vertical="center"/>
    </xf>
    <xf numFmtId="189" fontId="182" fillId="94" borderId="636" xfId="119" applyNumberFormat="1" applyFont="1" applyFill="1" applyBorder="1">
      <alignment vertical="center"/>
    </xf>
    <xf numFmtId="189" fontId="182" fillId="94" borderId="640" xfId="119" applyNumberFormat="1" applyFont="1" applyFill="1" applyBorder="1">
      <alignment vertical="center"/>
    </xf>
    <xf numFmtId="189" fontId="182" fillId="94" borderId="645" xfId="119" applyNumberFormat="1" applyFont="1" applyFill="1" applyBorder="1">
      <alignment vertical="center"/>
    </xf>
    <xf numFmtId="189" fontId="182" fillId="94" borderId="646" xfId="119" applyNumberFormat="1" applyFont="1" applyFill="1" applyBorder="1">
      <alignment vertical="center"/>
    </xf>
    <xf numFmtId="189" fontId="158" fillId="91" borderId="579" xfId="119" applyNumberFormat="1">
      <alignment vertical="center"/>
    </xf>
    <xf numFmtId="189" fontId="181" fillId="91" borderId="619" xfId="119" applyNumberFormat="1" applyFont="1" applyFill="1" applyBorder="1">
      <alignment vertical="center"/>
    </xf>
    <xf numFmtId="189" fontId="182" fillId="91" borderId="613" xfId="119" applyNumberFormat="1" applyFont="1" applyFill="1" applyBorder="1">
      <alignment vertical="center"/>
    </xf>
    <xf numFmtId="189" fontId="182" fillId="91" borderId="614" xfId="119" applyNumberFormat="1" applyFont="1" applyFill="1" applyBorder="1">
      <alignment vertical="center"/>
    </xf>
    <xf numFmtId="189" fontId="182" fillId="91" borderId="615" xfId="119" applyNumberFormat="1" applyFont="1" applyFill="1" applyBorder="1">
      <alignment vertical="center"/>
    </xf>
    <xf numFmtId="189" fontId="182" fillId="91" borderId="649" xfId="119" applyNumberFormat="1" applyFont="1" applyFill="1" applyBorder="1">
      <alignment vertical="center"/>
    </xf>
    <xf numFmtId="189" fontId="182" fillId="91" borderId="650" xfId="119" applyNumberFormat="1" applyFont="1" applyFill="1" applyBorder="1">
      <alignment vertical="center"/>
    </xf>
    <xf numFmtId="189" fontId="182" fillId="91" borderId="651" xfId="119" applyNumberFormat="1" applyFont="1" applyFill="1" applyBorder="1">
      <alignment vertical="center"/>
    </xf>
    <xf numFmtId="0" fontId="158" fillId="91" borderId="634" xfId="119" applyFont="1" applyBorder="1" applyAlignment="1">
      <alignment horizontal="center" vertical="center" wrapText="1"/>
    </xf>
    <xf numFmtId="189" fontId="158" fillId="91" borderId="635" xfId="119" applyNumberFormat="1" applyFill="1" applyBorder="1" applyAlignment="1">
      <alignment horizontal="center" vertical="center"/>
    </xf>
    <xf numFmtId="189" fontId="158" fillId="91" borderId="636" xfId="119" applyNumberFormat="1" applyFill="1" applyBorder="1" applyAlignment="1">
      <alignment horizontal="center" vertical="center"/>
    </xf>
    <xf numFmtId="189" fontId="158" fillId="91" borderId="640" xfId="119" applyNumberFormat="1" applyFill="1" applyBorder="1" applyAlignment="1">
      <alignment horizontal="center" vertical="center"/>
    </xf>
    <xf numFmtId="189" fontId="158" fillId="91" borderId="645" xfId="119" applyNumberFormat="1" applyFill="1" applyBorder="1" applyAlignment="1">
      <alignment horizontal="center" vertical="center"/>
    </xf>
    <xf numFmtId="189" fontId="158" fillId="91" borderId="646" xfId="119" applyNumberFormat="1" applyFill="1" applyBorder="1" applyAlignment="1">
      <alignment horizontal="center" vertical="center"/>
    </xf>
    <xf numFmtId="0" fontId="183" fillId="91" borderId="579" xfId="119" applyFont="1">
      <alignment vertical="center"/>
    </xf>
    <xf numFmtId="38" fontId="159" fillId="91" borderId="579" xfId="122" applyFont="1" applyAlignment="1">
      <alignment vertical="center"/>
    </xf>
    <xf numFmtId="0" fontId="159" fillId="91" borderId="579" xfId="119" applyFont="1" applyFill="1">
      <alignment vertical="center"/>
    </xf>
    <xf numFmtId="0" fontId="159" fillId="91" borderId="579" xfId="119" applyFont="1" applyAlignment="1">
      <alignment horizontal="left" vertical="center" wrapText="1"/>
    </xf>
    <xf numFmtId="0" fontId="159" fillId="91" borderId="579" xfId="119" applyFont="1" applyAlignment="1">
      <alignment horizontal="center" vertical="center"/>
    </xf>
    <xf numFmtId="0" fontId="159" fillId="91" borderId="579" xfId="119" applyFont="1" applyFill="1" applyAlignment="1">
      <alignment vertical="center" wrapText="1"/>
    </xf>
    <xf numFmtId="38" fontId="159" fillId="91" borderId="594" xfId="121" applyFont="1" applyFill="1" applyBorder="1">
      <alignment vertical="center"/>
    </xf>
    <xf numFmtId="0" fontId="159" fillId="91" borderId="655" xfId="119" quotePrefix="1" applyFont="1" applyBorder="1">
      <alignment vertical="center"/>
    </xf>
    <xf numFmtId="0" fontId="159" fillId="91" borderId="597" xfId="119" applyFont="1" applyBorder="1">
      <alignment vertical="center"/>
    </xf>
    <xf numFmtId="0" fontId="159" fillId="91" borderId="594" xfId="119" applyFont="1" applyBorder="1" applyAlignment="1">
      <alignment horizontal="left" vertical="center" wrapText="1"/>
    </xf>
    <xf numFmtId="0" fontId="159" fillId="91" borderId="594" xfId="119" applyFont="1" applyBorder="1" applyAlignment="1">
      <alignment horizontal="right" vertical="center"/>
    </xf>
    <xf numFmtId="0" fontId="159" fillId="91" borderId="656" xfId="119" applyFont="1" applyFill="1" applyBorder="1">
      <alignment vertical="center"/>
    </xf>
    <xf numFmtId="0" fontId="159" fillId="91" borderId="657" xfId="119" applyFont="1" applyBorder="1">
      <alignment vertical="center"/>
    </xf>
    <xf numFmtId="0" fontId="159" fillId="91" borderId="656" xfId="119" applyFont="1" applyBorder="1">
      <alignment vertical="center"/>
    </xf>
    <xf numFmtId="0" fontId="159" fillId="91" borderId="660" xfId="119" applyFont="1" applyFill="1" applyBorder="1">
      <alignment vertical="center"/>
    </xf>
    <xf numFmtId="0" fontId="159" fillId="91" borderId="619" xfId="119" applyFont="1" applyFill="1" applyBorder="1">
      <alignment vertical="center"/>
    </xf>
    <xf numFmtId="0" fontId="159" fillId="91" borderId="620" xfId="119" applyFont="1" applyBorder="1">
      <alignment vertical="center"/>
    </xf>
    <xf numFmtId="0" fontId="159" fillId="91" borderId="661" xfId="119" applyFont="1" applyBorder="1">
      <alignment vertical="center"/>
    </xf>
    <xf numFmtId="0" fontId="159" fillId="91" borderId="619" xfId="119" applyFont="1" applyBorder="1">
      <alignment vertical="center"/>
    </xf>
    <xf numFmtId="0" fontId="159" fillId="91" borderId="662" xfId="119" applyFont="1" applyFill="1" applyBorder="1" applyAlignment="1">
      <alignment vertical="center" wrapText="1"/>
    </xf>
    <xf numFmtId="0" fontId="159" fillId="91" borderId="663" xfId="119" applyFont="1" applyFill="1" applyBorder="1">
      <alignment vertical="center"/>
    </xf>
    <xf numFmtId="38" fontId="159" fillId="91" borderId="663" xfId="119" applyNumberFormat="1" applyFont="1" applyBorder="1">
      <alignment vertical="center"/>
    </xf>
    <xf numFmtId="0" fontId="159" fillId="91" borderId="664" xfId="119" applyFont="1" applyBorder="1">
      <alignment vertical="center"/>
    </xf>
    <xf numFmtId="0" fontId="159" fillId="91" borderId="667" xfId="119" applyFont="1" applyFill="1" applyBorder="1" applyAlignment="1">
      <alignment vertical="center" wrapText="1"/>
    </xf>
    <xf numFmtId="38" fontId="159" fillId="91" borderId="668" xfId="121" applyFont="1" applyFill="1" applyBorder="1">
      <alignment vertical="center"/>
    </xf>
    <xf numFmtId="0" fontId="159" fillId="91" borderId="672" xfId="119" quotePrefix="1" applyFont="1" applyBorder="1">
      <alignment vertical="center"/>
    </xf>
    <xf numFmtId="0" fontId="159" fillId="91" borderId="673" xfId="119" applyFont="1" applyBorder="1">
      <alignment vertical="center"/>
    </xf>
    <xf numFmtId="38" fontId="159" fillId="91" borderId="656" xfId="121" applyFont="1" applyFill="1" applyBorder="1">
      <alignment vertical="center"/>
    </xf>
    <xf numFmtId="0" fontId="159" fillId="91" borderId="660" xfId="119" applyFont="1" applyBorder="1">
      <alignment vertical="center"/>
    </xf>
    <xf numFmtId="38" fontId="159" fillId="91" borderId="619" xfId="121" applyFont="1" applyFill="1" applyBorder="1">
      <alignment vertical="center"/>
    </xf>
    <xf numFmtId="0" fontId="159" fillId="91" borderId="662" xfId="119" applyFont="1" applyBorder="1">
      <alignment vertical="center"/>
    </xf>
    <xf numFmtId="0" fontId="159" fillId="91" borderId="672" xfId="119" applyFont="1" applyBorder="1">
      <alignment vertical="center"/>
    </xf>
    <xf numFmtId="0" fontId="159" fillId="91" borderId="662" xfId="119" applyFont="1" applyFill="1" applyBorder="1">
      <alignment vertical="center"/>
    </xf>
    <xf numFmtId="0" fontId="159" fillId="91" borderId="620" xfId="119" applyFont="1" applyBorder="1" applyAlignment="1">
      <alignment vertical="center" wrapText="1"/>
    </xf>
    <xf numFmtId="0" fontId="159" fillId="91" borderId="664" xfId="119" applyFont="1" applyBorder="1" applyAlignment="1">
      <alignment vertical="center"/>
    </xf>
    <xf numFmtId="38" fontId="159" fillId="91" borderId="663" xfId="121" applyFont="1" applyFill="1" applyBorder="1" applyAlignment="1">
      <alignment vertical="center"/>
    </xf>
    <xf numFmtId="0" fontId="159" fillId="91" borderId="667" xfId="119" applyFont="1" applyBorder="1" applyAlignment="1">
      <alignment horizontal="right" vertical="center"/>
    </xf>
    <xf numFmtId="0" fontId="159" fillId="91" borderId="680" xfId="119" applyFont="1" applyBorder="1" applyAlignment="1">
      <alignment vertical="center"/>
    </xf>
    <xf numFmtId="38" fontId="159" fillId="91" borderId="676" xfId="121" applyFont="1" applyFill="1" applyBorder="1" applyAlignment="1">
      <alignment vertical="center"/>
    </xf>
    <xf numFmtId="0" fontId="159" fillId="91" borderId="681" xfId="119" applyFont="1" applyBorder="1" applyAlignment="1">
      <alignment vertical="center"/>
    </xf>
    <xf numFmtId="0" fontId="159" fillId="91" borderId="667" xfId="119" applyFont="1" applyBorder="1" applyAlignment="1">
      <alignment vertical="center"/>
    </xf>
    <xf numFmtId="10" fontId="159" fillId="91" borderId="656" xfId="120" applyNumberFormat="1" applyFont="1" applyFill="1" applyBorder="1">
      <alignment vertical="center"/>
    </xf>
    <xf numFmtId="0" fontId="159" fillId="91" borderId="662" xfId="119" applyFont="1" applyBorder="1" applyAlignment="1">
      <alignment horizontal="left" vertical="center"/>
    </xf>
    <xf numFmtId="0" fontId="159" fillId="91" borderId="620" xfId="119" quotePrefix="1" applyFont="1" applyBorder="1">
      <alignment vertical="center"/>
    </xf>
    <xf numFmtId="189" fontId="159" fillId="91" borderId="662" xfId="119" applyNumberFormat="1" applyFont="1" applyBorder="1">
      <alignment vertical="center"/>
    </xf>
    <xf numFmtId="189" fontId="159" fillId="91" borderId="672" xfId="119" applyNumberFormat="1" applyFont="1" applyBorder="1">
      <alignment vertical="center"/>
    </xf>
    <xf numFmtId="189" fontId="159" fillId="91" borderId="673" xfId="119" applyNumberFormat="1" applyFont="1" applyBorder="1">
      <alignment vertical="center"/>
    </xf>
    <xf numFmtId="38" fontId="159" fillId="91" borderId="587" xfId="121" applyFont="1" applyFill="1" applyBorder="1" applyAlignment="1">
      <alignment vertical="center"/>
    </xf>
    <xf numFmtId="38" fontId="159" fillId="91" borderId="587" xfId="121" applyFont="1" applyBorder="1" applyAlignment="1">
      <alignment vertical="center"/>
    </xf>
    <xf numFmtId="38" fontId="159" fillId="91" borderId="682" xfId="121" applyFont="1" applyBorder="1" applyAlignment="1">
      <alignment vertical="center"/>
    </xf>
    <xf numFmtId="38" fontId="159" fillId="91" borderId="683" xfId="121" applyFont="1" applyBorder="1" applyAlignment="1">
      <alignment vertical="center"/>
    </xf>
    <xf numFmtId="0" fontId="159" fillId="91" borderId="684" xfId="119" applyFont="1" applyBorder="1" applyAlignment="1">
      <alignment vertical="center"/>
    </xf>
    <xf numFmtId="38" fontId="159" fillId="91" borderId="685" xfId="121" applyFont="1" applyBorder="1" applyAlignment="1">
      <alignment vertical="center"/>
    </xf>
    <xf numFmtId="0" fontId="159" fillId="91" borderId="590" xfId="119" applyFont="1" applyBorder="1" applyAlignment="1">
      <alignment vertical="center"/>
    </xf>
    <xf numFmtId="38" fontId="159" fillId="91" borderId="580" xfId="121" applyFont="1" applyFill="1" applyBorder="1" applyAlignment="1">
      <alignment vertical="center"/>
    </xf>
    <xf numFmtId="38" fontId="159" fillId="91" borderId="580" xfId="121" applyFont="1" applyBorder="1" applyAlignment="1">
      <alignment vertical="center"/>
    </xf>
    <xf numFmtId="38" fontId="159" fillId="91" borderId="686" xfId="121" applyFont="1" applyBorder="1" applyAlignment="1">
      <alignment vertical="center"/>
    </xf>
    <xf numFmtId="38" fontId="159" fillId="91" borderId="687" xfId="121" applyFont="1" applyBorder="1" applyAlignment="1">
      <alignment vertical="center"/>
    </xf>
    <xf numFmtId="38" fontId="159" fillId="91" borderId="688" xfId="121" applyFont="1" applyBorder="1" applyAlignment="1">
      <alignment vertical="center"/>
    </xf>
    <xf numFmtId="0" fontId="159" fillId="91" borderId="689" xfId="119" applyFont="1" applyBorder="1" applyAlignment="1">
      <alignment vertical="center"/>
    </xf>
    <xf numFmtId="0" fontId="159" fillId="91" borderId="583" xfId="119" applyFont="1" applyBorder="1" applyAlignment="1">
      <alignment vertical="center"/>
    </xf>
    <xf numFmtId="38" fontId="159" fillId="91" borderId="584" xfId="121" applyFont="1" applyFill="1" applyBorder="1" applyAlignment="1">
      <alignment vertical="center"/>
    </xf>
    <xf numFmtId="38" fontId="159" fillId="91" borderId="584" xfId="121" applyFont="1" applyBorder="1" applyAlignment="1">
      <alignment vertical="center"/>
    </xf>
    <xf numFmtId="38" fontId="159" fillId="91" borderId="690" xfId="121" applyFont="1" applyBorder="1" applyAlignment="1">
      <alignment vertical="center"/>
    </xf>
    <xf numFmtId="38" fontId="159" fillId="91" borderId="691" xfId="121" applyFont="1" applyBorder="1" applyAlignment="1">
      <alignment vertical="center"/>
    </xf>
    <xf numFmtId="38" fontId="159" fillId="91" borderId="692" xfId="121" applyFont="1" applyBorder="1" applyAlignment="1">
      <alignment vertical="center"/>
    </xf>
    <xf numFmtId="0" fontId="159" fillId="91" borderId="693" xfId="119" applyFont="1" applyBorder="1" applyAlignment="1">
      <alignment vertical="center"/>
    </xf>
    <xf numFmtId="0" fontId="159" fillId="91" borderId="586" xfId="119" applyFont="1" applyBorder="1" applyAlignment="1">
      <alignment vertical="center"/>
    </xf>
    <xf numFmtId="0" fontId="159" fillId="91" borderId="657" xfId="119" applyFont="1" applyBorder="1" applyAlignment="1">
      <alignment vertical="center" wrapText="1"/>
    </xf>
    <xf numFmtId="189" fontId="159" fillId="91" borderId="660" xfId="119" applyNumberFormat="1" applyFont="1" applyFill="1" applyBorder="1">
      <alignment vertical="center"/>
    </xf>
    <xf numFmtId="0" fontId="159" fillId="91" borderId="657" xfId="119" quotePrefix="1" applyFont="1" applyBorder="1">
      <alignment vertical="center"/>
    </xf>
    <xf numFmtId="0" fontId="159" fillId="91" borderId="620" xfId="119" applyFont="1" applyBorder="1" applyAlignment="1">
      <alignment horizontal="left" vertical="center"/>
    </xf>
    <xf numFmtId="38" fontId="159" fillId="91" borderId="663" xfId="121" applyFont="1" applyFill="1" applyBorder="1">
      <alignment vertical="center"/>
    </xf>
    <xf numFmtId="0" fontId="159" fillId="91" borderId="667" xfId="119" applyFont="1" applyBorder="1">
      <alignment vertical="center"/>
    </xf>
    <xf numFmtId="0" fontId="159" fillId="91" borderId="584" xfId="119" applyFont="1" applyFill="1" applyBorder="1" applyAlignment="1">
      <alignment vertical="center"/>
    </xf>
    <xf numFmtId="0" fontId="159" fillId="91" borderId="584" xfId="119" applyFont="1" applyBorder="1" applyAlignment="1">
      <alignment vertical="center"/>
    </xf>
    <xf numFmtId="0" fontId="159" fillId="91" borderId="690" xfId="119" applyFont="1" applyBorder="1">
      <alignment vertical="center"/>
    </xf>
    <xf numFmtId="0" fontId="159" fillId="91" borderId="691" xfId="119" applyFont="1" applyBorder="1">
      <alignment vertical="center"/>
    </xf>
    <xf numFmtId="0" fontId="159" fillId="91" borderId="692" xfId="119" applyFont="1" applyBorder="1">
      <alignment vertical="center"/>
    </xf>
    <xf numFmtId="0" fontId="159" fillId="91" borderId="584" xfId="119" applyFont="1" applyFill="1" applyBorder="1">
      <alignment vertical="center"/>
    </xf>
    <xf numFmtId="0" fontId="159" fillId="91" borderId="580" xfId="119" applyFont="1" applyFill="1" applyBorder="1" applyAlignment="1">
      <alignment vertical="center"/>
    </xf>
    <xf numFmtId="0" fontId="159" fillId="91" borderId="580" xfId="119" applyFont="1" applyBorder="1" applyAlignment="1">
      <alignment vertical="center"/>
    </xf>
    <xf numFmtId="190" fontId="159" fillId="91" borderId="689" xfId="120" applyNumberFormat="1" applyFont="1" applyBorder="1" applyAlignment="1">
      <alignment vertical="center"/>
    </xf>
    <xf numFmtId="190" fontId="159" fillId="91" borderId="687" xfId="120" applyNumberFormat="1" applyFont="1" applyBorder="1" applyAlignment="1">
      <alignment vertical="center"/>
    </xf>
    <xf numFmtId="190" fontId="159" fillId="91" borderId="688" xfId="120" applyNumberFormat="1" applyFont="1" applyBorder="1" applyAlignment="1">
      <alignment vertical="center"/>
    </xf>
    <xf numFmtId="190" fontId="159" fillId="91" borderId="580" xfId="120" applyNumberFormat="1" applyFont="1" applyFill="1" applyBorder="1" applyAlignment="1">
      <alignment vertical="center"/>
    </xf>
    <xf numFmtId="0" fontId="159" fillId="91" borderId="587" xfId="119" applyFont="1" applyFill="1" applyBorder="1" applyAlignment="1">
      <alignment vertical="center"/>
    </xf>
    <xf numFmtId="0" fontId="159" fillId="91" borderId="587" xfId="119" applyFont="1" applyBorder="1" applyAlignment="1">
      <alignment vertical="center"/>
    </xf>
    <xf numFmtId="190" fontId="159" fillId="91" borderId="693" xfId="120" applyNumberFormat="1" applyFont="1" applyBorder="1" applyAlignment="1">
      <alignment vertical="center"/>
    </xf>
    <xf numFmtId="190" fontId="159" fillId="91" borderId="691" xfId="120" applyNumberFormat="1" applyFont="1" applyBorder="1" applyAlignment="1">
      <alignment vertical="center"/>
    </xf>
    <xf numFmtId="190" fontId="159" fillId="91" borderId="692" xfId="120" applyNumberFormat="1" applyFont="1" applyBorder="1" applyAlignment="1">
      <alignment vertical="center"/>
    </xf>
    <xf numFmtId="190" fontId="159" fillId="91" borderId="584" xfId="120" applyNumberFormat="1" applyFont="1" applyFill="1" applyBorder="1" applyAlignment="1">
      <alignment vertical="center"/>
    </xf>
    <xf numFmtId="0" fontId="185" fillId="91" borderId="594" xfId="119" applyFont="1" applyFill="1" applyBorder="1" applyAlignment="1">
      <alignment horizontal="center" vertical="center"/>
    </xf>
    <xf numFmtId="0" fontId="185" fillId="91" borderId="594" xfId="119" applyFont="1" applyBorder="1" applyAlignment="1">
      <alignment horizontal="center" vertical="center"/>
    </xf>
    <xf numFmtId="9" fontId="159" fillId="91" borderId="655" xfId="120" applyNumberFormat="1" applyFont="1" applyBorder="1" applyAlignment="1">
      <alignment horizontal="center" vertical="center"/>
    </xf>
    <xf numFmtId="9" fontId="159" fillId="91" borderId="653" xfId="120" applyNumberFormat="1" applyFont="1" applyBorder="1" applyAlignment="1">
      <alignment horizontal="center" vertical="center"/>
    </xf>
    <xf numFmtId="9" fontId="159" fillId="91" borderId="654" xfId="120" applyNumberFormat="1" applyFont="1" applyBorder="1" applyAlignment="1">
      <alignment horizontal="center" vertical="center"/>
    </xf>
    <xf numFmtId="0" fontId="159" fillId="91" borderId="655" xfId="119" applyFont="1" applyBorder="1" applyAlignment="1">
      <alignment horizontal="center" vertical="center"/>
    </xf>
    <xf numFmtId="9" fontId="159" fillId="91" borderId="594" xfId="120" applyNumberFormat="1" applyFont="1" applyFill="1" applyBorder="1" applyAlignment="1">
      <alignment horizontal="center" vertical="center"/>
    </xf>
    <xf numFmtId="0" fontId="159" fillId="91" borderId="597" xfId="119" applyFont="1" applyBorder="1" applyAlignment="1">
      <alignment horizontal="center" vertical="center"/>
    </xf>
    <xf numFmtId="0" fontId="159" fillId="91" borderId="694" xfId="119" applyFont="1" applyBorder="1" applyAlignment="1">
      <alignment horizontal="centerContinuous" vertical="center"/>
    </xf>
    <xf numFmtId="0" fontId="159" fillId="91" borderId="695" xfId="119" applyFont="1" applyBorder="1" applyAlignment="1">
      <alignment horizontal="centerContinuous" vertical="center"/>
    </xf>
    <xf numFmtId="0" fontId="159" fillId="91" borderId="660" xfId="119" applyFont="1" applyBorder="1" applyAlignment="1">
      <alignment horizontal="centerContinuous" vertical="center"/>
    </xf>
    <xf numFmtId="0" fontId="159" fillId="91" borderId="657" xfId="119" applyFont="1" applyBorder="1" applyAlignment="1">
      <alignment horizontal="center" vertical="center"/>
    </xf>
    <xf numFmtId="0" fontId="159" fillId="91" borderId="696" xfId="119" applyFont="1" applyBorder="1" applyAlignment="1">
      <alignment horizontal="centerContinuous" vertical="center"/>
    </xf>
    <xf numFmtId="0" fontId="159" fillId="91" borderId="697" xfId="119" applyFont="1" applyBorder="1" applyAlignment="1">
      <alignment horizontal="centerContinuous" vertical="center"/>
    </xf>
    <xf numFmtId="0" fontId="159" fillId="91" borderId="662" xfId="119" applyFont="1" applyBorder="1" applyAlignment="1">
      <alignment horizontal="centerContinuous" vertical="center"/>
    </xf>
    <xf numFmtId="0" fontId="159" fillId="91" borderId="620" xfId="119" applyFont="1" applyBorder="1" applyAlignment="1">
      <alignment horizontal="center" vertical="center"/>
    </xf>
    <xf numFmtId="0" fontId="159" fillId="91" borderId="586" xfId="119" applyFont="1" applyBorder="1" applyAlignment="1">
      <alignment horizontal="center" vertical="center"/>
    </xf>
    <xf numFmtId="0" fontId="159" fillId="91" borderId="668" xfId="119" applyFont="1" applyFill="1" applyBorder="1">
      <alignment vertical="center"/>
    </xf>
    <xf numFmtId="0" fontId="159" fillId="91" borderId="698" xfId="119" applyFont="1" applyBorder="1" applyAlignment="1">
      <alignment horizontal="centerContinuous" vertical="center"/>
    </xf>
    <xf numFmtId="0" fontId="159" fillId="91" borderId="699" xfId="119" applyFont="1" applyBorder="1" applyAlignment="1">
      <alignment horizontal="centerContinuous" vertical="center"/>
    </xf>
    <xf numFmtId="0" fontId="159" fillId="91" borderId="673" xfId="119" applyFont="1" applyBorder="1" applyAlignment="1">
      <alignment horizontal="centerContinuous" vertical="center"/>
    </xf>
    <xf numFmtId="0" fontId="159" fillId="91" borderId="672" xfId="119" applyFont="1" applyBorder="1" applyAlignment="1">
      <alignment horizontal="center" vertical="center"/>
    </xf>
    <xf numFmtId="0" fontId="164" fillId="91" borderId="579" xfId="119" applyFont="1" applyAlignment="1">
      <alignment horizontal="left" vertical="center"/>
    </xf>
    <xf numFmtId="190" fontId="159" fillId="91" borderId="689" xfId="120" applyNumberFormat="1" applyFont="1" applyFill="1" applyBorder="1" applyAlignment="1">
      <alignment vertical="center"/>
    </xf>
    <xf numFmtId="190" fontId="159" fillId="91" borderId="687" xfId="120" applyNumberFormat="1" applyFont="1" applyFill="1" applyBorder="1" applyAlignment="1">
      <alignment vertical="center"/>
    </xf>
    <xf numFmtId="190" fontId="159" fillId="91" borderId="688" xfId="120" applyNumberFormat="1" applyFont="1" applyFill="1" applyBorder="1" applyAlignment="1">
      <alignment vertical="center"/>
    </xf>
    <xf numFmtId="190" fontId="159" fillId="91" borderId="693" xfId="120" applyNumberFormat="1" applyFont="1" applyFill="1" applyBorder="1" applyAlignment="1">
      <alignment vertical="center"/>
    </xf>
    <xf numFmtId="190" fontId="159" fillId="91" borderId="691" xfId="120" applyNumberFormat="1" applyFont="1" applyFill="1" applyBorder="1" applyAlignment="1">
      <alignment vertical="center"/>
    </xf>
    <xf numFmtId="190" fontId="159" fillId="91" borderId="692" xfId="120" applyNumberFormat="1" applyFont="1" applyFill="1" applyBorder="1" applyAlignment="1">
      <alignment vertical="center"/>
    </xf>
    <xf numFmtId="190" fontId="159" fillId="94" borderId="693" xfId="120" applyNumberFormat="1" applyFont="1" applyFill="1" applyBorder="1" applyAlignment="1">
      <alignment vertical="center"/>
    </xf>
    <xf numFmtId="190" fontId="159" fillId="94" borderId="691" xfId="120" applyNumberFormat="1" applyFont="1" applyFill="1" applyBorder="1" applyAlignment="1">
      <alignment vertical="center"/>
    </xf>
    <xf numFmtId="190" fontId="159" fillId="94" borderId="692" xfId="120" applyNumberFormat="1" applyFont="1" applyFill="1" applyBorder="1" applyAlignment="1">
      <alignment vertical="center"/>
    </xf>
    <xf numFmtId="38" fontId="157" fillId="91" borderId="579" xfId="117" applyNumberFormat="1"/>
    <xf numFmtId="38" fontId="157" fillId="93" borderId="656" xfId="122" applyFont="1" applyFill="1" applyBorder="1" applyAlignment="1">
      <alignment vertical="center"/>
    </xf>
    <xf numFmtId="38" fontId="157" fillId="91" borderId="656" xfId="122" applyFont="1" applyFill="1" applyBorder="1" applyAlignment="1">
      <alignment vertical="center"/>
    </xf>
    <xf numFmtId="38" fontId="157" fillId="91" borderId="700" xfId="122" applyFont="1" applyFill="1" applyBorder="1" applyAlignment="1">
      <alignment vertical="center"/>
    </xf>
    <xf numFmtId="38" fontId="157" fillId="91" borderId="676" xfId="122" applyFont="1" applyFill="1" applyBorder="1" applyAlignment="1">
      <alignment vertical="center"/>
    </xf>
    <xf numFmtId="38" fontId="157" fillId="91" borderId="619" xfId="122" applyFont="1" applyFill="1" applyBorder="1" applyAlignment="1">
      <alignment vertical="center"/>
    </xf>
    <xf numFmtId="38" fontId="157" fillId="91" borderId="668" xfId="122" applyFont="1" applyFill="1" applyBorder="1" applyAlignment="1">
      <alignment vertical="center"/>
    </xf>
    <xf numFmtId="38" fontId="157" fillId="98" borderId="656" xfId="122" applyFont="1" applyFill="1" applyBorder="1" applyAlignment="1">
      <alignment vertical="center"/>
    </xf>
    <xf numFmtId="38" fontId="157" fillId="96" borderId="619" xfId="122" applyFont="1" applyFill="1" applyBorder="1" applyAlignment="1">
      <alignment vertical="center"/>
    </xf>
    <xf numFmtId="38" fontId="157" fillId="96" borderId="668" xfId="122" applyFont="1" applyFill="1" applyBorder="1" applyAlignment="1">
      <alignment vertical="center"/>
    </xf>
    <xf numFmtId="0" fontId="187" fillId="91" borderId="579" xfId="117" applyFont="1" applyAlignment="1">
      <alignment horizontal="center" wrapText="1"/>
    </xf>
    <xf numFmtId="38" fontId="187" fillId="91" borderId="594" xfId="122" applyFont="1" applyFill="1" applyBorder="1" applyAlignment="1">
      <alignment horizontal="center" vertical="center" wrapText="1"/>
    </xf>
    <xf numFmtId="0" fontId="157" fillId="91" borderId="579" xfId="117" applyAlignment="1">
      <alignment horizontal="left" vertical="center"/>
    </xf>
    <xf numFmtId="0" fontId="168" fillId="91" borderId="579" xfId="129" applyFont="1"/>
    <xf numFmtId="0" fontId="168" fillId="91" borderId="579" xfId="129" applyFont="1" applyFill="1"/>
    <xf numFmtId="179" fontId="168" fillId="91" borderId="694" xfId="129" applyNumberFormat="1" applyFont="1" applyBorder="1"/>
    <xf numFmtId="0" fontId="168" fillId="91" borderId="701" xfId="129" applyFont="1" applyBorder="1"/>
    <xf numFmtId="0" fontId="168" fillId="91" borderId="702" xfId="129" applyFont="1" applyBorder="1"/>
    <xf numFmtId="179" fontId="168" fillId="93" borderId="694" xfId="129" applyNumberFormat="1" applyFont="1" applyFill="1" applyBorder="1"/>
    <xf numFmtId="0" fontId="168" fillId="91" borderId="703" xfId="129" applyFont="1" applyBorder="1"/>
    <xf numFmtId="0" fontId="168" fillId="91" borderId="657" xfId="129" applyFont="1" applyBorder="1"/>
    <xf numFmtId="0" fontId="168" fillId="91" borderId="686" xfId="129" applyFont="1" applyBorder="1"/>
    <xf numFmtId="0" fontId="168" fillId="91" borderId="583" xfId="129" applyFont="1" applyBorder="1"/>
    <xf numFmtId="179" fontId="168" fillId="91" borderId="704" xfId="129" applyNumberFormat="1" applyFont="1" applyBorder="1"/>
    <xf numFmtId="0" fontId="168" fillId="91" borderId="705" xfId="129" applyFont="1" applyBorder="1"/>
    <xf numFmtId="0" fontId="168" fillId="91" borderId="706" xfId="129" applyFont="1" applyBorder="1"/>
    <xf numFmtId="179" fontId="168" fillId="93" borderId="704" xfId="129" applyNumberFormat="1" applyFont="1" applyFill="1" applyBorder="1"/>
    <xf numFmtId="0" fontId="168" fillId="91" borderId="707" xfId="129" applyFont="1" applyBorder="1"/>
    <xf numFmtId="0" fontId="168" fillId="91" borderId="680" xfId="129" applyFont="1" applyBorder="1"/>
    <xf numFmtId="0" fontId="168" fillId="91" borderId="690" xfId="129" applyFont="1" applyBorder="1"/>
    <xf numFmtId="0" fontId="168" fillId="91" borderId="586" xfId="129" applyFont="1" applyBorder="1"/>
    <xf numFmtId="179" fontId="168" fillId="91" borderId="696" xfId="129" applyNumberFormat="1" applyFont="1" applyBorder="1"/>
    <xf numFmtId="0" fontId="168" fillId="91" borderId="708" xfId="129" applyFont="1" applyBorder="1"/>
    <xf numFmtId="0" fontId="168" fillId="91" borderId="623" xfId="129" applyFont="1" applyBorder="1"/>
    <xf numFmtId="179" fontId="168" fillId="93" borderId="696" xfId="129" applyNumberFormat="1" applyFont="1" applyFill="1" applyBorder="1"/>
    <xf numFmtId="0" fontId="168" fillId="91" borderId="709" xfId="129" applyFont="1" applyBorder="1"/>
    <xf numFmtId="0" fontId="168" fillId="91" borderId="620" xfId="129" applyFont="1" applyBorder="1"/>
    <xf numFmtId="179" fontId="168" fillId="91" borderId="696" xfId="129" applyNumberFormat="1" applyFont="1" applyFill="1" applyBorder="1"/>
    <xf numFmtId="0" fontId="168" fillId="91" borderId="696" xfId="129" applyFont="1" applyBorder="1"/>
    <xf numFmtId="0" fontId="168" fillId="91" borderId="624" xfId="129" applyFont="1" applyBorder="1"/>
    <xf numFmtId="3" fontId="168" fillId="91" borderId="579" xfId="129" applyNumberFormat="1" applyFont="1"/>
    <xf numFmtId="179" fontId="168" fillId="91" borderId="585" xfId="129" applyNumberFormat="1" applyFont="1" applyBorder="1"/>
    <xf numFmtId="0" fontId="168" fillId="91" borderId="710" xfId="129" applyFont="1" applyBorder="1"/>
    <xf numFmtId="0" fontId="168" fillId="91" borderId="711" xfId="129" applyFont="1" applyBorder="1"/>
    <xf numFmtId="179" fontId="168" fillId="93" borderId="620" xfId="129" applyNumberFormat="1" applyFont="1" applyFill="1" applyBorder="1"/>
    <xf numFmtId="0" fontId="168" fillId="91" borderId="712" xfId="129" applyFont="1" applyBorder="1"/>
    <xf numFmtId="0" fontId="168" fillId="91" borderId="713" xfId="129" applyFont="1" applyBorder="1"/>
    <xf numFmtId="0" fontId="168" fillId="91" borderId="714" xfId="129" applyFont="1" applyBorder="1"/>
    <xf numFmtId="179" fontId="168" fillId="91" borderId="672" xfId="129" applyNumberFormat="1" applyFont="1" applyFill="1" applyBorder="1"/>
    <xf numFmtId="179" fontId="168" fillId="91" borderId="579" xfId="129" applyNumberFormat="1" applyFont="1"/>
    <xf numFmtId="179" fontId="168" fillId="91" borderId="596" xfId="129" applyNumberFormat="1" applyFont="1" applyBorder="1"/>
    <xf numFmtId="0" fontId="168" fillId="91" borderId="715" xfId="129" applyFont="1" applyBorder="1"/>
    <xf numFmtId="0" fontId="168" fillId="91" borderId="716" xfId="129" applyFont="1" applyBorder="1"/>
    <xf numFmtId="179" fontId="168" fillId="91" borderId="596" xfId="129" applyNumberFormat="1" applyFont="1" applyFill="1" applyBorder="1"/>
    <xf numFmtId="0" fontId="168" fillId="91" borderId="717" xfId="129" applyFont="1" applyBorder="1"/>
    <xf numFmtId="0" fontId="168" fillId="91" borderId="596" xfId="129" applyFont="1" applyBorder="1"/>
    <xf numFmtId="0" fontId="168" fillId="91" borderId="595" xfId="129" applyFont="1" applyBorder="1"/>
    <xf numFmtId="0" fontId="168" fillId="91" borderId="597" xfId="129" applyFont="1" applyBorder="1"/>
    <xf numFmtId="179" fontId="168" fillId="91" borderId="694" xfId="129" applyNumberFormat="1" applyFont="1" applyFill="1" applyBorder="1"/>
    <xf numFmtId="0" fontId="168" fillId="91" borderId="694" xfId="129" applyFont="1" applyBorder="1"/>
    <xf numFmtId="0" fontId="168" fillId="91" borderId="695" xfId="129" applyFont="1" applyBorder="1"/>
    <xf numFmtId="0" fontId="168" fillId="91" borderId="660" xfId="129" applyFont="1" applyBorder="1"/>
    <xf numFmtId="179" fontId="168" fillId="91" borderId="588" xfId="129" applyNumberFormat="1" applyFont="1" applyBorder="1"/>
    <xf numFmtId="179" fontId="168" fillId="91" borderId="713" xfId="129" applyNumberFormat="1" applyFont="1" applyBorder="1"/>
    <xf numFmtId="179" fontId="168" fillId="91" borderId="718" xfId="129" applyNumberFormat="1" applyFont="1" applyBorder="1"/>
    <xf numFmtId="179" fontId="168" fillId="91" borderId="588" xfId="129" applyNumberFormat="1" applyFont="1" applyFill="1" applyBorder="1"/>
    <xf numFmtId="0" fontId="168" fillId="91" borderId="588" xfId="129" applyFont="1" applyBorder="1" applyAlignment="1">
      <alignment vertical="center"/>
    </xf>
    <xf numFmtId="0" fontId="168" fillId="91" borderId="589" xfId="129" applyFont="1" applyBorder="1" applyAlignment="1">
      <alignment vertical="center"/>
    </xf>
    <xf numFmtId="0" fontId="168" fillId="91" borderId="590" xfId="129" applyFont="1" applyBorder="1" applyAlignment="1">
      <alignment vertical="center"/>
    </xf>
    <xf numFmtId="179" fontId="168" fillId="91" borderId="581" xfId="129" applyNumberFormat="1" applyFont="1" applyBorder="1"/>
    <xf numFmtId="179" fontId="168" fillId="91" borderId="687" xfId="129" applyNumberFormat="1" applyFont="1" applyBorder="1"/>
    <xf numFmtId="179" fontId="168" fillId="91" borderId="582" xfId="129" applyNumberFormat="1" applyFont="1" applyBorder="1"/>
    <xf numFmtId="179" fontId="168" fillId="91" borderId="581" xfId="129" applyNumberFormat="1" applyFont="1" applyFill="1" applyBorder="1"/>
    <xf numFmtId="179" fontId="168" fillId="91" borderId="583" xfId="129" applyNumberFormat="1" applyFont="1" applyBorder="1"/>
    <xf numFmtId="0" fontId="168" fillId="91" borderId="581" xfId="129" applyFont="1" applyBorder="1" applyAlignment="1">
      <alignment vertical="center"/>
    </xf>
    <xf numFmtId="0" fontId="168" fillId="91" borderId="674" xfId="129" applyFont="1" applyBorder="1" applyAlignment="1">
      <alignment vertical="center"/>
    </xf>
    <xf numFmtId="0" fontId="168" fillId="91" borderId="583" xfId="129" applyFont="1" applyBorder="1" applyAlignment="1">
      <alignment vertical="center"/>
    </xf>
    <xf numFmtId="179" fontId="168" fillId="91" borderId="661" xfId="129" applyNumberFormat="1" applyFont="1" applyBorder="1"/>
    <xf numFmtId="179" fontId="168" fillId="91" borderId="697" xfId="129" applyNumberFormat="1" applyFont="1" applyBorder="1"/>
    <xf numFmtId="179" fontId="168" fillId="91" borderId="662" xfId="129" applyNumberFormat="1" applyFont="1" applyBorder="1"/>
    <xf numFmtId="0" fontId="168" fillId="91" borderId="620" xfId="129" applyFont="1" applyBorder="1" applyAlignment="1">
      <alignment vertical="center"/>
    </xf>
    <xf numFmtId="0" fontId="168" fillId="91" borderId="690" xfId="129" applyFont="1" applyBorder="1" applyAlignment="1">
      <alignment vertical="center"/>
    </xf>
    <xf numFmtId="0" fontId="168" fillId="91" borderId="586" xfId="129" applyFont="1" applyBorder="1" applyAlignment="1">
      <alignment vertical="center"/>
    </xf>
    <xf numFmtId="0" fontId="168" fillId="91" borderId="696" xfId="129" applyFont="1" applyBorder="1" applyAlignment="1">
      <alignment vertical="center"/>
    </xf>
    <xf numFmtId="0" fontId="168" fillId="91" borderId="624" xfId="129" applyFont="1" applyBorder="1" applyAlignment="1">
      <alignment vertical="center"/>
    </xf>
    <xf numFmtId="179" fontId="168" fillId="91" borderId="678" xfId="129" applyNumberFormat="1" applyFont="1" applyBorder="1"/>
    <xf numFmtId="179" fontId="168" fillId="91" borderId="719" xfId="129" applyNumberFormat="1" applyFont="1" applyBorder="1"/>
    <xf numFmtId="179" fontId="168" fillId="91" borderId="704" xfId="129" applyNumberFormat="1" applyFont="1" applyFill="1" applyBorder="1"/>
    <xf numFmtId="179" fontId="168" fillId="91" borderId="681" xfId="129" applyNumberFormat="1" applyFont="1" applyBorder="1"/>
    <xf numFmtId="0" fontId="168" fillId="91" borderId="680" xfId="129" applyFont="1" applyBorder="1" applyAlignment="1">
      <alignment vertical="center"/>
    </xf>
    <xf numFmtId="179" fontId="168" fillId="98" borderId="696" xfId="129" applyNumberFormat="1" applyFont="1" applyFill="1" applyBorder="1"/>
    <xf numFmtId="0" fontId="168" fillId="91" borderId="704" xfId="129" applyFont="1" applyBorder="1" applyAlignment="1">
      <alignment vertical="center"/>
    </xf>
    <xf numFmtId="179" fontId="168" fillId="91" borderId="698" xfId="129" applyNumberFormat="1" applyFont="1" applyBorder="1"/>
    <xf numFmtId="179" fontId="168" fillId="91" borderId="670" xfId="129" applyNumberFormat="1" applyFont="1" applyBorder="1"/>
    <xf numFmtId="179" fontId="168" fillId="91" borderId="699" xfId="129" applyNumberFormat="1" applyFont="1" applyBorder="1"/>
    <xf numFmtId="179" fontId="168" fillId="91" borderId="698" xfId="129" applyNumberFormat="1" applyFont="1" applyFill="1" applyBorder="1"/>
    <xf numFmtId="179" fontId="168" fillId="91" borderId="673" xfId="129" applyNumberFormat="1" applyFont="1" applyBorder="1"/>
    <xf numFmtId="0" fontId="168" fillId="91" borderId="698" xfId="129" applyFont="1" applyBorder="1" applyAlignment="1">
      <alignment vertical="center"/>
    </xf>
    <xf numFmtId="0" fontId="168" fillId="91" borderId="669" xfId="129" applyFont="1" applyBorder="1" applyAlignment="1">
      <alignment vertical="center"/>
    </xf>
    <xf numFmtId="179" fontId="168" fillId="91" borderId="653" xfId="129" applyNumberFormat="1" applyFont="1" applyBorder="1"/>
    <xf numFmtId="179" fontId="168" fillId="91" borderId="595" xfId="129" applyNumberFormat="1" applyFont="1" applyBorder="1"/>
    <xf numFmtId="179" fontId="168" fillId="91" borderId="597" xfId="129" applyNumberFormat="1" applyFont="1" applyBorder="1"/>
    <xf numFmtId="0" fontId="168" fillId="91" borderId="596" xfId="129" applyFont="1" applyBorder="1" applyAlignment="1">
      <alignment vertical="center"/>
    </xf>
    <xf numFmtId="0" fontId="168" fillId="91" borderId="595" xfId="129" applyFont="1" applyBorder="1" applyAlignment="1">
      <alignment vertical="center"/>
    </xf>
    <xf numFmtId="0" fontId="168" fillId="91" borderId="597" xfId="129" applyFont="1" applyBorder="1" applyAlignment="1">
      <alignment vertical="center"/>
    </xf>
    <xf numFmtId="179" fontId="168" fillId="96" borderId="581" xfId="129" applyNumberFormat="1" applyFont="1" applyFill="1" applyBorder="1"/>
    <xf numFmtId="0" fontId="168" fillId="91" borderId="686" xfId="129" applyFont="1" applyBorder="1" applyAlignment="1">
      <alignment vertical="center"/>
    </xf>
    <xf numFmtId="179" fontId="168" fillId="96" borderId="704" xfId="129" applyNumberFormat="1" applyFont="1" applyFill="1" applyBorder="1"/>
    <xf numFmtId="179" fontId="168" fillId="96" borderId="696" xfId="129" applyNumberFormat="1" applyFont="1" applyFill="1" applyBorder="1"/>
    <xf numFmtId="179" fontId="168" fillId="91" borderId="657" xfId="129" applyNumberFormat="1" applyFont="1" applyFill="1" applyBorder="1"/>
    <xf numFmtId="179" fontId="168" fillId="95" borderId="704" xfId="129" applyNumberFormat="1" applyFont="1" applyFill="1" applyBorder="1"/>
    <xf numFmtId="179" fontId="168" fillId="95" borderId="696" xfId="129" applyNumberFormat="1" applyFont="1" applyFill="1" applyBorder="1"/>
    <xf numFmtId="179" fontId="168" fillId="95" borderId="581" xfId="129" applyNumberFormat="1" applyFont="1" applyFill="1" applyBorder="1"/>
    <xf numFmtId="0" fontId="168" fillId="91" borderId="689" xfId="129" applyFont="1" applyBorder="1" applyAlignment="1">
      <alignment vertical="center"/>
    </xf>
    <xf numFmtId="179" fontId="168" fillId="91" borderId="691" xfId="129" applyNumberFormat="1" applyFont="1" applyBorder="1"/>
    <xf numFmtId="179" fontId="168" fillId="91" borderId="579" xfId="129" applyNumberFormat="1" applyFont="1" applyBorder="1"/>
    <xf numFmtId="179" fontId="168" fillId="91" borderId="586" xfId="129" applyNumberFormat="1" applyFont="1" applyBorder="1"/>
    <xf numFmtId="179" fontId="168" fillId="103" borderId="586" xfId="129" applyNumberFormat="1" applyFont="1" applyFill="1" applyBorder="1"/>
    <xf numFmtId="0" fontId="168" fillId="91" borderId="693" xfId="129" applyFont="1" applyBorder="1" applyAlignment="1">
      <alignment vertical="center"/>
    </xf>
    <xf numFmtId="179" fontId="168" fillId="95" borderId="585" xfId="129" applyNumberFormat="1" applyFont="1" applyFill="1" applyBorder="1"/>
    <xf numFmtId="0" fontId="168" fillId="91" borderId="694" xfId="129" applyFont="1" applyBorder="1" applyAlignment="1">
      <alignment horizontal="distributed" vertical="center" justifyLastLine="1"/>
    </xf>
    <xf numFmtId="0" fontId="168" fillId="91" borderId="658" xfId="129" applyFont="1" applyBorder="1" applyAlignment="1">
      <alignment horizontal="distributed" vertical="center" justifyLastLine="1"/>
    </xf>
    <xf numFmtId="0" fontId="168" fillId="91" borderId="695" xfId="129" applyFont="1" applyBorder="1" applyAlignment="1">
      <alignment horizontal="distributed" vertical="center" justifyLastLine="1"/>
    </xf>
    <xf numFmtId="0" fontId="168" fillId="91" borderId="660" xfId="129" applyFont="1" applyBorder="1" applyAlignment="1">
      <alignment horizontal="distributed" vertical="center" justifyLastLine="1"/>
    </xf>
    <xf numFmtId="0" fontId="168" fillId="91" borderId="579" xfId="129" applyFont="1" applyAlignment="1">
      <alignment horizontal="right"/>
    </xf>
    <xf numFmtId="0" fontId="168" fillId="91" borderId="579" xfId="129" applyFont="1" applyAlignment="1">
      <alignment horizontal="center"/>
    </xf>
    <xf numFmtId="189" fontId="168" fillId="91" borderId="579" xfId="129" applyNumberFormat="1" applyFont="1"/>
    <xf numFmtId="179" fontId="168" fillId="91" borderId="655" xfId="129" applyNumberFormat="1" applyFont="1" applyBorder="1"/>
    <xf numFmtId="179" fontId="168" fillId="91" borderId="689" xfId="129" applyNumberFormat="1" applyFont="1" applyBorder="1" applyAlignment="1">
      <alignment vertical="center"/>
    </xf>
    <xf numFmtId="189" fontId="168" fillId="93" borderId="582" xfId="129" applyNumberFormat="1" applyFont="1" applyFill="1" applyBorder="1" applyAlignment="1">
      <alignment vertical="center"/>
    </xf>
    <xf numFmtId="0" fontId="168" fillId="91" borderId="660" xfId="129" applyFont="1" applyBorder="1" applyAlignment="1">
      <alignment vertical="center"/>
    </xf>
    <xf numFmtId="179" fontId="168" fillId="91" borderId="620" xfId="129" applyNumberFormat="1" applyFont="1" applyBorder="1" applyAlignment="1">
      <alignment vertical="center"/>
    </xf>
    <xf numFmtId="179" fontId="168" fillId="93" borderId="697" xfId="129" applyNumberFormat="1" applyFont="1" applyFill="1" applyBorder="1" applyAlignment="1">
      <alignment vertical="center"/>
    </xf>
    <xf numFmtId="179" fontId="168" fillId="91" borderId="697" xfId="129" applyNumberFormat="1" applyFont="1" applyBorder="1" applyAlignment="1">
      <alignment vertical="center"/>
    </xf>
    <xf numFmtId="0" fontId="168" fillId="91" borderId="662" xfId="129" applyFont="1" applyBorder="1" applyAlignment="1">
      <alignment vertical="center"/>
    </xf>
    <xf numFmtId="179" fontId="168" fillId="93" borderId="620" xfId="129" applyNumberFormat="1" applyFont="1" applyFill="1" applyBorder="1" applyAlignment="1">
      <alignment vertical="center"/>
    </xf>
    <xf numFmtId="179" fontId="168" fillId="91" borderId="693" xfId="129" applyNumberFormat="1" applyFont="1" applyBorder="1" applyAlignment="1">
      <alignment vertical="center"/>
    </xf>
    <xf numFmtId="179" fontId="168" fillId="93" borderId="579" xfId="129" applyNumberFormat="1" applyFont="1" applyFill="1" applyBorder="1" applyAlignment="1">
      <alignment vertical="center"/>
    </xf>
    <xf numFmtId="0" fontId="168" fillId="91" borderId="585" xfId="129" applyFont="1" applyBorder="1" applyAlignment="1">
      <alignment vertical="center"/>
    </xf>
    <xf numFmtId="0" fontId="168" fillId="91" borderId="657" xfId="129" applyFont="1" applyBorder="1" applyAlignment="1">
      <alignment horizontal="distributed" vertical="center" justifyLastLine="1"/>
    </xf>
    <xf numFmtId="0" fontId="168" fillId="91" borderId="582" xfId="129" applyFont="1" applyBorder="1" applyAlignment="1">
      <alignment horizontal="distributed" vertical="center" justifyLastLine="1"/>
    </xf>
    <xf numFmtId="38" fontId="168" fillId="91" borderId="579" xfId="129" applyNumberFormat="1" applyFont="1"/>
    <xf numFmtId="38" fontId="168" fillId="91" borderId="661" xfId="129" applyNumberFormat="1" applyFont="1" applyFill="1" applyBorder="1"/>
    <xf numFmtId="0" fontId="168" fillId="91" borderId="661" xfId="129" applyFont="1" applyFill="1" applyBorder="1" applyAlignment="1">
      <alignment horizontal="distributed" vertical="center" justifyLastLine="1"/>
    </xf>
    <xf numFmtId="0" fontId="168" fillId="91" borderId="661" xfId="129" applyFont="1" applyFill="1" applyBorder="1"/>
    <xf numFmtId="0" fontId="168" fillId="91" borderId="661" xfId="129" applyFont="1" applyFill="1" applyBorder="1" applyAlignment="1">
      <alignment horizontal="center" vertical="center" shrinkToFit="1"/>
    </xf>
    <xf numFmtId="0" fontId="189" fillId="91" borderId="661" xfId="129" applyFont="1" applyFill="1" applyBorder="1" applyAlignment="1">
      <alignment horizontal="distributed" vertical="center" justifyLastLine="1"/>
    </xf>
    <xf numFmtId="192" fontId="168" fillId="91" borderId="661" xfId="129" applyNumberFormat="1" applyFont="1" applyFill="1" applyBorder="1"/>
    <xf numFmtId="0" fontId="190" fillId="91" borderId="661" xfId="129" applyFont="1" applyFill="1" applyBorder="1" applyAlignment="1">
      <alignment horizontal="distributed" vertical="center" justifyLastLine="1"/>
    </xf>
    <xf numFmtId="0" fontId="191" fillId="91" borderId="661" xfId="129" applyFont="1" applyFill="1" applyBorder="1" applyAlignment="1">
      <alignment horizontal="distributed" vertical="center" justifyLastLine="1"/>
    </xf>
    <xf numFmtId="38" fontId="168" fillId="99" borderId="661" xfId="129" applyNumberFormat="1" applyFont="1" applyFill="1" applyBorder="1"/>
    <xf numFmtId="0" fontId="192" fillId="91" borderId="661" xfId="129" applyFont="1" applyFill="1" applyBorder="1"/>
    <xf numFmtId="0" fontId="193" fillId="91" borderId="661" xfId="129" applyFont="1" applyFill="1" applyBorder="1" applyAlignment="1">
      <alignment horizontal="distributed" vertical="center" justifyLastLine="1"/>
    </xf>
    <xf numFmtId="0" fontId="193" fillId="91" borderId="661" xfId="129" applyFont="1" applyFill="1" applyBorder="1"/>
    <xf numFmtId="0" fontId="194" fillId="91" borderId="661" xfId="129" applyFont="1" applyFill="1" applyBorder="1"/>
    <xf numFmtId="38" fontId="168" fillId="93" borderId="661" xfId="129" applyNumberFormat="1" applyFont="1" applyFill="1" applyBorder="1"/>
    <xf numFmtId="192" fontId="168" fillId="99" borderId="661" xfId="129" applyNumberFormat="1" applyFont="1" applyFill="1" applyBorder="1"/>
    <xf numFmtId="0" fontId="168" fillId="91" borderId="661" xfId="129" applyFont="1" applyFill="1" applyBorder="1" applyAlignment="1">
      <alignment horizontal="center"/>
    </xf>
    <xf numFmtId="0" fontId="159" fillId="91" borderId="580" xfId="119" applyFont="1" applyBorder="1" applyAlignment="1">
      <alignment vertical="center" wrapText="1"/>
    </xf>
    <xf numFmtId="0" fontId="159" fillId="91" borderId="681" xfId="119" applyFont="1" applyFill="1" applyBorder="1" applyAlignment="1">
      <alignment vertical="center" wrapText="1"/>
    </xf>
    <xf numFmtId="0" fontId="159" fillId="91" borderId="680" xfId="119" applyFont="1" applyBorder="1">
      <alignment vertical="center"/>
    </xf>
    <xf numFmtId="0" fontId="159" fillId="91" borderId="678" xfId="119" applyFont="1" applyBorder="1">
      <alignment vertical="center"/>
    </xf>
    <xf numFmtId="0" fontId="159" fillId="91" borderId="676" xfId="119" applyFont="1" applyBorder="1">
      <alignment vertical="center"/>
    </xf>
    <xf numFmtId="0" fontId="159" fillId="91" borderId="676" xfId="119" applyFont="1" applyFill="1" applyBorder="1">
      <alignment vertical="center"/>
    </xf>
    <xf numFmtId="0" fontId="159" fillId="91" borderId="661" xfId="119" applyFont="1" applyFill="1" applyBorder="1">
      <alignment vertical="center"/>
    </xf>
    <xf numFmtId="0" fontId="159" fillId="91" borderId="678" xfId="119" applyFont="1" applyFill="1" applyBorder="1">
      <alignment vertical="center"/>
    </xf>
    <xf numFmtId="0" fontId="196" fillId="91" borderId="579" xfId="119" applyFont="1" applyAlignment="1">
      <alignment horizontal="right" vertical="center" wrapText="1"/>
    </xf>
    <xf numFmtId="0" fontId="159" fillId="91" borderId="641" xfId="119" applyFont="1" applyBorder="1">
      <alignment vertical="center"/>
    </xf>
    <xf numFmtId="0" fontId="159" fillId="91" borderId="720" xfId="119" applyFont="1" applyBorder="1">
      <alignment vertical="center"/>
    </xf>
    <xf numFmtId="0" fontId="159" fillId="91" borderId="721" xfId="119" applyFont="1" applyFill="1" applyBorder="1">
      <alignment vertical="center"/>
    </xf>
    <xf numFmtId="0" fontId="157" fillId="91" borderId="579" xfId="117"/>
    <xf numFmtId="0" fontId="159" fillId="91" borderId="661" xfId="119" applyFont="1" applyBorder="1">
      <alignment vertical="center"/>
    </xf>
    <xf numFmtId="0" fontId="159" fillId="91" borderId="678" xfId="119" applyFont="1" applyBorder="1">
      <alignment vertical="center"/>
    </xf>
    <xf numFmtId="0" fontId="159" fillId="91" borderId="661" xfId="119" applyFont="1" applyFill="1" applyBorder="1">
      <alignment vertical="center"/>
    </xf>
    <xf numFmtId="0" fontId="159" fillId="91" borderId="678" xfId="119" applyFont="1" applyFill="1" applyBorder="1">
      <alignment vertical="center"/>
    </xf>
    <xf numFmtId="0" fontId="196" fillId="91" borderId="579" xfId="119" applyFont="1" applyAlignment="1">
      <alignment horizontal="right" vertical="center" wrapText="1"/>
    </xf>
    <xf numFmtId="0" fontId="159" fillId="91" borderId="641" xfId="119" applyFont="1" applyBorder="1">
      <alignment vertical="center"/>
    </xf>
    <xf numFmtId="0" fontId="159" fillId="91" borderId="720" xfId="119" applyFont="1" applyBorder="1">
      <alignment vertical="center"/>
    </xf>
    <xf numFmtId="0" fontId="159" fillId="91" borderId="720" xfId="119" applyFont="1" applyFill="1" applyBorder="1">
      <alignment vertical="center"/>
    </xf>
    <xf numFmtId="0" fontId="159" fillId="91" borderId="721" xfId="119" applyFont="1" applyFill="1" applyBorder="1">
      <alignment vertical="center"/>
    </xf>
    <xf numFmtId="189" fontId="181" fillId="91" borderId="632" xfId="119" applyNumberFormat="1" applyFont="1" applyFill="1" applyBorder="1">
      <alignment vertical="center"/>
    </xf>
    <xf numFmtId="189" fontId="181" fillId="91" borderId="631" xfId="119" applyNumberFormat="1" applyFont="1" applyFill="1" applyBorder="1">
      <alignment vertical="center"/>
    </xf>
    <xf numFmtId="189" fontId="181" fillId="91" borderId="630" xfId="119" applyNumberFormat="1" applyFont="1" applyFill="1" applyBorder="1">
      <alignment vertical="center"/>
    </xf>
    <xf numFmtId="189" fontId="181" fillId="91" borderId="629" xfId="119" applyNumberFormat="1" applyFont="1" applyFill="1" applyBorder="1">
      <alignment vertical="center"/>
    </xf>
    <xf numFmtId="189" fontId="181" fillId="91" borderId="643" xfId="119" applyNumberFormat="1" applyFont="1" applyFill="1" applyBorder="1">
      <alignment vertical="center"/>
    </xf>
    <xf numFmtId="189" fontId="181" fillId="91" borderId="642" xfId="119" applyNumberFormat="1" applyFont="1" applyFill="1" applyBorder="1">
      <alignment vertical="center"/>
    </xf>
    <xf numFmtId="189" fontId="181" fillId="91" borderId="616" xfId="119" applyNumberFormat="1" applyFont="1" applyFill="1" applyBorder="1">
      <alignment vertical="center"/>
    </xf>
    <xf numFmtId="189" fontId="181" fillId="91" borderId="612" xfId="119" applyNumberFormat="1" applyFont="1" applyFill="1" applyBorder="1">
      <alignment vertical="center"/>
    </xf>
    <xf numFmtId="189" fontId="181" fillId="91" borderId="648" xfId="119" applyNumberFormat="1" applyFont="1" applyFill="1" applyBorder="1">
      <alignment vertical="center"/>
    </xf>
    <xf numFmtId="189" fontId="181" fillId="91" borderId="647" xfId="119" applyNumberFormat="1" applyFont="1" applyFill="1" applyBorder="1">
      <alignment vertical="center"/>
    </xf>
    <xf numFmtId="189" fontId="181" fillId="91" borderId="624" xfId="119" applyNumberFormat="1" applyFont="1" applyFill="1" applyBorder="1">
      <alignment vertical="center"/>
    </xf>
    <xf numFmtId="189" fontId="181" fillId="91" borderId="620" xfId="119" applyNumberFormat="1" applyFont="1" applyFill="1" applyBorder="1">
      <alignment vertical="center"/>
    </xf>
    <xf numFmtId="189" fontId="182" fillId="94" borderId="619" xfId="119" applyNumberFormat="1" applyFont="1" applyFill="1" applyBorder="1">
      <alignment vertical="center"/>
    </xf>
    <xf numFmtId="0" fontId="159" fillId="91" borderId="584" xfId="119" applyFont="1" applyBorder="1">
      <alignment vertical="center"/>
    </xf>
    <xf numFmtId="0" fontId="159" fillId="91" borderId="584" xfId="119" applyFont="1" applyBorder="1" applyAlignment="1">
      <alignment vertical="center" wrapText="1"/>
    </xf>
    <xf numFmtId="0" fontId="159" fillId="91" borderId="580" xfId="119" applyFont="1" applyBorder="1">
      <alignment vertical="center"/>
    </xf>
    <xf numFmtId="0" fontId="159" fillId="91" borderId="579" xfId="119" applyFont="1" applyBorder="1">
      <alignment vertical="center"/>
    </xf>
    <xf numFmtId="0" fontId="162" fillId="91" borderId="579" xfId="119" applyFont="1" applyBorder="1">
      <alignment vertical="center"/>
    </xf>
    <xf numFmtId="0" fontId="159" fillId="91" borderId="587" xfId="119" applyFont="1" applyBorder="1" applyAlignment="1">
      <alignment vertical="center" wrapText="1"/>
    </xf>
    <xf numFmtId="0" fontId="159" fillId="91" borderId="580" xfId="119" applyFont="1" applyBorder="1" applyAlignment="1">
      <alignment vertical="center" wrapText="1"/>
    </xf>
    <xf numFmtId="0" fontId="159" fillId="91" borderId="587" xfId="119" applyFont="1" applyBorder="1">
      <alignment vertical="center"/>
    </xf>
    <xf numFmtId="0" fontId="159" fillId="91" borderId="588" xfId="119" applyFont="1" applyBorder="1">
      <alignment vertical="center"/>
    </xf>
    <xf numFmtId="0" fontId="159" fillId="91" borderId="585" xfId="119" applyFont="1" applyBorder="1">
      <alignment vertical="center"/>
    </xf>
    <xf numFmtId="0" fontId="159" fillId="91" borderId="581" xfId="119" applyFont="1" applyBorder="1">
      <alignment vertical="center"/>
    </xf>
    <xf numFmtId="0" fontId="159" fillId="91" borderId="586" xfId="119" applyFont="1" applyBorder="1">
      <alignment vertical="center"/>
    </xf>
    <xf numFmtId="0" fontId="159" fillId="91" borderId="590" xfId="119" applyFont="1" applyBorder="1">
      <alignment vertical="center"/>
    </xf>
    <xf numFmtId="0" fontId="159" fillId="91" borderId="589" xfId="119" applyFont="1" applyBorder="1">
      <alignment vertical="center"/>
    </xf>
    <xf numFmtId="0" fontId="159" fillId="91" borderId="583" xfId="119" applyFont="1" applyBorder="1">
      <alignment vertical="center"/>
    </xf>
    <xf numFmtId="0" fontId="159" fillId="91" borderId="582" xfId="119" applyFont="1" applyBorder="1">
      <alignment vertical="center"/>
    </xf>
    <xf numFmtId="0" fontId="159" fillId="91" borderId="594" xfId="119" applyFont="1" applyBorder="1" applyAlignment="1">
      <alignment horizontal="center" vertical="center"/>
    </xf>
    <xf numFmtId="189" fontId="182" fillId="91" borderId="640" xfId="119" applyNumberFormat="1" applyFont="1" applyFill="1" applyBorder="1">
      <alignment vertical="center"/>
    </xf>
    <xf numFmtId="190" fontId="159" fillId="91" borderId="690" xfId="120" applyNumberFormat="1" applyFont="1" applyBorder="1" applyAlignment="1">
      <alignment vertical="center"/>
    </xf>
    <xf numFmtId="190" fontId="159" fillId="91" borderId="686" xfId="120" applyNumberFormat="1" applyFont="1" applyBorder="1" applyAlignment="1">
      <alignment vertical="center"/>
    </xf>
    <xf numFmtId="10" fontId="159" fillId="91" borderId="687" xfId="120" applyNumberFormat="1" applyFont="1" applyBorder="1" applyAlignment="1">
      <alignment vertical="center"/>
    </xf>
    <xf numFmtId="10" fontId="159" fillId="94" borderId="691" xfId="120" applyNumberFormat="1" applyFont="1" applyFill="1" applyBorder="1" applyAlignment="1">
      <alignment vertical="center"/>
    </xf>
    <xf numFmtId="9" fontId="159" fillId="105" borderId="653" xfId="120" applyNumberFormat="1" applyFont="1" applyFill="1" applyBorder="1" applyAlignment="1">
      <alignment horizontal="center" vertical="center"/>
    </xf>
    <xf numFmtId="10" fontId="159" fillId="105" borderId="691" xfId="120" applyNumberFormat="1" applyFont="1" applyFill="1" applyBorder="1" applyAlignment="1">
      <alignment vertical="center"/>
    </xf>
    <xf numFmtId="10" fontId="159" fillId="105" borderId="687" xfId="120" applyNumberFormat="1" applyFont="1" applyFill="1" applyBorder="1" applyAlignment="1">
      <alignment vertical="center"/>
    </xf>
    <xf numFmtId="189" fontId="158" fillId="105" borderId="640" xfId="119" applyNumberFormat="1" applyFill="1" applyBorder="1" applyAlignment="1">
      <alignment horizontal="center" vertical="center"/>
    </xf>
    <xf numFmtId="0" fontId="167" fillId="105" borderId="579" xfId="128" applyFill="1"/>
    <xf numFmtId="0" fontId="157" fillId="105" borderId="579" xfId="117" applyFill="1" applyAlignment="1">
      <alignment horizontal="right"/>
    </xf>
    <xf numFmtId="180" fontId="157" fillId="105" borderId="579" xfId="118" applyNumberFormat="1" applyFont="1" applyFill="1" applyBorder="1" applyAlignment="1">
      <alignment horizontal="right" vertical="center" shrinkToFit="1"/>
    </xf>
    <xf numFmtId="38" fontId="167" fillId="105" borderId="579" xfId="128" applyNumberFormat="1" applyFill="1"/>
    <xf numFmtId="38" fontId="157" fillId="105" borderId="579" xfId="124" applyFont="1" applyFill="1" applyAlignment="1"/>
    <xf numFmtId="0" fontId="159" fillId="91" borderId="579" xfId="119" applyFont="1" applyBorder="1">
      <alignment vertical="center"/>
    </xf>
    <xf numFmtId="0" fontId="162" fillId="91" borderId="579" xfId="119" applyFont="1" applyBorder="1">
      <alignment vertical="center"/>
    </xf>
    <xf numFmtId="0" fontId="157" fillId="91" borderId="579" xfId="117" applyFill="1"/>
    <xf numFmtId="38" fontId="163" fillId="91" borderId="579" xfId="122" applyFont="1" applyFill="1" applyAlignment="1">
      <alignment vertical="center"/>
    </xf>
    <xf numFmtId="0" fontId="159" fillId="91" borderId="580" xfId="119" applyFont="1" applyBorder="1">
      <alignment vertical="center"/>
    </xf>
    <xf numFmtId="0" fontId="159" fillId="91" borderId="584" xfId="119" applyFont="1" applyBorder="1">
      <alignment vertical="center"/>
    </xf>
    <xf numFmtId="0" fontId="159" fillId="91" borderId="584" xfId="119" applyFont="1" applyBorder="1" applyAlignment="1">
      <alignment vertical="center" wrapText="1"/>
    </xf>
    <xf numFmtId="0" fontId="159" fillId="91" borderId="587" xfId="119" applyFont="1" applyBorder="1" applyAlignment="1">
      <alignment horizontal="left" vertical="center"/>
    </xf>
    <xf numFmtId="0" fontId="159" fillId="91" borderId="584" xfId="119" applyFont="1" applyBorder="1" applyAlignment="1">
      <alignment vertical="top" wrapText="1"/>
    </xf>
    <xf numFmtId="0" fontId="159" fillId="91" borderId="579" xfId="119" applyFont="1" applyBorder="1">
      <alignment vertical="center"/>
    </xf>
    <xf numFmtId="0" fontId="159" fillId="91" borderId="584" xfId="119" applyFont="1" applyBorder="1">
      <alignment vertical="center"/>
    </xf>
    <xf numFmtId="0" fontId="159" fillId="91" borderId="586" xfId="119" applyFont="1" applyBorder="1">
      <alignment vertical="center"/>
    </xf>
    <xf numFmtId="0" fontId="159" fillId="91" borderId="579" xfId="119" applyFont="1" applyBorder="1">
      <alignment vertical="center"/>
    </xf>
    <xf numFmtId="0" fontId="159" fillId="91" borderId="585" xfId="119" applyFont="1" applyBorder="1">
      <alignment vertical="center"/>
    </xf>
    <xf numFmtId="0" fontId="162" fillId="91" borderId="579" xfId="119" applyFont="1" applyBorder="1">
      <alignment vertical="center"/>
    </xf>
    <xf numFmtId="0" fontId="159" fillId="94" borderId="579" xfId="119" applyFont="1" applyFill="1">
      <alignment vertical="center"/>
    </xf>
    <xf numFmtId="189" fontId="159" fillId="94" borderId="662" xfId="119" applyNumberFormat="1" applyFont="1" applyFill="1" applyBorder="1">
      <alignment vertical="center"/>
    </xf>
    <xf numFmtId="0" fontId="159" fillId="94" borderId="620" xfId="119" applyFont="1" applyFill="1" applyBorder="1">
      <alignment vertical="center"/>
    </xf>
    <xf numFmtId="38" fontId="159" fillId="94" borderId="619" xfId="121" applyFont="1" applyFill="1" applyBorder="1">
      <alignment vertical="center"/>
    </xf>
    <xf numFmtId="38" fontId="159" fillId="94" borderId="579" xfId="122" applyFont="1" applyFill="1" applyAlignment="1">
      <alignment vertical="center"/>
    </xf>
    <xf numFmtId="38" fontId="157" fillId="91" borderId="579" xfId="124" applyFont="1" applyAlignment="1">
      <alignment horizontal="center"/>
    </xf>
    <xf numFmtId="38" fontId="157" fillId="91" borderId="579" xfId="130" applyFont="1" applyAlignment="1">
      <alignment horizontal="center"/>
    </xf>
    <xf numFmtId="38" fontId="157" fillId="91" borderId="579" xfId="130" applyFont="1" applyAlignment="1"/>
    <xf numFmtId="38" fontId="167" fillId="91" borderId="579" xfId="130" applyFont="1" applyAlignment="1"/>
    <xf numFmtId="38" fontId="179" fillId="91" borderId="579" xfId="130" applyFont="1" applyAlignment="1"/>
    <xf numFmtId="38" fontId="171" fillId="91" borderId="579" xfId="130" applyFont="1" applyAlignment="1"/>
    <xf numFmtId="38" fontId="157" fillId="91" borderId="579" xfId="130" applyFont="1" applyFill="1" applyAlignment="1"/>
    <xf numFmtId="0" fontId="159" fillId="91" borderId="584" xfId="119" applyFont="1" applyBorder="1">
      <alignment vertical="center"/>
    </xf>
    <xf numFmtId="0" fontId="159" fillId="91" borderId="579" xfId="119" applyFont="1" applyBorder="1">
      <alignment vertical="center"/>
    </xf>
    <xf numFmtId="0" fontId="162" fillId="91" borderId="579" xfId="119" applyFont="1" applyBorder="1">
      <alignment vertical="center"/>
    </xf>
    <xf numFmtId="0" fontId="159" fillId="91" borderId="585" xfId="119" applyFont="1" applyBorder="1">
      <alignment vertical="center"/>
    </xf>
    <xf numFmtId="0" fontId="159" fillId="91" borderId="586" xfId="119" applyFont="1" applyBorder="1">
      <alignment vertical="center"/>
    </xf>
    <xf numFmtId="38" fontId="159" fillId="93" borderId="671" xfId="121" applyFont="1" applyFill="1" applyBorder="1" applyAlignment="1">
      <alignment horizontal="right" vertical="center"/>
    </xf>
    <xf numFmtId="38" fontId="159" fillId="93" borderId="670" xfId="121" applyFont="1" applyFill="1" applyBorder="1" applyAlignment="1">
      <alignment horizontal="right" vertical="center"/>
    </xf>
    <xf numFmtId="38" fontId="159" fillId="93" borderId="669" xfId="121" applyFont="1" applyFill="1" applyBorder="1" applyAlignment="1">
      <alignment horizontal="right" vertical="center"/>
    </xf>
    <xf numFmtId="38" fontId="159" fillId="91" borderId="668" xfId="121" applyFont="1" applyBorder="1" applyAlignment="1">
      <alignment horizontal="right" vertical="center"/>
    </xf>
    <xf numFmtId="38" fontId="159" fillId="91" borderId="671" xfId="121" applyFont="1" applyFill="1" applyBorder="1" applyAlignment="1">
      <alignment horizontal="right" vertical="center"/>
    </xf>
    <xf numFmtId="38" fontId="159" fillId="91" borderId="670" xfId="121" applyFont="1" applyFill="1" applyBorder="1" applyAlignment="1">
      <alignment horizontal="right" vertical="center"/>
    </xf>
    <xf numFmtId="38" fontId="159" fillId="91" borderId="669" xfId="121" applyFont="1" applyFill="1" applyBorder="1" applyAlignment="1">
      <alignment horizontal="right" vertical="center"/>
    </xf>
    <xf numFmtId="38" fontId="159" fillId="93" borderId="648" xfId="121" applyFont="1" applyFill="1" applyBorder="1" applyAlignment="1">
      <alignment horizontal="right" vertical="center"/>
    </xf>
    <xf numFmtId="38" fontId="159" fillId="93" borderId="661" xfId="121" applyFont="1" applyFill="1" applyBorder="1" applyAlignment="1">
      <alignment horizontal="right" vertical="center"/>
    </xf>
    <xf numFmtId="38" fontId="159" fillId="93" borderId="624" xfId="121" applyFont="1" applyFill="1" applyBorder="1" applyAlignment="1">
      <alignment horizontal="right" vertical="center"/>
    </xf>
    <xf numFmtId="38" fontId="159" fillId="91" borderId="619" xfId="121" applyFont="1" applyBorder="1" applyAlignment="1">
      <alignment horizontal="right" vertical="center"/>
    </xf>
    <xf numFmtId="38" fontId="159" fillId="91" borderId="619" xfId="121" applyFont="1" applyFill="1" applyBorder="1" applyAlignment="1">
      <alignment horizontal="right" vertical="center"/>
    </xf>
    <xf numFmtId="0" fontId="159" fillId="91" borderId="620" xfId="119" applyFont="1" applyBorder="1" applyAlignment="1">
      <alignment horizontal="right" vertical="center"/>
    </xf>
    <xf numFmtId="38" fontId="159" fillId="91" borderId="648" xfId="121" applyFont="1" applyFill="1" applyBorder="1" applyAlignment="1">
      <alignment horizontal="right" vertical="center"/>
    </xf>
    <xf numFmtId="38" fontId="159" fillId="91" borderId="661" xfId="121" applyFont="1" applyFill="1" applyBorder="1" applyAlignment="1">
      <alignment horizontal="right" vertical="center"/>
    </xf>
    <xf numFmtId="38" fontId="159" fillId="91" borderId="624" xfId="121" applyFont="1" applyFill="1" applyBorder="1" applyAlignment="1">
      <alignment horizontal="right" vertical="center"/>
    </xf>
    <xf numFmtId="38" fontId="159" fillId="91" borderId="648" xfId="121" applyFont="1" applyBorder="1" applyAlignment="1">
      <alignment horizontal="right" vertical="center"/>
    </xf>
    <xf numFmtId="38" fontId="159" fillId="91" borderId="661" xfId="121" applyFont="1" applyBorder="1" applyAlignment="1">
      <alignment horizontal="right" vertical="center"/>
    </xf>
    <xf numFmtId="38" fontId="159" fillId="91" borderId="624" xfId="121" applyFont="1" applyBorder="1" applyAlignment="1">
      <alignment horizontal="right" vertical="center"/>
    </xf>
    <xf numFmtId="38" fontId="159" fillId="91" borderId="659" xfId="121" applyFont="1" applyBorder="1" applyAlignment="1">
      <alignment horizontal="right" vertical="center"/>
    </xf>
    <xf numFmtId="38" fontId="159" fillId="91" borderId="658" xfId="121" applyFont="1" applyBorder="1" applyAlignment="1">
      <alignment horizontal="right" vertical="center"/>
    </xf>
    <xf numFmtId="38" fontId="159" fillId="91" borderId="674" xfId="121" applyFont="1" applyBorder="1" applyAlignment="1">
      <alignment horizontal="right" vertical="center"/>
    </xf>
    <xf numFmtId="38" fontId="159" fillId="91" borderId="656" xfId="121" applyFont="1" applyBorder="1" applyAlignment="1">
      <alignment horizontal="right" vertical="center"/>
    </xf>
    <xf numFmtId="0" fontId="159" fillId="91" borderId="657" xfId="119" applyFont="1" applyBorder="1" applyAlignment="1">
      <alignment horizontal="right" vertical="center"/>
    </xf>
    <xf numFmtId="38" fontId="159" fillId="91" borderId="659" xfId="121" applyFont="1" applyFill="1" applyBorder="1" applyAlignment="1">
      <alignment horizontal="right" vertical="center"/>
    </xf>
    <xf numFmtId="38" fontId="159" fillId="91" borderId="658" xfId="121" applyFont="1" applyFill="1" applyBorder="1" applyAlignment="1">
      <alignment horizontal="right" vertical="center"/>
    </xf>
    <xf numFmtId="38" fontId="159" fillId="91" borderId="674" xfId="121" applyFont="1" applyFill="1" applyBorder="1" applyAlignment="1">
      <alignment horizontal="right" vertical="center"/>
    </xf>
    <xf numFmtId="38" fontId="159" fillId="91" borderId="666" xfId="121" applyFont="1" applyBorder="1" applyAlignment="1">
      <alignment horizontal="right" vertical="center"/>
    </xf>
    <xf numFmtId="38" fontId="159" fillId="91" borderId="665" xfId="121" applyFont="1" applyBorder="1" applyAlignment="1">
      <alignment horizontal="right" vertical="center"/>
    </xf>
    <xf numFmtId="38" fontId="159" fillId="91" borderId="675" xfId="121" applyFont="1" applyBorder="1" applyAlignment="1">
      <alignment horizontal="right" vertical="center"/>
    </xf>
    <xf numFmtId="38" fontId="159" fillId="91" borderId="663" xfId="121" applyFont="1" applyBorder="1" applyAlignment="1">
      <alignment horizontal="right" vertical="center"/>
    </xf>
    <xf numFmtId="0" fontId="159" fillId="91" borderId="664" xfId="119" applyFont="1" applyBorder="1" applyAlignment="1">
      <alignment horizontal="right" vertical="center"/>
    </xf>
    <xf numFmtId="38" fontId="159" fillId="102" borderId="666" xfId="121" applyFont="1" applyFill="1" applyBorder="1" applyAlignment="1">
      <alignment horizontal="right" vertical="center"/>
    </xf>
    <xf numFmtId="38" fontId="159" fillId="102" borderId="665" xfId="121" applyFont="1" applyFill="1" applyBorder="1" applyAlignment="1">
      <alignment horizontal="right" vertical="center"/>
    </xf>
    <xf numFmtId="38" fontId="159" fillId="102" borderId="675" xfId="121" applyFont="1" applyFill="1" applyBorder="1" applyAlignment="1">
      <alignment horizontal="right" vertical="center"/>
    </xf>
    <xf numFmtId="38" fontId="159" fillId="102" borderId="663" xfId="121" applyFont="1" applyFill="1" applyBorder="1" applyAlignment="1">
      <alignment horizontal="right" vertical="center"/>
    </xf>
    <xf numFmtId="38" fontId="159" fillId="93" borderId="619" xfId="121" applyFont="1" applyFill="1" applyBorder="1" applyAlignment="1">
      <alignment horizontal="right" vertical="center"/>
    </xf>
    <xf numFmtId="38" fontId="159" fillId="102" borderId="648" xfId="121" applyFont="1" applyFill="1" applyBorder="1" applyAlignment="1">
      <alignment horizontal="right" vertical="center"/>
    </xf>
    <xf numFmtId="38" fontId="159" fillId="102" borderId="661" xfId="121" applyFont="1" applyFill="1" applyBorder="1" applyAlignment="1">
      <alignment horizontal="right" vertical="center"/>
    </xf>
    <xf numFmtId="38" fontId="159" fillId="102" borderId="624" xfId="121" applyFont="1" applyFill="1" applyBorder="1" applyAlignment="1">
      <alignment horizontal="right" vertical="center"/>
    </xf>
    <xf numFmtId="38" fontId="159" fillId="102" borderId="619" xfId="121" applyFont="1" applyFill="1" applyBorder="1" applyAlignment="1">
      <alignment horizontal="right" vertical="center"/>
    </xf>
    <xf numFmtId="10" fontId="159" fillId="91" borderId="656" xfId="120" applyNumberFormat="1" applyFont="1" applyBorder="1" applyAlignment="1">
      <alignment horizontal="right" vertical="center"/>
    </xf>
    <xf numFmtId="38" fontId="159" fillId="102" borderId="659" xfId="121" applyFont="1" applyFill="1" applyBorder="1" applyAlignment="1">
      <alignment horizontal="right" vertical="center"/>
    </xf>
    <xf numFmtId="38" fontId="159" fillId="102" borderId="658" xfId="121" applyFont="1" applyFill="1" applyBorder="1" applyAlignment="1">
      <alignment horizontal="right" vertical="center"/>
    </xf>
    <xf numFmtId="38" fontId="159" fillId="102" borderId="674" xfId="121" applyFont="1" applyFill="1" applyBorder="1" applyAlignment="1">
      <alignment horizontal="right" vertical="center"/>
    </xf>
    <xf numFmtId="10" fontId="159" fillId="102" borderId="656" xfId="120" applyNumberFormat="1" applyFont="1" applyFill="1" applyBorder="1" applyAlignment="1">
      <alignment horizontal="right" vertical="center"/>
    </xf>
    <xf numFmtId="38" fontId="159" fillId="91" borderId="692" xfId="121" applyFont="1" applyBorder="1" applyAlignment="1">
      <alignment horizontal="right" vertical="center"/>
    </xf>
    <xf numFmtId="38" fontId="159" fillId="91" borderId="691" xfId="121" applyFont="1" applyBorder="1" applyAlignment="1">
      <alignment horizontal="right" vertical="center"/>
    </xf>
    <xf numFmtId="38" fontId="159" fillId="91" borderId="690" xfId="121" applyFont="1" applyBorder="1" applyAlignment="1">
      <alignment horizontal="right" vertical="center"/>
    </xf>
    <xf numFmtId="38" fontId="159" fillId="91" borderId="584" xfId="121" applyFont="1" applyBorder="1" applyAlignment="1">
      <alignment horizontal="right" vertical="center"/>
    </xf>
    <xf numFmtId="38" fontId="159" fillId="91" borderId="692" xfId="121" applyFont="1" applyFill="1" applyBorder="1" applyAlignment="1">
      <alignment horizontal="right" vertical="center"/>
    </xf>
    <xf numFmtId="38" fontId="159" fillId="91" borderId="691" xfId="121" applyFont="1" applyFill="1" applyBorder="1" applyAlignment="1">
      <alignment horizontal="right" vertical="center"/>
    </xf>
    <xf numFmtId="38" fontId="159" fillId="91" borderId="690" xfId="121" applyFont="1" applyFill="1" applyBorder="1" applyAlignment="1">
      <alignment horizontal="right" vertical="center"/>
    </xf>
    <xf numFmtId="38" fontId="159" fillId="91" borderId="688" xfId="121" applyFont="1" applyBorder="1" applyAlignment="1">
      <alignment horizontal="right" vertical="center"/>
    </xf>
    <xf numFmtId="38" fontId="159" fillId="91" borderId="687" xfId="121" applyFont="1" applyBorder="1" applyAlignment="1">
      <alignment horizontal="right" vertical="center"/>
    </xf>
    <xf numFmtId="38" fontId="159" fillId="91" borderId="686" xfId="121" applyFont="1" applyBorder="1" applyAlignment="1">
      <alignment horizontal="right" vertical="center"/>
    </xf>
    <xf numFmtId="38" fontId="159" fillId="91" borderId="580" xfId="121" applyFont="1" applyBorder="1" applyAlignment="1">
      <alignment horizontal="right" vertical="center"/>
    </xf>
    <xf numFmtId="38" fontId="159" fillId="91" borderId="688" xfId="121" applyFont="1" applyFill="1" applyBorder="1" applyAlignment="1">
      <alignment horizontal="right" vertical="center"/>
    </xf>
    <xf numFmtId="38" fontId="159" fillId="91" borderId="687" xfId="121" applyFont="1" applyFill="1" applyBorder="1" applyAlignment="1">
      <alignment horizontal="right" vertical="center"/>
    </xf>
    <xf numFmtId="38" fontId="159" fillId="91" borderId="686" xfId="121" applyFont="1" applyFill="1" applyBorder="1" applyAlignment="1">
      <alignment horizontal="right" vertical="center"/>
    </xf>
    <xf numFmtId="38" fontId="159" fillId="91" borderId="685" xfId="121" applyFont="1" applyBorder="1" applyAlignment="1">
      <alignment horizontal="right" vertical="center"/>
    </xf>
    <xf numFmtId="38" fontId="159" fillId="91" borderId="683" xfId="121" applyFont="1" applyBorder="1" applyAlignment="1">
      <alignment horizontal="right" vertical="center"/>
    </xf>
    <xf numFmtId="38" fontId="159" fillId="91" borderId="682" xfId="121" applyFont="1" applyBorder="1" applyAlignment="1">
      <alignment horizontal="right" vertical="center"/>
    </xf>
    <xf numFmtId="38" fontId="159" fillId="91" borderId="587" xfId="121" applyFont="1" applyBorder="1" applyAlignment="1">
      <alignment horizontal="right" vertical="center"/>
    </xf>
    <xf numFmtId="38" fontId="159" fillId="91" borderId="685" xfId="121" applyFont="1" applyFill="1" applyBorder="1" applyAlignment="1">
      <alignment horizontal="right" vertical="center"/>
    </xf>
    <xf numFmtId="38" fontId="159" fillId="91" borderId="683" xfId="121" applyFont="1" applyFill="1" applyBorder="1" applyAlignment="1">
      <alignment horizontal="right" vertical="center"/>
    </xf>
    <xf numFmtId="38" fontId="159" fillId="91" borderId="682" xfId="121" applyFont="1" applyFill="1" applyBorder="1" applyAlignment="1">
      <alignment horizontal="right" vertical="center"/>
    </xf>
    <xf numFmtId="38" fontId="159" fillId="94" borderId="648" xfId="121" applyFont="1" applyFill="1" applyBorder="1" applyAlignment="1">
      <alignment horizontal="right" vertical="center"/>
    </xf>
    <xf numFmtId="38" fontId="159" fillId="94" borderId="661" xfId="121" applyFont="1" applyFill="1" applyBorder="1" applyAlignment="1">
      <alignment horizontal="right" vertical="center"/>
    </xf>
    <xf numFmtId="38" fontId="159" fillId="94" borderId="624" xfId="121" applyFont="1" applyFill="1" applyBorder="1" applyAlignment="1">
      <alignment horizontal="right" vertical="center"/>
    </xf>
    <xf numFmtId="38" fontId="159" fillId="94" borderId="619" xfId="121" applyFont="1" applyFill="1" applyBorder="1" applyAlignment="1">
      <alignment horizontal="right" vertical="center"/>
    </xf>
    <xf numFmtId="38" fontId="159" fillId="104" borderId="656" xfId="121" applyFont="1" applyFill="1" applyBorder="1" applyAlignment="1">
      <alignment horizontal="right" vertical="center"/>
    </xf>
    <xf numFmtId="38" fontId="159" fillId="96" borderId="658" xfId="121" applyFont="1" applyFill="1" applyBorder="1" applyAlignment="1">
      <alignment horizontal="right" vertical="center"/>
    </xf>
    <xf numFmtId="38" fontId="159" fillId="96" borderId="674" xfId="121" applyFont="1" applyFill="1" applyBorder="1" applyAlignment="1">
      <alignment horizontal="right" vertical="center"/>
    </xf>
    <xf numFmtId="38" fontId="159" fillId="91" borderId="671" xfId="121" applyFont="1" applyBorder="1" applyAlignment="1">
      <alignment horizontal="right" vertical="center"/>
    </xf>
    <xf numFmtId="38" fontId="159" fillId="91" borderId="670" xfId="121" applyFont="1" applyBorder="1" applyAlignment="1">
      <alignment horizontal="right" vertical="center"/>
    </xf>
    <xf numFmtId="38" fontId="159" fillId="91" borderId="669" xfId="121" applyFont="1" applyBorder="1" applyAlignment="1">
      <alignment horizontal="right" vertical="center"/>
    </xf>
    <xf numFmtId="38" fontId="159" fillId="91" borderId="679" xfId="121" applyFont="1" applyBorder="1" applyAlignment="1">
      <alignment horizontal="right" vertical="center"/>
    </xf>
    <xf numFmtId="38" fontId="159" fillId="91" borderId="678" xfId="121" applyFont="1" applyBorder="1" applyAlignment="1">
      <alignment horizontal="right" vertical="center"/>
    </xf>
    <xf numFmtId="38" fontId="159" fillId="91" borderId="677" xfId="121" applyFont="1" applyBorder="1" applyAlignment="1">
      <alignment horizontal="right" vertical="center"/>
    </xf>
    <xf numFmtId="38" fontId="159" fillId="91" borderId="676" xfId="121" applyFont="1" applyBorder="1" applyAlignment="1">
      <alignment horizontal="right" vertical="center"/>
    </xf>
    <xf numFmtId="0" fontId="159" fillId="91" borderId="680" xfId="119" applyFont="1" applyBorder="1" applyAlignment="1">
      <alignment horizontal="right" vertical="center"/>
    </xf>
    <xf numFmtId="38" fontId="159" fillId="91" borderId="679" xfId="121" applyFont="1" applyFill="1" applyBorder="1" applyAlignment="1">
      <alignment horizontal="right" vertical="center"/>
    </xf>
    <xf numFmtId="38" fontId="159" fillId="91" borderId="678" xfId="121" applyFont="1" applyFill="1" applyBorder="1" applyAlignment="1">
      <alignment horizontal="right" vertical="center"/>
    </xf>
    <xf numFmtId="38" fontId="159" fillId="91" borderId="677" xfId="121" applyFont="1" applyFill="1" applyBorder="1" applyAlignment="1">
      <alignment horizontal="right" vertical="center"/>
    </xf>
    <xf numFmtId="38" fontId="159" fillId="91" borderId="666" xfId="121" applyFont="1" applyFill="1" applyBorder="1" applyAlignment="1">
      <alignment horizontal="right" vertical="center"/>
    </xf>
    <xf numFmtId="38" fontId="159" fillId="91" borderId="665" xfId="121" applyFont="1" applyFill="1" applyBorder="1" applyAlignment="1">
      <alignment horizontal="right" vertical="center"/>
    </xf>
    <xf numFmtId="38" fontId="159" fillId="91" borderId="675" xfId="121" applyFont="1" applyFill="1" applyBorder="1" applyAlignment="1">
      <alignment horizontal="right" vertical="center"/>
    </xf>
    <xf numFmtId="38" fontId="159" fillId="93" borderId="676" xfId="121" applyFont="1" applyFill="1" applyBorder="1" applyAlignment="1">
      <alignment horizontal="right" vertical="center"/>
    </xf>
    <xf numFmtId="38" fontId="159" fillId="104" borderId="619" xfId="121" applyFont="1" applyFill="1" applyBorder="1" applyAlignment="1">
      <alignment horizontal="right" vertical="center"/>
    </xf>
    <xf numFmtId="38" fontId="159" fillId="96" borderId="648" xfId="121" applyFont="1" applyFill="1" applyBorder="1" applyAlignment="1">
      <alignment horizontal="right" vertical="center"/>
    </xf>
    <xf numFmtId="38" fontId="159" fillId="96" borderId="661" xfId="121" applyFont="1" applyFill="1" applyBorder="1" applyAlignment="1">
      <alignment horizontal="right" vertical="center"/>
    </xf>
    <xf numFmtId="38" fontId="159" fillId="96" borderId="624" xfId="121" applyFont="1" applyFill="1" applyBorder="1" applyAlignment="1">
      <alignment horizontal="right" vertical="center"/>
    </xf>
    <xf numFmtId="38" fontId="159" fillId="102" borderId="671" xfId="121" applyFont="1" applyFill="1" applyBorder="1" applyAlignment="1">
      <alignment horizontal="right" vertical="center"/>
    </xf>
    <xf numFmtId="38" fontId="159" fillId="102" borderId="670" xfId="121" applyFont="1" applyFill="1" applyBorder="1" applyAlignment="1">
      <alignment horizontal="right" vertical="center"/>
    </xf>
    <xf numFmtId="38" fontId="159" fillId="102" borderId="669" xfId="121" applyFont="1" applyFill="1" applyBorder="1" applyAlignment="1">
      <alignment horizontal="right" vertical="center"/>
    </xf>
    <xf numFmtId="38" fontId="159" fillId="102" borderId="668" xfId="121" applyFont="1" applyFill="1" applyBorder="1" applyAlignment="1">
      <alignment horizontal="right" vertical="center"/>
    </xf>
    <xf numFmtId="38" fontId="159" fillId="102" borderId="656" xfId="121" applyFont="1" applyFill="1" applyBorder="1" applyAlignment="1">
      <alignment horizontal="right" vertical="center"/>
    </xf>
    <xf numFmtId="38" fontId="159" fillId="91" borderId="654" xfId="121" applyFont="1" applyBorder="1" applyAlignment="1">
      <alignment horizontal="right" vertical="center"/>
    </xf>
    <xf numFmtId="38" fontId="159" fillId="91" borderId="653" xfId="121" applyFont="1" applyBorder="1" applyAlignment="1">
      <alignment horizontal="right" vertical="center"/>
    </xf>
    <xf numFmtId="38" fontId="159" fillId="91" borderId="652" xfId="121" applyFont="1" applyBorder="1" applyAlignment="1">
      <alignment horizontal="right" vertical="center"/>
    </xf>
    <xf numFmtId="38" fontId="159" fillId="91" borderId="594" xfId="121" applyFont="1" applyBorder="1" applyAlignment="1">
      <alignment horizontal="right" vertical="center"/>
    </xf>
    <xf numFmtId="38" fontId="159" fillId="91" borderId="654" xfId="121" applyFont="1" applyFill="1" applyBorder="1" applyAlignment="1">
      <alignment horizontal="right" vertical="center"/>
    </xf>
    <xf numFmtId="38" fontId="159" fillId="91" borderId="653" xfId="121" applyFont="1" applyFill="1" applyBorder="1" applyAlignment="1">
      <alignment horizontal="right" vertical="center"/>
    </xf>
    <xf numFmtId="38" fontId="159" fillId="91" borderId="652" xfId="121" applyFont="1" applyFill="1" applyBorder="1" applyAlignment="1">
      <alignment horizontal="right" vertical="center"/>
    </xf>
    <xf numFmtId="38" fontId="159" fillId="91" borderId="666" xfId="119" applyNumberFormat="1" applyFont="1" applyBorder="1" applyAlignment="1">
      <alignment horizontal="right" vertical="center"/>
    </xf>
    <xf numFmtId="0" fontId="159" fillId="91" borderId="665" xfId="119" applyFont="1" applyBorder="1" applyAlignment="1">
      <alignment horizontal="right" vertical="center"/>
    </xf>
    <xf numFmtId="38" fontId="159" fillId="91" borderId="663" xfId="119" applyNumberFormat="1" applyFont="1" applyBorder="1" applyAlignment="1">
      <alignment horizontal="right" vertical="center"/>
    </xf>
    <xf numFmtId="38" fontId="159" fillId="91" borderId="666" xfId="119" applyNumberFormat="1" applyFont="1" applyFill="1" applyBorder="1" applyAlignment="1">
      <alignment horizontal="right" vertical="center"/>
    </xf>
    <xf numFmtId="0" fontId="159" fillId="91" borderId="665" xfId="119" applyFont="1" applyFill="1" applyBorder="1" applyAlignment="1">
      <alignment horizontal="right" vertical="center"/>
    </xf>
    <xf numFmtId="0" fontId="159" fillId="91" borderId="664" xfId="119" applyFont="1" applyFill="1" applyBorder="1" applyAlignment="1">
      <alignment horizontal="right" vertical="center"/>
    </xf>
    <xf numFmtId="0" fontId="159" fillId="91" borderId="666" xfId="119" applyFont="1" applyBorder="1" applyAlignment="1">
      <alignment horizontal="right" vertical="center"/>
    </xf>
    <xf numFmtId="0" fontId="159" fillId="91" borderId="648" xfId="119" applyFont="1" applyBorder="1" applyAlignment="1">
      <alignment horizontal="right" vertical="center"/>
    </xf>
    <xf numFmtId="0" fontId="159" fillId="91" borderId="661" xfId="119" applyFont="1" applyBorder="1" applyAlignment="1">
      <alignment horizontal="right" vertical="center"/>
    </xf>
    <xf numFmtId="38" fontId="159" fillId="91" borderId="619" xfId="119" applyNumberFormat="1" applyFont="1" applyBorder="1" applyAlignment="1">
      <alignment horizontal="right" vertical="center"/>
    </xf>
    <xf numFmtId="0" fontId="159" fillId="91" borderId="648" xfId="119" applyFont="1" applyFill="1" applyBorder="1" applyAlignment="1">
      <alignment horizontal="right" vertical="center"/>
    </xf>
    <xf numFmtId="0" fontId="159" fillId="91" borderId="661" xfId="119" applyFont="1" applyFill="1" applyBorder="1" applyAlignment="1">
      <alignment horizontal="right" vertical="center"/>
    </xf>
    <xf numFmtId="0" fontId="159" fillId="91" borderId="620" xfId="119" applyFont="1" applyFill="1" applyBorder="1" applyAlignment="1">
      <alignment horizontal="right" vertical="center"/>
    </xf>
    <xf numFmtId="0" fontId="159" fillId="91" borderId="679" xfId="119" applyFont="1" applyBorder="1" applyAlignment="1">
      <alignment horizontal="right" vertical="center"/>
    </xf>
    <xf numFmtId="0" fontId="159" fillId="91" borderId="678" xfId="119" applyFont="1" applyBorder="1" applyAlignment="1">
      <alignment horizontal="right" vertical="center"/>
    </xf>
    <xf numFmtId="38" fontId="159" fillId="91" borderId="676" xfId="119" applyNumberFormat="1" applyFont="1" applyBorder="1" applyAlignment="1">
      <alignment horizontal="right" vertical="center"/>
    </xf>
    <xf numFmtId="0" fontId="159" fillId="91" borderId="679" xfId="119" applyFont="1" applyFill="1" applyBorder="1" applyAlignment="1">
      <alignment horizontal="right" vertical="center"/>
    </xf>
    <xf numFmtId="0" fontId="159" fillId="91" borderId="678" xfId="119" applyFont="1" applyFill="1" applyBorder="1" applyAlignment="1">
      <alignment horizontal="right" vertical="center"/>
    </xf>
    <xf numFmtId="0" fontId="159" fillId="91" borderId="680" xfId="119" applyFont="1" applyFill="1" applyBorder="1" applyAlignment="1">
      <alignment horizontal="right" vertical="center"/>
    </xf>
    <xf numFmtId="0" fontId="159" fillId="91" borderId="659" xfId="119" applyFont="1" applyBorder="1" applyAlignment="1">
      <alignment horizontal="right" vertical="center"/>
    </xf>
    <xf numFmtId="0" fontId="159" fillId="91" borderId="658" xfId="119" applyFont="1" applyBorder="1" applyAlignment="1">
      <alignment horizontal="right" vertical="center"/>
    </xf>
    <xf numFmtId="38" fontId="159" fillId="91" borderId="656" xfId="119" applyNumberFormat="1" applyFont="1" applyBorder="1" applyAlignment="1">
      <alignment horizontal="right" vertical="center"/>
    </xf>
    <xf numFmtId="0" fontId="159" fillId="91" borderId="659" xfId="119" applyFont="1" applyFill="1" applyBorder="1" applyAlignment="1">
      <alignment horizontal="right" vertical="center"/>
    </xf>
    <xf numFmtId="0" fontId="159" fillId="91" borderId="658" xfId="119" applyFont="1" applyFill="1" applyBorder="1" applyAlignment="1">
      <alignment horizontal="right" vertical="center"/>
    </xf>
    <xf numFmtId="0" fontId="159" fillId="91" borderId="657" xfId="119" applyFont="1" applyFill="1" applyBorder="1" applyAlignment="1">
      <alignment horizontal="right" vertical="center"/>
    </xf>
    <xf numFmtId="38" fontId="159" fillId="91" borderId="579" xfId="119" applyNumberFormat="1" applyFont="1" applyAlignment="1">
      <alignment horizontal="right" vertical="center"/>
    </xf>
    <xf numFmtId="38" fontId="159" fillId="91" borderId="661" xfId="119" applyNumberFormat="1" applyFont="1" applyBorder="1" applyAlignment="1">
      <alignment horizontal="right" vertical="center"/>
    </xf>
    <xf numFmtId="38" fontId="159" fillId="91" borderId="678" xfId="119" applyNumberFormat="1" applyFont="1" applyBorder="1" applyAlignment="1">
      <alignment horizontal="right" vertical="center"/>
    </xf>
    <xf numFmtId="0" fontId="159" fillId="91" borderId="720" xfId="119" applyFont="1" applyBorder="1" applyAlignment="1">
      <alignment horizontal="right" vertical="center"/>
    </xf>
    <xf numFmtId="38" fontId="159" fillId="91" borderId="720" xfId="119" applyNumberFormat="1" applyFont="1" applyBorder="1" applyAlignment="1">
      <alignment horizontal="right" vertical="center"/>
    </xf>
    <xf numFmtId="0" fontId="170" fillId="91" borderId="720" xfId="117" applyFont="1" applyBorder="1" applyAlignment="1">
      <alignment horizontal="right" vertical="center"/>
    </xf>
    <xf numFmtId="38" fontId="159" fillId="102" borderId="661" xfId="119" applyNumberFormat="1" applyFont="1" applyFill="1" applyBorder="1" applyAlignment="1">
      <alignment horizontal="right" vertical="center"/>
    </xf>
    <xf numFmtId="38" fontId="159" fillId="102" borderId="678" xfId="119" applyNumberFormat="1" applyFont="1" applyFill="1" applyBorder="1" applyAlignment="1">
      <alignment horizontal="right" vertical="center"/>
    </xf>
    <xf numFmtId="38" fontId="157" fillId="91" borderId="594" xfId="122" applyFont="1" applyFill="1" applyBorder="1" applyAlignment="1">
      <alignment vertical="center" wrapText="1"/>
    </xf>
    <xf numFmtId="0" fontId="159" fillId="107" borderId="681" xfId="119" applyFont="1" applyFill="1" applyBorder="1" applyAlignment="1">
      <alignment vertical="center" wrapText="1"/>
    </xf>
    <xf numFmtId="0" fontId="159" fillId="107" borderId="680" xfId="119" applyFont="1" applyFill="1" applyBorder="1">
      <alignment vertical="center"/>
    </xf>
    <xf numFmtId="0" fontId="159" fillId="107" borderId="679" xfId="119" applyFont="1" applyFill="1" applyBorder="1" applyAlignment="1">
      <alignment horizontal="right" vertical="center"/>
    </xf>
    <xf numFmtId="0" fontId="159" fillId="107" borderId="678" xfId="119" applyFont="1" applyFill="1" applyBorder="1" applyAlignment="1">
      <alignment horizontal="right" vertical="center"/>
    </xf>
    <xf numFmtId="0" fontId="159" fillId="107" borderId="677" xfId="119" applyFont="1" applyFill="1" applyBorder="1" applyAlignment="1">
      <alignment horizontal="right" vertical="center"/>
    </xf>
    <xf numFmtId="38" fontId="159" fillId="107" borderId="676" xfId="119" applyNumberFormat="1" applyFont="1" applyFill="1" applyBorder="1" applyAlignment="1">
      <alignment horizontal="right" vertical="center"/>
    </xf>
    <xf numFmtId="0" fontId="159" fillId="107" borderId="676" xfId="119" applyFont="1" applyFill="1" applyBorder="1">
      <alignment vertical="center"/>
    </xf>
    <xf numFmtId="0" fontId="159" fillId="107" borderId="579" xfId="119" applyFont="1" applyFill="1">
      <alignment vertical="center"/>
    </xf>
    <xf numFmtId="38" fontId="159" fillId="107" borderId="579" xfId="122" applyFont="1" applyFill="1" applyAlignment="1">
      <alignment vertical="center"/>
    </xf>
    <xf numFmtId="0" fontId="159" fillId="91" borderId="587" xfId="119" applyFont="1" applyBorder="1" applyAlignment="1">
      <alignment wrapText="1"/>
    </xf>
    <xf numFmtId="0" fontId="159" fillId="91" borderId="584" xfId="119" applyFont="1" applyBorder="1" applyAlignment="1">
      <alignment wrapText="1"/>
    </xf>
    <xf numFmtId="0" fontId="159" fillId="91" borderId="580" xfId="119" applyFont="1" applyBorder="1" applyAlignment="1">
      <alignment wrapText="1"/>
    </xf>
    <xf numFmtId="189" fontId="159" fillId="91" borderId="594" xfId="119" applyNumberFormat="1" applyFont="1" applyBorder="1">
      <alignment vertical="center"/>
    </xf>
    <xf numFmtId="0" fontId="159" fillId="91" borderId="584" xfId="119" applyFont="1" applyBorder="1">
      <alignment vertical="center"/>
    </xf>
    <xf numFmtId="189" fontId="159" fillId="91" borderId="593" xfId="119" applyNumberFormat="1" applyFont="1" applyBorder="1">
      <alignment vertical="center"/>
    </xf>
    <xf numFmtId="189" fontId="159" fillId="91" borderId="592" xfId="119" applyNumberFormat="1" applyFont="1" applyBorder="1">
      <alignment vertical="center"/>
    </xf>
    <xf numFmtId="189" fontId="159" fillId="91" borderId="591" xfId="119" applyNumberFormat="1" applyFont="1" applyBorder="1">
      <alignment vertical="center"/>
    </xf>
    <xf numFmtId="0" fontId="159" fillId="91" borderId="584" xfId="119" applyFont="1" applyBorder="1" applyAlignment="1">
      <alignment vertical="center" wrapText="1"/>
    </xf>
    <xf numFmtId="0" fontId="159" fillId="91" borderId="580" xfId="119" applyFont="1" applyBorder="1">
      <alignment vertical="center"/>
    </xf>
    <xf numFmtId="190" fontId="159" fillId="91" borderId="593" xfId="119" applyNumberFormat="1" applyFont="1" applyBorder="1">
      <alignment vertical="center"/>
    </xf>
    <xf numFmtId="190" fontId="159" fillId="91" borderId="592" xfId="119" applyNumberFormat="1" applyFont="1" applyBorder="1">
      <alignment vertical="center"/>
    </xf>
    <xf numFmtId="190" fontId="159" fillId="91" borderId="591" xfId="119" applyNumberFormat="1" applyFont="1" applyBorder="1">
      <alignment vertical="center"/>
    </xf>
    <xf numFmtId="189" fontId="159" fillId="91" borderId="593" xfId="119" applyNumberFormat="1" applyFont="1" applyFill="1" applyBorder="1">
      <alignment vertical="center"/>
    </xf>
    <xf numFmtId="189" fontId="159" fillId="91" borderId="592" xfId="119" applyNumberFormat="1" applyFont="1" applyFill="1" applyBorder="1">
      <alignment vertical="center"/>
    </xf>
    <xf numFmtId="189" fontId="159" fillId="91" borderId="591" xfId="119" applyNumberFormat="1" applyFont="1" applyFill="1" applyBorder="1">
      <alignment vertical="center"/>
    </xf>
    <xf numFmtId="0" fontId="159" fillId="91" borderId="579" xfId="119" applyFont="1" applyBorder="1">
      <alignment vertical="center"/>
    </xf>
    <xf numFmtId="0" fontId="162" fillId="91" borderId="579" xfId="119" applyFont="1" applyBorder="1">
      <alignment vertical="center"/>
    </xf>
    <xf numFmtId="0" fontId="159" fillId="91" borderId="587" xfId="119" applyFont="1" applyBorder="1" applyAlignment="1">
      <alignment vertical="center" wrapText="1"/>
    </xf>
    <xf numFmtId="0" fontId="159" fillId="91" borderId="580" xfId="119" applyFont="1" applyBorder="1" applyAlignment="1">
      <alignment vertical="center" wrapText="1"/>
    </xf>
    <xf numFmtId="0" fontId="159" fillId="91" borderId="587" xfId="119" applyFont="1" applyBorder="1">
      <alignment vertical="center"/>
    </xf>
    <xf numFmtId="0" fontId="159" fillId="91" borderId="584" xfId="119" applyFont="1" applyBorder="1" applyAlignment="1"/>
    <xf numFmtId="0" fontId="159" fillId="91" borderId="588" xfId="119" applyFont="1" applyBorder="1">
      <alignment vertical="center"/>
    </xf>
    <xf numFmtId="0" fontId="159" fillId="91" borderId="585" xfId="119" applyFont="1" applyBorder="1">
      <alignment vertical="center"/>
    </xf>
    <xf numFmtId="0" fontId="159" fillId="91" borderId="581" xfId="119" applyFont="1" applyBorder="1">
      <alignment vertical="center"/>
    </xf>
    <xf numFmtId="189" fontId="159" fillId="93" borderId="594" xfId="119" applyNumberFormat="1" applyFont="1" applyFill="1" applyBorder="1">
      <alignment vertical="center"/>
    </xf>
    <xf numFmtId="0" fontId="159" fillId="91" borderId="594" xfId="119" applyFont="1" applyBorder="1">
      <alignment vertical="center"/>
    </xf>
    <xf numFmtId="0" fontId="159" fillId="91" borderId="586" xfId="119" applyFont="1" applyBorder="1">
      <alignment vertical="center"/>
    </xf>
    <xf numFmtId="0" fontId="159" fillId="91" borderId="594" xfId="119" applyFont="1" applyBorder="1" applyAlignment="1">
      <alignment vertical="center" wrapText="1"/>
    </xf>
    <xf numFmtId="0" fontId="159" fillId="91" borderId="590" xfId="119" applyFont="1" applyBorder="1">
      <alignment vertical="center"/>
    </xf>
    <xf numFmtId="0" fontId="159" fillId="91" borderId="589" xfId="119" applyFont="1" applyBorder="1">
      <alignment vertical="center"/>
    </xf>
    <xf numFmtId="0" fontId="159" fillId="91" borderId="583" xfId="119" applyFont="1" applyBorder="1">
      <alignment vertical="center"/>
    </xf>
    <xf numFmtId="0" fontId="159" fillId="91" borderId="582" xfId="119" applyFont="1" applyBorder="1">
      <alignment vertical="center"/>
    </xf>
    <xf numFmtId="189" fontId="159" fillId="91" borderId="594" xfId="119" applyNumberFormat="1" applyFont="1" applyFill="1" applyBorder="1">
      <alignment vertical="center"/>
    </xf>
    <xf numFmtId="0" fontId="159" fillId="91" borderId="594" xfId="119" applyFont="1" applyBorder="1" applyAlignment="1">
      <alignment horizontal="center" vertical="center"/>
    </xf>
    <xf numFmtId="189" fontId="159" fillId="91" borderId="722" xfId="119" applyNumberFormat="1" applyFont="1" applyBorder="1">
      <alignment vertical="center"/>
    </xf>
    <xf numFmtId="189" fontId="159" fillId="91" borderId="723" xfId="119" applyNumberFormat="1" applyFont="1" applyBorder="1">
      <alignment vertical="center"/>
    </xf>
    <xf numFmtId="189" fontId="159" fillId="91" borderId="724" xfId="119" applyNumberFormat="1" applyFont="1" applyBorder="1">
      <alignment vertical="center"/>
    </xf>
    <xf numFmtId="189" fontId="159" fillId="106" borderId="593" xfId="119" applyNumberFormat="1" applyFont="1" applyFill="1" applyBorder="1">
      <alignment vertical="center"/>
    </xf>
    <xf numFmtId="189" fontId="159" fillId="106" borderId="592" xfId="119" applyNumberFormat="1" applyFont="1" applyFill="1" applyBorder="1">
      <alignment vertical="center"/>
    </xf>
    <xf numFmtId="189" fontId="159" fillId="106" borderId="591" xfId="119" applyNumberFormat="1" applyFont="1" applyFill="1" applyBorder="1">
      <alignment vertical="center"/>
    </xf>
    <xf numFmtId="189" fontId="159" fillId="91" borderId="597" xfId="119" applyNumberFormat="1" applyFont="1" applyFill="1" applyBorder="1">
      <alignment vertical="center"/>
    </xf>
    <xf numFmtId="189" fontId="159" fillId="91" borderId="595" xfId="119" applyNumberFormat="1" applyFont="1" applyFill="1" applyBorder="1">
      <alignment vertical="center"/>
    </xf>
    <xf numFmtId="189" fontId="159" fillId="91" borderId="596" xfId="119" applyNumberFormat="1" applyFont="1" applyFill="1" applyBorder="1">
      <alignment vertical="center"/>
    </xf>
    <xf numFmtId="189" fontId="159" fillId="93" borderId="587" xfId="119" applyNumberFormat="1" applyFont="1" applyFill="1" applyBorder="1">
      <alignment vertical="center"/>
    </xf>
    <xf numFmtId="189" fontId="200" fillId="93" borderId="594" xfId="119" applyNumberFormat="1" applyFont="1" applyFill="1" applyBorder="1">
      <alignment vertical="center"/>
    </xf>
    <xf numFmtId="189" fontId="159" fillId="93" borderId="593" xfId="119" applyNumberFormat="1" applyFont="1" applyFill="1" applyBorder="1">
      <alignment vertical="center"/>
    </xf>
    <xf numFmtId="189" fontId="159" fillId="93" borderId="592" xfId="119" applyNumberFormat="1" applyFont="1" applyFill="1" applyBorder="1">
      <alignment vertical="center"/>
    </xf>
    <xf numFmtId="189" fontId="159" fillId="93" borderId="591" xfId="119" applyNumberFormat="1" applyFont="1" applyFill="1" applyBorder="1">
      <alignment vertical="center"/>
    </xf>
    <xf numFmtId="189" fontId="159" fillId="91" borderId="587" xfId="119" applyNumberFormat="1" applyFont="1" applyBorder="1">
      <alignment vertical="center"/>
    </xf>
    <xf numFmtId="189" fontId="159" fillId="93" borderId="600" xfId="119" applyNumberFormat="1" applyFont="1" applyFill="1" applyBorder="1">
      <alignment vertical="center"/>
    </xf>
    <xf numFmtId="189" fontId="159" fillId="93" borderId="599" xfId="119" applyNumberFormat="1" applyFont="1" applyFill="1" applyBorder="1">
      <alignment vertical="center"/>
    </xf>
    <xf numFmtId="189" fontId="159" fillId="93" borderId="598" xfId="119" applyNumberFormat="1" applyFont="1" applyFill="1" applyBorder="1">
      <alignment vertical="center"/>
    </xf>
    <xf numFmtId="10" fontId="159" fillId="91" borderId="593" xfId="119" applyNumberFormat="1" applyFont="1" applyBorder="1">
      <alignment vertical="center"/>
    </xf>
    <xf numFmtId="10" fontId="159" fillId="91" borderId="592" xfId="119" applyNumberFormat="1" applyFont="1" applyBorder="1">
      <alignment vertical="center"/>
    </xf>
    <xf numFmtId="10" fontId="159" fillId="91" borderId="591" xfId="119" applyNumberFormat="1" applyFont="1" applyBorder="1">
      <alignment vertical="center"/>
    </xf>
    <xf numFmtId="38" fontId="157" fillId="91" borderId="609" xfId="122" applyFont="1" applyFill="1" applyBorder="1" applyAlignment="1">
      <alignment horizontal="center" vertical="center"/>
    </xf>
    <xf numFmtId="38" fontId="157" fillId="91" borderId="608" xfId="122" applyFont="1" applyFill="1" applyBorder="1" applyAlignment="1">
      <alignment horizontal="center" vertical="center"/>
    </xf>
    <xf numFmtId="38" fontId="157" fillId="91" borderId="607" xfId="122" applyFont="1" applyFill="1" applyBorder="1" applyAlignment="1">
      <alignment horizontal="center" vertical="center"/>
    </xf>
    <xf numFmtId="38" fontId="157" fillId="91" borderId="579" xfId="124" applyFont="1" applyAlignment="1">
      <alignment horizontal="center"/>
    </xf>
    <xf numFmtId="38" fontId="157" fillId="91" borderId="579" xfId="130" applyFont="1" applyAlignment="1">
      <alignment horizontal="center"/>
    </xf>
    <xf numFmtId="0" fontId="158" fillId="91" borderId="626" xfId="119" applyBorder="1">
      <alignment vertical="center"/>
    </xf>
    <xf numFmtId="0" fontId="158" fillId="91" borderId="625" xfId="119" applyBorder="1">
      <alignment vertical="center"/>
    </xf>
    <xf numFmtId="0" fontId="158" fillId="91" borderId="617" xfId="119" applyBorder="1">
      <alignment vertical="center"/>
    </xf>
    <xf numFmtId="0" fontId="158" fillId="91" borderId="641" xfId="119" applyBorder="1">
      <alignment vertical="center"/>
    </xf>
    <xf numFmtId="0" fontId="158" fillId="91" borderId="640" xfId="119" applyBorder="1">
      <alignment vertical="center"/>
    </xf>
    <xf numFmtId="0" fontId="158" fillId="91" borderId="633" xfId="119" applyBorder="1">
      <alignment vertical="center"/>
    </xf>
    <xf numFmtId="0" fontId="158" fillId="91" borderId="630" xfId="119" applyBorder="1">
      <alignment vertical="center"/>
    </xf>
    <xf numFmtId="0" fontId="159" fillId="91" borderId="627" xfId="119" applyFont="1" applyBorder="1" applyAlignment="1">
      <alignment horizontal="left" vertical="center" wrapText="1" indent="1"/>
    </xf>
    <xf numFmtId="0" fontId="159" fillId="91" borderId="610" xfId="119" applyFont="1" applyBorder="1" applyAlignment="1">
      <alignment horizontal="left" vertical="center" wrapText="1" indent="1"/>
    </xf>
    <xf numFmtId="0" fontId="158" fillId="91" borderId="644" xfId="119" applyBorder="1">
      <alignment vertical="center"/>
    </xf>
    <xf numFmtId="0" fontId="158" fillId="91" borderId="616" xfId="119" applyBorder="1">
      <alignment vertical="center"/>
    </xf>
    <xf numFmtId="189" fontId="158" fillId="91" borderId="626" xfId="119" applyNumberFormat="1" applyBorder="1">
      <alignment vertical="center"/>
    </xf>
    <xf numFmtId="189" fontId="158" fillId="91" borderId="617" xfId="119" applyNumberFormat="1" applyBorder="1">
      <alignment vertical="center"/>
    </xf>
    <xf numFmtId="0" fontId="159" fillId="91" borderId="587" xfId="119" applyFont="1" applyBorder="1" applyAlignment="1">
      <alignment horizontal="center" vertical="center" textRotation="255" wrapText="1"/>
    </xf>
    <xf numFmtId="0" fontId="159" fillId="91" borderId="584" xfId="119" applyFont="1" applyBorder="1" applyAlignment="1">
      <alignment horizontal="center" vertical="center" textRotation="255" wrapText="1"/>
    </xf>
    <xf numFmtId="0" fontId="159" fillId="91" borderId="580" xfId="119" applyFont="1" applyBorder="1" applyAlignment="1">
      <alignment horizontal="center" vertical="center" textRotation="255" wrapText="1"/>
    </xf>
    <xf numFmtId="0" fontId="159" fillId="91" borderId="587" xfId="119" applyFont="1" applyBorder="1" applyAlignment="1">
      <alignment horizontal="right" vertical="center"/>
    </xf>
    <xf numFmtId="0" fontId="159" fillId="91" borderId="580" xfId="119" applyFont="1" applyBorder="1" applyAlignment="1">
      <alignment horizontal="right" vertical="center"/>
    </xf>
    <xf numFmtId="0" fontId="159" fillId="91" borderId="594" xfId="119" applyFont="1" applyBorder="1" applyAlignment="1">
      <alignment horizontal="left" vertical="center" wrapText="1"/>
    </xf>
    <xf numFmtId="0" fontId="159" fillId="91" borderId="584" xfId="119" applyFont="1" applyBorder="1" applyAlignment="1">
      <alignment horizontal="right" vertical="center"/>
    </xf>
    <xf numFmtId="0" fontId="159" fillId="91" borderId="587" xfId="119" applyFont="1" applyBorder="1" applyAlignment="1">
      <alignment horizontal="left" vertical="center"/>
    </xf>
    <xf numFmtId="0" fontId="159" fillId="91" borderId="584" xfId="119" applyFont="1" applyBorder="1" applyAlignment="1">
      <alignment horizontal="left" vertical="center"/>
    </xf>
    <xf numFmtId="0" fontId="159" fillId="91" borderId="580" xfId="119" applyFont="1" applyBorder="1" applyAlignment="1">
      <alignment horizontal="left" vertical="center"/>
    </xf>
    <xf numFmtId="0" fontId="159" fillId="91" borderId="587" xfId="119" applyFont="1" applyBorder="1" applyAlignment="1">
      <alignment horizontal="left" vertical="center" wrapText="1"/>
    </xf>
    <xf numFmtId="0" fontId="159" fillId="91" borderId="584" xfId="119" applyFont="1" applyBorder="1" applyAlignment="1">
      <alignment horizontal="left" vertical="center" wrapText="1"/>
    </xf>
    <xf numFmtId="0" fontId="159" fillId="91" borderId="580" xfId="119" applyFont="1" applyBorder="1" applyAlignment="1">
      <alignment horizontal="left" vertical="center" wrapText="1"/>
    </xf>
    <xf numFmtId="0" fontId="159" fillId="91" borderId="588" xfId="119" applyFont="1" applyBorder="1" applyAlignment="1">
      <alignment horizontal="right" vertical="center"/>
    </xf>
    <xf numFmtId="0" fontId="159" fillId="91" borderId="585" xfId="119" applyFont="1" applyBorder="1" applyAlignment="1">
      <alignment horizontal="right" vertical="center"/>
    </xf>
    <xf numFmtId="0" fontId="159" fillId="91" borderId="587" xfId="119" applyFont="1" applyBorder="1" applyAlignment="1">
      <alignment horizontal="center" vertical="center" textRotation="255"/>
    </xf>
    <xf numFmtId="0" fontId="159" fillId="91" borderId="584" xfId="119" applyFont="1" applyBorder="1" applyAlignment="1">
      <alignment horizontal="center" vertical="center" textRotation="255"/>
    </xf>
    <xf numFmtId="0" fontId="159" fillId="91" borderId="580" xfId="119" applyFont="1" applyBorder="1" applyAlignment="1">
      <alignment horizontal="center" vertical="center" textRotation="255"/>
    </xf>
    <xf numFmtId="0" fontId="159" fillId="91" borderId="587" xfId="119" applyFont="1" applyBorder="1" applyAlignment="1">
      <alignment horizontal="center" vertical="center"/>
    </xf>
    <xf numFmtId="0" fontId="159" fillId="91" borderId="584" xfId="119" applyFont="1" applyBorder="1" applyAlignment="1">
      <alignment horizontal="center" vertical="center"/>
    </xf>
    <xf numFmtId="0" fontId="159" fillId="91" borderId="580" xfId="119" applyFont="1" applyBorder="1" applyAlignment="1">
      <alignment horizontal="center" vertical="center"/>
    </xf>
    <xf numFmtId="0" fontId="159" fillId="91" borderId="594" xfId="119" applyFont="1" applyBorder="1" applyAlignment="1">
      <alignment horizontal="right" vertical="center"/>
    </xf>
    <xf numFmtId="0" fontId="159" fillId="91" borderId="590" xfId="119" applyFont="1" applyBorder="1" applyAlignment="1">
      <alignment horizontal="center" vertical="center"/>
    </xf>
    <xf numFmtId="0" fontId="159" fillId="91" borderId="589" xfId="119" applyFont="1" applyBorder="1" applyAlignment="1">
      <alignment horizontal="center" vertical="center"/>
    </xf>
    <xf numFmtId="0" fontId="159" fillId="91" borderId="588" xfId="119" applyFont="1" applyBorder="1" applyAlignment="1">
      <alignment horizontal="center" vertical="center"/>
    </xf>
    <xf numFmtId="0" fontId="159" fillId="91" borderId="586" xfId="119" applyFont="1" applyBorder="1" applyAlignment="1">
      <alignment horizontal="center" vertical="center"/>
    </xf>
    <xf numFmtId="0" fontId="159" fillId="91" borderId="579" xfId="119" applyFont="1" applyBorder="1" applyAlignment="1">
      <alignment horizontal="center" vertical="center"/>
    </xf>
    <xf numFmtId="0" fontId="159" fillId="91" borderId="585" xfId="119" applyFont="1" applyBorder="1" applyAlignment="1">
      <alignment horizontal="center" vertical="center"/>
    </xf>
    <xf numFmtId="0" fontId="159" fillId="91" borderId="583" xfId="119" applyFont="1" applyBorder="1" applyAlignment="1">
      <alignment horizontal="center" vertical="center"/>
    </xf>
    <xf numFmtId="0" fontId="159" fillId="91" borderId="582" xfId="119" applyFont="1" applyBorder="1" applyAlignment="1">
      <alignment horizontal="center" vertical="center"/>
    </xf>
    <xf numFmtId="0" fontId="159" fillId="91" borderId="581" xfId="119" applyFont="1" applyBorder="1" applyAlignment="1">
      <alignment horizontal="center" vertical="center"/>
    </xf>
    <xf numFmtId="0" fontId="168" fillId="91" borderId="590" xfId="129" applyFont="1" applyBorder="1" applyAlignment="1">
      <alignment horizontal="distributed" vertical="center" justifyLastLine="1"/>
    </xf>
    <xf numFmtId="0" fontId="168" fillId="91" borderId="589" xfId="129" applyFont="1" applyBorder="1" applyAlignment="1">
      <alignment horizontal="distributed" vertical="center" justifyLastLine="1"/>
    </xf>
    <xf numFmtId="0" fontId="168" fillId="91" borderId="588" xfId="129" applyFont="1" applyBorder="1" applyAlignment="1">
      <alignment horizontal="distributed" vertical="center" justifyLastLine="1"/>
    </xf>
    <xf numFmtId="0" fontId="168" fillId="91" borderId="583" xfId="129" applyFont="1" applyBorder="1" applyAlignment="1">
      <alignment horizontal="distributed" vertical="center" justifyLastLine="1"/>
    </xf>
    <xf numFmtId="0" fontId="168" fillId="91" borderId="582" xfId="129" applyFont="1" applyBorder="1" applyAlignment="1">
      <alignment horizontal="distributed" vertical="center" justifyLastLine="1"/>
    </xf>
    <xf numFmtId="0" fontId="168" fillId="91" borderId="581" xfId="129" applyFont="1" applyBorder="1" applyAlignment="1">
      <alignment horizontal="distributed" vertical="center" justifyLastLine="1"/>
    </xf>
    <xf numFmtId="0" fontId="168" fillId="91" borderId="590" xfId="129" applyFont="1" applyBorder="1" applyAlignment="1">
      <alignment horizontal="center" vertical="center"/>
    </xf>
    <xf numFmtId="0" fontId="168" fillId="91" borderId="588" xfId="129" applyFont="1" applyBorder="1" applyAlignment="1">
      <alignment horizontal="center" vertical="center"/>
    </xf>
    <xf numFmtId="0" fontId="168" fillId="91" borderId="583" xfId="129" applyFont="1" applyBorder="1" applyAlignment="1">
      <alignment horizontal="center" vertical="center"/>
    </xf>
    <xf numFmtId="0" fontId="168" fillId="91" borderId="581" xfId="129" applyFont="1" applyBorder="1" applyAlignment="1">
      <alignment horizontal="center" vertical="center"/>
    </xf>
    <xf numFmtId="0" fontId="168" fillId="91" borderId="673" xfId="129" applyFont="1" applyBorder="1" applyAlignment="1">
      <alignment horizontal="center" vertical="center"/>
    </xf>
    <xf numFmtId="0" fontId="168" fillId="91" borderId="698" xfId="129" applyFont="1" applyBorder="1" applyAlignment="1">
      <alignment horizontal="center" vertical="center"/>
    </xf>
    <xf numFmtId="0" fontId="168" fillId="91" borderId="597" xfId="129" applyFont="1" applyBorder="1" applyAlignment="1">
      <alignment horizontal="center" vertical="center"/>
    </xf>
    <xf numFmtId="0" fontId="168" fillId="91" borderId="596" xfId="129" applyFont="1" applyBorder="1" applyAlignment="1">
      <alignment horizontal="center" vertical="center"/>
    </xf>
    <xf numFmtId="0" fontId="168" fillId="91" borderId="624" xfId="129" applyFont="1" applyFill="1" applyBorder="1" applyAlignment="1">
      <alignment horizontal="distributed" justifyLastLine="1"/>
    </xf>
    <xf numFmtId="0" fontId="168" fillId="91" borderId="697" xfId="129" applyFont="1" applyFill="1" applyBorder="1" applyAlignment="1">
      <alignment horizontal="distributed" justifyLastLine="1"/>
    </xf>
    <xf numFmtId="0" fontId="168" fillId="91" borderId="647" xfId="129" applyFont="1" applyFill="1" applyBorder="1" applyAlignment="1">
      <alignment horizontal="distributed" justifyLastLine="1"/>
    </xf>
    <xf numFmtId="38" fontId="159" fillId="106" borderId="619" xfId="121" applyFont="1" applyFill="1" applyBorder="1" applyAlignment="1">
      <alignment horizontal="right" vertical="center"/>
    </xf>
    <xf numFmtId="0" fontId="201" fillId="108" borderId="725" xfId="131"/>
    <xf numFmtId="38" fontId="201" fillId="108" borderId="725" xfId="132" applyFont="1"/>
    <xf numFmtId="0" fontId="201" fillId="108" borderId="725" xfId="131" applyFill="1" applyAlignment="1">
      <alignment horizontal="center" vertical="center"/>
    </xf>
    <xf numFmtId="0" fontId="201" fillId="108" borderId="725" xfId="131" applyFill="1" applyBorder="1" applyAlignment="1">
      <alignment vertical="center"/>
    </xf>
    <xf numFmtId="189" fontId="203" fillId="108" borderId="725" xfId="132" applyNumberFormat="1" applyFont="1" applyFill="1" applyBorder="1" applyAlignment="1">
      <alignment vertical="center"/>
    </xf>
    <xf numFmtId="189" fontId="203" fillId="108" borderId="725" xfId="132" applyNumberFormat="1" applyFont="1"/>
    <xf numFmtId="0" fontId="201" fillId="108" borderId="725" xfId="131" applyAlignment="1">
      <alignment horizontal="right"/>
    </xf>
    <xf numFmtId="0" fontId="205" fillId="108" borderId="725" xfId="131" applyFont="1"/>
    <xf numFmtId="0" fontId="201" fillId="108" borderId="725" xfId="131" applyAlignment="1">
      <alignment horizontal="center"/>
    </xf>
    <xf numFmtId="0" fontId="201" fillId="108" borderId="725" xfId="131" applyFont="1" applyAlignment="1">
      <alignment horizontal="center" shrinkToFit="1"/>
    </xf>
    <xf numFmtId="189" fontId="203" fillId="108" borderId="725" xfId="132" applyNumberFormat="1" applyFont="1" applyFill="1"/>
    <xf numFmtId="189" fontId="203" fillId="110" borderId="725" xfId="132" applyNumberFormat="1" applyFont="1" applyFill="1"/>
    <xf numFmtId="189" fontId="203" fillId="111" borderId="725" xfId="132" applyNumberFormat="1" applyFont="1" applyFill="1"/>
    <xf numFmtId="189" fontId="203" fillId="112" borderId="725" xfId="132" applyNumberFormat="1" applyFont="1" applyFill="1"/>
    <xf numFmtId="189" fontId="203" fillId="113" borderId="725" xfId="132" applyNumberFormat="1" applyFont="1" applyFill="1"/>
    <xf numFmtId="38" fontId="201" fillId="114" borderId="725" xfId="131" applyNumberFormat="1" applyFill="1"/>
    <xf numFmtId="38" fontId="201" fillId="108" borderId="725" xfId="131" applyNumberFormat="1"/>
    <xf numFmtId="0" fontId="201" fillId="108" borderId="725" xfId="131" applyFill="1" applyAlignment="1">
      <alignment horizontal="center"/>
    </xf>
    <xf numFmtId="0" fontId="201" fillId="108" borderId="725" xfId="131" applyBorder="1"/>
    <xf numFmtId="189" fontId="203" fillId="108" borderId="725" xfId="132" applyNumberFormat="1" applyFont="1" applyBorder="1"/>
    <xf numFmtId="0" fontId="201" fillId="108" borderId="726" xfId="131" applyBorder="1"/>
    <xf numFmtId="189" fontId="203" fillId="108" borderId="726" xfId="132" applyNumberFormat="1" applyFont="1" applyBorder="1"/>
    <xf numFmtId="0" fontId="201" fillId="108" borderId="725" xfId="131" applyFill="1"/>
    <xf numFmtId="38" fontId="201" fillId="108" borderId="725" xfId="131" applyNumberFormat="1" applyFill="1"/>
    <xf numFmtId="0" fontId="201" fillId="108" borderId="725" xfId="131" applyFont="1" applyFill="1"/>
    <xf numFmtId="189" fontId="201" fillId="108" borderId="725" xfId="132" applyNumberFormat="1" applyFont="1" applyFill="1"/>
    <xf numFmtId="0" fontId="214" fillId="108" borderId="725" xfId="131" applyFont="1" applyFill="1"/>
    <xf numFmtId="189" fontId="214" fillId="108" borderId="725" xfId="132" applyNumberFormat="1" applyFont="1" applyFill="1"/>
    <xf numFmtId="189" fontId="201" fillId="108" borderId="725" xfId="131" applyNumberFormat="1" applyFont="1" applyFill="1"/>
    <xf numFmtId="0" fontId="201" fillId="108" borderId="727" xfId="131" applyFont="1" applyFill="1" applyBorder="1"/>
    <xf numFmtId="189" fontId="201" fillId="108" borderId="728" xfId="132" applyNumberFormat="1" applyFont="1" applyFill="1" applyBorder="1" applyAlignment="1">
      <alignment vertical="center"/>
    </xf>
    <xf numFmtId="189" fontId="201" fillId="108" borderId="729" xfId="132" applyNumberFormat="1" applyFont="1" applyFill="1" applyBorder="1" applyAlignment="1">
      <alignment vertical="center"/>
    </xf>
    <xf numFmtId="189" fontId="201" fillId="108" borderId="733" xfId="132" applyNumberFormat="1" applyFont="1" applyFill="1" applyBorder="1" applyAlignment="1">
      <alignment vertical="center"/>
    </xf>
    <xf numFmtId="189" fontId="201" fillId="108" borderId="734" xfId="132" applyNumberFormat="1" applyFont="1" applyFill="1" applyBorder="1" applyAlignment="1">
      <alignment vertical="center"/>
    </xf>
    <xf numFmtId="189" fontId="201" fillId="108" borderId="739" xfId="132" applyNumberFormat="1" applyFont="1" applyFill="1" applyBorder="1" applyAlignment="1">
      <alignment vertical="center"/>
    </xf>
    <xf numFmtId="189" fontId="201" fillId="108" borderId="740" xfId="132" applyNumberFormat="1" applyFont="1" applyFill="1" applyBorder="1" applyAlignment="1">
      <alignment vertical="center"/>
    </xf>
    <xf numFmtId="189" fontId="201" fillId="108" borderId="745" xfId="132" applyNumberFormat="1" applyFont="1" applyFill="1" applyBorder="1" applyAlignment="1">
      <alignment vertical="center"/>
    </xf>
    <xf numFmtId="189" fontId="201" fillId="108" borderId="746" xfId="132" applyNumberFormat="1" applyFont="1" applyFill="1" applyBorder="1" applyAlignment="1">
      <alignment vertical="center"/>
    </xf>
    <xf numFmtId="0" fontId="201" fillId="108" borderId="756" xfId="131" applyFont="1" applyFill="1" applyBorder="1"/>
    <xf numFmtId="189" fontId="201" fillId="108" borderId="757" xfId="132" applyNumberFormat="1" applyFont="1" applyFill="1" applyBorder="1" applyAlignment="1">
      <alignment vertical="center"/>
    </xf>
    <xf numFmtId="0" fontId="201" fillId="108" borderId="758" xfId="131" applyFont="1" applyFill="1" applyBorder="1" applyAlignment="1">
      <alignment vertical="center"/>
    </xf>
    <xf numFmtId="189" fontId="201" fillId="108" borderId="759" xfId="132" applyNumberFormat="1" applyFont="1" applyFill="1" applyBorder="1" applyAlignment="1">
      <alignment vertical="center"/>
    </xf>
    <xf numFmtId="0" fontId="201" fillId="108" borderId="738" xfId="131" applyFont="1" applyFill="1" applyBorder="1"/>
    <xf numFmtId="189" fontId="201" fillId="108" borderId="760" xfId="132" applyNumberFormat="1" applyFont="1" applyFill="1" applyBorder="1" applyAlignment="1">
      <alignment vertical="center"/>
    </xf>
    <xf numFmtId="189" fontId="217" fillId="108" borderId="760" xfId="132" applyNumberFormat="1" applyFont="1" applyFill="1" applyBorder="1" applyAlignment="1">
      <alignment horizontal="center" vertical="center"/>
    </xf>
    <xf numFmtId="0" fontId="201" fillId="108" borderId="738" xfId="131" applyFont="1" applyFill="1" applyBorder="1" applyAlignment="1">
      <alignment vertical="center"/>
    </xf>
    <xf numFmtId="0" fontId="201" fillId="108" borderId="762" xfId="131" applyFont="1" applyFill="1" applyBorder="1" applyAlignment="1">
      <alignment vertical="center"/>
    </xf>
    <xf numFmtId="189" fontId="201" fillId="108" borderId="763" xfId="132" applyNumberFormat="1" applyFont="1" applyFill="1" applyBorder="1" applyAlignment="1">
      <alignment vertical="center"/>
    </xf>
    <xf numFmtId="0" fontId="201" fillId="108" borderId="732" xfId="131" applyFont="1" applyFill="1" applyBorder="1" applyAlignment="1">
      <alignment vertical="center"/>
    </xf>
    <xf numFmtId="189" fontId="201" fillId="108" borderId="767" xfId="132" applyNumberFormat="1" applyFont="1" applyFill="1" applyBorder="1" applyAlignment="1">
      <alignment horizontal="right" vertical="center"/>
    </xf>
    <xf numFmtId="189" fontId="201" fillId="108" borderId="751" xfId="132" applyNumberFormat="1" applyFont="1" applyFill="1" applyBorder="1" applyAlignment="1">
      <alignment vertical="center"/>
    </xf>
    <xf numFmtId="0" fontId="201" fillId="108" borderId="738" xfId="131" applyFont="1" applyFill="1" applyBorder="1" applyAlignment="1">
      <alignment vertical="center" shrinkToFit="1"/>
    </xf>
    <xf numFmtId="189" fontId="201" fillId="108" borderId="760" xfId="132" applyNumberFormat="1" applyFont="1" applyFill="1" applyBorder="1" applyAlignment="1">
      <alignment horizontal="right" vertical="center"/>
    </xf>
    <xf numFmtId="189" fontId="201" fillId="108" borderId="763" xfId="132" applyNumberFormat="1" applyFont="1" applyFill="1" applyBorder="1" applyAlignment="1">
      <alignment horizontal="right" vertical="center"/>
    </xf>
    <xf numFmtId="0" fontId="201" fillId="108" borderId="770" xfId="131" applyFont="1" applyFill="1" applyBorder="1" applyAlignment="1">
      <alignment vertical="center"/>
    </xf>
    <xf numFmtId="189" fontId="201" fillId="108" borderId="771" xfId="132" applyNumberFormat="1" applyFont="1" applyFill="1" applyBorder="1" applyAlignment="1">
      <alignment vertical="center"/>
    </xf>
    <xf numFmtId="0" fontId="201" fillId="108" borderId="772" xfId="131" applyFont="1" applyFill="1" applyBorder="1" applyAlignment="1">
      <alignment vertical="center"/>
    </xf>
    <xf numFmtId="0" fontId="215" fillId="108" borderId="773" xfId="131" applyFont="1" applyFill="1" applyBorder="1" applyAlignment="1">
      <alignment vertical="center"/>
    </xf>
    <xf numFmtId="0" fontId="201" fillId="108" borderId="774" xfId="131" applyFont="1" applyFill="1" applyBorder="1" applyAlignment="1">
      <alignment vertical="center"/>
    </xf>
    <xf numFmtId="0" fontId="201" fillId="108" borderId="769" xfId="131" applyFont="1" applyFill="1" applyBorder="1" applyAlignment="1">
      <alignment vertical="center"/>
    </xf>
    <xf numFmtId="0" fontId="201" fillId="108" borderId="775" xfId="131" applyFont="1" applyFill="1" applyBorder="1" applyAlignment="1">
      <alignment vertical="center"/>
    </xf>
    <xf numFmtId="189" fontId="201" fillId="108" borderId="776" xfId="132" applyNumberFormat="1" applyFont="1" applyFill="1" applyBorder="1" applyAlignment="1">
      <alignment vertical="center"/>
    </xf>
    <xf numFmtId="0" fontId="201" fillId="108" borderId="741" xfId="131" applyFont="1" applyFill="1" applyBorder="1" applyAlignment="1">
      <alignment vertical="center"/>
    </xf>
    <xf numFmtId="0" fontId="215" fillId="108" borderId="742" xfId="131" applyFont="1" applyFill="1" applyBorder="1" applyAlignment="1">
      <alignment vertical="center"/>
    </xf>
    <xf numFmtId="0" fontId="201" fillId="108" borderId="777" xfId="131" applyFont="1" applyFill="1" applyBorder="1" applyAlignment="1">
      <alignment vertical="center"/>
    </xf>
    <xf numFmtId="0" fontId="201" fillId="108" borderId="743" xfId="131" applyFont="1" applyFill="1" applyBorder="1" applyAlignment="1">
      <alignment vertical="center"/>
    </xf>
    <xf numFmtId="0" fontId="201" fillId="108" borderId="739" xfId="131" applyFont="1" applyFill="1" applyBorder="1" applyAlignment="1">
      <alignment vertical="center"/>
    </xf>
    <xf numFmtId="0" fontId="201" fillId="108" borderId="778" xfId="131" applyFont="1" applyFill="1" applyBorder="1" applyAlignment="1">
      <alignment vertical="center"/>
    </xf>
    <xf numFmtId="0" fontId="201" fillId="108" borderId="742" xfId="131" applyFont="1" applyFill="1" applyBorder="1" applyAlignment="1">
      <alignment vertical="center"/>
    </xf>
    <xf numFmtId="0" fontId="201" fillId="108" borderId="779" xfId="131" applyFont="1" applyFill="1" applyBorder="1" applyAlignment="1">
      <alignment vertical="center"/>
    </xf>
    <xf numFmtId="0" fontId="201" fillId="108" borderId="740" xfId="131" applyFont="1" applyFill="1" applyBorder="1" applyAlignment="1">
      <alignment vertical="center"/>
    </xf>
    <xf numFmtId="0" fontId="201" fillId="108" borderId="760" xfId="131" applyFont="1" applyFill="1" applyBorder="1" applyAlignment="1">
      <alignment vertical="center"/>
    </xf>
    <xf numFmtId="0" fontId="201" fillId="108" borderId="780" xfId="131" applyFont="1" applyFill="1" applyBorder="1" applyAlignment="1">
      <alignment vertical="center"/>
    </xf>
    <xf numFmtId="0" fontId="201" fillId="108" borderId="776" xfId="131" applyFont="1" applyFill="1" applyBorder="1" applyAlignment="1">
      <alignment vertical="center"/>
    </xf>
    <xf numFmtId="0" fontId="201" fillId="108" borderId="781" xfId="131" applyFont="1" applyFill="1" applyBorder="1" applyAlignment="1">
      <alignment vertical="center"/>
    </xf>
    <xf numFmtId="0" fontId="201" fillId="108" borderId="782" xfId="131" applyFont="1" applyFill="1" applyBorder="1" applyAlignment="1">
      <alignment vertical="center"/>
    </xf>
    <xf numFmtId="189" fontId="201" fillId="108" borderId="783" xfId="132" applyNumberFormat="1" applyFont="1" applyFill="1" applyBorder="1" applyAlignment="1">
      <alignment vertical="center"/>
    </xf>
    <xf numFmtId="0" fontId="201" fillId="108" borderId="783" xfId="131" applyFont="1" applyFill="1" applyBorder="1" applyAlignment="1">
      <alignment vertical="center"/>
    </xf>
    <xf numFmtId="0" fontId="201" fillId="108" borderId="784" xfId="131" applyFont="1" applyFill="1" applyBorder="1" applyAlignment="1">
      <alignment vertical="center"/>
    </xf>
    <xf numFmtId="0" fontId="201" fillId="108" borderId="771" xfId="131" applyFont="1" applyFill="1" applyBorder="1" applyAlignment="1">
      <alignment vertical="center"/>
    </xf>
    <xf numFmtId="0" fontId="201" fillId="108" borderId="767" xfId="131" applyFont="1" applyFill="1" applyBorder="1" applyAlignment="1">
      <alignment vertical="center"/>
    </xf>
    <xf numFmtId="0" fontId="201" fillId="108" borderId="785" xfId="131" applyFont="1" applyFill="1" applyBorder="1" applyAlignment="1">
      <alignment vertical="center"/>
    </xf>
    <xf numFmtId="3" fontId="201" fillId="108" borderId="725" xfId="131" applyNumberFormat="1" applyFont="1" applyFill="1"/>
    <xf numFmtId="0" fontId="201" fillId="108" borderId="741" xfId="131" applyFont="1" applyFill="1" applyBorder="1" applyAlignment="1">
      <alignment horizontal="left" vertical="center" shrinkToFit="1"/>
    </xf>
    <xf numFmtId="0" fontId="201" fillId="108" borderId="783" xfId="131" applyFont="1" applyFill="1" applyBorder="1" applyAlignment="1">
      <alignment horizontal="left" vertical="center" shrinkToFit="1"/>
    </xf>
    <xf numFmtId="0" fontId="201" fillId="108" borderId="727" xfId="131" applyFont="1" applyFill="1" applyBorder="1" applyAlignment="1">
      <alignment horizontal="center" vertical="center"/>
    </xf>
    <xf numFmtId="189" fontId="201" fillId="108" borderId="729" xfId="132" applyNumberFormat="1" applyFont="1" applyFill="1" applyBorder="1" applyAlignment="1">
      <alignment horizontal="center" vertical="center"/>
    </xf>
    <xf numFmtId="0" fontId="201" fillId="108" borderId="725" xfId="131" applyFont="1" applyFill="1" applyAlignment="1">
      <alignment horizontal="center"/>
    </xf>
    <xf numFmtId="0" fontId="201" fillId="108" borderId="725" xfId="131" applyFont="1" applyFill="1" applyAlignment="1">
      <alignment vertical="center"/>
    </xf>
    <xf numFmtId="0" fontId="201" fillId="108" borderId="725" xfId="131" applyFont="1" applyFill="1" applyBorder="1" applyAlignment="1">
      <alignment horizontal="distributed" vertical="center" wrapText="1"/>
    </xf>
    <xf numFmtId="0" fontId="201" fillId="108" borderId="725" xfId="131" applyFont="1" applyFill="1" applyBorder="1" applyAlignment="1">
      <alignment horizontal="center" vertical="top" justifyLastLine="1"/>
    </xf>
    <xf numFmtId="189" fontId="201" fillId="108" borderId="725" xfId="132" applyNumberFormat="1" applyFont="1" applyFill="1" applyBorder="1" applyAlignment="1">
      <alignment horizontal="center" vertical="top" justifyLastLine="1"/>
    </xf>
    <xf numFmtId="58" fontId="201" fillId="108" borderId="725" xfId="131" applyNumberFormat="1" applyFont="1" applyFill="1" applyBorder="1" applyAlignment="1">
      <alignment horizontal="distributed"/>
    </xf>
    <xf numFmtId="189" fontId="207" fillId="108" borderId="725" xfId="132" applyNumberFormat="1" applyFont="1" applyFill="1" applyBorder="1" applyAlignment="1">
      <alignment horizontal="left" vertical="top" justifyLastLine="1"/>
    </xf>
    <xf numFmtId="189" fontId="201" fillId="108" borderId="725" xfId="131" applyNumberFormat="1" applyFont="1" applyFill="1" applyAlignment="1">
      <alignment horizontal="right"/>
    </xf>
    <xf numFmtId="3" fontId="201" fillId="108" borderId="725" xfId="131" applyNumberFormat="1" applyFont="1" applyFill="1" applyAlignment="1">
      <alignment horizontal="left"/>
    </xf>
    <xf numFmtId="189" fontId="201" fillId="108" borderId="732" xfId="132" applyNumberFormat="1" applyFont="1" applyFill="1" applyBorder="1" applyAlignment="1">
      <alignment vertical="center"/>
    </xf>
    <xf numFmtId="189" fontId="201" fillId="108" borderId="788" xfId="131" applyNumberFormat="1" applyFont="1" applyFill="1" applyBorder="1" applyAlignment="1">
      <alignment vertical="center"/>
    </xf>
    <xf numFmtId="189" fontId="201" fillId="108" borderId="734" xfId="131" applyNumberFormat="1" applyFont="1" applyFill="1" applyBorder="1" applyAlignment="1">
      <alignment vertical="center"/>
    </xf>
    <xf numFmtId="189" fontId="201" fillId="108" borderId="779" xfId="131" applyNumberFormat="1" applyFont="1" applyFill="1" applyBorder="1" applyAlignment="1">
      <alignment vertical="center"/>
    </xf>
    <xf numFmtId="189" fontId="201" fillId="108" borderId="740" xfId="131" applyNumberFormat="1" applyFont="1" applyFill="1" applyBorder="1" applyAlignment="1">
      <alignment vertical="center"/>
    </xf>
    <xf numFmtId="189" fontId="201" fillId="108" borderId="782" xfId="131" applyNumberFormat="1" applyFont="1" applyFill="1" applyBorder="1" applyAlignment="1">
      <alignment vertical="center"/>
    </xf>
    <xf numFmtId="189" fontId="201" fillId="108" borderId="783" xfId="131" applyNumberFormat="1" applyFont="1" applyFill="1" applyBorder="1" applyAlignment="1">
      <alignment vertical="center"/>
    </xf>
    <xf numFmtId="0" fontId="201" fillId="108" borderId="756" xfId="131" applyFont="1" applyFill="1" applyBorder="1" applyAlignment="1">
      <alignment vertical="center"/>
    </xf>
    <xf numFmtId="0" fontId="201" fillId="108" borderId="788" xfId="131" applyFont="1" applyFill="1" applyBorder="1" applyAlignment="1">
      <alignment vertical="center"/>
    </xf>
    <xf numFmtId="0" fontId="201" fillId="108" borderId="735" xfId="131" applyFont="1" applyFill="1" applyBorder="1" applyAlignment="1">
      <alignment vertical="center"/>
    </xf>
    <xf numFmtId="0" fontId="215" fillId="108" borderId="733" xfId="131" applyFont="1" applyFill="1" applyBorder="1" applyAlignment="1">
      <alignment vertical="center"/>
    </xf>
    <xf numFmtId="0" fontId="201" fillId="108" borderId="750" xfId="131" applyFont="1" applyFill="1" applyBorder="1" applyAlignment="1">
      <alignment vertical="center"/>
    </xf>
    <xf numFmtId="189" fontId="201" fillId="110" borderId="776" xfId="132" applyNumberFormat="1" applyFont="1" applyFill="1" applyBorder="1" applyAlignment="1">
      <alignment vertical="center"/>
    </xf>
    <xf numFmtId="189" fontId="201" fillId="108" borderId="729" xfId="131" applyNumberFormat="1" applyFont="1" applyFill="1" applyBorder="1" applyAlignment="1">
      <alignment horizontal="center" vertical="center"/>
    </xf>
    <xf numFmtId="0" fontId="220" fillId="108" borderId="725" xfId="131" applyFont="1"/>
    <xf numFmtId="38" fontId="220" fillId="108" borderId="725" xfId="131" applyNumberFormat="1" applyFont="1"/>
    <xf numFmtId="189" fontId="220" fillId="108" borderId="725" xfId="131" applyNumberFormat="1" applyFont="1"/>
    <xf numFmtId="189" fontId="214" fillId="108" borderId="725" xfId="131" applyNumberFormat="1" applyFont="1" applyFill="1"/>
    <xf numFmtId="38" fontId="214" fillId="108" borderId="725" xfId="131" applyNumberFormat="1" applyFont="1" applyFill="1"/>
    <xf numFmtId="192" fontId="214" fillId="108" borderId="725" xfId="131" applyNumberFormat="1" applyFont="1" applyFill="1"/>
    <xf numFmtId="0" fontId="220" fillId="108" borderId="725" xfId="131" applyFont="1" applyAlignment="1">
      <alignment horizontal="center"/>
    </xf>
    <xf numFmtId="38" fontId="221" fillId="108" borderId="751" xfId="132" applyFont="1" applyBorder="1" applyAlignment="1">
      <alignment vertical="center"/>
    </xf>
    <xf numFmtId="38" fontId="221" fillId="108" borderId="752" xfId="132" applyFont="1" applyBorder="1" applyAlignment="1">
      <alignment vertical="center"/>
    </xf>
    <xf numFmtId="38" fontId="201" fillId="108" borderId="787" xfId="132" applyFont="1" applyFill="1" applyBorder="1" applyAlignment="1">
      <alignment vertical="center"/>
    </xf>
    <xf numFmtId="38" fontId="201" fillId="108" borderId="751" xfId="132" applyFont="1" applyFill="1" applyBorder="1" applyAlignment="1">
      <alignment vertical="center"/>
    </xf>
    <xf numFmtId="38" fontId="201" fillId="108" borderId="734" xfId="132" applyFont="1" applyBorder="1" applyAlignment="1">
      <alignment vertical="center"/>
    </xf>
    <xf numFmtId="38" fontId="201" fillId="108" borderId="735" xfId="132" applyFont="1" applyBorder="1" applyAlignment="1">
      <alignment vertical="center"/>
    </xf>
    <xf numFmtId="190" fontId="201" fillId="108" borderId="788" xfId="132" applyNumberFormat="1" applyFont="1" applyFill="1" applyBorder="1" applyAlignment="1">
      <alignment horizontal="center" vertical="center"/>
    </xf>
    <xf numFmtId="190" fontId="201" fillId="108" borderId="733" xfId="132" applyNumberFormat="1" applyFont="1" applyFill="1" applyBorder="1" applyAlignment="1">
      <alignment horizontal="center" vertical="center" shrinkToFit="1"/>
    </xf>
    <xf numFmtId="38" fontId="201" fillId="108" borderId="734" xfId="132" applyFont="1" applyFill="1" applyBorder="1" applyAlignment="1">
      <alignment vertical="center"/>
    </xf>
    <xf numFmtId="38" fontId="201" fillId="108" borderId="740" xfId="132" applyFont="1" applyBorder="1" applyAlignment="1">
      <alignment vertical="center"/>
    </xf>
    <xf numFmtId="38" fontId="201" fillId="108" borderId="795" xfId="132" applyFont="1" applyBorder="1" applyAlignment="1">
      <alignment vertical="center"/>
    </xf>
    <xf numFmtId="38" fontId="201" fillId="108" borderId="740" xfId="132" applyFont="1" applyFill="1" applyBorder="1" applyAlignment="1">
      <alignment vertical="center"/>
    </xf>
    <xf numFmtId="38" fontId="201" fillId="108" borderId="783" xfId="132" applyFont="1" applyBorder="1" applyAlignment="1">
      <alignment vertical="center"/>
    </xf>
    <xf numFmtId="38" fontId="201" fillId="108" borderId="796" xfId="132" applyFont="1" applyBorder="1" applyAlignment="1">
      <alignment vertical="center"/>
    </xf>
    <xf numFmtId="38" fontId="201" fillId="108" borderId="783" xfId="132" applyFont="1" applyFill="1" applyBorder="1" applyAlignment="1">
      <alignment vertical="center"/>
    </xf>
    <xf numFmtId="38" fontId="201" fillId="108" borderId="746" xfId="132" applyFont="1" applyFill="1" applyBorder="1" applyAlignment="1">
      <alignment vertical="center"/>
    </xf>
    <xf numFmtId="0" fontId="201" fillId="108" borderId="751" xfId="131" applyBorder="1" applyAlignment="1">
      <alignment horizontal="center" vertical="center"/>
    </xf>
    <xf numFmtId="189" fontId="201" fillId="108" borderId="734" xfId="131" applyNumberFormat="1" applyFont="1" applyFill="1" applyBorder="1" applyAlignment="1">
      <alignment horizontal="center" vertical="center" shrinkToFit="1"/>
    </xf>
    <xf numFmtId="0" fontId="201" fillId="108" borderId="787" xfId="131" applyFont="1" applyFill="1" applyBorder="1" applyAlignment="1">
      <alignment horizontal="center" vertical="center" shrinkToFit="1"/>
    </xf>
    <xf numFmtId="0" fontId="201" fillId="108" borderId="751" xfId="131" applyFont="1" applyFill="1" applyBorder="1" applyAlignment="1">
      <alignment horizontal="center" vertical="center"/>
    </xf>
    <xf numFmtId="0" fontId="201" fillId="108" borderId="754" xfId="131" applyBorder="1" applyAlignment="1">
      <alignment horizontal="center" vertical="center"/>
    </xf>
    <xf numFmtId="0" fontId="201" fillId="108" borderId="790" xfId="131" applyFont="1" applyFill="1" applyBorder="1" applyAlignment="1">
      <alignment horizontal="center" vertical="center" shrinkToFit="1"/>
    </xf>
    <xf numFmtId="0" fontId="201" fillId="108" borderId="754" xfId="131" applyFont="1" applyFill="1" applyBorder="1" applyAlignment="1">
      <alignment horizontal="center"/>
    </xf>
    <xf numFmtId="189" fontId="201" fillId="108" borderId="729" xfId="131" applyNumberFormat="1" applyFont="1" applyFill="1" applyBorder="1" applyAlignment="1">
      <alignment vertical="center"/>
    </xf>
    <xf numFmtId="189" fontId="201" fillId="108" borderId="786" xfId="132" applyNumberFormat="1" applyFont="1" applyFill="1" applyBorder="1" applyAlignment="1">
      <alignment vertical="center"/>
    </xf>
    <xf numFmtId="38" fontId="201" fillId="108" borderId="729" xfId="131" applyNumberFormat="1" applyFont="1" applyFill="1" applyBorder="1" applyAlignment="1">
      <alignment vertical="center"/>
    </xf>
    <xf numFmtId="190" fontId="201" fillId="108" borderId="738" xfId="132" applyNumberFormat="1" applyFont="1" applyFill="1" applyBorder="1" applyAlignment="1">
      <alignment horizontal="center" vertical="center"/>
    </xf>
    <xf numFmtId="0" fontId="201" fillId="108" borderId="786" xfId="131" applyFont="1" applyFill="1" applyBorder="1" applyAlignment="1">
      <alignment vertical="center"/>
    </xf>
    <xf numFmtId="0" fontId="201" fillId="108" borderId="729" xfId="131" applyFont="1" applyFill="1" applyBorder="1" applyAlignment="1">
      <alignment vertical="center"/>
    </xf>
    <xf numFmtId="0" fontId="201" fillId="108" borderId="802" xfId="131" applyBorder="1" applyAlignment="1">
      <alignment vertical="center"/>
    </xf>
    <xf numFmtId="190" fontId="201" fillId="108" borderId="777" xfId="132" applyNumberFormat="1" applyFont="1" applyFill="1" applyBorder="1" applyAlignment="1">
      <alignment horizontal="center" vertical="center"/>
    </xf>
    <xf numFmtId="0" fontId="201" fillId="108" borderId="804" xfId="131" applyBorder="1" applyAlignment="1">
      <alignment vertical="center"/>
    </xf>
    <xf numFmtId="190" fontId="203" fillId="115" borderId="788" xfId="132" applyNumberFormat="1" applyFill="1" applyBorder="1" applyAlignment="1">
      <alignment vertical="center"/>
    </xf>
    <xf numFmtId="38" fontId="203" fillId="115" borderId="734" xfId="132" applyFill="1" applyBorder="1" applyAlignment="1">
      <alignment vertical="center"/>
    </xf>
    <xf numFmtId="38" fontId="203" fillId="115" borderId="789" xfId="132" applyFill="1" applyBorder="1" applyAlignment="1">
      <alignment vertical="center"/>
    </xf>
    <xf numFmtId="38" fontId="201" fillId="110" borderId="789" xfId="135" applyFont="1" applyFill="1" applyBorder="1" applyAlignment="1">
      <alignment vertical="center"/>
    </xf>
    <xf numFmtId="190" fontId="201" fillId="108" borderId="733" xfId="132" applyNumberFormat="1" applyFont="1" applyFill="1" applyBorder="1" applyAlignment="1">
      <alignment horizontal="center" vertical="center"/>
    </xf>
    <xf numFmtId="38" fontId="201" fillId="116" borderId="734" xfId="132" applyFont="1" applyFill="1" applyBorder="1" applyAlignment="1">
      <alignment vertical="center"/>
    </xf>
    <xf numFmtId="38" fontId="201" fillId="110" borderId="734" xfId="132" applyFont="1" applyFill="1" applyBorder="1" applyAlignment="1">
      <alignment vertical="center"/>
    </xf>
    <xf numFmtId="0" fontId="201" fillId="108" borderId="750" xfId="131" applyBorder="1" applyAlignment="1">
      <alignment vertical="center"/>
    </xf>
    <xf numFmtId="0" fontId="201" fillId="108" borderId="743" xfId="131" applyBorder="1" applyAlignment="1">
      <alignment vertical="center"/>
    </xf>
    <xf numFmtId="0" fontId="201" fillId="108" borderId="805" xfId="131" applyBorder="1" applyAlignment="1">
      <alignment vertical="center"/>
    </xf>
    <xf numFmtId="190" fontId="203" fillId="115" borderId="775" xfId="132" applyNumberFormat="1" applyFill="1" applyBorder="1" applyAlignment="1">
      <alignment vertical="center"/>
    </xf>
    <xf numFmtId="38" fontId="203" fillId="115" borderId="776" xfId="132" applyFill="1" applyBorder="1" applyAlignment="1">
      <alignment vertical="center"/>
    </xf>
    <xf numFmtId="38" fontId="203" fillId="115" borderId="806" xfId="132" applyFill="1" applyBorder="1" applyAlignment="1">
      <alignment vertical="center"/>
    </xf>
    <xf numFmtId="190" fontId="201" fillId="108" borderId="779" xfId="132" applyNumberFormat="1" applyFont="1" applyFill="1" applyBorder="1" applyAlignment="1">
      <alignment horizontal="center" vertical="center"/>
    </xf>
    <xf numFmtId="38" fontId="201" fillId="110" borderId="781" xfId="135" applyFont="1" applyFill="1" applyBorder="1" applyAlignment="1">
      <alignment vertical="center"/>
    </xf>
    <xf numFmtId="190" fontId="201" fillId="108" borderId="739" xfId="132" applyNumberFormat="1" applyFont="1" applyFill="1" applyBorder="1" applyAlignment="1">
      <alignment horizontal="center" vertical="center"/>
    </xf>
    <xf numFmtId="38" fontId="201" fillId="116" borderId="776" xfId="132" applyFont="1" applyFill="1" applyBorder="1" applyAlignment="1">
      <alignment vertical="center"/>
    </xf>
    <xf numFmtId="38" fontId="201" fillId="110" borderId="776" xfId="132" applyFont="1" applyFill="1" applyBorder="1" applyAlignment="1">
      <alignment vertical="center"/>
    </xf>
    <xf numFmtId="0" fontId="201" fillId="108" borderId="741" xfId="131" applyBorder="1" applyAlignment="1">
      <alignment vertical="center"/>
    </xf>
    <xf numFmtId="0" fontId="201" fillId="108" borderId="777" xfId="131" applyBorder="1" applyAlignment="1">
      <alignment vertical="center"/>
    </xf>
    <xf numFmtId="38" fontId="201" fillId="110" borderId="806" xfId="135" applyFont="1" applyFill="1" applyBorder="1" applyAlignment="1">
      <alignment vertical="center"/>
    </xf>
    <xf numFmtId="0" fontId="201" fillId="108" borderId="739" xfId="131" applyBorder="1" applyAlignment="1">
      <alignment vertical="center"/>
    </xf>
    <xf numFmtId="190" fontId="221" fillId="115" borderId="775" xfId="132" applyNumberFormat="1" applyFont="1" applyFill="1" applyBorder="1" applyAlignment="1">
      <alignment vertical="center"/>
    </xf>
    <xf numFmtId="38" fontId="221" fillId="115" borderId="776" xfId="132" applyFont="1" applyFill="1" applyBorder="1" applyAlignment="1">
      <alignment vertical="center"/>
    </xf>
    <xf numFmtId="38" fontId="221" fillId="115" borderId="806" xfId="132" applyFont="1" applyFill="1" applyBorder="1" applyAlignment="1">
      <alignment vertical="center"/>
    </xf>
    <xf numFmtId="38" fontId="201" fillId="108" borderId="806" xfId="132" applyFont="1" applyFill="1" applyBorder="1" applyAlignment="1">
      <alignment vertical="center"/>
    </xf>
    <xf numFmtId="38" fontId="201" fillId="108" borderId="776" xfId="132" applyFont="1" applyFill="1" applyBorder="1" applyAlignment="1">
      <alignment vertical="center"/>
    </xf>
    <xf numFmtId="0" fontId="201" fillId="108" borderId="778" xfId="131" applyBorder="1" applyAlignment="1">
      <alignment vertical="center"/>
    </xf>
    <xf numFmtId="0" fontId="201" fillId="108" borderId="742" xfId="131" applyBorder="1" applyAlignment="1">
      <alignment vertical="center"/>
    </xf>
    <xf numFmtId="0" fontId="201" fillId="108" borderId="807" xfId="131" applyBorder="1" applyAlignment="1">
      <alignment vertical="center"/>
    </xf>
    <xf numFmtId="190" fontId="203" fillId="115" borderId="779" xfId="132" applyNumberFormat="1" applyFill="1" applyBorder="1" applyAlignment="1">
      <alignment vertical="center"/>
    </xf>
    <xf numFmtId="38" fontId="203" fillId="115" borderId="740" xfId="132" applyFill="1" applyBorder="1" applyAlignment="1">
      <alignment vertical="center"/>
    </xf>
    <xf numFmtId="38" fontId="203" fillId="115" borderId="781" xfId="132" applyFill="1" applyBorder="1" applyAlignment="1">
      <alignment vertical="center"/>
    </xf>
    <xf numFmtId="38" fontId="201" fillId="116" borderId="740" xfId="132" applyFont="1" applyFill="1" applyBorder="1" applyAlignment="1">
      <alignment vertical="center"/>
    </xf>
    <xf numFmtId="38" fontId="201" fillId="110" borderId="740" xfId="132" applyFont="1" applyFill="1" applyBorder="1" applyAlignment="1">
      <alignment vertical="center"/>
    </xf>
    <xf numFmtId="0" fontId="201" fillId="108" borderId="760" xfId="131" applyBorder="1" applyAlignment="1">
      <alignment vertical="center"/>
    </xf>
    <xf numFmtId="0" fontId="201" fillId="108" borderId="780" xfId="131" applyBorder="1" applyAlignment="1">
      <alignment vertical="center"/>
    </xf>
    <xf numFmtId="190" fontId="201" fillId="108" borderId="742" xfId="132" applyNumberFormat="1" applyFont="1" applyFill="1" applyBorder="1" applyAlignment="1">
      <alignment horizontal="center" vertical="center"/>
    </xf>
    <xf numFmtId="0" fontId="201" fillId="108" borderId="776" xfId="131" applyBorder="1" applyAlignment="1">
      <alignment vertical="center"/>
    </xf>
    <xf numFmtId="0" fontId="201" fillId="108" borderId="740" xfId="131" applyBorder="1" applyAlignment="1">
      <alignment vertical="center"/>
    </xf>
    <xf numFmtId="0" fontId="201" fillId="108" borderId="781" xfId="131" applyBorder="1" applyAlignment="1">
      <alignment vertical="center"/>
    </xf>
    <xf numFmtId="0" fontId="201" fillId="108" borderId="808" xfId="131" applyBorder="1" applyAlignment="1">
      <alignment vertical="center"/>
    </xf>
    <xf numFmtId="190" fontId="221" fillId="115" borderId="782" xfId="132" applyNumberFormat="1" applyFont="1" applyFill="1" applyBorder="1" applyAlignment="1">
      <alignment vertical="center"/>
    </xf>
    <xf numFmtId="38" fontId="221" fillId="115" borderId="783" xfId="132" applyFont="1" applyFill="1" applyBorder="1" applyAlignment="1">
      <alignment vertical="center"/>
    </xf>
    <xf numFmtId="38" fontId="221" fillId="115" borderId="784" xfId="132" applyFont="1" applyFill="1" applyBorder="1" applyAlignment="1">
      <alignment vertical="center"/>
    </xf>
    <xf numFmtId="38" fontId="201" fillId="108" borderId="784" xfId="132" applyFont="1" applyFill="1" applyBorder="1" applyAlignment="1">
      <alignment vertical="center"/>
    </xf>
    <xf numFmtId="190" fontId="201" fillId="108" borderId="797" xfId="132" applyNumberFormat="1" applyFont="1" applyFill="1" applyBorder="1" applyAlignment="1">
      <alignment horizontal="center" vertical="center"/>
    </xf>
    <xf numFmtId="0" fontId="201" fillId="108" borderId="783" xfId="131" applyBorder="1" applyAlignment="1">
      <alignment vertical="center"/>
    </xf>
    <xf numFmtId="0" fontId="201" fillId="108" borderId="784" xfId="131" applyBorder="1" applyAlignment="1">
      <alignment vertical="center"/>
    </xf>
    <xf numFmtId="0" fontId="201" fillId="108" borderId="809" xfId="131" applyBorder="1" applyAlignment="1">
      <alignment vertical="center"/>
    </xf>
    <xf numFmtId="190" fontId="203" fillId="115" borderId="770" xfId="132" applyNumberFormat="1" applyFill="1" applyBorder="1" applyAlignment="1">
      <alignment vertical="center"/>
    </xf>
    <xf numFmtId="38" fontId="203" fillId="115" borderId="771" xfId="132" applyFill="1" applyBorder="1" applyAlignment="1">
      <alignment vertical="center"/>
    </xf>
    <xf numFmtId="38" fontId="203" fillId="115" borderId="810" xfId="132" applyFill="1" applyBorder="1" applyAlignment="1">
      <alignment vertical="center"/>
    </xf>
    <xf numFmtId="190" fontId="201" fillId="108" borderId="770" xfId="132" applyNumberFormat="1" applyFont="1" applyFill="1" applyBorder="1" applyAlignment="1">
      <alignment horizontal="center" vertical="center"/>
    </xf>
    <xf numFmtId="38" fontId="201" fillId="110" borderId="810" xfId="135" applyFont="1" applyFill="1" applyBorder="1" applyAlignment="1">
      <alignment vertical="center"/>
    </xf>
    <xf numFmtId="190" fontId="201" fillId="108" borderId="773" xfId="132" applyNumberFormat="1" applyFont="1" applyFill="1" applyBorder="1" applyAlignment="1">
      <alignment horizontal="center" vertical="center"/>
    </xf>
    <xf numFmtId="38" fontId="201" fillId="114" borderId="771" xfId="132" applyFont="1" applyFill="1" applyBorder="1" applyAlignment="1">
      <alignment vertical="center"/>
    </xf>
    <xf numFmtId="38" fontId="201" fillId="110" borderId="771" xfId="132" applyFont="1" applyFill="1" applyBorder="1" applyAlignment="1">
      <alignment vertical="center"/>
    </xf>
    <xf numFmtId="0" fontId="201" fillId="108" borderId="771" xfId="131" applyBorder="1" applyAlignment="1">
      <alignment vertical="center" shrinkToFit="1"/>
    </xf>
    <xf numFmtId="0" fontId="201" fillId="108" borderId="771" xfId="131" applyFont="1" applyBorder="1" applyAlignment="1">
      <alignment vertical="center"/>
    </xf>
    <xf numFmtId="0" fontId="201" fillId="108" borderId="767" xfId="131" applyBorder="1" applyAlignment="1">
      <alignment vertical="center"/>
    </xf>
    <xf numFmtId="0" fontId="201" fillId="108" borderId="785" xfId="131" applyBorder="1" applyAlignment="1">
      <alignment vertical="center"/>
    </xf>
    <xf numFmtId="38" fontId="201" fillId="114" borderId="740" xfId="132" applyFont="1" applyFill="1" applyBorder="1" applyAlignment="1">
      <alignment vertical="center"/>
    </xf>
    <xf numFmtId="0" fontId="201" fillId="108" borderId="740" xfId="131" applyBorder="1" applyAlignment="1">
      <alignment vertical="center" shrinkToFit="1"/>
    </xf>
    <xf numFmtId="190" fontId="201" fillId="108" borderId="775" xfId="132" applyNumberFormat="1" applyFont="1" applyFill="1" applyBorder="1" applyAlignment="1">
      <alignment horizontal="center" vertical="center"/>
    </xf>
    <xf numFmtId="38" fontId="201" fillId="110" borderId="806" xfId="132" applyFont="1" applyFill="1" applyBorder="1" applyAlignment="1">
      <alignment vertical="center"/>
    </xf>
    <xf numFmtId="190" fontId="203" fillId="115" borderId="775" xfId="132" applyNumberFormat="1" applyFill="1" applyBorder="1" applyAlignment="1">
      <alignment horizontal="center" vertical="center"/>
    </xf>
    <xf numFmtId="38" fontId="201" fillId="114" borderId="776" xfId="132" applyFont="1" applyFill="1" applyBorder="1" applyAlignment="1">
      <alignment vertical="center"/>
    </xf>
    <xf numFmtId="189" fontId="201" fillId="108" borderId="776" xfId="132" applyNumberFormat="1" applyFont="1" applyFill="1" applyBorder="1" applyAlignment="1">
      <alignment vertical="center" shrinkToFit="1"/>
    </xf>
    <xf numFmtId="0" fontId="201" fillId="108" borderId="725" xfId="131" applyAlignment="1">
      <alignment shrinkToFit="1"/>
    </xf>
    <xf numFmtId="0" fontId="201" fillId="108" borderId="801" xfId="131" applyBorder="1" applyAlignment="1">
      <alignment horizontal="center" vertical="center" shrinkToFit="1"/>
    </xf>
    <xf numFmtId="0" fontId="201" fillId="115" borderId="788" xfId="131" applyFill="1" applyBorder="1" applyAlignment="1">
      <alignment horizontal="center" vertical="center" shrinkToFit="1"/>
    </xf>
    <xf numFmtId="0" fontId="201" fillId="115" borderId="734" xfId="131" applyFill="1" applyBorder="1" applyAlignment="1">
      <alignment horizontal="center" vertical="center" shrinkToFit="1"/>
    </xf>
    <xf numFmtId="0" fontId="201" fillId="115" borderId="787" xfId="131" applyFill="1" applyBorder="1" applyAlignment="1">
      <alignment horizontal="center" vertical="center" shrinkToFit="1"/>
    </xf>
    <xf numFmtId="0" fontId="201" fillId="108" borderId="751" xfId="131" applyFont="1" applyFill="1" applyBorder="1" applyAlignment="1">
      <alignment horizontal="center" vertical="center" shrinkToFit="1"/>
    </xf>
    <xf numFmtId="0" fontId="201" fillId="108" borderId="803" xfId="131" applyBorder="1" applyAlignment="1">
      <alignment horizontal="center" vertical="center" shrinkToFit="1"/>
    </xf>
    <xf numFmtId="0" fontId="201" fillId="115" borderId="790" xfId="131" applyFill="1" applyBorder="1" applyAlignment="1">
      <alignment horizontal="center" vertical="center" shrinkToFit="1"/>
    </xf>
    <xf numFmtId="0" fontId="201" fillId="108" borderId="754" xfId="131" applyFont="1" applyFill="1" applyBorder="1" applyAlignment="1">
      <alignment horizontal="center" vertical="center" shrinkToFit="1"/>
    </xf>
    <xf numFmtId="0" fontId="222" fillId="108" borderId="725" xfId="131" applyFont="1" applyBorder="1" applyAlignment="1">
      <alignment horizontal="center" vertical="top"/>
    </xf>
    <xf numFmtId="0" fontId="218" fillId="108" borderId="736" xfId="131" applyFont="1" applyFill="1" applyBorder="1" applyAlignment="1">
      <alignment horizontal="left" vertical="top"/>
    </xf>
    <xf numFmtId="190" fontId="222" fillId="108" borderId="725" xfId="131" applyNumberFormat="1" applyFont="1" applyFill="1" applyBorder="1" applyAlignment="1">
      <alignment horizontal="center" vertical="top"/>
    </xf>
    <xf numFmtId="189" fontId="222" fillId="108" borderId="725" xfId="131" applyNumberFormat="1" applyFont="1" applyFill="1" applyBorder="1" applyAlignment="1">
      <alignment horizontal="center" vertical="top"/>
    </xf>
    <xf numFmtId="0" fontId="218" fillId="108" borderId="725" xfId="131" applyFont="1" applyFill="1" applyBorder="1" applyAlignment="1">
      <alignment horizontal="center" vertical="top"/>
    </xf>
    <xf numFmtId="0" fontId="223" fillId="108" borderId="725" xfId="131" applyFont="1" applyBorder="1" applyAlignment="1">
      <alignment horizontal="center" vertical="top"/>
    </xf>
    <xf numFmtId="0" fontId="201" fillId="108" borderId="725" xfId="131" applyAlignment="1">
      <alignment vertical="center"/>
    </xf>
    <xf numFmtId="0" fontId="218" fillId="108" borderId="725" xfId="131" applyFont="1" applyBorder="1" applyAlignment="1">
      <alignment horizontal="center" vertical="top"/>
    </xf>
    <xf numFmtId="189" fontId="218" fillId="108" borderId="725" xfId="131" applyNumberFormat="1" applyFont="1" applyFill="1" applyBorder="1" applyAlignment="1">
      <alignment horizontal="center" vertical="top"/>
    </xf>
    <xf numFmtId="38" fontId="218" fillId="108" borderId="725" xfId="131" applyNumberFormat="1" applyFont="1" applyFill="1" applyBorder="1" applyAlignment="1">
      <alignment horizontal="center" vertical="top"/>
    </xf>
    <xf numFmtId="190" fontId="218" fillId="108" borderId="725" xfId="131" applyNumberFormat="1" applyFont="1" applyFill="1" applyBorder="1" applyAlignment="1">
      <alignment horizontal="center" vertical="top"/>
    </xf>
    <xf numFmtId="189" fontId="201" fillId="110" borderId="776" xfId="132" applyNumberFormat="1" applyFont="1" applyFill="1" applyBorder="1"/>
    <xf numFmtId="189" fontId="201" fillId="108" borderId="776" xfId="132" applyNumberFormat="1" applyFont="1" applyFill="1" applyBorder="1"/>
    <xf numFmtId="0" fontId="201" fillId="108" borderId="797" xfId="131" applyFont="1" applyFill="1" applyBorder="1" applyAlignment="1">
      <alignment vertical="center"/>
    </xf>
    <xf numFmtId="189" fontId="201" fillId="117" borderId="776" xfId="132" applyNumberFormat="1" applyFont="1" applyFill="1" applyBorder="1"/>
    <xf numFmtId="189" fontId="201" fillId="112" borderId="776" xfId="132" applyNumberFormat="1" applyFont="1" applyFill="1" applyBorder="1"/>
    <xf numFmtId="189" fontId="201" fillId="111" borderId="776" xfId="132" applyNumberFormat="1" applyFont="1" applyFill="1" applyBorder="1"/>
    <xf numFmtId="0" fontId="201" fillId="108" borderId="811" xfId="131" applyFont="1" applyFill="1" applyBorder="1" applyAlignment="1">
      <alignment vertical="center"/>
    </xf>
    <xf numFmtId="0" fontId="217" fillId="108" borderId="783" xfId="131" applyFont="1" applyFill="1" applyBorder="1" applyAlignment="1">
      <alignment horizontal="left" vertical="center"/>
    </xf>
    <xf numFmtId="0" fontId="201" fillId="108" borderId="783" xfId="131" applyFont="1" applyFill="1" applyBorder="1" applyAlignment="1">
      <alignment horizontal="center" vertical="center"/>
    </xf>
    <xf numFmtId="0" fontId="201" fillId="108" borderId="797" xfId="131" applyFont="1" applyFill="1" applyBorder="1" applyAlignment="1">
      <alignment horizontal="center" vertical="center"/>
    </xf>
    <xf numFmtId="0" fontId="201" fillId="108" borderId="740" xfId="131" applyFont="1" applyFill="1" applyBorder="1" applyAlignment="1">
      <alignment horizontal="center"/>
    </xf>
    <xf numFmtId="0" fontId="201" fillId="108" borderId="740" xfId="131" applyFont="1" applyFill="1" applyBorder="1" applyAlignment="1">
      <alignment horizontal="center" vertical="center"/>
    </xf>
    <xf numFmtId="0" fontId="201" fillId="108" borderId="739" xfId="131" applyFont="1" applyFill="1" applyBorder="1" applyAlignment="1">
      <alignment horizontal="center" vertical="center"/>
    </xf>
    <xf numFmtId="0" fontId="201" fillId="108" borderId="740" xfId="131" applyFont="1" applyFill="1" applyBorder="1" applyAlignment="1">
      <alignment horizontal="center" shrinkToFit="1"/>
    </xf>
    <xf numFmtId="0" fontId="201" fillId="108" borderId="725" xfId="131" applyFont="1" applyFill="1" applyAlignment="1"/>
    <xf numFmtId="0" fontId="201" fillId="108" borderId="725" xfId="131" applyFont="1" applyFill="1" applyAlignment="1">
      <alignment horizontal="right"/>
    </xf>
    <xf numFmtId="0" fontId="214" fillId="108" borderId="725" xfId="131" applyFont="1" applyFill="1" applyAlignment="1">
      <alignment horizontal="center"/>
    </xf>
    <xf numFmtId="38" fontId="201" fillId="108" borderId="725" xfId="132" applyFont="1" applyFill="1"/>
    <xf numFmtId="38" fontId="201" fillId="108" borderId="725" xfId="131" applyNumberFormat="1" applyFont="1" applyFill="1"/>
    <xf numFmtId="189" fontId="201" fillId="114" borderId="776" xfId="132" applyNumberFormat="1" applyFont="1" applyFill="1" applyBorder="1"/>
    <xf numFmtId="189" fontId="201" fillId="110" borderId="797" xfId="132" applyNumberFormat="1" applyFont="1" applyFill="1" applyBorder="1"/>
    <xf numFmtId="189" fontId="201" fillId="110" borderId="783" xfId="132" applyNumberFormat="1" applyFont="1" applyFill="1" applyBorder="1"/>
    <xf numFmtId="0" fontId="201" fillId="108" borderId="783" xfId="131" applyFont="1" applyFill="1" applyBorder="1" applyAlignment="1">
      <alignment vertical="center" shrinkToFit="1"/>
    </xf>
    <xf numFmtId="189" fontId="201" fillId="108" borderId="797" xfId="132" applyNumberFormat="1" applyFont="1" applyFill="1" applyBorder="1"/>
    <xf numFmtId="189" fontId="201" fillId="108" borderId="783" xfId="132" applyNumberFormat="1" applyFont="1" applyFill="1" applyBorder="1"/>
    <xf numFmtId="0" fontId="201" fillId="108" borderId="796" xfId="131" applyFont="1" applyFill="1" applyBorder="1" applyAlignment="1">
      <alignment vertical="center"/>
    </xf>
    <xf numFmtId="189" fontId="201" fillId="108" borderId="776" xfId="132" applyNumberFormat="1" applyFont="1" applyFill="1" applyBorder="1" applyAlignment="1"/>
    <xf numFmtId="0" fontId="201" fillId="108" borderId="725" xfId="131" applyFont="1" applyFill="1" applyBorder="1" applyAlignment="1">
      <alignment horizontal="center" vertical="center"/>
    </xf>
    <xf numFmtId="193" fontId="201" fillId="108" borderId="725" xfId="131" applyNumberFormat="1" applyFont="1"/>
    <xf numFmtId="193" fontId="201" fillId="108" borderId="725" xfId="131" applyNumberFormat="1" applyFont="1" applyAlignment="1">
      <alignment horizontal="right"/>
    </xf>
    <xf numFmtId="193" fontId="201" fillId="108" borderId="725" xfId="131" applyNumberFormat="1" applyFont="1" applyFill="1"/>
    <xf numFmtId="193" fontId="201" fillId="108" borderId="725" xfId="131" applyNumberFormat="1" applyFont="1" applyBorder="1" applyAlignment="1">
      <alignment vertical="center"/>
    </xf>
    <xf numFmtId="193" fontId="201" fillId="108" borderId="725" xfId="131" applyNumberFormat="1" applyFont="1" applyFill="1" applyBorder="1" applyAlignment="1">
      <alignment vertical="center"/>
    </xf>
    <xf numFmtId="193" fontId="201" fillId="108" borderId="725" xfId="132" applyNumberFormat="1" applyFont="1" applyBorder="1" applyAlignment="1">
      <alignment vertical="center"/>
    </xf>
    <xf numFmtId="193" fontId="201" fillId="108" borderId="725" xfId="132" applyNumberFormat="1" applyFont="1" applyFill="1" applyBorder="1" applyAlignment="1">
      <alignment vertical="center"/>
    </xf>
    <xf numFmtId="193" fontId="201" fillId="108" borderId="725" xfId="131" applyNumberFormat="1" applyFont="1" applyAlignment="1">
      <alignment horizontal="center" vertical="center"/>
    </xf>
    <xf numFmtId="193" fontId="201" fillId="108" borderId="725" xfId="131" applyNumberFormat="1" applyFont="1" applyAlignment="1">
      <alignment vertical="center"/>
    </xf>
    <xf numFmtId="189" fontId="201" fillId="108" borderId="813" xfId="132" applyNumberFormat="1" applyFont="1" applyBorder="1" applyAlignment="1">
      <alignment horizontal="right" vertical="center"/>
    </xf>
    <xf numFmtId="189" fontId="201" fillId="108" borderId="811" xfId="132" applyNumberFormat="1" applyFont="1" applyBorder="1" applyAlignment="1">
      <alignment vertical="center"/>
    </xf>
    <xf numFmtId="189" fontId="201" fillId="108" borderId="813" xfId="132" applyNumberFormat="1" applyFont="1" applyFill="1" applyBorder="1" applyAlignment="1">
      <alignment vertical="center"/>
    </xf>
    <xf numFmtId="189" fontId="201" fillId="110" borderId="797" xfId="132" applyNumberFormat="1" applyFont="1" applyFill="1" applyBorder="1" applyAlignment="1">
      <alignment vertical="center"/>
    </xf>
    <xf numFmtId="189" fontId="201" fillId="108" borderId="783" xfId="132" applyNumberFormat="1" applyFont="1" applyBorder="1" applyAlignment="1">
      <alignment vertical="center"/>
    </xf>
    <xf numFmtId="189" fontId="201" fillId="110" borderId="783" xfId="132" applyNumberFormat="1" applyFont="1" applyFill="1" applyBorder="1" applyAlignment="1">
      <alignment vertical="center"/>
    </xf>
    <xf numFmtId="189" fontId="201" fillId="108" borderId="796" xfId="132" applyNumberFormat="1" applyFont="1" applyBorder="1" applyAlignment="1">
      <alignment vertical="center"/>
    </xf>
    <xf numFmtId="189" fontId="201" fillId="116" borderId="813" xfId="132" applyNumberFormat="1" applyFont="1" applyFill="1" applyBorder="1" applyAlignment="1">
      <alignment vertical="center"/>
    </xf>
    <xf numFmtId="189" fontId="201" fillId="108" borderId="782" xfId="132" applyNumberFormat="1" applyFont="1" applyBorder="1" applyAlignment="1">
      <alignment vertical="center"/>
    </xf>
    <xf numFmtId="189" fontId="201" fillId="108" borderId="797" xfId="132" applyNumberFormat="1" applyFont="1" applyBorder="1" applyAlignment="1">
      <alignment vertical="center"/>
    </xf>
    <xf numFmtId="193" fontId="201" fillId="108" borderId="783" xfId="131" applyNumberFormat="1" applyFont="1" applyBorder="1" applyAlignment="1">
      <alignment vertical="center"/>
    </xf>
    <xf numFmtId="189" fontId="201" fillId="108" borderId="814" xfId="132" applyNumberFormat="1" applyFont="1" applyBorder="1" applyAlignment="1">
      <alignment horizontal="right" vertical="center"/>
    </xf>
    <xf numFmtId="189" fontId="201" fillId="108" borderId="814" xfId="132" applyNumberFormat="1" applyFont="1" applyFill="1" applyBorder="1" applyAlignment="1">
      <alignment vertical="center"/>
    </xf>
    <xf numFmtId="193" fontId="201" fillId="108" borderId="796" xfId="131" applyNumberFormat="1" applyFont="1" applyBorder="1" applyAlignment="1">
      <alignment vertical="center"/>
    </xf>
    <xf numFmtId="193" fontId="201" fillId="108" borderId="797" xfId="131" applyNumberFormat="1" applyFont="1" applyBorder="1" applyAlignment="1">
      <alignment vertical="center"/>
    </xf>
    <xf numFmtId="193" fontId="201" fillId="108" borderId="760" xfId="131" applyNumberFormat="1" applyFont="1" applyBorder="1" applyAlignment="1">
      <alignment vertical="center"/>
    </xf>
    <xf numFmtId="189" fontId="201" fillId="108" borderId="815" xfId="132" applyNumberFormat="1" applyFont="1" applyBorder="1" applyAlignment="1">
      <alignment horizontal="right" vertical="center"/>
    </xf>
    <xf numFmtId="189" fontId="201" fillId="108" borderId="815" xfId="132" applyNumberFormat="1" applyFont="1" applyFill="1" applyBorder="1" applyAlignment="1">
      <alignment vertical="center"/>
    </xf>
    <xf numFmtId="193" fontId="201" fillId="108" borderId="776" xfId="131" applyNumberFormat="1" applyFont="1" applyBorder="1" applyAlignment="1">
      <alignment vertical="center"/>
    </xf>
    <xf numFmtId="189" fontId="201" fillId="116" borderId="814" xfId="132" applyNumberFormat="1" applyFont="1" applyFill="1" applyBorder="1" applyAlignment="1">
      <alignment vertical="center"/>
    </xf>
    <xf numFmtId="193" fontId="201" fillId="108" borderId="777" xfId="131" applyNumberFormat="1" applyFont="1" applyBorder="1" applyAlignment="1">
      <alignment vertical="center"/>
    </xf>
    <xf numFmtId="189" fontId="201" fillId="108" borderId="796" xfId="132" applyNumberFormat="1" applyFont="1" applyFill="1" applyBorder="1" applyAlignment="1">
      <alignment vertical="center"/>
    </xf>
    <xf numFmtId="189" fontId="201" fillId="108" borderId="797" xfId="132" applyNumberFormat="1" applyFont="1" applyFill="1" applyBorder="1" applyAlignment="1">
      <alignment vertical="center"/>
    </xf>
    <xf numFmtId="193" fontId="201" fillId="108" borderId="783" xfId="131" applyNumberFormat="1" applyFont="1" applyFill="1" applyBorder="1" applyAlignment="1">
      <alignment vertical="center"/>
    </xf>
    <xf numFmtId="193" fontId="216" fillId="108" borderId="783" xfId="131" applyNumberFormat="1" applyFont="1" applyBorder="1" applyAlignment="1">
      <alignment vertical="center"/>
    </xf>
    <xf numFmtId="193" fontId="201" fillId="108" borderId="742" xfId="131" applyNumberFormat="1" applyFont="1" applyBorder="1" applyAlignment="1">
      <alignment vertical="center"/>
    </xf>
    <xf numFmtId="189" fontId="201" fillId="110" borderId="814" xfId="132" applyNumberFormat="1" applyFont="1" applyFill="1" applyBorder="1" applyAlignment="1">
      <alignment vertical="center"/>
    </xf>
    <xf numFmtId="193" fontId="201" fillId="108" borderId="811" xfId="131" applyNumberFormat="1" applyFont="1" applyBorder="1" applyAlignment="1">
      <alignment vertical="center"/>
    </xf>
    <xf numFmtId="193" fontId="201" fillId="108" borderId="814" xfId="131" applyNumberFormat="1" applyFont="1" applyFill="1" applyBorder="1" applyAlignment="1">
      <alignment horizontal="center" vertical="center"/>
    </xf>
    <xf numFmtId="193" fontId="201" fillId="108" borderId="811" xfId="131" applyNumberFormat="1" applyFont="1" applyFill="1" applyBorder="1" applyAlignment="1">
      <alignment horizontal="center" vertical="center"/>
    </xf>
    <xf numFmtId="193" fontId="201" fillId="108" borderId="797" xfId="131" applyNumberFormat="1" applyFont="1" applyFill="1" applyBorder="1" applyAlignment="1">
      <alignment horizontal="center" vertical="center"/>
    </xf>
    <xf numFmtId="193" fontId="201" fillId="108" borderId="783" xfId="131" applyNumberFormat="1" applyFont="1" applyFill="1" applyBorder="1" applyAlignment="1">
      <alignment horizontal="center" vertical="center"/>
    </xf>
    <xf numFmtId="193" fontId="201" fillId="108" borderId="796" xfId="131" applyNumberFormat="1" applyFont="1" applyFill="1" applyBorder="1" applyAlignment="1">
      <alignment horizontal="center" vertical="center"/>
    </xf>
    <xf numFmtId="193" fontId="201" fillId="108" borderId="782" xfId="131" applyNumberFormat="1" applyFont="1" applyFill="1" applyBorder="1" applyAlignment="1">
      <alignment horizontal="center" vertical="center"/>
    </xf>
    <xf numFmtId="193" fontId="201" fillId="108" borderId="816" xfId="131" applyNumberFormat="1" applyFont="1" applyFill="1" applyBorder="1" applyAlignment="1">
      <alignment horizontal="center" vertical="center" wrapText="1"/>
    </xf>
    <xf numFmtId="193" fontId="201" fillId="108" borderId="812" xfId="131" applyNumberFormat="1" applyFont="1" applyFill="1" applyBorder="1" applyAlignment="1">
      <alignment horizontal="distributed" vertical="center" wrapText="1"/>
    </xf>
    <xf numFmtId="193" fontId="201" fillId="108" borderId="739" xfId="131" applyNumberFormat="1" applyFont="1" applyFill="1" applyBorder="1" applyAlignment="1">
      <alignment horizontal="distributed" vertical="center" wrapText="1"/>
    </xf>
    <xf numFmtId="193" fontId="201" fillId="108" borderId="740" xfId="131" applyNumberFormat="1" applyFont="1" applyFill="1" applyBorder="1" applyAlignment="1">
      <alignment horizontal="distributed" vertical="center" wrapText="1"/>
    </xf>
    <xf numFmtId="193" fontId="201" fillId="108" borderId="740" xfId="131" applyNumberFormat="1" applyFont="1" applyFill="1" applyBorder="1" applyAlignment="1">
      <alignment horizontal="center" vertical="center" wrapText="1"/>
    </xf>
    <xf numFmtId="193" fontId="201" fillId="108" borderId="795" xfId="131" applyNumberFormat="1" applyFont="1" applyFill="1" applyBorder="1" applyAlignment="1">
      <alignment horizontal="center" vertical="center" wrapText="1"/>
    </xf>
    <xf numFmtId="193" fontId="201" fillId="108" borderId="816" xfId="131" applyNumberFormat="1" applyFont="1" applyFill="1" applyBorder="1" applyAlignment="1">
      <alignment horizontal="center" vertical="center"/>
    </xf>
    <xf numFmtId="193" fontId="201" fillId="108" borderId="779" xfId="131" applyNumberFormat="1" applyFont="1" applyFill="1" applyBorder="1" applyAlignment="1">
      <alignment horizontal="center" vertical="center"/>
    </xf>
    <xf numFmtId="0" fontId="201" fillId="108" borderId="739" xfId="131" applyFont="1" applyFill="1" applyBorder="1" applyAlignment="1">
      <alignment horizontal="center" vertical="center" wrapText="1"/>
    </xf>
    <xf numFmtId="0" fontId="201" fillId="108" borderId="740" xfId="131" applyFont="1" applyFill="1" applyBorder="1" applyAlignment="1">
      <alignment horizontal="center" vertical="center" wrapText="1"/>
    </xf>
    <xf numFmtId="193" fontId="201" fillId="108" borderId="725" xfId="131" applyNumberFormat="1" applyFont="1" applyFill="1" applyAlignment="1">
      <alignment horizontal="right"/>
    </xf>
    <xf numFmtId="193" fontId="201" fillId="108" borderId="725" xfId="131" applyNumberFormat="1" applyFont="1" applyBorder="1" applyAlignment="1">
      <alignment horizontal="center"/>
    </xf>
    <xf numFmtId="193" fontId="214" fillId="108" borderId="725" xfId="131" applyNumberFormat="1" applyFont="1" applyBorder="1" applyAlignment="1"/>
    <xf numFmtId="194" fontId="201" fillId="108" borderId="725" xfId="131" applyNumberFormat="1" applyFont="1"/>
    <xf numFmtId="189" fontId="201" fillId="110" borderId="811" xfId="132" applyNumberFormat="1" applyFont="1" applyFill="1" applyBorder="1" applyAlignment="1">
      <alignment vertical="center"/>
    </xf>
    <xf numFmtId="189" fontId="201" fillId="118" borderId="813" xfId="132" applyNumberFormat="1" applyFont="1" applyFill="1" applyBorder="1" applyAlignment="1">
      <alignment vertical="center"/>
    </xf>
    <xf numFmtId="189" fontId="201" fillId="108" borderId="782" xfId="132" applyNumberFormat="1" applyFont="1" applyFill="1" applyBorder="1" applyAlignment="1">
      <alignment vertical="center"/>
    </xf>
    <xf numFmtId="189" fontId="201" fillId="108" borderId="811" xfId="132" applyNumberFormat="1" applyFont="1" applyFill="1" applyBorder="1" applyAlignment="1">
      <alignment vertical="center"/>
    </xf>
    <xf numFmtId="189" fontId="201" fillId="118" borderId="815" xfId="132" applyNumberFormat="1" applyFont="1" applyFill="1" applyBorder="1" applyAlignment="1">
      <alignment vertical="center"/>
    </xf>
    <xf numFmtId="189" fontId="201" fillId="118" borderId="814" xfId="132" applyNumberFormat="1" applyFont="1" applyFill="1" applyBorder="1" applyAlignment="1">
      <alignment vertical="center"/>
    </xf>
    <xf numFmtId="189" fontId="201" fillId="108" borderId="817" xfId="132" applyNumberFormat="1" applyFont="1" applyFill="1" applyBorder="1" applyAlignment="1">
      <alignment vertical="center"/>
    </xf>
    <xf numFmtId="0" fontId="201" fillId="108" borderId="814" xfId="131" applyFont="1" applyFill="1" applyBorder="1" applyAlignment="1">
      <alignment horizontal="center" vertical="center"/>
    </xf>
    <xf numFmtId="0" fontId="201" fillId="108" borderId="811" xfId="131" applyFont="1" applyFill="1" applyBorder="1" applyAlignment="1">
      <alignment horizontal="center" vertical="center"/>
    </xf>
    <xf numFmtId="0" fontId="201" fillId="108" borderId="782" xfId="131" applyFont="1" applyFill="1" applyBorder="1" applyAlignment="1">
      <alignment horizontal="center" vertical="center"/>
    </xf>
    <xf numFmtId="0" fontId="201" fillId="108" borderId="816" xfId="131" applyFont="1" applyFill="1" applyBorder="1" applyAlignment="1">
      <alignment horizontal="center" vertical="center" wrapText="1"/>
    </xf>
    <xf numFmtId="0" fontId="201" fillId="108" borderId="812" xfId="131" applyFont="1" applyFill="1" applyBorder="1" applyAlignment="1">
      <alignment horizontal="center" vertical="center" wrapText="1" shrinkToFit="1"/>
    </xf>
    <xf numFmtId="0" fontId="201" fillId="108" borderId="740" xfId="131" applyFont="1" applyFill="1" applyBorder="1" applyAlignment="1">
      <alignment horizontal="center" vertical="center" wrapText="1" shrinkToFit="1"/>
    </xf>
    <xf numFmtId="0" fontId="201" fillId="108" borderId="816" xfId="131" applyFont="1" applyFill="1" applyBorder="1" applyAlignment="1">
      <alignment horizontal="center" vertical="center" wrapText="1" shrinkToFit="1"/>
    </xf>
    <xf numFmtId="0" fontId="201" fillId="108" borderId="779" xfId="131" applyFont="1" applyFill="1" applyBorder="1" applyAlignment="1">
      <alignment horizontal="center" vertical="center" wrapText="1"/>
    </xf>
    <xf numFmtId="0" fontId="201" fillId="108" borderId="761" xfId="131" applyFont="1" applyFill="1" applyBorder="1" applyAlignment="1">
      <alignment horizontal="center" vertical="center"/>
    </xf>
    <xf numFmtId="0" fontId="215" fillId="108" borderId="793" xfId="131" applyFont="1" applyFill="1" applyBorder="1" applyAlignment="1">
      <alignment horizontal="distributed" vertical="center" justifyLastLine="1"/>
    </xf>
    <xf numFmtId="0" fontId="201" fillId="108" borderId="795" xfId="131" applyFont="1" applyFill="1" applyBorder="1" applyAlignment="1">
      <alignment vertical="center"/>
    </xf>
    <xf numFmtId="189" fontId="201" fillId="108" borderId="841" xfId="132" applyNumberFormat="1" applyFont="1" applyFill="1" applyBorder="1" applyAlignment="1">
      <alignment vertical="center"/>
    </xf>
    <xf numFmtId="0" fontId="201" fillId="108" borderId="840" xfId="131" applyFont="1" applyFill="1" applyBorder="1" applyAlignment="1">
      <alignment vertical="center"/>
    </xf>
    <xf numFmtId="0" fontId="201" fillId="108" borderId="752" xfId="131" applyBorder="1" applyAlignment="1">
      <alignment horizontal="center" vertical="center" shrinkToFit="1"/>
    </xf>
    <xf numFmtId="0" fontId="201" fillId="108" borderId="845" xfId="131" applyFont="1" applyFill="1" applyBorder="1" applyAlignment="1">
      <alignment vertical="center"/>
    </xf>
    <xf numFmtId="0" fontId="201" fillId="108" borderId="841" xfId="131" applyFont="1" applyFill="1" applyBorder="1" applyAlignment="1">
      <alignment vertical="center"/>
    </xf>
    <xf numFmtId="190" fontId="201" fillId="108" borderId="782" xfId="132" applyNumberFormat="1" applyFont="1" applyFill="1" applyBorder="1" applyAlignment="1">
      <alignment horizontal="center" vertical="center"/>
    </xf>
    <xf numFmtId="190" fontId="201" fillId="108" borderId="750" xfId="132" applyNumberFormat="1" applyFont="1" applyFill="1" applyBorder="1" applyAlignment="1">
      <alignment horizontal="center" vertical="center"/>
    </xf>
    <xf numFmtId="190" fontId="201" fillId="108" borderId="732" xfId="132" applyNumberFormat="1" applyFont="1" applyFill="1" applyBorder="1" applyAlignment="1">
      <alignment horizontal="center" vertical="center"/>
    </xf>
    <xf numFmtId="0" fontId="215" fillId="108" borderId="788" xfId="131" applyFont="1" applyFill="1" applyBorder="1" applyAlignment="1">
      <alignment horizontal="center" vertical="center" wrapText="1" shrinkToFit="1"/>
    </xf>
    <xf numFmtId="190" fontId="215" fillId="108" borderId="733" xfId="131" applyNumberFormat="1" applyFont="1" applyFill="1" applyBorder="1" applyAlignment="1">
      <alignment horizontal="center" vertical="center" wrapText="1" shrinkToFit="1"/>
    </xf>
    <xf numFmtId="0" fontId="201" fillId="108" borderId="755" xfId="131" applyBorder="1" applyAlignment="1">
      <alignment horizontal="center" vertical="center"/>
    </xf>
    <xf numFmtId="0" fontId="201" fillId="108" borderId="752" xfId="131" applyBorder="1" applyAlignment="1">
      <alignment horizontal="center" vertical="center"/>
    </xf>
    <xf numFmtId="38" fontId="201" fillId="110" borderId="784" xfId="135" applyFont="1" applyFill="1" applyBorder="1" applyAlignment="1">
      <alignment vertical="center"/>
    </xf>
    <xf numFmtId="0" fontId="216" fillId="108" borderId="783" xfId="131" applyFont="1" applyFill="1" applyBorder="1" applyAlignment="1">
      <alignment horizontal="center" vertical="center"/>
    </xf>
    <xf numFmtId="0" fontId="201" fillId="108" borderId="776" xfId="131" applyFont="1" applyFill="1" applyBorder="1" applyAlignment="1">
      <alignment vertical="center" shrinkToFit="1"/>
    </xf>
    <xf numFmtId="0" fontId="216" fillId="108" borderId="776" xfId="131" applyFont="1" applyFill="1" applyBorder="1" applyAlignment="1">
      <alignment vertical="center" wrapText="1" shrinkToFit="1"/>
    </xf>
    <xf numFmtId="193" fontId="215" fillId="108" borderId="783" xfId="131" applyNumberFormat="1" applyFont="1" applyBorder="1" applyAlignment="1">
      <alignment vertical="center" wrapText="1"/>
    </xf>
    <xf numFmtId="189" fontId="201" fillId="108" borderId="725" xfId="131" applyNumberFormat="1"/>
    <xf numFmtId="38" fontId="201" fillId="108" borderId="725" xfId="132" applyFont="1" applyAlignment="1"/>
    <xf numFmtId="38" fontId="201" fillId="108" borderId="725" xfId="132" applyFont="1" applyFill="1" applyAlignment="1"/>
    <xf numFmtId="189" fontId="201" fillId="121" borderId="814" xfId="132" applyNumberFormat="1" applyFont="1" applyFill="1" applyBorder="1" applyAlignment="1">
      <alignment vertical="center"/>
    </xf>
    <xf numFmtId="189" fontId="201" fillId="121" borderId="815" xfId="132" applyNumberFormat="1" applyFont="1" applyFill="1" applyBorder="1" applyAlignment="1">
      <alignment vertical="center"/>
    </xf>
    <xf numFmtId="193" fontId="234" fillId="108" borderId="725" xfId="131" applyNumberFormat="1" applyFont="1" applyFill="1"/>
    <xf numFmtId="0" fontId="201" fillId="108" borderId="760" xfId="131" applyBorder="1" applyAlignment="1">
      <alignment vertical="center" shrinkToFit="1"/>
    </xf>
    <xf numFmtId="38" fontId="201" fillId="110" borderId="760" xfId="132" applyFont="1" applyFill="1" applyBorder="1" applyAlignment="1">
      <alignment vertical="center"/>
    </xf>
    <xf numFmtId="38" fontId="201" fillId="114" borderId="760" xfId="132" applyFont="1" applyFill="1" applyBorder="1" applyAlignment="1">
      <alignment vertical="center"/>
    </xf>
    <xf numFmtId="38" fontId="201" fillId="110" borderId="780" xfId="135" applyFont="1" applyFill="1" applyBorder="1" applyAlignment="1">
      <alignment vertical="center"/>
    </xf>
    <xf numFmtId="38" fontId="203" fillId="115" borderId="780" xfId="132" applyFill="1" applyBorder="1" applyAlignment="1">
      <alignment vertical="center"/>
    </xf>
    <xf numFmtId="38" fontId="203" fillId="115" borderId="760" xfId="132" applyFill="1" applyBorder="1" applyAlignment="1">
      <alignment vertical="center"/>
    </xf>
    <xf numFmtId="190" fontId="203" fillId="115" borderId="738" xfId="132" applyNumberFormat="1" applyFill="1" applyBorder="1" applyAlignment="1">
      <alignment vertical="center"/>
    </xf>
    <xf numFmtId="189" fontId="214" fillId="110" borderId="797" xfId="132" applyNumberFormat="1" applyFont="1" applyFill="1" applyBorder="1" applyAlignment="1">
      <alignment vertical="center"/>
    </xf>
    <xf numFmtId="38" fontId="201" fillId="110" borderId="776" xfId="132" applyFont="1" applyFill="1" applyBorder="1" applyAlignment="1">
      <alignment horizontal="right" vertical="center"/>
    </xf>
    <xf numFmtId="0" fontId="201" fillId="108" borderId="725" xfId="131" applyFont="1" applyFill="1" applyBorder="1" applyAlignment="1">
      <alignment vertical="center"/>
    </xf>
    <xf numFmtId="0" fontId="216" fillId="108" borderId="775" xfId="131" applyFont="1" applyFill="1" applyBorder="1" applyAlignment="1">
      <alignment vertical="center"/>
    </xf>
    <xf numFmtId="0" fontId="216" fillId="108" borderId="725" xfId="131" applyFont="1" applyFill="1"/>
    <xf numFmtId="0" fontId="237" fillId="108" borderId="725" xfId="145" applyFont="1">
      <alignment vertical="center"/>
    </xf>
    <xf numFmtId="0" fontId="237" fillId="108" borderId="811" xfId="145" applyFont="1" applyBorder="1" applyAlignment="1">
      <alignment horizontal="center" vertical="center"/>
    </xf>
    <xf numFmtId="38" fontId="237" fillId="110" borderId="725" xfId="146" applyFont="1" applyFill="1">
      <alignment vertical="center"/>
    </xf>
    <xf numFmtId="38" fontId="237" fillId="108" borderId="725" xfId="146" applyFont="1">
      <alignment vertical="center"/>
    </xf>
    <xf numFmtId="0" fontId="237" fillId="108" borderId="725" xfId="145" applyFont="1" applyAlignment="1">
      <alignment vertical="center" shrinkToFit="1"/>
    </xf>
    <xf numFmtId="38" fontId="203" fillId="110" borderId="725" xfId="146" applyFont="1" applyFill="1">
      <alignment vertical="center"/>
    </xf>
    <xf numFmtId="0" fontId="239" fillId="108" borderId="725" xfId="145" applyFont="1">
      <alignment vertical="center"/>
    </xf>
    <xf numFmtId="38" fontId="240" fillId="108" borderId="725" xfId="146" applyFont="1" applyFill="1">
      <alignment vertical="center"/>
    </xf>
    <xf numFmtId="38" fontId="237" fillId="110" borderId="887" xfId="146" applyFont="1" applyFill="1" applyBorder="1">
      <alignment vertical="center"/>
    </xf>
    <xf numFmtId="38" fontId="240" fillId="108" borderId="725" xfId="146" applyFont="1">
      <alignment vertical="center"/>
    </xf>
    <xf numFmtId="38" fontId="240" fillId="108" borderId="887" xfId="146" applyFont="1" applyFill="1" applyBorder="1">
      <alignment vertical="center"/>
    </xf>
    <xf numFmtId="38" fontId="240" fillId="108" borderId="725" xfId="146" applyFont="1" applyFill="1" applyBorder="1">
      <alignment vertical="center"/>
    </xf>
    <xf numFmtId="38" fontId="240" fillId="108" borderId="778" xfId="146" applyFont="1" applyBorder="1">
      <alignment vertical="center"/>
    </xf>
    <xf numFmtId="38" fontId="203" fillId="122" borderId="725" xfId="146" applyFont="1" applyFill="1">
      <alignment vertical="center"/>
    </xf>
    <xf numFmtId="38" fontId="237" fillId="122" borderId="725" xfId="146" applyFont="1" applyFill="1" applyBorder="1">
      <alignment vertical="center"/>
    </xf>
    <xf numFmtId="38" fontId="237" fillId="122" borderId="725" xfId="146" applyFont="1" applyFill="1">
      <alignment vertical="center"/>
    </xf>
    <xf numFmtId="38" fontId="237" fillId="108" borderId="725" xfId="145" applyNumberFormat="1" applyFont="1">
      <alignment vertical="center"/>
    </xf>
    <xf numFmtId="38" fontId="237" fillId="122" borderId="887" xfId="146" applyFont="1" applyFill="1" applyBorder="1">
      <alignment vertical="center"/>
    </xf>
    <xf numFmtId="38" fontId="237" fillId="108" borderId="725" xfId="132" applyFont="1" applyAlignment="1">
      <alignment vertical="center"/>
    </xf>
    <xf numFmtId="0" fontId="218" fillId="108" borderId="725" xfId="131" applyFont="1" applyFill="1" applyBorder="1" applyAlignment="1">
      <alignment horizontal="center" vertical="top"/>
    </xf>
    <xf numFmtId="190" fontId="201" fillId="108" borderId="800" xfId="131" applyNumberFormat="1" applyFont="1" applyFill="1" applyBorder="1" applyAlignment="1">
      <alignment horizontal="center" vertical="center"/>
    </xf>
    <xf numFmtId="189" fontId="214" fillId="108" borderId="725" xfId="131" applyNumberFormat="1" applyFont="1" applyFill="1" applyAlignment="1">
      <alignment horizontal="center"/>
    </xf>
    <xf numFmtId="190" fontId="201" fillId="108" borderId="728" xfId="131" applyNumberFormat="1" applyFont="1" applyFill="1" applyBorder="1" applyAlignment="1">
      <alignment horizontal="center" vertical="center"/>
    </xf>
    <xf numFmtId="190" fontId="201" fillId="108" borderId="725" xfId="131" applyNumberFormat="1" applyFont="1" applyFill="1" applyAlignment="1">
      <alignment horizontal="center"/>
    </xf>
    <xf numFmtId="190" fontId="214" fillId="108" borderId="725" xfId="131" applyNumberFormat="1" applyFont="1" applyFill="1" applyAlignment="1">
      <alignment horizontal="center"/>
    </xf>
    <xf numFmtId="0" fontId="201" fillId="108" borderId="731" xfId="131" applyBorder="1" applyAlignment="1">
      <alignment vertical="center"/>
    </xf>
    <xf numFmtId="0" fontId="201" fillId="108" borderId="730" xfId="131" applyBorder="1" applyAlignment="1">
      <alignment vertical="center"/>
    </xf>
    <xf numFmtId="0" fontId="201" fillId="108" borderId="836" xfId="131" applyBorder="1" applyAlignment="1">
      <alignment vertical="center"/>
    </xf>
    <xf numFmtId="38" fontId="201" fillId="108" borderId="729" xfId="132" applyFont="1" applyFill="1" applyBorder="1" applyAlignment="1">
      <alignment vertical="center"/>
    </xf>
    <xf numFmtId="190" fontId="201" fillId="108" borderId="728" xfId="132" applyNumberFormat="1" applyFont="1" applyFill="1" applyBorder="1" applyAlignment="1">
      <alignment horizontal="center" vertical="center"/>
    </xf>
    <xf numFmtId="38" fontId="201" fillId="108" borderId="786" xfId="132" applyFont="1" applyFill="1" applyBorder="1" applyAlignment="1">
      <alignment vertical="center"/>
    </xf>
    <xf numFmtId="190" fontId="201" fillId="108" borderId="727" xfId="132" applyNumberFormat="1" applyFont="1" applyFill="1" applyBorder="1" applyAlignment="1">
      <alignment horizontal="center" vertical="center"/>
    </xf>
    <xf numFmtId="38" fontId="221" fillId="115" borderId="786" xfId="132" applyFont="1" applyFill="1" applyBorder="1" applyAlignment="1">
      <alignment vertical="center"/>
    </xf>
    <xf numFmtId="38" fontId="221" fillId="115" borderId="729" xfId="132" applyFont="1" applyFill="1" applyBorder="1" applyAlignment="1">
      <alignment vertical="center"/>
    </xf>
    <xf numFmtId="190" fontId="221" fillId="115" borderId="727" xfId="132" applyNumberFormat="1" applyFont="1" applyFill="1" applyBorder="1" applyAlignment="1">
      <alignment vertical="center"/>
    </xf>
    <xf numFmtId="0" fontId="201" fillId="108" borderId="800" xfId="131" applyBorder="1" applyAlignment="1">
      <alignment vertical="center"/>
    </xf>
    <xf numFmtId="189" fontId="201" fillId="108" borderId="729" xfId="132" applyNumberFormat="1" applyFont="1" applyFill="1" applyBorder="1" applyAlignment="1">
      <alignment horizontal="right" vertical="center"/>
    </xf>
    <xf numFmtId="190" fontId="201" fillId="108" borderId="728" xfId="132" applyNumberFormat="1" applyFont="1" applyFill="1" applyBorder="1" applyAlignment="1">
      <alignment horizontal="center" vertical="center" shrinkToFit="1"/>
    </xf>
    <xf numFmtId="0" fontId="201" fillId="115" borderId="730" xfId="131" applyFill="1" applyBorder="1" applyAlignment="1">
      <alignment vertical="center"/>
    </xf>
    <xf numFmtId="0" fontId="201" fillId="108" borderId="800" xfId="131" applyBorder="1"/>
    <xf numFmtId="200" fontId="244" fillId="108" borderId="786" xfId="140" applyNumberFormat="1" applyFont="1" applyFill="1" applyBorder="1" applyAlignment="1">
      <alignment vertical="center" shrinkToFit="1"/>
    </xf>
    <xf numFmtId="200" fontId="244" fillId="108" borderId="728" xfId="140" applyNumberFormat="1" applyFont="1" applyFill="1" applyBorder="1" applyAlignment="1">
      <alignment vertical="center" shrinkToFit="1"/>
    </xf>
    <xf numFmtId="200" fontId="244" fillId="108" borderId="960" xfId="140" applyNumberFormat="1" applyFont="1" applyFill="1" applyBorder="1" applyAlignment="1">
      <alignment vertical="center" shrinkToFit="1"/>
    </xf>
    <xf numFmtId="200" fontId="244" fillId="108" borderId="729" xfId="140" applyNumberFormat="1" applyFont="1" applyFill="1" applyBorder="1" applyAlignment="1">
      <alignment vertical="center" shrinkToFit="1"/>
    </xf>
    <xf numFmtId="196" fontId="245" fillId="108" borderId="953" xfId="140" applyNumberFormat="1" applyFont="1" applyBorder="1" applyAlignment="1">
      <alignment horizontal="right" vertical="center" shrinkToFit="1"/>
    </xf>
    <xf numFmtId="197" fontId="245" fillId="108" borderId="947" xfId="140" applyNumberFormat="1" applyFont="1" applyBorder="1" applyAlignment="1">
      <alignment horizontal="right" vertical="center" shrinkToFit="1"/>
    </xf>
    <xf numFmtId="196" fontId="245" fillId="108" borderId="915" xfId="140" applyNumberFormat="1" applyFont="1" applyBorder="1" applyAlignment="1">
      <alignment horizontal="right" vertical="center" shrinkToFit="1"/>
    </xf>
    <xf numFmtId="197" fontId="245" fillId="108" borderId="888" xfId="140" applyNumberFormat="1" applyFont="1" applyBorder="1" applyAlignment="1">
      <alignment horizontal="right" vertical="center" shrinkToFit="1"/>
    </xf>
    <xf numFmtId="197" fontId="246" fillId="108" borderId="725" xfId="140" applyNumberFormat="1" applyFont="1" applyAlignment="1">
      <alignment vertical="center"/>
    </xf>
    <xf numFmtId="0" fontId="243" fillId="108" borderId="725" xfId="140" applyFont="1" applyAlignment="1"/>
    <xf numFmtId="0" fontId="243" fillId="108" borderId="725" xfId="140" applyFont="1" applyAlignment="1">
      <alignment horizontal="right"/>
    </xf>
    <xf numFmtId="189" fontId="243" fillId="108" borderId="725" xfId="140" applyNumberFormat="1" applyFont="1" applyAlignment="1"/>
    <xf numFmtId="38" fontId="243" fillId="108" borderId="725" xfId="132" applyFont="1" applyAlignment="1"/>
    <xf numFmtId="0" fontId="243" fillId="123" borderId="725" xfId="140" applyFont="1" applyFill="1" applyAlignment="1"/>
    <xf numFmtId="200" fontId="243" fillId="108" borderId="725" xfId="140" applyNumberFormat="1" applyFont="1" applyFill="1" applyAlignment="1"/>
    <xf numFmtId="0" fontId="247" fillId="108" borderId="725" xfId="140" applyFont="1" applyAlignment="1"/>
    <xf numFmtId="0" fontId="247" fillId="108" borderId="725" xfId="140" applyFont="1" applyAlignment="1">
      <alignment horizontal="centerContinuous"/>
    </xf>
    <xf numFmtId="0" fontId="247" fillId="123" borderId="725" xfId="140" applyFont="1" applyFill="1" applyAlignment="1"/>
    <xf numFmtId="200" fontId="247" fillId="108" borderId="725" xfId="140" applyNumberFormat="1" applyFont="1" applyFill="1" applyAlignment="1"/>
    <xf numFmtId="200" fontId="247" fillId="108" borderId="725" xfId="140" applyNumberFormat="1" applyFont="1" applyFill="1" applyAlignment="1">
      <alignment horizontal="centerContinuous"/>
    </xf>
    <xf numFmtId="57" fontId="243" fillId="108" borderId="725" xfId="140" applyNumberFormat="1" applyFont="1" applyAlignment="1"/>
    <xf numFmtId="38" fontId="247" fillId="108" borderId="725" xfId="132" applyFont="1" applyAlignment="1"/>
    <xf numFmtId="195" fontId="243" fillId="108" borderId="725" xfId="140" applyNumberFormat="1" applyFont="1" applyAlignment="1">
      <alignment vertical="center"/>
    </xf>
    <xf numFmtId="195" fontId="243" fillId="123" borderId="725" xfId="140" applyNumberFormat="1" applyFont="1" applyFill="1" applyAlignment="1">
      <alignment vertical="center"/>
    </xf>
    <xf numFmtId="200" fontId="243" fillId="108" borderId="725" xfId="140" applyNumberFormat="1" applyFont="1" applyFill="1" applyAlignment="1">
      <alignment vertical="center"/>
    </xf>
    <xf numFmtId="200" fontId="243" fillId="108" borderId="725" xfId="140" applyNumberFormat="1" applyFont="1" applyFill="1" applyAlignment="1">
      <alignment horizontal="center"/>
    </xf>
    <xf numFmtId="0" fontId="243" fillId="108" borderId="725" xfId="140" applyFont="1" applyBorder="1" applyAlignment="1"/>
    <xf numFmtId="0" fontId="243" fillId="108" borderId="725" xfId="140" applyFont="1" applyBorder="1" applyAlignment="1">
      <alignment horizontal="right"/>
    </xf>
    <xf numFmtId="195" fontId="243" fillId="108" borderId="749" xfId="140" applyNumberFormat="1" applyFont="1" applyBorder="1" applyAlignment="1">
      <alignment vertical="center"/>
    </xf>
    <xf numFmtId="195" fontId="243" fillId="108" borderId="748" xfId="140" applyNumberFormat="1" applyFont="1" applyBorder="1" applyAlignment="1">
      <alignment vertical="center"/>
    </xf>
    <xf numFmtId="195" fontId="243" fillId="108" borderId="803" xfId="140" applyNumberFormat="1" applyFont="1" applyBorder="1" applyAlignment="1">
      <alignment vertical="center"/>
    </xf>
    <xf numFmtId="195" fontId="243" fillId="123" borderId="748" xfId="140" applyNumberFormat="1" applyFont="1" applyFill="1" applyBorder="1" applyAlignment="1">
      <alignment vertical="center"/>
    </xf>
    <xf numFmtId="200" fontId="243" fillId="108" borderId="790" xfId="140" applyNumberFormat="1" applyFont="1" applyFill="1" applyBorder="1" applyAlignment="1">
      <alignment horizontal="center" vertical="top"/>
    </xf>
    <xf numFmtId="200" fontId="243" fillId="108" borderId="753" xfId="140" applyNumberFormat="1" applyFont="1" applyFill="1" applyBorder="1" applyAlignment="1">
      <alignment horizontal="center" vertical="top"/>
    </xf>
    <xf numFmtId="200" fontId="243" fillId="108" borderId="954" xfId="140" applyNumberFormat="1" applyFont="1" applyFill="1" applyBorder="1" applyAlignment="1">
      <alignment horizontal="center" vertical="top"/>
    </xf>
    <xf numFmtId="0" fontId="243" fillId="108" borderId="747" xfId="140" applyFont="1" applyBorder="1" applyAlignment="1">
      <alignment horizontal="centerContinuous" vertical="center"/>
    </xf>
    <xf numFmtId="195" fontId="243" fillId="108" borderId="745" xfId="140" applyNumberFormat="1" applyFont="1" applyFill="1" applyBorder="1" applyAlignment="1">
      <alignment horizontal="centerContinuous" vertical="center"/>
    </xf>
    <xf numFmtId="0" fontId="243" fillId="108" borderId="798" xfId="140" applyFont="1" applyBorder="1" applyAlignment="1">
      <alignment horizontal="centerContinuous" vertical="center"/>
    </xf>
    <xf numFmtId="0" fontId="243" fillId="108" borderId="725" xfId="140" applyFont="1" applyBorder="1" applyAlignment="1">
      <alignment vertical="center"/>
    </xf>
    <xf numFmtId="38" fontId="243" fillId="108" borderId="725" xfId="132" applyFont="1" applyBorder="1" applyAlignment="1"/>
    <xf numFmtId="195" fontId="243" fillId="123" borderId="749" xfId="140" applyNumberFormat="1" applyFont="1" applyFill="1" applyBorder="1" applyAlignment="1">
      <alignment vertical="center"/>
    </xf>
    <xf numFmtId="200" fontId="243" fillId="108" borderId="780" xfId="140" applyNumberFormat="1" applyFont="1" applyFill="1" applyBorder="1" applyAlignment="1">
      <alignment horizontal="center" vertical="top" wrapText="1"/>
    </xf>
    <xf numFmtId="200" fontId="243" fillId="108" borderId="777" xfId="140" applyNumberFormat="1" applyFont="1" applyFill="1" applyBorder="1" applyAlignment="1">
      <alignment horizontal="center" vertical="top" wrapText="1"/>
    </xf>
    <xf numFmtId="200" fontId="243" fillId="108" borderId="955" xfId="140" applyNumberFormat="1" applyFont="1" applyFill="1" applyBorder="1" applyAlignment="1">
      <alignment horizontal="center" vertical="top" wrapText="1"/>
    </xf>
    <xf numFmtId="200" fontId="243" fillId="108" borderId="760" xfId="140" applyNumberFormat="1" applyFont="1" applyFill="1" applyBorder="1" applyAlignment="1">
      <alignment horizontal="center" vertical="top" wrapText="1"/>
    </xf>
    <xf numFmtId="195" fontId="243" fillId="108" borderId="725" xfId="140" applyNumberFormat="1" applyFont="1" applyFill="1" applyBorder="1" applyAlignment="1">
      <alignment horizontal="centerContinuous" vertical="center"/>
    </xf>
    <xf numFmtId="0" fontId="243" fillId="108" borderId="761" xfId="140" applyFont="1" applyBorder="1" applyAlignment="1">
      <alignment horizontal="centerContinuous" vertical="center"/>
    </xf>
    <xf numFmtId="195" fontId="243" fillId="108" borderId="777" xfId="140" applyNumberFormat="1" applyFont="1" applyFill="1" applyBorder="1" applyAlignment="1">
      <alignment horizontal="centerContinuous" vertical="center"/>
    </xf>
    <xf numFmtId="0" fontId="243" fillId="108" borderId="802" xfId="140" applyFont="1" applyBorder="1" applyAlignment="1">
      <alignment horizontal="centerContinuous" vertical="center"/>
    </xf>
    <xf numFmtId="195" fontId="243" fillId="108" borderId="817" xfId="140" applyNumberFormat="1" applyFont="1" applyBorder="1" applyAlignment="1">
      <alignment vertical="center"/>
    </xf>
    <xf numFmtId="195" fontId="243" fillId="108" borderId="811" xfId="140" applyNumberFormat="1" applyFont="1" applyBorder="1" applyAlignment="1">
      <alignment vertical="center"/>
    </xf>
    <xf numFmtId="195" fontId="243" fillId="108" borderId="808" xfId="140" applyNumberFormat="1" applyFont="1" applyBorder="1" applyAlignment="1">
      <alignment vertical="center"/>
    </xf>
    <xf numFmtId="195" fontId="243" fillId="123" borderId="817" xfId="140" applyNumberFormat="1" applyFont="1" applyFill="1" applyBorder="1" applyAlignment="1">
      <alignment vertical="center"/>
    </xf>
    <xf numFmtId="200" fontId="243" fillId="108" borderId="784" xfId="140" applyNumberFormat="1" applyFont="1" applyFill="1" applyBorder="1" applyAlignment="1">
      <alignment horizontal="center" vertical="center"/>
    </xf>
    <xf numFmtId="200" fontId="243" fillId="108" borderId="797" xfId="140" applyNumberFormat="1" applyFont="1" applyFill="1" applyBorder="1" applyAlignment="1">
      <alignment horizontal="center" vertical="center"/>
    </xf>
    <xf numFmtId="200" fontId="243" fillId="108" borderId="956" xfId="140" applyNumberFormat="1" applyFont="1" applyFill="1" applyBorder="1" applyAlignment="1">
      <alignment horizontal="center" vertical="center"/>
    </xf>
    <xf numFmtId="200" fontId="243" fillId="108" borderId="783" xfId="140" applyNumberFormat="1" applyFont="1" applyFill="1" applyBorder="1" applyAlignment="1">
      <alignment horizontal="center" vertical="center"/>
    </xf>
    <xf numFmtId="195" fontId="243" fillId="108" borderId="952" xfId="140" applyNumberFormat="1" applyFont="1" applyFill="1" applyBorder="1" applyAlignment="1">
      <alignment horizontal="center" vertical="center"/>
    </xf>
    <xf numFmtId="0" fontId="243" fillId="108" borderId="902" xfId="140" applyFont="1" applyBorder="1" applyAlignment="1">
      <alignment horizontal="center" vertical="center"/>
    </xf>
    <xf numFmtId="195" fontId="243" fillId="108" borderId="876" xfId="140" applyNumberFormat="1" applyFont="1" applyFill="1" applyBorder="1" applyAlignment="1">
      <alignment horizontal="center" vertical="center"/>
    </xf>
    <xf numFmtId="0" fontId="243" fillId="108" borderId="851" xfId="140" applyFont="1" applyBorder="1" applyAlignment="1">
      <alignment horizontal="center" vertical="center"/>
    </xf>
    <xf numFmtId="0" fontId="243" fillId="110" borderId="725" xfId="140" applyFont="1" applyFill="1" applyAlignment="1">
      <alignment horizontal="right"/>
    </xf>
    <xf numFmtId="195" fontId="244" fillId="123" borderId="855" xfId="140" applyNumberFormat="1" applyFont="1" applyFill="1" applyBorder="1" applyAlignment="1">
      <alignment vertical="center"/>
    </xf>
    <xf numFmtId="200" fontId="244" fillId="108" borderId="933" xfId="140" applyNumberFormat="1" applyFont="1" applyFill="1" applyBorder="1" applyAlignment="1">
      <alignment vertical="center" shrinkToFit="1"/>
    </xf>
    <xf numFmtId="200" fontId="244" fillId="108" borderId="829" xfId="140" applyNumberFormat="1" applyFont="1" applyFill="1" applyBorder="1" applyAlignment="1">
      <alignment vertical="center" shrinkToFit="1"/>
    </xf>
    <xf numFmtId="200" fontId="244" fillId="108" borderId="957" xfId="140" applyNumberFormat="1" applyFont="1" applyFill="1" applyBorder="1" applyAlignment="1">
      <alignment vertical="center" shrinkToFit="1"/>
    </xf>
    <xf numFmtId="200" fontId="244" fillId="108" borderId="934" xfId="140" applyNumberFormat="1" applyFont="1" applyFill="1" applyBorder="1" applyAlignment="1">
      <alignment vertical="center" shrinkToFit="1"/>
    </xf>
    <xf numFmtId="196" fontId="245" fillId="108" borderId="858" xfId="140" applyNumberFormat="1" applyFont="1" applyBorder="1" applyAlignment="1">
      <alignment horizontal="right" vertical="center" shrinkToFit="1"/>
    </xf>
    <xf numFmtId="197" fontId="245" fillId="108" borderId="943" xfId="140" applyNumberFormat="1" applyFont="1" applyBorder="1" applyAlignment="1">
      <alignment horizontal="right" vertical="center" shrinkToFit="1"/>
    </xf>
    <xf numFmtId="196" fontId="245" fillId="108" borderId="852" xfId="140" applyNumberFormat="1" applyFont="1" applyBorder="1" applyAlignment="1">
      <alignment horizontal="right" vertical="center" shrinkToFit="1"/>
    </xf>
    <xf numFmtId="197" fontId="245" fillId="108" borderId="859" xfId="140" applyNumberFormat="1" applyFont="1" applyBorder="1" applyAlignment="1">
      <alignment horizontal="right" vertical="center" shrinkToFit="1"/>
    </xf>
    <xf numFmtId="197" fontId="245" fillId="108" borderId="725" xfId="140" applyNumberFormat="1" applyFont="1" applyBorder="1" applyAlignment="1">
      <alignment vertical="center"/>
    </xf>
    <xf numFmtId="195" fontId="243" fillId="108" borderId="872" xfId="140" applyNumberFormat="1" applyFont="1" applyBorder="1" applyAlignment="1">
      <alignment vertical="center" shrinkToFit="1"/>
    </xf>
    <xf numFmtId="195" fontId="244" fillId="123" borderId="863" xfId="140" applyNumberFormat="1" applyFont="1" applyFill="1" applyBorder="1" applyAlignment="1">
      <alignment vertical="center"/>
    </xf>
    <xf numFmtId="200" fontId="244" fillId="108" borderId="935" xfId="140" applyNumberFormat="1" applyFont="1" applyFill="1" applyBorder="1" applyAlignment="1">
      <alignment vertical="center" shrinkToFit="1"/>
    </xf>
    <xf numFmtId="200" fontId="244" fillId="108" borderId="949" xfId="140" applyNumberFormat="1" applyFont="1" applyFill="1" applyBorder="1" applyAlignment="1">
      <alignment vertical="center" shrinkToFit="1"/>
    </xf>
    <xf numFmtId="200" fontId="244" fillId="108" borderId="958" xfId="140" applyNumberFormat="1" applyFont="1" applyFill="1" applyBorder="1" applyAlignment="1">
      <alignment vertical="center" shrinkToFit="1"/>
    </xf>
    <xf numFmtId="200" fontId="244" fillId="108" borderId="931" xfId="140" applyNumberFormat="1" applyFont="1" applyFill="1" applyBorder="1" applyAlignment="1">
      <alignment vertical="center" shrinkToFit="1"/>
    </xf>
    <xf numFmtId="196" fontId="245" fillId="108" borderId="866" xfId="140" applyNumberFormat="1" applyFont="1" applyBorder="1" applyAlignment="1">
      <alignment horizontal="right" vertical="center" shrinkToFit="1"/>
    </xf>
    <xf numFmtId="197" fontId="245" fillId="108" borderId="944" xfId="140" applyNumberFormat="1" applyFont="1" applyBorder="1" applyAlignment="1">
      <alignment horizontal="right" vertical="center" shrinkToFit="1"/>
    </xf>
    <xf numFmtId="196" fontId="245" fillId="108" borderId="868" xfId="140" applyNumberFormat="1" applyFont="1" applyBorder="1" applyAlignment="1">
      <alignment horizontal="right" vertical="center" shrinkToFit="1"/>
    </xf>
    <xf numFmtId="197" fontId="245" fillId="108" borderId="867" xfId="140" applyNumberFormat="1" applyFont="1" applyBorder="1" applyAlignment="1">
      <alignment horizontal="right" vertical="center" shrinkToFit="1"/>
    </xf>
    <xf numFmtId="195" fontId="243" fillId="108" borderId="906" xfId="140" applyNumberFormat="1" applyFont="1" applyBorder="1" applyAlignment="1">
      <alignment vertical="center" shrinkToFit="1"/>
    </xf>
    <xf numFmtId="195" fontId="243" fillId="108" borderId="869" xfId="140" applyNumberFormat="1" applyFont="1" applyBorder="1" applyAlignment="1">
      <alignment vertical="center" shrinkToFit="1"/>
    </xf>
    <xf numFmtId="195" fontId="248" fillId="123" borderId="863" xfId="140" applyNumberFormat="1" applyFont="1" applyFill="1" applyBorder="1" applyAlignment="1">
      <alignment vertical="center"/>
    </xf>
    <xf numFmtId="200" fontId="243" fillId="110" borderId="935" xfId="140" applyNumberFormat="1" applyFont="1" applyFill="1" applyBorder="1" applyAlignment="1">
      <alignment vertical="center" shrinkToFit="1"/>
    </xf>
    <xf numFmtId="200" fontId="243" fillId="110" borderId="949" xfId="140" applyNumberFormat="1" applyFont="1" applyFill="1" applyBorder="1" applyAlignment="1">
      <alignment vertical="center" shrinkToFit="1"/>
    </xf>
    <xf numFmtId="200" fontId="249" fillId="108" borderId="958" xfId="140" applyNumberFormat="1" applyFont="1" applyFill="1" applyBorder="1" applyAlignment="1">
      <alignment vertical="center" shrinkToFit="1"/>
    </xf>
    <xf numFmtId="200" fontId="243" fillId="110" borderId="931" xfId="140" applyNumberFormat="1" applyFont="1" applyFill="1" applyBorder="1" applyAlignment="1">
      <alignment vertical="center" shrinkToFit="1"/>
    </xf>
    <xf numFmtId="38" fontId="243" fillId="108" borderId="725" xfId="140" applyNumberFormat="1" applyFont="1" applyAlignment="1"/>
    <xf numFmtId="195" fontId="243" fillId="108" borderId="870" xfId="140" applyNumberFormat="1" applyFont="1" applyBorder="1" applyAlignment="1">
      <alignment vertical="center" shrinkToFit="1"/>
    </xf>
    <xf numFmtId="195" fontId="243" fillId="108" borderId="862" xfId="140" applyNumberFormat="1" applyFont="1" applyBorder="1" applyAlignment="1">
      <alignment horizontal="distributed" vertical="center" shrinkToFit="1"/>
    </xf>
    <xf numFmtId="0" fontId="243" fillId="108" borderId="725" xfId="140" applyFont="1" applyFill="1" applyAlignment="1"/>
    <xf numFmtId="195" fontId="243" fillId="108" borderId="853" xfId="140" applyNumberFormat="1" applyFont="1" applyBorder="1" applyAlignment="1">
      <alignment vertical="center" shrinkToFit="1"/>
    </xf>
    <xf numFmtId="200" fontId="243" fillId="108" borderId="958" xfId="140" applyNumberFormat="1" applyFont="1" applyFill="1" applyBorder="1" applyAlignment="1">
      <alignment vertical="center" shrinkToFit="1"/>
    </xf>
    <xf numFmtId="197" fontId="250" fillId="108" borderId="944" xfId="140" applyNumberFormat="1" applyFont="1" applyBorder="1" applyAlignment="1">
      <alignment horizontal="right" vertical="center" shrinkToFit="1"/>
    </xf>
    <xf numFmtId="197" fontId="250" fillId="108" borderId="867" xfId="140" applyNumberFormat="1" applyFont="1" applyBorder="1" applyAlignment="1">
      <alignment horizontal="right" vertical="center" shrinkToFit="1"/>
    </xf>
    <xf numFmtId="0" fontId="243" fillId="110" borderId="725" xfId="140" applyFont="1" applyFill="1" applyAlignment="1"/>
    <xf numFmtId="195" fontId="243" fillId="123" borderId="906" xfId="140" applyNumberFormat="1" applyFont="1" applyFill="1" applyBorder="1" applyAlignment="1">
      <alignment vertical="center" shrinkToFit="1"/>
    </xf>
    <xf numFmtId="195" fontId="243" fillId="123" borderId="870" xfId="140" applyNumberFormat="1" applyFont="1" applyFill="1" applyBorder="1" applyAlignment="1">
      <alignment vertical="center" shrinkToFit="1"/>
    </xf>
    <xf numFmtId="195" fontId="248" fillId="123" borderId="871" xfId="140" applyNumberFormat="1" applyFont="1" applyFill="1" applyBorder="1" applyAlignment="1">
      <alignment vertical="center"/>
    </xf>
    <xf numFmtId="200" fontId="243" fillId="110" borderId="936" xfId="140" applyNumberFormat="1" applyFont="1" applyFill="1" applyBorder="1" applyAlignment="1">
      <alignment vertical="center" shrinkToFit="1"/>
    </xf>
    <xf numFmtId="200" fontId="243" fillId="110" borderId="825" xfId="140" applyNumberFormat="1" applyFont="1" applyFill="1" applyBorder="1" applyAlignment="1">
      <alignment vertical="center" shrinkToFit="1"/>
    </xf>
    <xf numFmtId="200" fontId="243" fillId="110" borderId="937" xfId="140" applyNumberFormat="1" applyFont="1" applyFill="1" applyBorder="1" applyAlignment="1">
      <alignment vertical="center" shrinkToFit="1"/>
    </xf>
    <xf numFmtId="196" fontId="245" fillId="108" borderId="874" xfId="140" applyNumberFormat="1" applyFont="1" applyBorder="1" applyAlignment="1">
      <alignment horizontal="right" vertical="center" shrinkToFit="1"/>
    </xf>
    <xf numFmtId="197" fontId="245" fillId="108" borderId="945" xfId="140" applyNumberFormat="1" applyFont="1" applyBorder="1" applyAlignment="1">
      <alignment horizontal="right" vertical="center" shrinkToFit="1"/>
    </xf>
    <xf numFmtId="196" fontId="245" fillId="108" borderId="860" xfId="140" applyNumberFormat="1" applyFont="1" applyBorder="1" applyAlignment="1">
      <alignment horizontal="right" vertical="center" shrinkToFit="1"/>
    </xf>
    <xf numFmtId="197" fontId="245" fillId="108" borderId="875" xfId="140" applyNumberFormat="1" applyFont="1" applyBorder="1" applyAlignment="1">
      <alignment horizontal="right" vertical="center" shrinkToFit="1"/>
    </xf>
    <xf numFmtId="195" fontId="243" fillId="108" borderId="910" xfId="140" applyNumberFormat="1" applyFont="1" applyBorder="1" applyAlignment="1">
      <alignment vertical="center" shrinkToFit="1"/>
    </xf>
    <xf numFmtId="195" fontId="243" fillId="108" borderId="922" xfId="140" applyNumberFormat="1" applyFont="1" applyBorder="1" applyAlignment="1">
      <alignment vertical="center" shrinkToFit="1"/>
    </xf>
    <xf numFmtId="195" fontId="248" fillId="123" borderId="879" xfId="140" applyNumberFormat="1" applyFont="1" applyFill="1" applyBorder="1" applyAlignment="1">
      <alignment vertical="center"/>
    </xf>
    <xf numFmtId="200" fontId="243" fillId="110" borderId="938" xfId="140" applyNumberFormat="1" applyFont="1" applyFill="1" applyBorder="1" applyAlignment="1">
      <alignment vertical="center" shrinkToFit="1"/>
    </xf>
    <xf numFmtId="200" fontId="243" fillId="110" borderId="950" xfId="140" applyNumberFormat="1" applyFont="1" applyFill="1" applyBorder="1" applyAlignment="1">
      <alignment vertical="center" shrinkToFit="1"/>
    </xf>
    <xf numFmtId="200" fontId="249" fillId="108" borderId="959" xfId="140" applyNumberFormat="1" applyFont="1" applyFill="1" applyBorder="1" applyAlignment="1">
      <alignment vertical="center" shrinkToFit="1"/>
    </xf>
    <xf numFmtId="200" fontId="243" fillId="110" borderId="939" xfId="140" applyNumberFormat="1" applyFont="1" applyFill="1" applyBorder="1" applyAlignment="1">
      <alignment vertical="center" shrinkToFit="1"/>
    </xf>
    <xf numFmtId="196" fontId="245" fillId="108" borderId="882" xfId="140" applyNumberFormat="1" applyFont="1" applyBorder="1" applyAlignment="1">
      <alignment horizontal="right" vertical="center" shrinkToFit="1"/>
    </xf>
    <xf numFmtId="197" fontId="251" fillId="108" borderId="946" xfId="140" applyNumberFormat="1" applyFont="1" applyBorder="1" applyAlignment="1">
      <alignment horizontal="right" vertical="center" shrinkToFit="1"/>
    </xf>
    <xf numFmtId="196" fontId="245" fillId="108" borderId="884" xfId="140" applyNumberFormat="1" applyFont="1" applyBorder="1" applyAlignment="1">
      <alignment horizontal="right" vertical="center" shrinkToFit="1"/>
    </xf>
    <xf numFmtId="197" fontId="251" fillId="108" borderId="883" xfId="140" applyNumberFormat="1" applyFont="1" applyBorder="1" applyAlignment="1">
      <alignment horizontal="right" vertical="center" shrinkToFit="1"/>
    </xf>
    <xf numFmtId="195" fontId="243" fillId="108" borderId="725" xfId="140" applyNumberFormat="1" applyFont="1" applyAlignment="1">
      <alignment vertical="center" shrinkToFit="1"/>
    </xf>
    <xf numFmtId="200" fontId="243" fillId="108" borderId="725" xfId="140" applyNumberFormat="1" applyFont="1" applyFill="1" applyAlignment="1">
      <alignment vertical="center" shrinkToFit="1"/>
    </xf>
    <xf numFmtId="200" fontId="243" fillId="108" borderId="955" xfId="140" applyNumberFormat="1" applyFont="1" applyFill="1" applyBorder="1" applyAlignment="1">
      <alignment vertical="center" shrinkToFit="1"/>
    </xf>
    <xf numFmtId="196" fontId="245" fillId="108" borderId="725" xfId="140" applyNumberFormat="1" applyFont="1" applyBorder="1" applyAlignment="1">
      <alignment horizontal="right" vertical="center" shrinkToFit="1"/>
    </xf>
    <xf numFmtId="197" fontId="246" fillId="108" borderId="725" xfId="140" applyNumberFormat="1" applyFont="1" applyAlignment="1">
      <alignment horizontal="right" vertical="center" shrinkToFit="1"/>
    </xf>
    <xf numFmtId="197" fontId="246" fillId="108" borderId="730" xfId="140" applyNumberFormat="1" applyFont="1" applyBorder="1" applyAlignment="1">
      <alignment horizontal="right" vertical="center" shrinkToFit="1"/>
    </xf>
    <xf numFmtId="195" fontId="244" fillId="123" borderId="731" xfId="140" applyNumberFormat="1" applyFont="1" applyFill="1" applyBorder="1" applyAlignment="1">
      <alignment vertical="center"/>
    </xf>
    <xf numFmtId="195" fontId="243" fillId="108" borderId="725" xfId="140" applyNumberFormat="1" applyFont="1" applyBorder="1" applyAlignment="1">
      <alignment horizontal="distributed" vertical="center" shrinkToFit="1"/>
    </xf>
    <xf numFmtId="195" fontId="244" fillId="123" borderId="725" xfId="140" applyNumberFormat="1" applyFont="1" applyFill="1" applyBorder="1" applyAlignment="1">
      <alignment vertical="center"/>
    </xf>
    <xf numFmtId="200" fontId="244" fillId="108" borderId="725" xfId="140" applyNumberFormat="1" applyFont="1" applyFill="1" applyBorder="1" applyAlignment="1">
      <alignment vertical="center" shrinkToFit="1"/>
    </xf>
    <xf numFmtId="200" fontId="244" fillId="108" borderId="955" xfId="140" applyNumberFormat="1" applyFont="1" applyFill="1" applyBorder="1" applyAlignment="1">
      <alignment vertical="center" shrinkToFit="1"/>
    </xf>
    <xf numFmtId="197" fontId="246" fillId="108" borderId="748" xfId="140" applyNumberFormat="1" applyFont="1" applyBorder="1" applyAlignment="1">
      <alignment horizontal="right" vertical="center" shrinkToFit="1"/>
    </xf>
    <xf numFmtId="196" fontId="245" fillId="108" borderId="748" xfId="140" applyNumberFormat="1" applyFont="1" applyBorder="1" applyAlignment="1">
      <alignment horizontal="right" vertical="center" shrinkToFit="1"/>
    </xf>
    <xf numFmtId="0" fontId="243" fillId="108" borderId="725" xfId="140" applyFont="1" applyAlignment="1">
      <alignment shrinkToFit="1"/>
    </xf>
    <xf numFmtId="200" fontId="243" fillId="108" borderId="725" xfId="140" applyNumberFormat="1" applyFont="1" applyFill="1" applyAlignment="1">
      <alignment shrinkToFit="1"/>
    </xf>
    <xf numFmtId="200" fontId="243" fillId="108" borderId="955" xfId="140" applyNumberFormat="1" applyFont="1" applyFill="1" applyBorder="1" applyAlignment="1">
      <alignment shrinkToFit="1"/>
    </xf>
    <xf numFmtId="197" fontId="246" fillId="108" borderId="736" xfId="140" applyNumberFormat="1" applyFont="1" applyBorder="1" applyAlignment="1">
      <alignment horizontal="right" vertical="center" shrinkToFit="1"/>
    </xf>
    <xf numFmtId="196" fontId="245" fillId="108" borderId="736" xfId="140" applyNumberFormat="1" applyFont="1" applyBorder="1" applyAlignment="1">
      <alignment horizontal="right" vertical="center" shrinkToFit="1"/>
    </xf>
    <xf numFmtId="195" fontId="244" fillId="123" borderId="927" xfId="140" applyNumberFormat="1" applyFont="1" applyFill="1" applyBorder="1" applyAlignment="1">
      <alignment vertical="center"/>
    </xf>
    <xf numFmtId="200" fontId="244" fillId="108" borderId="940" xfId="140" applyNumberFormat="1" applyFont="1" applyFill="1" applyBorder="1" applyAlignment="1">
      <alignment vertical="center" shrinkToFit="1"/>
    </xf>
    <xf numFmtId="200" fontId="244" fillId="108" borderId="951" xfId="140" applyNumberFormat="1" applyFont="1" applyFill="1" applyBorder="1" applyAlignment="1">
      <alignment vertical="center" shrinkToFit="1"/>
    </xf>
    <xf numFmtId="200" fontId="244" fillId="108" borderId="961" xfId="140" applyNumberFormat="1" applyFont="1" applyFill="1" applyBorder="1" applyAlignment="1">
      <alignment vertical="center" shrinkToFit="1"/>
    </xf>
    <xf numFmtId="200" fontId="244" fillId="108" borderId="941" xfId="140" applyNumberFormat="1" applyFont="1" applyFill="1" applyBorder="1" applyAlignment="1">
      <alignment vertical="center" shrinkToFit="1"/>
    </xf>
    <xf numFmtId="196" fontId="246" fillId="108" borderId="897" xfId="140" applyNumberFormat="1" applyFont="1" applyBorder="1" applyAlignment="1">
      <alignment horizontal="right" vertical="center" shrinkToFit="1"/>
    </xf>
    <xf numFmtId="197" fontId="245" fillId="108" borderId="948" xfId="140" applyNumberFormat="1" applyFont="1" applyBorder="1" applyAlignment="1">
      <alignment horizontal="right" vertical="center" shrinkToFit="1"/>
    </xf>
    <xf numFmtId="196" fontId="246" fillId="108" borderId="898" xfId="140" applyNumberFormat="1" applyFont="1" applyBorder="1" applyAlignment="1">
      <alignment horizontal="right" vertical="center" shrinkToFit="1"/>
    </xf>
    <xf numFmtId="197" fontId="245" fillId="108" borderId="896" xfId="140" applyNumberFormat="1" applyFont="1" applyBorder="1" applyAlignment="1">
      <alignment horizontal="right" vertical="center" shrinkToFit="1"/>
    </xf>
    <xf numFmtId="197" fontId="251" fillId="108" borderId="944" xfId="140" applyNumberFormat="1" applyFont="1" applyBorder="1" applyAlignment="1">
      <alignment horizontal="right" vertical="center" shrinkToFit="1"/>
    </xf>
    <xf numFmtId="197" fontId="251" fillId="108" borderId="867" xfId="140" applyNumberFormat="1" applyFont="1" applyBorder="1" applyAlignment="1">
      <alignment horizontal="right" vertical="center" shrinkToFit="1"/>
    </xf>
    <xf numFmtId="197" fontId="252" fillId="108" borderId="944" xfId="140" applyNumberFormat="1" applyFont="1" applyBorder="1" applyAlignment="1">
      <alignment horizontal="right" vertical="center" shrinkToFit="1"/>
    </xf>
    <xf numFmtId="197" fontId="252" fillId="108" borderId="867" xfId="140" applyNumberFormat="1" applyFont="1" applyBorder="1" applyAlignment="1">
      <alignment horizontal="right" vertical="center" shrinkToFit="1"/>
    </xf>
    <xf numFmtId="200" fontId="243" fillId="108" borderId="959" xfId="140" applyNumberFormat="1" applyFont="1" applyFill="1" applyBorder="1" applyAlignment="1">
      <alignment vertical="center" shrinkToFit="1"/>
    </xf>
    <xf numFmtId="197" fontId="252" fillId="108" borderId="946" xfId="140" applyNumberFormat="1" applyFont="1" applyBorder="1" applyAlignment="1">
      <alignment horizontal="right" vertical="center" shrinkToFit="1"/>
    </xf>
    <xf numFmtId="197" fontId="252" fillId="108" borderId="883" xfId="140" applyNumberFormat="1" applyFont="1" applyBorder="1" applyAlignment="1">
      <alignment horizontal="right" vertical="center" shrinkToFit="1"/>
    </xf>
    <xf numFmtId="196" fontId="245" fillId="108" borderId="730" xfId="140" applyNumberFormat="1" applyFont="1" applyBorder="1" applyAlignment="1">
      <alignment horizontal="right" vertical="center" shrinkToFit="1"/>
    </xf>
    <xf numFmtId="195" fontId="248" fillId="123" borderId="731" xfId="140" applyNumberFormat="1" applyFont="1" applyFill="1" applyBorder="1" applyAlignment="1">
      <alignment vertical="center"/>
    </xf>
    <xf numFmtId="200" fontId="243" fillId="110" borderId="786" xfId="140" applyNumberFormat="1" applyFont="1" applyFill="1" applyBorder="1" applyAlignment="1">
      <alignment vertical="center" shrinkToFit="1"/>
    </xf>
    <xf numFmtId="200" fontId="243" fillId="110" borderId="728" xfId="140" applyNumberFormat="1" applyFont="1" applyFill="1" applyBorder="1" applyAlignment="1">
      <alignment vertical="center" shrinkToFit="1"/>
    </xf>
    <xf numFmtId="200" fontId="253" fillId="108" borderId="962" xfId="140" applyNumberFormat="1" applyFont="1" applyFill="1" applyBorder="1" applyAlignment="1">
      <alignment vertical="center" shrinkToFit="1"/>
    </xf>
    <xf numFmtId="200" fontId="243" fillId="110" borderId="729" xfId="140" applyNumberFormat="1" applyFont="1" applyFill="1" applyBorder="1" applyAlignment="1">
      <alignment vertical="center" shrinkToFit="1"/>
    </xf>
    <xf numFmtId="197" fontId="252" fillId="108" borderId="947" xfId="140" applyNumberFormat="1" applyFont="1" applyBorder="1" applyAlignment="1">
      <alignment horizontal="right" vertical="center" shrinkToFit="1"/>
    </xf>
    <xf numFmtId="197" fontId="252" fillId="108" borderId="888" xfId="140" applyNumberFormat="1" applyFont="1" applyBorder="1" applyAlignment="1">
      <alignment horizontal="right" vertical="center" shrinkToFit="1"/>
    </xf>
    <xf numFmtId="0" fontId="254" fillId="108" borderId="725" xfId="140" applyFont="1"/>
    <xf numFmtId="0" fontId="243" fillId="108" borderId="725" xfId="140" applyFont="1"/>
    <xf numFmtId="200" fontId="243" fillId="108" borderId="725" xfId="140" applyNumberFormat="1" applyFont="1" applyFill="1"/>
    <xf numFmtId="38" fontId="243" fillId="108" borderId="725" xfId="132" applyFont="1" applyAlignment="1">
      <alignment horizontal="right" vertical="center"/>
    </xf>
    <xf numFmtId="38" fontId="243" fillId="108" borderId="725" xfId="132" applyFont="1" applyAlignment="1">
      <alignment vertical="center"/>
    </xf>
    <xf numFmtId="195" fontId="255" fillId="108" borderId="725" xfId="140" applyNumberFormat="1" applyFont="1" applyAlignment="1">
      <alignment vertical="center"/>
    </xf>
    <xf numFmtId="200" fontId="243" fillId="108" borderId="916" xfId="140" applyNumberFormat="1" applyFont="1" applyFill="1" applyBorder="1" applyAlignment="1">
      <alignment horizontal="center" vertical="top"/>
    </xf>
    <xf numFmtId="200" fontId="243" fillId="108" borderId="969" xfId="140" applyNumberFormat="1" applyFont="1" applyFill="1" applyBorder="1" applyAlignment="1">
      <alignment horizontal="center" vertical="top"/>
    </xf>
    <xf numFmtId="200" fontId="243" fillId="108" borderId="966" xfId="140" applyNumberFormat="1" applyFont="1" applyFill="1" applyBorder="1" applyAlignment="1">
      <alignment horizontal="center" vertical="top"/>
    </xf>
    <xf numFmtId="200" fontId="243" fillId="108" borderId="748" xfId="140" applyNumberFormat="1" applyFont="1" applyFill="1" applyBorder="1" applyAlignment="1">
      <alignment horizontal="center" vertical="top"/>
    </xf>
    <xf numFmtId="38" fontId="243" fillId="108" borderId="725" xfId="132" applyFont="1" applyBorder="1" applyAlignment="1">
      <alignment horizontal="right" vertical="center"/>
    </xf>
    <xf numFmtId="38" fontId="243" fillId="108" borderId="725" xfId="132" applyFont="1" applyBorder="1" applyAlignment="1">
      <alignment vertical="center"/>
    </xf>
    <xf numFmtId="200" fontId="243" fillId="108" borderId="906" xfId="140" applyNumberFormat="1" applyFont="1" applyFill="1" applyBorder="1" applyAlignment="1">
      <alignment horizontal="center" vertical="top" wrapText="1"/>
    </xf>
    <xf numFmtId="200" fontId="243" fillId="108" borderId="970" xfId="140" applyNumberFormat="1" applyFont="1" applyFill="1" applyBorder="1" applyAlignment="1">
      <alignment horizontal="center" vertical="top" wrapText="1"/>
    </xf>
    <xf numFmtId="200" fontId="243" fillId="108" borderId="725" xfId="140" applyNumberFormat="1" applyFont="1" applyFill="1" applyBorder="1" applyAlignment="1">
      <alignment horizontal="center" vertical="top" wrapText="1"/>
    </xf>
    <xf numFmtId="200" fontId="243" fillId="108" borderId="850" xfId="140" applyNumberFormat="1" applyFont="1" applyFill="1" applyBorder="1" applyAlignment="1">
      <alignment horizontal="center" vertical="center"/>
    </xf>
    <xf numFmtId="200" fontId="243" fillId="108" borderId="971" xfId="140" applyNumberFormat="1" applyFont="1" applyFill="1" applyBorder="1" applyAlignment="1">
      <alignment horizontal="center" vertical="center"/>
    </xf>
    <xf numFmtId="200" fontId="243" fillId="108" borderId="811" xfId="140" applyNumberFormat="1" applyFont="1" applyFill="1" applyBorder="1" applyAlignment="1">
      <alignment horizontal="center" vertical="center"/>
    </xf>
    <xf numFmtId="38" fontId="243" fillId="110" borderId="725" xfId="132" applyFont="1" applyFill="1" applyAlignment="1">
      <alignment horizontal="right" vertical="center"/>
    </xf>
    <xf numFmtId="196" fontId="244" fillId="108" borderId="905" xfId="140" applyNumberFormat="1" applyFont="1" applyBorder="1" applyAlignment="1">
      <alignment vertical="center"/>
    </xf>
    <xf numFmtId="200" fontId="244" fillId="108" borderId="903" xfId="140" applyNumberFormat="1" applyFont="1" applyFill="1" applyBorder="1" applyAlignment="1">
      <alignment vertical="center"/>
    </xf>
    <xf numFmtId="200" fontId="244" fillId="108" borderId="972" xfId="140" applyNumberFormat="1" applyFont="1" applyFill="1" applyBorder="1" applyAlignment="1">
      <alignment vertical="center"/>
    </xf>
    <xf numFmtId="200" fontId="244" fillId="108" borderId="963" xfId="140" applyNumberFormat="1" applyFont="1" applyFill="1" applyBorder="1" applyAlignment="1">
      <alignment vertical="center"/>
    </xf>
    <xf numFmtId="200" fontId="244" fillId="108" borderId="778" xfId="140" applyNumberFormat="1" applyFont="1" applyFill="1" applyBorder="1" applyAlignment="1">
      <alignment vertical="center"/>
    </xf>
    <xf numFmtId="196" fontId="244" fillId="108" borderId="885" xfId="140" applyNumberFormat="1" applyFont="1" applyBorder="1" applyAlignment="1">
      <alignment horizontal="right" vertical="center" shrinkToFit="1"/>
    </xf>
    <xf numFmtId="197" fontId="244" fillId="108" borderId="988" xfId="140" applyNumberFormat="1" applyFont="1" applyBorder="1" applyAlignment="1">
      <alignment horizontal="right" vertical="center" shrinkToFit="1"/>
    </xf>
    <xf numFmtId="197" fontId="244" fillId="108" borderId="904" xfId="140" applyNumberFormat="1" applyFont="1" applyBorder="1" applyAlignment="1">
      <alignment horizontal="right" vertical="center" shrinkToFit="1"/>
    </xf>
    <xf numFmtId="195" fontId="246" fillId="108" borderId="906" xfId="140" applyNumberFormat="1" applyFont="1" applyBorder="1" applyAlignment="1">
      <alignment vertical="center"/>
    </xf>
    <xf numFmtId="195" fontId="244" fillId="108" borderId="857" xfId="140" applyNumberFormat="1" applyFont="1" applyBorder="1" applyAlignment="1">
      <alignment vertical="center"/>
    </xf>
    <xf numFmtId="200" fontId="244" fillId="108" borderId="856" xfId="140" applyNumberFormat="1" applyFont="1" applyFill="1" applyBorder="1" applyAlignment="1">
      <alignment vertical="center"/>
    </xf>
    <xf numFmtId="200" fontId="244" fillId="108" borderId="973" xfId="140" applyNumberFormat="1" applyFont="1" applyFill="1" applyBorder="1" applyAlignment="1">
      <alignment vertical="center"/>
    </xf>
    <xf numFmtId="200" fontId="244" fillId="108" borderId="957" xfId="140" applyNumberFormat="1" applyFont="1" applyFill="1" applyBorder="1" applyAlignment="1">
      <alignment vertical="center"/>
    </xf>
    <xf numFmtId="200" fontId="244" fillId="108" borderId="828" xfId="140" applyNumberFormat="1" applyFont="1" applyFill="1" applyBorder="1" applyAlignment="1">
      <alignment vertical="center"/>
    </xf>
    <xf numFmtId="196" fontId="244" fillId="108" borderId="891" xfId="140" applyNumberFormat="1" applyFont="1" applyBorder="1" applyAlignment="1">
      <alignment horizontal="right" vertical="center" shrinkToFit="1"/>
    </xf>
    <xf numFmtId="197" fontId="244" fillId="108" borderId="989" xfId="140" applyNumberFormat="1" applyFont="1" applyBorder="1" applyAlignment="1">
      <alignment horizontal="right" vertical="center" shrinkToFit="1"/>
    </xf>
    <xf numFmtId="196" fontId="244" fillId="108" borderId="889" xfId="140" applyNumberFormat="1" applyFont="1" applyBorder="1" applyAlignment="1">
      <alignment horizontal="right" vertical="center" shrinkToFit="1"/>
    </xf>
    <xf numFmtId="197" fontId="244" fillId="108" borderId="893" xfId="140" applyNumberFormat="1" applyFont="1" applyBorder="1" applyAlignment="1">
      <alignment horizontal="right" vertical="center" shrinkToFit="1"/>
    </xf>
    <xf numFmtId="195" fontId="246" fillId="108" borderId="869" xfId="140" applyNumberFormat="1" applyFont="1" applyBorder="1" applyAlignment="1">
      <alignment vertical="center"/>
    </xf>
    <xf numFmtId="195" fontId="244" fillId="108" borderId="865" xfId="140" applyNumberFormat="1" applyFont="1" applyBorder="1" applyAlignment="1">
      <alignment vertical="center"/>
    </xf>
    <xf numFmtId="200" fontId="244" fillId="108" borderId="864" xfId="140" applyNumberFormat="1" applyFont="1" applyFill="1" applyBorder="1" applyAlignment="1">
      <alignment vertical="center"/>
    </xf>
    <xf numFmtId="200" fontId="244" fillId="108" borderId="974" xfId="140" applyNumberFormat="1" applyFont="1" applyFill="1" applyBorder="1" applyAlignment="1">
      <alignment vertical="center"/>
    </xf>
    <xf numFmtId="200" fontId="244" fillId="108" borderId="958" xfId="140" applyNumberFormat="1" applyFont="1" applyFill="1" applyBorder="1" applyAlignment="1">
      <alignment vertical="center"/>
    </xf>
    <xf numFmtId="200" fontId="244" fillId="108" borderId="908" xfId="140" applyNumberFormat="1" applyFont="1" applyFill="1" applyBorder="1" applyAlignment="1">
      <alignment vertical="center"/>
    </xf>
    <xf numFmtId="196" fontId="244" fillId="108" borderId="868" xfId="140" applyNumberFormat="1" applyFont="1" applyBorder="1" applyAlignment="1">
      <alignment horizontal="right" vertical="center" shrinkToFit="1"/>
    </xf>
    <xf numFmtId="197" fontId="244" fillId="108" borderId="944" xfId="140" applyNumberFormat="1" applyFont="1" applyBorder="1" applyAlignment="1">
      <alignment horizontal="right" vertical="center" shrinkToFit="1"/>
    </xf>
    <xf numFmtId="197" fontId="244" fillId="108" borderId="867" xfId="140" applyNumberFormat="1" applyFont="1" applyBorder="1" applyAlignment="1">
      <alignment horizontal="right" vertical="center" shrinkToFit="1"/>
    </xf>
    <xf numFmtId="195" fontId="246" fillId="108" borderId="870" xfId="140" applyNumberFormat="1" applyFont="1" applyBorder="1" applyAlignment="1">
      <alignment vertical="center"/>
    </xf>
    <xf numFmtId="195" fontId="246" fillId="108" borderId="867" xfId="140" applyNumberFormat="1" applyFont="1" applyBorder="1" applyAlignment="1">
      <alignment horizontal="distributed" vertical="center"/>
    </xf>
    <xf numFmtId="195" fontId="256" fillId="108" borderId="865" xfId="140" applyNumberFormat="1" applyFont="1" applyBorder="1" applyAlignment="1">
      <alignment vertical="center"/>
    </xf>
    <xf numFmtId="200" fontId="249" fillId="108" borderId="864" xfId="140" applyNumberFormat="1" applyFont="1" applyFill="1" applyBorder="1" applyAlignment="1">
      <alignment vertical="center"/>
    </xf>
    <xf numFmtId="200" fontId="249" fillId="108" borderId="974" xfId="140" applyNumberFormat="1" applyFont="1" applyFill="1" applyBorder="1" applyAlignment="1">
      <alignment vertical="center"/>
    </xf>
    <xf numFmtId="200" fontId="249" fillId="108" borderId="958" xfId="140" applyNumberFormat="1" applyFont="1" applyFill="1" applyBorder="1" applyAlignment="1">
      <alignment vertical="center"/>
    </xf>
    <xf numFmtId="200" fontId="243" fillId="110" borderId="908" xfId="140" applyNumberFormat="1" applyFont="1" applyFill="1" applyBorder="1" applyAlignment="1">
      <alignment vertical="center"/>
    </xf>
    <xf numFmtId="195" fontId="243" fillId="108" borderId="865" xfId="140" applyNumberFormat="1" applyFont="1" applyBorder="1" applyAlignment="1">
      <alignment vertical="center"/>
    </xf>
    <xf numFmtId="200" fontId="249" fillId="108" borderId="866" xfId="140" applyNumberFormat="1" applyFont="1" applyFill="1" applyBorder="1" applyAlignment="1">
      <alignment vertical="center"/>
    </xf>
    <xf numFmtId="195" fontId="246" fillId="108" borderId="870" xfId="140" applyNumberFormat="1" applyFont="1" applyBorder="1" applyAlignment="1">
      <alignment horizontal="distributed" vertical="center"/>
    </xf>
    <xf numFmtId="197" fontId="244" fillId="108" borderId="945" xfId="140" applyNumberFormat="1" applyFont="1" applyBorder="1" applyAlignment="1">
      <alignment horizontal="right" vertical="center" shrinkToFit="1"/>
    </xf>
    <xf numFmtId="197" fontId="244" fillId="108" borderId="875" xfId="140" applyNumberFormat="1" applyFont="1" applyBorder="1" applyAlignment="1">
      <alignment horizontal="right" vertical="center" shrinkToFit="1"/>
    </xf>
    <xf numFmtId="195" fontId="246" fillId="108" borderId="853" xfId="140" applyNumberFormat="1" applyFont="1" applyBorder="1" applyAlignment="1">
      <alignment horizontal="distributed" vertical="center"/>
    </xf>
    <xf numFmtId="200" fontId="256" fillId="108" borderId="866" xfId="140" applyNumberFormat="1" applyFont="1" applyFill="1" applyBorder="1" applyAlignment="1">
      <alignment vertical="center"/>
    </xf>
    <xf numFmtId="200" fontId="256" fillId="108" borderId="974" xfId="140" applyNumberFormat="1" applyFont="1" applyFill="1" applyBorder="1" applyAlignment="1">
      <alignment vertical="center"/>
    </xf>
    <xf numFmtId="200" fontId="243" fillId="108" borderId="958" xfId="140" applyNumberFormat="1" applyFont="1" applyFill="1" applyBorder="1" applyAlignment="1">
      <alignment vertical="center"/>
    </xf>
    <xf numFmtId="195" fontId="246" fillId="108" borderId="853" xfId="140" applyNumberFormat="1" applyFont="1" applyBorder="1" applyAlignment="1">
      <alignment vertical="center"/>
    </xf>
    <xf numFmtId="200" fontId="256" fillId="108" borderId="958" xfId="140" applyNumberFormat="1" applyFont="1" applyFill="1" applyBorder="1" applyAlignment="1">
      <alignment vertical="center"/>
    </xf>
    <xf numFmtId="200" fontId="256" fillId="108" borderId="864" xfId="140" applyNumberFormat="1" applyFont="1" applyFill="1" applyBorder="1" applyAlignment="1">
      <alignment vertical="center"/>
    </xf>
    <xf numFmtId="195" fontId="243" fillId="108" borderId="865" xfId="140" applyNumberFormat="1" applyFont="1" applyFill="1" applyBorder="1" applyAlignment="1">
      <alignment vertical="center"/>
    </xf>
    <xf numFmtId="200" fontId="243" fillId="108" borderId="864" xfId="140" applyNumberFormat="1" applyFont="1" applyFill="1" applyBorder="1" applyAlignment="1">
      <alignment vertical="center"/>
    </xf>
    <xf numFmtId="200" fontId="243" fillId="108" borderId="974" xfId="140" applyNumberFormat="1" applyFont="1" applyFill="1" applyBorder="1" applyAlignment="1">
      <alignment vertical="center"/>
    </xf>
    <xf numFmtId="200" fontId="249" fillId="108" borderId="908" xfId="140" applyNumberFormat="1" applyFont="1" applyFill="1" applyBorder="1" applyAlignment="1">
      <alignment vertical="center"/>
    </xf>
    <xf numFmtId="196" fontId="244" fillId="108" borderId="865" xfId="140" applyNumberFormat="1" applyFont="1" applyBorder="1" applyAlignment="1">
      <alignment vertical="center"/>
    </xf>
    <xf numFmtId="200" fontId="258" fillId="110" borderId="864" xfId="140" applyNumberFormat="1" applyFont="1" applyFill="1" applyBorder="1" applyAlignment="1">
      <alignment vertical="center"/>
    </xf>
    <xf numFmtId="200" fontId="258" fillId="110" borderId="974" xfId="140" applyNumberFormat="1" applyFont="1" applyFill="1" applyBorder="1" applyAlignment="1">
      <alignment vertical="center"/>
    </xf>
    <xf numFmtId="195" fontId="243" fillId="108" borderId="873" xfId="140" applyNumberFormat="1" applyFont="1" applyBorder="1" applyAlignment="1">
      <alignment vertical="center"/>
    </xf>
    <xf numFmtId="200" fontId="243" fillId="110" borderId="824" xfId="140" applyNumberFormat="1" applyFont="1" applyFill="1" applyBorder="1" applyAlignment="1">
      <alignment vertical="center"/>
    </xf>
    <xf numFmtId="195" fontId="246" fillId="108" borderId="910" xfId="140" applyNumberFormat="1" applyFont="1" applyBorder="1" applyAlignment="1">
      <alignment vertical="center"/>
    </xf>
    <xf numFmtId="195" fontId="243" fillId="108" borderId="881" xfId="140" applyNumberFormat="1" applyFont="1" applyBorder="1" applyAlignment="1">
      <alignment vertical="center"/>
    </xf>
    <xf numFmtId="200" fontId="258" fillId="110" borderId="880" xfId="140" applyNumberFormat="1" applyFont="1" applyFill="1" applyBorder="1" applyAlignment="1">
      <alignment vertical="center"/>
    </xf>
    <xf numFmtId="200" fontId="258" fillId="110" borderId="975" xfId="140" applyNumberFormat="1" applyFont="1" applyFill="1" applyBorder="1" applyAlignment="1">
      <alignment vertical="center"/>
    </xf>
    <xf numFmtId="200" fontId="243" fillId="108" borderId="959" xfId="140" applyNumberFormat="1" applyFont="1" applyFill="1" applyBorder="1" applyAlignment="1">
      <alignment vertical="center"/>
    </xf>
    <xf numFmtId="200" fontId="243" fillId="110" borderId="912" xfId="140" applyNumberFormat="1" applyFont="1" applyFill="1" applyBorder="1" applyAlignment="1">
      <alignment vertical="center"/>
    </xf>
    <xf numFmtId="196" fontId="244" fillId="108" borderId="884" xfId="140" applyNumberFormat="1" applyFont="1" applyBorder="1" applyAlignment="1">
      <alignment horizontal="right" vertical="center" shrinkToFit="1"/>
    </xf>
    <xf numFmtId="197" fontId="244" fillId="108" borderId="946" xfId="140" applyNumberFormat="1" applyFont="1" applyBorder="1" applyAlignment="1">
      <alignment horizontal="right" vertical="center" shrinkToFit="1"/>
    </xf>
    <xf numFmtId="197" fontId="244" fillId="108" borderId="883" xfId="140" applyNumberFormat="1" applyFont="1" applyBorder="1" applyAlignment="1">
      <alignment horizontal="right" vertical="center" shrinkToFit="1"/>
    </xf>
    <xf numFmtId="195" fontId="246" fillId="108" borderId="748" xfId="140" applyNumberFormat="1" applyFont="1" applyBorder="1" applyAlignment="1">
      <alignment vertical="center"/>
    </xf>
    <xf numFmtId="195" fontId="243" fillId="108" borderId="725" xfId="140" applyNumberFormat="1" applyFont="1" applyBorder="1" applyAlignment="1">
      <alignment vertical="center"/>
    </xf>
    <xf numFmtId="200" fontId="243" fillId="108" borderId="748" xfId="140" applyNumberFormat="1" applyFont="1" applyFill="1" applyBorder="1" applyAlignment="1">
      <alignment vertical="center"/>
    </xf>
    <xf numFmtId="200" fontId="243" fillId="108" borderId="966" xfId="140" applyNumberFormat="1" applyFont="1" applyFill="1" applyBorder="1" applyAlignment="1">
      <alignment vertical="center"/>
    </xf>
    <xf numFmtId="196" fontId="243" fillId="108" borderId="748" xfId="140" applyNumberFormat="1" applyFont="1" applyBorder="1" applyAlignment="1">
      <alignment horizontal="right" vertical="center" shrinkToFit="1"/>
    </xf>
    <xf numFmtId="197" fontId="243" fillId="108" borderId="748" xfId="140" applyNumberFormat="1" applyFont="1" applyBorder="1" applyAlignment="1">
      <alignment horizontal="right" vertical="center" shrinkToFit="1"/>
    </xf>
    <xf numFmtId="198" fontId="244" fillId="108" borderId="887" xfId="140" applyNumberFormat="1" applyFont="1" applyBorder="1" applyAlignment="1">
      <alignment vertical="center"/>
    </xf>
    <xf numFmtId="200" fontId="244" fillId="108" borderId="953" xfId="140" applyNumberFormat="1" applyFont="1" applyFill="1" applyBorder="1" applyAlignment="1">
      <alignment vertical="center"/>
    </xf>
    <xf numFmtId="200" fontId="244" fillId="108" borderId="976" xfId="140" applyNumberFormat="1" applyFont="1" applyFill="1" applyBorder="1" applyAlignment="1">
      <alignment vertical="center"/>
    </xf>
    <xf numFmtId="200" fontId="244" fillId="108" borderId="960" xfId="140" applyNumberFormat="1" applyFont="1" applyFill="1" applyBorder="1" applyAlignment="1">
      <alignment vertical="center"/>
    </xf>
    <xf numFmtId="200" fontId="244" fillId="108" borderId="730" xfId="140" applyNumberFormat="1" applyFont="1" applyFill="1" applyBorder="1" applyAlignment="1">
      <alignment vertical="center"/>
    </xf>
    <xf numFmtId="196" fontId="244" fillId="108" borderId="915" xfId="140" applyNumberFormat="1" applyFont="1" applyBorder="1" applyAlignment="1">
      <alignment horizontal="right" vertical="center" shrinkToFit="1"/>
    </xf>
    <xf numFmtId="197" fontId="244" fillId="108" borderId="947" xfId="140" applyNumberFormat="1" applyFont="1" applyBorder="1" applyAlignment="1">
      <alignment horizontal="right" vertical="center" shrinkToFit="1"/>
    </xf>
    <xf numFmtId="197" fontId="244" fillId="108" borderId="888" xfId="140" applyNumberFormat="1" applyFont="1" applyBorder="1" applyAlignment="1">
      <alignment horizontal="right" vertical="center" shrinkToFit="1"/>
    </xf>
    <xf numFmtId="0" fontId="246" fillId="108" borderId="725" xfId="140" applyFont="1"/>
    <xf numFmtId="200" fontId="243" fillId="108" borderId="955" xfId="140" applyNumberFormat="1" applyFont="1" applyFill="1" applyBorder="1" applyAlignment="1">
      <alignment vertical="center"/>
    </xf>
    <xf numFmtId="196" fontId="243" fillId="108" borderId="725" xfId="140" applyNumberFormat="1" applyFont="1" applyAlignment="1">
      <alignment horizontal="right" vertical="center"/>
    </xf>
    <xf numFmtId="197" fontId="243" fillId="108" borderId="725" xfId="140" applyNumberFormat="1" applyFont="1" applyAlignment="1">
      <alignment horizontal="right" vertical="center"/>
    </xf>
    <xf numFmtId="195" fontId="246" fillId="108" borderId="725" xfId="140" applyNumberFormat="1" applyFont="1" applyAlignment="1">
      <alignment vertical="center"/>
    </xf>
    <xf numFmtId="195" fontId="243" fillId="108" borderId="749" xfId="140" applyNumberFormat="1" applyFont="1" applyBorder="1" applyAlignment="1">
      <alignment horizontal="center" vertical="center"/>
    </xf>
    <xf numFmtId="200" fontId="243" fillId="108" borderId="977" xfId="140" applyNumberFormat="1" applyFont="1" applyFill="1" applyBorder="1" applyAlignment="1">
      <alignment vertical="center"/>
    </xf>
    <xf numFmtId="200" fontId="243" fillId="108" borderId="978" xfId="140" applyNumberFormat="1" applyFont="1" applyFill="1" applyBorder="1" applyAlignment="1">
      <alignment vertical="center"/>
    </xf>
    <xf numFmtId="200" fontId="243" fillId="108" borderId="964" xfId="140" applyNumberFormat="1" applyFont="1" applyFill="1" applyBorder="1" applyAlignment="1">
      <alignment vertical="center"/>
    </xf>
    <xf numFmtId="200" fontId="243" fillId="108" borderId="748" xfId="140" applyNumberFormat="1" applyFont="1" applyFill="1" applyBorder="1" applyAlignment="1">
      <alignment horizontal="center" vertical="center"/>
    </xf>
    <xf numFmtId="0" fontId="243" fillId="108" borderId="990" xfId="140" applyFont="1" applyBorder="1" applyAlignment="1">
      <alignment vertical="center"/>
    </xf>
    <xf numFmtId="0" fontId="243" fillId="108" borderId="991" xfId="140" applyFont="1" applyBorder="1" applyAlignment="1">
      <alignment vertical="center"/>
    </xf>
    <xf numFmtId="0" fontId="243" fillId="108" borderId="996" xfId="140" applyFont="1" applyBorder="1" applyAlignment="1">
      <alignment vertical="center"/>
    </xf>
    <xf numFmtId="0" fontId="243" fillId="108" borderId="725" xfId="140" applyFont="1" applyBorder="1"/>
    <xf numFmtId="195" fontId="243" fillId="108" borderId="743" xfId="140" applyNumberFormat="1" applyFont="1" applyBorder="1" applyAlignment="1">
      <alignment vertical="center"/>
    </xf>
    <xf numFmtId="195" fontId="243" fillId="108" borderId="802" xfId="140" applyNumberFormat="1" applyFont="1" applyBorder="1" applyAlignment="1">
      <alignment vertical="center"/>
    </xf>
    <xf numFmtId="195" fontId="243" fillId="108" borderId="846" xfId="140" applyNumberFormat="1" applyFont="1" applyBorder="1" applyAlignment="1">
      <alignment vertical="center" wrapText="1"/>
    </xf>
    <xf numFmtId="200" fontId="243" fillId="108" borderId="847" xfId="140" applyNumberFormat="1" applyFont="1" applyFill="1" applyBorder="1" applyAlignment="1">
      <alignment vertical="center" wrapText="1"/>
    </xf>
    <xf numFmtId="200" fontId="243" fillId="108" borderId="979" xfId="140" applyNumberFormat="1" applyFont="1" applyFill="1" applyBorder="1" applyAlignment="1">
      <alignment horizontal="center" vertical="center" wrapText="1"/>
    </xf>
    <xf numFmtId="200" fontId="243" fillId="108" borderId="965" xfId="140" applyNumberFormat="1" applyFont="1" applyFill="1" applyBorder="1" applyAlignment="1">
      <alignment vertical="center" wrapText="1"/>
    </xf>
    <xf numFmtId="200" fontId="243" fillId="108" borderId="812" xfId="140" applyNumberFormat="1" applyFont="1" applyFill="1" applyBorder="1" applyAlignment="1">
      <alignment vertical="center" wrapText="1"/>
    </xf>
    <xf numFmtId="195" fontId="243" fillId="108" borderId="889" xfId="140" applyNumberFormat="1" applyFont="1" applyFill="1" applyBorder="1" applyAlignment="1">
      <alignment vertical="center" wrapText="1"/>
    </xf>
    <xf numFmtId="0" fontId="243" fillId="108" borderId="989" xfId="140" applyFont="1" applyBorder="1" applyAlignment="1">
      <alignment horizontal="right" vertical="center"/>
    </xf>
    <xf numFmtId="195" fontId="246" fillId="108" borderId="889" xfId="140" applyNumberFormat="1" applyFont="1" applyFill="1" applyBorder="1" applyAlignment="1">
      <alignment vertical="center" wrapText="1"/>
    </xf>
    <xf numFmtId="0" fontId="243" fillId="108" borderId="893" xfId="140" applyFont="1" applyBorder="1" applyAlignment="1">
      <alignment horizontal="right" vertical="center"/>
    </xf>
    <xf numFmtId="195" fontId="243" fillId="108" borderId="814" xfId="140" applyNumberFormat="1" applyFont="1" applyBorder="1" applyAlignment="1">
      <alignment vertical="center" wrapText="1"/>
    </xf>
    <xf numFmtId="200" fontId="243" fillId="108" borderId="850" xfId="140" applyNumberFormat="1" applyFont="1" applyFill="1" applyBorder="1" applyAlignment="1">
      <alignment vertical="center"/>
    </xf>
    <xf numFmtId="200" fontId="243" fillId="108" borderId="956" xfId="140" applyNumberFormat="1" applyFont="1" applyFill="1" applyBorder="1" applyAlignment="1">
      <alignment vertical="center" wrapText="1"/>
    </xf>
    <xf numFmtId="200" fontId="243" fillId="108" borderId="811" xfId="140" applyNumberFormat="1" applyFont="1" applyFill="1" applyBorder="1" applyAlignment="1">
      <alignment vertical="center" wrapText="1"/>
    </xf>
    <xf numFmtId="195" fontId="243" fillId="108" borderId="992" xfId="140" applyNumberFormat="1" applyFont="1" applyFill="1" applyBorder="1" applyAlignment="1">
      <alignment vertical="center" wrapText="1"/>
    </xf>
    <xf numFmtId="0" fontId="243" fillId="108" borderId="902" xfId="140" applyFont="1" applyBorder="1" applyAlignment="1">
      <alignment horizontal="right" vertical="center"/>
    </xf>
    <xf numFmtId="195" fontId="246" fillId="108" borderId="992" xfId="140" applyNumberFormat="1" applyFont="1" applyFill="1" applyBorder="1" applyAlignment="1">
      <alignment vertical="center" wrapText="1"/>
    </xf>
    <xf numFmtId="0" fontId="243" fillId="108" borderId="851" xfId="140" applyFont="1" applyBorder="1" applyAlignment="1">
      <alignment horizontal="right" vertical="center"/>
    </xf>
    <xf numFmtId="195" fontId="244" fillId="108" borderId="816" xfId="140" applyNumberFormat="1" applyFont="1" applyBorder="1" applyAlignment="1">
      <alignment vertical="center"/>
    </xf>
    <xf numFmtId="200" fontId="244" fillId="108" borderId="916" xfId="140" applyNumberFormat="1" applyFont="1" applyFill="1" applyBorder="1" applyAlignment="1">
      <alignment vertical="center"/>
    </xf>
    <xf numFmtId="200" fontId="244" fillId="108" borderId="969" xfId="140" applyNumberFormat="1" applyFont="1" applyFill="1" applyBorder="1" applyAlignment="1">
      <alignment vertical="center"/>
    </xf>
    <xf numFmtId="200" fontId="244" fillId="108" borderId="966" xfId="140" applyNumberFormat="1" applyFont="1" applyFill="1" applyBorder="1" applyAlignment="1">
      <alignment vertical="center"/>
    </xf>
    <xf numFmtId="200" fontId="244" fillId="108" borderId="748" xfId="140" applyNumberFormat="1" applyFont="1" applyFill="1" applyBorder="1" applyAlignment="1">
      <alignment vertical="center"/>
    </xf>
    <xf numFmtId="196" fontId="244" fillId="108" borderId="919" xfId="140" applyNumberFormat="1" applyFont="1" applyBorder="1" applyAlignment="1">
      <alignment horizontal="right" vertical="center" shrinkToFit="1"/>
    </xf>
    <xf numFmtId="197" fontId="244" fillId="108" borderId="993" xfId="140" applyNumberFormat="1" applyFont="1" applyBorder="1" applyAlignment="1">
      <alignment horizontal="right" vertical="center" shrinkToFit="1"/>
    </xf>
    <xf numFmtId="197" fontId="244" fillId="108" borderId="918" xfId="140" applyNumberFormat="1" applyFont="1" applyBorder="1" applyAlignment="1">
      <alignment horizontal="right" vertical="center" shrinkToFit="1"/>
    </xf>
    <xf numFmtId="195" fontId="246" fillId="108" borderId="847" xfId="140" applyNumberFormat="1" applyFont="1" applyBorder="1" applyAlignment="1">
      <alignment vertical="center"/>
    </xf>
    <xf numFmtId="195" fontId="244" fillId="108" borderId="921" xfId="140" applyNumberFormat="1" applyFont="1" applyBorder="1" applyAlignment="1">
      <alignment vertical="center"/>
    </xf>
    <xf numFmtId="200" fontId="244" fillId="108" borderId="980" xfId="140" applyNumberFormat="1" applyFont="1" applyFill="1" applyBorder="1" applyAlignment="1">
      <alignment vertical="center"/>
    </xf>
    <xf numFmtId="200" fontId="244" fillId="108" borderId="981" xfId="140" applyNumberFormat="1" applyFont="1" applyFill="1" applyBorder="1" applyAlignment="1">
      <alignment vertical="center"/>
    </xf>
    <xf numFmtId="200" fontId="244" fillId="108" borderId="967" xfId="140" applyNumberFormat="1" applyFont="1" applyFill="1" applyBorder="1" applyAlignment="1">
      <alignment vertical="center"/>
    </xf>
    <xf numFmtId="200" fontId="244" fillId="108" borderId="907" xfId="140" applyNumberFormat="1" applyFont="1" applyFill="1" applyBorder="1" applyAlignment="1">
      <alignment vertical="center"/>
    </xf>
    <xf numFmtId="195" fontId="246" fillId="108" borderId="867" xfId="140" applyNumberFormat="1" applyFont="1" applyBorder="1" applyAlignment="1">
      <alignment horizontal="distributed" vertical="center" justifyLastLine="1"/>
    </xf>
    <xf numFmtId="199" fontId="256" fillId="108" borderId="865" xfId="140" applyNumberFormat="1" applyFont="1" applyBorder="1" applyAlignment="1">
      <alignment vertical="center"/>
    </xf>
    <xf numFmtId="200" fontId="243" fillId="108" borderId="866" xfId="140" applyNumberFormat="1" applyFont="1" applyFill="1" applyBorder="1" applyAlignment="1">
      <alignment vertical="center"/>
    </xf>
    <xf numFmtId="195" fontId="246" fillId="108" borderId="743" xfId="140" applyNumberFormat="1" applyFont="1" applyBorder="1" applyAlignment="1">
      <alignment vertical="center"/>
    </xf>
    <xf numFmtId="200" fontId="244" fillId="108" borderId="866" xfId="140" applyNumberFormat="1" applyFont="1" applyFill="1" applyBorder="1" applyAlignment="1">
      <alignment vertical="center"/>
    </xf>
    <xf numFmtId="200" fontId="258" fillId="110" borderId="866" xfId="140" applyNumberFormat="1" applyFont="1" applyFill="1" applyBorder="1" applyAlignment="1">
      <alignment vertical="center"/>
    </xf>
    <xf numFmtId="195" fontId="246" fillId="108" borderId="922" xfId="140" applyNumberFormat="1" applyFont="1" applyBorder="1" applyAlignment="1">
      <alignment vertical="center"/>
    </xf>
    <xf numFmtId="195" fontId="256" fillId="108" borderId="881" xfId="140" applyNumberFormat="1" applyFont="1" applyBorder="1" applyAlignment="1">
      <alignment vertical="center"/>
    </xf>
    <xf numFmtId="200" fontId="249" fillId="108" borderId="882" xfId="140" applyNumberFormat="1" applyFont="1" applyFill="1" applyBorder="1" applyAlignment="1">
      <alignment vertical="center"/>
    </xf>
    <xf numFmtId="200" fontId="249" fillId="108" borderId="975" xfId="140" applyNumberFormat="1" applyFont="1" applyFill="1" applyBorder="1" applyAlignment="1">
      <alignment vertical="center"/>
    </xf>
    <xf numFmtId="200" fontId="249" fillId="108" borderId="959" xfId="140" applyNumberFormat="1" applyFont="1" applyFill="1" applyBorder="1" applyAlignment="1">
      <alignment vertical="center"/>
    </xf>
    <xf numFmtId="195" fontId="256" fillId="108" borderId="857" xfId="140" applyNumberFormat="1" applyFont="1" applyBorder="1" applyAlignment="1">
      <alignment vertical="center"/>
    </xf>
    <xf numFmtId="200" fontId="243" fillId="108" borderId="858" xfId="140" applyNumberFormat="1" applyFont="1" applyFill="1" applyBorder="1" applyAlignment="1">
      <alignment vertical="center"/>
    </xf>
    <xf numFmtId="200" fontId="243" fillId="108" borderId="973" xfId="140" applyNumberFormat="1" applyFont="1" applyFill="1" applyBorder="1" applyAlignment="1">
      <alignment vertical="center"/>
    </xf>
    <xf numFmtId="200" fontId="243" fillId="108" borderId="957" xfId="140" applyNumberFormat="1" applyFont="1" applyFill="1" applyBorder="1" applyAlignment="1">
      <alignment vertical="center"/>
    </xf>
    <xf numFmtId="200" fontId="243" fillId="108" borderId="828" xfId="140" applyNumberFormat="1" applyFont="1" applyFill="1" applyBorder="1" applyAlignment="1">
      <alignment vertical="center"/>
    </xf>
    <xf numFmtId="196" fontId="244" fillId="108" borderId="852" xfId="140" applyNumberFormat="1" applyFont="1" applyBorder="1" applyAlignment="1">
      <alignment horizontal="right" vertical="center" shrinkToFit="1"/>
    </xf>
    <xf numFmtId="197" fontId="244" fillId="108" borderId="943" xfId="140" applyNumberFormat="1" applyFont="1" applyBorder="1" applyAlignment="1">
      <alignment horizontal="right" vertical="center" shrinkToFit="1"/>
    </xf>
    <xf numFmtId="196" fontId="244" fillId="108" borderId="832" xfId="140" applyNumberFormat="1" applyFont="1" applyBorder="1" applyAlignment="1">
      <alignment horizontal="right" vertical="center" shrinkToFit="1"/>
    </xf>
    <xf numFmtId="197" fontId="244" fillId="108" borderId="859" xfId="140" applyNumberFormat="1" applyFont="1" applyBorder="1" applyAlignment="1">
      <alignment horizontal="right" vertical="center" shrinkToFit="1"/>
    </xf>
    <xf numFmtId="195" fontId="256" fillId="108" borderId="813" xfId="140" applyNumberFormat="1" applyFont="1" applyBorder="1" applyAlignment="1">
      <alignment vertical="center"/>
    </xf>
    <xf numFmtId="200" fontId="243" fillId="108" borderId="982" xfId="140" applyNumberFormat="1" applyFont="1" applyFill="1" applyBorder="1" applyAlignment="1">
      <alignment vertical="center"/>
    </xf>
    <xf numFmtId="200" fontId="243" fillId="108" borderId="983" xfId="140" applyNumberFormat="1" applyFont="1" applyFill="1" applyBorder="1" applyAlignment="1">
      <alignment vertical="center"/>
    </xf>
    <xf numFmtId="200" fontId="243" fillId="108" borderId="968" xfId="140" applyNumberFormat="1" applyFont="1" applyFill="1" applyBorder="1" applyAlignment="1">
      <alignment vertical="center"/>
    </xf>
    <xf numFmtId="200" fontId="243" fillId="108" borderId="736" xfId="140" applyNumberFormat="1" applyFont="1" applyFill="1" applyBorder="1" applyAlignment="1">
      <alignment vertical="center"/>
    </xf>
    <xf numFmtId="196" fontId="244" fillId="108" borderId="992" xfId="140" applyNumberFormat="1" applyFont="1" applyBorder="1" applyAlignment="1">
      <alignment horizontal="right" vertical="center" shrinkToFit="1"/>
    </xf>
    <xf numFmtId="200" fontId="243" fillId="108" borderId="928" xfId="140" applyNumberFormat="1" applyFont="1" applyFill="1" applyBorder="1"/>
    <xf numFmtId="200" fontId="243" fillId="108" borderId="970" xfId="140" applyNumberFormat="1" applyFont="1" applyFill="1" applyBorder="1" applyAlignment="1">
      <alignment vertical="center"/>
    </xf>
    <xf numFmtId="196" fontId="244" fillId="108" borderId="800" xfId="140" applyNumberFormat="1" applyFont="1" applyBorder="1" applyAlignment="1">
      <alignment vertical="center" shrinkToFit="1"/>
    </xf>
    <xf numFmtId="200" fontId="244" fillId="108" borderId="913" xfId="140" applyNumberFormat="1" applyFont="1" applyFill="1" applyBorder="1" applyAlignment="1">
      <alignment vertical="center" shrinkToFit="1"/>
    </xf>
    <xf numFmtId="200" fontId="244" fillId="108" borderId="976" xfId="140" applyNumberFormat="1" applyFont="1" applyFill="1" applyBorder="1" applyAlignment="1">
      <alignment vertical="center" shrinkToFit="1"/>
    </xf>
    <xf numFmtId="200" fontId="244" fillId="108" borderId="730" xfId="140" applyNumberFormat="1" applyFont="1" applyFill="1" applyBorder="1" applyAlignment="1">
      <alignment vertical="center" shrinkToFit="1"/>
    </xf>
    <xf numFmtId="0" fontId="243" fillId="108" borderId="725" xfId="140" applyFont="1" applyAlignment="1">
      <alignment vertical="center"/>
    </xf>
    <xf numFmtId="196" fontId="243" fillId="108" borderId="802" xfId="140" applyNumberFormat="1" applyFont="1" applyBorder="1" applyAlignment="1">
      <alignment vertical="center"/>
    </xf>
    <xf numFmtId="200" fontId="243" fillId="108" borderId="906" xfId="140" applyNumberFormat="1" applyFont="1" applyFill="1" applyBorder="1" applyAlignment="1">
      <alignment vertical="center" shrinkToFit="1"/>
    </xf>
    <xf numFmtId="200" fontId="243" fillId="108" borderId="970" xfId="140" applyNumberFormat="1" applyFont="1" applyFill="1" applyBorder="1" applyAlignment="1">
      <alignment vertical="center" shrinkToFit="1"/>
    </xf>
    <xf numFmtId="200" fontId="243" fillId="108" borderId="725" xfId="140" applyNumberFormat="1" applyFont="1" applyFill="1" applyBorder="1" applyAlignment="1">
      <alignment vertical="center" shrinkToFit="1"/>
    </xf>
    <xf numFmtId="196" fontId="243" fillId="108" borderId="725" xfId="140" applyNumberFormat="1" applyFont="1" applyAlignment="1">
      <alignment horizontal="right" vertical="center" shrinkToFit="1"/>
    </xf>
    <xf numFmtId="197" fontId="243" fillId="108" borderId="725" xfId="140" applyNumberFormat="1" applyFont="1" applyAlignment="1">
      <alignment horizontal="right" vertical="center" shrinkToFit="1"/>
    </xf>
    <xf numFmtId="195" fontId="244" fillId="108" borderId="894" xfId="140" applyNumberFormat="1" applyFont="1" applyBorder="1" applyAlignment="1">
      <alignment vertical="center"/>
    </xf>
    <xf numFmtId="200" fontId="244" fillId="108" borderId="895" xfId="140" applyNumberFormat="1" applyFont="1" applyFill="1" applyBorder="1" applyAlignment="1">
      <alignment vertical="center"/>
    </xf>
    <xf numFmtId="200" fontId="244" fillId="108" borderId="984" xfId="140" applyNumberFormat="1" applyFont="1" applyFill="1" applyBorder="1" applyAlignment="1">
      <alignment vertical="center"/>
    </xf>
    <xf numFmtId="200" fontId="244" fillId="108" borderId="961" xfId="140" applyNumberFormat="1" applyFont="1" applyFill="1" applyBorder="1" applyAlignment="1">
      <alignment vertical="center"/>
    </xf>
    <xf numFmtId="200" fontId="244" fillId="108" borderId="932" xfId="140" applyNumberFormat="1" applyFont="1" applyFill="1" applyBorder="1" applyAlignment="1">
      <alignment vertical="center"/>
    </xf>
    <xf numFmtId="196" fontId="244" fillId="108" borderId="898" xfId="140" applyNumberFormat="1" applyFont="1" applyBorder="1" applyAlignment="1">
      <alignment horizontal="right" vertical="center" shrinkToFit="1"/>
    </xf>
    <xf numFmtId="197" fontId="244" fillId="108" borderId="896" xfId="140" applyNumberFormat="1" applyFont="1" applyBorder="1" applyAlignment="1">
      <alignment horizontal="right" vertical="center" shrinkToFit="1"/>
    </xf>
    <xf numFmtId="0" fontId="246" fillId="108" borderId="872" xfId="140" applyFont="1" applyBorder="1" applyAlignment="1">
      <alignment vertical="center"/>
    </xf>
    <xf numFmtId="195" fontId="244" fillId="108" borderId="899" xfId="140" applyNumberFormat="1" applyFont="1" applyBorder="1" applyAlignment="1">
      <alignment vertical="center"/>
    </xf>
    <xf numFmtId="0" fontId="246" fillId="108" borderId="906" xfId="140" applyFont="1" applyBorder="1" applyAlignment="1">
      <alignment vertical="center"/>
    </xf>
    <xf numFmtId="0" fontId="246" fillId="108" borderId="833" xfId="140" applyFont="1" applyFill="1" applyBorder="1" applyAlignment="1">
      <alignment vertical="center"/>
    </xf>
    <xf numFmtId="0" fontId="246" fillId="108" borderId="874" xfId="140" applyFont="1" applyFill="1" applyBorder="1" applyAlignment="1">
      <alignment vertical="center"/>
    </xf>
    <xf numFmtId="0" fontId="246" fillId="108" borderId="867" xfId="140" applyFont="1" applyFill="1" applyBorder="1" applyAlignment="1">
      <alignment horizontal="distributed" vertical="center"/>
    </xf>
    <xf numFmtId="195" fontId="243" fillId="108" borderId="899" xfId="140" applyNumberFormat="1" applyFont="1" applyBorder="1" applyAlignment="1">
      <alignment vertical="center"/>
    </xf>
    <xf numFmtId="38" fontId="258" fillId="110" borderId="725" xfId="132" applyFont="1" applyFill="1" applyAlignment="1">
      <alignment horizontal="right" vertical="center"/>
    </xf>
    <xf numFmtId="0" fontId="246" fillId="108" borderId="831" xfId="140" applyFont="1" applyFill="1" applyBorder="1" applyAlignment="1">
      <alignment vertical="center"/>
    </xf>
    <xf numFmtId="0" fontId="246" fillId="108" borderId="928" xfId="140" applyFont="1" applyFill="1" applyBorder="1" applyAlignment="1">
      <alignment vertical="center"/>
    </xf>
    <xf numFmtId="0" fontId="246" fillId="108" borderId="854" xfId="140" applyFont="1" applyFill="1" applyBorder="1" applyAlignment="1">
      <alignment vertical="center"/>
    </xf>
    <xf numFmtId="0" fontId="246" fillId="108" borderId="858" xfId="140" applyFont="1" applyFill="1" applyBorder="1" applyAlignment="1">
      <alignment vertical="center"/>
    </xf>
    <xf numFmtId="200" fontId="243" fillId="110" borderId="864" xfId="140" applyNumberFormat="1" applyFont="1" applyFill="1" applyBorder="1" applyAlignment="1">
      <alignment vertical="center"/>
    </xf>
    <xf numFmtId="195" fontId="243" fillId="108" borderId="909" xfId="140" applyNumberFormat="1" applyFont="1" applyBorder="1" applyAlignment="1">
      <alignment vertical="center"/>
    </xf>
    <xf numFmtId="200" fontId="258" fillId="110" borderId="874" xfId="140" applyNumberFormat="1" applyFont="1" applyFill="1" applyBorder="1" applyAlignment="1">
      <alignment vertical="center"/>
    </xf>
    <xf numFmtId="196" fontId="244" fillId="108" borderId="860" xfId="140" applyNumberFormat="1" applyFont="1" applyBorder="1" applyAlignment="1">
      <alignment horizontal="right" vertical="center" shrinkToFit="1"/>
    </xf>
    <xf numFmtId="0" fontId="246" fillId="108" borderId="910" xfId="140" applyFont="1" applyBorder="1" applyAlignment="1">
      <alignment vertical="center"/>
    </xf>
    <xf numFmtId="195" fontId="243" fillId="108" borderId="900" xfId="140" applyNumberFormat="1" applyFont="1" applyBorder="1" applyAlignment="1">
      <alignment vertical="center"/>
    </xf>
    <xf numFmtId="0" fontId="246" fillId="108" borderId="725" xfId="140" applyFont="1" applyAlignment="1">
      <alignment vertical="center"/>
    </xf>
    <xf numFmtId="0" fontId="246" fillId="108" borderId="929" xfId="140" applyFont="1" applyBorder="1" applyAlignment="1">
      <alignment horizontal="distributed" vertical="center"/>
    </xf>
    <xf numFmtId="196" fontId="244" fillId="108" borderId="798" xfId="140" applyNumberFormat="1" applyFont="1" applyBorder="1" applyAlignment="1">
      <alignment vertical="center"/>
    </xf>
    <xf numFmtId="200" fontId="243" fillId="110" borderId="748" xfId="140" applyNumberFormat="1" applyFont="1" applyFill="1" applyBorder="1" applyAlignment="1">
      <alignment vertical="center"/>
    </xf>
    <xf numFmtId="0" fontId="246" fillId="108" borderId="815" xfId="140" applyFont="1" applyBorder="1" applyAlignment="1">
      <alignment horizontal="distributed" vertical="center"/>
    </xf>
    <xf numFmtId="196" fontId="244" fillId="108" borderId="804" xfId="140" applyNumberFormat="1" applyFont="1" applyBorder="1" applyAlignment="1">
      <alignment vertical="center"/>
    </xf>
    <xf numFmtId="200" fontId="244" fillId="108" borderId="985" xfId="140" applyNumberFormat="1" applyFont="1" applyFill="1" applyBorder="1" applyAlignment="1">
      <alignment vertical="center"/>
    </xf>
    <xf numFmtId="200" fontId="244" fillId="108" borderId="986" xfId="140" applyNumberFormat="1" applyFont="1" applyFill="1" applyBorder="1" applyAlignment="1">
      <alignment vertical="center"/>
    </xf>
    <xf numFmtId="200" fontId="244" fillId="108" borderId="995" xfId="140" applyNumberFormat="1" applyFont="1" applyFill="1" applyBorder="1" applyAlignment="1">
      <alignment vertical="center"/>
    </xf>
    <xf numFmtId="200" fontId="244" fillId="108" borderId="834" xfId="140" applyNumberFormat="1" applyFont="1" applyFill="1" applyBorder="1" applyAlignment="1">
      <alignment vertical="center"/>
    </xf>
    <xf numFmtId="196" fontId="244" fillId="108" borderId="994" xfId="140" applyNumberFormat="1" applyFont="1" applyBorder="1" applyAlignment="1">
      <alignment horizontal="right" vertical="center" shrinkToFit="1"/>
    </xf>
    <xf numFmtId="197" fontId="244" fillId="108" borderId="930" xfId="140" applyNumberFormat="1" applyFont="1" applyBorder="1" applyAlignment="1">
      <alignment horizontal="right" vertical="center" shrinkToFit="1"/>
    </xf>
    <xf numFmtId="0" fontId="201" fillId="108" borderId="835" xfId="131" applyFont="1" applyFill="1" applyBorder="1" applyAlignment="1">
      <alignment horizontal="distributed" vertical="center" justifyLastLine="1"/>
    </xf>
    <xf numFmtId="0" fontId="217" fillId="108" borderId="741" xfId="131" applyFont="1" applyFill="1" applyBorder="1" applyAlignment="1">
      <alignment horizontal="left" vertical="center"/>
    </xf>
    <xf numFmtId="0" fontId="201" fillId="108" borderId="749" xfId="131" applyFont="1" applyFill="1" applyBorder="1" applyAlignment="1">
      <alignment vertical="center"/>
    </xf>
    <xf numFmtId="0" fontId="201" fillId="108" borderId="761" xfId="131" applyFont="1" applyFill="1" applyBorder="1" applyAlignment="1">
      <alignment vertical="center"/>
    </xf>
    <xf numFmtId="0" fontId="215" fillId="108" borderId="794" xfId="131" applyFont="1" applyFill="1" applyBorder="1" applyAlignment="1">
      <alignment vertical="center" justifyLastLine="1"/>
    </xf>
    <xf numFmtId="0" fontId="215" fillId="108" borderId="793" xfId="131" applyFont="1" applyFill="1" applyBorder="1" applyAlignment="1">
      <alignment vertical="center" justifyLastLine="1"/>
    </xf>
    <xf numFmtId="0" fontId="201" fillId="108" borderId="792" xfId="131" applyFont="1" applyFill="1" applyBorder="1" applyAlignment="1">
      <alignment vertical="center" justifyLastLine="1"/>
    </xf>
    <xf numFmtId="0" fontId="201" fillId="108" borderId="791" xfId="131" applyFont="1" applyFill="1" applyBorder="1" applyAlignment="1">
      <alignment vertical="center" justifyLastLine="1"/>
    </xf>
    <xf numFmtId="0" fontId="201" fillId="108" borderId="835" xfId="131" applyFont="1" applyFill="1" applyBorder="1" applyAlignment="1">
      <alignment vertical="center" justifyLastLine="1"/>
    </xf>
    <xf numFmtId="189" fontId="201" fillId="108" borderId="777" xfId="131" applyNumberFormat="1" applyFont="1" applyFill="1" applyBorder="1" applyAlignment="1">
      <alignment horizontal="center" vertical="center"/>
    </xf>
    <xf numFmtId="189" fontId="201" fillId="108" borderId="729" xfId="131" applyNumberFormat="1" applyFont="1" applyFill="1" applyBorder="1" applyAlignment="1">
      <alignment horizontal="center"/>
    </xf>
    <xf numFmtId="189" fontId="201" fillId="108" borderId="727" xfId="131" applyNumberFormat="1" applyFont="1" applyFill="1" applyBorder="1" applyAlignment="1">
      <alignment horizontal="center"/>
    </xf>
    <xf numFmtId="0" fontId="201" fillId="108" borderId="998" xfId="131" applyFont="1" applyFill="1" applyBorder="1" applyAlignment="1">
      <alignment vertical="center" justifyLastLine="1"/>
    </xf>
    <xf numFmtId="0" fontId="201" fillId="108" borderId="787" xfId="131" applyFont="1" applyFill="1" applyBorder="1" applyAlignment="1">
      <alignment vertical="center"/>
    </xf>
    <xf numFmtId="0" fontId="201" fillId="108" borderId="751" xfId="131" applyFont="1" applyFill="1" applyBorder="1" applyAlignment="1">
      <alignment vertical="center"/>
    </xf>
    <xf numFmtId="0" fontId="201" fillId="108" borderId="733" xfId="131" applyFont="1" applyFill="1" applyBorder="1" applyAlignment="1">
      <alignment vertical="center"/>
    </xf>
    <xf numFmtId="0" fontId="201" fillId="108" borderId="734" xfId="131" applyFont="1" applyFill="1" applyBorder="1" applyAlignment="1">
      <alignment vertical="center"/>
    </xf>
    <xf numFmtId="189" fontId="201" fillId="108" borderId="1002" xfId="132" applyNumberFormat="1" applyFont="1" applyFill="1" applyBorder="1" applyAlignment="1">
      <alignment vertical="center"/>
    </xf>
    <xf numFmtId="0" fontId="201" fillId="108" borderId="1003" xfId="131" applyFont="1" applyFill="1" applyBorder="1" applyAlignment="1">
      <alignment vertical="center"/>
    </xf>
    <xf numFmtId="0" fontId="201" fillId="108" borderId="1004" xfId="131" applyFont="1" applyFill="1" applyBorder="1" applyAlignment="1">
      <alignment vertical="center"/>
    </xf>
    <xf numFmtId="0" fontId="201" fillId="108" borderId="839" xfId="131" applyFont="1" applyFill="1" applyBorder="1" applyAlignment="1">
      <alignment horizontal="center" vertical="center"/>
    </xf>
    <xf numFmtId="0" fontId="211" fillId="108" borderId="725" xfId="147" applyFont="1" applyFill="1"/>
    <xf numFmtId="0" fontId="211" fillId="108" borderId="725" xfId="147" applyFont="1" applyFill="1" applyAlignment="1">
      <alignment shrinkToFit="1"/>
    </xf>
    <xf numFmtId="0" fontId="211" fillId="123" borderId="725" xfId="147" applyFont="1" applyFill="1"/>
    <xf numFmtId="38" fontId="211" fillId="123" borderId="725" xfId="132" applyFont="1" applyFill="1"/>
    <xf numFmtId="0" fontId="261" fillId="108" borderId="725" xfId="147" applyFont="1" applyFill="1"/>
    <xf numFmtId="38" fontId="211" fillId="108" borderId="725" xfId="148" applyFont="1" applyFill="1"/>
    <xf numFmtId="0" fontId="262" fillId="108" borderId="725" xfId="147" applyNumberFormat="1" applyFont="1" applyFill="1" applyAlignment="1">
      <alignment horizontal="centerContinuous" vertical="center"/>
    </xf>
    <xf numFmtId="0" fontId="263" fillId="108" borderId="725" xfId="131" applyFont="1" applyAlignment="1">
      <alignment horizontal="centerContinuous"/>
    </xf>
    <xf numFmtId="0" fontId="263" fillId="108" borderId="725" xfId="147" applyFont="1" applyFill="1" applyAlignment="1">
      <alignment vertical="center"/>
    </xf>
    <xf numFmtId="195" fontId="263" fillId="108" borderId="725" xfId="147" applyNumberFormat="1" applyFont="1" applyFill="1" applyAlignment="1">
      <alignment vertical="center"/>
    </xf>
    <xf numFmtId="0" fontId="263" fillId="108" borderId="725" xfId="147" applyFont="1" applyFill="1" applyBorder="1" applyAlignment="1">
      <alignment horizontal="right" vertical="center"/>
    </xf>
    <xf numFmtId="0" fontId="263" fillId="108" borderId="725" xfId="147" applyFont="1" applyAlignment="1">
      <alignment vertical="center"/>
    </xf>
    <xf numFmtId="0" fontId="263" fillId="123" borderId="725" xfId="147" applyFont="1" applyFill="1" applyAlignment="1">
      <alignment vertical="center"/>
    </xf>
    <xf numFmtId="38" fontId="263" fillId="123" borderId="725" xfId="132" applyFont="1" applyFill="1" applyAlignment="1">
      <alignment vertical="center"/>
    </xf>
    <xf numFmtId="0" fontId="261" fillId="108" borderId="725" xfId="147" applyFont="1" applyFill="1" applyAlignment="1">
      <alignment vertical="center"/>
    </xf>
    <xf numFmtId="38" fontId="263" fillId="108" borderId="725" xfId="148" applyFont="1" applyFill="1" applyAlignment="1">
      <alignment vertical="center"/>
    </xf>
    <xf numFmtId="0" fontId="263" fillId="108" borderId="725" xfId="147" applyFont="1" applyFill="1" applyAlignment="1">
      <alignment vertical="center" shrinkToFit="1"/>
    </xf>
    <xf numFmtId="0" fontId="263" fillId="108" borderId="725" xfId="147" applyFont="1" applyFill="1" applyBorder="1" applyAlignment="1"/>
    <xf numFmtId="0" fontId="263" fillId="108" borderId="725" xfId="147" applyFont="1" applyFill="1" applyBorder="1" applyAlignment="1">
      <alignment horizontal="right"/>
    </xf>
    <xf numFmtId="195" fontId="265" fillId="108" borderId="812" xfId="147" applyNumberFormat="1" applyFont="1" applyFill="1" applyBorder="1" applyAlignment="1">
      <alignment horizontal="centerContinuous" vertical="center"/>
    </xf>
    <xf numFmtId="195" fontId="265" fillId="108" borderId="739" xfId="147" applyNumberFormat="1" applyFont="1" applyFill="1" applyBorder="1" applyAlignment="1">
      <alignment horizontal="centerContinuous" vertical="center"/>
    </xf>
    <xf numFmtId="195" fontId="266" fillId="108" borderId="740" xfId="147" applyNumberFormat="1" applyFont="1" applyFill="1" applyBorder="1" applyAlignment="1">
      <alignment horizontal="centerContinuous" vertical="center"/>
    </xf>
    <xf numFmtId="0" fontId="211" fillId="108" borderId="778" xfId="147" applyFont="1" applyFill="1" applyBorder="1" applyAlignment="1">
      <alignment horizontal="centerContinuous" vertical="center"/>
    </xf>
    <xf numFmtId="0" fontId="211" fillId="108" borderId="741" xfId="147" applyFont="1" applyFill="1" applyBorder="1" applyAlignment="1">
      <alignment horizontal="centerContinuous" vertical="center"/>
    </xf>
    <xf numFmtId="0" fontId="211" fillId="108" borderId="725" xfId="147" applyFont="1" applyFill="1" applyBorder="1"/>
    <xf numFmtId="0" fontId="211" fillId="108" borderId="1007" xfId="147" applyFont="1" applyFill="1" applyBorder="1" applyAlignment="1">
      <alignment horizontal="center" vertical="center" shrinkToFit="1"/>
    </xf>
    <xf numFmtId="0" fontId="211" fillId="108" borderId="902" xfId="147" applyFont="1" applyFill="1" applyBorder="1" applyAlignment="1">
      <alignment horizontal="center" vertical="center" shrinkToFit="1"/>
    </xf>
    <xf numFmtId="201" fontId="268" fillId="108" borderId="777" xfId="147" applyNumberFormat="1" applyFont="1" applyFill="1" applyBorder="1" applyAlignment="1">
      <alignment vertical="center"/>
    </xf>
    <xf numFmtId="201" fontId="268" fillId="108" borderId="955" xfId="147" applyNumberFormat="1" applyFont="1" applyFill="1" applyBorder="1" applyAlignment="1">
      <alignment vertical="center"/>
    </xf>
    <xf numFmtId="201" fontId="268" fillId="108" borderId="1009" xfId="147" applyNumberFormat="1" applyFont="1" applyFill="1" applyBorder="1" applyAlignment="1">
      <alignment vertical="center"/>
    </xf>
    <xf numFmtId="202" fontId="268" fillId="108" borderId="1008" xfId="147" applyNumberFormat="1" applyFont="1" applyFill="1" applyBorder="1" applyAlignment="1">
      <alignment horizontal="right" vertical="center" shrinkToFit="1"/>
    </xf>
    <xf numFmtId="202" fontId="268" fillId="108" borderId="987" xfId="147" applyNumberFormat="1" applyFont="1" applyFill="1" applyBorder="1" applyAlignment="1">
      <alignment horizontal="right" vertical="center" shrinkToFit="1"/>
    </xf>
    <xf numFmtId="0" fontId="263" fillId="108" borderId="725" xfId="147" applyFont="1" applyFill="1"/>
    <xf numFmtId="38" fontId="211" fillId="124" borderId="725" xfId="132" applyFont="1" applyFill="1"/>
    <xf numFmtId="0" fontId="211" fillId="108" borderId="740" xfId="147" applyFont="1" applyFill="1" applyBorder="1" applyAlignment="1">
      <alignment horizontal="center" vertical="center" wrapText="1"/>
    </xf>
    <xf numFmtId="195" fontId="263" fillId="108" borderId="760" xfId="147" applyNumberFormat="1" applyFont="1" applyFill="1" applyBorder="1" applyAlignment="1">
      <alignment vertical="center"/>
    </xf>
    <xf numFmtId="201" fontId="268" fillId="110" borderId="1010" xfId="147" applyNumberFormat="1" applyFont="1" applyFill="1" applyBorder="1" applyAlignment="1">
      <alignment vertical="center"/>
    </xf>
    <xf numFmtId="201" fontId="268" fillId="124" borderId="967" xfId="147" applyNumberFormat="1" applyFont="1" applyFill="1" applyBorder="1" applyAlignment="1">
      <alignment vertical="center"/>
    </xf>
    <xf numFmtId="201" fontId="268" fillId="108" borderId="1011" xfId="147" applyNumberFormat="1" applyFont="1" applyFill="1" applyBorder="1" applyAlignment="1">
      <alignment vertical="center"/>
    </xf>
    <xf numFmtId="202" fontId="268" fillId="108" borderId="989" xfId="147" applyNumberFormat="1" applyFont="1" applyFill="1" applyBorder="1" applyAlignment="1">
      <alignment horizontal="right" vertical="center" shrinkToFit="1"/>
    </xf>
    <xf numFmtId="38" fontId="211" fillId="110" borderId="725" xfId="132" applyFont="1" applyFill="1"/>
    <xf numFmtId="0" fontId="211" fillId="108" borderId="760" xfId="147" applyFont="1" applyFill="1" applyBorder="1" applyAlignment="1">
      <alignment horizontal="center" vertical="center" wrapText="1"/>
    </xf>
    <xf numFmtId="195" fontId="263" fillId="108" borderId="825" xfId="147" applyNumberFormat="1" applyFont="1" applyFill="1" applyBorder="1" applyAlignment="1">
      <alignment vertical="center"/>
    </xf>
    <xf numFmtId="201" fontId="268" fillId="110" borderId="949" xfId="147" applyNumberFormat="1" applyFont="1" applyFill="1" applyBorder="1" applyAlignment="1">
      <alignment vertical="center"/>
    </xf>
    <xf numFmtId="201" fontId="268" fillId="124" borderId="958" xfId="147" applyNumberFormat="1" applyFont="1" applyFill="1" applyBorder="1" applyAlignment="1">
      <alignment vertical="center"/>
    </xf>
    <xf numFmtId="201" fontId="268" fillId="108" borderId="866" xfId="147" applyNumberFormat="1" applyFont="1" applyFill="1" applyBorder="1" applyAlignment="1">
      <alignment vertical="center"/>
    </xf>
    <xf numFmtId="202" fontId="268" fillId="108" borderId="944" xfId="147" applyNumberFormat="1" applyFont="1" applyFill="1" applyBorder="1" applyAlignment="1">
      <alignment horizontal="right" vertical="center" shrinkToFit="1"/>
    </xf>
    <xf numFmtId="0" fontId="211" fillId="108" borderId="783" xfId="147" applyFont="1" applyFill="1" applyBorder="1" applyAlignment="1">
      <alignment horizontal="center" vertical="center" wrapText="1"/>
    </xf>
    <xf numFmtId="195" fontId="263" fillId="108" borderId="783" xfId="147" applyNumberFormat="1" applyFont="1" applyFill="1" applyBorder="1" applyAlignment="1">
      <alignment vertical="center"/>
    </xf>
    <xf numFmtId="201" fontId="268" fillId="110" borderId="1012" xfId="147" applyNumberFormat="1" applyFont="1" applyFill="1" applyBorder="1" applyAlignment="1">
      <alignment vertical="center"/>
    </xf>
    <xf numFmtId="201" fontId="268" fillId="124" borderId="1027" xfId="147" applyNumberFormat="1" applyFont="1" applyFill="1" applyBorder="1" applyAlignment="1">
      <alignment vertical="center"/>
    </xf>
    <xf numFmtId="201" fontId="268" fillId="108" borderId="1013" xfId="147" applyNumberFormat="1" applyFont="1" applyFill="1" applyBorder="1" applyAlignment="1">
      <alignment vertical="center"/>
    </xf>
    <xf numFmtId="202" fontId="268" fillId="108" borderId="902" xfId="147" applyNumberFormat="1" applyFont="1" applyFill="1" applyBorder="1" applyAlignment="1">
      <alignment horizontal="right" vertical="center" shrinkToFit="1"/>
    </xf>
    <xf numFmtId="201" fontId="268" fillId="108" borderId="928" xfId="147" applyNumberFormat="1" applyFont="1" applyFill="1" applyBorder="1" applyAlignment="1">
      <alignment vertical="center" shrinkToFit="1"/>
    </xf>
    <xf numFmtId="201" fontId="268" fillId="108" borderId="832" xfId="147" applyNumberFormat="1" applyFont="1" applyFill="1" applyBorder="1" applyAlignment="1">
      <alignment vertical="center" shrinkToFit="1"/>
    </xf>
    <xf numFmtId="38" fontId="261" fillId="108" borderId="725" xfId="148" applyFont="1" applyFill="1"/>
    <xf numFmtId="201" fontId="268" fillId="108" borderId="1011" xfId="147" applyNumberFormat="1" applyFont="1" applyFill="1" applyBorder="1" applyAlignment="1">
      <alignment vertical="center" shrinkToFit="1"/>
    </xf>
    <xf numFmtId="201" fontId="268" fillId="108" borderId="891" xfId="147" applyNumberFormat="1" applyFont="1" applyFill="1" applyBorder="1" applyAlignment="1">
      <alignment vertical="center" shrinkToFit="1"/>
    </xf>
    <xf numFmtId="201" fontId="268" fillId="108" borderId="866" xfId="147" applyNumberFormat="1" applyFont="1" applyFill="1" applyBorder="1" applyAlignment="1">
      <alignment vertical="center" shrinkToFit="1"/>
    </xf>
    <xf numFmtId="201" fontId="268" fillId="108" borderId="868" xfId="147" applyNumberFormat="1" applyFont="1" applyFill="1" applyBorder="1" applyAlignment="1">
      <alignment vertical="center" shrinkToFit="1"/>
    </xf>
    <xf numFmtId="0" fontId="261" fillId="108" borderId="725" xfId="147" applyFont="1" applyFill="1" applyAlignment="1">
      <alignment wrapText="1"/>
    </xf>
    <xf numFmtId="201" fontId="268" fillId="108" borderId="952" xfId="147" applyNumberFormat="1" applyFont="1" applyFill="1" applyBorder="1" applyAlignment="1">
      <alignment vertical="center"/>
    </xf>
    <xf numFmtId="201" fontId="268" fillId="108" borderId="901" xfId="147" applyNumberFormat="1" applyFont="1" applyFill="1" applyBorder="1" applyAlignment="1">
      <alignment vertical="center"/>
    </xf>
    <xf numFmtId="0" fontId="263" fillId="108" borderId="725" xfId="147" applyFont="1" applyFill="1" applyBorder="1"/>
    <xf numFmtId="0" fontId="268" fillId="108" borderId="725" xfId="147" applyFont="1" applyFill="1"/>
    <xf numFmtId="0" fontId="268" fillId="108" borderId="955" xfId="147" applyFont="1" applyFill="1" applyBorder="1"/>
    <xf numFmtId="196" fontId="268" fillId="108" borderId="725" xfId="147" applyNumberFormat="1" applyFont="1" applyFill="1" applyBorder="1" applyAlignment="1">
      <alignment vertical="center"/>
    </xf>
    <xf numFmtId="197" fontId="268" fillId="108" borderId="725" xfId="147" applyNumberFormat="1" applyFont="1" applyFill="1" applyBorder="1" applyAlignment="1">
      <alignment vertical="center" shrinkToFit="1"/>
    </xf>
    <xf numFmtId="196" fontId="268" fillId="108" borderId="725" xfId="147" applyNumberFormat="1" applyFont="1" applyFill="1" applyAlignment="1">
      <alignment vertical="center"/>
    </xf>
    <xf numFmtId="197" fontId="268" fillId="108" borderId="725" xfId="147" applyNumberFormat="1" applyFont="1" applyFill="1" applyAlignment="1">
      <alignment vertical="center" shrinkToFit="1"/>
    </xf>
    <xf numFmtId="201" fontId="268" fillId="110" borderId="742" xfId="147" applyNumberFormat="1" applyFont="1" applyFill="1" applyBorder="1" applyAlignment="1">
      <alignment vertical="center"/>
    </xf>
    <xf numFmtId="201" fontId="268" fillId="124" borderId="963" xfId="147" applyNumberFormat="1" applyFont="1" applyFill="1" applyBorder="1" applyAlignment="1">
      <alignment vertical="center"/>
    </xf>
    <xf numFmtId="201" fontId="268" fillId="108" borderId="1015" xfId="147" applyNumberFormat="1" applyFont="1" applyFill="1" applyBorder="1" applyAlignment="1">
      <alignment vertical="center"/>
    </xf>
    <xf numFmtId="202" fontId="268" fillId="108" borderId="988" xfId="147" applyNumberFormat="1" applyFont="1" applyFill="1" applyBorder="1" applyAlignment="1">
      <alignment horizontal="right" vertical="center" shrinkToFit="1"/>
    </xf>
    <xf numFmtId="201" fontId="268" fillId="108" borderId="885" xfId="147" applyNumberFormat="1" applyFont="1" applyFill="1" applyBorder="1" applyAlignment="1">
      <alignment vertical="center"/>
    </xf>
    <xf numFmtId="0" fontId="232" fillId="108" borderId="725" xfId="147" applyFont="1" applyFill="1"/>
    <xf numFmtId="0" fontId="232" fillId="108" borderId="955" xfId="147" applyFont="1" applyFill="1" applyBorder="1"/>
    <xf numFmtId="38" fontId="232" fillId="108" borderId="725" xfId="148" applyFont="1" applyFill="1"/>
    <xf numFmtId="0" fontId="232" fillId="108" borderId="725" xfId="147" applyFont="1" applyFill="1" applyAlignment="1">
      <alignment shrinkToFit="1"/>
    </xf>
    <xf numFmtId="201" fontId="268" fillId="124" borderId="1028" xfId="147" applyNumberFormat="1" applyFont="1" applyFill="1" applyBorder="1" applyAlignment="1">
      <alignment vertical="center"/>
    </xf>
    <xf numFmtId="38" fontId="230" fillId="123" borderId="725" xfId="132" applyFont="1" applyFill="1"/>
    <xf numFmtId="0" fontId="269" fillId="108" borderId="725" xfId="147" applyFont="1" applyFill="1" applyAlignment="1">
      <alignment vertical="center"/>
    </xf>
    <xf numFmtId="0" fontId="211" fillId="108" borderId="725" xfId="147" applyFont="1"/>
    <xf numFmtId="0" fontId="261" fillId="108" borderId="725" xfId="147" applyFont="1"/>
    <xf numFmtId="189" fontId="263" fillId="108" borderId="725" xfId="147" applyNumberFormat="1" applyFont="1" applyAlignment="1">
      <alignment vertical="center"/>
    </xf>
    <xf numFmtId="201" fontId="268" fillId="108" borderId="778" xfId="147" applyNumberFormat="1" applyFont="1" applyFill="1" applyBorder="1" applyAlignment="1">
      <alignment vertical="center"/>
    </xf>
    <xf numFmtId="201" fontId="268" fillId="108" borderId="742" xfId="147" applyNumberFormat="1" applyFont="1" applyFill="1" applyBorder="1" applyAlignment="1">
      <alignment vertical="center"/>
    </xf>
    <xf numFmtId="201" fontId="268" fillId="108" borderId="963" xfId="147" applyNumberFormat="1" applyFont="1" applyFill="1" applyBorder="1" applyAlignment="1">
      <alignment vertical="center"/>
    </xf>
    <xf numFmtId="0" fontId="263" fillId="123" borderId="725" xfId="147" applyFont="1" applyFill="1"/>
    <xf numFmtId="195" fontId="263" fillId="108" borderId="777" xfId="147" applyNumberFormat="1" applyFont="1" applyFill="1" applyBorder="1" applyAlignment="1">
      <alignment vertical="center"/>
    </xf>
    <xf numFmtId="201" fontId="268" fillId="110" borderId="828" xfId="147" applyNumberFormat="1" applyFont="1" applyFill="1" applyBorder="1" applyAlignment="1">
      <alignment vertical="center"/>
    </xf>
    <xf numFmtId="201" fontId="268" fillId="110" borderId="829" xfId="147" applyNumberFormat="1" applyFont="1" applyFill="1" applyBorder="1" applyAlignment="1">
      <alignment vertical="center"/>
    </xf>
    <xf numFmtId="201" fontId="268" fillId="124" borderId="957" xfId="147" applyNumberFormat="1" applyFont="1" applyFill="1" applyBorder="1" applyAlignment="1">
      <alignment vertical="center"/>
    </xf>
    <xf numFmtId="201" fontId="268" fillId="108" borderId="852" xfId="147" applyNumberFormat="1" applyFont="1" applyFill="1" applyBorder="1" applyAlignment="1">
      <alignment vertical="center"/>
    </xf>
    <xf numFmtId="189" fontId="263" fillId="108" borderId="725" xfId="147" applyNumberFormat="1" applyFont="1" applyFill="1" applyAlignment="1">
      <alignment vertical="center"/>
    </xf>
    <xf numFmtId="201" fontId="268" fillId="110" borderId="908" xfId="147" applyNumberFormat="1" applyFont="1" applyFill="1" applyBorder="1" applyAlignment="1">
      <alignment vertical="center"/>
    </xf>
    <xf numFmtId="201" fontId="268" fillId="108" borderId="868" xfId="147" applyNumberFormat="1" applyFont="1" applyFill="1" applyBorder="1" applyAlignment="1">
      <alignment vertical="center"/>
    </xf>
    <xf numFmtId="195" fontId="263" fillId="108" borderId="797" xfId="147" applyNumberFormat="1" applyFont="1" applyFill="1" applyBorder="1" applyAlignment="1">
      <alignment vertical="center"/>
    </xf>
    <xf numFmtId="0" fontId="270" fillId="108" borderId="725" xfId="147" applyFont="1" applyFill="1" applyAlignment="1">
      <alignment vertical="center"/>
    </xf>
    <xf numFmtId="201" fontId="268" fillId="108" borderId="812" xfId="147" applyNumberFormat="1" applyFont="1" applyFill="1" applyBorder="1" applyAlignment="1">
      <alignment vertical="center"/>
    </xf>
    <xf numFmtId="201" fontId="268" fillId="108" borderId="739" xfId="147" applyNumberFormat="1" applyFont="1" applyFill="1" applyBorder="1" applyAlignment="1">
      <alignment vertical="center"/>
    </xf>
    <xf numFmtId="202" fontId="268" fillId="108" borderId="741" xfId="147" applyNumberFormat="1" applyFont="1" applyFill="1" applyBorder="1" applyAlignment="1">
      <alignment horizontal="right" vertical="center" shrinkToFit="1"/>
    </xf>
    <xf numFmtId="0" fontId="268" fillId="108" borderId="725" xfId="147" applyFont="1" applyFill="1" applyAlignment="1">
      <alignment vertical="center"/>
    </xf>
    <xf numFmtId="189" fontId="268" fillId="108" borderId="725" xfId="147" applyNumberFormat="1" applyFont="1" applyFill="1" applyAlignment="1">
      <alignment vertical="center"/>
    </xf>
    <xf numFmtId="201" fontId="268" fillId="110" borderId="907" xfId="147" applyNumberFormat="1" applyFont="1" applyFill="1" applyBorder="1" applyAlignment="1">
      <alignment vertical="center"/>
    </xf>
    <xf numFmtId="202" fontId="268" fillId="108" borderId="827" xfId="147" applyNumberFormat="1" applyFont="1" applyFill="1" applyBorder="1" applyAlignment="1">
      <alignment horizontal="right" vertical="center" shrinkToFit="1"/>
    </xf>
    <xf numFmtId="202" fontId="268" fillId="108" borderId="1016" xfId="147" applyNumberFormat="1" applyFont="1" applyFill="1" applyBorder="1" applyAlignment="1">
      <alignment horizontal="right" vertical="center" shrinkToFit="1"/>
    </xf>
    <xf numFmtId="201" fontId="268" fillId="110" borderId="1017" xfId="147" applyNumberFormat="1" applyFont="1" applyFill="1" applyBorder="1" applyAlignment="1">
      <alignment vertical="center"/>
    </xf>
    <xf numFmtId="201" fontId="268" fillId="124" borderId="1029" xfId="147" applyNumberFormat="1" applyFont="1" applyFill="1" applyBorder="1" applyAlignment="1">
      <alignment vertical="center"/>
    </xf>
    <xf numFmtId="202" fontId="268" fillId="108" borderId="1018" xfId="147" applyNumberFormat="1" applyFont="1" applyFill="1" applyBorder="1" applyAlignment="1">
      <alignment horizontal="right" vertical="center" shrinkToFit="1"/>
    </xf>
    <xf numFmtId="195" fontId="211" fillId="108" borderId="725" xfId="147" applyNumberFormat="1" applyFont="1" applyFill="1" applyBorder="1" applyAlignment="1">
      <alignment vertical="center"/>
    </xf>
    <xf numFmtId="0" fontId="211" fillId="108" borderId="725" xfId="147" applyFont="1" applyFill="1" applyBorder="1" applyAlignment="1">
      <alignment horizontal="distributed" vertical="center"/>
    </xf>
    <xf numFmtId="196" fontId="211" fillId="108" borderId="725" xfId="147" applyNumberFormat="1" applyFont="1" applyFill="1" applyBorder="1" applyAlignment="1">
      <alignment vertical="center"/>
    </xf>
    <xf numFmtId="196" fontId="231" fillId="108" borderId="725" xfId="147" applyNumberFormat="1" applyFont="1" applyFill="1" applyBorder="1" applyAlignment="1">
      <alignment vertical="center"/>
    </xf>
    <xf numFmtId="197" fontId="211" fillId="108" borderId="725" xfId="147" applyNumberFormat="1" applyFont="1" applyFill="1" applyBorder="1" applyAlignment="1">
      <alignment horizontal="center" vertical="center" shrinkToFit="1"/>
    </xf>
    <xf numFmtId="197" fontId="231" fillId="108" borderId="725" xfId="147" applyNumberFormat="1" applyFont="1" applyFill="1" applyBorder="1" applyAlignment="1">
      <alignment horizontal="center" vertical="center" shrinkToFit="1"/>
    </xf>
    <xf numFmtId="189" fontId="270" fillId="108" borderId="725" xfId="147" applyNumberFormat="1" applyFont="1" applyFill="1" applyAlignment="1">
      <alignment horizontal="right" vertical="center"/>
    </xf>
    <xf numFmtId="195" fontId="265" fillId="108" borderId="740" xfId="147" applyNumberFormat="1" applyFont="1" applyFill="1" applyBorder="1" applyAlignment="1">
      <alignment horizontal="centerContinuous" vertical="center"/>
    </xf>
    <xf numFmtId="201" fontId="268" fillId="110" borderId="777" xfId="147" applyNumberFormat="1" applyFont="1" applyFill="1" applyBorder="1" applyAlignment="1">
      <alignment vertical="center"/>
    </xf>
    <xf numFmtId="201" fontId="268" fillId="124" borderId="955" xfId="147" applyNumberFormat="1" applyFont="1" applyFill="1" applyBorder="1" applyAlignment="1">
      <alignment vertical="center"/>
    </xf>
    <xf numFmtId="201" fontId="268" fillId="110" borderId="1023" xfId="147" applyNumberFormat="1" applyFont="1" applyFill="1" applyBorder="1" applyAlignment="1">
      <alignment vertical="center"/>
    </xf>
    <xf numFmtId="201" fontId="268" fillId="108" borderId="1030" xfId="147" applyNumberFormat="1" applyFont="1" applyFill="1" applyBorder="1" applyAlignment="1">
      <alignment vertical="center"/>
    </xf>
    <xf numFmtId="201" fontId="268" fillId="108" borderId="1024" xfId="147" applyNumberFormat="1" applyFont="1" applyFill="1" applyBorder="1" applyAlignment="1">
      <alignment vertical="center"/>
    </xf>
    <xf numFmtId="202" fontId="268" fillId="108" borderId="1025" xfId="147" applyNumberFormat="1" applyFont="1" applyFill="1" applyBorder="1" applyAlignment="1">
      <alignment horizontal="right" vertical="center" shrinkToFit="1"/>
    </xf>
    <xf numFmtId="201" fontId="268" fillId="108" borderId="797" xfId="147" applyNumberFormat="1" applyFont="1" applyFill="1" applyBorder="1" applyAlignment="1">
      <alignment vertical="center"/>
    </xf>
    <xf numFmtId="201" fontId="268" fillId="108" borderId="1031" xfId="147" applyNumberFormat="1" applyFont="1" applyFill="1" applyBorder="1" applyAlignment="1">
      <alignment vertical="center"/>
    </xf>
    <xf numFmtId="202" fontId="268" fillId="108" borderId="1026" xfId="147" applyNumberFormat="1" applyFont="1" applyFill="1" applyBorder="1" applyAlignment="1">
      <alignment horizontal="right" vertical="center" shrinkToFit="1"/>
    </xf>
    <xf numFmtId="38" fontId="263" fillId="123" borderId="725" xfId="132" applyFont="1" applyFill="1"/>
    <xf numFmtId="0" fontId="263" fillId="108" borderId="725" xfId="147" applyFont="1" applyFill="1" applyAlignment="1">
      <alignment shrinkToFit="1"/>
    </xf>
    <xf numFmtId="38" fontId="263" fillId="108" borderId="725" xfId="148" applyFont="1" applyFill="1"/>
    <xf numFmtId="0" fontId="271" fillId="108" borderId="725" xfId="147" applyFont="1" applyFill="1" applyAlignment="1">
      <alignment horizontal="centerContinuous"/>
    </xf>
    <xf numFmtId="0" fontId="228" fillId="108" borderId="725" xfId="147" applyFont="1" applyFill="1" applyAlignment="1">
      <alignment vertical="center"/>
    </xf>
    <xf numFmtId="190" fontId="211" fillId="123" borderId="725" xfId="149" applyNumberFormat="1" applyFont="1" applyFill="1" applyAlignment="1"/>
    <xf numFmtId="190" fontId="261" fillId="123" borderId="725" xfId="149" applyNumberFormat="1" applyFont="1" applyFill="1" applyAlignment="1"/>
    <xf numFmtId="190" fontId="230" fillId="123" borderId="725" xfId="149" applyNumberFormat="1" applyFont="1" applyFill="1" applyAlignment="1"/>
    <xf numFmtId="190" fontId="263" fillId="123" borderId="725" xfId="149" applyNumberFormat="1" applyFont="1" applyFill="1" applyAlignment="1"/>
    <xf numFmtId="190" fontId="263" fillId="123" borderId="725" xfId="149" applyNumberFormat="1" applyFont="1" applyFill="1" applyAlignment="1">
      <alignment vertical="center"/>
    </xf>
    <xf numFmtId="14" fontId="211" fillId="108" borderId="725" xfId="147" quotePrefix="1" applyNumberFormat="1" applyFont="1" applyFill="1" applyAlignment="1">
      <alignment horizontal="right"/>
    </xf>
    <xf numFmtId="195" fontId="243" fillId="108" borderId="862" xfId="140" applyNumberFormat="1" applyFont="1" applyBorder="1" applyAlignment="1">
      <alignment horizontal="distributed" vertical="center" shrinkToFit="1"/>
    </xf>
    <xf numFmtId="0" fontId="263" fillId="108" borderId="725" xfId="147" applyFont="1" applyFill="1" applyBorder="1" applyAlignment="1">
      <alignment horizontal="right"/>
    </xf>
    <xf numFmtId="195" fontId="246" fillId="108" borderId="867" xfId="140" applyNumberFormat="1" applyFont="1" applyBorder="1" applyAlignment="1">
      <alignment horizontal="distributed" vertical="center"/>
    </xf>
    <xf numFmtId="0" fontId="243" fillId="108" borderId="725" xfId="140" applyFont="1" applyBorder="1" applyAlignment="1">
      <alignment horizontal="center"/>
    </xf>
    <xf numFmtId="38" fontId="243" fillId="108" borderId="725" xfId="132" applyFont="1" applyAlignment="1">
      <alignment horizontal="right"/>
    </xf>
    <xf numFmtId="38" fontId="243" fillId="110" borderId="725" xfId="132" applyFont="1" applyFill="1" applyAlignment="1">
      <alignment horizontal="right"/>
    </xf>
    <xf numFmtId="38" fontId="243" fillId="108" borderId="725" xfId="132" applyFont="1" applyFill="1" applyAlignment="1"/>
    <xf numFmtId="38" fontId="243" fillId="110" borderId="725" xfId="132" applyFont="1" applyFill="1" applyAlignment="1"/>
    <xf numFmtId="0" fontId="211" fillId="108" borderId="725" xfId="147" applyFont="1" applyFill="1" applyBorder="1" applyAlignment="1">
      <alignment horizontal="center" vertical="center" shrinkToFit="1"/>
    </xf>
    <xf numFmtId="202" fontId="268" fillId="108" borderId="725" xfId="147" applyNumberFormat="1" applyFont="1" applyFill="1" applyBorder="1" applyAlignment="1">
      <alignment horizontal="right" vertical="center" shrinkToFit="1"/>
    </xf>
    <xf numFmtId="0" fontId="211" fillId="108" borderId="725" xfId="147" applyFont="1" applyFill="1" applyBorder="1" applyAlignment="1">
      <alignment horizontal="center" vertical="center"/>
    </xf>
    <xf numFmtId="0" fontId="211" fillId="108" borderId="725" xfId="147" applyFont="1" applyFill="1" applyBorder="1" applyAlignment="1">
      <alignment horizontal="left" vertical="center"/>
    </xf>
    <xf numFmtId="195" fontId="267" fillId="108" borderId="812" xfId="147" applyNumberFormat="1" applyFont="1" applyFill="1" applyBorder="1" applyAlignment="1">
      <alignment horizontal="centerContinuous" vertical="center"/>
    </xf>
    <xf numFmtId="0" fontId="211" fillId="108" borderId="1007" xfId="147" applyFont="1" applyFill="1" applyBorder="1" applyAlignment="1">
      <alignment horizontal="centerContinuous" vertical="center"/>
    </xf>
    <xf numFmtId="195" fontId="267" fillId="108" borderId="811" xfId="147" applyNumberFormat="1" applyFont="1" applyFill="1" applyBorder="1" applyAlignment="1">
      <alignment horizontal="centerContinuous" vertical="center"/>
    </xf>
    <xf numFmtId="195" fontId="267" fillId="108" borderId="797" xfId="147" quotePrefix="1" applyNumberFormat="1" applyFont="1" applyFill="1" applyBorder="1" applyAlignment="1">
      <alignment horizontal="centerContinuous" vertical="center"/>
    </xf>
    <xf numFmtId="195" fontId="267" fillId="108" borderId="811" xfId="147" quotePrefix="1" applyNumberFormat="1" applyFont="1" applyFill="1" applyBorder="1" applyAlignment="1">
      <alignment horizontal="centerContinuous" vertical="center"/>
    </xf>
    <xf numFmtId="38" fontId="263" fillId="108" borderId="811" xfId="132" applyFont="1" applyFill="1" applyBorder="1"/>
    <xf numFmtId="38" fontId="263" fillId="108" borderId="907" xfId="132" applyFont="1" applyFill="1" applyBorder="1"/>
    <xf numFmtId="38" fontId="263" fillId="108" borderId="908" xfId="132" applyFont="1" applyFill="1" applyBorder="1"/>
    <xf numFmtId="38" fontId="263" fillId="108" borderId="1017" xfId="132" applyFont="1" applyFill="1" applyBorder="1"/>
    <xf numFmtId="38" fontId="263" fillId="108" borderId="778" xfId="132" applyFont="1" applyFill="1" applyBorder="1"/>
    <xf numFmtId="201" fontId="268" fillId="108" borderId="1033" xfId="147" applyNumberFormat="1" applyFont="1" applyFill="1" applyBorder="1" applyAlignment="1">
      <alignment vertical="center"/>
    </xf>
    <xf numFmtId="201" fontId="268" fillId="124" borderId="1035" xfId="147" applyNumberFormat="1" applyFont="1" applyFill="1" applyBorder="1" applyAlignment="1">
      <alignment vertical="center"/>
    </xf>
    <xf numFmtId="201" fontId="268" fillId="124" borderId="1036" xfId="147" applyNumberFormat="1" applyFont="1" applyFill="1" applyBorder="1" applyAlignment="1">
      <alignment vertical="center"/>
    </xf>
    <xf numFmtId="201" fontId="268" fillId="124" borderId="1037" xfId="147" applyNumberFormat="1" applyFont="1" applyFill="1" applyBorder="1" applyAlignment="1">
      <alignment vertical="center"/>
    </xf>
    <xf numFmtId="201" fontId="268" fillId="108" borderId="1038" xfId="147" applyNumberFormat="1" applyFont="1" applyFill="1" applyBorder="1" applyAlignment="1">
      <alignment vertical="center"/>
    </xf>
    <xf numFmtId="201" fontId="268" fillId="124" borderId="1039" xfId="147" applyNumberFormat="1" applyFont="1" applyFill="1" applyBorder="1" applyAlignment="1">
      <alignment vertical="center"/>
    </xf>
    <xf numFmtId="195" fontId="266" fillId="108" borderId="739" xfId="147" applyNumberFormat="1" applyFont="1" applyFill="1" applyBorder="1" applyAlignment="1">
      <alignment horizontal="centerContinuous" vertical="center"/>
    </xf>
    <xf numFmtId="0" fontId="243" fillId="108" borderId="725" xfId="140" applyFont="1" applyFill="1"/>
    <xf numFmtId="189" fontId="243" fillId="108" borderId="725" xfId="140" applyNumberFormat="1" applyFont="1"/>
    <xf numFmtId="195" fontId="243" fillId="108" borderId="725" xfId="140" applyNumberFormat="1" applyFont="1" applyFill="1" applyAlignment="1">
      <alignment vertical="center"/>
    </xf>
    <xf numFmtId="0" fontId="243" fillId="108" borderId="725" xfId="140" applyFont="1" applyFill="1" applyAlignment="1">
      <alignment horizontal="center"/>
    </xf>
    <xf numFmtId="195" fontId="243" fillId="108" borderId="749" xfId="140" applyNumberFormat="1" applyFont="1" applyFill="1" applyBorder="1" applyAlignment="1">
      <alignment horizontal="center" vertical="center"/>
    </xf>
    <xf numFmtId="189" fontId="243" fillId="108" borderId="743" xfId="140" applyNumberFormat="1" applyFont="1" applyBorder="1"/>
    <xf numFmtId="189" fontId="258" fillId="110" borderId="725" xfId="140" applyNumberFormat="1" applyFont="1" applyFill="1"/>
    <xf numFmtId="196" fontId="243" fillId="108" borderId="725" xfId="140" applyNumberFormat="1" applyFont="1" applyFill="1" applyAlignment="1">
      <alignment vertical="center"/>
    </xf>
    <xf numFmtId="197" fontId="243" fillId="108" borderId="725" xfId="140" applyNumberFormat="1" applyFont="1" applyAlignment="1">
      <alignment vertical="center" shrinkToFit="1"/>
    </xf>
    <xf numFmtId="197" fontId="243" fillId="108" borderId="725" xfId="140" applyNumberFormat="1" applyFont="1" applyAlignment="1">
      <alignment vertical="center"/>
    </xf>
    <xf numFmtId="196" fontId="243" fillId="108" borderId="725" xfId="140" applyNumberFormat="1" applyFont="1"/>
    <xf numFmtId="0" fontId="243" fillId="110" borderId="725" xfId="140" applyFont="1" applyFill="1"/>
    <xf numFmtId="189" fontId="243" fillId="108" borderId="725" xfId="140" applyNumberFormat="1" applyFont="1" applyAlignment="1">
      <alignment vertical="center"/>
    </xf>
    <xf numFmtId="195" fontId="243" fillId="108" borderId="848" xfId="140" applyNumberFormat="1" applyFont="1" applyFill="1" applyBorder="1" applyAlignment="1">
      <alignment horizontal="center" vertical="center" wrapText="1"/>
    </xf>
    <xf numFmtId="195" fontId="243" fillId="108" borderId="817" xfId="140" applyNumberFormat="1" applyFont="1" applyFill="1" applyBorder="1" applyAlignment="1">
      <alignment horizontal="center" vertical="center"/>
    </xf>
    <xf numFmtId="195" fontId="243" fillId="108" borderId="748" xfId="140" applyNumberFormat="1" applyFont="1" applyFill="1" applyBorder="1" applyAlignment="1">
      <alignment horizontal="center" vertical="center"/>
    </xf>
    <xf numFmtId="195" fontId="243" fillId="108" borderId="846" xfId="140" applyNumberFormat="1" applyFont="1" applyFill="1" applyBorder="1" applyAlignment="1">
      <alignment horizontal="center" vertical="center" wrapText="1"/>
    </xf>
    <xf numFmtId="195" fontId="243" fillId="108" borderId="814" xfId="140" applyNumberFormat="1" applyFont="1" applyFill="1" applyBorder="1" applyAlignment="1">
      <alignment horizontal="center" vertical="center" wrapText="1"/>
    </xf>
    <xf numFmtId="0" fontId="243" fillId="108" borderId="725" xfId="140" applyFont="1" applyBorder="1" applyAlignment="1">
      <alignment horizontal="center" vertical="center"/>
    </xf>
    <xf numFmtId="197" fontId="244" fillId="108" borderId="725" xfId="140" applyNumberFormat="1" applyFont="1" applyBorder="1" applyAlignment="1">
      <alignment vertical="center" shrinkToFit="1"/>
    </xf>
    <xf numFmtId="195" fontId="243" fillId="108" borderId="799" xfId="140" applyNumberFormat="1" applyFont="1" applyFill="1" applyBorder="1" applyAlignment="1">
      <alignment horizontal="centerContinuous" vertical="center"/>
    </xf>
    <xf numFmtId="200" fontId="243" fillId="108" borderId="754" xfId="140" applyNumberFormat="1" applyFont="1" applyFill="1" applyBorder="1" applyAlignment="1">
      <alignment horizontal="center" vertical="top"/>
    </xf>
    <xf numFmtId="196" fontId="244" fillId="108" borderId="729" xfId="140" applyNumberFormat="1" applyFont="1" applyFill="1" applyBorder="1" applyAlignment="1">
      <alignment vertical="center" shrinkToFit="1"/>
    </xf>
    <xf numFmtId="0" fontId="243" fillId="108" borderId="725" xfId="140" applyFont="1" applyBorder="1" applyAlignment="1">
      <alignment horizontal="left" vertical="center"/>
    </xf>
    <xf numFmtId="189" fontId="243" fillId="108" borderId="725" xfId="140" applyNumberFormat="1" applyFont="1" applyBorder="1"/>
    <xf numFmtId="189" fontId="243" fillId="108" borderId="725" xfId="140" applyNumberFormat="1" applyFont="1" applyBorder="1" applyAlignment="1">
      <alignment wrapText="1"/>
    </xf>
    <xf numFmtId="189" fontId="243" fillId="108" borderId="725" xfId="140" applyNumberFormat="1" applyFont="1" applyBorder="1" applyAlignment="1"/>
    <xf numFmtId="196" fontId="244" fillId="123" borderId="800" xfId="140" applyNumberFormat="1" applyFont="1" applyFill="1" applyBorder="1" applyAlignment="1">
      <alignment vertical="center" shrinkToFit="1"/>
    </xf>
    <xf numFmtId="196" fontId="244" fillId="123" borderId="786" xfId="140" applyNumberFormat="1" applyFont="1" applyFill="1" applyBorder="1" applyAlignment="1">
      <alignment vertical="center" shrinkToFit="1"/>
    </xf>
    <xf numFmtId="196" fontId="244" fillId="123" borderId="729" xfId="140" applyNumberFormat="1" applyFont="1" applyFill="1" applyBorder="1" applyAlignment="1">
      <alignment vertical="center" shrinkToFit="1"/>
    </xf>
    <xf numFmtId="196" fontId="244" fillId="123" borderId="727" xfId="140" applyNumberFormat="1" applyFont="1" applyFill="1" applyBorder="1" applyAlignment="1">
      <alignment vertical="center" shrinkToFit="1"/>
    </xf>
    <xf numFmtId="197" fontId="244" fillId="123" borderId="725" xfId="140" applyNumberFormat="1" applyFont="1" applyFill="1" applyBorder="1" applyAlignment="1">
      <alignment vertical="center" shrinkToFit="1"/>
    </xf>
    <xf numFmtId="189" fontId="243" fillId="123" borderId="725" xfId="140" applyNumberFormat="1" applyFont="1" applyFill="1" applyAlignment="1">
      <alignment vertical="center"/>
    </xf>
    <xf numFmtId="0" fontId="243" fillId="123" borderId="725" xfId="140" applyFont="1" applyFill="1" applyAlignment="1">
      <alignment vertical="center"/>
    </xf>
    <xf numFmtId="196" fontId="243" fillId="123" borderId="802" xfId="140" applyNumberFormat="1" applyFont="1" applyFill="1" applyBorder="1" applyAlignment="1">
      <alignment vertical="center"/>
    </xf>
    <xf numFmtId="196" fontId="243" fillId="123" borderId="780" xfId="140" applyNumberFormat="1" applyFont="1" applyFill="1" applyBorder="1" applyAlignment="1">
      <alignment vertical="center" shrinkToFit="1"/>
    </xf>
    <xf numFmtId="196" fontId="243" fillId="123" borderId="760" xfId="140" applyNumberFormat="1" applyFont="1" applyFill="1" applyBorder="1" applyAlignment="1">
      <alignment vertical="center" shrinkToFit="1"/>
    </xf>
    <xf numFmtId="196" fontId="243" fillId="123" borderId="738" xfId="140" applyNumberFormat="1" applyFont="1" applyFill="1" applyBorder="1" applyAlignment="1">
      <alignment vertical="center" shrinkToFit="1"/>
    </xf>
    <xf numFmtId="189" fontId="243" fillId="123" borderId="725" xfId="140" applyNumberFormat="1" applyFont="1" applyFill="1"/>
    <xf numFmtId="0" fontId="243" fillId="123" borderId="725" xfId="140" applyFont="1" applyFill="1"/>
    <xf numFmtId="0" fontId="246" fillId="123" borderId="725" xfId="140" applyFont="1" applyFill="1"/>
    <xf numFmtId="196" fontId="243" fillId="123" borderId="725" xfId="140" applyNumberFormat="1" applyFont="1" applyFill="1" applyAlignment="1">
      <alignment vertical="center"/>
    </xf>
    <xf numFmtId="197" fontId="243" fillId="123" borderId="725" xfId="140" applyNumberFormat="1" applyFont="1" applyFill="1" applyAlignment="1">
      <alignment vertical="center" shrinkToFit="1"/>
    </xf>
    <xf numFmtId="195" fontId="244" fillId="123" borderId="894" xfId="140" applyNumberFormat="1" applyFont="1" applyFill="1" applyBorder="1" applyAlignment="1">
      <alignment vertical="center"/>
    </xf>
    <xf numFmtId="195" fontId="244" fillId="123" borderId="940" xfId="140" applyNumberFormat="1" applyFont="1" applyFill="1" applyBorder="1" applyAlignment="1">
      <alignment vertical="center"/>
    </xf>
    <xf numFmtId="195" fontId="244" fillId="123" borderId="941" xfId="140" applyNumberFormat="1" applyFont="1" applyFill="1" applyBorder="1" applyAlignment="1">
      <alignment vertical="center"/>
    </xf>
    <xf numFmtId="195" fontId="244" fillId="123" borderId="1045" xfId="140" applyNumberFormat="1" applyFont="1" applyFill="1" applyBorder="1" applyAlignment="1">
      <alignment vertical="center"/>
    </xf>
    <xf numFmtId="0" fontId="246" fillId="123" borderId="872" xfId="140" applyFont="1" applyFill="1" applyBorder="1" applyAlignment="1">
      <alignment vertical="center"/>
    </xf>
    <xf numFmtId="195" fontId="244" fillId="123" borderId="899" xfId="140" applyNumberFormat="1" applyFont="1" applyFill="1" applyBorder="1" applyAlignment="1">
      <alignment vertical="center"/>
    </xf>
    <xf numFmtId="195" fontId="244" fillId="123" borderId="935" xfId="140" applyNumberFormat="1" applyFont="1" applyFill="1" applyBorder="1" applyAlignment="1">
      <alignment vertical="center"/>
    </xf>
    <xf numFmtId="195" fontId="244" fillId="123" borderId="931" xfId="140" applyNumberFormat="1" applyFont="1" applyFill="1" applyBorder="1" applyAlignment="1">
      <alignment vertical="center"/>
    </xf>
    <xf numFmtId="196" fontId="244" fillId="123" borderId="931" xfId="140" applyNumberFormat="1" applyFont="1" applyFill="1" applyBorder="1" applyAlignment="1">
      <alignment vertical="center"/>
    </xf>
    <xf numFmtId="196" fontId="244" fillId="123" borderId="1040" xfId="140" applyNumberFormat="1" applyFont="1" applyFill="1" applyBorder="1" applyAlignment="1">
      <alignment vertical="center"/>
    </xf>
    <xf numFmtId="189" fontId="258" fillId="123" borderId="725" xfId="140" applyNumberFormat="1" applyFont="1" applyFill="1" applyAlignment="1">
      <alignment vertical="center"/>
    </xf>
    <xf numFmtId="0" fontId="246" fillId="123" borderId="906" xfId="140" applyFont="1" applyFill="1" applyBorder="1" applyAlignment="1">
      <alignment vertical="center"/>
    </xf>
    <xf numFmtId="0" fontId="246" fillId="123" borderId="833" xfId="140" applyFont="1" applyFill="1" applyBorder="1" applyAlignment="1">
      <alignment vertical="center"/>
    </xf>
    <xf numFmtId="0" fontId="246" fillId="123" borderId="874" xfId="140" applyFont="1" applyFill="1" applyBorder="1" applyAlignment="1">
      <alignment vertical="center"/>
    </xf>
    <xf numFmtId="0" fontId="246" fillId="123" borderId="867" xfId="140" applyFont="1" applyFill="1" applyBorder="1" applyAlignment="1">
      <alignment horizontal="distributed" vertical="center"/>
    </xf>
    <xf numFmtId="195" fontId="243" fillId="123" borderId="899" xfId="140" applyNumberFormat="1" applyFont="1" applyFill="1" applyBorder="1" applyAlignment="1">
      <alignment vertical="center"/>
    </xf>
    <xf numFmtId="195" fontId="258" fillId="123" borderId="935" xfId="140" applyNumberFormat="1" applyFont="1" applyFill="1" applyBorder="1" applyAlignment="1">
      <alignment vertical="center"/>
    </xf>
    <xf numFmtId="195" fontId="258" fillId="123" borderId="931" xfId="140" applyNumberFormat="1" applyFont="1" applyFill="1" applyBorder="1" applyAlignment="1">
      <alignment vertical="center"/>
    </xf>
    <xf numFmtId="196" fontId="249" fillId="123" borderId="931" xfId="140" applyNumberFormat="1" applyFont="1" applyFill="1" applyBorder="1" applyAlignment="1">
      <alignment vertical="center"/>
    </xf>
    <xf numFmtId="195" fontId="243" fillId="123" borderId="1040" xfId="140" applyNumberFormat="1" applyFont="1" applyFill="1" applyBorder="1" applyAlignment="1">
      <alignment vertical="center"/>
    </xf>
    <xf numFmtId="0" fontId="246" fillId="123" borderId="831" xfId="140" applyFont="1" applyFill="1" applyBorder="1" applyAlignment="1">
      <alignment vertical="center"/>
    </xf>
    <xf numFmtId="0" fontId="246" fillId="123" borderId="928" xfId="140" applyFont="1" applyFill="1" applyBorder="1" applyAlignment="1">
      <alignment vertical="center"/>
    </xf>
    <xf numFmtId="196" fontId="243" fillId="123" borderId="1040" xfId="140" applyNumberFormat="1" applyFont="1" applyFill="1" applyBorder="1" applyAlignment="1">
      <alignment vertical="center"/>
    </xf>
    <xf numFmtId="0" fontId="246" fillId="123" borderId="854" xfId="140" applyFont="1" applyFill="1" applyBorder="1" applyAlignment="1">
      <alignment vertical="center"/>
    </xf>
    <xf numFmtId="0" fontId="246" fillId="123" borderId="858" xfId="140" applyFont="1" applyFill="1" applyBorder="1" applyAlignment="1">
      <alignment vertical="center"/>
    </xf>
    <xf numFmtId="196" fontId="243" fillId="123" borderId="931" xfId="140" applyNumberFormat="1" applyFont="1" applyFill="1" applyBorder="1" applyAlignment="1">
      <alignment vertical="center"/>
    </xf>
    <xf numFmtId="195" fontId="243" fillId="123" borderId="935" xfId="140" applyNumberFormat="1" applyFont="1" applyFill="1" applyBorder="1" applyAlignment="1">
      <alignment vertical="center"/>
    </xf>
    <xf numFmtId="195" fontId="243" fillId="123" borderId="931" xfId="140" applyNumberFormat="1" applyFont="1" applyFill="1" applyBorder="1" applyAlignment="1">
      <alignment vertical="center"/>
    </xf>
    <xf numFmtId="195" fontId="243" fillId="123" borderId="909" xfId="140" applyNumberFormat="1" applyFont="1" applyFill="1" applyBorder="1" applyAlignment="1">
      <alignment vertical="center"/>
    </xf>
    <xf numFmtId="196" fontId="258" fillId="123" borderId="936" xfId="140" applyNumberFormat="1" applyFont="1" applyFill="1" applyBorder="1" applyAlignment="1">
      <alignment vertical="center"/>
    </xf>
    <xf numFmtId="196" fontId="258" fillId="123" borderId="937" xfId="140" applyNumberFormat="1" applyFont="1" applyFill="1" applyBorder="1" applyAlignment="1">
      <alignment vertical="center"/>
    </xf>
    <xf numFmtId="196" fontId="249" fillId="123" borderId="937" xfId="140" applyNumberFormat="1" applyFont="1" applyFill="1" applyBorder="1" applyAlignment="1">
      <alignment vertical="center"/>
    </xf>
    <xf numFmtId="196" fontId="243" fillId="123" borderId="1041" xfId="140" applyNumberFormat="1" applyFont="1" applyFill="1" applyBorder="1" applyAlignment="1">
      <alignment vertical="center"/>
    </xf>
    <xf numFmtId="0" fontId="246" fillId="123" borderId="910" xfId="140" applyFont="1" applyFill="1" applyBorder="1" applyAlignment="1">
      <alignment vertical="center"/>
    </xf>
    <xf numFmtId="195" fontId="243" fillId="123" borderId="900" xfId="140" applyNumberFormat="1" applyFont="1" applyFill="1" applyBorder="1" applyAlignment="1">
      <alignment vertical="center"/>
    </xf>
    <xf numFmtId="195" fontId="258" fillId="123" borderId="938" xfId="140" applyNumberFormat="1" applyFont="1" applyFill="1" applyBorder="1" applyAlignment="1">
      <alignment vertical="center"/>
    </xf>
    <xf numFmtId="195" fontId="258" fillId="123" borderId="939" xfId="140" applyNumberFormat="1" applyFont="1" applyFill="1" applyBorder="1" applyAlignment="1">
      <alignment vertical="center"/>
    </xf>
    <xf numFmtId="196" fontId="243" fillId="123" borderId="939" xfId="140" applyNumberFormat="1" applyFont="1" applyFill="1" applyBorder="1" applyAlignment="1">
      <alignment vertical="center"/>
    </xf>
    <xf numFmtId="196" fontId="243" fillId="123" borderId="1042" xfId="140" applyNumberFormat="1" applyFont="1" applyFill="1" applyBorder="1" applyAlignment="1">
      <alignment vertical="center"/>
    </xf>
    <xf numFmtId="0" fontId="243" fillId="123" borderId="725" xfId="140" applyFont="1" applyFill="1" applyAlignment="1">
      <alignment horizontal="right"/>
    </xf>
    <xf numFmtId="0" fontId="246" fillId="123" borderId="725" xfId="140" applyFont="1" applyFill="1" applyAlignment="1">
      <alignment vertical="center"/>
    </xf>
    <xf numFmtId="0" fontId="246" fillId="123" borderId="929" xfId="140" applyFont="1" applyFill="1" applyBorder="1" applyAlignment="1">
      <alignment horizontal="distributed" vertical="center"/>
    </xf>
    <xf numFmtId="196" fontId="244" fillId="123" borderId="798" xfId="140" applyNumberFormat="1" applyFont="1" applyFill="1" applyBorder="1" applyAlignment="1">
      <alignment vertical="center"/>
    </xf>
    <xf numFmtId="196" fontId="244" fillId="123" borderId="790" xfId="140" applyNumberFormat="1" applyFont="1" applyFill="1" applyBorder="1" applyAlignment="1">
      <alignment vertical="center"/>
    </xf>
    <xf numFmtId="196" fontId="244" fillId="123" borderId="754" xfId="140" applyNumberFormat="1" applyFont="1" applyFill="1" applyBorder="1" applyAlignment="1">
      <alignment vertical="center"/>
    </xf>
    <xf numFmtId="196" fontId="244" fillId="123" borderId="744" xfId="140" applyNumberFormat="1" applyFont="1" applyFill="1" applyBorder="1" applyAlignment="1">
      <alignment vertical="center"/>
    </xf>
    <xf numFmtId="0" fontId="246" fillId="123" borderId="815" xfId="140" applyFont="1" applyFill="1" applyBorder="1" applyAlignment="1">
      <alignment horizontal="distributed" vertical="center"/>
    </xf>
    <xf numFmtId="196" fontId="244" fillId="123" borderId="804" xfId="140" applyNumberFormat="1" applyFont="1" applyFill="1" applyBorder="1" applyAlignment="1">
      <alignment vertical="center"/>
    </xf>
    <xf numFmtId="196" fontId="244" fillId="123" borderId="789" xfId="140" applyNumberFormat="1" applyFont="1" applyFill="1" applyBorder="1" applyAlignment="1">
      <alignment vertical="center"/>
    </xf>
    <xf numFmtId="196" fontId="244" fillId="123" borderId="734" xfId="140" applyNumberFormat="1" applyFont="1" applyFill="1" applyBorder="1" applyAlignment="1">
      <alignment vertical="center"/>
    </xf>
    <xf numFmtId="196" fontId="244" fillId="123" borderId="788" xfId="140" applyNumberFormat="1" applyFont="1" applyFill="1" applyBorder="1" applyAlignment="1">
      <alignment vertical="center"/>
    </xf>
    <xf numFmtId="200" fontId="243" fillId="108" borderId="908" xfId="140" applyNumberFormat="1" applyFont="1" applyFill="1" applyBorder="1" applyAlignment="1">
      <alignment vertical="center"/>
    </xf>
    <xf numFmtId="200" fontId="256" fillId="108" borderId="908" xfId="140" applyNumberFormat="1" applyFont="1" applyFill="1" applyBorder="1" applyAlignment="1">
      <alignment vertical="center"/>
    </xf>
    <xf numFmtId="200" fontId="243" fillId="108" borderId="912" xfId="140" applyNumberFormat="1" applyFont="1" applyFill="1" applyBorder="1" applyAlignment="1">
      <alignment vertical="center"/>
    </xf>
    <xf numFmtId="200" fontId="243" fillId="123" borderId="725" xfId="140" applyNumberFormat="1" applyFont="1" applyFill="1"/>
    <xf numFmtId="200" fontId="243" fillId="123" borderId="725" xfId="140" applyNumberFormat="1" applyFont="1" applyFill="1" applyAlignment="1">
      <alignment horizontal="center"/>
    </xf>
    <xf numFmtId="200" fontId="243" fillId="123" borderId="748" xfId="140" applyNumberFormat="1" applyFont="1" applyFill="1" applyBorder="1" applyAlignment="1">
      <alignment horizontal="center" vertical="top"/>
    </xf>
    <xf numFmtId="200" fontId="243" fillId="123" borderId="725" xfId="140" applyNumberFormat="1" applyFont="1" applyFill="1" applyBorder="1" applyAlignment="1">
      <alignment horizontal="center" vertical="top" wrapText="1"/>
    </xf>
    <xf numFmtId="200" fontId="243" fillId="123" borderId="811" xfId="140" applyNumberFormat="1" applyFont="1" applyFill="1" applyBorder="1" applyAlignment="1">
      <alignment horizontal="center" vertical="center"/>
    </xf>
    <xf numFmtId="200" fontId="244" fillId="123" borderId="778" xfId="140" applyNumberFormat="1" applyFont="1" applyFill="1" applyBorder="1" applyAlignment="1">
      <alignment vertical="center"/>
    </xf>
    <xf numFmtId="200" fontId="244" fillId="123" borderId="828" xfId="140" applyNumberFormat="1" applyFont="1" applyFill="1" applyBorder="1" applyAlignment="1">
      <alignment vertical="center"/>
    </xf>
    <xf numFmtId="200" fontId="244" fillId="123" borderId="908" xfId="140" applyNumberFormat="1" applyFont="1" applyFill="1" applyBorder="1" applyAlignment="1">
      <alignment vertical="center"/>
    </xf>
    <xf numFmtId="200" fontId="249" fillId="123" borderId="908" xfId="140" applyNumberFormat="1" applyFont="1" applyFill="1" applyBorder="1" applyAlignment="1">
      <alignment vertical="center"/>
    </xf>
    <xf numFmtId="200" fontId="249" fillId="123" borderId="824" xfId="140" applyNumberFormat="1" applyFont="1" applyFill="1" applyBorder="1" applyAlignment="1">
      <alignment vertical="center"/>
    </xf>
    <xf numFmtId="200" fontId="243" fillId="123" borderId="748" xfId="140" applyNumberFormat="1" applyFont="1" applyFill="1" applyBorder="1" applyAlignment="1">
      <alignment vertical="center"/>
    </xf>
    <xf numFmtId="200" fontId="244" fillId="123" borderId="730" xfId="140" applyNumberFormat="1" applyFont="1" applyFill="1" applyBorder="1" applyAlignment="1">
      <alignment vertical="center"/>
    </xf>
    <xf numFmtId="200" fontId="243" fillId="123" borderId="725" xfId="140" applyNumberFormat="1" applyFont="1" applyFill="1" applyBorder="1" applyAlignment="1">
      <alignment vertical="center"/>
    </xf>
    <xf numFmtId="200" fontId="244" fillId="123" borderId="748" xfId="140" applyNumberFormat="1" applyFont="1" applyFill="1" applyBorder="1" applyAlignment="1">
      <alignment vertical="center"/>
    </xf>
    <xf numFmtId="200" fontId="244" fillId="123" borderId="907" xfId="140" applyNumberFormat="1" applyFont="1" applyFill="1" applyBorder="1" applyAlignment="1">
      <alignment vertical="center"/>
    </xf>
    <xf numFmtId="200" fontId="249" fillId="123" borderId="912" xfId="140" applyNumberFormat="1" applyFont="1" applyFill="1" applyBorder="1" applyAlignment="1">
      <alignment vertical="center"/>
    </xf>
    <xf numFmtId="200" fontId="244" fillId="123" borderId="932" xfId="140" applyNumberFormat="1" applyFont="1" applyFill="1" applyBorder="1" applyAlignment="1">
      <alignment vertical="center"/>
    </xf>
    <xf numFmtId="200" fontId="244" fillId="123" borderId="834" xfId="140" applyNumberFormat="1" applyFont="1" applyFill="1" applyBorder="1" applyAlignment="1">
      <alignment vertical="center"/>
    </xf>
    <xf numFmtId="0" fontId="243" fillId="108" borderId="849" xfId="140" applyFont="1" applyBorder="1" applyAlignment="1">
      <alignment horizontal="right" vertical="center"/>
    </xf>
    <xf numFmtId="196" fontId="244" fillId="123" borderId="730" xfId="140" applyNumberFormat="1" applyFont="1" applyFill="1" applyBorder="1" applyAlignment="1">
      <alignment horizontal="right" vertical="center" shrinkToFit="1"/>
    </xf>
    <xf numFmtId="197" fontId="244" fillId="123" borderId="888" xfId="140" applyNumberFormat="1" applyFont="1" applyFill="1" applyBorder="1" applyAlignment="1">
      <alignment horizontal="right" vertical="center" shrinkToFit="1"/>
    </xf>
    <xf numFmtId="196" fontId="244" fillId="123" borderId="725" xfId="140" applyNumberFormat="1" applyFont="1" applyFill="1" applyBorder="1" applyAlignment="1">
      <alignment horizontal="right" vertical="center" shrinkToFit="1"/>
    </xf>
    <xf numFmtId="197" fontId="244" fillId="123" borderId="867" xfId="140" applyNumberFormat="1" applyFont="1" applyFill="1" applyBorder="1" applyAlignment="1">
      <alignment horizontal="right" vertical="center" shrinkToFit="1"/>
    </xf>
    <xf numFmtId="196" fontId="243" fillId="123" borderId="725" xfId="140" applyNumberFormat="1" applyFont="1" applyFill="1" applyAlignment="1">
      <alignment horizontal="right" vertical="center" shrinkToFit="1"/>
    </xf>
    <xf numFmtId="197" fontId="243" fillId="123" borderId="725" xfId="140" applyNumberFormat="1" applyFont="1" applyFill="1" applyAlignment="1">
      <alignment horizontal="right" vertical="center" shrinkToFit="1"/>
    </xf>
    <xf numFmtId="196" fontId="244" fillId="123" borderId="932" xfId="140" applyNumberFormat="1" applyFont="1" applyFill="1" applyBorder="1" applyAlignment="1">
      <alignment horizontal="right" vertical="center" shrinkToFit="1"/>
    </xf>
    <xf numFmtId="197" fontId="244" fillId="123" borderId="896" xfId="140" applyNumberFormat="1" applyFont="1" applyFill="1" applyBorder="1" applyAlignment="1">
      <alignment horizontal="right" vertical="center" shrinkToFit="1"/>
    </xf>
    <xf numFmtId="196" fontId="244" fillId="123" borderId="908" xfId="140" applyNumberFormat="1" applyFont="1" applyFill="1" applyBorder="1" applyAlignment="1">
      <alignment horizontal="right" vertical="center" shrinkToFit="1"/>
    </xf>
    <xf numFmtId="196" fontId="244" fillId="123" borderId="824" xfId="140" applyNumberFormat="1" applyFont="1" applyFill="1" applyBorder="1" applyAlignment="1">
      <alignment horizontal="right" vertical="center" shrinkToFit="1"/>
    </xf>
    <xf numFmtId="197" fontId="244" fillId="123" borderId="875" xfId="140" applyNumberFormat="1" applyFont="1" applyFill="1" applyBorder="1" applyAlignment="1">
      <alignment horizontal="right" vertical="center" shrinkToFit="1"/>
    </xf>
    <xf numFmtId="196" fontId="244" fillId="123" borderId="912" xfId="140" applyNumberFormat="1" applyFont="1" applyFill="1" applyBorder="1" applyAlignment="1">
      <alignment horizontal="right" vertical="center" shrinkToFit="1"/>
    </xf>
    <xf numFmtId="197" fontId="244" fillId="123" borderId="883" xfId="140" applyNumberFormat="1" applyFont="1" applyFill="1" applyBorder="1" applyAlignment="1">
      <alignment horizontal="right" vertical="center" shrinkToFit="1"/>
    </xf>
    <xf numFmtId="196" fontId="244" fillId="123" borderId="748" xfId="140" applyNumberFormat="1" applyFont="1" applyFill="1" applyBorder="1" applyAlignment="1">
      <alignment horizontal="right" vertical="center" shrinkToFit="1"/>
    </xf>
    <xf numFmtId="197" fontId="244" fillId="123" borderId="918" xfId="140" applyNumberFormat="1" applyFont="1" applyFill="1" applyBorder="1" applyAlignment="1">
      <alignment horizontal="right" vertical="center" shrinkToFit="1"/>
    </xf>
    <xf numFmtId="196" fontId="244" fillId="123" borderId="834" xfId="140" applyNumberFormat="1" applyFont="1" applyFill="1" applyBorder="1" applyAlignment="1">
      <alignment horizontal="right" vertical="center" shrinkToFit="1"/>
    </xf>
    <xf numFmtId="197" fontId="244" fillId="123" borderId="930" xfId="140" applyNumberFormat="1" applyFont="1" applyFill="1" applyBorder="1" applyAlignment="1">
      <alignment horizontal="right" vertical="center" shrinkToFit="1"/>
    </xf>
    <xf numFmtId="195" fontId="246" fillId="108" borderId="730" xfId="140" applyNumberFormat="1" applyFont="1" applyBorder="1" applyAlignment="1">
      <alignment vertical="center"/>
    </xf>
    <xf numFmtId="195" fontId="243" fillId="108" borderId="730" xfId="140" applyNumberFormat="1" applyFont="1" applyBorder="1" applyAlignment="1">
      <alignment vertical="center"/>
    </xf>
    <xf numFmtId="195" fontId="243" fillId="108" borderId="730" xfId="140" applyNumberFormat="1" applyFont="1" applyFill="1" applyBorder="1" applyAlignment="1">
      <alignment vertical="center"/>
    </xf>
    <xf numFmtId="196" fontId="243" fillId="108" borderId="730" xfId="140" applyNumberFormat="1" applyFont="1" applyFill="1" applyBorder="1" applyAlignment="1">
      <alignment vertical="center"/>
    </xf>
    <xf numFmtId="196" fontId="243" fillId="108" borderId="730" xfId="140" applyNumberFormat="1" applyFont="1" applyBorder="1" applyAlignment="1">
      <alignment horizontal="right" vertical="center" shrinkToFit="1"/>
    </xf>
    <xf numFmtId="197" fontId="243" fillId="108" borderId="730" xfId="140" applyNumberFormat="1" applyFont="1" applyBorder="1" applyAlignment="1">
      <alignment horizontal="right" vertical="center" shrinkToFit="1"/>
    </xf>
    <xf numFmtId="197" fontId="244" fillId="108" borderId="920" xfId="140" applyNumberFormat="1" applyFont="1" applyBorder="1" applyAlignment="1">
      <alignment horizontal="right" vertical="center" shrinkToFit="1"/>
    </xf>
    <xf numFmtId="197" fontId="244" fillId="108" borderId="862" xfId="140" applyNumberFormat="1" applyFont="1" applyBorder="1" applyAlignment="1">
      <alignment horizontal="right" vertical="center" shrinkToFit="1"/>
    </xf>
    <xf numFmtId="197" fontId="244" fillId="108" borderId="923" xfId="140" applyNumberFormat="1" applyFont="1" applyBorder="1" applyAlignment="1">
      <alignment horizontal="right" vertical="center" shrinkToFit="1"/>
    </xf>
    <xf numFmtId="196" fontId="244" fillId="108" borderId="742" xfId="140" applyNumberFormat="1" applyFont="1" applyBorder="1" applyAlignment="1">
      <alignment horizontal="right" vertical="center" shrinkToFit="1"/>
    </xf>
    <xf numFmtId="196" fontId="244" fillId="108" borderId="1010" xfId="140" applyNumberFormat="1" applyFont="1" applyBorder="1" applyAlignment="1">
      <alignment horizontal="right" vertical="center" shrinkToFit="1"/>
    </xf>
    <xf numFmtId="196" fontId="244" fillId="108" borderId="949" xfId="140" applyNumberFormat="1" applyFont="1" applyBorder="1" applyAlignment="1">
      <alignment horizontal="right" vertical="center" shrinkToFit="1"/>
    </xf>
    <xf numFmtId="196" fontId="244" fillId="108" borderId="950" xfId="140" applyNumberFormat="1" applyFont="1" applyBorder="1" applyAlignment="1">
      <alignment horizontal="right" vertical="center" shrinkToFit="1"/>
    </xf>
    <xf numFmtId="196" fontId="244" fillId="108" borderId="728" xfId="140" applyNumberFormat="1" applyFont="1" applyBorder="1" applyAlignment="1">
      <alignment horizontal="right" vertical="center" shrinkToFit="1"/>
    </xf>
    <xf numFmtId="0" fontId="243" fillId="108" borderId="1007" xfId="140" applyFont="1" applyBorder="1" applyAlignment="1">
      <alignment horizontal="right" vertical="center"/>
    </xf>
    <xf numFmtId="196" fontId="244" fillId="108" borderId="753" xfId="140" applyNumberFormat="1" applyFont="1" applyBorder="1" applyAlignment="1">
      <alignment horizontal="right" vertical="center" shrinkToFit="1"/>
    </xf>
    <xf numFmtId="196" fontId="244" fillId="108" borderId="829" xfId="140" applyNumberFormat="1" applyFont="1" applyBorder="1" applyAlignment="1">
      <alignment horizontal="right" vertical="center" shrinkToFit="1"/>
    </xf>
    <xf numFmtId="196" fontId="244" fillId="108" borderId="750" xfId="140" applyNumberFormat="1" applyFont="1" applyBorder="1" applyAlignment="1">
      <alignment horizontal="right" vertical="center" shrinkToFit="1"/>
    </xf>
    <xf numFmtId="0" fontId="243" fillId="108" borderId="907" xfId="140" applyFont="1" applyBorder="1" applyAlignment="1">
      <alignment horizontal="right" vertical="center"/>
    </xf>
    <xf numFmtId="0" fontId="243" fillId="108" borderId="1014" xfId="140" applyFont="1" applyBorder="1" applyAlignment="1">
      <alignment horizontal="right" vertical="center"/>
    </xf>
    <xf numFmtId="197" fontId="244" fillId="108" borderId="1046" xfId="140" applyNumberFormat="1" applyFont="1" applyBorder="1" applyAlignment="1">
      <alignment horizontal="right" vertical="center" shrinkToFit="1"/>
    </xf>
    <xf numFmtId="197" fontId="244" fillId="108" borderId="854" xfId="140" applyNumberFormat="1" applyFont="1" applyBorder="1" applyAlignment="1">
      <alignment horizontal="right" vertical="center" shrinkToFit="1"/>
    </xf>
    <xf numFmtId="196" fontId="244" fillId="108" borderId="806" xfId="140" applyNumberFormat="1" applyFont="1" applyFill="1" applyBorder="1" applyAlignment="1">
      <alignment vertical="center" shrinkToFit="1"/>
    </xf>
    <xf numFmtId="196" fontId="244" fillId="108" borderId="776" xfId="140" applyNumberFormat="1" applyFont="1" applyFill="1" applyBorder="1" applyAlignment="1">
      <alignment vertical="center" shrinkToFit="1"/>
    </xf>
    <xf numFmtId="196" fontId="244" fillId="108" borderId="742" xfId="140" applyNumberFormat="1" applyFont="1" applyFill="1" applyBorder="1" applyAlignment="1">
      <alignment vertical="center" shrinkToFit="1"/>
    </xf>
    <xf numFmtId="195" fontId="244" fillId="108" borderId="933" xfId="140" applyNumberFormat="1" applyFont="1" applyFill="1" applyBorder="1" applyAlignment="1">
      <alignment vertical="center" shrinkToFit="1"/>
    </xf>
    <xf numFmtId="195" fontId="244" fillId="108" borderId="934" xfId="140" applyNumberFormat="1" applyFont="1" applyFill="1" applyBorder="1" applyAlignment="1">
      <alignment vertical="center" shrinkToFit="1"/>
    </xf>
    <xf numFmtId="195" fontId="244" fillId="108" borderId="829" xfId="140" applyNumberFormat="1" applyFont="1" applyFill="1" applyBorder="1" applyAlignment="1">
      <alignment vertical="center" shrinkToFit="1"/>
    </xf>
    <xf numFmtId="195" fontId="244" fillId="108" borderId="935" xfId="140" applyNumberFormat="1" applyFont="1" applyFill="1" applyBorder="1" applyAlignment="1">
      <alignment vertical="center" shrinkToFit="1"/>
    </xf>
    <xf numFmtId="195" fontId="244" fillId="108" borderId="931" xfId="140" applyNumberFormat="1" applyFont="1" applyFill="1" applyBorder="1" applyAlignment="1">
      <alignment vertical="center" shrinkToFit="1"/>
    </xf>
    <xf numFmtId="195" fontId="244" fillId="108" borderId="949" xfId="140" applyNumberFormat="1" applyFont="1" applyFill="1" applyBorder="1" applyAlignment="1">
      <alignment vertical="center" shrinkToFit="1"/>
    </xf>
    <xf numFmtId="195" fontId="249" fillId="108" borderId="935" xfId="140" applyNumberFormat="1" applyFont="1" applyFill="1" applyBorder="1" applyAlignment="1">
      <alignment vertical="center" shrinkToFit="1"/>
    </xf>
    <xf numFmtId="196" fontId="243" fillId="110" borderId="931" xfId="140" applyNumberFormat="1" applyFont="1" applyFill="1" applyBorder="1" applyAlignment="1">
      <alignment vertical="center" shrinkToFit="1"/>
    </xf>
    <xf numFmtId="196" fontId="249" fillId="108" borderId="931" xfId="140" applyNumberFormat="1" applyFont="1" applyFill="1" applyBorder="1" applyAlignment="1">
      <alignment vertical="center" shrinkToFit="1"/>
    </xf>
    <xf numFmtId="196" fontId="243" fillId="110" borderId="949" xfId="140" applyNumberFormat="1" applyFont="1" applyFill="1" applyBorder="1" applyAlignment="1">
      <alignment vertical="center" shrinkToFit="1"/>
    </xf>
    <xf numFmtId="196" fontId="249" fillId="108" borderId="935" xfId="140" applyNumberFormat="1" applyFont="1" applyFill="1" applyBorder="1" applyAlignment="1">
      <alignment vertical="center" shrinkToFit="1"/>
    </xf>
    <xf numFmtId="196" fontId="256" fillId="108" borderId="935" xfId="140" applyNumberFormat="1" applyFont="1" applyFill="1" applyBorder="1" applyAlignment="1">
      <alignment vertical="center" shrinkToFit="1"/>
    </xf>
    <xf numFmtId="196" fontId="243" fillId="108" borderId="931" xfId="140" applyNumberFormat="1" applyFont="1" applyFill="1" applyBorder="1" applyAlignment="1">
      <alignment vertical="center" shrinkToFit="1"/>
    </xf>
    <xf numFmtId="196" fontId="256" fillId="108" borderId="931" xfId="140" applyNumberFormat="1" applyFont="1" applyFill="1" applyBorder="1" applyAlignment="1">
      <alignment vertical="center" shrinkToFit="1"/>
    </xf>
    <xf numFmtId="195" fontId="256" fillId="108" borderId="935" xfId="140" applyNumberFormat="1" applyFont="1" applyFill="1" applyBorder="1" applyAlignment="1">
      <alignment vertical="center" shrinkToFit="1"/>
    </xf>
    <xf numFmtId="196" fontId="244" fillId="108" borderId="931" xfId="140" applyNumberFormat="1" applyFont="1" applyFill="1" applyBorder="1" applyAlignment="1">
      <alignment vertical="center" shrinkToFit="1"/>
    </xf>
    <xf numFmtId="196" fontId="244" fillId="108" borderId="949" xfId="140" applyNumberFormat="1" applyFont="1" applyFill="1" applyBorder="1" applyAlignment="1">
      <alignment vertical="center" shrinkToFit="1"/>
    </xf>
    <xf numFmtId="195" fontId="243" fillId="108" borderId="935" xfId="140" applyNumberFormat="1" applyFont="1" applyFill="1" applyBorder="1" applyAlignment="1">
      <alignment vertical="center" shrinkToFit="1"/>
    </xf>
    <xf numFmtId="196" fontId="249" fillId="108" borderId="949" xfId="140" applyNumberFormat="1" applyFont="1" applyFill="1" applyBorder="1" applyAlignment="1">
      <alignment vertical="center" shrinkToFit="1"/>
    </xf>
    <xf numFmtId="196" fontId="244" fillId="108" borderId="935" xfId="140" applyNumberFormat="1" applyFont="1" applyFill="1" applyBorder="1" applyAlignment="1">
      <alignment vertical="center" shrinkToFit="1"/>
    </xf>
    <xf numFmtId="195" fontId="258" fillId="110" borderId="935" xfId="140" applyNumberFormat="1" applyFont="1" applyFill="1" applyBorder="1" applyAlignment="1">
      <alignment vertical="center" shrinkToFit="1"/>
    </xf>
    <xf numFmtId="196" fontId="243" fillId="110" borderId="937" xfId="140" applyNumberFormat="1" applyFont="1" applyFill="1" applyBorder="1" applyAlignment="1">
      <alignment vertical="center" shrinkToFit="1"/>
    </xf>
    <xf numFmtId="196" fontId="249" fillId="108" borderId="937" xfId="140" applyNumberFormat="1" applyFont="1" applyFill="1" applyBorder="1" applyAlignment="1">
      <alignment vertical="center" shrinkToFit="1"/>
    </xf>
    <xf numFmtId="196" fontId="243" fillId="110" borderId="825" xfId="140" applyNumberFormat="1" applyFont="1" applyFill="1" applyBorder="1" applyAlignment="1">
      <alignment vertical="center" shrinkToFit="1"/>
    </xf>
    <xf numFmtId="195" fontId="258" fillId="110" borderId="938" xfId="140" applyNumberFormat="1" applyFont="1" applyFill="1" applyBorder="1" applyAlignment="1">
      <alignment vertical="center" shrinkToFit="1"/>
    </xf>
    <xf numFmtId="196" fontId="243" fillId="110" borderId="939" xfId="140" applyNumberFormat="1" applyFont="1" applyFill="1" applyBorder="1" applyAlignment="1">
      <alignment vertical="center" shrinkToFit="1"/>
    </xf>
    <xf numFmtId="196" fontId="243" fillId="108" borderId="939" xfId="140" applyNumberFormat="1" applyFont="1" applyFill="1" applyBorder="1" applyAlignment="1">
      <alignment vertical="center" shrinkToFit="1"/>
    </xf>
    <xf numFmtId="196" fontId="243" fillId="110" borderId="950" xfId="140" applyNumberFormat="1" applyFont="1" applyFill="1" applyBorder="1" applyAlignment="1">
      <alignment vertical="center" shrinkToFit="1"/>
    </xf>
    <xf numFmtId="198" fontId="244" fillId="108" borderId="786" xfId="140" applyNumberFormat="1" applyFont="1" applyFill="1" applyBorder="1" applyAlignment="1">
      <alignment vertical="center" shrinkToFit="1"/>
    </xf>
    <xf numFmtId="198" fontId="244" fillId="108" borderId="729" xfId="140" applyNumberFormat="1" applyFont="1" applyFill="1" applyBorder="1" applyAlignment="1">
      <alignment vertical="center" shrinkToFit="1"/>
    </xf>
    <xf numFmtId="196" fontId="244" fillId="108" borderId="728" xfId="140" applyNumberFormat="1" applyFont="1" applyFill="1" applyBorder="1" applyAlignment="1">
      <alignment vertical="center" shrinkToFit="1"/>
    </xf>
    <xf numFmtId="196" fontId="243" fillId="108" borderId="725" xfId="140" applyNumberFormat="1" applyFont="1" applyFill="1" applyAlignment="1">
      <alignment vertical="center" shrinkToFit="1"/>
    </xf>
    <xf numFmtId="196" fontId="243" fillId="108" borderId="725" xfId="140" applyNumberFormat="1" applyFont="1" applyFill="1" applyAlignment="1">
      <alignment horizontal="right" vertical="center" shrinkToFit="1"/>
    </xf>
    <xf numFmtId="195" fontId="244" fillId="108" borderId="790" xfId="140" applyNumberFormat="1" applyFont="1" applyFill="1" applyBorder="1" applyAlignment="1">
      <alignment vertical="center" shrinkToFit="1"/>
    </xf>
    <xf numFmtId="195" fontId="244" fillId="108" borderId="754" xfId="140" applyNumberFormat="1" applyFont="1" applyFill="1" applyBorder="1" applyAlignment="1">
      <alignment vertical="center" shrinkToFit="1"/>
    </xf>
    <xf numFmtId="196" fontId="244" fillId="108" borderId="754" xfId="140" applyNumberFormat="1" applyFont="1" applyFill="1" applyBorder="1" applyAlignment="1">
      <alignment vertical="center" shrinkToFit="1"/>
    </xf>
    <xf numFmtId="196" fontId="244" fillId="108" borderId="753" xfId="140" applyNumberFormat="1" applyFont="1" applyFill="1" applyBorder="1" applyAlignment="1">
      <alignment vertical="center" shrinkToFit="1"/>
    </xf>
    <xf numFmtId="195" fontId="244" fillId="108" borderId="1043" xfId="140" applyNumberFormat="1" applyFont="1" applyFill="1" applyBorder="1" applyAlignment="1">
      <alignment vertical="center" shrinkToFit="1"/>
    </xf>
    <xf numFmtId="195" fontId="244" fillId="108" borderId="1044" xfId="140" applyNumberFormat="1" applyFont="1" applyFill="1" applyBorder="1" applyAlignment="1">
      <alignment vertical="center" shrinkToFit="1"/>
    </xf>
    <xf numFmtId="196" fontId="244" fillId="108" borderId="1044" xfId="140" applyNumberFormat="1" applyFont="1" applyFill="1" applyBorder="1" applyAlignment="1">
      <alignment vertical="center" shrinkToFit="1"/>
    </xf>
    <xf numFmtId="196" fontId="244" fillId="108" borderId="1010" xfId="140" applyNumberFormat="1" applyFont="1" applyFill="1" applyBorder="1" applyAlignment="1">
      <alignment vertical="center" shrinkToFit="1"/>
    </xf>
    <xf numFmtId="196" fontId="243" fillId="108" borderId="935" xfId="140" applyNumberFormat="1" applyFont="1" applyFill="1" applyBorder="1" applyAlignment="1">
      <alignment vertical="center" shrinkToFit="1"/>
    </xf>
    <xf numFmtId="196" fontId="243" fillId="108" borderId="949" xfId="140" applyNumberFormat="1" applyFont="1" applyFill="1" applyBorder="1" applyAlignment="1">
      <alignment vertical="center" shrinkToFit="1"/>
    </xf>
    <xf numFmtId="196" fontId="272" fillId="108" borderId="935" xfId="140" applyNumberFormat="1" applyFont="1" applyFill="1" applyBorder="1" applyAlignment="1">
      <alignment vertical="center" shrinkToFit="1"/>
    </xf>
    <xf numFmtId="196" fontId="272" fillId="108" borderId="931" xfId="140" applyNumberFormat="1" applyFont="1" applyFill="1" applyBorder="1" applyAlignment="1">
      <alignment vertical="center" shrinkToFit="1"/>
    </xf>
    <xf numFmtId="196" fontId="257" fillId="108" borderId="935" xfId="140" applyNumberFormat="1" applyFont="1" applyFill="1" applyBorder="1" applyAlignment="1">
      <alignment vertical="center" shrinkToFit="1"/>
    </xf>
    <xf numFmtId="196" fontId="257" fillId="108" borderId="931" xfId="140" applyNumberFormat="1" applyFont="1" applyFill="1" applyBorder="1" applyAlignment="1">
      <alignment vertical="center" shrinkToFit="1"/>
    </xf>
    <xf numFmtId="196" fontId="258" fillId="110" borderId="935" xfId="140" applyNumberFormat="1" applyFont="1" applyFill="1" applyBorder="1" applyAlignment="1">
      <alignment vertical="center" shrinkToFit="1"/>
    </xf>
    <xf numFmtId="196" fontId="258" fillId="110" borderId="931" xfId="140" applyNumberFormat="1" applyFont="1" applyFill="1" applyBorder="1" applyAlignment="1">
      <alignment vertical="center" shrinkToFit="1"/>
    </xf>
    <xf numFmtId="196" fontId="249" fillId="108" borderId="938" xfId="140" applyNumberFormat="1" applyFont="1" applyFill="1" applyBorder="1" applyAlignment="1">
      <alignment vertical="center" shrinkToFit="1"/>
    </xf>
    <xf numFmtId="196" fontId="249" fillId="108" borderId="939" xfId="140" applyNumberFormat="1" applyFont="1" applyFill="1" applyBorder="1" applyAlignment="1">
      <alignment vertical="center" shrinkToFit="1"/>
    </xf>
    <xf numFmtId="196" fontId="243" fillId="108" borderId="933" xfId="140" applyNumberFormat="1" applyFont="1" applyFill="1" applyBorder="1" applyAlignment="1">
      <alignment vertical="center" shrinkToFit="1"/>
    </xf>
    <xf numFmtId="196" fontId="243" fillId="108" borderId="934" xfId="140" applyNumberFormat="1" applyFont="1" applyFill="1" applyBorder="1" applyAlignment="1">
      <alignment vertical="center" shrinkToFit="1"/>
    </xf>
    <xf numFmtId="196" fontId="243" fillId="108" borderId="829" xfId="140" applyNumberFormat="1" applyFont="1" applyFill="1" applyBorder="1" applyAlignment="1">
      <alignment vertical="center" shrinkToFit="1"/>
    </xf>
    <xf numFmtId="196" fontId="243" fillId="108" borderId="787" xfId="140" applyNumberFormat="1" applyFont="1" applyFill="1" applyBorder="1" applyAlignment="1">
      <alignment vertical="center" shrinkToFit="1"/>
    </xf>
    <xf numFmtId="196" fontId="243" fillId="108" borderId="751" xfId="140" applyNumberFormat="1" applyFont="1" applyFill="1" applyBorder="1" applyAlignment="1">
      <alignment vertical="center" shrinkToFit="1"/>
    </xf>
    <xf numFmtId="196" fontId="243" fillId="108" borderId="750" xfId="140" applyNumberFormat="1" applyFont="1" applyFill="1" applyBorder="1" applyAlignment="1">
      <alignment vertical="center" shrinkToFit="1"/>
    </xf>
    <xf numFmtId="14" fontId="243" fillId="108" borderId="725" xfId="140" quotePrefix="1" applyNumberFormat="1" applyFont="1" applyAlignment="1">
      <alignment horizontal="right"/>
    </xf>
    <xf numFmtId="195" fontId="246" fillId="108" borderId="777" xfId="140" applyNumberFormat="1" applyFont="1" applyFill="1" applyBorder="1" applyAlignment="1">
      <alignment horizontal="centerContinuous" vertical="center"/>
    </xf>
    <xf numFmtId="0" fontId="246" fillId="108" borderId="761" xfId="140" applyFont="1" applyBorder="1" applyAlignment="1">
      <alignment horizontal="centerContinuous" vertical="center"/>
    </xf>
    <xf numFmtId="195" fontId="246" fillId="108" borderId="725" xfId="140" applyNumberFormat="1" applyFont="1" applyFill="1" applyBorder="1" applyAlignment="1">
      <alignment horizontal="centerContinuous" vertical="center"/>
    </xf>
    <xf numFmtId="0" fontId="246" fillId="108" borderId="802" xfId="140" applyFont="1" applyBorder="1" applyAlignment="1">
      <alignment horizontal="centerContinuous" vertical="center"/>
    </xf>
    <xf numFmtId="0" fontId="201" fillId="108" borderId="725" xfId="131" applyFont="1" applyFill="1" applyBorder="1" applyAlignment="1">
      <alignment horizontal="center" vertical="center"/>
    </xf>
    <xf numFmtId="0" fontId="201" fillId="108" borderId="742" xfId="131" applyFont="1" applyFill="1" applyBorder="1" applyAlignment="1">
      <alignment vertical="center"/>
    </xf>
    <xf numFmtId="0" fontId="201" fillId="108" borderId="730" xfId="131" applyBorder="1"/>
    <xf numFmtId="0" fontId="201" fillId="108" borderId="730" xfId="131" applyFont="1" applyFill="1" applyBorder="1"/>
    <xf numFmtId="189" fontId="201" fillId="108" borderId="730" xfId="131" applyNumberFormat="1" applyFont="1" applyFill="1" applyBorder="1"/>
    <xf numFmtId="190" fontId="201" fillId="108" borderId="730" xfId="131" applyNumberFormat="1" applyFont="1" applyFill="1" applyBorder="1" applyAlignment="1">
      <alignment horizontal="center"/>
    </xf>
    <xf numFmtId="0" fontId="201" fillId="108" borderId="730" xfId="131" applyFont="1" applyFill="1" applyBorder="1" applyAlignment="1">
      <alignment horizontal="center"/>
    </xf>
    <xf numFmtId="38" fontId="201" fillId="108" borderId="797" xfId="132" applyFont="1" applyBorder="1" applyAlignment="1">
      <alignment vertical="center"/>
    </xf>
    <xf numFmtId="38" fontId="201" fillId="108" borderId="739" xfId="132" applyFont="1" applyBorder="1" applyAlignment="1">
      <alignment vertical="center"/>
    </xf>
    <xf numFmtId="38" fontId="201" fillId="108" borderId="733" xfId="132" applyFont="1" applyBorder="1" applyAlignment="1">
      <alignment vertical="center"/>
    </xf>
    <xf numFmtId="38" fontId="221" fillId="108" borderId="750" xfId="132" applyFont="1" applyBorder="1" applyAlignment="1">
      <alignment vertical="center"/>
    </xf>
    <xf numFmtId="0" fontId="201" fillId="108" borderId="738" xfId="131" applyBorder="1" applyAlignment="1">
      <alignment horizontal="center" vertical="center"/>
    </xf>
    <xf numFmtId="189" fontId="221" fillId="108" borderId="743" xfId="131" applyNumberFormat="1" applyFont="1" applyBorder="1" applyAlignment="1">
      <alignment vertical="center"/>
    </xf>
    <xf numFmtId="189" fontId="221" fillId="108" borderId="743" xfId="132" applyNumberFormat="1" applyFont="1" applyBorder="1" applyAlignment="1">
      <alignment vertical="center"/>
    </xf>
    <xf numFmtId="0" fontId="201" fillId="108" borderId="738" xfId="131" applyBorder="1" applyAlignment="1">
      <alignment horizontal="center"/>
    </xf>
    <xf numFmtId="0" fontId="201" fillId="108" borderId="748" xfId="131" applyBorder="1"/>
    <xf numFmtId="0" fontId="204" fillId="108" borderId="783" xfId="131" applyFont="1" applyFill="1" applyBorder="1" applyAlignment="1">
      <alignment horizontal="center" vertical="center"/>
    </xf>
    <xf numFmtId="0" fontId="211" fillId="108" borderId="740" xfId="147" applyFont="1" applyFill="1" applyBorder="1" applyAlignment="1">
      <alignment horizontal="center" vertical="center" wrapText="1"/>
    </xf>
    <xf numFmtId="0" fontId="263" fillId="108" borderId="725" xfId="147" applyFont="1" applyFill="1" applyBorder="1" applyAlignment="1">
      <alignment horizontal="right"/>
    </xf>
    <xf numFmtId="0" fontId="207" fillId="108" borderId="725" xfId="131" applyFont="1" applyAlignment="1">
      <alignment horizontal="center" vertical="center"/>
    </xf>
    <xf numFmtId="0" fontId="215" fillId="108" borderId="744" xfId="131" applyFont="1" applyFill="1" applyBorder="1" applyAlignment="1">
      <alignment horizontal="left" vertical="center" wrapText="1"/>
    </xf>
    <xf numFmtId="0" fontId="215" fillId="108" borderId="738" xfId="131" applyFont="1" applyFill="1" applyBorder="1" applyAlignment="1">
      <alignment horizontal="left" vertical="center" wrapText="1"/>
    </xf>
    <xf numFmtId="0" fontId="215" fillId="108" borderId="732" xfId="131" applyFont="1" applyFill="1" applyBorder="1" applyAlignment="1">
      <alignment horizontal="left" vertical="center" wrapText="1"/>
    </xf>
    <xf numFmtId="0" fontId="201" fillId="108" borderId="725" xfId="131" applyFont="1" applyFill="1" applyBorder="1" applyAlignment="1">
      <alignment horizontal="distributed" vertical="top" wrapText="1"/>
    </xf>
    <xf numFmtId="0" fontId="201" fillId="108" borderId="837" xfId="131" applyFont="1" applyFill="1" applyBorder="1" applyAlignment="1">
      <alignment vertical="center"/>
    </xf>
    <xf numFmtId="0" fontId="201" fillId="108" borderId="838" xfId="131" applyFont="1" applyFill="1" applyBorder="1" applyAlignment="1">
      <alignment vertical="center"/>
    </xf>
    <xf numFmtId="0" fontId="201" fillId="108" borderId="839" xfId="131" applyFont="1" applyFill="1" applyBorder="1" applyAlignment="1">
      <alignment vertical="center"/>
    </xf>
    <xf numFmtId="0" fontId="201" fillId="108" borderId="742" xfId="131" applyFont="1" applyFill="1" applyBorder="1" applyAlignment="1">
      <alignment vertical="center"/>
    </xf>
    <xf numFmtId="0" fontId="201" fillId="108" borderId="778" xfId="131" applyFont="1" applyFill="1" applyBorder="1" applyAlignment="1">
      <alignment vertical="center"/>
    </xf>
    <xf numFmtId="0" fontId="201" fillId="108" borderId="741" xfId="131" applyFont="1" applyFill="1" applyBorder="1" applyAlignment="1">
      <alignment vertical="center"/>
    </xf>
    <xf numFmtId="0" fontId="201" fillId="108" borderId="749" xfId="131" applyFont="1" applyFill="1" applyBorder="1" applyAlignment="1">
      <alignment horizontal="distributed" vertical="center" justifyLastLine="1"/>
    </xf>
    <xf numFmtId="0" fontId="201" fillId="108" borderId="748" xfId="131" applyFont="1" applyFill="1" applyBorder="1" applyAlignment="1">
      <alignment horizontal="distributed" vertical="center" justifyLastLine="1"/>
    </xf>
    <xf numFmtId="0" fontId="201" fillId="108" borderId="755" xfId="131" applyFont="1" applyFill="1" applyBorder="1" applyAlignment="1">
      <alignment horizontal="distributed" vertical="center" justifyLastLine="1"/>
    </xf>
    <xf numFmtId="0" fontId="201" fillId="108" borderId="737" xfId="131" applyFont="1" applyFill="1" applyBorder="1" applyAlignment="1">
      <alignment horizontal="distributed" vertical="center" justifyLastLine="1"/>
    </xf>
    <xf numFmtId="0" fontId="201" fillId="108" borderId="736" xfId="131" applyFont="1" applyFill="1" applyBorder="1" applyAlignment="1">
      <alignment horizontal="distributed" vertical="center" justifyLastLine="1"/>
    </xf>
    <xf numFmtId="0" fontId="201" fillId="108" borderId="752" xfId="131" applyFont="1" applyFill="1" applyBorder="1" applyAlignment="1">
      <alignment horizontal="distributed" vertical="center" justifyLastLine="1"/>
    </xf>
    <xf numFmtId="0" fontId="201" fillId="108" borderId="725" xfId="131" applyFont="1" applyFill="1" applyBorder="1" applyAlignment="1">
      <alignment horizontal="center" vertical="center"/>
    </xf>
    <xf numFmtId="0" fontId="218" fillId="108" borderId="736" xfId="131" applyFont="1" applyFill="1" applyBorder="1" applyAlignment="1">
      <alignment horizontal="center" vertical="top"/>
    </xf>
    <xf numFmtId="0" fontId="201" fillId="108" borderId="731" xfId="131" applyFont="1" applyFill="1" applyBorder="1" applyAlignment="1">
      <alignment horizontal="center" vertical="center"/>
    </xf>
    <xf numFmtId="0" fontId="201" fillId="108" borderId="730" xfId="131" applyFont="1" applyFill="1" applyBorder="1" applyAlignment="1">
      <alignment horizontal="center" vertical="center"/>
    </xf>
    <xf numFmtId="0" fontId="201" fillId="108" borderId="836" xfId="131" applyFont="1" applyFill="1" applyBorder="1" applyAlignment="1">
      <alignment horizontal="center" vertical="center"/>
    </xf>
    <xf numFmtId="0" fontId="201" fillId="108" borderId="744" xfId="131" applyFont="1" applyFill="1" applyBorder="1" applyAlignment="1">
      <alignment horizontal="distributed" vertical="center" justifyLastLine="1"/>
    </xf>
    <xf numFmtId="0" fontId="201" fillId="108" borderId="732" xfId="131" applyFont="1" applyFill="1" applyBorder="1" applyAlignment="1">
      <alignment horizontal="distributed" vertical="center" justifyLastLine="1"/>
    </xf>
    <xf numFmtId="189" fontId="201" fillId="108" borderId="754" xfId="132" applyNumberFormat="1" applyFont="1" applyFill="1" applyBorder="1" applyAlignment="1">
      <alignment horizontal="center" vertical="center"/>
    </xf>
    <xf numFmtId="189" fontId="201" fillId="108" borderId="751" xfId="132" applyNumberFormat="1" applyFont="1" applyFill="1" applyBorder="1" applyAlignment="1">
      <alignment horizontal="center" vertical="center"/>
    </xf>
    <xf numFmtId="0" fontId="201" fillId="108" borderId="749" xfId="131" applyFont="1" applyFill="1" applyBorder="1" applyAlignment="1">
      <alignment horizontal="center" vertical="center" wrapText="1"/>
    </xf>
    <xf numFmtId="0" fontId="201" fillId="108" borderId="748" xfId="131" applyFont="1" applyFill="1" applyBorder="1" applyAlignment="1">
      <alignment horizontal="center" vertical="center"/>
    </xf>
    <xf numFmtId="0" fontId="201" fillId="108" borderId="743" xfId="131" applyFont="1" applyFill="1" applyBorder="1" applyAlignment="1">
      <alignment horizontal="center" vertical="center"/>
    </xf>
    <xf numFmtId="0" fontId="201" fillId="108" borderId="737" xfId="131" applyFont="1" applyFill="1" applyBorder="1" applyAlignment="1">
      <alignment horizontal="center" vertical="center"/>
    </xf>
    <xf numFmtId="0" fontId="201" fillId="108" borderId="736" xfId="131" applyFont="1" applyFill="1" applyBorder="1" applyAlignment="1">
      <alignment horizontal="center" vertical="center"/>
    </xf>
    <xf numFmtId="189" fontId="201" fillId="108" borderId="753" xfId="132" applyNumberFormat="1" applyFont="1" applyFill="1" applyBorder="1" applyAlignment="1">
      <alignment horizontal="center" vertical="center"/>
    </xf>
    <xf numFmtId="189" fontId="201" fillId="108" borderId="750" xfId="132" applyNumberFormat="1" applyFont="1" applyFill="1" applyBorder="1" applyAlignment="1">
      <alignment horizontal="center" vertical="center"/>
    </xf>
    <xf numFmtId="0" fontId="214" fillId="108" borderId="725" xfId="131" applyFont="1" applyFill="1" applyAlignment="1">
      <alignment shrinkToFit="1"/>
    </xf>
    <xf numFmtId="0" fontId="201" fillId="108" borderId="745" xfId="131" applyFont="1" applyFill="1" applyBorder="1" applyAlignment="1">
      <alignment horizontal="distributed" vertical="center" justifyLastLine="1"/>
    </xf>
    <xf numFmtId="0" fontId="201" fillId="108" borderId="799" xfId="131" applyFont="1" applyFill="1" applyBorder="1" applyAlignment="1">
      <alignment horizontal="distributed" vertical="center" justifyLastLine="1"/>
    </xf>
    <xf numFmtId="0" fontId="201" fillId="108" borderId="747" xfId="131" applyFont="1" applyFill="1" applyBorder="1" applyAlignment="1">
      <alignment horizontal="distributed" vertical="center" justifyLastLine="1"/>
    </xf>
    <xf numFmtId="0" fontId="201" fillId="108" borderId="742" xfId="131" applyFont="1" applyFill="1" applyBorder="1" applyAlignment="1">
      <alignment horizontal="distributed" vertical="center" justifyLastLine="1"/>
    </xf>
    <xf numFmtId="0" fontId="201" fillId="108" borderId="778" xfId="131" applyFont="1" applyFill="1" applyBorder="1" applyAlignment="1">
      <alignment horizontal="distributed" vertical="center" justifyLastLine="1"/>
    </xf>
    <xf numFmtId="0" fontId="201" fillId="108" borderId="741" xfId="131" applyFont="1" applyFill="1" applyBorder="1" applyAlignment="1">
      <alignment horizontal="distributed" vertical="center" justifyLastLine="1"/>
    </xf>
    <xf numFmtId="0" fontId="201" fillId="108" borderId="766" xfId="131" applyFont="1" applyFill="1" applyBorder="1" applyAlignment="1">
      <alignment horizontal="center" vertical="center"/>
    </xf>
    <xf numFmtId="0" fontId="201" fillId="108" borderId="765" xfId="131" applyFont="1" applyFill="1" applyBorder="1" applyAlignment="1">
      <alignment horizontal="center" vertical="center"/>
    </xf>
    <xf numFmtId="0" fontId="201" fillId="108" borderId="764" xfId="131" applyFont="1" applyFill="1" applyBorder="1" applyAlignment="1">
      <alignment horizontal="center" vertical="center"/>
    </xf>
    <xf numFmtId="0" fontId="201" fillId="108" borderId="761" xfId="131" applyFont="1" applyFill="1" applyBorder="1" applyAlignment="1">
      <alignment horizontal="center" vertical="center"/>
    </xf>
    <xf numFmtId="0" fontId="201" fillId="108" borderId="769" xfId="131" applyFont="1" applyFill="1" applyBorder="1" applyAlignment="1">
      <alignment horizontal="center" vertical="center"/>
    </xf>
    <xf numFmtId="0" fontId="201" fillId="108" borderId="726" xfId="131" applyFont="1" applyFill="1" applyBorder="1" applyAlignment="1">
      <alignment horizontal="center" vertical="center"/>
    </xf>
    <xf numFmtId="0" fontId="201" fillId="108" borderId="768" xfId="131" applyFont="1" applyFill="1" applyBorder="1" applyAlignment="1">
      <alignment horizontal="center" vertical="center"/>
    </xf>
    <xf numFmtId="0" fontId="201" fillId="108" borderId="792" xfId="131" applyFont="1" applyFill="1" applyBorder="1" applyAlignment="1">
      <alignment horizontal="center" vertical="center"/>
    </xf>
    <xf numFmtId="0" fontId="201" fillId="108" borderId="791" xfId="131" applyFont="1" applyFill="1" applyBorder="1" applyAlignment="1">
      <alignment horizontal="center" vertical="center"/>
    </xf>
    <xf numFmtId="0" fontId="201" fillId="108" borderId="835" xfId="131" applyFont="1" applyFill="1" applyBorder="1" applyAlignment="1">
      <alignment horizontal="center" vertical="center"/>
    </xf>
    <xf numFmtId="0" fontId="201" fillId="108" borderId="733" xfId="131" applyFont="1" applyFill="1" applyBorder="1" applyAlignment="1">
      <alignment horizontal="distributed" vertical="center" justifyLastLine="1"/>
    </xf>
    <xf numFmtId="0" fontId="201" fillId="108" borderId="834" xfId="131" applyFont="1" applyFill="1" applyBorder="1" applyAlignment="1">
      <alignment horizontal="distributed" vertical="center" justifyLastLine="1"/>
    </xf>
    <xf numFmtId="0" fontId="201" fillId="108" borderId="735" xfId="131" applyFont="1" applyFill="1" applyBorder="1" applyAlignment="1">
      <alignment horizontal="distributed" vertical="center" justifyLastLine="1"/>
    </xf>
    <xf numFmtId="0" fontId="201" fillId="108" borderId="766" xfId="131" applyFont="1" applyFill="1" applyBorder="1" applyAlignment="1">
      <alignment horizontal="center" vertical="center" justifyLastLine="1"/>
    </xf>
    <xf numFmtId="0" fontId="201" fillId="108" borderId="765" xfId="131" applyFont="1" applyFill="1" applyBorder="1" applyAlignment="1">
      <alignment horizontal="center" vertical="center" justifyLastLine="1"/>
    </xf>
    <xf numFmtId="0" fontId="201" fillId="108" borderId="764" xfId="131" applyFont="1" applyFill="1" applyBorder="1" applyAlignment="1">
      <alignment horizontal="center" vertical="center" justifyLastLine="1"/>
    </xf>
    <xf numFmtId="0" fontId="201" fillId="108" borderId="743" xfId="131" applyFont="1" applyFill="1" applyBorder="1" applyAlignment="1">
      <alignment horizontal="center" vertical="center" justifyLastLine="1"/>
    </xf>
    <xf numFmtId="0" fontId="201" fillId="108" borderId="725" xfId="131" applyFont="1" applyFill="1" applyBorder="1" applyAlignment="1">
      <alignment horizontal="center" vertical="center" justifyLastLine="1"/>
    </xf>
    <xf numFmtId="0" fontId="201" fillId="108" borderId="761" xfId="131" applyFont="1" applyFill="1" applyBorder="1" applyAlignment="1">
      <alignment horizontal="center" vertical="center" justifyLastLine="1"/>
    </xf>
    <xf numFmtId="0" fontId="201" fillId="108" borderId="769" xfId="131" applyFont="1" applyFill="1" applyBorder="1" applyAlignment="1">
      <alignment horizontal="center" vertical="center" justifyLastLine="1"/>
    </xf>
    <xf numFmtId="0" fontId="201" fillId="108" borderId="726" xfId="131" applyFont="1" applyFill="1" applyBorder="1" applyAlignment="1">
      <alignment horizontal="center" vertical="center" justifyLastLine="1"/>
    </xf>
    <xf numFmtId="0" fontId="201" fillId="108" borderId="768" xfId="131" applyFont="1" applyFill="1" applyBorder="1" applyAlignment="1">
      <alignment horizontal="center" vertical="center" justifyLastLine="1"/>
    </xf>
    <xf numFmtId="0" fontId="216" fillId="108" borderId="794" xfId="131" applyFont="1" applyFill="1" applyBorder="1" applyAlignment="1">
      <alignment horizontal="center" vertical="center"/>
    </xf>
    <xf numFmtId="0" fontId="216" fillId="108" borderId="793" xfId="131" applyFont="1" applyFill="1" applyBorder="1" applyAlignment="1">
      <alignment horizontal="center" vertical="center"/>
    </xf>
    <xf numFmtId="0" fontId="216" fillId="108" borderId="997" xfId="131" applyFont="1" applyFill="1" applyBorder="1" applyAlignment="1">
      <alignment horizontal="center" vertical="center"/>
    </xf>
    <xf numFmtId="0" fontId="201" fillId="108" borderId="817" xfId="131" applyFont="1" applyFill="1" applyBorder="1" applyAlignment="1">
      <alignment horizontal="center" vertical="center"/>
    </xf>
    <xf numFmtId="0" fontId="201" fillId="108" borderId="796" xfId="131" applyFont="1" applyFill="1" applyBorder="1" applyAlignment="1">
      <alignment horizontal="center" vertical="center"/>
    </xf>
    <xf numFmtId="0" fontId="201" fillId="108" borderId="843" xfId="131" applyFont="1" applyFill="1" applyBorder="1" applyAlignment="1">
      <alignment horizontal="center" vertical="center"/>
    </xf>
    <xf numFmtId="0" fontId="201" fillId="108" borderId="741" xfId="131" applyFont="1" applyFill="1" applyBorder="1" applyAlignment="1">
      <alignment horizontal="center" vertical="center"/>
    </xf>
    <xf numFmtId="0" fontId="201" fillId="108" borderId="844" xfId="131" applyFont="1" applyFill="1" applyBorder="1" applyAlignment="1">
      <alignment horizontal="center" vertical="center"/>
    </xf>
    <xf numFmtId="0" fontId="201" fillId="108" borderId="735" xfId="131" applyFont="1" applyFill="1" applyBorder="1" applyAlignment="1">
      <alignment horizontal="center" vertical="center"/>
    </xf>
    <xf numFmtId="0" fontId="201" fillId="108" borderId="731" xfId="131" applyFont="1" applyFill="1" applyBorder="1" applyAlignment="1">
      <alignment horizontal="center"/>
    </xf>
    <xf numFmtId="0" fontId="201" fillId="108" borderId="836" xfId="131" applyFont="1" applyFill="1" applyBorder="1" applyAlignment="1">
      <alignment horizontal="center"/>
    </xf>
    <xf numFmtId="0" fontId="201" fillId="108" borderId="792" xfId="131" applyFont="1" applyFill="1" applyBorder="1" applyAlignment="1">
      <alignment horizontal="distributed" vertical="center" justifyLastLine="1"/>
    </xf>
    <xf numFmtId="0" fontId="201" fillId="108" borderId="791" xfId="131" applyFont="1" applyFill="1" applyBorder="1" applyAlignment="1">
      <alignment horizontal="distributed" vertical="center" justifyLastLine="1"/>
    </xf>
    <xf numFmtId="0" fontId="201" fillId="108" borderId="835" xfId="131" applyFont="1" applyFill="1" applyBorder="1" applyAlignment="1">
      <alignment horizontal="distributed" vertical="center" justifyLastLine="1"/>
    </xf>
    <xf numFmtId="0" fontId="201" fillId="108" borderId="740" xfId="131" applyFont="1" applyFill="1" applyBorder="1" applyAlignment="1">
      <alignment vertical="center"/>
    </xf>
    <xf numFmtId="0" fontId="201" fillId="108" borderId="783" xfId="131" applyFont="1" applyFill="1" applyBorder="1" applyAlignment="1">
      <alignment vertical="center"/>
    </xf>
    <xf numFmtId="0" fontId="201" fillId="108" borderId="999" xfId="131" applyFont="1" applyFill="1" applyBorder="1" applyAlignment="1">
      <alignment horizontal="center" vertical="center" justifyLastLine="1"/>
    </xf>
    <xf numFmtId="0" fontId="201" fillId="108" borderId="1000" xfId="131" applyFont="1" applyFill="1" applyBorder="1" applyAlignment="1">
      <alignment horizontal="center" vertical="center" justifyLastLine="1"/>
    </xf>
    <xf numFmtId="0" fontId="201" fillId="108" borderId="1001" xfId="131" applyFont="1" applyFill="1" applyBorder="1" applyAlignment="1">
      <alignment horizontal="center" vertical="center" justifyLastLine="1"/>
    </xf>
    <xf numFmtId="0" fontId="219" fillId="108" borderId="725" xfId="131" applyFont="1" applyFill="1" applyBorder="1" applyAlignment="1">
      <alignment horizontal="center" vertical="top" justifyLastLine="1"/>
    </xf>
    <xf numFmtId="0" fontId="218" fillId="108" borderId="725" xfId="131" applyFont="1" applyFill="1" applyBorder="1" applyAlignment="1">
      <alignment horizontal="center" vertical="top"/>
    </xf>
    <xf numFmtId="0" fontId="201" fillId="108" borderId="842" xfId="131" applyBorder="1" applyAlignment="1">
      <alignment horizontal="center" vertical="center"/>
    </xf>
    <xf numFmtId="0" fontId="201" fillId="108" borderId="747" xfId="131" applyBorder="1" applyAlignment="1">
      <alignment horizontal="center" vertical="center"/>
    </xf>
    <xf numFmtId="0" fontId="201" fillId="108" borderId="843" xfId="131" applyBorder="1" applyAlignment="1">
      <alignment horizontal="center" vertical="center"/>
    </xf>
    <xf numFmtId="0" fontId="201" fillId="108" borderId="741" xfId="131" applyBorder="1" applyAlignment="1">
      <alignment horizontal="center" vertical="center"/>
    </xf>
    <xf numFmtId="0" fontId="201" fillId="108" borderId="844" xfId="131" applyBorder="1" applyAlignment="1">
      <alignment horizontal="center" vertical="center"/>
    </xf>
    <xf numFmtId="0" fontId="201" fillId="108" borderId="735" xfId="131" applyBorder="1" applyAlignment="1">
      <alignment horizontal="center" vertical="center"/>
    </xf>
    <xf numFmtId="0" fontId="201" fillId="108" borderId="731" xfId="131" applyBorder="1" applyAlignment="1">
      <alignment horizontal="center" vertical="center"/>
    </xf>
    <xf numFmtId="0" fontId="201" fillId="108" borderId="836" xfId="131" applyBorder="1" applyAlignment="1">
      <alignment horizontal="center" vertical="center"/>
    </xf>
    <xf numFmtId="0" fontId="201" fillId="108" borderId="731" xfId="131" applyBorder="1" applyAlignment="1">
      <alignment horizontal="distributed" vertical="center" justifyLastLine="1"/>
    </xf>
    <xf numFmtId="0" fontId="201" fillId="108" borderId="730" xfId="131" applyBorder="1" applyAlignment="1">
      <alignment horizontal="distributed" vertical="center" justifyLastLine="1"/>
    </xf>
    <xf numFmtId="0" fontId="201" fillId="108" borderId="836" xfId="131" applyBorder="1" applyAlignment="1">
      <alignment horizontal="distributed" vertical="center" justifyLastLine="1"/>
    </xf>
    <xf numFmtId="0" fontId="201" fillId="108" borderId="736" xfId="131" applyFont="1" applyFill="1" applyBorder="1" applyAlignment="1">
      <alignment horizontal="right"/>
    </xf>
    <xf numFmtId="0" fontId="218" fillId="108" borderId="725" xfId="131" applyFont="1" applyBorder="1" applyAlignment="1">
      <alignment horizontal="center" vertical="top"/>
    </xf>
    <xf numFmtId="0" fontId="201" fillId="108" borderId="745" xfId="131" applyFont="1" applyFill="1" applyBorder="1" applyAlignment="1">
      <alignment horizontal="center" vertical="center" shrinkToFit="1"/>
    </xf>
    <xf numFmtId="0" fontId="201" fillId="108" borderId="799" xfId="131" applyFont="1" applyFill="1" applyBorder="1" applyAlignment="1">
      <alignment horizontal="center" vertical="center" shrinkToFit="1"/>
    </xf>
    <xf numFmtId="0" fontId="201" fillId="108" borderId="798" xfId="131" applyFont="1" applyFill="1" applyBorder="1" applyAlignment="1">
      <alignment horizontal="center" vertical="center" shrinkToFit="1"/>
    </xf>
    <xf numFmtId="0" fontId="201" fillId="108" borderId="742" xfId="131" applyFont="1" applyBorder="1" applyAlignment="1">
      <alignment horizontal="center" vertical="center" shrinkToFit="1"/>
    </xf>
    <xf numFmtId="0" fontId="201" fillId="108" borderId="778" xfId="131" applyFont="1" applyBorder="1" applyAlignment="1">
      <alignment horizontal="center" vertical="center" shrinkToFit="1"/>
    </xf>
    <xf numFmtId="0" fontId="201" fillId="108" borderId="741" xfId="131" applyFont="1" applyBorder="1" applyAlignment="1">
      <alignment horizontal="center" vertical="center" shrinkToFit="1"/>
    </xf>
    <xf numFmtId="0" fontId="201" fillId="108" borderId="731" xfId="131" applyBorder="1" applyAlignment="1">
      <alignment horizontal="center" vertical="center" justifyLastLine="1"/>
    </xf>
    <xf numFmtId="0" fontId="201" fillId="108" borderId="730" xfId="131" applyBorder="1" applyAlignment="1">
      <alignment horizontal="center" vertical="center" justifyLastLine="1"/>
    </xf>
    <xf numFmtId="0" fontId="201" fillId="108" borderId="836" xfId="131" applyBorder="1" applyAlignment="1">
      <alignment horizontal="center" vertical="center" justifyLastLine="1"/>
    </xf>
    <xf numFmtId="0" fontId="201" fillId="108" borderId="737" xfId="131" applyBorder="1" applyAlignment="1">
      <alignment horizontal="center" vertical="center" shrinkToFit="1"/>
    </xf>
    <xf numFmtId="0" fontId="201" fillId="108" borderId="736" xfId="131" applyBorder="1" applyAlignment="1">
      <alignment horizontal="center" vertical="center" shrinkToFit="1"/>
    </xf>
    <xf numFmtId="0" fontId="201" fillId="115" borderId="745" xfId="131" applyFill="1" applyBorder="1" applyAlignment="1">
      <alignment horizontal="center" vertical="center" shrinkToFit="1"/>
    </xf>
    <xf numFmtId="0" fontId="201" fillId="115" borderId="798" xfId="131" applyFill="1" applyBorder="1" applyAlignment="1">
      <alignment horizontal="center" vertical="center" shrinkToFit="1"/>
    </xf>
    <xf numFmtId="0" fontId="201" fillId="108" borderId="749" xfId="131" applyBorder="1" applyAlignment="1">
      <alignment horizontal="center" vertical="center"/>
    </xf>
    <xf numFmtId="0" fontId="201" fillId="108" borderId="755" xfId="131" applyBorder="1" applyAlignment="1">
      <alignment horizontal="center" vertical="center"/>
    </xf>
    <xf numFmtId="0" fontId="201" fillId="108" borderId="737" xfId="131" applyBorder="1" applyAlignment="1">
      <alignment horizontal="center" vertical="center"/>
    </xf>
    <xf numFmtId="0" fontId="201" fillId="108" borderId="752" xfId="131" applyBorder="1" applyAlignment="1">
      <alignment horizontal="center" vertical="center"/>
    </xf>
    <xf numFmtId="0" fontId="201" fillId="108" borderId="749" xfId="131" applyBorder="1" applyAlignment="1">
      <alignment horizontal="center" vertical="center" shrinkToFit="1"/>
    </xf>
    <xf numFmtId="0" fontId="201" fillId="108" borderId="748" xfId="131" applyBorder="1" applyAlignment="1">
      <alignment horizontal="center" vertical="center" shrinkToFit="1"/>
    </xf>
    <xf numFmtId="0" fontId="201" fillId="108" borderId="755" xfId="131" applyBorder="1" applyAlignment="1">
      <alignment horizontal="center" vertical="center" shrinkToFit="1"/>
    </xf>
    <xf numFmtId="0" fontId="201" fillId="108" borderId="760" xfId="131" applyBorder="1" applyAlignment="1">
      <alignment vertical="center" shrinkToFit="1"/>
    </xf>
    <xf numFmtId="0" fontId="201" fillId="108" borderId="783" xfId="131" applyBorder="1" applyAlignment="1">
      <alignment vertical="center" shrinkToFit="1"/>
    </xf>
    <xf numFmtId="0" fontId="216" fillId="108" borderId="742" xfId="131" applyFont="1" applyBorder="1" applyAlignment="1">
      <alignment vertical="center" wrapText="1"/>
    </xf>
    <xf numFmtId="0" fontId="216" fillId="108" borderId="778" xfId="131" applyFont="1" applyBorder="1" applyAlignment="1">
      <alignment vertical="center"/>
    </xf>
    <xf numFmtId="0" fontId="216" fillId="108" borderId="741" xfId="131" applyFont="1" applyBorder="1" applyAlignment="1">
      <alignment vertical="center"/>
    </xf>
    <xf numFmtId="0" fontId="216" fillId="108" borderId="733" xfId="131" applyFont="1" applyBorder="1" applyAlignment="1">
      <alignment vertical="center" wrapText="1"/>
    </xf>
    <xf numFmtId="0" fontId="216" fillId="108" borderId="834" xfId="131" applyFont="1" applyBorder="1" applyAlignment="1">
      <alignment vertical="center" wrapText="1"/>
    </xf>
    <xf numFmtId="0" fontId="216" fillId="108" borderId="735" xfId="131" applyFont="1" applyBorder="1" applyAlignment="1">
      <alignment vertical="center" wrapText="1"/>
    </xf>
    <xf numFmtId="0" fontId="201" fillId="108" borderId="742" xfId="131" applyBorder="1" applyAlignment="1">
      <alignment vertical="center" shrinkToFit="1"/>
    </xf>
    <xf numFmtId="0" fontId="201" fillId="108" borderId="741" xfId="131" applyBorder="1" applyAlignment="1">
      <alignment vertical="center" shrinkToFit="1"/>
    </xf>
    <xf numFmtId="0" fontId="201" fillId="108" borderId="742" xfId="131" applyBorder="1" applyAlignment="1">
      <alignment horizontal="left" vertical="center" shrinkToFit="1"/>
    </xf>
    <xf numFmtId="0" fontId="201" fillId="108" borderId="778" xfId="131" applyBorder="1" applyAlignment="1">
      <alignment horizontal="left" vertical="center" shrinkToFit="1"/>
    </xf>
    <xf numFmtId="0" fontId="201" fillId="108" borderId="741" xfId="131" applyBorder="1" applyAlignment="1">
      <alignment horizontal="left" vertical="center" shrinkToFit="1"/>
    </xf>
    <xf numFmtId="0" fontId="217" fillId="108" borderId="731" xfId="131" applyFont="1" applyBorder="1" applyAlignment="1">
      <alignment horizontal="distributed" vertical="center" justifyLastLine="1"/>
    </xf>
    <xf numFmtId="0" fontId="217" fillId="108" borderId="730" xfId="131" applyFont="1" applyBorder="1" applyAlignment="1">
      <alignment horizontal="distributed" vertical="center" justifyLastLine="1"/>
    </xf>
    <xf numFmtId="0" fontId="217" fillId="108" borderId="836" xfId="131" applyFont="1" applyBorder="1" applyAlignment="1">
      <alignment horizontal="distributed" vertical="center" justifyLastLine="1"/>
    </xf>
    <xf numFmtId="0" fontId="201" fillId="108" borderId="731" xfId="131" applyFill="1" applyBorder="1" applyAlignment="1">
      <alignment horizontal="center" vertical="center" wrapText="1" justifyLastLine="1"/>
    </xf>
    <xf numFmtId="0" fontId="201" fillId="108" borderId="730" xfId="131" applyFill="1" applyBorder="1" applyAlignment="1">
      <alignment horizontal="center" vertical="center" justifyLastLine="1"/>
    </xf>
    <xf numFmtId="0" fontId="201" fillId="108" borderId="836" xfId="131" applyFill="1" applyBorder="1" applyAlignment="1">
      <alignment horizontal="center" vertical="center" justifyLastLine="1"/>
    </xf>
    <xf numFmtId="0" fontId="201" fillId="108" borderId="783" xfId="131" applyFont="1" applyFill="1" applyBorder="1" applyAlignment="1">
      <alignment horizontal="center"/>
    </xf>
    <xf numFmtId="0" fontId="201" fillId="108" borderId="739" xfId="131" applyFont="1" applyFill="1" applyBorder="1" applyAlignment="1">
      <alignment horizontal="center"/>
    </xf>
    <xf numFmtId="0" fontId="201" fillId="108" borderId="812" xfId="131" applyFont="1" applyFill="1" applyBorder="1" applyAlignment="1">
      <alignment horizontal="center"/>
    </xf>
    <xf numFmtId="0" fontId="201" fillId="108" borderId="795" xfId="131" applyFont="1" applyFill="1" applyBorder="1" applyAlignment="1">
      <alignment horizontal="center"/>
    </xf>
    <xf numFmtId="0" fontId="201" fillId="108" borderId="725" xfId="131" applyFont="1" applyFill="1" applyAlignment="1">
      <alignment horizontal="distributed" vertical="center"/>
    </xf>
    <xf numFmtId="189" fontId="201" fillId="111" borderId="725" xfId="131" applyNumberFormat="1" applyFont="1" applyFill="1" applyAlignment="1">
      <alignment vertical="center" wrapText="1"/>
    </xf>
    <xf numFmtId="0" fontId="201" fillId="111" borderId="725" xfId="131" applyFont="1" applyFill="1" applyAlignment="1">
      <alignment vertical="center" wrapText="1"/>
    </xf>
    <xf numFmtId="0" fontId="201" fillId="108" borderId="740" xfId="131" applyFont="1" applyFill="1" applyBorder="1" applyAlignment="1">
      <alignment horizontal="center"/>
    </xf>
    <xf numFmtId="193" fontId="201" fillId="108" borderId="725" xfId="131" applyNumberFormat="1" applyFont="1" applyAlignment="1">
      <alignment horizontal="distributed"/>
    </xf>
    <xf numFmtId="193" fontId="201" fillId="108" borderId="739" xfId="131" applyNumberFormat="1" applyFont="1" applyFill="1" applyBorder="1" applyAlignment="1">
      <alignment horizontal="center" vertical="center"/>
    </xf>
    <xf numFmtId="193" fontId="201" fillId="108" borderId="812" xfId="131" applyNumberFormat="1" applyFont="1" applyFill="1" applyBorder="1" applyAlignment="1">
      <alignment horizontal="center" vertical="center"/>
    </xf>
    <xf numFmtId="193" fontId="201" fillId="108" borderId="795" xfId="131" applyNumberFormat="1" applyFont="1" applyFill="1" applyBorder="1" applyAlignment="1">
      <alignment horizontal="center" vertical="center"/>
    </xf>
    <xf numFmtId="193" fontId="201" fillId="108" borderId="797" xfId="131" applyNumberFormat="1" applyFont="1" applyFill="1" applyBorder="1" applyAlignment="1">
      <alignment horizontal="center" vertical="center"/>
    </xf>
    <xf numFmtId="193" fontId="201" fillId="108" borderId="811" xfId="131" applyNumberFormat="1" applyFont="1" applyFill="1" applyBorder="1" applyAlignment="1">
      <alignment horizontal="center" vertical="center"/>
    </xf>
    <xf numFmtId="193" fontId="201" fillId="108" borderId="796" xfId="131" applyNumberFormat="1" applyFont="1" applyFill="1" applyBorder="1" applyAlignment="1">
      <alignment horizontal="center" vertical="center"/>
    </xf>
    <xf numFmtId="0" fontId="201" fillId="108" borderId="783" xfId="131" applyFont="1" applyFill="1" applyBorder="1" applyAlignment="1">
      <alignment horizontal="center" vertical="center"/>
    </xf>
    <xf numFmtId="0" fontId="201" fillId="108" borderId="740" xfId="131" applyFont="1" applyFill="1" applyBorder="1" applyAlignment="1">
      <alignment horizontal="center" vertical="center"/>
    </xf>
    <xf numFmtId="0" fontId="201" fillId="108" borderId="725" xfId="131" applyFont="1" applyFill="1" applyAlignment="1">
      <alignment horizontal="distributed"/>
    </xf>
    <xf numFmtId="3" fontId="230" fillId="108" borderId="890" xfId="144" applyNumberFormat="1" applyFont="1" applyFill="1" applyBorder="1" applyAlignment="1">
      <alignment horizontal="right" vertical="center"/>
    </xf>
    <xf numFmtId="3" fontId="230" fillId="108" borderId="877" xfId="144" applyNumberFormat="1" applyFont="1" applyFill="1" applyBorder="1" applyAlignment="1">
      <alignment horizontal="right" vertical="center"/>
    </xf>
    <xf numFmtId="0" fontId="263" fillId="108" borderId="868" xfId="147" applyFont="1" applyFill="1" applyBorder="1" applyAlignment="1">
      <alignment horizontal="distributed" vertical="center"/>
    </xf>
    <xf numFmtId="0" fontId="263" fillId="108" borderId="861" xfId="147" applyFont="1" applyFill="1" applyBorder="1" applyAlignment="1">
      <alignment horizontal="distributed" vertical="center"/>
    </xf>
    <xf numFmtId="0" fontId="263" fillId="108" borderId="862" xfId="147" applyFont="1" applyFill="1" applyBorder="1" applyAlignment="1">
      <alignment horizontal="distributed" vertical="center"/>
    </xf>
    <xf numFmtId="0" fontId="263" fillId="108" borderId="1020" xfId="147" applyFont="1" applyFill="1" applyBorder="1" applyAlignment="1">
      <alignment horizontal="distributed" vertical="center"/>
    </xf>
    <xf numFmtId="0" fontId="263" fillId="108" borderId="1021" xfId="147" applyFont="1" applyFill="1" applyBorder="1" applyAlignment="1">
      <alignment horizontal="distributed" vertical="center"/>
    </xf>
    <xf numFmtId="0" fontId="263" fillId="108" borderId="1022" xfId="147" applyFont="1" applyFill="1" applyBorder="1" applyAlignment="1">
      <alignment horizontal="distributed" vertical="center"/>
    </xf>
    <xf numFmtId="0" fontId="263" fillId="108" borderId="876" xfId="147" applyFont="1" applyFill="1" applyBorder="1" applyAlignment="1">
      <alignment horizontal="distributed" vertical="center"/>
    </xf>
    <xf numFmtId="0" fontId="263" fillId="108" borderId="877" xfId="147" applyFont="1" applyFill="1" applyBorder="1" applyAlignment="1">
      <alignment horizontal="distributed" vertical="center"/>
    </xf>
    <xf numFmtId="0" fontId="263" fillId="108" borderId="830" xfId="147" applyFont="1" applyFill="1" applyBorder="1" applyAlignment="1">
      <alignment horizontal="distributed" vertical="center"/>
    </xf>
    <xf numFmtId="0" fontId="263" fillId="108" borderId="725" xfId="147" applyFont="1" applyFill="1" applyBorder="1" applyAlignment="1">
      <alignment horizontal="right"/>
    </xf>
    <xf numFmtId="195" fontId="211" fillId="108" borderId="739" xfId="147" applyNumberFormat="1" applyFont="1" applyFill="1" applyBorder="1" applyAlignment="1">
      <alignment horizontal="center" vertical="center" wrapText="1"/>
    </xf>
    <xf numFmtId="195" fontId="211" fillId="108" borderId="797" xfId="147" applyNumberFormat="1" applyFont="1" applyFill="1" applyBorder="1" applyAlignment="1">
      <alignment horizontal="center" vertical="center" wrapText="1"/>
    </xf>
    <xf numFmtId="195" fontId="211" fillId="108" borderId="954" xfId="147" applyNumberFormat="1" applyFont="1" applyFill="1" applyBorder="1" applyAlignment="1">
      <alignment horizontal="center" vertical="center" wrapText="1"/>
    </xf>
    <xf numFmtId="195" fontId="211" fillId="108" borderId="956" xfId="147" applyNumberFormat="1" applyFont="1" applyFill="1" applyBorder="1" applyAlignment="1">
      <alignment horizontal="center" vertical="center" wrapText="1"/>
    </xf>
    <xf numFmtId="195" fontId="267" fillId="108" borderId="812" xfId="147" applyNumberFormat="1" applyFont="1" applyFill="1" applyBorder="1" applyAlignment="1">
      <alignment horizontal="center" vertical="center" wrapText="1"/>
    </xf>
    <xf numFmtId="195" fontId="267" fillId="108" borderId="811" xfId="147" applyNumberFormat="1" applyFont="1" applyFill="1" applyBorder="1" applyAlignment="1">
      <alignment horizontal="center" vertical="center" wrapText="1"/>
    </xf>
    <xf numFmtId="0" fontId="263" fillId="108" borderId="889" xfId="147" applyFont="1" applyFill="1" applyBorder="1" applyAlignment="1">
      <alignment horizontal="distributed" vertical="center"/>
    </xf>
    <xf numFmtId="0" fontId="263" fillId="108" borderId="890" xfId="147" applyFont="1" applyFill="1" applyBorder="1" applyAlignment="1">
      <alignment horizontal="distributed" vertical="center"/>
    </xf>
    <xf numFmtId="0" fontId="263" fillId="108" borderId="1019" xfId="147" applyFont="1" applyFill="1" applyBorder="1" applyAlignment="1">
      <alignment horizontal="distributed" vertical="center"/>
    </xf>
    <xf numFmtId="195" fontId="211" fillId="108" borderId="740" xfId="147" applyNumberFormat="1" applyFont="1" applyFill="1" applyBorder="1" applyAlignment="1">
      <alignment horizontal="center" vertical="center" wrapText="1"/>
    </xf>
    <xf numFmtId="195" fontId="211" fillId="108" borderId="783" xfId="147" applyNumberFormat="1" applyFont="1" applyFill="1" applyBorder="1" applyAlignment="1">
      <alignment horizontal="center" vertical="center" wrapText="1"/>
    </xf>
    <xf numFmtId="195" fontId="263" fillId="108" borderId="889" xfId="147" applyNumberFormat="1" applyFont="1" applyFill="1" applyBorder="1" applyAlignment="1">
      <alignment horizontal="distributed" vertical="center"/>
    </xf>
    <xf numFmtId="195" fontId="263" fillId="108" borderId="890" xfId="147" applyNumberFormat="1" applyFont="1" applyFill="1" applyBorder="1" applyAlignment="1">
      <alignment horizontal="distributed" vertical="center"/>
    </xf>
    <xf numFmtId="195" fontId="263" fillId="108" borderId="1008" xfId="147" applyNumberFormat="1" applyFont="1" applyFill="1" applyBorder="1" applyAlignment="1">
      <alignment horizontal="distributed" vertical="center"/>
    </xf>
    <xf numFmtId="195" fontId="263" fillId="108" borderId="907" xfId="147" applyNumberFormat="1" applyFont="1" applyFill="1" applyBorder="1" applyAlignment="1">
      <alignment horizontal="distributed" vertical="center"/>
    </xf>
    <xf numFmtId="0" fontId="263" fillId="108" borderId="907" xfId="147" applyFont="1" applyFill="1" applyBorder="1" applyAlignment="1">
      <alignment horizontal="distributed" vertical="center"/>
    </xf>
    <xf numFmtId="0" fontId="263" fillId="108" borderId="1007" xfId="147" applyFont="1" applyFill="1" applyBorder="1" applyAlignment="1">
      <alignment horizontal="distributed" vertical="center"/>
    </xf>
    <xf numFmtId="0" fontId="263" fillId="108" borderId="908" xfId="147" applyFont="1" applyFill="1" applyBorder="1" applyAlignment="1">
      <alignment horizontal="distributed" vertical="center"/>
    </xf>
    <xf numFmtId="0" fontId="263" fillId="108" borderId="1016" xfId="147" applyFont="1" applyFill="1" applyBorder="1" applyAlignment="1">
      <alignment horizontal="distributed" vertical="center"/>
    </xf>
    <xf numFmtId="0" fontId="263" fillId="108" borderId="1017" xfId="147" applyFont="1" applyFill="1" applyBorder="1" applyAlignment="1">
      <alignment horizontal="distributed" vertical="center"/>
    </xf>
    <xf numFmtId="0" fontId="263" fillId="108" borderId="1018" xfId="147" applyFont="1" applyFill="1" applyBorder="1" applyAlignment="1">
      <alignment horizontal="distributed" vertical="center"/>
    </xf>
    <xf numFmtId="195" fontId="211" fillId="108" borderId="739" xfId="147" applyNumberFormat="1" applyFont="1" applyBorder="1" applyAlignment="1">
      <alignment horizontal="center" vertical="center"/>
    </xf>
    <xf numFmtId="195" fontId="211" fillId="108" borderId="812" xfId="147" applyNumberFormat="1" applyFont="1" applyBorder="1" applyAlignment="1">
      <alignment horizontal="center" vertical="center"/>
    </xf>
    <xf numFmtId="195" fontId="211" fillId="108" borderId="777" xfId="147" applyNumberFormat="1" applyFont="1" applyBorder="1" applyAlignment="1">
      <alignment horizontal="center" vertical="center"/>
    </xf>
    <xf numFmtId="195" fontId="211" fillId="108" borderId="725" xfId="147" applyNumberFormat="1" applyFont="1" applyBorder="1" applyAlignment="1">
      <alignment horizontal="center" vertical="center"/>
    </xf>
    <xf numFmtId="195" fontId="211" fillId="108" borderId="797" xfId="147" applyNumberFormat="1" applyFont="1" applyBorder="1" applyAlignment="1">
      <alignment horizontal="center" vertical="center"/>
    </xf>
    <xf numFmtId="195" fontId="211" fillId="108" borderId="811" xfId="147" applyNumberFormat="1" applyFont="1" applyBorder="1" applyAlignment="1">
      <alignment horizontal="center" vertical="center"/>
    </xf>
    <xf numFmtId="0" fontId="270" fillId="108" borderId="725" xfId="147" applyFont="1" applyAlignment="1">
      <alignment horizontal="center" vertical="center"/>
    </xf>
    <xf numFmtId="195" fontId="263" fillId="108" borderId="886" xfId="147" applyNumberFormat="1" applyFont="1" applyFill="1" applyBorder="1" applyAlignment="1">
      <alignment horizontal="distributed" vertical="center"/>
    </xf>
    <xf numFmtId="195" fontId="263" fillId="108" borderId="988" xfId="147" applyNumberFormat="1" applyFont="1" applyFill="1" applyBorder="1" applyAlignment="1">
      <alignment horizontal="distributed" vertical="center"/>
    </xf>
    <xf numFmtId="195" fontId="263" fillId="108" borderId="891" xfId="147" applyNumberFormat="1" applyFont="1" applyFill="1" applyBorder="1" applyAlignment="1">
      <alignment horizontal="distributed" vertical="center"/>
    </xf>
    <xf numFmtId="195" fontId="263" fillId="108" borderId="892" xfId="147" applyNumberFormat="1" applyFont="1" applyFill="1" applyBorder="1" applyAlignment="1">
      <alignment horizontal="distributed" vertical="center"/>
    </xf>
    <xf numFmtId="195" fontId="263" fillId="108" borderId="989" xfId="147" applyNumberFormat="1" applyFont="1" applyFill="1" applyBorder="1" applyAlignment="1">
      <alignment horizontal="distributed" vertical="center"/>
    </xf>
    <xf numFmtId="195" fontId="263" fillId="108" borderId="868" xfId="147" applyNumberFormat="1" applyFont="1" applyFill="1" applyBorder="1" applyAlignment="1">
      <alignment horizontal="distributed" vertical="center"/>
    </xf>
    <xf numFmtId="195" fontId="263" fillId="108" borderId="861" xfId="147" applyNumberFormat="1" applyFont="1" applyFill="1" applyBorder="1" applyAlignment="1">
      <alignment horizontal="distributed" vertical="center"/>
    </xf>
    <xf numFmtId="195" fontId="263" fillId="108" borderId="944" xfId="147" applyNumberFormat="1" applyFont="1" applyFill="1" applyBorder="1" applyAlignment="1">
      <alignment horizontal="distributed" vertical="center"/>
    </xf>
    <xf numFmtId="195" fontId="211" fillId="108" borderId="1034" xfId="147" applyNumberFormat="1" applyFont="1" applyFill="1" applyBorder="1" applyAlignment="1">
      <alignment horizontal="center" vertical="center" wrapText="1"/>
    </xf>
    <xf numFmtId="195" fontId="211" fillId="108" borderId="1032" xfId="147" applyNumberFormat="1" applyFont="1" applyFill="1" applyBorder="1" applyAlignment="1">
      <alignment horizontal="center" vertical="center" wrapText="1"/>
    </xf>
    <xf numFmtId="195" fontId="263" fillId="108" borderId="901" xfId="147" applyNumberFormat="1" applyFont="1" applyFill="1" applyBorder="1" applyAlignment="1">
      <alignment horizontal="distributed" vertical="center"/>
    </xf>
    <xf numFmtId="195" fontId="263" fillId="108" borderId="878" xfId="147" applyNumberFormat="1" applyFont="1" applyFill="1" applyBorder="1" applyAlignment="1">
      <alignment horizontal="distributed" vertical="center"/>
    </xf>
    <xf numFmtId="195" fontId="263" fillId="108" borderId="902" xfId="147" applyNumberFormat="1" applyFont="1" applyFill="1" applyBorder="1" applyAlignment="1">
      <alignment horizontal="distributed" vertical="center"/>
    </xf>
    <xf numFmtId="195" fontId="211" fillId="108" borderId="742" xfId="147" applyNumberFormat="1" applyFont="1" applyFill="1" applyBorder="1" applyAlignment="1">
      <alignment horizontal="distributed" vertical="center"/>
    </xf>
    <xf numFmtId="195" fontId="211" fillId="108" borderId="778" xfId="147" applyNumberFormat="1" applyFont="1" applyFill="1" applyBorder="1" applyAlignment="1">
      <alignment horizontal="distributed" vertical="center"/>
    </xf>
    <xf numFmtId="195" fontId="211" fillId="108" borderId="741" xfId="147" applyNumberFormat="1" applyFont="1" applyFill="1" applyBorder="1" applyAlignment="1">
      <alignment horizontal="distributed" vertical="center"/>
    </xf>
    <xf numFmtId="195" fontId="263" fillId="108" borderId="742" xfId="147" applyNumberFormat="1" applyFont="1" applyFill="1" applyBorder="1" applyAlignment="1">
      <alignment horizontal="distributed" vertical="center"/>
    </xf>
    <xf numFmtId="195" fontId="263" fillId="108" borderId="778" xfId="147" applyNumberFormat="1" applyFont="1" applyFill="1" applyBorder="1" applyAlignment="1">
      <alignment horizontal="distributed" vertical="center"/>
    </xf>
    <xf numFmtId="195" fontId="263" fillId="108" borderId="741" xfId="147" applyNumberFormat="1" applyFont="1" applyFill="1" applyBorder="1" applyAlignment="1">
      <alignment horizontal="distributed" vertical="center"/>
    </xf>
    <xf numFmtId="0" fontId="211" fillId="108" borderId="740" xfId="147" applyFont="1" applyFill="1" applyBorder="1" applyAlignment="1">
      <alignment horizontal="center" vertical="center" wrapText="1"/>
    </xf>
    <xf numFmtId="0" fontId="211" fillId="108" borderId="783" xfId="147" applyFont="1" applyFill="1" applyBorder="1" applyAlignment="1">
      <alignment horizontal="center" vertical="center"/>
    </xf>
    <xf numFmtId="195" fontId="263" fillId="108" borderId="832" xfId="147" applyNumberFormat="1" applyFont="1" applyFill="1" applyBorder="1" applyAlignment="1">
      <alignment horizontal="distributed" vertical="center"/>
    </xf>
    <xf numFmtId="195" fontId="263" fillId="108" borderId="870" xfId="147" applyNumberFormat="1" applyFont="1" applyFill="1" applyBorder="1" applyAlignment="1">
      <alignment horizontal="distributed" vertical="center"/>
    </xf>
    <xf numFmtId="195" fontId="263" fillId="108" borderId="831" xfId="147" applyNumberFormat="1" applyFont="1" applyFill="1" applyBorder="1" applyAlignment="1">
      <alignment horizontal="distributed" vertical="center"/>
    </xf>
    <xf numFmtId="195" fontId="263" fillId="108" borderId="920" xfId="147" applyNumberFormat="1" applyFont="1" applyFill="1" applyBorder="1" applyAlignment="1">
      <alignment horizontal="distributed" vertical="center"/>
    </xf>
    <xf numFmtId="195" fontId="263" fillId="108" borderId="862" xfId="147" applyNumberFormat="1" applyFont="1" applyFill="1" applyBorder="1" applyAlignment="1">
      <alignment horizontal="distributed" vertical="center"/>
    </xf>
    <xf numFmtId="195" fontId="263" fillId="108" borderId="1014" xfId="147" applyNumberFormat="1" applyFont="1" applyFill="1" applyBorder="1" applyAlignment="1">
      <alignment horizontal="distributed" vertical="center"/>
    </xf>
    <xf numFmtId="0" fontId="264" fillId="120" borderId="1005" xfId="147" applyNumberFormat="1" applyFont="1" applyFill="1" applyBorder="1" applyAlignment="1">
      <alignment horizontal="center" vertical="center"/>
    </xf>
    <xf numFmtId="0" fontId="264" fillId="120" borderId="1006" xfId="147" applyNumberFormat="1" applyFont="1" applyFill="1" applyBorder="1" applyAlignment="1">
      <alignment horizontal="center" vertical="center"/>
    </xf>
    <xf numFmtId="195" fontId="211" fillId="108" borderId="739" xfId="147" applyNumberFormat="1" applyFont="1" applyFill="1" applyBorder="1" applyAlignment="1">
      <alignment horizontal="center" vertical="center"/>
    </xf>
    <xf numFmtId="195" fontId="211" fillId="108" borderId="812" xfId="147" applyNumberFormat="1" applyFont="1" applyFill="1" applyBorder="1" applyAlignment="1">
      <alignment horizontal="center" vertical="center"/>
    </xf>
    <xf numFmtId="195" fontId="211" fillId="108" borderId="795" xfId="147" applyNumberFormat="1" applyFont="1" applyFill="1" applyBorder="1" applyAlignment="1">
      <alignment horizontal="center" vertical="center"/>
    </xf>
    <xf numFmtId="195" fontId="211" fillId="108" borderId="777" xfId="147" applyNumberFormat="1" applyFont="1" applyFill="1" applyBorder="1" applyAlignment="1">
      <alignment horizontal="center" vertical="center"/>
    </xf>
    <xf numFmtId="195" fontId="211" fillId="108" borderId="725" xfId="147" applyNumberFormat="1" applyFont="1" applyFill="1" applyBorder="1" applyAlignment="1">
      <alignment horizontal="center" vertical="center"/>
    </xf>
    <xf numFmtId="195" fontId="211" fillId="108" borderId="761" xfId="147" applyNumberFormat="1" applyFont="1" applyFill="1" applyBorder="1" applyAlignment="1">
      <alignment horizontal="center" vertical="center"/>
    </xf>
    <xf numFmtId="195" fontId="211" fillId="108" borderId="797" xfId="147" applyNumberFormat="1" applyFont="1" applyFill="1" applyBorder="1" applyAlignment="1">
      <alignment horizontal="center" vertical="center"/>
    </xf>
    <xf numFmtId="195" fontId="211" fillId="108" borderId="811" xfId="147" applyNumberFormat="1" applyFont="1" applyFill="1" applyBorder="1" applyAlignment="1">
      <alignment horizontal="center" vertical="center"/>
    </xf>
    <xf numFmtId="195" fontId="211" fillId="108" borderId="796" xfId="147" applyNumberFormat="1" applyFont="1" applyFill="1" applyBorder="1" applyAlignment="1">
      <alignment horizontal="center" vertical="center"/>
    </xf>
    <xf numFmtId="195" fontId="211" fillId="108" borderId="812" xfId="147" applyNumberFormat="1" applyFont="1" applyFill="1" applyBorder="1" applyAlignment="1">
      <alignment horizontal="center" vertical="center" wrapText="1"/>
    </xf>
    <xf numFmtId="195" fontId="211" fillId="108" borderId="811" xfId="147" applyNumberFormat="1" applyFont="1" applyFill="1" applyBorder="1" applyAlignment="1">
      <alignment horizontal="center" vertical="center" wrapText="1"/>
    </xf>
    <xf numFmtId="195" fontId="243" fillId="108" borderId="743" xfId="140" applyNumberFormat="1" applyFont="1" applyBorder="1" applyAlignment="1">
      <alignment horizontal="distributed" vertical="center" justifyLastLine="1"/>
    </xf>
    <xf numFmtId="195" fontId="243" fillId="108" borderId="725" xfId="140" applyNumberFormat="1" applyFont="1" applyBorder="1" applyAlignment="1">
      <alignment horizontal="distributed" vertical="center" justifyLastLine="1"/>
    </xf>
    <xf numFmtId="195" fontId="243" fillId="108" borderId="802" xfId="140" applyNumberFormat="1" applyFont="1" applyBorder="1" applyAlignment="1">
      <alignment horizontal="distributed" vertical="center" justifyLastLine="1"/>
    </xf>
    <xf numFmtId="195" fontId="243" fillId="108" borderId="861" xfId="140" applyNumberFormat="1" applyFont="1" applyBorder="1" applyAlignment="1">
      <alignment horizontal="distributed" vertical="center" shrinkToFit="1"/>
    </xf>
    <xf numFmtId="195" fontId="243" fillId="108" borderId="862" xfId="140" applyNumberFormat="1" applyFont="1" applyBorder="1" applyAlignment="1">
      <alignment horizontal="distributed" vertical="center" shrinkToFit="1"/>
    </xf>
    <xf numFmtId="195" fontId="243" fillId="108" borderId="856" xfId="140" applyNumberFormat="1" applyFont="1" applyBorder="1" applyAlignment="1">
      <alignment horizontal="distributed" vertical="center" shrinkToFit="1"/>
    </xf>
    <xf numFmtId="195" fontId="243" fillId="108" borderId="853" xfId="140" applyNumberFormat="1" applyFont="1" applyBorder="1" applyAlignment="1">
      <alignment horizontal="distributed" vertical="center" shrinkToFit="1"/>
    </xf>
    <xf numFmtId="195" fontId="243" fillId="108" borderId="854" xfId="140" applyNumberFormat="1" applyFont="1" applyBorder="1" applyAlignment="1">
      <alignment horizontal="distributed" vertical="center" shrinkToFit="1"/>
    </xf>
    <xf numFmtId="195" fontId="243" fillId="123" borderId="861" xfId="140" applyNumberFormat="1" applyFont="1" applyFill="1" applyBorder="1" applyAlignment="1">
      <alignment horizontal="distributed" vertical="center" shrinkToFit="1"/>
    </xf>
    <xf numFmtId="195" fontId="243" fillId="123" borderId="862" xfId="140" applyNumberFormat="1" applyFont="1" applyFill="1" applyBorder="1" applyAlignment="1">
      <alignment horizontal="distributed" vertical="center" shrinkToFit="1"/>
    </xf>
    <xf numFmtId="195" fontId="243" fillId="108" borderId="869" xfId="140" applyNumberFormat="1" applyFont="1" applyBorder="1" applyAlignment="1">
      <alignment horizontal="distributed" vertical="center" shrinkToFit="1"/>
    </xf>
    <xf numFmtId="195" fontId="243" fillId="108" borderId="833" xfId="140" applyNumberFormat="1" applyFont="1" applyBorder="1" applyAlignment="1">
      <alignment horizontal="distributed" vertical="center" shrinkToFit="1"/>
    </xf>
    <xf numFmtId="195" fontId="243" fillId="108" borderId="911" xfId="140" applyNumberFormat="1" applyFont="1" applyBorder="1" applyAlignment="1">
      <alignment horizontal="distributed" vertical="center" shrinkToFit="1"/>
    </xf>
    <xf numFmtId="195" fontId="243" fillId="108" borderId="923" xfId="140" applyNumberFormat="1" applyFont="1" applyBorder="1" applyAlignment="1">
      <alignment horizontal="distributed" vertical="center" shrinkToFit="1"/>
    </xf>
    <xf numFmtId="195" fontId="243" fillId="108" borderId="913" xfId="140" applyNumberFormat="1" applyFont="1" applyBorder="1" applyAlignment="1">
      <alignment horizontal="center" vertical="center" shrinkToFit="1"/>
    </xf>
    <xf numFmtId="195" fontId="243" fillId="108" borderId="914" xfId="140" applyNumberFormat="1" applyFont="1" applyBorder="1" applyAlignment="1">
      <alignment horizontal="center" vertical="center" shrinkToFit="1"/>
    </xf>
    <xf numFmtId="195" fontId="243" fillId="108" borderId="942" xfId="140" applyNumberFormat="1" applyFont="1" applyBorder="1" applyAlignment="1">
      <alignment horizontal="center" vertical="center" shrinkToFit="1"/>
    </xf>
    <xf numFmtId="195" fontId="243" fillId="108" borderId="895" xfId="140" applyNumberFormat="1" applyFont="1" applyBorder="1" applyAlignment="1">
      <alignment horizontal="distributed" vertical="center" shrinkToFit="1"/>
    </xf>
    <xf numFmtId="195" fontId="243" fillId="108" borderId="926" xfId="140" applyNumberFormat="1" applyFont="1" applyBorder="1" applyAlignment="1">
      <alignment horizontal="distributed" vertical="center" shrinkToFit="1"/>
    </xf>
    <xf numFmtId="195" fontId="243" fillId="108" borderId="896" xfId="140" applyNumberFormat="1" applyFont="1" applyBorder="1" applyAlignment="1">
      <alignment horizontal="distributed" vertical="center" shrinkToFit="1"/>
    </xf>
    <xf numFmtId="195" fontId="243" fillId="108" borderId="899" xfId="140" applyNumberFormat="1" applyFont="1" applyBorder="1" applyAlignment="1">
      <alignment horizontal="distributed" vertical="center" shrinkToFit="1"/>
    </xf>
    <xf numFmtId="195" fontId="246" fillId="108" borderId="862" xfId="140" applyNumberFormat="1" applyFont="1" applyBorder="1" applyAlignment="1">
      <alignment horizontal="distributed" vertical="center" shrinkToFit="1"/>
    </xf>
    <xf numFmtId="195" fontId="246" fillId="108" borderId="899" xfId="140" applyNumberFormat="1" applyFont="1" applyBorder="1" applyAlignment="1">
      <alignment horizontal="distributed" vertical="center" shrinkToFit="1"/>
    </xf>
    <xf numFmtId="0" fontId="243" fillId="108" borderId="901" xfId="140" applyFont="1" applyBorder="1" applyAlignment="1">
      <alignment horizontal="distributed" vertical="center"/>
    </xf>
    <xf numFmtId="0" fontId="243" fillId="108" borderId="878" xfId="140" applyFont="1" applyBorder="1" applyAlignment="1">
      <alignment horizontal="distributed" vertical="center"/>
    </xf>
    <xf numFmtId="0" fontId="243" fillId="108" borderId="902" xfId="140" applyFont="1" applyBorder="1" applyAlignment="1">
      <alignment horizontal="distributed" vertical="center"/>
    </xf>
    <xf numFmtId="195" fontId="243" fillId="108" borderId="731" xfId="140" applyNumberFormat="1" applyFont="1" applyBorder="1" applyAlignment="1">
      <alignment horizontal="distributed" vertical="center" shrinkToFit="1"/>
    </xf>
    <xf numFmtId="195" fontId="243" fillId="108" borderId="730" xfId="140" applyNumberFormat="1" applyFont="1" applyBorder="1" applyAlignment="1">
      <alignment horizontal="distributed" vertical="center" shrinkToFit="1"/>
    </xf>
    <xf numFmtId="195" fontId="243" fillId="108" borderId="800" xfId="140" applyNumberFormat="1" applyFont="1" applyBorder="1" applyAlignment="1">
      <alignment horizontal="distributed" vertical="center" shrinkToFit="1"/>
    </xf>
    <xf numFmtId="0" fontId="243" fillId="108" borderId="852" xfId="140" applyFont="1" applyBorder="1" applyAlignment="1">
      <alignment horizontal="distributed" vertical="center"/>
    </xf>
    <xf numFmtId="0" fontId="243" fillId="108" borderId="853" xfId="140" applyFont="1" applyBorder="1" applyAlignment="1">
      <alignment horizontal="distributed" vertical="center"/>
    </xf>
    <xf numFmtId="0" fontId="243" fillId="108" borderId="943" xfId="140" applyFont="1" applyBorder="1" applyAlignment="1">
      <alignment horizontal="distributed" vertical="center"/>
    </xf>
    <xf numFmtId="0" fontId="243" fillId="108" borderId="725" xfId="140" applyFont="1" applyBorder="1" applyAlignment="1">
      <alignment horizontal="center"/>
    </xf>
    <xf numFmtId="195" fontId="246" fillId="108" borderId="862" xfId="140" applyNumberFormat="1" applyFont="1" applyBorder="1" applyAlignment="1">
      <alignment horizontal="distributed" vertical="center"/>
    </xf>
    <xf numFmtId="0" fontId="246" fillId="108" borderId="899" xfId="140" applyFont="1" applyBorder="1" applyAlignment="1">
      <alignment horizontal="distributed" vertical="center"/>
    </xf>
    <xf numFmtId="195" fontId="246" fillId="108" borderId="903" xfId="140" applyNumberFormat="1" applyFont="1" applyBorder="1" applyAlignment="1">
      <alignment horizontal="distributed" vertical="center"/>
    </xf>
    <xf numFmtId="195" fontId="246" fillId="108" borderId="886" xfId="140" applyNumberFormat="1" applyFont="1" applyBorder="1" applyAlignment="1">
      <alignment horizontal="distributed" vertical="center"/>
    </xf>
    <xf numFmtId="195" fontId="246" fillId="108" borderId="904" xfId="140" applyNumberFormat="1" applyFont="1" applyBorder="1" applyAlignment="1">
      <alignment horizontal="distributed" vertical="center"/>
    </xf>
    <xf numFmtId="195" fontId="246" fillId="108" borderId="892" xfId="140" applyNumberFormat="1" applyFont="1" applyBorder="1" applyAlignment="1">
      <alignment horizontal="distributed" vertical="center"/>
    </xf>
    <xf numFmtId="195" fontId="246" fillId="108" borderId="893" xfId="140" applyNumberFormat="1" applyFont="1" applyBorder="1" applyAlignment="1">
      <alignment horizontal="distributed" vertical="center"/>
    </xf>
    <xf numFmtId="195" fontId="246" fillId="108" borderId="861" xfId="140" applyNumberFormat="1" applyFont="1" applyBorder="1" applyAlignment="1">
      <alignment horizontal="distributed" vertical="center"/>
    </xf>
    <xf numFmtId="195" fontId="246" fillId="108" borderId="867" xfId="140" applyNumberFormat="1" applyFont="1" applyBorder="1" applyAlignment="1">
      <alignment horizontal="distributed" vertical="center"/>
    </xf>
    <xf numFmtId="195" fontId="246" fillId="108" borderId="869" xfId="140" applyNumberFormat="1" applyFont="1" applyBorder="1" applyAlignment="1">
      <alignment horizontal="distributed" vertical="center"/>
    </xf>
    <xf numFmtId="195" fontId="246" fillId="108" borderId="875" xfId="140" applyNumberFormat="1" applyFont="1" applyBorder="1" applyAlignment="1">
      <alignment horizontal="distributed" vertical="center"/>
    </xf>
    <xf numFmtId="195" fontId="246" fillId="108" borderId="911" xfId="140" applyNumberFormat="1" applyFont="1" applyBorder="1" applyAlignment="1">
      <alignment horizontal="distributed" vertical="center"/>
    </xf>
    <xf numFmtId="195" fontId="246" fillId="108" borderId="883" xfId="140" applyNumberFormat="1" applyFont="1" applyBorder="1" applyAlignment="1">
      <alignment horizontal="distributed" vertical="center"/>
    </xf>
    <xf numFmtId="195" fontId="246" fillId="108" borderId="913" xfId="140" applyNumberFormat="1" applyFont="1" applyBorder="1" applyAlignment="1">
      <alignment horizontal="distributed" vertical="center"/>
    </xf>
    <xf numFmtId="195" fontId="246" fillId="108" borderId="914" xfId="140" applyNumberFormat="1" applyFont="1" applyBorder="1" applyAlignment="1">
      <alignment horizontal="distributed" vertical="center"/>
    </xf>
    <xf numFmtId="195" fontId="246" fillId="108" borderId="888" xfId="140" applyNumberFormat="1" applyFont="1" applyBorder="1" applyAlignment="1">
      <alignment horizontal="distributed" vertical="center"/>
    </xf>
    <xf numFmtId="195" fontId="246" fillId="108" borderId="916" xfId="140" applyNumberFormat="1" applyFont="1" applyBorder="1" applyAlignment="1">
      <alignment horizontal="distributed" vertical="center"/>
    </xf>
    <xf numFmtId="195" fontId="246" fillId="108" borderId="917" xfId="140" applyNumberFormat="1" applyFont="1" applyBorder="1" applyAlignment="1">
      <alignment horizontal="distributed" vertical="center"/>
    </xf>
    <xf numFmtId="195" fontId="246" fillId="108" borderId="918" xfId="140" applyNumberFormat="1" applyFont="1" applyBorder="1" applyAlignment="1">
      <alignment horizontal="distributed" vertical="center"/>
    </xf>
    <xf numFmtId="195" fontId="246" fillId="108" borderId="920" xfId="140" applyNumberFormat="1" applyFont="1" applyBorder="1" applyAlignment="1">
      <alignment horizontal="distributed" vertical="center"/>
    </xf>
    <xf numFmtId="0" fontId="246" fillId="108" borderId="907" xfId="140" applyFont="1" applyBorder="1" applyAlignment="1">
      <alignment horizontal="distributed" vertical="center"/>
    </xf>
    <xf numFmtId="0" fontId="246" fillId="108" borderId="849" xfId="140" applyFont="1" applyBorder="1" applyAlignment="1">
      <alignment horizontal="distributed" vertical="center"/>
    </xf>
    <xf numFmtId="0" fontId="246" fillId="108" borderId="731" xfId="140" applyFont="1" applyFill="1" applyBorder="1" applyAlignment="1">
      <alignment horizontal="distributed" vertical="center"/>
    </xf>
    <xf numFmtId="0" fontId="246" fillId="108" borderId="730" xfId="140" applyFont="1" applyFill="1" applyBorder="1" applyAlignment="1">
      <alignment horizontal="distributed" vertical="center"/>
    </xf>
    <xf numFmtId="0" fontId="246" fillId="108" borderId="800" xfId="140" applyFont="1" applyFill="1" applyBorder="1" applyAlignment="1">
      <alignment horizontal="distributed" vertical="center"/>
    </xf>
    <xf numFmtId="0" fontId="246" fillId="108" borderId="862" xfId="140" applyFont="1" applyBorder="1" applyAlignment="1">
      <alignment horizontal="distributed" vertical="center"/>
    </xf>
    <xf numFmtId="0" fontId="246" fillId="108" borderId="908" xfId="140" applyFont="1" applyBorder="1" applyAlignment="1">
      <alignment horizontal="distributed" vertical="center"/>
    </xf>
    <xf numFmtId="195" fontId="246" fillId="108" borderId="923" xfId="140" applyNumberFormat="1" applyFont="1" applyBorder="1" applyAlignment="1">
      <alignment horizontal="distributed" vertical="center"/>
    </xf>
    <xf numFmtId="0" fontId="246" fillId="108" borderId="900" xfId="140" applyFont="1" applyBorder="1" applyAlignment="1">
      <alignment horizontal="distributed" vertical="center"/>
    </xf>
    <xf numFmtId="0" fontId="246" fillId="108" borderId="854" xfId="140" applyFont="1" applyBorder="1" applyAlignment="1">
      <alignment horizontal="distributed" vertical="center"/>
    </xf>
    <xf numFmtId="0" fontId="246" fillId="108" borderId="828" xfId="140" applyFont="1" applyBorder="1" applyAlignment="1">
      <alignment horizontal="distributed" vertical="center"/>
    </xf>
    <xf numFmtId="0" fontId="246" fillId="108" borderId="924" xfId="140" applyFont="1" applyBorder="1" applyAlignment="1">
      <alignment horizontal="distributed" vertical="center"/>
    </xf>
    <xf numFmtId="0" fontId="246" fillId="108" borderId="925" xfId="140" applyFont="1" applyBorder="1" applyAlignment="1">
      <alignment horizontal="distributed" vertical="center"/>
    </xf>
    <xf numFmtId="0" fontId="246" fillId="108" borderId="736" xfId="140" applyFont="1" applyBorder="1" applyAlignment="1">
      <alignment horizontal="distributed" vertical="center"/>
    </xf>
    <xf numFmtId="0" fontId="246" fillId="108" borderId="801" xfId="140" applyFont="1" applyBorder="1" applyAlignment="1">
      <alignment horizontal="distributed" vertical="center"/>
    </xf>
    <xf numFmtId="0" fontId="246" fillId="108" borderId="731" xfId="140" applyFont="1" applyBorder="1" applyAlignment="1">
      <alignment horizontal="distributed" vertical="center"/>
    </xf>
    <xf numFmtId="0" fontId="246" fillId="108" borderId="730" xfId="140" applyFont="1" applyBorder="1" applyAlignment="1">
      <alignment horizontal="distributed" vertical="center"/>
    </xf>
    <xf numFmtId="0" fontId="246" fillId="108" borderId="800" xfId="140" applyFont="1" applyBorder="1" applyAlignment="1">
      <alignment horizontal="distributed" vertical="center"/>
    </xf>
    <xf numFmtId="0" fontId="246" fillId="108" borderId="911" xfId="140" applyFont="1" applyFill="1" applyBorder="1" applyAlignment="1">
      <alignment horizontal="distributed" vertical="center"/>
    </xf>
    <xf numFmtId="0" fontId="246" fillId="108" borderId="883" xfId="140" applyFont="1" applyFill="1" applyBorder="1" applyAlignment="1">
      <alignment horizontal="distributed" vertical="center"/>
    </xf>
    <xf numFmtId="0" fontId="246" fillId="108" borderId="895" xfId="140" applyFont="1" applyBorder="1" applyAlignment="1">
      <alignment horizontal="distributed" vertical="center"/>
    </xf>
    <xf numFmtId="0" fontId="246" fillId="108" borderId="926" xfId="140" applyFont="1" applyBorder="1" applyAlignment="1">
      <alignment horizontal="distributed" vertical="center"/>
    </xf>
    <xf numFmtId="0" fontId="246" fillId="108" borderId="896" xfId="140" applyFont="1" applyBorder="1" applyAlignment="1">
      <alignment horizontal="distributed" vertical="center"/>
    </xf>
    <xf numFmtId="0" fontId="246" fillId="108" borderId="861" xfId="140" applyFont="1" applyBorder="1" applyAlignment="1">
      <alignment horizontal="distributed" vertical="center"/>
    </xf>
    <xf numFmtId="0" fontId="246" fillId="108" borderId="867" xfId="140" applyFont="1" applyBorder="1" applyAlignment="1">
      <alignment horizontal="distributed" vertical="center"/>
    </xf>
    <xf numFmtId="0" fontId="246" fillId="108" borderId="861" xfId="140" applyFont="1" applyFill="1" applyBorder="1" applyAlignment="1">
      <alignment horizontal="distributed" vertical="center"/>
    </xf>
    <xf numFmtId="0" fontId="246" fillId="108" borderId="867" xfId="140" applyFont="1" applyFill="1" applyBorder="1" applyAlignment="1">
      <alignment horizontal="distributed" vertical="center"/>
    </xf>
    <xf numFmtId="0" fontId="246" fillId="108" borderId="869" xfId="140" applyFont="1" applyFill="1" applyBorder="1" applyAlignment="1">
      <alignment horizontal="distributed" vertical="center"/>
    </xf>
    <xf numFmtId="0" fontId="246" fillId="108" borderId="875" xfId="140" applyFont="1" applyFill="1" applyBorder="1" applyAlignment="1">
      <alignment horizontal="distributed" vertical="center"/>
    </xf>
    <xf numFmtId="0" fontId="246" fillId="108" borderId="862" xfId="140" applyFont="1" applyFill="1" applyBorder="1" applyAlignment="1">
      <alignment horizontal="distributed" vertical="center"/>
    </xf>
    <xf numFmtId="0" fontId="246" fillId="108" borderId="908" xfId="140" applyFont="1" applyFill="1" applyBorder="1" applyAlignment="1">
      <alignment horizontal="distributed" vertical="center"/>
    </xf>
    <xf numFmtId="0" fontId="246" fillId="108" borderId="899" xfId="140" applyFont="1" applyFill="1" applyBorder="1" applyAlignment="1">
      <alignment horizontal="distributed" vertical="center"/>
    </xf>
    <xf numFmtId="0" fontId="243" fillId="108" borderId="736" xfId="140" applyFont="1" applyBorder="1" applyAlignment="1">
      <alignment horizontal="center"/>
    </xf>
    <xf numFmtId="195" fontId="243" fillId="108" borderId="749" xfId="140" applyNumberFormat="1" applyFont="1" applyBorder="1" applyAlignment="1">
      <alignment horizontal="center" vertical="center"/>
    </xf>
    <xf numFmtId="195" fontId="243" fillId="108" borderId="748" xfId="140" applyNumberFormat="1" applyFont="1" applyBorder="1" applyAlignment="1">
      <alignment horizontal="center" vertical="center"/>
    </xf>
    <xf numFmtId="195" fontId="243" fillId="108" borderId="803" xfId="140" applyNumberFormat="1" applyFont="1" applyBorder="1" applyAlignment="1">
      <alignment horizontal="center" vertical="center"/>
    </xf>
    <xf numFmtId="195" fontId="243" fillId="108" borderId="743" xfId="140" applyNumberFormat="1" applyFont="1" applyBorder="1" applyAlignment="1">
      <alignment horizontal="center" vertical="center"/>
    </xf>
    <xf numFmtId="195" fontId="243" fillId="108" borderId="725" xfId="140" applyNumberFormat="1" applyFont="1" applyBorder="1" applyAlignment="1">
      <alignment horizontal="center" vertical="center"/>
    </xf>
    <xf numFmtId="195" fontId="243" fillId="108" borderId="802" xfId="140" applyNumberFormat="1" applyFont="1" applyBorder="1" applyAlignment="1">
      <alignment horizontal="center" vertical="center"/>
    </xf>
    <xf numFmtId="195" fontId="243" fillId="108" borderId="817" xfId="140" applyNumberFormat="1" applyFont="1" applyBorder="1" applyAlignment="1">
      <alignment horizontal="center" vertical="center"/>
    </xf>
    <xf numFmtId="195" fontId="243" fillId="108" borderId="811" xfId="140" applyNumberFormat="1" applyFont="1" applyBorder="1" applyAlignment="1">
      <alignment horizontal="center" vertical="center"/>
    </xf>
    <xf numFmtId="195" fontId="243" fillId="108" borderId="808" xfId="140" applyNumberFormat="1" applyFont="1" applyBorder="1" applyAlignment="1">
      <alignment horizontal="center" vertical="center"/>
    </xf>
    <xf numFmtId="0" fontId="243" fillId="108" borderId="745" xfId="140" applyFont="1" applyBorder="1" applyAlignment="1">
      <alignment horizontal="right" vertical="center"/>
    </xf>
    <xf numFmtId="0" fontId="243" fillId="108" borderId="798" xfId="140" applyFont="1" applyBorder="1" applyAlignment="1">
      <alignment horizontal="right" vertical="center"/>
    </xf>
    <xf numFmtId="195" fontId="243" fillId="108" borderId="846" xfId="140" applyNumberFormat="1" applyFont="1" applyBorder="1" applyAlignment="1">
      <alignment horizontal="center" vertical="center" wrapText="1"/>
    </xf>
    <xf numFmtId="195" fontId="243" fillId="108" borderId="814" xfId="140" applyNumberFormat="1" applyFont="1" applyBorder="1" applyAlignment="1">
      <alignment horizontal="center" vertical="center" wrapText="1"/>
    </xf>
    <xf numFmtId="195" fontId="243" fillId="108" borderId="847" xfId="140" applyNumberFormat="1" applyFont="1" applyFill="1" applyBorder="1" applyAlignment="1">
      <alignment horizontal="center" vertical="center" wrapText="1"/>
    </xf>
    <xf numFmtId="195" fontId="243" fillId="108" borderId="850" xfId="140" applyNumberFormat="1" applyFont="1" applyFill="1" applyBorder="1" applyAlignment="1">
      <alignment horizontal="center" vertical="center"/>
    </xf>
    <xf numFmtId="195" fontId="243" fillId="108" borderId="846" xfId="140" applyNumberFormat="1" applyFont="1" applyFill="1" applyBorder="1" applyAlignment="1">
      <alignment horizontal="center" vertical="center" wrapText="1"/>
    </xf>
    <xf numFmtId="195" fontId="243" fillId="108" borderId="814" xfId="140" applyNumberFormat="1" applyFont="1" applyFill="1" applyBorder="1" applyAlignment="1">
      <alignment horizontal="center" vertical="center" wrapText="1"/>
    </xf>
    <xf numFmtId="195" fontId="243" fillId="108" borderId="848" xfId="140" applyNumberFormat="1" applyFont="1" applyFill="1" applyBorder="1" applyAlignment="1">
      <alignment horizontal="center" vertical="center" wrapText="1"/>
    </xf>
    <xf numFmtId="195" fontId="243" fillId="108" borderId="817" xfId="140" applyNumberFormat="1" applyFont="1" applyFill="1" applyBorder="1" applyAlignment="1">
      <alignment horizontal="center" vertical="center" wrapText="1"/>
    </xf>
    <xf numFmtId="195" fontId="243" fillId="108" borderId="739" xfId="140" applyNumberFormat="1" applyFont="1" applyFill="1" applyBorder="1" applyAlignment="1">
      <alignment horizontal="right" vertical="center" wrapText="1"/>
    </xf>
    <xf numFmtId="195" fontId="243" fillId="108" borderId="750" xfId="140" applyNumberFormat="1" applyFont="1" applyFill="1" applyBorder="1" applyAlignment="1">
      <alignment horizontal="right" vertical="center" wrapText="1"/>
    </xf>
    <xf numFmtId="0" fontId="243" fillId="108" borderId="747" xfId="140" applyFont="1" applyBorder="1" applyAlignment="1">
      <alignment horizontal="right" vertical="center"/>
    </xf>
    <xf numFmtId="195" fontId="243" fillId="108" borderId="842" xfId="140" applyNumberFormat="1" applyFont="1" applyFill="1" applyBorder="1" applyAlignment="1">
      <alignment horizontal="center" vertical="center"/>
    </xf>
    <xf numFmtId="195" fontId="243" fillId="108" borderId="799" xfId="140" applyNumberFormat="1" applyFont="1" applyFill="1" applyBorder="1" applyAlignment="1">
      <alignment horizontal="center" vertical="center"/>
    </xf>
    <xf numFmtId="195" fontId="243" fillId="108" borderId="798" xfId="140" applyNumberFormat="1" applyFont="1" applyFill="1" applyBorder="1" applyAlignment="1">
      <alignment horizontal="center" vertical="center"/>
    </xf>
    <xf numFmtId="0" fontId="243" fillId="108" borderId="799" xfId="140" applyFont="1" applyBorder="1" applyAlignment="1">
      <alignment horizontal="right" vertical="center"/>
    </xf>
    <xf numFmtId="189" fontId="243" fillId="108" borderId="743" xfId="140" applyNumberFormat="1" applyFont="1" applyBorder="1" applyAlignment="1">
      <alignment horizontal="center" wrapText="1"/>
    </xf>
    <xf numFmtId="0" fontId="246" fillId="123" borderId="731" xfId="140" applyFont="1" applyFill="1" applyBorder="1" applyAlignment="1">
      <alignment horizontal="distributed" vertical="center"/>
    </xf>
    <xf numFmtId="0" fontId="246" fillId="123" borderId="730" xfId="140" applyFont="1" applyFill="1" applyBorder="1" applyAlignment="1">
      <alignment horizontal="distributed" vertical="center"/>
    </xf>
    <xf numFmtId="0" fontId="246" fillId="123" borderId="800" xfId="140" applyFont="1" applyFill="1" applyBorder="1" applyAlignment="1">
      <alignment horizontal="distributed" vertical="center"/>
    </xf>
    <xf numFmtId="0" fontId="246" fillId="123" borderId="895" xfId="140" applyFont="1" applyFill="1" applyBorder="1" applyAlignment="1">
      <alignment horizontal="distributed" vertical="center"/>
    </xf>
    <xf numFmtId="0" fontId="246" fillId="123" borderId="926" xfId="140" applyFont="1" applyFill="1" applyBorder="1" applyAlignment="1">
      <alignment horizontal="distributed" vertical="center"/>
    </xf>
    <xf numFmtId="0" fontId="246" fillId="123" borderId="896" xfId="140" applyFont="1" applyFill="1" applyBorder="1" applyAlignment="1">
      <alignment horizontal="distributed" vertical="center"/>
    </xf>
    <xf numFmtId="0" fontId="246" fillId="123" borderId="861" xfId="140" applyFont="1" applyFill="1" applyBorder="1" applyAlignment="1">
      <alignment horizontal="distributed" vertical="center"/>
    </xf>
    <xf numFmtId="0" fontId="246" fillId="123" borderId="867" xfId="140" applyFont="1" applyFill="1" applyBorder="1" applyAlignment="1">
      <alignment horizontal="distributed" vertical="center"/>
    </xf>
    <xf numFmtId="0" fontId="246" fillId="123" borderId="911" xfId="140" applyFont="1" applyFill="1" applyBorder="1" applyAlignment="1">
      <alignment horizontal="distributed" vertical="center"/>
    </xf>
    <xf numFmtId="0" fontId="246" fillId="123" borderId="883" xfId="140" applyFont="1" applyFill="1" applyBorder="1" applyAlignment="1">
      <alignment horizontal="distributed" vertical="center"/>
    </xf>
    <xf numFmtId="0" fontId="246" fillId="123" borderId="869" xfId="140" applyFont="1" applyFill="1" applyBorder="1" applyAlignment="1">
      <alignment horizontal="distributed" vertical="center"/>
    </xf>
    <xf numFmtId="0" fontId="246" fillId="123" borderId="875" xfId="140" applyFont="1" applyFill="1" applyBorder="1" applyAlignment="1">
      <alignment horizontal="distributed" vertical="center"/>
    </xf>
    <xf numFmtId="0" fontId="246" fillId="123" borderId="862" xfId="140" applyFont="1" applyFill="1" applyBorder="1" applyAlignment="1">
      <alignment horizontal="distributed" vertical="center"/>
    </xf>
    <xf numFmtId="0" fontId="246" fillId="123" borderId="908" xfId="140" applyFont="1" applyFill="1" applyBorder="1" applyAlignment="1">
      <alignment horizontal="distributed" vertical="center"/>
    </xf>
    <xf numFmtId="0" fontId="246" fillId="123" borderId="899" xfId="140" applyFont="1" applyFill="1" applyBorder="1" applyAlignment="1">
      <alignment horizontal="distributed" vertical="center"/>
    </xf>
    <xf numFmtId="0" fontId="273" fillId="108" borderId="725" xfId="131" applyFont="1" applyFill="1" applyBorder="1"/>
    <xf numFmtId="38" fontId="274" fillId="108" borderId="725" xfId="132" applyFont="1" applyFill="1" applyBorder="1" applyAlignment="1">
      <alignment horizontal="center"/>
    </xf>
    <xf numFmtId="38" fontId="273" fillId="108" borderId="725" xfId="132" applyFont="1" applyFill="1" applyBorder="1"/>
    <xf numFmtId="38" fontId="275" fillId="108" borderId="725" xfId="132" applyFont="1" applyFill="1" applyBorder="1"/>
    <xf numFmtId="38" fontId="273" fillId="108" borderId="725" xfId="132" applyFont="1" applyFill="1" applyBorder="1" applyAlignment="1">
      <alignment horizontal="right"/>
    </xf>
    <xf numFmtId="38" fontId="276" fillId="108" borderId="725" xfId="132" applyFont="1" applyFill="1" applyBorder="1"/>
    <xf numFmtId="0" fontId="273" fillId="108" borderId="739" xfId="131" applyFont="1" applyFill="1" applyBorder="1"/>
    <xf numFmtId="38" fontId="273" fillId="108" borderId="812" xfId="132" applyFont="1" applyFill="1" applyBorder="1"/>
    <xf numFmtId="0" fontId="273" fillId="108" borderId="795" xfId="131" applyFont="1" applyFill="1" applyBorder="1"/>
    <xf numFmtId="0" fontId="273" fillId="108" borderId="812" xfId="131" applyFont="1" applyFill="1" applyBorder="1"/>
    <xf numFmtId="38" fontId="275" fillId="108" borderId="812" xfId="132" applyFont="1" applyFill="1" applyBorder="1"/>
    <xf numFmtId="0" fontId="273" fillId="108" borderId="777" xfId="131" applyFont="1" applyFill="1" applyBorder="1"/>
    <xf numFmtId="0" fontId="273" fillId="108" borderId="761" xfId="131" applyFont="1" applyFill="1" applyBorder="1"/>
    <xf numFmtId="38" fontId="273" fillId="113" borderId="725" xfId="132" applyFont="1" applyFill="1" applyBorder="1" applyAlignment="1">
      <alignment horizontal="right"/>
    </xf>
    <xf numFmtId="38" fontId="273" fillId="119" borderId="725" xfId="132" applyFont="1" applyFill="1" applyBorder="1" applyAlignment="1">
      <alignment horizontal="right"/>
    </xf>
    <xf numFmtId="38" fontId="273" fillId="108" borderId="725" xfId="132" applyFont="1" applyFill="1" applyBorder="1" applyAlignment="1">
      <alignment horizontal="right"/>
    </xf>
    <xf numFmtId="38" fontId="273" fillId="114" borderId="725" xfId="132" applyFont="1" applyFill="1" applyBorder="1" applyAlignment="1">
      <alignment horizontal="right"/>
    </xf>
    <xf numFmtId="0" fontId="273" fillId="108" borderId="829" xfId="131" applyFont="1" applyFill="1" applyBorder="1"/>
    <xf numFmtId="0" fontId="273" fillId="108" borderId="828" xfId="131" applyFont="1" applyFill="1" applyBorder="1"/>
    <xf numFmtId="0" fontId="273" fillId="108" borderId="827" xfId="131" applyFont="1" applyFill="1" applyBorder="1"/>
    <xf numFmtId="38" fontId="273" fillId="113" borderId="725" xfId="132" applyFont="1" applyFill="1" applyBorder="1" applyAlignment="1">
      <alignment horizontal="right"/>
    </xf>
    <xf numFmtId="0" fontId="273" fillId="108" borderId="825" xfId="131" applyFont="1" applyFill="1" applyBorder="1"/>
    <xf numFmtId="38" fontId="273" fillId="108" borderId="824" xfId="132" applyFont="1" applyFill="1" applyBorder="1"/>
    <xf numFmtId="38" fontId="275" fillId="108" borderId="824" xfId="132" applyFont="1" applyFill="1" applyBorder="1"/>
    <xf numFmtId="0" fontId="273" fillId="108" borderId="826" xfId="131" applyFont="1" applyFill="1" applyBorder="1"/>
    <xf numFmtId="38" fontId="273" fillId="108" borderId="828" xfId="132" applyFont="1" applyFill="1" applyBorder="1"/>
    <xf numFmtId="38" fontId="273" fillId="113" borderId="828" xfId="132" applyFont="1" applyFill="1" applyBorder="1"/>
    <xf numFmtId="38" fontId="273" fillId="113" borderId="725" xfId="132" applyFont="1" applyFill="1" applyBorder="1"/>
    <xf numFmtId="38" fontId="273" fillId="108" borderId="833" xfId="132" applyFont="1" applyFill="1" applyBorder="1"/>
    <xf numFmtId="38" fontId="273" fillId="108" borderId="831" xfId="132" applyFont="1" applyFill="1" applyBorder="1"/>
    <xf numFmtId="0" fontId="273" fillId="108" borderId="832" xfId="131" applyFont="1" applyFill="1" applyBorder="1"/>
    <xf numFmtId="38" fontId="273" fillId="108" borderId="831" xfId="132" applyFont="1" applyFill="1" applyBorder="1" applyAlignment="1">
      <alignment horizontal="right"/>
    </xf>
    <xf numFmtId="38" fontId="277" fillId="108" borderId="831" xfId="132" applyFont="1" applyFill="1" applyBorder="1"/>
    <xf numFmtId="193" fontId="273" fillId="108" borderId="725" xfId="132" applyNumberFormat="1" applyFont="1" applyFill="1" applyBorder="1"/>
    <xf numFmtId="38" fontId="273" fillId="119" borderId="725" xfId="132" applyFont="1" applyFill="1" applyBorder="1"/>
    <xf numFmtId="189" fontId="273" fillId="111" borderId="725" xfId="132" applyNumberFormat="1" applyFont="1" applyFill="1" applyBorder="1"/>
    <xf numFmtId="189" fontId="273" fillId="119" borderId="725" xfId="132" applyNumberFormat="1" applyFont="1" applyFill="1" applyBorder="1"/>
    <xf numFmtId="38" fontId="273" fillId="110" borderId="725" xfId="132" applyFont="1" applyFill="1" applyBorder="1"/>
    <xf numFmtId="38" fontId="273" fillId="108" borderId="824" xfId="132" applyFont="1" applyFill="1" applyBorder="1" applyAlignment="1">
      <alignment horizontal="right"/>
    </xf>
    <xf numFmtId="38" fontId="277" fillId="108" borderId="725" xfId="132" applyFont="1" applyFill="1" applyBorder="1"/>
    <xf numFmtId="193" fontId="273" fillId="110" borderId="725" xfId="132" applyNumberFormat="1" applyFont="1" applyFill="1" applyBorder="1"/>
    <xf numFmtId="38" fontId="273" fillId="108" borderId="830" xfId="132" applyFont="1" applyFill="1" applyBorder="1"/>
    <xf numFmtId="38" fontId="273" fillId="108" borderId="828" xfId="132" applyFont="1" applyFill="1" applyBorder="1" applyAlignment="1">
      <alignment horizontal="right"/>
    </xf>
    <xf numFmtId="0" fontId="273" fillId="108" borderId="824" xfId="131" applyFont="1" applyFill="1" applyBorder="1"/>
    <xf numFmtId="0" fontId="273" fillId="108" borderId="823" xfId="131" applyFont="1" applyFill="1" applyBorder="1"/>
    <xf numFmtId="38" fontId="273" fillId="108" borderId="765" xfId="132" applyFont="1" applyFill="1" applyBorder="1"/>
    <xf numFmtId="0" fontId="273" fillId="108" borderId="822" xfId="131" applyFont="1" applyFill="1" applyBorder="1"/>
    <xf numFmtId="0" fontId="273" fillId="108" borderId="821" xfId="131" applyFont="1" applyFill="1" applyBorder="1"/>
    <xf numFmtId="0" fontId="273" fillId="108" borderId="820" xfId="131" applyFont="1" applyFill="1" applyBorder="1"/>
    <xf numFmtId="0" fontId="273" fillId="108" borderId="797" xfId="131" applyFont="1" applyFill="1" applyBorder="1"/>
    <xf numFmtId="38" fontId="273" fillId="108" borderId="811" xfId="132" applyFont="1" applyFill="1" applyBorder="1" applyAlignment="1">
      <alignment horizontal="right"/>
    </xf>
    <xf numFmtId="0" fontId="273" fillId="108" borderId="811" xfId="131" applyFont="1" applyFill="1" applyBorder="1"/>
    <xf numFmtId="0" fontId="273" fillId="108" borderId="819" xfId="131" applyFont="1" applyFill="1" applyBorder="1"/>
    <xf numFmtId="38" fontId="273" fillId="108" borderId="726" xfId="132" applyFont="1" applyFill="1" applyBorder="1"/>
    <xf numFmtId="0" fontId="273" fillId="108" borderId="818" xfId="131" applyFont="1" applyFill="1" applyBorder="1"/>
    <xf numFmtId="0" fontId="273" fillId="108" borderId="796" xfId="131" applyFont="1" applyFill="1" applyBorder="1"/>
    <xf numFmtId="38" fontId="278" fillId="108" borderId="725" xfId="132" applyFont="1" applyFill="1" applyBorder="1" applyAlignment="1">
      <alignment horizontal="right"/>
    </xf>
    <xf numFmtId="38" fontId="273" fillId="114" borderId="725" xfId="131" applyNumberFormat="1" applyFont="1" applyFill="1" applyBorder="1" applyAlignment="1">
      <alignment shrinkToFit="1"/>
    </xf>
    <xf numFmtId="192" fontId="278" fillId="108" borderId="725" xfId="131" applyNumberFormat="1" applyFont="1" applyFill="1" applyBorder="1" applyAlignment="1">
      <alignment horizontal="right" shrinkToFit="1"/>
    </xf>
    <xf numFmtId="192" fontId="273" fillId="108" borderId="725" xfId="131" applyNumberFormat="1" applyFont="1" applyFill="1" applyBorder="1" applyAlignment="1">
      <alignment horizontal="center"/>
    </xf>
    <xf numFmtId="38" fontId="273" fillId="108" borderId="725" xfId="131" applyNumberFormat="1" applyFont="1" applyFill="1" applyBorder="1"/>
  </cellXfs>
  <cellStyles count="15">
    <cellStyle name="パーセント" xfId="2" builtinId="5"/>
    <cellStyle name="パーセント 2" xfId="3"/>
    <cellStyle name="桁区切り" xfId="1" builtinId="6"/>
    <cellStyle name="桁区切り 2" xfId="4"/>
    <cellStyle name="桁区切り 2 2" xfId="5"/>
    <cellStyle name="桁区切り 3" xfId="6"/>
    <cellStyle name="桁区切り 4" xfId="7"/>
    <cellStyle name="標準" xfId="0" builtinId="0"/>
    <cellStyle name="標準 2" xfId="8"/>
    <cellStyle name="標準 2 2" xfId="9"/>
    <cellStyle name="標準 3" xfId="10"/>
    <cellStyle name="標準 4" xfId="11"/>
    <cellStyle name="標準 5" xfId="12"/>
    <cellStyle name="標準 6" xfId="13"/>
    <cellStyle name="標準 7" xfId="14"/>
  </cellStyles>
  <dxfs count="532">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rgb="FFFFFF00"/>
          <bgColor rgb="FF0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s>
  <tableStyles count="0" defaultTableStyle="TableStyleMedium2" defaultPivotStyle="PivotStyleLight16"/>
  <colors>
    <mruColors>
      <color rgb="FFFF66FF"/>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1_comments1.xml><?xml version="1.0" encoding="utf-8"?>
<comments xmlns="http://schemas.openxmlformats.org/spreadsheetml/2006/main">
  <authors>
    <author>work</author>
  </authors>
  <commentList>
    <comment ref="A856" authorId="0" shapeId="0">
      <text>
        <r>
          <rPr>
            <b/>
            <sz val="9"/>
            <color indexed="81"/>
            <rFont val="MS P ゴシック"/>
            <family val="3"/>
            <charset val="128"/>
          </rPr>
          <t>work:</t>
        </r>
        <r>
          <rPr>
            <sz val="9"/>
            <color indexed="81"/>
            <rFont val="MS P ゴシック"/>
            <family val="3"/>
            <charset val="128"/>
          </rPr>
          <t xml:space="preserve">
R4決算から</t>
        </r>
      </text>
    </comment>
  </commentList>
</comments>
</file>

<file path=xl/w1_comments2.xml><?xml version="1.0" encoding="utf-8"?>
<comments xmlns="http://schemas.openxmlformats.org/spreadsheetml/2006/main">
  <authors>
    <author>経理</author>
  </authors>
  <commentList>
    <comment ref="AZ8" authorId="0" shapeId="0">
      <text>
        <r>
          <rPr>
            <sz val="9"/>
            <color indexed="81"/>
            <rFont val="MS P ゴシック"/>
            <family val="3"/>
            <charset val="128"/>
          </rPr>
          <t>非課税分を加算</t>
        </r>
      </text>
    </comment>
  </commentList>
</comments>
</file>

<file path=xl/w1_comments3.xml><?xml version="1.0" encoding="utf-8"?>
<comments xmlns="http://schemas.openxmlformats.org/spreadsheetml/2006/main">
  <authors>
    <author>広島市</author>
    <author>安達 謙介</author>
  </authors>
  <commentList>
    <comment ref="E25" authorId="0" shapeId="0">
      <text>
        <r>
          <rPr>
            <b/>
            <sz val="9"/>
            <color indexed="81"/>
            <rFont val="ＭＳ Ｐゴシック"/>
            <family val="3"/>
            <charset val="128"/>
          </rPr>
          <t>ここに消費税額を入れてしまうと、不課税収入区分表の按分計算がおかしくなるので、入れないこと。</t>
        </r>
      </text>
    </comment>
    <comment ref="L50" authorId="0" shapeId="0">
      <text>
        <r>
          <rPr>
            <sz val="9"/>
            <color indexed="81"/>
            <rFont val="ＭＳ Ｐゴシック"/>
            <family val="3"/>
            <charset val="128"/>
          </rPr>
          <t xml:space="preserve">汚水基準外、'水質・普及・水洗化は、チェック用に集計しているのみで、ここを参照するところはない。
</t>
        </r>
      </text>
    </comment>
    <comment ref="N50" authorId="0" shapeId="0">
      <text>
        <r>
          <rPr>
            <sz val="9"/>
            <color indexed="81"/>
            <rFont val="ＭＳ Ｐゴシック"/>
            <family val="3"/>
            <charset val="128"/>
          </rPr>
          <t xml:space="preserve">汚水基準外、'水質・普及・水洗化は、チェック用に集計しているのみで、ここを参照するところはない。
</t>
        </r>
      </text>
    </comment>
    <comment ref="E53" authorId="0" shapeId="0">
      <text>
        <r>
          <rPr>
            <b/>
            <sz val="9"/>
            <color indexed="81"/>
            <rFont val="ＭＳ Ｐゴシック"/>
            <family val="3"/>
            <charset val="128"/>
          </rPr>
          <t>不課税収入区分表（一般会計負担金）で使用。</t>
        </r>
      </text>
    </comment>
    <comment ref="K53" authorId="0" shapeId="0">
      <text>
        <r>
          <rPr>
            <b/>
            <sz val="9"/>
            <color indexed="81"/>
            <rFont val="ＭＳ Ｐゴシック"/>
            <family val="3"/>
            <charset val="128"/>
          </rPr>
          <t>不課税収入区分表（一般会計負担金）で使用。</t>
        </r>
      </text>
    </comment>
    <comment ref="M70" authorId="1" shapeId="0">
      <text>
        <r>
          <rPr>
            <b/>
            <sz val="9"/>
            <color indexed="81"/>
            <rFont val="MS P ゴシック"/>
            <family val="3"/>
            <charset val="128"/>
          </rPr>
          <t>R5決算：手入力</t>
        </r>
      </text>
    </comment>
    <comment ref="N81" authorId="0" shapeId="0">
      <text>
        <r>
          <rPr>
            <sz val="9"/>
            <color indexed="81"/>
            <rFont val="ＭＳ Ｐゴシック"/>
            <family val="3"/>
            <charset val="128"/>
          </rPr>
          <t>汚水基準外、水質・普及・水洗化は、チェック用に集計しているのみで、ここを他のセルで参照することはない。</t>
        </r>
      </text>
    </comment>
    <comment ref="N82" authorId="1" shapeId="0">
      <text>
        <r>
          <rPr>
            <b/>
            <sz val="9"/>
            <color indexed="81"/>
            <rFont val="MS P ゴシック"/>
            <family val="3"/>
            <charset val="128"/>
          </rPr>
          <t>R5決算：固定資産売却損の金額10,315,355と一致（もし、雨水の売却損がある場合は、上表を修正する必要があるかも）</t>
        </r>
      </text>
    </comment>
  </commentList>
</comments>
</file>

<file path=xl/w1_comments4.xml><?xml version="1.0" encoding="utf-8"?>
<comments xmlns="http://schemas.openxmlformats.org/spreadsheetml/2006/main">
  <authors>
    <author>安達 謙介</author>
  </authors>
  <commentList>
    <comment ref="T19" authorId="0" shapeId="0">
      <text>
        <r>
          <rPr>
            <sz val="9"/>
            <color indexed="81"/>
            <rFont val="MS P ゴシック"/>
            <family val="3"/>
            <charset val="128"/>
          </rPr>
          <t>R5決算
インボイス制度開始に伴い追加
なお、当該控除できない消費税額については、本来であれば雨汚水シートで一般会計負担金に反映させるべきであるが、金額が少額であること、一般会計に対して保守的な請求とできることから、当面汚水経費扱いとする。
もし、当該金額が増大した場合は、雨汚水シートを改修し、適切に按分できるようにすることを検討してください。</t>
        </r>
      </text>
    </comment>
  </commentList>
</comments>
</file>

<file path=xl/w1_comments5.xml><?xml version="1.0" encoding="utf-8"?>
<comments xmlns="http://schemas.openxmlformats.org/spreadsheetml/2006/main">
  <authors>
    <author>work</author>
    <author>楠 宏</author>
    <author>経理</author>
  </authors>
  <commentList>
    <comment ref="D3" authorId="0" shapeId="0">
      <text>
        <r>
          <rPr>
            <sz val="9"/>
            <color indexed="81"/>
            <rFont val="MS P ゴシック"/>
            <family val="3"/>
            <charset val="128"/>
          </rPr>
          <t>ここで費目を分けておくと、７月ころに作成する連結財務書類の作成が楽</t>
        </r>
      </text>
    </comment>
    <comment ref="D6" authorId="1" shapeId="0">
      <text>
        <r>
          <rPr>
            <b/>
            <sz val="9"/>
            <color indexed="81"/>
            <rFont val="ＭＳ Ｐゴシック"/>
            <family val="3"/>
            <charset val="128"/>
          </rPr>
          <t>件名を「減額」でしばって抽出
H28は上記条件に合わないものがあったので、還付金、前払返還利息以外で探した。</t>
        </r>
      </text>
    </comment>
    <comment ref="D7" authorId="1" shapeId="0">
      <text>
        <r>
          <rPr>
            <b/>
            <sz val="9"/>
            <color indexed="81"/>
            <rFont val="ＭＳ Ｐゴシック"/>
            <family val="3"/>
            <charset val="128"/>
          </rPr>
          <t>「還付金」で件名をしばって抽出</t>
        </r>
      </text>
    </comment>
    <comment ref="D8" authorId="1" shapeId="0">
      <text>
        <r>
          <rPr>
            <b/>
            <sz val="9"/>
            <color indexed="81"/>
            <rFont val="ＭＳ Ｐゴシック"/>
            <family val="3"/>
            <charset val="128"/>
          </rPr>
          <t>H28までは「占用料の過納金の還付」。この場合、件名を「占用」でしばって抽出
H29は該当が無く、「過年度分公有財産使用料」とした。</t>
        </r>
      </text>
    </comment>
    <comment ref="D9" authorId="2" shapeId="0">
      <text>
        <r>
          <rPr>
            <b/>
            <sz val="9"/>
            <color indexed="81"/>
            <rFont val="MS P ゴシック"/>
            <family val="3"/>
            <charset val="128"/>
          </rPr>
          <t>R3決算：下水道使用料（農集）の未収金貸倒引当金の更正に伴う特別損失</t>
        </r>
        <r>
          <rPr>
            <sz val="9"/>
            <color indexed="81"/>
            <rFont val="MS P ゴシック"/>
            <family val="3"/>
            <charset val="128"/>
          </rPr>
          <t xml:space="preserve">
</t>
        </r>
      </text>
    </comment>
    <comment ref="E18" authorId="1" shapeId="0">
      <text>
        <r>
          <rPr>
            <b/>
            <sz val="9"/>
            <color indexed="81"/>
            <rFont val="ＭＳ Ｐゴシック"/>
            <family val="3"/>
            <charset val="128"/>
          </rPr>
          <t>下水道事業受益者負担金に係る過年度収納済調定の更正による過誤納還付
資本費　汚水</t>
        </r>
      </text>
    </comment>
    <comment ref="E20" authorId="1" shapeId="0">
      <text>
        <r>
          <rPr>
            <b/>
            <sz val="9"/>
            <color indexed="81"/>
            <rFont val="ＭＳ Ｐゴシック"/>
            <family val="3"/>
            <charset val="128"/>
          </rPr>
          <t>平成２３年度排水設備取付管工事受託収入の調定誤りの修正
５％
資本費　汚水</t>
        </r>
      </text>
    </comment>
  </commentList>
</comments>
</file>

<file path=xl/w1_comments6.xml><?xml version="1.0" encoding="utf-8"?>
<comments xmlns="http://schemas.openxmlformats.org/spreadsheetml/2006/main">
  <authors>
    <author>広島市</author>
  </authors>
  <commentList>
    <comment ref="E25" authorId="0" shapeId="0">
      <text>
        <r>
          <rPr>
            <b/>
            <sz val="9"/>
            <color indexed="81"/>
            <rFont val="ＭＳ Ｐゴシック"/>
            <family val="3"/>
            <charset val="128"/>
          </rPr>
          <t>ここに消費税額を入れてしまうと、不課税収入区分表の按分計算がおかしくなるので、入れないこと。</t>
        </r>
      </text>
    </comment>
  </commentList>
</comments>
</file>

<file path=xl/w2_comments1.xml><?xml version="1.0" encoding="utf-8"?>
<comments xmlns="http://schemas.openxmlformats.org/spreadsheetml/2006/main">
  <authors>
    <author>広島市</author>
    <author>河野 昌治</author>
    <author>経理</author>
  </authors>
  <commentList>
    <comment ref="AC3" authorId="0" shapeId="0">
      <text>
        <r>
          <rPr>
            <b/>
            <sz val="9"/>
            <color indexed="81"/>
            <rFont val="ＭＳ Ｐゴシック"/>
            <family val="3"/>
            <charset val="128"/>
          </rPr>
          <t>消費税率の改正があった場合には、改正法附則の経過措置により、適用すべき税率を修正すること。</t>
        </r>
      </text>
    </comment>
    <comment ref="N4" authorId="0" shapeId="0">
      <text>
        <r>
          <rPr>
            <b/>
            <sz val="9"/>
            <color indexed="81"/>
            <rFont val="ＭＳ Ｐゴシック"/>
            <family val="3"/>
            <charset val="128"/>
          </rPr>
          <t>不課税収入区分表から数字を拾っている。</t>
        </r>
      </text>
    </comment>
    <comment ref="J8" authorId="0" shapeId="0">
      <text>
        <r>
          <rPr>
            <sz val="9"/>
            <color indexed="81"/>
            <rFont val="ＭＳ Ｐゴシック"/>
            <family val="3"/>
            <charset val="128"/>
          </rPr>
          <t xml:space="preserve">右の免税売上げを控除しているので、税率改正があった場合は控除するセルを変更する。
</t>
        </r>
        <r>
          <rPr>
            <b/>
            <sz val="9"/>
            <color indexed="10"/>
            <rFont val="ＭＳ Ｐゴシック"/>
            <family val="3"/>
            <charset val="128"/>
          </rPr>
          <t>消費税集計表において免税分を集計する仕様になっていないため、一旦10％で整理している。M8セルに免税額を入力すると当該セルは差引額が表示される。</t>
        </r>
      </text>
    </comment>
    <comment ref="M8" authorId="0" shapeId="0">
      <text>
        <r>
          <rPr>
            <sz val="9"/>
            <color indexed="81"/>
            <rFont val="ＭＳ Ｐゴシック"/>
            <family val="3"/>
            <charset val="128"/>
          </rPr>
          <t>韓国領事館分免税使用料（管理課資料より）</t>
        </r>
      </text>
    </comment>
    <comment ref="BK35" authorId="1" shapeId="0">
      <text>
        <r>
          <rPr>
            <b/>
            <sz val="11"/>
            <color indexed="81"/>
            <rFont val="MS P ゴシック"/>
            <family val="3"/>
            <charset val="128"/>
          </rPr>
          <t>4事業分け前は農集で調整していたが、農集で必要な調整が+1となり、一致させることができないので、全事業は公共で調整することにした。</t>
        </r>
      </text>
    </comment>
    <comment ref="V47" authorId="0" shapeId="0">
      <text>
        <r>
          <rPr>
            <sz val="9"/>
            <color indexed="81"/>
            <rFont val="ＭＳ Ｐゴシック"/>
            <family val="3"/>
            <charset val="128"/>
          </rPr>
          <t>管理課資料から減免分を入力。区域外分は、各事業の減免分の額に応じて、全事業分の減免額を配賦するが、黒字になる事業については、黒字額を減額して入力しなおす。黒字分は残りの赤字事業に配賦する。</t>
        </r>
      </text>
    </comment>
    <comment ref="T76" authorId="2" shapeId="0">
      <text>
        <r>
          <rPr>
            <b/>
            <sz val="9"/>
            <color indexed="81"/>
            <rFont val="MS P ゴシック"/>
            <family val="3"/>
            <charset val="128"/>
          </rPr>
          <t>災害減免について公共（R6.4.26 使用料係　宮本係長に確認）</t>
        </r>
      </text>
    </comment>
  </commentList>
</comments>
</file>

<file path=xl/w4_comments1.xml><?xml version="1.0" encoding="utf-8"?>
<comments xmlns="http://schemas.openxmlformats.org/spreadsheetml/2006/main">
  <authors>
    <author>広島市</author>
    <author>安達 謙介</author>
    <author>河野 昌治</author>
  </authors>
  <commentList>
    <comment ref="AC3" authorId="0" shapeId="0">
      <text>
        <r>
          <rPr>
            <b/>
            <sz val="9"/>
            <color indexed="81"/>
            <rFont val="ＭＳ Ｐゴシック"/>
            <family val="3"/>
            <charset val="128"/>
          </rPr>
          <t>消費税率の改正があった場合には、改正法附則の経過措置により、適用すべき税率を修正すること。</t>
        </r>
      </text>
    </comment>
    <comment ref="N4" authorId="0" shapeId="0">
      <text>
        <r>
          <rPr>
            <b/>
            <sz val="9"/>
            <color indexed="81"/>
            <rFont val="ＭＳ Ｐゴシック"/>
            <family val="3"/>
            <charset val="128"/>
          </rPr>
          <t>不課税収入区分表から数字を拾っている。</t>
        </r>
      </text>
    </comment>
    <comment ref="E22" authorId="0" shapeId="0">
      <text>
        <r>
          <rPr>
            <b/>
            <sz val="9"/>
            <color indexed="10"/>
            <rFont val="ＭＳ Ｐゴシック"/>
            <family val="3"/>
            <charset val="128"/>
          </rPr>
          <t>【全事業】(繰)案'シートのE38セルの値を必ず直打ちすること。
【事業別】それぞれ分を入力する。</t>
        </r>
      </text>
    </comment>
    <comment ref="D31" authorId="1" shapeId="0">
      <text>
        <r>
          <rPr>
            <b/>
            <sz val="9"/>
            <color indexed="81"/>
            <rFont val="MS P ゴシック"/>
            <family val="3"/>
            <charset val="128"/>
          </rPr>
          <t>区域外は、地方創生汚水処理施設整備推進交付金（旧：汚水処理施設整備交付金）、循環型社会形成推進交付金を集計させる（細節を必要に応じて修正）</t>
        </r>
        <r>
          <rPr>
            <sz val="9"/>
            <color indexed="81"/>
            <rFont val="MS P ゴシック"/>
            <family val="3"/>
            <charset val="128"/>
          </rPr>
          <t xml:space="preserve">
</t>
        </r>
      </text>
    </comment>
    <comment ref="AV40" authorId="2" shapeId="0">
      <text>
        <r>
          <rPr>
            <b/>
            <sz val="11"/>
            <color indexed="81"/>
            <rFont val="MS P ゴシック"/>
            <family val="3"/>
            <charset val="128"/>
          </rPr>
          <t>4事業分け前は公共で調整していたが、特環で調整する必要があり、調整場所が工事負担金しかなかったので、全事業でも特環で調整した。</t>
        </r>
      </text>
    </comment>
  </commentList>
</comments>
</file>

<file path=xl/w5_comments1.xml><?xml version="1.0" encoding="utf-8"?>
<comments xmlns="http://schemas.openxmlformats.org/spreadsheetml/2006/main">
  <authors>
    <author>広島市</author>
    <author>楠 宏</author>
    <author>4202453</author>
    <author>work</author>
    <author>安達 謙介</author>
    <author>経理</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
R5決算：西部包括的民間委託の委託料の追加措置の財源として、地方創生臨時交付金を充てるよう</t>
        </r>
        <r>
          <rPr>
            <u/>
            <sz val="9"/>
            <color indexed="81"/>
            <rFont val="ＭＳ Ｐゴシック"/>
            <family val="3"/>
            <charset val="128"/>
          </rPr>
          <t>2月</t>
        </r>
        <r>
          <rPr>
            <sz val="9"/>
            <color indexed="81"/>
            <rFont val="ＭＳ Ｐゴシック"/>
            <family val="3"/>
            <charset val="128"/>
          </rPr>
          <t>補正を編成（52,311千円）⇒決算の結果、51475850円→雨汚水分けの金額に同額を加算</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
★R5決算：西部包括的民間委託の委託料の追加措置の財源として、地方創生臨時交付金を充てるよう2月補正を編成（52,311千円）⇒決算の結果、51475850円→雨汚水分けの金額に同額を控除</t>
        </r>
      </text>
    </comment>
    <comment ref="R12" authorId="0" shapeId="0">
      <text>
        <r>
          <rPr>
            <sz val="9"/>
            <color indexed="81"/>
            <rFont val="ＭＳ Ｐゴシック"/>
            <family val="3"/>
            <charset val="128"/>
          </rPr>
          <t>補助金は不課税、報酬の大半は不課税のため、税込の割合で按分するにはなじまない。</t>
        </r>
      </text>
    </comment>
    <comment ref="H13" authorId="0" shapeId="0">
      <text>
        <r>
          <rPr>
            <sz val="9"/>
            <color indexed="81"/>
            <rFont val="ＭＳ Ｐゴシック"/>
            <family val="3"/>
            <charset val="128"/>
          </rPr>
          <t>水洗化貸付事業費全額
=+E13</t>
        </r>
      </text>
    </comment>
    <comment ref="R13" authorId="0" shapeId="0">
      <text>
        <r>
          <rPr>
            <b/>
            <sz val="9"/>
            <color indexed="81"/>
            <rFont val="ＭＳ Ｐゴシック"/>
            <family val="3"/>
            <charset val="128"/>
          </rPr>
          <t>水洗化貸付事業費全額
=+O13</t>
        </r>
      </text>
    </comment>
    <comment ref="H14" authorId="2" shapeId="0">
      <text>
        <r>
          <rPr>
            <sz val="11"/>
            <color indexed="81"/>
            <rFont val="ＭＳ Ｐゴシック"/>
            <family val="3"/>
            <charset val="128"/>
          </rPr>
          <t>H30から廃止</t>
        </r>
      </text>
    </comment>
    <comment ref="R14" authorId="0" shapeId="0">
      <text>
        <r>
          <rPr>
            <b/>
            <sz val="9"/>
            <color indexed="81"/>
            <rFont val="ＭＳ Ｐゴシック"/>
            <family val="3"/>
            <charset val="128"/>
          </rPr>
          <t>使用料減免に要する人件費の課税割合で算出
=+ROUND(L14/SUM(業務!E5:E9,業務!E34)*SUM(業務!R5:R9,業務!R34),0)</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b/>
            <sz val="9"/>
            <color indexed="81"/>
            <rFont val="ＭＳ Ｐゴシック"/>
            <family val="3"/>
            <charset val="128"/>
          </rPr>
          <t>管きょ費から業務費までの加重平均で按分
=+ROUND((総係!$R$36-総係!$R$35-$U$15)*SUM(O7:O14)/SUM($O$7:$P$14,$R$7:$S$14),0)</t>
        </r>
      </text>
    </comment>
    <comment ref="Q15" authorId="0" shapeId="0">
      <text>
        <r>
          <rPr>
            <b/>
            <sz val="9"/>
            <color indexed="81"/>
            <rFont val="ＭＳ Ｐゴシック"/>
            <family val="3"/>
            <charset val="128"/>
          </rPr>
          <t>管きょ費から業務費までの加重平均で按分
=+ROUND((総係!$R$36-総係!$R$35-$L$15)*SUM(P7:P14)/SUM($O$7:$P$14,$R$7:$S$14),0)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J16" authorId="3" shapeId="0">
      <text>
        <r>
          <rPr>
            <sz val="9"/>
            <color indexed="81"/>
            <rFont val="MS P ゴシック"/>
            <family val="3"/>
            <charset val="128"/>
          </rPr>
          <t>R5年決算：指定管理料の追加措置の財源として、臨時交付金を充てるよう12月補正を編成（623千円）→決算の結果、あたらないことになった。</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J17" authorId="3" shapeId="0">
      <text>
        <r>
          <rPr>
            <sz val="9"/>
            <color indexed="81"/>
            <rFont val="MS P ゴシック"/>
            <family val="3"/>
            <charset val="128"/>
          </rPr>
          <t>R5年決算：指定管理料の追加措置の財源として、臨時交付金を充てるよう12月補正を編成（4,311千円）→決算の結果、あたらないことになった。</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固定資産撤去費の工事の件名から、排水区分を確認し、雨汚水を分ける。合流の場合は、管・P・Tのプラン雨汚水按分率を使う。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雨水・汚水折半
=+ROUND(N22/2,0)
～H28までは、一般行政経費としていたが、財計経費区分表に明記されていないためH29より折半する。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5" authorId="0" shapeId="0">
      <text>
        <r>
          <rPr>
            <b/>
            <sz val="9"/>
            <color indexed="81"/>
            <rFont val="ＭＳ Ｐゴシック"/>
            <family val="3"/>
            <charset val="128"/>
          </rPr>
          <t>ここでは入力不要！
下の消費税雑支出加算後の表に自動表示される。）</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O26" authorId="0" shapeId="0">
      <text>
        <r>
          <rPr>
            <b/>
            <sz val="9"/>
            <color indexed="81"/>
            <rFont val="ＭＳ Ｐゴシック"/>
            <family val="3"/>
            <charset val="128"/>
          </rPr>
          <t>ここでは入力不要！
下の消費税雑支出加算後の表に自動表示される。）</t>
        </r>
      </text>
    </comment>
    <comment ref="X26" authorId="4" shapeId="0">
      <text>
        <r>
          <rPr>
            <sz val="9"/>
            <color indexed="81"/>
            <rFont val="MS P ゴシック"/>
            <family val="3"/>
            <charset val="128"/>
          </rPr>
          <t>R5決算
インボイス制度開始に伴い追加
なお、当該控除できない消費税額については、本来であれば雨汚水シートで一般会計負担金に反映させるべきであるが、金額が少額であること、一般会計に対して保守的な請求とできることから、当面汚水経費扱いとする。
もし、当該金額が増大した場合は、雨汚水シートを改修し、適切に按分できるようにすることを検討してください。</t>
        </r>
      </text>
    </comment>
    <comment ref="P28" authorId="0" shapeId="0">
      <text>
        <r>
          <rPr>
            <b/>
            <sz val="9"/>
            <color indexed="81"/>
            <rFont val="ＭＳ Ｐゴシック"/>
            <family val="3"/>
            <charset val="128"/>
          </rPr>
          <t>税込＝税抜　固定</t>
        </r>
      </text>
    </comment>
    <comment ref="Q28" authorId="0" shapeId="0">
      <text>
        <r>
          <rPr>
            <b/>
            <sz val="9"/>
            <color indexed="81"/>
            <rFont val="ＭＳ Ｐゴシック"/>
            <family val="3"/>
            <charset val="128"/>
          </rPr>
          <t>税込＝税抜　固定</t>
        </r>
      </text>
    </comment>
    <comment ref="T28" authorId="0" shapeId="0">
      <text>
        <r>
          <rPr>
            <b/>
            <sz val="9"/>
            <color indexed="81"/>
            <rFont val="ＭＳ Ｐゴシック"/>
            <family val="3"/>
            <charset val="128"/>
          </rPr>
          <t>税込＝税抜　固定</t>
        </r>
      </text>
    </comment>
    <comment ref="U28" authorId="0" shapeId="0">
      <text>
        <r>
          <rPr>
            <b/>
            <sz val="9"/>
            <color indexed="81"/>
            <rFont val="ＭＳ Ｐゴシック"/>
            <family val="3"/>
            <charset val="128"/>
          </rPr>
          <t>税込＝税抜　固定</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し尿分を計上していないが、H32～財計以降は、財計経費区分表に記載の上、基準外繰出し対象とすべき。→財政課査定で対象とならなかった。</t>
        </r>
      </text>
    </comment>
    <comment ref="J34" authorId="5" shapeId="0">
      <text>
        <r>
          <rPr>
            <b/>
            <sz val="9"/>
            <color indexed="81"/>
            <rFont val="MS P ゴシック"/>
            <family val="3"/>
            <charset val="128"/>
          </rPr>
          <t>汚水のうち高度処理に係る減価償却費</t>
        </r>
        <r>
          <rPr>
            <sz val="9"/>
            <color indexed="81"/>
            <rFont val="MS P ゴシック"/>
            <family val="3"/>
            <charset val="128"/>
          </rPr>
          <t xml:space="preserve">
「高度処理に要する経費に対する繰入金算出シート」を参照</t>
        </r>
      </text>
    </comment>
    <comment ref="K34" authorId="5" shapeId="0">
      <text>
        <r>
          <rPr>
            <b/>
            <sz val="9"/>
            <color indexed="81"/>
            <rFont val="MS P ゴシック"/>
            <family val="3"/>
            <charset val="128"/>
          </rPr>
          <t>汚水はすべて基準外汚水に入力（高度処理分を除く）</t>
        </r>
        <r>
          <rPr>
            <sz val="9"/>
            <color indexed="81"/>
            <rFont val="MS P ゴシック"/>
            <family val="3"/>
            <charset val="128"/>
          </rPr>
          <t xml:space="preserve">
</t>
        </r>
      </text>
    </comment>
    <comment ref="P34" authorId="0" shapeId="0">
      <text>
        <r>
          <rPr>
            <b/>
            <sz val="9"/>
            <color indexed="81"/>
            <rFont val="ＭＳ Ｐゴシック"/>
            <family val="3"/>
            <charset val="128"/>
          </rPr>
          <t>税込＝税抜　固定</t>
        </r>
      </text>
    </comment>
    <comment ref="Q34" authorId="0" shapeId="0">
      <text>
        <r>
          <rPr>
            <b/>
            <sz val="9"/>
            <color indexed="81"/>
            <rFont val="ＭＳ Ｐゴシック"/>
            <family val="3"/>
            <charset val="128"/>
          </rPr>
          <t>税込＝税抜　固定</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T34" authorId="0" shapeId="0">
      <text>
        <r>
          <rPr>
            <b/>
            <sz val="9"/>
            <color indexed="81"/>
            <rFont val="ＭＳ Ｐゴシック"/>
            <family val="3"/>
            <charset val="128"/>
          </rPr>
          <t>税込＝税抜　固定</t>
        </r>
      </text>
    </comment>
    <comment ref="U34" authorId="0" shapeId="0">
      <text>
        <r>
          <rPr>
            <b/>
            <sz val="9"/>
            <color indexed="81"/>
            <rFont val="ＭＳ Ｐゴシック"/>
            <family val="3"/>
            <charset val="128"/>
          </rPr>
          <t>税込＝税抜　固定</t>
        </r>
      </text>
    </comment>
    <comment ref="F35" authorId="0" shapeId="0">
      <text>
        <r>
          <rPr>
            <b/>
            <sz val="9"/>
            <color indexed="81"/>
            <rFont val="ＭＳ Ｐゴシック"/>
            <family val="3"/>
            <charset val="128"/>
          </rPr>
          <t>除却費雨汚水分け表より</t>
        </r>
      </text>
    </comment>
    <comment ref="K35" authorId="5" shapeId="0">
      <text>
        <r>
          <rPr>
            <b/>
            <sz val="9"/>
            <color indexed="81"/>
            <rFont val="MS P ゴシック"/>
            <family val="3"/>
            <charset val="128"/>
          </rPr>
          <t>すべて基準外汚水に入力</t>
        </r>
        <r>
          <rPr>
            <sz val="9"/>
            <color indexed="81"/>
            <rFont val="MS P ゴシック"/>
            <family val="3"/>
            <charset val="128"/>
          </rPr>
          <t xml:space="preserve">
</t>
        </r>
      </text>
    </comment>
    <comment ref="P35" authorId="0" shapeId="0">
      <text>
        <r>
          <rPr>
            <b/>
            <sz val="9"/>
            <color indexed="81"/>
            <rFont val="ＭＳ Ｐゴシック"/>
            <family val="3"/>
            <charset val="128"/>
          </rPr>
          <t>税込＝税抜　固定</t>
        </r>
      </text>
    </comment>
    <comment ref="Q35" authorId="0" shapeId="0">
      <text>
        <r>
          <rPr>
            <b/>
            <sz val="9"/>
            <color indexed="81"/>
            <rFont val="ＭＳ Ｐゴシック"/>
            <family val="3"/>
            <charset val="128"/>
          </rPr>
          <t>税込＝税抜　固定</t>
        </r>
      </text>
    </comment>
    <comment ref="T35" authorId="0" shapeId="0">
      <text>
        <r>
          <rPr>
            <b/>
            <sz val="9"/>
            <color indexed="81"/>
            <rFont val="ＭＳ Ｐゴシック"/>
            <family val="3"/>
            <charset val="128"/>
          </rPr>
          <t>税込＝税抜　固定</t>
        </r>
      </text>
    </comment>
    <comment ref="U35" authorId="0" shapeId="0">
      <text>
        <r>
          <rPr>
            <b/>
            <sz val="9"/>
            <color indexed="81"/>
            <rFont val="ＭＳ Ｐゴシック"/>
            <family val="3"/>
            <charset val="128"/>
          </rPr>
          <t>税込＝税抜　固定</t>
        </r>
      </text>
    </comment>
    <comment ref="F37" authorId="0" shapeId="0">
      <text>
        <r>
          <rPr>
            <b/>
            <sz val="9"/>
            <color indexed="81"/>
            <rFont val="ＭＳ Ｐゴシック"/>
            <family val="3"/>
            <charset val="128"/>
          </rPr>
          <t>企業債利息雨汚水分け表より</t>
        </r>
      </text>
    </comment>
    <comment ref="H37" authorId="0" shapeId="0">
      <text>
        <r>
          <rPr>
            <b/>
            <sz val="9"/>
            <color indexed="81"/>
            <rFont val="ＭＳ Ｐゴシック"/>
            <family val="3"/>
            <charset val="128"/>
          </rPr>
          <t>し尿分の利子、災害復旧債（区域外分含む）の利子</t>
        </r>
      </text>
    </comment>
    <comment ref="J37" authorId="5" shapeId="0">
      <text>
        <r>
          <rPr>
            <b/>
            <sz val="9"/>
            <color indexed="81"/>
            <rFont val="MS P ゴシック"/>
            <family val="3"/>
            <charset val="128"/>
          </rPr>
          <t>高度処理に係る利子を含む</t>
        </r>
        <r>
          <rPr>
            <sz val="9"/>
            <color indexed="81"/>
            <rFont val="MS P ゴシック"/>
            <family val="3"/>
            <charset val="128"/>
          </rPr>
          <t xml:space="preserve">
</t>
        </r>
      </text>
    </comment>
    <comment ref="P37" authorId="0" shapeId="0">
      <text>
        <r>
          <rPr>
            <b/>
            <sz val="9"/>
            <color indexed="81"/>
            <rFont val="ＭＳ Ｐゴシック"/>
            <family val="3"/>
            <charset val="128"/>
          </rPr>
          <t>税込＝税抜　固定</t>
        </r>
      </text>
    </comment>
    <comment ref="Q37" authorId="0" shapeId="0">
      <text>
        <r>
          <rPr>
            <b/>
            <sz val="9"/>
            <color indexed="81"/>
            <rFont val="ＭＳ Ｐゴシック"/>
            <family val="3"/>
            <charset val="128"/>
          </rPr>
          <t>税込＝税抜　固定</t>
        </r>
      </text>
    </comment>
    <comment ref="R37" authorId="0" shapeId="0">
      <text>
        <r>
          <rPr>
            <b/>
            <sz val="9"/>
            <color indexed="81"/>
            <rFont val="ＭＳ Ｐゴシック"/>
            <family val="3"/>
            <charset val="128"/>
          </rPr>
          <t>税込＝税抜　固定</t>
        </r>
      </text>
    </comment>
    <comment ref="T37" authorId="0" shapeId="0">
      <text>
        <r>
          <rPr>
            <b/>
            <sz val="9"/>
            <color indexed="81"/>
            <rFont val="ＭＳ Ｐゴシック"/>
            <family val="3"/>
            <charset val="128"/>
          </rPr>
          <t>税込＝税抜　固定</t>
        </r>
      </text>
    </comment>
    <comment ref="U37" authorId="0" shapeId="0">
      <text>
        <r>
          <rPr>
            <b/>
            <sz val="9"/>
            <color indexed="81"/>
            <rFont val="ＭＳ Ｐゴシック"/>
            <family val="3"/>
            <charset val="128"/>
          </rPr>
          <t>税込＝税抜　固定</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税込＝税抜　固定</t>
        </r>
      </text>
    </comment>
    <comment ref="Q42" authorId="0" shapeId="0">
      <text>
        <r>
          <rPr>
            <b/>
            <sz val="9"/>
            <color indexed="81"/>
            <rFont val="ＭＳ Ｐゴシック"/>
            <family val="3"/>
            <charset val="128"/>
          </rPr>
          <t>税込＝税抜　固定</t>
        </r>
      </text>
    </comment>
    <comment ref="T42" authorId="0" shapeId="0">
      <text>
        <r>
          <rPr>
            <b/>
            <sz val="9"/>
            <color indexed="81"/>
            <rFont val="ＭＳ Ｐゴシック"/>
            <family val="3"/>
            <charset val="128"/>
          </rPr>
          <t>税込＝税抜　固定</t>
        </r>
      </text>
    </comment>
    <comment ref="U42" authorId="0" shapeId="0">
      <text>
        <r>
          <rPr>
            <b/>
            <sz val="9"/>
            <color indexed="81"/>
            <rFont val="ＭＳ Ｐゴシック"/>
            <family val="3"/>
            <charset val="128"/>
          </rPr>
          <t>税込＝税抜　固定</t>
        </r>
      </text>
    </comment>
    <comment ref="P43" authorId="0" shapeId="0">
      <text>
        <r>
          <rPr>
            <b/>
            <sz val="9"/>
            <color indexed="81"/>
            <rFont val="ＭＳ Ｐゴシック"/>
            <family val="3"/>
            <charset val="128"/>
          </rPr>
          <t>税込＝税抜　固定</t>
        </r>
      </text>
    </comment>
    <comment ref="Q43" authorId="0" shapeId="0">
      <text>
        <r>
          <rPr>
            <b/>
            <sz val="9"/>
            <color indexed="81"/>
            <rFont val="ＭＳ Ｐゴシック"/>
            <family val="3"/>
            <charset val="128"/>
          </rPr>
          <t>税込＝税抜　固定</t>
        </r>
      </text>
    </comment>
    <comment ref="T43" authorId="0" shapeId="0">
      <text>
        <r>
          <rPr>
            <b/>
            <sz val="9"/>
            <color indexed="81"/>
            <rFont val="ＭＳ Ｐゴシック"/>
            <family val="3"/>
            <charset val="128"/>
          </rPr>
          <t>税込＝税抜　固定</t>
        </r>
      </text>
    </comment>
    <comment ref="U43" authorId="0" shapeId="0">
      <text>
        <r>
          <rPr>
            <b/>
            <sz val="9"/>
            <color indexed="81"/>
            <rFont val="ＭＳ Ｐゴシック"/>
            <family val="3"/>
            <charset val="128"/>
          </rPr>
          <t>税込＝税抜　固定</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b/>
            <sz val="9"/>
            <color indexed="81"/>
            <rFont val="ＭＳ Ｐゴシック"/>
            <family val="3"/>
            <charset val="128"/>
          </rPr>
          <t>税込＝税抜　固定</t>
        </r>
      </text>
    </comment>
    <comment ref="U44" authorId="0" shapeId="0">
      <text>
        <r>
          <rPr>
            <b/>
            <sz val="9"/>
            <color indexed="81"/>
            <rFont val="ＭＳ Ｐゴシック"/>
            <family val="3"/>
            <charset val="128"/>
          </rPr>
          <t>税込＝税抜　固定</t>
        </r>
      </text>
    </comment>
    <comment ref="D61" authorId="0" shapeId="0">
      <text>
        <r>
          <rPr>
            <b/>
            <sz val="9"/>
            <color indexed="81"/>
            <rFont val="ＭＳ Ｐゴシック"/>
            <family val="3"/>
            <charset val="128"/>
          </rPr>
          <t>産物売却代金（西部汚水処理の特財）</t>
        </r>
      </text>
    </comment>
    <comment ref="U61" authorId="0" shapeId="0">
      <text>
        <r>
          <rPr>
            <b/>
            <sz val="9"/>
            <color indexed="81"/>
            <rFont val="ＭＳ Ｐゴシック"/>
            <family val="3"/>
            <charset val="128"/>
          </rPr>
          <t>産物売却代金（西部汚水処理の特財）
=+'3条収入'!E20</t>
        </r>
      </text>
    </comment>
    <comment ref="D62" authorId="0" shapeId="0">
      <text>
        <r>
          <rPr>
            <b/>
            <sz val="9"/>
            <color indexed="81"/>
            <rFont val="ＭＳ Ｐゴシック"/>
            <family val="3"/>
            <charset val="128"/>
          </rPr>
          <t>主に管きょ費の特財</t>
        </r>
      </text>
    </comment>
    <comment ref="P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4811400その他営業収益.xls]その他営業収益'!$AI$6</t>
        </r>
      </text>
    </comment>
    <comment ref="Q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4811400その他営業収益.xls]その他営業収益'!$AJ$6</t>
        </r>
      </text>
    </comment>
    <comment ref="D63" authorId="0" shapeId="0">
      <text>
        <r>
          <rPr>
            <b/>
            <sz val="9"/>
            <color indexed="81"/>
            <rFont val="ＭＳ Ｐゴシック"/>
            <family val="3"/>
            <charset val="128"/>
          </rPr>
          <t>主に管きょ費の特財</t>
        </r>
      </text>
    </comment>
    <comment ref="R63" authorId="0" shapeId="0">
      <text>
        <r>
          <rPr>
            <b/>
            <sz val="9"/>
            <color indexed="81"/>
            <rFont val="ＭＳ Ｐゴシック"/>
            <family val="3"/>
            <charset val="128"/>
          </rPr>
          <t>管きょ費開発行為関係業務のの特財</t>
        </r>
      </text>
    </comment>
    <comment ref="D64" authorId="0" shapeId="0">
      <text>
        <r>
          <rPr>
            <b/>
            <sz val="9"/>
            <color indexed="81"/>
            <rFont val="ＭＳ Ｐゴシック"/>
            <family val="3"/>
            <charset val="128"/>
          </rPr>
          <t>普及促進費の特財</t>
        </r>
      </text>
    </comment>
    <comment ref="R64" authorId="0" shapeId="0">
      <text>
        <r>
          <rPr>
            <b/>
            <sz val="9"/>
            <color indexed="81"/>
            <rFont val="ＭＳ Ｐゴシック"/>
            <family val="3"/>
            <charset val="128"/>
          </rPr>
          <t>普及促進費の特財</t>
        </r>
      </text>
    </comment>
    <comment ref="R65" authorId="0" shapeId="0">
      <text>
        <r>
          <rPr>
            <b/>
            <sz val="9"/>
            <color indexed="81"/>
            <rFont val="ＭＳ Ｐゴシック"/>
            <family val="3"/>
            <charset val="128"/>
          </rPr>
          <t>普及促進費の特財</t>
        </r>
      </text>
    </comment>
    <comment ref="D70" authorId="0" shapeId="0">
      <text>
        <r>
          <rPr>
            <b/>
            <sz val="9"/>
            <color indexed="81"/>
            <rFont val="ＭＳ Ｐゴシック"/>
            <family val="3"/>
            <charset val="128"/>
          </rPr>
          <t>主にポンプ場費の特財</t>
        </r>
      </text>
    </comment>
    <comment ref="P70" authorId="0" shapeId="0">
      <text>
        <r>
          <rPr>
            <b/>
            <sz val="9"/>
            <color indexed="81"/>
            <rFont val="ＭＳ Ｐゴシック"/>
            <family val="3"/>
            <charset val="128"/>
          </rPr>
          <t>主にポンプ場費の特財</t>
        </r>
      </text>
    </comment>
    <comment ref="U70" authorId="0" shapeId="0">
      <text>
        <r>
          <rPr>
            <b/>
            <sz val="9"/>
            <color indexed="81"/>
            <rFont val="ＭＳ Ｐゴシック"/>
            <family val="3"/>
            <charset val="128"/>
          </rPr>
          <t>主にポンプ場費の特財</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E77" authorId="0" shapeId="0">
      <text>
        <r>
          <rPr>
            <b/>
            <sz val="9"/>
            <color indexed="81"/>
            <rFont val="ＭＳ Ｐゴシック"/>
            <family val="3"/>
            <charset val="128"/>
          </rPr>
          <t>ここでは入力不要！
下の消費税雑支出加算後の表に自動表示される。）</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O77" authorId="0" shapeId="0">
      <text>
        <r>
          <rPr>
            <b/>
            <sz val="9"/>
            <color indexed="81"/>
            <rFont val="ＭＳ Ｐゴシック"/>
            <family val="3"/>
            <charset val="128"/>
          </rPr>
          <t>ここでは入力不要！
下の消費税雑支出加算後の表に自動表示される。）</t>
        </r>
      </text>
    </comment>
    <comment ref="X77" authorId="0" shapeId="0">
      <text>
        <r>
          <rPr>
            <b/>
            <sz val="9"/>
            <color indexed="81"/>
            <rFont val="ＭＳ Ｐゴシック"/>
            <family val="3"/>
            <charset val="128"/>
          </rPr>
          <t>貸倒引当金取崩額に係る調整</t>
        </r>
      </text>
    </comment>
    <comment ref="H82" authorId="0" shapeId="0">
      <text>
        <r>
          <rPr>
            <b/>
            <sz val="9"/>
            <color indexed="10"/>
            <rFont val="ＭＳ Ｐゴシック"/>
            <family val="3"/>
            <charset val="128"/>
          </rPr>
          <t>次期財計で使用料、貸付、受益者の貸倒引当金の雨汚水区分を変更した場合には、戻入益の雨汚水区分も変更する。（実際の作業は、収入雨汚水内訳シート内で行う。）</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し尿分を計上していないが、H32～財計以降は、財計経費区分表に記載の上、基準外繰出し対象とすべき。→財政課査定で対象とならなかった。</t>
        </r>
      </text>
    </comment>
    <comment ref="J85" authorId="5" shapeId="0">
      <text>
        <r>
          <rPr>
            <b/>
            <sz val="9"/>
            <color indexed="81"/>
            <rFont val="MS P ゴシック"/>
            <family val="3"/>
            <charset val="128"/>
          </rPr>
          <t>高度処理に係る長期前受入額(高度処理分を按分算定)</t>
        </r>
      </text>
    </comment>
    <comment ref="K85" authorId="5" shapeId="0">
      <text>
        <r>
          <rPr>
            <b/>
            <sz val="9"/>
            <color indexed="81"/>
            <rFont val="MS P ゴシック"/>
            <family val="3"/>
            <charset val="128"/>
          </rPr>
          <t>すべて基準外汚水に入力(高度処理分を除く)</t>
        </r>
        <r>
          <rPr>
            <sz val="9"/>
            <color indexed="81"/>
            <rFont val="MS P ゴシック"/>
            <family val="3"/>
            <charset val="128"/>
          </rPr>
          <t xml:space="preserve">
</t>
        </r>
      </text>
    </comment>
    <comment ref="P85" authorId="0" shapeId="0">
      <text>
        <r>
          <rPr>
            <b/>
            <sz val="9"/>
            <color indexed="81"/>
            <rFont val="ＭＳ Ｐゴシック"/>
            <family val="3"/>
            <charset val="128"/>
          </rPr>
          <t>税込＝税抜　固定</t>
        </r>
      </text>
    </comment>
    <comment ref="Q85" authorId="0" shapeId="0">
      <text>
        <r>
          <rPr>
            <b/>
            <sz val="9"/>
            <color indexed="81"/>
            <rFont val="ＭＳ Ｐゴシック"/>
            <family val="3"/>
            <charset val="128"/>
          </rPr>
          <t>税込＝税抜　固定</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T85" authorId="0" shapeId="0">
      <text>
        <r>
          <rPr>
            <b/>
            <sz val="9"/>
            <color indexed="81"/>
            <rFont val="ＭＳ Ｐゴシック"/>
            <family val="3"/>
            <charset val="128"/>
          </rPr>
          <t>税込＝税抜　固定</t>
        </r>
      </text>
    </comment>
    <comment ref="U85" authorId="0" shapeId="0">
      <text>
        <r>
          <rPr>
            <b/>
            <sz val="9"/>
            <color indexed="81"/>
            <rFont val="ＭＳ Ｐゴシック"/>
            <family val="3"/>
            <charset val="128"/>
          </rPr>
          <t>税込＝税抜　固定</t>
        </r>
      </text>
    </comment>
    <comment ref="F86" authorId="0" shapeId="0">
      <text>
        <r>
          <rPr>
            <b/>
            <sz val="9"/>
            <color indexed="81"/>
            <rFont val="ＭＳ Ｐゴシック"/>
            <family val="3"/>
            <charset val="128"/>
          </rPr>
          <t>除却費雨汚水分け表より</t>
        </r>
      </text>
    </comment>
    <comment ref="K86" authorId="5" shapeId="0">
      <text>
        <r>
          <rPr>
            <b/>
            <sz val="9"/>
            <color indexed="81"/>
            <rFont val="MS P ゴシック"/>
            <family val="3"/>
            <charset val="128"/>
          </rPr>
          <t>すべて基準外汚水に入力</t>
        </r>
        <r>
          <rPr>
            <sz val="9"/>
            <color indexed="81"/>
            <rFont val="MS P ゴシック"/>
            <family val="3"/>
            <charset val="128"/>
          </rPr>
          <t xml:space="preserve">
</t>
        </r>
      </text>
    </comment>
    <comment ref="O86" authorId="0" shapeId="0">
      <text>
        <r>
          <rPr>
            <b/>
            <sz val="9"/>
            <color indexed="81"/>
            <rFont val="ＭＳ Ｐゴシック"/>
            <family val="3"/>
            <charset val="128"/>
          </rPr>
          <t>税込＝税抜　固定</t>
        </r>
      </text>
    </comment>
    <comment ref="P86" authorId="0" shapeId="0">
      <text>
        <r>
          <rPr>
            <b/>
            <sz val="9"/>
            <color indexed="81"/>
            <rFont val="ＭＳ Ｐゴシック"/>
            <family val="3"/>
            <charset val="128"/>
          </rPr>
          <t>税込＝税抜　固定</t>
        </r>
      </text>
    </comment>
    <comment ref="Q86" authorId="0" shapeId="0">
      <text>
        <r>
          <rPr>
            <b/>
            <sz val="9"/>
            <color indexed="81"/>
            <rFont val="ＭＳ Ｐゴシック"/>
            <family val="3"/>
            <charset val="128"/>
          </rPr>
          <t>税込＝税抜　固定</t>
        </r>
      </text>
    </comment>
    <comment ref="T86" authorId="0" shapeId="0">
      <text>
        <r>
          <rPr>
            <b/>
            <sz val="9"/>
            <color indexed="81"/>
            <rFont val="ＭＳ Ｐゴシック"/>
            <family val="3"/>
            <charset val="128"/>
          </rPr>
          <t>税込＝税抜　固定</t>
        </r>
      </text>
    </comment>
    <comment ref="U86" authorId="0" shapeId="0">
      <text>
        <r>
          <rPr>
            <b/>
            <sz val="9"/>
            <color indexed="81"/>
            <rFont val="ＭＳ Ｐゴシック"/>
            <family val="3"/>
            <charset val="128"/>
          </rPr>
          <t>税込＝税抜　固定</t>
        </r>
      </text>
    </comment>
    <comment ref="F88" authorId="0" shapeId="0">
      <text>
        <r>
          <rPr>
            <sz val="9"/>
            <color indexed="81"/>
            <rFont val="ＭＳ Ｐゴシック"/>
            <family val="3"/>
            <charset val="128"/>
          </rPr>
          <t>企業債利息の支出額割合で按分</t>
        </r>
      </text>
    </comment>
    <comment ref="K88" authorId="0" shapeId="0">
      <text>
        <r>
          <rPr>
            <sz val="9"/>
            <color indexed="81"/>
            <rFont val="ＭＳ Ｐゴシック"/>
            <family val="3"/>
            <charset val="128"/>
          </rPr>
          <t>企業債利息の支出額割合で按分</t>
        </r>
      </text>
    </comment>
    <comment ref="P88" authorId="0" shapeId="0">
      <text>
        <r>
          <rPr>
            <b/>
            <sz val="9"/>
            <color indexed="81"/>
            <rFont val="ＭＳ Ｐゴシック"/>
            <family val="3"/>
            <charset val="128"/>
          </rPr>
          <t>税込＝税抜　固定</t>
        </r>
      </text>
    </comment>
    <comment ref="U88" authorId="0" shapeId="0">
      <text>
        <r>
          <rPr>
            <b/>
            <sz val="9"/>
            <color indexed="81"/>
            <rFont val="ＭＳ Ｐゴシック"/>
            <family val="3"/>
            <charset val="128"/>
          </rPr>
          <t>税込＝税抜　固定</t>
        </r>
      </text>
    </comment>
    <comment ref="K89" authorId="0" shapeId="0">
      <text>
        <r>
          <rPr>
            <sz val="9"/>
            <color indexed="81"/>
            <rFont val="ＭＳ Ｐゴシック"/>
            <family val="3"/>
            <charset val="128"/>
          </rPr>
          <t>減免分は、汚水基準外の特財</t>
        </r>
      </text>
    </comment>
    <comment ref="P93" authorId="0" shapeId="0">
      <text>
        <r>
          <rPr>
            <b/>
            <sz val="9"/>
            <color indexed="81"/>
            <rFont val="ＭＳ Ｐゴシック"/>
            <family val="3"/>
            <charset val="128"/>
          </rPr>
          <t>税込＝税抜　固定</t>
        </r>
      </text>
    </comment>
    <comment ref="Q93" authorId="0" shapeId="0">
      <text>
        <r>
          <rPr>
            <b/>
            <sz val="9"/>
            <color indexed="81"/>
            <rFont val="ＭＳ Ｐゴシック"/>
            <family val="3"/>
            <charset val="128"/>
          </rPr>
          <t>税込＝税抜　固定</t>
        </r>
      </text>
    </comment>
    <comment ref="T93" authorId="0" shapeId="0">
      <text>
        <r>
          <rPr>
            <b/>
            <sz val="9"/>
            <color indexed="81"/>
            <rFont val="ＭＳ Ｐゴシック"/>
            <family val="3"/>
            <charset val="128"/>
          </rPr>
          <t>税込＝税抜　固定</t>
        </r>
      </text>
    </comment>
    <comment ref="U93" authorId="0" shapeId="0">
      <text>
        <r>
          <rPr>
            <b/>
            <sz val="9"/>
            <color indexed="81"/>
            <rFont val="ＭＳ Ｐゴシック"/>
            <family val="3"/>
            <charset val="128"/>
          </rPr>
          <t>税込＝税抜　固定</t>
        </r>
      </text>
    </comment>
    <comment ref="P94" authorId="0" shapeId="0">
      <text>
        <r>
          <rPr>
            <b/>
            <sz val="9"/>
            <color indexed="81"/>
            <rFont val="ＭＳ Ｐゴシック"/>
            <family val="3"/>
            <charset val="128"/>
          </rPr>
          <t>税込＝税抜　固定</t>
        </r>
      </text>
    </comment>
    <comment ref="Q94" authorId="0" shapeId="0">
      <text>
        <r>
          <rPr>
            <b/>
            <sz val="9"/>
            <color indexed="81"/>
            <rFont val="ＭＳ Ｐゴシック"/>
            <family val="3"/>
            <charset val="128"/>
          </rPr>
          <t>税込＝税抜　固定</t>
        </r>
      </text>
    </comment>
    <comment ref="T94" authorId="0" shapeId="0">
      <text>
        <r>
          <rPr>
            <b/>
            <sz val="9"/>
            <color indexed="81"/>
            <rFont val="ＭＳ Ｐゴシック"/>
            <family val="3"/>
            <charset val="128"/>
          </rPr>
          <t>税込＝税抜　固定</t>
        </r>
      </text>
    </comment>
    <comment ref="U94" authorId="0" shapeId="0">
      <text>
        <r>
          <rPr>
            <b/>
            <sz val="9"/>
            <color indexed="81"/>
            <rFont val="ＭＳ Ｐゴシック"/>
            <family val="3"/>
            <charset val="128"/>
          </rPr>
          <t>税込＝税抜　固定</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b/>
            <sz val="9"/>
            <color indexed="81"/>
            <rFont val="ＭＳ Ｐゴシック"/>
            <family val="3"/>
            <charset val="128"/>
          </rPr>
          <t>税込＝税抜　固定</t>
        </r>
      </text>
    </comment>
    <comment ref="U95" authorId="0" shapeId="0">
      <text>
        <r>
          <rPr>
            <b/>
            <sz val="9"/>
            <color indexed="81"/>
            <rFont val="ＭＳ Ｐゴシック"/>
            <family val="3"/>
            <charset val="128"/>
          </rPr>
          <t>税込＝税抜　固定</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w5_comments2.xml><?xml version="1.0" encoding="utf-8"?>
<comments xmlns="http://schemas.openxmlformats.org/spreadsheetml/2006/main">
  <authors>
    <author>楠 宏</author>
    <author>4202453</author>
    <author>広島市</author>
  </authors>
  <commentList>
    <comment ref="E7" authorId="0"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F7" authorId="0"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G7" authorId="0"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J7" authorId="0"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E9" authorId="0"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F9"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J9" authorId="0"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E10" authorId="0" shapeId="0">
      <text>
        <r>
          <rPr>
            <sz val="9"/>
            <color indexed="81"/>
            <rFont val="ＭＳ Ｐゴシック"/>
            <family val="3"/>
            <charset val="128"/>
          </rPr>
          <t>='I:\経理係フォルダ\☆決算事務\２８年度決算\07 H28雨汚水分け\雨汚水分け\[Ｈ28年度決算処理場費　雨汚水.xls]総括表'!$C$30</t>
        </r>
      </text>
    </comment>
    <comment ref="F10" authorId="0" shapeId="0">
      <text>
        <r>
          <rPr>
            <sz val="9"/>
            <color indexed="81"/>
            <rFont val="ＭＳ Ｐゴシック"/>
            <family val="3"/>
            <charset val="128"/>
          </rPr>
          <t>='I:\経理係フォルダ\☆決算事務\２８年度決算\07 H28雨汚水分け\雨汚水分け\[Ｈ28年度決算処理場費　雨汚水.xls]総括表'!$I$30</t>
        </r>
      </text>
    </comment>
    <comment ref="G10" authorId="0" shapeId="0">
      <text>
        <r>
          <rPr>
            <sz val="9"/>
            <color indexed="81"/>
            <rFont val="ＭＳ Ｐゴシック"/>
            <family val="3"/>
            <charset val="128"/>
          </rPr>
          <t>='I:\経理係フォルダ\☆決算事務\２８年度決算\07 H28雨汚水分け\雨汚水分け\[Ｈ28年度決算処理場費　雨汚水.xls]総括表'!$J$30</t>
        </r>
      </text>
    </comment>
    <comment ref="I10" authorId="0" shapeId="0">
      <text>
        <r>
          <rPr>
            <sz val="9"/>
            <color indexed="81"/>
            <rFont val="ＭＳ Ｐゴシック"/>
            <family val="3"/>
            <charset val="128"/>
          </rPr>
          <t>='I:\経理係フォルダ\☆決算事務\２８年度決算\07 H28雨汚水分け\雨汚水分け\[Ｈ28年度決算処理場費　雨汚水.xls]総括表'!$G$30</t>
        </r>
      </text>
    </comment>
    <comment ref="J10"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G12" authorId="1" shapeId="0">
      <text>
        <r>
          <rPr>
            <sz val="9"/>
            <color indexed="81"/>
            <rFont val="ＭＳ Ｐゴシック"/>
            <family val="3"/>
            <charset val="128"/>
          </rPr>
          <t>・普及相談員の報酬
・ 生活扶助世帯に対する水洗便所設備費補助金
・ 私道内下水管敷設工事費補助金
※「雨汚水の経費区分」を参照</t>
        </r>
      </text>
    </comment>
    <comment ref="G14" authorId="1"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I15" authorId="2" shapeId="0">
      <text>
        <r>
          <rPr>
            <sz val="9"/>
            <color indexed="81"/>
            <rFont val="ＭＳ Ｐゴシック"/>
            <family val="3"/>
            <charset val="128"/>
          </rPr>
          <t xml:space="preserve">H28から削除　下は元の式
=ROUND(($O15-$G15)*(I8+I10+I12)/($E7+$E9+$E10+$F7+$F9+$F10+$I8+$I10+$I12+$J7+$J9+$J10+$J12+$J14),0)
</t>
        </r>
      </text>
    </comment>
    <comment ref="G16"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雨汚水＜特環＞.xls]総括'!$N$20</t>
        </r>
      </text>
    </comment>
    <comment ref="G17"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雨汚水＜農集＞.xls]総括'!$N$19</t>
        </r>
      </text>
    </comment>
    <comment ref="G18"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雨汚水＜浄化槽＞.xls]総括'!$N$19</t>
        </r>
      </text>
    </comment>
    <comment ref="E20" authorId="0" shapeId="0">
      <text>
        <r>
          <rPr>
            <sz val="9"/>
            <color indexed="81"/>
            <rFont val="ＭＳ Ｐゴシック"/>
            <family val="3"/>
            <charset val="128"/>
          </rPr>
          <t>撤去対象施設の青崎ポンプ所は雨水専用</t>
        </r>
      </text>
    </comment>
    <comment ref="J23" authorId="2" shapeId="0">
      <text>
        <r>
          <rPr>
            <sz val="9"/>
            <color indexed="81"/>
            <rFont val="ＭＳ Ｐゴシック"/>
            <family val="3"/>
            <charset val="128"/>
          </rPr>
          <t>H28
熊本支援に係る経費が含まれている。支援経費全額を一般会計補助金でもらうので、汚水扱い。</t>
        </r>
      </text>
    </comment>
    <comment ref="J24" authorId="2" shapeId="0">
      <text>
        <r>
          <rPr>
            <sz val="9"/>
            <color indexed="81"/>
            <rFont val="ＭＳ Ｐゴシック"/>
            <family val="3"/>
            <charset val="128"/>
          </rPr>
          <t>H28
熊本支援に係る経費が含まれている。支援経費全額を一般会計補助金でもらうので、汚水扱い。</t>
        </r>
      </text>
    </comment>
    <comment ref="J27" authorId="2" shapeId="0">
      <text>
        <r>
          <rPr>
            <sz val="9"/>
            <color indexed="81"/>
            <rFont val="ＭＳ Ｐゴシック"/>
            <family val="3"/>
            <charset val="128"/>
          </rPr>
          <t>H28は前払金返還延納利息の欠損　254,710円が
混入しているが、これは雨汚水で折半すべきか。</t>
        </r>
      </text>
    </comment>
    <comment ref="D28" authorId="0" shapeId="0">
      <text>
        <r>
          <rPr>
            <sz val="9"/>
            <color indexed="81"/>
            <rFont val="ＭＳ Ｐゴシック"/>
            <family val="3"/>
            <charset val="128"/>
          </rPr>
          <t>資本費分を差し引く</t>
        </r>
      </text>
    </comment>
    <comment ref="D33"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3" authorId="0" shapeId="0">
      <text>
        <r>
          <rPr>
            <sz val="9"/>
            <color indexed="81"/>
            <rFont val="ＭＳ Ｐゴシック"/>
            <family val="3"/>
            <charset val="128"/>
          </rPr>
          <t>='I:\経理係フォルダ\☆決算事務\２８年度決算\07 H28雨汚水分け\[H28決算　減償雨汚　減価償却費算定シート.xlsx]公共（全）'!$E$119-G32</t>
        </r>
      </text>
    </comment>
    <comment ref="F33" authorId="0" shapeId="0">
      <text>
        <r>
          <rPr>
            <sz val="9"/>
            <color indexed="81"/>
            <rFont val="ＭＳ Ｐゴシック"/>
            <family val="3"/>
            <charset val="128"/>
          </rPr>
          <t>='I:\経理係フォルダ\☆決算事務\２８年度決算\07 H28雨汚水分け\[H28決算　減償雨汚　減価償却費算定シート.xlsx]公共（全）'!$G$119</t>
        </r>
      </text>
    </comment>
    <comment ref="G33" authorId="1" shapeId="0">
      <text>
        <r>
          <rPr>
            <b/>
            <sz val="9"/>
            <color indexed="81"/>
            <rFont val="ＭＳ Ｐゴシック"/>
            <family val="3"/>
            <charset val="128"/>
          </rPr>
          <t>H28以降の取扱い</t>
        </r>
        <r>
          <rPr>
            <sz val="9"/>
            <color indexed="81"/>
            <rFont val="ＭＳ Ｐゴシック"/>
            <family val="3"/>
            <charset val="128"/>
          </rPr>
          <t xml:space="preserve">
H27までは、下記の額を入力し、これをE32の雨水区域内から差し引いていたが、財計の一般会計繰入基準にし尿分減価償却費の計上が明記されていないので、H28から入力しないことにした。（29.5.16　尾崎経営企画課長、濵井経理係課長補佐、河野主査協議の結果）
ただし、一般行政経費か雨水区域内かの違いで、100％一般会計負担であることには変わりないので、繰入金への影響はない。
なお、西部（汚水）に係る減価償却費のうち、し尿分を一般会計に負担してもらうべきなので、H32～の次期財計では、一般行政経費に計上したうえで、雨水区域内からではなく汚水基準外から差し引くよ修正した方が良い。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='I:\経理係フォルダ\☆決算事務\２８年度決算\06 H28決算　消費税計算\[西部Ｔし尿投入事業リスト.xls]全リスト'!$CR$19　　　231,738,390円</t>
        </r>
      </text>
    </comment>
    <comment ref="I33" authorId="0" shapeId="0">
      <text>
        <r>
          <rPr>
            <sz val="9"/>
            <color indexed="81"/>
            <rFont val="ＭＳ Ｐゴシック"/>
            <family val="3"/>
            <charset val="128"/>
          </rPr>
          <t>='I:\経理係フォルダ\☆決算事務\２８年度決算\07 H28雨汚水分け\[H28決算　減償雨汚　減価償却費算定シート.xlsx]公共（全）'!$H$119</t>
        </r>
      </text>
    </comment>
    <comment ref="J33" authorId="0" shapeId="0">
      <text>
        <r>
          <rPr>
            <sz val="9"/>
            <color indexed="81"/>
            <rFont val="ＭＳ Ｐゴシック"/>
            <family val="3"/>
            <charset val="128"/>
          </rPr>
          <t>=='I:\経理係フォルダ\☆決算事務\２８年度決算\07 H28雨汚水分け\[H28決算　減償雨汚　減価償却費算定シート.xlsx]公共（全）'!$F$119,0)</t>
        </r>
      </text>
    </comment>
    <comment ref="D34"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4" authorId="2" shapeId="0">
      <text>
        <r>
          <rPr>
            <sz val="9"/>
            <color indexed="81"/>
            <rFont val="ＭＳ Ｐゴシック"/>
            <family val="3"/>
            <charset val="128"/>
          </rPr>
          <t>+ROUND('I:\経理係フォルダ\☆決算事務\２８年度決算\07 H28雨汚水分け\[H28決算　除却費雨汚水分け.xlsx]全事業'!$D$9*Q39,0)</t>
        </r>
      </text>
    </comment>
    <comment ref="F34" authorId="2" shapeId="0">
      <text>
        <r>
          <rPr>
            <sz val="9"/>
            <color indexed="81"/>
            <rFont val="ＭＳ Ｐゴシック"/>
            <family val="3"/>
            <charset val="128"/>
          </rPr>
          <t>H27までは、除却費を償却費の雨汚水割合で按分していたが、H28からは、固定資産台帳、財計雨汚水区分に基づき、雨汚水分けをしている。（予算と同じ考え方）
なお、雨水分の区域内・外分けには償却費の率を使用。
='I:\経理係フォルダ\☆決算事務\２８年度決算\07 H28雨汚水分け\[H28決算　除却費雨汚水分け.xlsx]全事業'!$D$9-E33</t>
        </r>
      </text>
    </comment>
    <comment ref="I34" authorId="2" shapeId="0">
      <text>
        <r>
          <rPr>
            <sz val="9"/>
            <color indexed="81"/>
            <rFont val="ＭＳ Ｐゴシック"/>
            <family val="3"/>
            <charset val="128"/>
          </rPr>
          <t>==+'[I:\経理係フォルダ\☆決算事務\２８年度決算\07 H28雨汚水分け\H28決算　除却費雨汚水分け.xlsx]全事業'!$B$9</t>
        </r>
      </text>
    </comment>
    <comment ref="J34" authorId="2" shapeId="0">
      <text>
        <r>
          <rPr>
            <sz val="9"/>
            <color indexed="81"/>
            <rFont val="ＭＳ Ｐゴシック"/>
            <family val="3"/>
            <charset val="128"/>
          </rPr>
          <t>==+'[I:\経理係フォルダ\☆決算事務\２８年度決算\07 H28雨汚水分け\H28決算　除却費雨汚水分け.xlsx]全事業'!$C$9</t>
        </r>
      </text>
    </comment>
    <comment ref="D36" authorId="0" shapeId="0">
      <text>
        <r>
          <rPr>
            <b/>
            <sz val="9"/>
            <color indexed="81"/>
            <rFont val="ＭＳ Ｐゴシック"/>
            <family val="3"/>
            <charset val="128"/>
          </rPr>
          <t>「★H００　雨汚水分け　（利息）」エクセルの当該年度シートのＧ９の値に合致</t>
        </r>
      </text>
    </comment>
    <comment ref="E36" authorId="0" shapeId="0">
      <text>
        <r>
          <rPr>
            <sz val="9"/>
            <color indexed="81"/>
            <rFont val="ＭＳ Ｐゴシック"/>
            <family val="3"/>
            <charset val="128"/>
          </rPr>
          <t>「★H００　雨汚水分け　（利息）」エクセルの当該年度シートのＨ９～Ｌ９の値
='I:\経理係フォルダ\☆決算事務\２８年度決算\07 H28雨汚水分け\雨汚水分け\[★Ｈ28雨汚水分け（利息）.xls]Ｈ２８利息'!$H$9</t>
        </r>
      </text>
    </comment>
    <comment ref="F36" authorId="0" shapeId="0">
      <text>
        <r>
          <rPr>
            <sz val="9"/>
            <color indexed="81"/>
            <rFont val="ＭＳ Ｐゴシック"/>
            <family val="3"/>
            <charset val="128"/>
          </rPr>
          <t>='I:\経理係フォルダ\☆決算事務\２８年度決算\07 H28雨汚水分け\雨汚水分け\[★Ｈ28雨汚水分け（利息）.xls]Ｈ２８利息'!$I$9</t>
        </r>
      </text>
    </comment>
    <comment ref="G36" authorId="0" shapeId="0">
      <text>
        <r>
          <rPr>
            <sz val="9"/>
            <color indexed="81"/>
            <rFont val="ＭＳ Ｐゴシック"/>
            <family val="3"/>
            <charset val="128"/>
          </rPr>
          <t>='I:\経理係フォルダ\☆決算事務\２８年度決算\07 H28雨汚水分け\雨汚水分け\[★Ｈ28雨汚水分け（利息）.xls]Ｈ２８利息'!$J$9</t>
        </r>
      </text>
    </comment>
    <comment ref="I36" authorId="0" shapeId="0">
      <text>
        <r>
          <rPr>
            <sz val="9"/>
            <color indexed="81"/>
            <rFont val="ＭＳ Ｐゴシック"/>
            <family val="3"/>
            <charset val="128"/>
          </rPr>
          <t>='I:\経理係フォルダ\☆決算事務\２８年度決算\07 H28雨汚水分け\雨汚水分け\[★Ｈ28雨汚水分け（利息）.xls]Ｈ２８利息'!$K$9</t>
        </r>
      </text>
    </comment>
    <comment ref="J36" authorId="0" shapeId="0">
      <text>
        <r>
          <rPr>
            <sz val="9"/>
            <color indexed="81"/>
            <rFont val="ＭＳ Ｐゴシック"/>
            <family val="3"/>
            <charset val="128"/>
          </rPr>
          <t>='I:\経理係フォルダ\☆決算事務\２８年度決算\07 H28雨汚水分け\雨汚水分け\[★Ｈ28雨汚水分け（利息）.xls]Ｈ２８利息'!$L$9</t>
        </r>
      </text>
    </comment>
    <comment ref="D39" authorId="2" shapeId="0">
      <text>
        <r>
          <rPr>
            <b/>
            <sz val="9"/>
            <color indexed="81"/>
            <rFont val="ＭＳ Ｐゴシック"/>
            <family val="3"/>
            <charset val="128"/>
          </rPr>
          <t xml:space="preserve">H28
</t>
        </r>
        <r>
          <rPr>
            <sz val="9"/>
            <color indexed="81"/>
            <rFont val="ＭＳ Ｐゴシック"/>
            <family val="3"/>
            <charset val="128"/>
          </rPr>
          <t>元の式では、特別損失!セルB9資本費分に当たる減価償却不足に伴う修正損を参照していたが、H28はこの行を、資本費分ではない「前払金返還延納利息の欠損」に転用したので、参照を削除した。
元の数式↓
=</t>
        </r>
        <r>
          <rPr>
            <b/>
            <sz val="9"/>
            <color indexed="81"/>
            <rFont val="ＭＳ Ｐゴシック"/>
            <family val="3"/>
            <charset val="128"/>
          </rPr>
          <t>'[H28 ３条支出　消費税.xls]特別損失'!$B$9</t>
        </r>
        <r>
          <rPr>
            <sz val="9"/>
            <color indexed="81"/>
            <rFont val="ＭＳ Ｐゴシック"/>
            <family val="3"/>
            <charset val="128"/>
          </rPr>
          <t>+'[H28 ３条支出　消費税.xls]特別損失'!$B$28+SUM('[H28 ３条支出　消費税.xls]特別損失'!$B$15,'[H28 ３条支出　消費税.xls]特別損失'!$B$17)</t>
        </r>
      </text>
    </comment>
    <comment ref="E39" authorId="0" shapeId="0">
      <text>
        <r>
          <rPr>
            <sz val="9"/>
            <color indexed="81"/>
            <rFont val="ＭＳ Ｐゴシック"/>
            <family val="3"/>
            <charset val="128"/>
          </rPr>
          <t>①耐用年数の登録誤りによる減価償却費の過年度損益修正
②減損損失の過年度損益修正
固定資産担当が分けた雨水分を、減価償却の雨水区域内・外の割合で案分</t>
        </r>
      </text>
    </comment>
    <comment ref="I39" authorId="0" shapeId="0">
      <text>
        <r>
          <rPr>
            <sz val="9"/>
            <color indexed="81"/>
            <rFont val="ＭＳ Ｐゴシック"/>
            <family val="3"/>
            <charset val="128"/>
          </rPr>
          <t>①耐用年数の登録誤りによる減価償却費の過年度損益修正
②減損損失の過年度損益修正
③その他特別損失の資本費分（受益者負担金過誤納還付金、排水設備取付管設置工事受託収入の調定誤りの修正）
固定資産担当が分けた汚水分を、減価償却の汚水基準内・外の割合で案分</t>
        </r>
      </text>
    </comment>
    <comment ref="J39" authorId="2" shapeId="0">
      <text>
        <r>
          <rPr>
            <b/>
            <sz val="9"/>
            <color indexed="81"/>
            <rFont val="ＭＳ Ｐゴシック"/>
            <family val="3"/>
            <charset val="128"/>
          </rPr>
          <t>H28減損は全て公共汚水</t>
        </r>
      </text>
    </comment>
    <comment ref="N39" authorId="0" shapeId="0">
      <text>
        <r>
          <rPr>
            <sz val="9"/>
            <color indexed="81"/>
            <rFont val="ＭＳ Ｐゴシック"/>
            <family val="3"/>
            <charset val="128"/>
          </rPr>
          <t>='I:\経理係フォルダ\☆決算事務\２７年度決算\07 H27雨汚水分け\[H27決算　過年度損益修正損（償却・除却）雨汚水分け.xlsx]雨汚水分け'!$K$8</t>
        </r>
      </text>
    </comment>
    <comment ref="O39" authorId="0" shapeId="0">
      <text>
        <r>
          <rPr>
            <sz val="9"/>
            <color indexed="81"/>
            <rFont val="ＭＳ Ｐゴシック"/>
            <family val="3"/>
            <charset val="128"/>
          </rPr>
          <t>='I:\経理係フォルダ\☆決算事務\２７年度決算\07 H27雨汚水分け\[H27決算　過年度損益修正損（償却・除却）雨汚水分け.xlsx]雨汚水分け'!$J$8</t>
        </r>
      </text>
    </comment>
    <comment ref="R40" authorId="0" shapeId="0">
      <text>
        <r>
          <rPr>
            <sz val="9"/>
            <color indexed="81"/>
            <rFont val="ＭＳ Ｐゴシック"/>
            <family val="3"/>
            <charset val="128"/>
          </rPr>
          <t>=('I:\経理係フォルダ\☆決算事務\２８年度決算\07 H28雨汚水分け\'[H28決算　減償雨汚　減価償却費算定シート.xlsx]公共（全）'!$G$119/('[H28決算　減償雨汚　減価償却費算定シート.xlsx]公共（全）'!$E$119+'[H28決算　減償雨汚　減価償却費算定シート.xlsx]公共（全）'!$G$119)</t>
        </r>
      </text>
    </comment>
    <comment ref="S40" authorId="0" shapeId="0">
      <text>
        <r>
          <rPr>
            <sz val="9"/>
            <color indexed="81"/>
            <rFont val="ＭＳ Ｐゴシック"/>
            <family val="3"/>
            <charset val="128"/>
          </rPr>
          <t>=('I:\経理係フォルダ\☆決算事務\２８年度決算\07 H28雨汚水分け\[H28決算　減償雨汚　減価償却費算定シート.xlsx]公共（全）'!$H$119/('[H28決算　減償雨汚　減価償却費算定シート.xlsx]公共（全）'!$F$119+'[H28決算　減償雨汚　減価償却費算定シート.xlsx]公共（全）'!$H$119)</t>
        </r>
      </text>
    </comment>
    <comment ref="N42" authorId="0" shapeId="0">
      <text>
        <r>
          <rPr>
            <sz val="9"/>
            <color indexed="81"/>
            <rFont val="ＭＳ Ｐゴシック"/>
            <family val="3"/>
            <charset val="128"/>
          </rPr>
          <t>='I:\経理係フォルダ\☆決算事務\２７年度決算\07 H27雨汚水分け\[H27決算　減損損失雨汚水分け.xlsx]減損総括表'!$Q$23</t>
        </r>
      </text>
    </comment>
    <comment ref="O42" authorId="0" shapeId="0">
      <text>
        <r>
          <rPr>
            <sz val="9"/>
            <color indexed="81"/>
            <rFont val="ＭＳ Ｐゴシック"/>
            <family val="3"/>
            <charset val="128"/>
          </rPr>
          <t>='I:\経理係フォルダ\☆決算事務\２７年度決算\07 H27雨汚水分け\[H27決算　減損損失雨汚水分け.xlsx]減損総括表'!$P$23</t>
        </r>
      </text>
    </comment>
  </commentList>
</comments>
</file>

<file path=xl/w5_comments3.xml><?xml version="1.0" encoding="utf-8"?>
<comments xmlns="http://schemas.openxmlformats.org/spreadsheetml/2006/main">
  <authors>
    <author>楠 宏</author>
    <author>広島市</author>
  </authors>
  <commentList>
    <comment ref="G16" authorId="0" shapeId="0">
      <text>
        <r>
          <rPr>
            <sz val="9"/>
            <color indexed="81"/>
            <rFont val="ＭＳ Ｐゴシック"/>
            <family val="3"/>
            <charset val="128"/>
          </rPr>
          <t>='I:\経理係フォルダ\☆決算事務\２８年度決算\06 H28決算　消費税計算\H28当初\雨・汚水　税抜内訳\[税抜内訳.xlsx]Sheet1'!$E$5</t>
        </r>
      </text>
    </comment>
    <comment ref="G17" authorId="0" shapeId="0">
      <text>
        <r>
          <rPr>
            <sz val="9"/>
            <color indexed="81"/>
            <rFont val="ＭＳ Ｐゴシック"/>
            <family val="3"/>
            <charset val="128"/>
          </rPr>
          <t>='I:\経理係フォルダ\☆決算事務\２８年度決算\06 H28決算　消費税計算\H28当初\雨・汚水　税抜内訳\[税抜内訳.xlsx]Sheet1'!$E$10</t>
        </r>
      </text>
    </comment>
    <comment ref="G18" authorId="0" shapeId="0">
      <text>
        <r>
          <rPr>
            <sz val="9"/>
            <color indexed="81"/>
            <rFont val="ＭＳ Ｐゴシック"/>
            <family val="3"/>
            <charset val="128"/>
          </rPr>
          <t>='I:\経理係フォルダ\☆決算事務\２８年度決算\06 H28決算　消費税計算\H28当初\雨・汚水　税抜内訳\[税抜内訳.xlsx]Sheet1'!$E$14</t>
        </r>
      </text>
    </comment>
    <comment ref="D27" authorId="1" shapeId="0">
      <text>
        <r>
          <rPr>
            <sz val="9"/>
            <color indexed="81"/>
            <rFont val="ＭＳ Ｐゴシック"/>
            <family val="3"/>
            <charset val="128"/>
          </rPr>
          <t>H28
税抜きに合わせ、参照元にB9セルを追加。
元の式↓
=SUM('[H28 ３条支出　消費税.xls]特別損失'!$K$6:$K$8)</t>
        </r>
      </text>
    </comment>
    <comment ref="D39" authorId="1" shapeId="0">
      <text>
        <r>
          <rPr>
            <sz val="9"/>
            <color indexed="81"/>
            <rFont val="ＭＳ Ｐゴシック"/>
            <family val="3"/>
            <charset val="128"/>
          </rPr>
          <t>H28
元の式では、特別損失!セルB9資本費分に当たる減価償却不足に伴う修正損を参照していたが、H28はこの行を、資本費分ではない「前払金返還延納利息の欠損」に転用したので、参照を削除した。
元の式↓
=</t>
        </r>
        <r>
          <rPr>
            <b/>
            <sz val="9"/>
            <color indexed="81"/>
            <rFont val="ＭＳ Ｐゴシック"/>
            <family val="3"/>
            <charset val="128"/>
          </rPr>
          <t>'[H28 ３条支出　消費税.xls]特別損失'!$K$9</t>
        </r>
        <r>
          <rPr>
            <sz val="9"/>
            <color indexed="81"/>
            <rFont val="ＭＳ Ｐゴシック"/>
            <family val="3"/>
            <charset val="128"/>
          </rPr>
          <t>+'[H28 ３条支出　消費税.xls]特別損失'!$K$28+SUM('[H28 ３条支出　消費税.xls]特別損失'!$K$15,'[H28 ３条支出　消費税.xls]特別損失'!$K$17)</t>
        </r>
      </text>
    </comment>
    <comment ref="J39" authorId="0" shapeId="0">
      <text>
        <r>
          <rPr>
            <b/>
            <sz val="9"/>
            <color indexed="81"/>
            <rFont val="ＭＳ Ｐゴシック"/>
            <family val="3"/>
            <charset val="128"/>
          </rPr>
          <t>課税あり
排水設備取付管設置工事受託収入の調定誤りの修正
５％</t>
        </r>
      </text>
    </comment>
  </commentList>
</comments>
</file>

<file path=xl/w5_comments4.xml><?xml version="1.0" encoding="utf-8"?>
<comments xmlns="http://schemas.openxmlformats.org/spreadsheetml/2006/main">
  <authors>
    <author>4202453</author>
  </authors>
  <commentList>
    <comment ref="E37" authorId="0" shapeId="0">
      <text>
        <r>
          <rPr>
            <sz val="9"/>
            <color indexed="81"/>
            <rFont val="ＭＳ Ｐゴシック"/>
            <family val="3"/>
            <charset val="128"/>
          </rPr>
          <t>3条収入　消費税.xls のN列の下にある支払利息分（雨水）</t>
        </r>
      </text>
    </comment>
    <comment ref="J37" authorId="0" shapeId="0">
      <text>
        <r>
          <rPr>
            <sz val="9"/>
            <color indexed="81"/>
            <rFont val="ＭＳ Ｐゴシック"/>
            <family val="3"/>
            <charset val="128"/>
          </rPr>
          <t>3条収入　消費税.xls のN列の下にある支払利息分（汚水）</t>
        </r>
      </text>
    </comment>
  </commentList>
</comments>
</file>

<file path=xl/w5_comments5.xml><?xml version="1.0" encoding="utf-8"?>
<comments xmlns="http://schemas.openxmlformats.org/spreadsheetml/2006/main">
  <authors>
    <author>4202453</author>
    <author>楠 宏</author>
    <author>広島市</author>
    <author>3403102</author>
  </authors>
  <commentList>
    <comment ref="S2" authorId="0" shapeId="0">
      <text>
        <r>
          <rPr>
            <b/>
            <sz val="9"/>
            <color indexed="81"/>
            <rFont val="ＭＳ Ｐゴシック"/>
            <family val="3"/>
            <charset val="128"/>
          </rPr>
          <t>H23決算では、消費税の制度改正により控除できなくなった額を加算すべきところを、していないため、ゼロになっていなかったので、加算すること。</t>
        </r>
      </text>
    </comment>
    <comment ref="D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消費税計算\財務会計データ\３条\収入\[4811400その他営業収益.xls]その他営業収益'!$AI$256</t>
        </r>
      </text>
    </comment>
    <comment ref="E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消費税計算\財務会計データ\３条\収入\[4811400その他営業収益.xls]その他営業収益'!$AJ$256</t>
        </r>
      </text>
    </comment>
    <comment ref="F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消費税計算\財務会計データ\３条\収入\[4811400その他営業収益.xls]その他営業収益'!$AK$256</t>
        </r>
      </text>
    </comment>
    <comment ref="I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消費税計算\財務会計データ\３条\収入\[4811400その他営業収益.xls]その他営業収益'!$AL$256</t>
        </r>
      </text>
    </comment>
    <comment ref="R9" authorId="2" shapeId="0">
      <text>
        <r>
          <rPr>
            <b/>
            <sz val="9"/>
            <color indexed="81"/>
            <rFont val="ＭＳ Ｐゴシック"/>
            <family val="3"/>
            <charset val="128"/>
          </rPr>
          <t xml:space="preserve">H28
</t>
        </r>
        <r>
          <rPr>
            <sz val="9"/>
            <color indexed="81"/>
            <rFont val="ＭＳ Ｐゴシック"/>
            <family val="3"/>
            <charset val="128"/>
          </rPr>
          <t>3条税込の資産除却費の基準内汚水分に値を入力したため、式を修正した。下は、修正前。
='3条税抜き'!H31+'3条税抜き'!H37+</t>
        </r>
        <r>
          <rPr>
            <b/>
            <sz val="9"/>
            <color indexed="81"/>
            <rFont val="ＭＳ Ｐゴシック"/>
            <family val="3"/>
            <charset val="128"/>
          </rPr>
          <t>'3条税抜き'!I32</t>
        </r>
        <r>
          <rPr>
            <sz val="9"/>
            <color indexed="81"/>
            <rFont val="ＭＳ Ｐゴシック"/>
            <family val="3"/>
            <charset val="128"/>
          </rPr>
          <t xml:space="preserve">+'3条税抜き'!I37-G21-H21-G22-G23-H23
</t>
        </r>
      </text>
    </comment>
    <comment ref="B10" authorId="0" shapeId="0">
      <text>
        <r>
          <rPr>
            <b/>
            <sz val="12"/>
            <color indexed="81"/>
            <rFont val="ＭＳ Ｐゴシック"/>
            <family val="3"/>
            <charset val="128"/>
          </rPr>
          <t>施設管理負担金のみ</t>
        </r>
        <r>
          <rPr>
            <sz val="9"/>
            <color indexed="81"/>
            <rFont val="ＭＳ Ｐゴシック"/>
            <family val="3"/>
            <charset val="128"/>
          </rPr>
          <t xml:space="preserve">
</t>
        </r>
      </text>
    </comment>
    <comment ref="D10" authorId="1" shapeId="0">
      <text>
        <r>
          <rPr>
            <sz val="9"/>
            <color indexed="81"/>
            <rFont val="ＭＳ Ｐゴシック"/>
            <family val="3"/>
            <charset val="128"/>
          </rPr>
          <t>3条収入雨汚水分け・消費税区分エクセルで積算
元データは管理課3月31日付決裁（写）
府中町・海田町・坂町・廿日市市負担の維持管理費の精算伺いの精算通知（案の２）より
=+'I:\経理係フォルダ\☆決算事務\２８年度決算\06 H28決算　消費税計算\[H28 3条収入雨汚水分け・消費税区分.xls]施設管理負担金'!$C$12</t>
        </r>
      </text>
    </comment>
    <comment ref="I10" authorId="1" shapeId="0">
      <text>
        <r>
          <rPr>
            <sz val="9"/>
            <color indexed="81"/>
            <rFont val="ＭＳ Ｐゴシック"/>
            <family val="3"/>
            <charset val="128"/>
          </rPr>
          <t>3条収入雨汚水分け・消費税区分エクセルで積算
元データは管理課3月31日付決裁（写）
府中町・海田町・坂町・廿日市市負担の維持管理費の精算伺いの精算通知（案の２）より
=+'I:\経理係フォルダ\☆決算事務\２８年度決算\06 H28決算　消費税計算\[H28 3条収入雨汚水分け・消費税区分.xls]施設管理負担金'!$D$12</t>
        </r>
      </text>
    </comment>
    <comment ref="D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3条収入雨汚水分け・消費税区分.xls]その他雑収益の消費税区分'!$M$47</t>
        </r>
      </text>
    </comment>
    <comment ref="F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3条収入雨汚水分け・消費税区分.xls]その他雑収益の消費税区分'!$O$47</t>
        </r>
      </text>
    </comment>
    <comment ref="I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3条収入雨汚水分け・消費税区分.xls]その他雑収益の消費税区分'!$N$47</t>
        </r>
      </text>
    </comment>
    <comment ref="B12" authorId="1" shapeId="0">
      <text>
        <r>
          <rPr>
            <b/>
            <sz val="9"/>
            <color indexed="81"/>
            <rFont val="ＭＳ Ｐゴシック"/>
            <family val="3"/>
            <charset val="128"/>
          </rPr>
          <t>耐用年数の登録誤りによる過年度損益修正分以外のもの</t>
        </r>
      </text>
    </comment>
    <comment ref="C12" authorId="2" shapeId="0">
      <text>
        <r>
          <rPr>
            <sz val="9"/>
            <color indexed="81"/>
            <rFont val="ＭＳ Ｐゴシック"/>
            <family val="3"/>
            <charset val="128"/>
          </rPr>
          <t>減損見合いの長期前受金戻入益など、資本費充当分を除く。</t>
        </r>
      </text>
    </comment>
    <comment ref="D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修正.xls]過年度損益修正益'!$AI$96+'I:\経理係フォルダ\☆決算事務\２８年度決算\06 H28決算　消費税計算\財務会計データ\３条\収入\[H28 4830606その他特別利益 0518.xls]その他特別利益'!$AI$2</t>
        </r>
        <r>
          <rPr>
            <b/>
            <sz val="9"/>
            <color indexed="81"/>
            <rFont val="ＭＳ Ｐゴシック"/>
            <family val="3"/>
            <charset val="128"/>
          </rPr>
          <t>1</t>
        </r>
      </text>
    </comment>
    <comment ref="F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修正.xls]過年度損益修正益'!$AJ$96+'I:\経理係フォルダ\☆決算事務\２８年度決算\06 H28決算　消費税計算\財務会計データ\３条\収入\[H28 4830606その他特別利益 0518.xls]その他特別利益'!$AJ$21</t>
        </r>
      </text>
    </comment>
    <comment ref="I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修正.xls]過年度損益修正益'!$AK$96+'I:\経理係フォルダ\☆決算事務\２８年度決算\06 H28決算　消費税計算\財務会計データ\３条\収入\[H28 4830606その他特別利益 0518.xls]その他特別利益'!$AK$21</t>
        </r>
      </text>
    </comment>
    <comment ref="D13" authorId="1" shapeId="0">
      <text>
        <r>
          <rPr>
            <sz val="9"/>
            <color indexed="81"/>
            <rFont val="ＭＳ Ｐゴシック"/>
            <family val="3"/>
            <charset val="128"/>
          </rPr>
          <t>基礎となる率を、
Ｈ27年度決算 管きょ費 雨汚水＜公共＞
の安佐南区のシートの「災害復旧土砂撤去業務」から使っている</t>
        </r>
      </text>
    </comment>
    <comment ref="B19" authorId="0" shapeId="0">
      <text>
        <r>
          <rPr>
            <b/>
            <sz val="9"/>
            <color indexed="81"/>
            <rFont val="ＭＳ Ｐゴシック"/>
            <family val="3"/>
            <charset val="128"/>
          </rPr>
          <t>他会計負担金</t>
        </r>
        <r>
          <rPr>
            <sz val="9"/>
            <color indexed="81"/>
            <rFont val="ＭＳ Ｐゴシック"/>
            <family val="3"/>
            <charset val="128"/>
          </rPr>
          <t xml:space="preserve">
</t>
        </r>
      </text>
    </comment>
    <comment ref="C19" authorId="2" shapeId="0">
      <text>
        <r>
          <rPr>
            <b/>
            <sz val="9"/>
            <color indexed="81"/>
            <rFont val="ＭＳ Ｐゴシック"/>
            <family val="3"/>
            <charset val="128"/>
          </rPr>
          <t>府中町減免分500,105円が混入している。
減免使用料の補填であり、維持管理費充当が妥当と思われるが、どうか。</t>
        </r>
      </text>
    </comment>
    <comment ref="C20" authorId="3" shapeId="0">
      <text>
        <r>
          <rPr>
            <sz val="9"/>
            <color indexed="81"/>
            <rFont val="ＭＳ Ｐゴシック"/>
            <family val="3"/>
            <charset val="128"/>
          </rPr>
          <t>いいぐわいに反映するか必ず確認。
※H23まであった段原区画整理？</t>
        </r>
      </text>
    </comment>
    <comment ref="C21" authorId="1" shapeId="0">
      <text>
        <r>
          <rPr>
            <sz val="9"/>
            <color indexed="81"/>
            <rFont val="ＭＳ Ｐゴシック"/>
            <family val="3"/>
            <charset val="128"/>
          </rPr>
          <t>='I:\経理係フォルダ\☆決算事務\２８年度決算\07 H28雨汚水分け\[H28決算　減償雨汚　減価償却費算定シート.xlsx]公共（長期）'!$C$119</t>
        </r>
      </text>
    </comment>
    <comment ref="D21" authorId="1" shapeId="0">
      <text>
        <r>
          <rPr>
            <sz val="9"/>
            <color indexed="81"/>
            <rFont val="ＭＳ Ｐゴシック"/>
            <family val="3"/>
            <charset val="128"/>
          </rPr>
          <t>='I:\経理係フォルダ\☆決算事務\２８年度決算\07 H28雨汚水分け\[H28決算　減償雨汚　減価償却費算定シート.xlsx]公共（長期）'!$E$119</t>
        </r>
      </text>
    </comment>
    <comment ref="E21" authorId="1" shapeId="0">
      <text>
        <r>
          <rPr>
            <sz val="9"/>
            <color indexed="81"/>
            <rFont val="ＭＳ Ｐゴシック"/>
            <family val="3"/>
            <charset val="128"/>
          </rPr>
          <t>='I:\経理係フォルダ\☆決算事務\２８年度決算\07 H28雨汚水分け\[H28決算　減償雨汚　減価償却費算定シート.xlsx]公共（長期）'!$G$119</t>
        </r>
      </text>
    </comment>
    <comment ref="F21" authorId="0" shapeId="0">
      <text>
        <r>
          <rPr>
            <b/>
            <sz val="9"/>
            <color indexed="81"/>
            <rFont val="ＭＳ Ｐゴシック"/>
            <family val="3"/>
            <charset val="128"/>
          </rPr>
          <t>H28以降の取扱い</t>
        </r>
        <r>
          <rPr>
            <sz val="9"/>
            <color indexed="81"/>
            <rFont val="ＭＳ Ｐゴシック"/>
            <family val="3"/>
            <charset val="128"/>
          </rPr>
          <t xml:space="preserve">
「3条税込み」シートのG32セルのコメントを参照。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124,889,400円</t>
        </r>
      </text>
    </comment>
    <comment ref="H21" authorId="1" shapeId="0">
      <text>
        <r>
          <rPr>
            <sz val="9"/>
            <color indexed="81"/>
            <rFont val="ＭＳ Ｐゴシック"/>
            <family val="3"/>
            <charset val="128"/>
          </rPr>
          <t>='I:\経理係フォルダ\☆決算事務\２８年度決算\07 H28雨汚水分け\[H28決算　減償雨汚　減価償却費算定シート.xlsx]公共（長期）'!$H$119</t>
        </r>
      </text>
    </comment>
    <comment ref="I21" authorId="1" shapeId="0">
      <text>
        <r>
          <rPr>
            <sz val="9"/>
            <color indexed="81"/>
            <rFont val="ＭＳ Ｐゴシック"/>
            <family val="3"/>
            <charset val="128"/>
          </rPr>
          <t>='I:\経理係フォルダ\☆決算事務\２８年度決算\07 H28雨汚水分け\[H28決算　減償雨汚　減価償却費算定シート.xlsx]公共（長期）'!$F$119</t>
        </r>
      </text>
    </comment>
    <comment ref="D22" authorId="2" shapeId="0">
      <text>
        <r>
          <rPr>
            <sz val="9"/>
            <color indexed="81"/>
            <rFont val="ＭＳ Ｐゴシック"/>
            <family val="3"/>
            <charset val="128"/>
          </rPr>
          <t>+ROUND('I:\経理係フォルダ\☆決算事務\２８年度決算\07 H28雨汚水分け\[H28決算　除却費雨汚水分け.xlsx]全事業'!$D$18*'3条税込み'!Q39,0)</t>
        </r>
      </text>
    </comment>
    <comment ref="E22" authorId="2" shapeId="0">
      <text>
        <r>
          <rPr>
            <sz val="9"/>
            <color indexed="81"/>
            <rFont val="ＭＳ Ｐゴシック"/>
            <family val="3"/>
            <charset val="128"/>
          </rPr>
          <t>+'I:\経理係フォルダ\☆決算事務\２８年度決算\07 H28雨汚水分け\[H28決算　除却費雨汚水分け.xlsx]全事業'!$D$18-D22</t>
        </r>
      </text>
    </comment>
    <comment ref="H22" authorId="2" shapeId="0">
      <text>
        <r>
          <rPr>
            <sz val="9"/>
            <color indexed="81"/>
            <rFont val="ＭＳ Ｐゴシック"/>
            <family val="3"/>
            <charset val="128"/>
          </rPr>
          <t>+'I:\経理係フォルダ\☆決算事務\２８年度決算\07 H28雨汚水分け\[H28決算　除却費雨汚水分け.xlsx]全事業'!$B$18</t>
        </r>
      </text>
    </comment>
    <comment ref="I22" authorId="2" shapeId="0">
      <text>
        <r>
          <rPr>
            <sz val="9"/>
            <color indexed="81"/>
            <rFont val="ＭＳ Ｐゴシック"/>
            <family val="3"/>
            <charset val="128"/>
          </rPr>
          <t>+'I:\経理係フォルダ\☆決算事務\２８年度決算\07 H28雨汚水分け\[H28決算　除却費雨汚水分け.xlsx]全事業'!$C$18</t>
        </r>
      </text>
    </comment>
    <comment ref="R22" authorId="0" shapeId="0">
      <text>
        <r>
          <rPr>
            <b/>
            <sz val="9"/>
            <color indexed="81"/>
            <rFont val="ＭＳ Ｐゴシック"/>
            <family val="3"/>
            <charset val="128"/>
          </rPr>
          <t>補助金が下のセルと同額になるように調整した</t>
        </r>
      </text>
    </comment>
    <comment ref="B23" authorId="1" shapeId="0">
      <text>
        <r>
          <rPr>
            <sz val="9"/>
            <color indexed="81"/>
            <rFont val="ＭＳ Ｐゴシック"/>
            <family val="3"/>
            <charset val="128"/>
          </rPr>
          <t>耐用年数の登録誤りによる過年度損益修正分
及び
遊休資産に係る減損損失に伴う過年度損益修正分
いずれも固定資産担当作成データより</t>
        </r>
      </text>
    </comment>
    <comment ref="C23" authorId="1" shapeId="0">
      <text>
        <r>
          <rPr>
            <b/>
            <sz val="9"/>
            <color indexed="81"/>
            <rFont val="ＭＳ Ｐゴシック"/>
            <family val="3"/>
            <charset val="128"/>
          </rPr>
          <t>減価償却費の不足、特損固定資産除却に伴う特利、
減損損失に伴う長期前受金戻入益</t>
        </r>
      </text>
    </comment>
    <comment ref="R25" authorId="0" shapeId="0">
      <text>
        <r>
          <rPr>
            <b/>
            <sz val="9"/>
            <color indexed="81"/>
            <rFont val="ＭＳ Ｐゴシック"/>
            <family val="3"/>
            <charset val="128"/>
          </rPr>
          <t>ゼロになるように調整した</t>
        </r>
      </text>
    </comment>
    <comment ref="R27" authorId="0" shapeId="0">
      <text>
        <r>
          <rPr>
            <b/>
            <sz val="9"/>
            <color indexed="81"/>
            <rFont val="ＭＳ Ｐゴシック"/>
            <family val="3"/>
            <charset val="128"/>
          </rPr>
          <t>ゼロになるように調整した</t>
        </r>
      </text>
    </comment>
    <comment ref="R31" authorId="1" shapeId="0">
      <text>
        <r>
          <rPr>
            <b/>
            <sz val="9"/>
            <color indexed="81"/>
            <rFont val="ＭＳ Ｐゴシック"/>
            <family val="3"/>
            <charset val="128"/>
          </rPr>
          <t xml:space="preserve">管理課提出
年度別減免状況表
総括より
</t>
        </r>
        <r>
          <rPr>
            <sz val="9"/>
            <color indexed="81"/>
            <rFont val="ＭＳ Ｐゴシック"/>
            <family val="3"/>
            <charset val="128"/>
          </rPr>
          <t>+I:\経理係フォルダ\☆決算事務\２８年度決算\03 各課からの提出物\管理課分\06_５月１６日了知（Jフォルダ管理部H28決算02使用料係）\'[平成28年度下水道使用料 処理区別減免状況（使用水量・減免水量）.xlsx]総括'!$D$30</t>
        </r>
      </text>
    </comment>
    <comment ref="V33" authorId="2" shapeId="0">
      <text>
        <r>
          <rPr>
            <b/>
            <sz val="22"/>
            <color indexed="81"/>
            <rFont val="ＭＳ Ｐゴシック"/>
            <family val="3"/>
            <charset val="128"/>
          </rPr>
          <t>税抜額で請求したいところだが、特定収入に係る課税仕入れに係る消費税額分＝仮払税額となり、現実的に控除できないので、税込で計算する。</t>
        </r>
      </text>
    </comment>
    <comment ref="R36" authorId="3" shapeId="0">
      <text>
        <r>
          <rPr>
            <sz val="9"/>
            <color indexed="81"/>
            <rFont val="ＭＳ Ｐゴシック"/>
            <family val="3"/>
            <charset val="128"/>
          </rPr>
          <t xml:space="preserve">19年度決算は減価償却に充当する他会計負担金があるから資本費の収入を減価償却分と利息分に分ける。次年度は元に戻すこと。
</t>
        </r>
      </text>
    </comment>
  </commentList>
</comments>
</file>

<file path=xl/w5_comments6.xml><?xml version="1.0" encoding="utf-8"?>
<comments xmlns="http://schemas.openxmlformats.org/spreadsheetml/2006/main">
  <authors>
    <author>広島市</author>
  </authors>
  <commentList>
    <comment ref="R10" authorId="0" shapeId="0">
      <text>
        <r>
          <rPr>
            <b/>
            <sz val="9"/>
            <color indexed="81"/>
            <rFont val="ＭＳ Ｐゴシック"/>
            <family val="3"/>
            <charset val="128"/>
          </rPr>
          <t xml:space="preserve">H28
</t>
        </r>
        <r>
          <rPr>
            <sz val="9"/>
            <color indexed="81"/>
            <rFont val="ＭＳ Ｐゴシック"/>
            <family val="3"/>
            <charset val="128"/>
          </rPr>
          <t xml:space="preserve">3条税込の資産除却費の基準内汚水分に値を入力したため、式を修正した。下は、修正前。
=ROUND('3条税抜き (消費費税雑支出加算)'!H32+'3条税抜き (消費費税雑支出加算)'!H39+'3条税抜き (消費費税雑支出加算)'!I39+'3条税抜き (消費費税雑支出加算)'!I32-G21-G22-H21-G23-H23,0)
</t>
        </r>
      </text>
    </comment>
  </commentList>
</comments>
</file>

<file path=xl/w5_comments7.xml><?xml version="1.0" encoding="utf-8"?>
<comments xmlns="http://schemas.openxmlformats.org/spreadsheetml/2006/main">
  <authors>
    <author>広島市</author>
  </authors>
  <commentList>
    <comment ref="R10" authorId="0" shapeId="0">
      <text>
        <r>
          <rPr>
            <b/>
            <sz val="9"/>
            <color indexed="81"/>
            <rFont val="ＭＳ Ｐゴシック"/>
            <family val="3"/>
            <charset val="128"/>
          </rPr>
          <t xml:space="preserve">H28
</t>
        </r>
        <r>
          <rPr>
            <sz val="9"/>
            <color indexed="81"/>
            <rFont val="ＭＳ Ｐゴシック"/>
            <family val="3"/>
            <charset val="128"/>
          </rPr>
          <t xml:space="preserve">3条税込の資産除却費の基準内汚水分に値を入力したため、式を修正した。下は、修正前。
=ROUND('3条税抜き (消費費税雑支出加算)'!H32+'3条税抜き (消費費税雑支出加算)'!H39+'3条税抜き (消費費税雑支出加算)'!I39+'3条税抜き (消費費税雑支出加算)'!I32-G21-G22-H21-G23-H23,0)
</t>
        </r>
      </text>
    </comment>
  </commentList>
</comments>
</file>

<file path=xl/w5_comments8.xml><?xml version="1.0" encoding="utf-8"?>
<comments xmlns="http://schemas.openxmlformats.org/spreadsheetml/2006/main">
  <authors>
    <author>広島市</author>
    <author>楠 宏</author>
    <author>4202453</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R12" authorId="0" shapeId="0">
      <text>
        <r>
          <rPr>
            <sz val="9"/>
            <color indexed="81"/>
            <rFont val="ＭＳ Ｐゴシック"/>
            <family val="3"/>
            <charset val="128"/>
          </rPr>
          <t>補助金は不課税、報酬の大半は不課税のため、税込の割合で按分するにはなじまない。</t>
        </r>
      </text>
    </comment>
    <comment ref="H13" authorId="0" shapeId="0">
      <text>
        <r>
          <rPr>
            <sz val="9"/>
            <color indexed="81"/>
            <rFont val="ＭＳ Ｐゴシック"/>
            <family val="3"/>
            <charset val="128"/>
          </rPr>
          <t>水洗化貸付事業費全額
=+E13</t>
        </r>
      </text>
    </comment>
    <comment ref="R13" authorId="0" shapeId="0">
      <text>
        <r>
          <rPr>
            <b/>
            <sz val="9"/>
            <color indexed="81"/>
            <rFont val="ＭＳ Ｐゴシック"/>
            <family val="3"/>
            <charset val="128"/>
          </rPr>
          <t>水洗化貸付事業費全額
=+O13</t>
        </r>
      </text>
    </comment>
    <comment ref="H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14" authorId="0" shapeId="0">
      <text>
        <r>
          <rPr>
            <b/>
            <sz val="9"/>
            <color indexed="81"/>
            <rFont val="ＭＳ Ｐゴシック"/>
            <family val="3"/>
            <charset val="128"/>
          </rPr>
          <t>使用料減免に要する人件費の課税割合で算出
=+ROUND(L14/SUM(業務!E5:E9,業務!E34)*SUM(業務!R5:R9,業務!R34),0)</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b/>
            <sz val="9"/>
            <color indexed="81"/>
            <rFont val="ＭＳ Ｐゴシック"/>
            <family val="3"/>
            <charset val="128"/>
          </rPr>
          <t>管きょ費から業務費までの加重平均で按分
=+ROUND((総係!$R$36-総係!$R$35-$U$15)*SUM(O7:O14)/SUM($O$7:$P$14,$R$7:$S$14),0)</t>
        </r>
      </text>
    </comment>
    <comment ref="Q15" authorId="0" shapeId="0">
      <text>
        <r>
          <rPr>
            <b/>
            <sz val="9"/>
            <color indexed="81"/>
            <rFont val="ＭＳ Ｐゴシック"/>
            <family val="3"/>
            <charset val="128"/>
          </rPr>
          <t>管きょ費から業務費までの加重平均で按分
=+ROUND((総係!$R$36-総係!$R$35-$L$15)*SUM(P7:P14)/SUM($O$7:$P$14,$R$7:$S$14),0)</t>
        </r>
      </text>
    </comment>
    <comment ref="R15" authorId="0" shapeId="0">
      <text>
        <r>
          <rPr>
            <b/>
            <sz val="9"/>
            <color indexed="81"/>
            <rFont val="ＭＳ Ｐゴシック"/>
            <family val="3"/>
            <charset val="128"/>
          </rPr>
          <t>局及び管理部の総括事務経費（貸倒引当金繰入額を除く）の1/2
=+ROUND((総係!R36-総係!R35)/2,0)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雨水・汚水折半
=+ROUND(N22/2,0)
～H28までは、一般行政経費としていたが、財計経費区分表に明記されていないためH29より折半する。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5" authorId="0" shapeId="0">
      <text>
        <r>
          <rPr>
            <b/>
            <sz val="9"/>
            <color indexed="81"/>
            <rFont val="ＭＳ Ｐゴシック"/>
            <family val="3"/>
            <charset val="128"/>
          </rPr>
          <t>ここでは入力不要！
下の消費税雑支出加算後の表に自動表示される。）</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D26" authorId="0" shapeId="0">
      <text>
        <r>
          <rPr>
            <b/>
            <sz val="9"/>
            <color indexed="81"/>
            <rFont val="ＭＳ Ｐゴシック"/>
            <family val="3"/>
            <charset val="128"/>
          </rPr>
          <t>課税売上割合を乗じることにより控除できなくなった額（３条分）</t>
        </r>
      </text>
    </comment>
    <comment ref="N26" authorId="0" shapeId="0">
      <text>
        <r>
          <rPr>
            <b/>
            <sz val="9"/>
            <color indexed="81"/>
            <rFont val="ＭＳ Ｐゴシック"/>
            <family val="3"/>
            <charset val="128"/>
          </rPr>
          <t>課税売上割合を乗じることにより控除できなくなった額（３条分）</t>
        </r>
      </text>
    </comment>
    <comment ref="O26" authorId="0" shapeId="0">
      <text>
        <r>
          <rPr>
            <b/>
            <sz val="9"/>
            <color indexed="81"/>
            <rFont val="ＭＳ Ｐゴシック"/>
            <family val="3"/>
            <charset val="128"/>
          </rPr>
          <t>ここでは入力不要！
下の消費税雑支出加算後の表に自動表示される。）</t>
        </r>
      </text>
    </comment>
    <comment ref="P28" authorId="0" shapeId="0">
      <text>
        <r>
          <rPr>
            <b/>
            <sz val="9"/>
            <color indexed="81"/>
            <rFont val="ＭＳ Ｐゴシック"/>
            <family val="3"/>
            <charset val="128"/>
          </rPr>
          <t>税込＝税抜　固定</t>
        </r>
      </text>
    </comment>
    <comment ref="Q28" authorId="0" shapeId="0">
      <text>
        <r>
          <rPr>
            <b/>
            <sz val="9"/>
            <color indexed="81"/>
            <rFont val="ＭＳ Ｐゴシック"/>
            <family val="3"/>
            <charset val="128"/>
          </rPr>
          <t>税込＝税抜　固定</t>
        </r>
      </text>
    </comment>
    <comment ref="T28" authorId="0" shapeId="0">
      <text>
        <r>
          <rPr>
            <b/>
            <sz val="9"/>
            <color indexed="81"/>
            <rFont val="ＭＳ Ｐゴシック"/>
            <family val="3"/>
            <charset val="128"/>
          </rPr>
          <t>税込＝税抜　固定</t>
        </r>
      </text>
    </comment>
    <comment ref="U28" authorId="0" shapeId="0">
      <text>
        <r>
          <rPr>
            <b/>
            <sz val="9"/>
            <color indexed="81"/>
            <rFont val="ＭＳ Ｐゴシック"/>
            <family val="3"/>
            <charset val="128"/>
          </rPr>
          <t>税込＝税抜　固定</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t>
        </r>
      </text>
    </comment>
    <comment ref="P34" authorId="0" shapeId="0">
      <text>
        <r>
          <rPr>
            <b/>
            <sz val="9"/>
            <color indexed="81"/>
            <rFont val="ＭＳ Ｐゴシック"/>
            <family val="3"/>
            <charset val="128"/>
          </rPr>
          <t>税込＝税抜　固定</t>
        </r>
      </text>
    </comment>
    <comment ref="Q34" authorId="0" shapeId="0">
      <text>
        <r>
          <rPr>
            <b/>
            <sz val="9"/>
            <color indexed="81"/>
            <rFont val="ＭＳ Ｐゴシック"/>
            <family val="3"/>
            <charset val="128"/>
          </rPr>
          <t>税込＝税抜　固定</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T34" authorId="0" shapeId="0">
      <text>
        <r>
          <rPr>
            <b/>
            <sz val="9"/>
            <color indexed="81"/>
            <rFont val="ＭＳ Ｐゴシック"/>
            <family val="3"/>
            <charset val="128"/>
          </rPr>
          <t>税込＝税抜　固定</t>
        </r>
      </text>
    </comment>
    <comment ref="U34" authorId="0" shapeId="0">
      <text>
        <r>
          <rPr>
            <b/>
            <sz val="9"/>
            <color indexed="81"/>
            <rFont val="ＭＳ Ｐゴシック"/>
            <family val="3"/>
            <charset val="128"/>
          </rPr>
          <t>税込＝税抜　固定</t>
        </r>
      </text>
    </comment>
    <comment ref="F35" authorId="0" shapeId="0">
      <text>
        <r>
          <rPr>
            <b/>
            <sz val="9"/>
            <color indexed="81"/>
            <rFont val="ＭＳ Ｐゴシック"/>
            <family val="3"/>
            <charset val="128"/>
          </rPr>
          <t>除却費雨汚水分け表より</t>
        </r>
      </text>
    </comment>
    <comment ref="P35" authorId="0" shapeId="0">
      <text>
        <r>
          <rPr>
            <b/>
            <sz val="9"/>
            <color indexed="81"/>
            <rFont val="ＭＳ Ｐゴシック"/>
            <family val="3"/>
            <charset val="128"/>
          </rPr>
          <t>税込＝税抜　固定</t>
        </r>
      </text>
    </comment>
    <comment ref="Q35" authorId="0" shapeId="0">
      <text>
        <r>
          <rPr>
            <b/>
            <sz val="9"/>
            <color indexed="81"/>
            <rFont val="ＭＳ Ｐゴシック"/>
            <family val="3"/>
            <charset val="128"/>
          </rPr>
          <t>税込＝税抜　固定</t>
        </r>
      </text>
    </comment>
    <comment ref="T35" authorId="0" shapeId="0">
      <text>
        <r>
          <rPr>
            <b/>
            <sz val="9"/>
            <color indexed="81"/>
            <rFont val="ＭＳ Ｐゴシック"/>
            <family val="3"/>
            <charset val="128"/>
          </rPr>
          <t>税込＝税抜　固定</t>
        </r>
      </text>
    </comment>
    <comment ref="U35" authorId="0" shapeId="0">
      <text>
        <r>
          <rPr>
            <b/>
            <sz val="9"/>
            <color indexed="81"/>
            <rFont val="ＭＳ Ｐゴシック"/>
            <family val="3"/>
            <charset val="128"/>
          </rPr>
          <t>税込＝税抜　固定</t>
        </r>
      </text>
    </comment>
    <comment ref="F37" authorId="0" shapeId="0">
      <text>
        <r>
          <rPr>
            <b/>
            <sz val="9"/>
            <color indexed="81"/>
            <rFont val="ＭＳ Ｐゴシック"/>
            <family val="3"/>
            <charset val="128"/>
          </rPr>
          <t>企業債利息雨汚水分け表より</t>
        </r>
      </text>
    </comment>
    <comment ref="H37" authorId="0" shapeId="0">
      <text>
        <r>
          <rPr>
            <sz val="9"/>
            <color indexed="81"/>
            <rFont val="ＭＳ Ｐゴシック"/>
            <family val="3"/>
            <charset val="128"/>
          </rPr>
          <t>弾力運用分、特別分、し尿分の利子償還金</t>
        </r>
      </text>
    </comment>
    <comment ref="P37" authorId="0" shapeId="0">
      <text>
        <r>
          <rPr>
            <b/>
            <sz val="9"/>
            <color indexed="81"/>
            <rFont val="ＭＳ Ｐゴシック"/>
            <family val="3"/>
            <charset val="128"/>
          </rPr>
          <t>税込＝税抜　固定</t>
        </r>
      </text>
    </comment>
    <comment ref="Q37" authorId="0" shapeId="0">
      <text>
        <r>
          <rPr>
            <b/>
            <sz val="9"/>
            <color indexed="81"/>
            <rFont val="ＭＳ Ｐゴシック"/>
            <family val="3"/>
            <charset val="128"/>
          </rPr>
          <t>税込＝税抜　固定</t>
        </r>
      </text>
    </comment>
    <comment ref="R37" authorId="0" shapeId="0">
      <text>
        <r>
          <rPr>
            <b/>
            <sz val="9"/>
            <color indexed="81"/>
            <rFont val="ＭＳ Ｐゴシック"/>
            <family val="3"/>
            <charset val="128"/>
          </rPr>
          <t>税込＝税抜　固定</t>
        </r>
      </text>
    </comment>
    <comment ref="T37" authorId="0" shapeId="0">
      <text>
        <r>
          <rPr>
            <b/>
            <sz val="9"/>
            <color indexed="81"/>
            <rFont val="ＭＳ Ｐゴシック"/>
            <family val="3"/>
            <charset val="128"/>
          </rPr>
          <t>税込＝税抜　固定</t>
        </r>
      </text>
    </comment>
    <comment ref="U37" authorId="0" shapeId="0">
      <text>
        <r>
          <rPr>
            <b/>
            <sz val="9"/>
            <color indexed="81"/>
            <rFont val="ＭＳ Ｐゴシック"/>
            <family val="3"/>
            <charset val="128"/>
          </rPr>
          <t>税込＝税抜　固定</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税込＝税抜　固定</t>
        </r>
      </text>
    </comment>
    <comment ref="Q42" authorId="0" shapeId="0">
      <text>
        <r>
          <rPr>
            <b/>
            <sz val="9"/>
            <color indexed="81"/>
            <rFont val="ＭＳ Ｐゴシック"/>
            <family val="3"/>
            <charset val="128"/>
          </rPr>
          <t>税込＝税抜　固定</t>
        </r>
      </text>
    </comment>
    <comment ref="T42" authorId="0" shapeId="0">
      <text>
        <r>
          <rPr>
            <b/>
            <sz val="9"/>
            <color indexed="81"/>
            <rFont val="ＭＳ Ｐゴシック"/>
            <family val="3"/>
            <charset val="128"/>
          </rPr>
          <t>税込＝税抜　固定</t>
        </r>
      </text>
    </comment>
    <comment ref="U42" authorId="0" shapeId="0">
      <text>
        <r>
          <rPr>
            <b/>
            <sz val="9"/>
            <color indexed="81"/>
            <rFont val="ＭＳ Ｐゴシック"/>
            <family val="3"/>
            <charset val="128"/>
          </rPr>
          <t>税込＝税抜　固定</t>
        </r>
      </text>
    </comment>
    <comment ref="P43" authorId="0" shapeId="0">
      <text>
        <r>
          <rPr>
            <b/>
            <sz val="9"/>
            <color indexed="81"/>
            <rFont val="ＭＳ Ｐゴシック"/>
            <family val="3"/>
            <charset val="128"/>
          </rPr>
          <t>税込＝税抜　固定</t>
        </r>
      </text>
    </comment>
    <comment ref="Q43" authorId="0" shapeId="0">
      <text>
        <r>
          <rPr>
            <b/>
            <sz val="9"/>
            <color indexed="81"/>
            <rFont val="ＭＳ Ｐゴシック"/>
            <family val="3"/>
            <charset val="128"/>
          </rPr>
          <t>税込＝税抜　固定</t>
        </r>
      </text>
    </comment>
    <comment ref="T43" authorId="0" shapeId="0">
      <text>
        <r>
          <rPr>
            <b/>
            <sz val="9"/>
            <color indexed="81"/>
            <rFont val="ＭＳ Ｐゴシック"/>
            <family val="3"/>
            <charset val="128"/>
          </rPr>
          <t>税込＝税抜　固定</t>
        </r>
      </text>
    </comment>
    <comment ref="U43" authorId="0" shapeId="0">
      <text>
        <r>
          <rPr>
            <b/>
            <sz val="9"/>
            <color indexed="81"/>
            <rFont val="ＭＳ Ｐゴシック"/>
            <family val="3"/>
            <charset val="128"/>
          </rPr>
          <t>税込＝税抜　固定</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b/>
            <sz val="9"/>
            <color indexed="81"/>
            <rFont val="ＭＳ Ｐゴシック"/>
            <family val="3"/>
            <charset val="128"/>
          </rPr>
          <t>税込＝税抜　固定</t>
        </r>
      </text>
    </comment>
    <comment ref="U44" authorId="0" shapeId="0">
      <text>
        <r>
          <rPr>
            <b/>
            <sz val="9"/>
            <color indexed="81"/>
            <rFont val="ＭＳ Ｐゴシック"/>
            <family val="3"/>
            <charset val="128"/>
          </rPr>
          <t>税込＝税抜　固定</t>
        </r>
      </text>
    </comment>
    <comment ref="D61" authorId="0" shapeId="0">
      <text>
        <r>
          <rPr>
            <b/>
            <sz val="9"/>
            <color indexed="81"/>
            <rFont val="ＭＳ Ｐゴシック"/>
            <family val="3"/>
            <charset val="128"/>
          </rPr>
          <t>産物売却代金（西部汚水処理の特財）</t>
        </r>
      </text>
    </comment>
    <comment ref="U61" authorId="0" shapeId="0">
      <text>
        <r>
          <rPr>
            <b/>
            <sz val="9"/>
            <color indexed="81"/>
            <rFont val="ＭＳ Ｐゴシック"/>
            <family val="3"/>
            <charset val="128"/>
          </rPr>
          <t>産物売却代金（西部汚水処理の特財）
=+'3条収入'!E20</t>
        </r>
      </text>
    </comment>
    <comment ref="D62" authorId="0" shapeId="0">
      <text>
        <r>
          <rPr>
            <b/>
            <sz val="9"/>
            <color indexed="81"/>
            <rFont val="ＭＳ Ｐゴシック"/>
            <family val="3"/>
            <charset val="128"/>
          </rPr>
          <t>主に管きょ費の特財</t>
        </r>
      </text>
    </comment>
    <comment ref="P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4811400その他営業収益.xls]その他営業収益'!$AI$6</t>
        </r>
      </text>
    </comment>
    <comment ref="Q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4811400その他営業収益.xls]その他営業収益'!$AJ$6</t>
        </r>
      </text>
    </comment>
    <comment ref="D63" authorId="0" shapeId="0">
      <text>
        <r>
          <rPr>
            <b/>
            <sz val="9"/>
            <color indexed="81"/>
            <rFont val="ＭＳ Ｐゴシック"/>
            <family val="3"/>
            <charset val="128"/>
          </rPr>
          <t>主に管きょ費の特財</t>
        </r>
      </text>
    </comment>
    <comment ref="R63" authorId="0" shapeId="0">
      <text>
        <r>
          <rPr>
            <b/>
            <sz val="9"/>
            <color indexed="81"/>
            <rFont val="ＭＳ Ｐゴシック"/>
            <family val="3"/>
            <charset val="128"/>
          </rPr>
          <t>管きょ費開発行為関係業務のの特財</t>
        </r>
      </text>
    </comment>
    <comment ref="D64" authorId="0" shapeId="0">
      <text>
        <r>
          <rPr>
            <b/>
            <sz val="9"/>
            <color indexed="81"/>
            <rFont val="ＭＳ Ｐゴシック"/>
            <family val="3"/>
            <charset val="128"/>
          </rPr>
          <t>普及促進費の特財</t>
        </r>
      </text>
    </comment>
    <comment ref="R64" authorId="0" shapeId="0">
      <text>
        <r>
          <rPr>
            <b/>
            <sz val="9"/>
            <color indexed="81"/>
            <rFont val="ＭＳ Ｐゴシック"/>
            <family val="3"/>
            <charset val="128"/>
          </rPr>
          <t>普及促進費の特財</t>
        </r>
      </text>
    </comment>
    <comment ref="R65" authorId="0" shapeId="0">
      <text>
        <r>
          <rPr>
            <b/>
            <sz val="9"/>
            <color indexed="81"/>
            <rFont val="ＭＳ Ｐゴシック"/>
            <family val="3"/>
            <charset val="128"/>
          </rPr>
          <t>普及促進費の特財</t>
        </r>
      </text>
    </comment>
    <comment ref="D70" authorId="0" shapeId="0">
      <text>
        <r>
          <rPr>
            <b/>
            <sz val="9"/>
            <color indexed="81"/>
            <rFont val="ＭＳ Ｐゴシック"/>
            <family val="3"/>
            <charset val="128"/>
          </rPr>
          <t>主にポンプ場費の特財</t>
        </r>
      </text>
    </comment>
    <comment ref="P70" authorId="0" shapeId="0">
      <text>
        <r>
          <rPr>
            <b/>
            <sz val="9"/>
            <color indexed="81"/>
            <rFont val="ＭＳ Ｐゴシック"/>
            <family val="3"/>
            <charset val="128"/>
          </rPr>
          <t>主にポンプ場費の特財</t>
        </r>
      </text>
    </comment>
    <comment ref="U70" authorId="0" shapeId="0">
      <text>
        <r>
          <rPr>
            <b/>
            <sz val="9"/>
            <color indexed="81"/>
            <rFont val="ＭＳ Ｐゴシック"/>
            <family val="3"/>
            <charset val="128"/>
          </rPr>
          <t>主にポンプ場費の特財</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E77" authorId="0" shapeId="0">
      <text>
        <r>
          <rPr>
            <b/>
            <sz val="9"/>
            <color indexed="81"/>
            <rFont val="ＭＳ Ｐゴシック"/>
            <family val="3"/>
            <charset val="128"/>
          </rPr>
          <t>ここでは入力不要！
下の消費税雑支出加算後の表に自動表示される。）</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O77" authorId="0" shapeId="0">
      <text>
        <r>
          <rPr>
            <b/>
            <sz val="9"/>
            <color indexed="81"/>
            <rFont val="ＭＳ Ｐゴシック"/>
            <family val="3"/>
            <charset val="128"/>
          </rPr>
          <t>ここでは入力不要！
下の消費税雑支出加算後の表に自動表示される。）</t>
        </r>
      </text>
    </comment>
    <comment ref="X77" authorId="0" shapeId="0">
      <text>
        <r>
          <rPr>
            <b/>
            <sz val="9"/>
            <color indexed="81"/>
            <rFont val="ＭＳ Ｐゴシック"/>
            <family val="3"/>
            <charset val="128"/>
          </rPr>
          <t>貸倒引当金取崩額に係る調整</t>
        </r>
      </text>
    </comment>
    <comment ref="H82" authorId="0" shapeId="0">
      <text>
        <r>
          <rPr>
            <b/>
            <sz val="9"/>
            <color indexed="10"/>
            <rFont val="ＭＳ Ｐゴシック"/>
            <family val="3"/>
            <charset val="128"/>
          </rPr>
          <t>次期財計で使用料、貸付、受益者の貸倒引当金の雨汚水区分を変更した場合には、戻入益の雨汚水区分も変更する。（実際の作業は、収入雨汚水内訳シート内で行う。）</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t>
        </r>
      </text>
    </comment>
    <comment ref="P85" authorId="0" shapeId="0">
      <text>
        <r>
          <rPr>
            <b/>
            <sz val="9"/>
            <color indexed="81"/>
            <rFont val="ＭＳ Ｐゴシック"/>
            <family val="3"/>
            <charset val="128"/>
          </rPr>
          <t>税込＝税抜　固定</t>
        </r>
      </text>
    </comment>
    <comment ref="Q85" authorId="0" shapeId="0">
      <text>
        <r>
          <rPr>
            <b/>
            <sz val="9"/>
            <color indexed="81"/>
            <rFont val="ＭＳ Ｐゴシック"/>
            <family val="3"/>
            <charset val="128"/>
          </rPr>
          <t>税込＝税抜　固定</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T85" authorId="0" shapeId="0">
      <text>
        <r>
          <rPr>
            <b/>
            <sz val="9"/>
            <color indexed="81"/>
            <rFont val="ＭＳ Ｐゴシック"/>
            <family val="3"/>
            <charset val="128"/>
          </rPr>
          <t>税込＝税抜　固定</t>
        </r>
      </text>
    </comment>
    <comment ref="U85" authorId="0" shapeId="0">
      <text>
        <r>
          <rPr>
            <b/>
            <sz val="9"/>
            <color indexed="81"/>
            <rFont val="ＭＳ Ｐゴシック"/>
            <family val="3"/>
            <charset val="128"/>
          </rPr>
          <t>税込＝税抜　固定</t>
        </r>
      </text>
    </comment>
    <comment ref="F86" authorId="0" shapeId="0">
      <text>
        <r>
          <rPr>
            <b/>
            <sz val="9"/>
            <color indexed="81"/>
            <rFont val="ＭＳ Ｐゴシック"/>
            <family val="3"/>
            <charset val="128"/>
          </rPr>
          <t>除却費雨汚水分け表より</t>
        </r>
      </text>
    </comment>
    <comment ref="O86" authorId="0" shapeId="0">
      <text>
        <r>
          <rPr>
            <b/>
            <sz val="9"/>
            <color indexed="81"/>
            <rFont val="ＭＳ Ｐゴシック"/>
            <family val="3"/>
            <charset val="128"/>
          </rPr>
          <t>税込＝税抜　固定</t>
        </r>
      </text>
    </comment>
    <comment ref="P86" authorId="0" shapeId="0">
      <text>
        <r>
          <rPr>
            <b/>
            <sz val="9"/>
            <color indexed="81"/>
            <rFont val="ＭＳ Ｐゴシック"/>
            <family val="3"/>
            <charset val="128"/>
          </rPr>
          <t>税込＝税抜　固定</t>
        </r>
      </text>
    </comment>
    <comment ref="Q86" authorId="0" shapeId="0">
      <text>
        <r>
          <rPr>
            <b/>
            <sz val="9"/>
            <color indexed="81"/>
            <rFont val="ＭＳ Ｐゴシック"/>
            <family val="3"/>
            <charset val="128"/>
          </rPr>
          <t>税込＝税抜　固定</t>
        </r>
      </text>
    </comment>
    <comment ref="T86" authorId="0" shapeId="0">
      <text>
        <r>
          <rPr>
            <b/>
            <sz val="9"/>
            <color indexed="81"/>
            <rFont val="ＭＳ Ｐゴシック"/>
            <family val="3"/>
            <charset val="128"/>
          </rPr>
          <t>税込＝税抜　固定</t>
        </r>
      </text>
    </comment>
    <comment ref="U86" authorId="0" shapeId="0">
      <text>
        <r>
          <rPr>
            <b/>
            <sz val="9"/>
            <color indexed="81"/>
            <rFont val="ＭＳ Ｐゴシック"/>
            <family val="3"/>
            <charset val="128"/>
          </rPr>
          <t>税込＝税抜　固定</t>
        </r>
      </text>
    </comment>
    <comment ref="F88" authorId="0" shapeId="0">
      <text>
        <r>
          <rPr>
            <sz val="9"/>
            <color indexed="81"/>
            <rFont val="ＭＳ Ｐゴシック"/>
            <family val="3"/>
            <charset val="128"/>
          </rPr>
          <t>企業債利息の支出額割合で按分</t>
        </r>
      </text>
    </comment>
    <comment ref="K88" authorId="0" shapeId="0">
      <text>
        <r>
          <rPr>
            <sz val="9"/>
            <color indexed="81"/>
            <rFont val="ＭＳ Ｐゴシック"/>
            <family val="3"/>
            <charset val="128"/>
          </rPr>
          <t>企業債利息の支出額割合で按分</t>
        </r>
      </text>
    </comment>
    <comment ref="P88" authorId="0" shapeId="0">
      <text>
        <r>
          <rPr>
            <b/>
            <sz val="9"/>
            <color indexed="81"/>
            <rFont val="ＭＳ Ｐゴシック"/>
            <family val="3"/>
            <charset val="128"/>
          </rPr>
          <t>税込＝税抜　固定</t>
        </r>
      </text>
    </comment>
    <comment ref="U88" authorId="0" shapeId="0">
      <text>
        <r>
          <rPr>
            <b/>
            <sz val="9"/>
            <color indexed="81"/>
            <rFont val="ＭＳ Ｐゴシック"/>
            <family val="3"/>
            <charset val="128"/>
          </rPr>
          <t>税込＝税抜　固定</t>
        </r>
      </text>
    </comment>
    <comment ref="K89" authorId="0" shapeId="0">
      <text>
        <r>
          <rPr>
            <sz val="9"/>
            <color indexed="81"/>
            <rFont val="ＭＳ Ｐゴシック"/>
            <family val="3"/>
            <charset val="128"/>
          </rPr>
          <t>減免分は、汚水基準外の特財</t>
        </r>
      </text>
    </comment>
    <comment ref="P93" authorId="0" shapeId="0">
      <text>
        <r>
          <rPr>
            <b/>
            <sz val="9"/>
            <color indexed="81"/>
            <rFont val="ＭＳ Ｐゴシック"/>
            <family val="3"/>
            <charset val="128"/>
          </rPr>
          <t>税込＝税抜　固定</t>
        </r>
      </text>
    </comment>
    <comment ref="Q93" authorId="0" shapeId="0">
      <text>
        <r>
          <rPr>
            <b/>
            <sz val="9"/>
            <color indexed="81"/>
            <rFont val="ＭＳ Ｐゴシック"/>
            <family val="3"/>
            <charset val="128"/>
          </rPr>
          <t>税込＝税抜　固定</t>
        </r>
      </text>
    </comment>
    <comment ref="T93" authorId="0" shapeId="0">
      <text>
        <r>
          <rPr>
            <b/>
            <sz val="9"/>
            <color indexed="81"/>
            <rFont val="ＭＳ Ｐゴシック"/>
            <family val="3"/>
            <charset val="128"/>
          </rPr>
          <t>税込＝税抜　固定</t>
        </r>
      </text>
    </comment>
    <comment ref="U93" authorId="0" shapeId="0">
      <text>
        <r>
          <rPr>
            <b/>
            <sz val="9"/>
            <color indexed="81"/>
            <rFont val="ＭＳ Ｐゴシック"/>
            <family val="3"/>
            <charset val="128"/>
          </rPr>
          <t>税込＝税抜　固定</t>
        </r>
      </text>
    </comment>
    <comment ref="P94" authorId="0" shapeId="0">
      <text>
        <r>
          <rPr>
            <b/>
            <sz val="9"/>
            <color indexed="81"/>
            <rFont val="ＭＳ Ｐゴシック"/>
            <family val="3"/>
            <charset val="128"/>
          </rPr>
          <t>税込＝税抜　固定</t>
        </r>
      </text>
    </comment>
    <comment ref="Q94" authorId="0" shapeId="0">
      <text>
        <r>
          <rPr>
            <b/>
            <sz val="9"/>
            <color indexed="81"/>
            <rFont val="ＭＳ Ｐゴシック"/>
            <family val="3"/>
            <charset val="128"/>
          </rPr>
          <t>税込＝税抜　固定</t>
        </r>
      </text>
    </comment>
    <comment ref="T94" authorId="0" shapeId="0">
      <text>
        <r>
          <rPr>
            <b/>
            <sz val="9"/>
            <color indexed="81"/>
            <rFont val="ＭＳ Ｐゴシック"/>
            <family val="3"/>
            <charset val="128"/>
          </rPr>
          <t>税込＝税抜　固定</t>
        </r>
      </text>
    </comment>
    <comment ref="U94" authorId="0" shapeId="0">
      <text>
        <r>
          <rPr>
            <b/>
            <sz val="9"/>
            <color indexed="81"/>
            <rFont val="ＭＳ Ｐゴシック"/>
            <family val="3"/>
            <charset val="128"/>
          </rPr>
          <t>税込＝税抜　固定</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b/>
            <sz val="9"/>
            <color indexed="81"/>
            <rFont val="ＭＳ Ｐゴシック"/>
            <family val="3"/>
            <charset val="128"/>
          </rPr>
          <t>税込＝税抜　固定</t>
        </r>
      </text>
    </comment>
    <comment ref="U95" authorId="0" shapeId="0">
      <text>
        <r>
          <rPr>
            <b/>
            <sz val="9"/>
            <color indexed="81"/>
            <rFont val="ＭＳ Ｐゴシック"/>
            <family val="3"/>
            <charset val="128"/>
          </rPr>
          <t>税込＝税抜　固定</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w5_comments9.xml><?xml version="1.0" encoding="utf-8"?>
<comments xmlns="http://schemas.openxmlformats.org/spreadsheetml/2006/main">
  <authors>
    <author>楠 宏</author>
    <author>4202453</author>
    <author>広島市</author>
  </authors>
  <commentList>
    <comment ref="E7" authorId="0"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F7" authorId="0"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G7" authorId="0"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J7" authorId="0"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E9" authorId="0"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F9"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J9" authorId="0"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E10" authorId="0" shapeId="0">
      <text>
        <r>
          <rPr>
            <sz val="9"/>
            <color indexed="81"/>
            <rFont val="ＭＳ Ｐゴシック"/>
            <family val="3"/>
            <charset val="128"/>
          </rPr>
          <t>='I:\経理係フォルダ\☆決算事務\２８年度決算\07 H28雨汚水分け\雨汚水分け\[Ｈ28年度決算処理場費　雨汚水.xls]総括表'!$C$30</t>
        </r>
      </text>
    </comment>
    <comment ref="F10" authorId="0" shapeId="0">
      <text>
        <r>
          <rPr>
            <sz val="9"/>
            <color indexed="81"/>
            <rFont val="ＭＳ Ｐゴシック"/>
            <family val="3"/>
            <charset val="128"/>
          </rPr>
          <t>='I:\経理係フォルダ\☆決算事務\２８年度決算\07 H28雨汚水分け\雨汚水分け\[Ｈ28年度決算処理場費　雨汚水.xls]総括表'!$I$30</t>
        </r>
      </text>
    </comment>
    <comment ref="G10" authorId="0" shapeId="0">
      <text>
        <r>
          <rPr>
            <sz val="9"/>
            <color indexed="81"/>
            <rFont val="ＭＳ Ｐゴシック"/>
            <family val="3"/>
            <charset val="128"/>
          </rPr>
          <t>='I:\経理係フォルダ\☆決算事務\２８年度決算\07 H28雨汚水分け\雨汚水分け\[Ｈ28年度決算処理場費　雨汚水.xls]総括表'!$J$30</t>
        </r>
      </text>
    </comment>
    <comment ref="I10" authorId="0" shapeId="0">
      <text>
        <r>
          <rPr>
            <sz val="9"/>
            <color indexed="81"/>
            <rFont val="ＭＳ Ｐゴシック"/>
            <family val="3"/>
            <charset val="128"/>
          </rPr>
          <t>='I:\経理係フォルダ\☆決算事務\２８年度決算\07 H28雨汚水分け\雨汚水分け\[Ｈ28年度決算処理場費　雨汚水.xls]総括表'!$G$30</t>
        </r>
      </text>
    </comment>
    <comment ref="J10"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G12" authorId="1" shapeId="0">
      <text>
        <r>
          <rPr>
            <sz val="9"/>
            <color indexed="81"/>
            <rFont val="ＭＳ Ｐゴシック"/>
            <family val="3"/>
            <charset val="128"/>
          </rPr>
          <t>・普及相談員の報酬
・ 生活扶助世帯に対する水洗便所設備費補助金
・ 私道内下水管敷設工事費補助金
※「雨汚水の経費区分」を参照</t>
        </r>
      </text>
    </comment>
    <comment ref="G14" authorId="1"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I15" authorId="2" shapeId="0">
      <text>
        <r>
          <rPr>
            <sz val="9"/>
            <color indexed="81"/>
            <rFont val="ＭＳ Ｐゴシック"/>
            <family val="3"/>
            <charset val="128"/>
          </rPr>
          <t xml:space="preserve">H28から削除　下は元の式
=ROUND(($O15-$G15)*(I8+I10+I12)/($E7+$E9+$E10+$F7+$F9+$F10+$I8+$I10+$I12+$J7+$J9+$J10+$J12+$J14),0)
</t>
        </r>
      </text>
    </comment>
    <comment ref="G16"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雨汚水＜特環＞.xls]総括'!$N$20</t>
        </r>
      </text>
    </comment>
    <comment ref="G17"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雨汚水＜農集＞.xls]総括'!$N$19</t>
        </r>
      </text>
    </comment>
    <comment ref="G18"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雨汚水＜浄化槽＞.xls]総括'!$N$19</t>
        </r>
      </text>
    </comment>
    <comment ref="E20" authorId="0" shapeId="0">
      <text>
        <r>
          <rPr>
            <sz val="9"/>
            <color indexed="81"/>
            <rFont val="ＭＳ Ｐゴシック"/>
            <family val="3"/>
            <charset val="128"/>
          </rPr>
          <t>撤去対象施設の青崎ポンプ所は雨水専用</t>
        </r>
      </text>
    </comment>
    <comment ref="J23" authorId="2" shapeId="0">
      <text>
        <r>
          <rPr>
            <sz val="9"/>
            <color indexed="81"/>
            <rFont val="ＭＳ Ｐゴシック"/>
            <family val="3"/>
            <charset val="128"/>
          </rPr>
          <t>H28
熊本支援に係る経費が含まれている。支援経費全額を一般会計補助金でもらうので、汚水扱い。</t>
        </r>
      </text>
    </comment>
    <comment ref="J24" authorId="2" shapeId="0">
      <text>
        <r>
          <rPr>
            <sz val="9"/>
            <color indexed="81"/>
            <rFont val="ＭＳ Ｐゴシック"/>
            <family val="3"/>
            <charset val="128"/>
          </rPr>
          <t>H28
熊本支援に係る経費が含まれている。支援経費全額を一般会計補助金でもらうので、汚水扱い。</t>
        </r>
      </text>
    </comment>
    <comment ref="J27" authorId="2" shapeId="0">
      <text>
        <r>
          <rPr>
            <sz val="9"/>
            <color indexed="81"/>
            <rFont val="ＭＳ Ｐゴシック"/>
            <family val="3"/>
            <charset val="128"/>
          </rPr>
          <t>H28は前払金返還延納利息の欠損　254,710円が
混入しているが、これは雨汚水で折半すべきか。</t>
        </r>
      </text>
    </comment>
    <comment ref="D28" authorId="0" shapeId="0">
      <text>
        <r>
          <rPr>
            <sz val="9"/>
            <color indexed="81"/>
            <rFont val="ＭＳ Ｐゴシック"/>
            <family val="3"/>
            <charset val="128"/>
          </rPr>
          <t>資本費分を差し引く</t>
        </r>
      </text>
    </comment>
    <comment ref="D33"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3" authorId="0" shapeId="0">
      <text>
        <r>
          <rPr>
            <sz val="9"/>
            <color indexed="81"/>
            <rFont val="ＭＳ Ｐゴシック"/>
            <family val="3"/>
            <charset val="128"/>
          </rPr>
          <t>='I:\経理係フォルダ\☆決算事務\２８年度決算\07 H28雨汚水分け\[H28決算　減償雨汚　減価償却費算定シート.xlsx]公共（全）'!$E$119-G32</t>
        </r>
      </text>
    </comment>
    <comment ref="F33" authorId="0" shapeId="0">
      <text>
        <r>
          <rPr>
            <sz val="9"/>
            <color indexed="81"/>
            <rFont val="ＭＳ Ｐゴシック"/>
            <family val="3"/>
            <charset val="128"/>
          </rPr>
          <t>='I:\経理係フォルダ\☆決算事務\２８年度決算\07 H28雨汚水分け\[H28決算　減償雨汚　減価償却費算定シート.xlsx]公共（全）'!$G$119</t>
        </r>
      </text>
    </comment>
    <comment ref="G33" authorId="1" shapeId="0">
      <text>
        <r>
          <rPr>
            <b/>
            <sz val="9"/>
            <color indexed="81"/>
            <rFont val="ＭＳ Ｐゴシック"/>
            <family val="3"/>
            <charset val="128"/>
          </rPr>
          <t>H28以降の取扱い</t>
        </r>
        <r>
          <rPr>
            <sz val="9"/>
            <color indexed="81"/>
            <rFont val="ＭＳ Ｐゴシック"/>
            <family val="3"/>
            <charset val="128"/>
          </rPr>
          <t xml:space="preserve">
H27までは、下記の額を入力し、これをE32の雨水区域内から差し引いていたが、財計の一般会計繰入基準にし尿分減価償却費の計上が明記されていないので、H28から入力しないことにした。（29.5.16　尾崎経営企画課長、濵井経理係課長補佐、河野主査協議の結果）
ただし、一般行政経費か雨水区域内かの違いで、100％一般会計負担であることには変わりないので、繰入金への影響はない。
なお、西部（汚水）に係る減価償却費のうち、し尿分を一般会計に負担してもらうべきなので、H32～の次期財計では、一般行政経費に計上したうえで、雨水区域内からではなく汚水基準外から差し引くよ修正した方が良い。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='I:\経理係フォルダ\☆決算事務\２８年度決算\06 H28決算　消費税計算\[西部Ｔし尿投入事業リスト.xls]全リスト'!$CR$19　　　231,738,390円</t>
        </r>
      </text>
    </comment>
    <comment ref="I33" authorId="0" shapeId="0">
      <text>
        <r>
          <rPr>
            <sz val="9"/>
            <color indexed="81"/>
            <rFont val="ＭＳ Ｐゴシック"/>
            <family val="3"/>
            <charset val="128"/>
          </rPr>
          <t>='I:\経理係フォルダ\☆決算事務\２８年度決算\07 H28雨汚水分け\[H28決算　減償雨汚　減価償却費算定シート.xlsx]公共（全）'!$H$119</t>
        </r>
      </text>
    </comment>
    <comment ref="J33" authorId="0" shapeId="0">
      <text>
        <r>
          <rPr>
            <sz val="9"/>
            <color indexed="81"/>
            <rFont val="ＭＳ Ｐゴシック"/>
            <family val="3"/>
            <charset val="128"/>
          </rPr>
          <t>=='I:\経理係フォルダ\☆決算事務\２８年度決算\07 H28雨汚水分け\[H28決算　減償雨汚　減価償却費算定シート.xlsx]公共（全）'!$F$119,0)</t>
        </r>
      </text>
    </comment>
    <comment ref="D34"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4" authorId="2" shapeId="0">
      <text>
        <r>
          <rPr>
            <sz val="9"/>
            <color indexed="81"/>
            <rFont val="ＭＳ Ｐゴシック"/>
            <family val="3"/>
            <charset val="128"/>
          </rPr>
          <t>+ROUND('I:\経理係フォルダ\☆決算事務\２８年度決算\07 H28雨汚水分け\[H28決算　除却費雨汚水分け.xlsx]全事業'!$D$9*Q39,0)</t>
        </r>
      </text>
    </comment>
    <comment ref="F34" authorId="2" shapeId="0">
      <text>
        <r>
          <rPr>
            <sz val="9"/>
            <color indexed="81"/>
            <rFont val="ＭＳ Ｐゴシック"/>
            <family val="3"/>
            <charset val="128"/>
          </rPr>
          <t>H27までは、除却費を償却費の雨汚水割合で按分していたが、H28からは、固定資産台帳、財計雨汚水区分に基づき、雨汚水分けをしている。（予算と同じ考え方）
なお、雨水分の区域内・外分けには償却費の率を使用。
='I:\経理係フォルダ\☆決算事務\２８年度決算\07 H28雨汚水分け\[H28決算　除却費雨汚水分け.xlsx]全事業'!$D$9-E33</t>
        </r>
      </text>
    </comment>
    <comment ref="I34" authorId="2" shapeId="0">
      <text>
        <r>
          <rPr>
            <sz val="9"/>
            <color indexed="81"/>
            <rFont val="ＭＳ Ｐゴシック"/>
            <family val="3"/>
            <charset val="128"/>
          </rPr>
          <t>==+'[I:\経理係フォルダ\☆決算事務\２８年度決算\07 H28雨汚水分け\H28決算　除却費雨汚水分け.xlsx]全事業'!$B$9</t>
        </r>
      </text>
    </comment>
    <comment ref="J34" authorId="2" shapeId="0">
      <text>
        <r>
          <rPr>
            <sz val="9"/>
            <color indexed="81"/>
            <rFont val="ＭＳ Ｐゴシック"/>
            <family val="3"/>
            <charset val="128"/>
          </rPr>
          <t>==+'[I:\経理係フォルダ\☆決算事務\２８年度決算\07 H28雨汚水分け\H28決算　除却費雨汚水分け.xlsx]全事業'!$C$9</t>
        </r>
      </text>
    </comment>
    <comment ref="D36" authorId="0" shapeId="0">
      <text>
        <r>
          <rPr>
            <b/>
            <sz val="9"/>
            <color indexed="81"/>
            <rFont val="ＭＳ Ｐゴシック"/>
            <family val="3"/>
            <charset val="128"/>
          </rPr>
          <t>「★H００　雨汚水分け　（利息）」エクセルの当該年度シートのＧ９の値に合致</t>
        </r>
      </text>
    </comment>
    <comment ref="E36" authorId="0" shapeId="0">
      <text>
        <r>
          <rPr>
            <sz val="9"/>
            <color indexed="81"/>
            <rFont val="ＭＳ Ｐゴシック"/>
            <family val="3"/>
            <charset val="128"/>
          </rPr>
          <t>「★H００　雨汚水分け　（利息）」エクセルの当該年度シートのＨ９～Ｌ９の値
='I:\経理係フォルダ\☆決算事務\２８年度決算\07 H28雨汚水分け\雨汚水分け\[★Ｈ28雨汚水分け（利息）.xls]Ｈ２８利息'!$H$9</t>
        </r>
      </text>
    </comment>
    <comment ref="F36" authorId="0" shapeId="0">
      <text>
        <r>
          <rPr>
            <sz val="9"/>
            <color indexed="81"/>
            <rFont val="ＭＳ Ｐゴシック"/>
            <family val="3"/>
            <charset val="128"/>
          </rPr>
          <t>='I:\経理係フォルダ\☆決算事務\２８年度決算\07 H28雨汚水分け\雨汚水分け\[★Ｈ28雨汚水分け（利息）.xls]Ｈ２８利息'!$I$9</t>
        </r>
      </text>
    </comment>
    <comment ref="G36" authorId="0" shapeId="0">
      <text>
        <r>
          <rPr>
            <sz val="9"/>
            <color indexed="81"/>
            <rFont val="ＭＳ Ｐゴシック"/>
            <family val="3"/>
            <charset val="128"/>
          </rPr>
          <t>='I:\経理係フォルダ\☆決算事務\２８年度決算\07 H28雨汚水分け\雨汚水分け\[★Ｈ28雨汚水分け（利息）.xls]Ｈ２８利息'!$J$9</t>
        </r>
      </text>
    </comment>
    <comment ref="I36" authorId="0" shapeId="0">
      <text>
        <r>
          <rPr>
            <sz val="9"/>
            <color indexed="81"/>
            <rFont val="ＭＳ Ｐゴシック"/>
            <family val="3"/>
            <charset val="128"/>
          </rPr>
          <t>='I:\経理係フォルダ\☆決算事務\２８年度決算\07 H28雨汚水分け\雨汚水分け\[★Ｈ28雨汚水分け（利息）.xls]Ｈ２８利息'!$K$9</t>
        </r>
      </text>
    </comment>
    <comment ref="J36" authorId="0" shapeId="0">
      <text>
        <r>
          <rPr>
            <sz val="9"/>
            <color indexed="81"/>
            <rFont val="ＭＳ Ｐゴシック"/>
            <family val="3"/>
            <charset val="128"/>
          </rPr>
          <t>='I:\経理係フォルダ\☆決算事務\２８年度決算\07 H28雨汚水分け\雨汚水分け\[★Ｈ28雨汚水分け（利息）.xls]Ｈ２８利息'!$L$9</t>
        </r>
      </text>
    </comment>
    <comment ref="D39" authorId="2" shapeId="0">
      <text>
        <r>
          <rPr>
            <b/>
            <sz val="9"/>
            <color indexed="81"/>
            <rFont val="ＭＳ Ｐゴシック"/>
            <family val="3"/>
            <charset val="128"/>
          </rPr>
          <t xml:space="preserve">H28
</t>
        </r>
        <r>
          <rPr>
            <sz val="9"/>
            <color indexed="81"/>
            <rFont val="ＭＳ Ｐゴシック"/>
            <family val="3"/>
            <charset val="128"/>
          </rPr>
          <t>元の式では、特別損失!セルB9資本費分に当たる減価償却不足に伴う修正損を参照していたが、H28はこの行を、資本費分ではない「前払金返還延納利息の欠損」に転用したので、参照を削除した。
元の数式↓
=</t>
        </r>
        <r>
          <rPr>
            <b/>
            <sz val="9"/>
            <color indexed="81"/>
            <rFont val="ＭＳ Ｐゴシック"/>
            <family val="3"/>
            <charset val="128"/>
          </rPr>
          <t>'[H28 ３条支出　消費税.xls]特別損失'!$B$9</t>
        </r>
        <r>
          <rPr>
            <sz val="9"/>
            <color indexed="81"/>
            <rFont val="ＭＳ Ｐゴシック"/>
            <family val="3"/>
            <charset val="128"/>
          </rPr>
          <t>+'[H28 ３条支出　消費税.xls]特別損失'!$B$28+SUM('[H28 ３条支出　消費税.xls]特別損失'!$B$15,'[H28 ３条支出　消費税.xls]特別損失'!$B$17)</t>
        </r>
      </text>
    </comment>
    <comment ref="E39" authorId="0" shapeId="0">
      <text>
        <r>
          <rPr>
            <sz val="9"/>
            <color indexed="81"/>
            <rFont val="ＭＳ Ｐゴシック"/>
            <family val="3"/>
            <charset val="128"/>
          </rPr>
          <t>①耐用年数の登録誤りによる減価償却費の過年度損益修正
②減損損失の過年度損益修正
固定資産担当が分けた雨水分を、減価償却の雨水区域内・外の割合で案分</t>
        </r>
      </text>
    </comment>
    <comment ref="I39" authorId="0" shapeId="0">
      <text>
        <r>
          <rPr>
            <sz val="9"/>
            <color indexed="81"/>
            <rFont val="ＭＳ Ｐゴシック"/>
            <family val="3"/>
            <charset val="128"/>
          </rPr>
          <t>①耐用年数の登録誤りによる減価償却費の過年度損益修正
②減損損失の過年度損益修正
③その他特別損失の資本費分（受益者負担金過誤納還付金、排水設備取付管設置工事受託収入の調定誤りの修正）
固定資産担当が分けた汚水分を、減価償却の汚水基準内・外の割合で案分</t>
        </r>
      </text>
    </comment>
    <comment ref="J39" authorId="2" shapeId="0">
      <text>
        <r>
          <rPr>
            <b/>
            <sz val="9"/>
            <color indexed="81"/>
            <rFont val="ＭＳ Ｐゴシック"/>
            <family val="3"/>
            <charset val="128"/>
          </rPr>
          <t>H28減損は全て公共汚水</t>
        </r>
      </text>
    </comment>
    <comment ref="N39" authorId="0" shapeId="0">
      <text>
        <r>
          <rPr>
            <sz val="9"/>
            <color indexed="81"/>
            <rFont val="ＭＳ Ｐゴシック"/>
            <family val="3"/>
            <charset val="128"/>
          </rPr>
          <t>='I:\経理係フォルダ\☆決算事務\２７年度決算\07 H27雨汚水分け\[H27決算　過年度損益修正損（償却・除却）雨汚水分け.xlsx]雨汚水分け'!$K$8</t>
        </r>
      </text>
    </comment>
    <comment ref="O39" authorId="0" shapeId="0">
      <text>
        <r>
          <rPr>
            <sz val="9"/>
            <color indexed="81"/>
            <rFont val="ＭＳ Ｐゴシック"/>
            <family val="3"/>
            <charset val="128"/>
          </rPr>
          <t>='I:\経理係フォルダ\☆決算事務\２７年度決算\07 H27雨汚水分け\[H27決算　過年度損益修正損（償却・除却）雨汚水分け.xlsx]雨汚水分け'!$J$8</t>
        </r>
      </text>
    </comment>
    <comment ref="R40" authorId="0" shapeId="0">
      <text>
        <r>
          <rPr>
            <sz val="9"/>
            <color indexed="81"/>
            <rFont val="ＭＳ Ｐゴシック"/>
            <family val="3"/>
            <charset val="128"/>
          </rPr>
          <t>=('I:\経理係フォルダ\☆決算事務\２８年度決算\07 H28雨汚水分け\'[H28決算　減償雨汚　減価償却費算定シート.xlsx]公共（全）'!$G$119/('[H28決算　減償雨汚　減価償却費算定シート.xlsx]公共（全）'!$E$119+'[H28決算　減償雨汚　減価償却費算定シート.xlsx]公共（全）'!$G$119)</t>
        </r>
      </text>
    </comment>
    <comment ref="S40" authorId="0" shapeId="0">
      <text>
        <r>
          <rPr>
            <sz val="9"/>
            <color indexed="81"/>
            <rFont val="ＭＳ Ｐゴシック"/>
            <family val="3"/>
            <charset val="128"/>
          </rPr>
          <t>=('I:\経理係フォルダ\☆決算事務\２８年度決算\07 H28雨汚水分け\[H28決算　減償雨汚　減価償却費算定シート.xlsx]公共（全）'!$H$119/('[H28決算　減償雨汚　減価償却費算定シート.xlsx]公共（全）'!$F$119+'[H28決算　減償雨汚　減価償却費算定シート.xlsx]公共（全）'!$H$119)</t>
        </r>
      </text>
    </comment>
    <comment ref="N42" authorId="0" shapeId="0">
      <text>
        <r>
          <rPr>
            <sz val="9"/>
            <color indexed="81"/>
            <rFont val="ＭＳ Ｐゴシック"/>
            <family val="3"/>
            <charset val="128"/>
          </rPr>
          <t>='I:\経理係フォルダ\☆決算事務\２７年度決算\07 H27雨汚水分け\[H27決算　減損損失雨汚水分け.xlsx]減損総括表'!$Q$23</t>
        </r>
      </text>
    </comment>
    <comment ref="O42" authorId="0" shapeId="0">
      <text>
        <r>
          <rPr>
            <sz val="9"/>
            <color indexed="81"/>
            <rFont val="ＭＳ Ｐゴシック"/>
            <family val="3"/>
            <charset val="128"/>
          </rPr>
          <t>='I:\経理係フォルダ\☆決算事務\２７年度決算\07 H27雨汚水分け\[H27決算　減損損失雨汚水分け.xlsx]減損総括表'!$P$23</t>
        </r>
      </text>
    </comment>
  </commentList>
</comments>
</file>

<file path=xl/w5_comments10.xml><?xml version="1.0" encoding="utf-8"?>
<comments xmlns="http://schemas.openxmlformats.org/spreadsheetml/2006/main">
  <authors>
    <author>楠 宏</author>
    <author>広島市</author>
  </authors>
  <commentList>
    <comment ref="G16" authorId="0" shapeId="0">
      <text>
        <r>
          <rPr>
            <sz val="9"/>
            <color indexed="81"/>
            <rFont val="ＭＳ Ｐゴシック"/>
            <family val="3"/>
            <charset val="128"/>
          </rPr>
          <t>='I:\経理係フォルダ\☆決算事務\２８年度決算\06 H28決算　消費税計算\H28当初\雨・汚水　税抜内訳\[税抜内訳.xlsx]Sheet1'!$E$5</t>
        </r>
      </text>
    </comment>
    <comment ref="G17" authorId="0" shapeId="0">
      <text>
        <r>
          <rPr>
            <sz val="9"/>
            <color indexed="81"/>
            <rFont val="ＭＳ Ｐゴシック"/>
            <family val="3"/>
            <charset val="128"/>
          </rPr>
          <t>='I:\経理係フォルダ\☆決算事務\２８年度決算\06 H28決算　消費税計算\H28当初\雨・汚水　税抜内訳\[税抜内訳.xlsx]Sheet1'!$E$10</t>
        </r>
      </text>
    </comment>
    <comment ref="G18" authorId="0" shapeId="0">
      <text>
        <r>
          <rPr>
            <sz val="9"/>
            <color indexed="81"/>
            <rFont val="ＭＳ Ｐゴシック"/>
            <family val="3"/>
            <charset val="128"/>
          </rPr>
          <t>='I:\経理係フォルダ\☆決算事務\２８年度決算\06 H28決算　消費税計算\H28当初\雨・汚水　税抜内訳\[税抜内訳.xlsx]Sheet1'!$E$14</t>
        </r>
      </text>
    </comment>
    <comment ref="D27" authorId="1" shapeId="0">
      <text>
        <r>
          <rPr>
            <sz val="9"/>
            <color indexed="81"/>
            <rFont val="ＭＳ Ｐゴシック"/>
            <family val="3"/>
            <charset val="128"/>
          </rPr>
          <t>H28
税抜きに合わせ、参照元にB9セルを追加。
元の式↓
=SUM('[H28 ３条支出　消費税.xls]特別損失'!$K$6:$K$8)</t>
        </r>
      </text>
    </comment>
    <comment ref="D39" authorId="1" shapeId="0">
      <text>
        <r>
          <rPr>
            <sz val="9"/>
            <color indexed="81"/>
            <rFont val="ＭＳ Ｐゴシック"/>
            <family val="3"/>
            <charset val="128"/>
          </rPr>
          <t>H28
元の式では、特別損失!セルB9資本費分に当たる減価償却不足に伴う修正損を参照していたが、H28はこの行を、資本費分ではない「前払金返還延納利息の欠損」に転用したので、参照を削除した。
元の式↓
=</t>
        </r>
        <r>
          <rPr>
            <b/>
            <sz val="9"/>
            <color indexed="81"/>
            <rFont val="ＭＳ Ｐゴシック"/>
            <family val="3"/>
            <charset val="128"/>
          </rPr>
          <t>'[H28 ３条支出　消費税.xls]特別損失'!$K$9</t>
        </r>
        <r>
          <rPr>
            <sz val="9"/>
            <color indexed="81"/>
            <rFont val="ＭＳ Ｐゴシック"/>
            <family val="3"/>
            <charset val="128"/>
          </rPr>
          <t>+'[H28 ３条支出　消費税.xls]特別損失'!$K$28+SUM('[H28 ３条支出　消費税.xls]特別損失'!$K$15,'[H28 ３条支出　消費税.xls]特別損失'!$K$17)</t>
        </r>
      </text>
    </comment>
    <comment ref="J39" authorId="0" shapeId="0">
      <text>
        <r>
          <rPr>
            <b/>
            <sz val="9"/>
            <color indexed="81"/>
            <rFont val="ＭＳ Ｐゴシック"/>
            <family val="3"/>
            <charset val="128"/>
          </rPr>
          <t>課税あり
排水設備取付管設置工事受託収入の調定誤りの修正
５％</t>
        </r>
      </text>
    </comment>
  </commentList>
</comments>
</file>

<file path=xl/w5_comments11.xml><?xml version="1.0" encoding="utf-8"?>
<comments xmlns="http://schemas.openxmlformats.org/spreadsheetml/2006/main">
  <authors>
    <author>4202453</author>
  </authors>
  <commentList>
    <comment ref="E37" authorId="0" shapeId="0">
      <text>
        <r>
          <rPr>
            <sz val="9"/>
            <color indexed="81"/>
            <rFont val="ＭＳ Ｐゴシック"/>
            <family val="3"/>
            <charset val="128"/>
          </rPr>
          <t>3条収入　消費税.xls のN列の下にある支払利息分（雨水）</t>
        </r>
      </text>
    </comment>
    <comment ref="J37" authorId="0" shapeId="0">
      <text>
        <r>
          <rPr>
            <sz val="9"/>
            <color indexed="81"/>
            <rFont val="ＭＳ Ｐゴシック"/>
            <family val="3"/>
            <charset val="128"/>
          </rPr>
          <t>3条収入　消費税.xls のN列の下にある支払利息分（汚水）</t>
        </r>
      </text>
    </comment>
  </commentList>
</comments>
</file>

<file path=xl/w5_comments12.xml><?xml version="1.0" encoding="utf-8"?>
<comments xmlns="http://schemas.openxmlformats.org/spreadsheetml/2006/main">
  <authors>
    <author>広島市</author>
    <author>楠 宏</author>
    <author>4202453</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P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Q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R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U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AE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AF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AG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AJ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P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Q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U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AE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AF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AJ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P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Q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R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T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U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AE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AF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AG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AI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AJ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H13" authorId="0" shapeId="0">
      <text>
        <r>
          <rPr>
            <sz val="9"/>
            <color indexed="81"/>
            <rFont val="ＭＳ Ｐゴシック"/>
            <family val="3"/>
            <charset val="128"/>
          </rPr>
          <t>水洗化貸付事業費全額
=+E13</t>
        </r>
      </text>
    </comment>
    <comment ref="R13" authorId="0" shapeId="0">
      <text>
        <r>
          <rPr>
            <sz val="9"/>
            <color indexed="81"/>
            <rFont val="ＭＳ Ｐゴシック"/>
            <family val="3"/>
            <charset val="128"/>
          </rPr>
          <t>水洗化貸付事業費全額
=+E13</t>
        </r>
      </text>
    </comment>
    <comment ref="AG13" authorId="0" shapeId="0">
      <text>
        <r>
          <rPr>
            <sz val="9"/>
            <color indexed="81"/>
            <rFont val="ＭＳ Ｐゴシック"/>
            <family val="3"/>
            <charset val="128"/>
          </rPr>
          <t>水洗化貸付事業費全額
=+E13</t>
        </r>
      </text>
    </comment>
    <comment ref="H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AG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sz val="9"/>
            <color indexed="81"/>
            <rFont val="ＭＳ Ｐゴシック"/>
            <family val="3"/>
            <charset val="128"/>
          </rPr>
          <t>管きょ費から業務費までの加重平均で按分
=+ROUND((総係!$E$36-総係!$E$35-$L$15)*SUM(F7:F14)/SUM($F$7:$G$14,$I$7:$J$14),0)</t>
        </r>
      </text>
    </comment>
    <comment ref="Q15" authorId="0" shapeId="0">
      <text>
        <r>
          <rPr>
            <sz val="9"/>
            <color indexed="81"/>
            <rFont val="ＭＳ Ｐゴシック"/>
            <family val="3"/>
            <charset val="128"/>
          </rPr>
          <t>管きょ費から業務費までの加重平均で按分
=+ROUND((総係!$E$36-総係!$E$35-$L$15)*SUM(G7:G14)/SUM($F$7:$G$14,$I$7:$J$14),0)</t>
        </r>
      </text>
    </comment>
    <comment ref="AE15" authorId="0" shapeId="0">
      <text>
        <r>
          <rPr>
            <sz val="9"/>
            <color indexed="81"/>
            <rFont val="ＭＳ Ｐゴシック"/>
            <family val="3"/>
            <charset val="128"/>
          </rPr>
          <t>管きょ費から業務費までの加重平均で按分
=+ROUND((総係!$E$36-総係!$E$35-$L$15)*SUM(F7:F14)/SUM($F$7:$G$14,$I$7:$J$14),0)</t>
        </r>
      </text>
    </comment>
    <comment ref="AF15" authorId="0" shapeId="0">
      <text>
        <r>
          <rPr>
            <sz val="9"/>
            <color indexed="81"/>
            <rFont val="ＭＳ Ｐゴシック"/>
            <family val="3"/>
            <charset val="128"/>
          </rPr>
          <t>管きょ費から業務費までの加重平均で按分
=+ROUND((総係!$E$36-総係!$E$35-$L$15)*SUM(G7:G14)/SUM($F$7:$G$14,$I$7:$J$14),0)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AG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AG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AG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P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AE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営業外収支、特利特損は、雨汚収入・支出シートで仕分けする。</t>
        </r>
      </text>
    </comment>
    <comment ref="AE22" authorId="0" shapeId="0">
      <text>
        <r>
          <rPr>
            <b/>
            <sz val="9"/>
            <color indexed="81"/>
            <rFont val="ＭＳ Ｐゴシック"/>
            <family val="3"/>
            <charset val="128"/>
          </rPr>
          <t>営業外収支、特利特損は、雨汚収入・支出シートで仕分けする。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4" authorId="0" shapeId="0">
      <text>
        <r>
          <rPr>
            <b/>
            <sz val="9"/>
            <color indexed="81"/>
            <rFont val="ＭＳ Ｐゴシック"/>
            <family val="3"/>
            <charset val="128"/>
          </rPr>
          <t>災害支援経費分を入力</t>
        </r>
      </text>
    </comment>
    <comment ref="R24" authorId="0" shapeId="0">
      <text>
        <r>
          <rPr>
            <b/>
            <sz val="9"/>
            <color indexed="81"/>
            <rFont val="ＭＳ Ｐゴシック"/>
            <family val="3"/>
            <charset val="128"/>
          </rPr>
          <t>熊本支援経費</t>
        </r>
      </text>
    </comment>
    <comment ref="AD24" authorId="0" shapeId="0">
      <text>
        <r>
          <rPr>
            <b/>
            <sz val="9"/>
            <color indexed="81"/>
            <rFont val="ＭＳ Ｐゴシック"/>
            <family val="3"/>
            <charset val="128"/>
          </rPr>
          <t>災害支援経費分を入力</t>
        </r>
      </text>
    </comment>
    <comment ref="AG24" authorId="0" shapeId="0">
      <text>
        <r>
          <rPr>
            <b/>
            <sz val="9"/>
            <color indexed="81"/>
            <rFont val="ＭＳ Ｐゴシック"/>
            <family val="3"/>
            <charset val="128"/>
          </rPr>
          <t>熊本支援経費</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D26" authorId="0" shapeId="0">
      <text>
        <r>
          <rPr>
            <b/>
            <sz val="9"/>
            <color indexed="81"/>
            <rFont val="ＭＳ Ｐゴシック"/>
            <family val="3"/>
            <charset val="128"/>
          </rPr>
          <t>課税売上割合を乗じることにより控除できなくなった額（３条分）</t>
        </r>
      </text>
    </comment>
    <comment ref="N26" authorId="0" shapeId="0">
      <text>
        <r>
          <rPr>
            <b/>
            <sz val="9"/>
            <color indexed="81"/>
            <rFont val="ＭＳ Ｐゴシック"/>
            <family val="3"/>
            <charset val="128"/>
          </rPr>
          <t>課税売上割合を乗じることにより控除できなくなった額（３条分）</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U29" authorId="0" shapeId="0">
      <text>
        <r>
          <rPr>
            <b/>
            <sz val="9"/>
            <color indexed="81"/>
            <rFont val="ＭＳ Ｐゴシック"/>
            <family val="3"/>
            <charset val="128"/>
          </rPr>
          <t>使用料分の修正損</t>
        </r>
      </text>
    </comment>
    <comment ref="AE29" authorId="0" shapeId="0">
      <text>
        <r>
          <rPr>
            <b/>
            <sz val="9"/>
            <color indexed="81"/>
            <rFont val="ＭＳ Ｐゴシック"/>
            <family val="3"/>
            <charset val="128"/>
          </rPr>
          <t>前払金還付遅延利息不納欠損の雨汚水折半</t>
        </r>
      </text>
    </comment>
    <comment ref="AJ29" authorId="0" shapeId="0">
      <text>
        <r>
          <rPr>
            <b/>
            <sz val="9"/>
            <color indexed="81"/>
            <rFont val="ＭＳ Ｐゴシック"/>
            <family val="3"/>
            <charset val="128"/>
          </rPr>
          <t>使用料分の修正損</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t>
        </r>
      </text>
    </comment>
    <comment ref="P34" authorId="0" shapeId="0">
      <text>
        <r>
          <rPr>
            <b/>
            <sz val="9"/>
            <color indexed="81"/>
            <rFont val="ＭＳ Ｐゴシック"/>
            <family val="3"/>
            <charset val="128"/>
          </rPr>
          <t>減価償却費雨汚水分け表より</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AE34" authorId="0" shapeId="0">
      <text>
        <r>
          <rPr>
            <b/>
            <sz val="9"/>
            <color indexed="81"/>
            <rFont val="ＭＳ Ｐゴシック"/>
            <family val="3"/>
            <charset val="128"/>
          </rPr>
          <t>減価償却費雨汚水分け表より</t>
        </r>
      </text>
    </comment>
    <comment ref="AG34" authorId="0" shapeId="0">
      <text>
        <r>
          <rPr>
            <b/>
            <sz val="9"/>
            <color indexed="81"/>
            <rFont val="ＭＳ Ｐゴシック"/>
            <family val="3"/>
            <charset val="128"/>
          </rPr>
          <t>し尿分を計上していないが、H32～財計以降は、財計経費区分表に記載の上、基準外繰出し対象とすべき。</t>
        </r>
      </text>
    </comment>
    <comment ref="F35" authorId="0" shapeId="0">
      <text>
        <r>
          <rPr>
            <b/>
            <sz val="9"/>
            <color indexed="81"/>
            <rFont val="ＭＳ Ｐゴシック"/>
            <family val="3"/>
            <charset val="128"/>
          </rPr>
          <t>除却費雨汚水分け表より</t>
        </r>
      </text>
    </comment>
    <comment ref="P35" authorId="0" shapeId="0">
      <text>
        <r>
          <rPr>
            <b/>
            <sz val="9"/>
            <color indexed="81"/>
            <rFont val="ＭＳ Ｐゴシック"/>
            <family val="3"/>
            <charset val="128"/>
          </rPr>
          <t>除却費雨汚水分け表より</t>
        </r>
      </text>
    </comment>
    <comment ref="AE35" authorId="0" shapeId="0">
      <text>
        <r>
          <rPr>
            <b/>
            <sz val="9"/>
            <color indexed="81"/>
            <rFont val="ＭＳ Ｐゴシック"/>
            <family val="3"/>
            <charset val="128"/>
          </rPr>
          <t>除却費雨汚水分け表より</t>
        </r>
      </text>
    </comment>
    <comment ref="F37" authorId="0" shapeId="0">
      <text>
        <r>
          <rPr>
            <b/>
            <sz val="9"/>
            <color indexed="81"/>
            <rFont val="ＭＳ Ｐゴシック"/>
            <family val="3"/>
            <charset val="128"/>
          </rPr>
          <t>企業債利息雨汚水分け表より</t>
        </r>
      </text>
    </comment>
    <comment ref="H37" authorId="0" shapeId="0">
      <text>
        <r>
          <rPr>
            <sz val="9"/>
            <color indexed="81"/>
            <rFont val="ＭＳ Ｐゴシック"/>
            <family val="3"/>
            <charset val="128"/>
          </rPr>
          <t>弾力運用分、特別分、し尿分の利子償還金</t>
        </r>
      </text>
    </comment>
    <comment ref="P37" authorId="0" shapeId="0">
      <text>
        <r>
          <rPr>
            <b/>
            <sz val="9"/>
            <color indexed="81"/>
            <rFont val="ＭＳ Ｐゴシック"/>
            <family val="3"/>
            <charset val="128"/>
          </rPr>
          <t>企業債利息雨汚水分け表より</t>
        </r>
      </text>
    </comment>
    <comment ref="R37" authorId="0" shapeId="0">
      <text>
        <r>
          <rPr>
            <sz val="9"/>
            <color indexed="81"/>
            <rFont val="ＭＳ Ｐゴシック"/>
            <family val="3"/>
            <charset val="128"/>
          </rPr>
          <t>弾力運用分、特別分、し尿分の利子償還金</t>
        </r>
      </text>
    </comment>
    <comment ref="AE37" authorId="0" shapeId="0">
      <text>
        <r>
          <rPr>
            <b/>
            <sz val="9"/>
            <color indexed="81"/>
            <rFont val="ＭＳ Ｐゴシック"/>
            <family val="3"/>
            <charset val="128"/>
          </rPr>
          <t>企業債利息雨汚水分け表より</t>
        </r>
      </text>
    </comment>
    <comment ref="AG37" authorId="0" shapeId="0">
      <text>
        <r>
          <rPr>
            <sz val="9"/>
            <color indexed="81"/>
            <rFont val="ＭＳ Ｐゴシック"/>
            <family val="3"/>
            <charset val="128"/>
          </rPr>
          <t>弾力運用分、特別分、し尿分の利子償還金</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P38" authorId="0" shapeId="0">
      <text>
        <r>
          <rPr>
            <b/>
            <sz val="9"/>
            <color indexed="81"/>
            <rFont val="ＭＳ Ｐゴシック"/>
            <family val="3"/>
            <charset val="128"/>
          </rPr>
          <t>利息雨汚水から分けて拾うべき
21371910</t>
        </r>
      </text>
    </comment>
    <comment ref="U38" authorId="0" shapeId="0">
      <text>
        <r>
          <rPr>
            <b/>
            <sz val="9"/>
            <color indexed="81"/>
            <rFont val="ＭＳ Ｐゴシック"/>
            <family val="3"/>
            <charset val="128"/>
          </rPr>
          <t>利息雨汚水から分けて拾うべき
25588999</t>
        </r>
      </text>
    </comment>
    <comment ref="AE38" authorId="0" shapeId="0">
      <text>
        <r>
          <rPr>
            <b/>
            <sz val="9"/>
            <color indexed="81"/>
            <rFont val="ＭＳ Ｐゴシック"/>
            <family val="3"/>
            <charset val="128"/>
          </rPr>
          <t>利息雨汚水から分けて拾うべき
21371910</t>
        </r>
      </text>
    </comment>
    <comment ref="AJ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固定資産担当に数字を作ってもらう。H26,H27に実績有あり）</t>
        </r>
      </text>
    </comment>
    <comment ref="AE42" authorId="0" shapeId="0">
      <text>
        <r>
          <rPr>
            <b/>
            <sz val="9"/>
            <color indexed="81"/>
            <rFont val="ＭＳ Ｐゴシック"/>
            <family val="3"/>
            <charset val="128"/>
          </rPr>
          <t>固定資産担当に数字を作ってもらう。H26,H27に実績有あり）</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sz val="9"/>
            <color indexed="81"/>
            <rFont val="ＭＳ Ｐゴシック"/>
            <family val="3"/>
            <charset val="128"/>
          </rPr>
          <t>減損対象資産の排水区分により、雨汚水を仕訳する。</t>
        </r>
      </text>
    </comment>
    <comment ref="U44" authorId="0" shapeId="0">
      <text>
        <r>
          <rPr>
            <sz val="9"/>
            <color indexed="81"/>
            <rFont val="ＭＳ Ｐゴシック"/>
            <family val="3"/>
            <charset val="128"/>
          </rPr>
          <t>減損対象資産の排水区分により、雨汚水を仕訳する。</t>
        </r>
      </text>
    </comment>
    <comment ref="AE44" authorId="0" shapeId="0">
      <text>
        <r>
          <rPr>
            <sz val="9"/>
            <color indexed="81"/>
            <rFont val="ＭＳ Ｐゴシック"/>
            <family val="3"/>
            <charset val="128"/>
          </rPr>
          <t>減損対象資産の排水区分により、雨汚水を仕訳する。</t>
        </r>
      </text>
    </comment>
    <comment ref="AJ44" authorId="0" shapeId="0">
      <text>
        <r>
          <rPr>
            <sz val="9"/>
            <color indexed="81"/>
            <rFont val="ＭＳ Ｐゴシック"/>
            <family val="3"/>
            <charset val="128"/>
          </rPr>
          <t>減損対象資産の排水区分により、雨汚水を仕訳する。</t>
        </r>
      </text>
    </comment>
    <comment ref="F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P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Q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R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U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AE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AF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AG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AJ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P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Q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U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AE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AF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AJ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D61" authorId="0" shapeId="0">
      <text>
        <r>
          <rPr>
            <b/>
            <sz val="9"/>
            <color indexed="81"/>
            <rFont val="ＭＳ Ｐゴシック"/>
            <family val="3"/>
            <charset val="128"/>
          </rPr>
          <t>産物売却代金（西部汚水処理の特財）</t>
        </r>
      </text>
    </comment>
    <comment ref="F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P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Q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R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T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U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AE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AF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AG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AI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AJ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D62" authorId="0" shapeId="0">
      <text>
        <r>
          <rPr>
            <b/>
            <sz val="9"/>
            <color indexed="81"/>
            <rFont val="ＭＳ Ｐゴシック"/>
            <family val="3"/>
            <charset val="128"/>
          </rPr>
          <t>主に管きょ費の特財</t>
        </r>
      </text>
    </comment>
    <comment ref="D63" authorId="0" shapeId="0">
      <text>
        <r>
          <rPr>
            <b/>
            <sz val="9"/>
            <color indexed="81"/>
            <rFont val="ＭＳ Ｐゴシック"/>
            <family val="3"/>
            <charset val="128"/>
          </rPr>
          <t>主に管きょ費の特財</t>
        </r>
      </text>
    </comment>
    <comment ref="D64" authorId="0" shapeId="0">
      <text>
        <r>
          <rPr>
            <b/>
            <sz val="9"/>
            <color indexed="81"/>
            <rFont val="ＭＳ Ｐゴシック"/>
            <family val="3"/>
            <charset val="128"/>
          </rPr>
          <t>普及促進費の特財</t>
        </r>
      </text>
    </comment>
    <comment ref="H64" authorId="0" shapeId="0">
      <text>
        <r>
          <rPr>
            <sz val="9"/>
            <color indexed="81"/>
            <rFont val="ＭＳ Ｐゴシック"/>
            <family val="3"/>
            <charset val="128"/>
          </rPr>
          <t>水洗化貸付事業費全額
=+E13</t>
        </r>
      </text>
    </comment>
    <comment ref="R64" authorId="0" shapeId="0">
      <text>
        <r>
          <rPr>
            <sz val="9"/>
            <color indexed="81"/>
            <rFont val="ＭＳ Ｐゴシック"/>
            <family val="3"/>
            <charset val="128"/>
          </rPr>
          <t>水洗化貸付事業費全額
=+E13</t>
        </r>
      </text>
    </comment>
    <comment ref="AG64" authorId="0" shapeId="0">
      <text>
        <r>
          <rPr>
            <sz val="9"/>
            <color indexed="81"/>
            <rFont val="ＭＳ Ｐゴシック"/>
            <family val="3"/>
            <charset val="128"/>
          </rPr>
          <t>水洗化貸付事業費全額
=+E13</t>
        </r>
      </text>
    </comment>
    <comment ref="H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AG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F66" authorId="0" shapeId="0">
      <text>
        <r>
          <rPr>
            <sz val="9"/>
            <color indexed="81"/>
            <rFont val="ＭＳ Ｐゴシック"/>
            <family val="3"/>
            <charset val="128"/>
          </rPr>
          <t>管きょ費から業務費までの加重平均で按分
=+ROUND((総係!$E$36-総係!$E$35-$L$15)*SUM(F7:F14)/SUM($F$7:$G$14,$I$7:$J$14),0)</t>
        </r>
      </text>
    </comment>
    <comment ref="G66" authorId="0" shapeId="0">
      <text>
        <r>
          <rPr>
            <sz val="9"/>
            <color indexed="81"/>
            <rFont val="ＭＳ Ｐゴシック"/>
            <family val="3"/>
            <charset val="128"/>
          </rPr>
          <t>管きょ費から業務費までの加重平均で按分
=+ROUND((総係!$E$36-総係!$E$35-$L$15)*SUM(G7:G14)/SUM($F$7:$G$14,$I$7:$J$14),0)</t>
        </r>
      </text>
    </comment>
    <comment ref="P66" authorId="0" shapeId="0">
      <text>
        <r>
          <rPr>
            <sz val="9"/>
            <color indexed="81"/>
            <rFont val="ＭＳ Ｐゴシック"/>
            <family val="3"/>
            <charset val="128"/>
          </rPr>
          <t>管きょ費から業務費までの加重平均で按分
=+ROUND((総係!$E$36-総係!$E$35-$L$15)*SUM(F7:F14)/SUM($F$7:$G$14,$I$7:$J$14),0)</t>
        </r>
      </text>
    </comment>
    <comment ref="Q66" authorId="0" shapeId="0">
      <text>
        <r>
          <rPr>
            <sz val="9"/>
            <color indexed="81"/>
            <rFont val="ＭＳ Ｐゴシック"/>
            <family val="3"/>
            <charset val="128"/>
          </rPr>
          <t>管きょ費から業務費までの加重平均で按分
=+ROUND((総係!$E$36-総係!$E$35-$L$15)*SUM(G7:G14)/SUM($F$7:$G$14,$I$7:$J$14),0)</t>
        </r>
      </text>
    </comment>
    <comment ref="AE66" authorId="0" shapeId="0">
      <text>
        <r>
          <rPr>
            <sz val="9"/>
            <color indexed="81"/>
            <rFont val="ＭＳ Ｐゴシック"/>
            <family val="3"/>
            <charset val="128"/>
          </rPr>
          <t>管きょ費から業務費までの加重平均で按分
=+ROUND((総係!$E$36-総係!$E$35-$L$15)*SUM(F7:F14)/SUM($F$7:$G$14,$I$7:$J$14),0)</t>
        </r>
      </text>
    </comment>
    <comment ref="AF66" authorId="0" shapeId="0">
      <text>
        <r>
          <rPr>
            <sz val="9"/>
            <color indexed="81"/>
            <rFont val="ＭＳ Ｐゴシック"/>
            <family val="3"/>
            <charset val="128"/>
          </rPr>
          <t>管きょ費から業務費までの加重平均で按分
=+ROUND((総係!$E$36-総係!$E$35-$L$15)*SUM(G7:G14)/SUM($F$7:$G$14,$I$7:$J$14),0)</t>
        </r>
      </text>
    </comment>
    <comment ref="H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AG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AG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AG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D70" authorId="0" shapeId="0">
      <text>
        <r>
          <rPr>
            <b/>
            <sz val="9"/>
            <color indexed="81"/>
            <rFont val="ＭＳ Ｐゴシック"/>
            <family val="3"/>
            <charset val="128"/>
          </rPr>
          <t>主にポンプ場費の特財</t>
        </r>
      </text>
    </comment>
    <comment ref="F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P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AE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73" authorId="0" shapeId="0">
      <text>
        <r>
          <rPr>
            <b/>
            <sz val="9"/>
            <color indexed="81"/>
            <rFont val="ＭＳ Ｐゴシック"/>
            <family val="3"/>
            <charset val="128"/>
          </rPr>
          <t>営業外収支、特利特損は、雨汚収入・支出シートで仕分けする。</t>
        </r>
      </text>
    </comment>
    <comment ref="P73" authorId="0" shapeId="0">
      <text>
        <r>
          <rPr>
            <b/>
            <sz val="9"/>
            <color indexed="81"/>
            <rFont val="ＭＳ Ｐゴシック"/>
            <family val="3"/>
            <charset val="128"/>
          </rPr>
          <t>営業外収支、特利特損は、雨汚収入・支出シートで仕分けする。</t>
        </r>
      </text>
    </comment>
    <comment ref="AE73" authorId="0" shapeId="0">
      <text>
        <r>
          <rPr>
            <b/>
            <sz val="9"/>
            <color indexed="81"/>
            <rFont val="ＭＳ Ｐゴシック"/>
            <family val="3"/>
            <charset val="128"/>
          </rPr>
          <t>営業外収支、特利特損は、雨汚収入・支出シートで仕分けする。</t>
        </r>
      </text>
    </comment>
    <comment ref="E75" authorId="0" shapeId="0">
      <text>
        <r>
          <rPr>
            <b/>
            <sz val="9"/>
            <color indexed="81"/>
            <rFont val="ＭＳ Ｐゴシック"/>
            <family val="3"/>
            <charset val="128"/>
          </rPr>
          <t>災害支援経費分を入力</t>
        </r>
      </text>
    </comment>
    <comment ref="H75" authorId="0" shapeId="0">
      <text>
        <r>
          <rPr>
            <b/>
            <sz val="9"/>
            <color indexed="81"/>
            <rFont val="ＭＳ Ｐゴシック"/>
            <family val="3"/>
            <charset val="128"/>
          </rPr>
          <t>熊本支援経費</t>
        </r>
      </text>
    </comment>
    <comment ref="O75" authorId="0" shapeId="0">
      <text>
        <r>
          <rPr>
            <b/>
            <sz val="9"/>
            <color indexed="81"/>
            <rFont val="ＭＳ Ｐゴシック"/>
            <family val="3"/>
            <charset val="128"/>
          </rPr>
          <t>災害支援経費分を入力</t>
        </r>
      </text>
    </comment>
    <comment ref="R75" authorId="0" shapeId="0">
      <text>
        <r>
          <rPr>
            <b/>
            <sz val="9"/>
            <color indexed="81"/>
            <rFont val="ＭＳ Ｐゴシック"/>
            <family val="3"/>
            <charset val="128"/>
          </rPr>
          <t>熊本支援経費</t>
        </r>
      </text>
    </comment>
    <comment ref="AD75" authorId="0" shapeId="0">
      <text>
        <r>
          <rPr>
            <b/>
            <sz val="9"/>
            <color indexed="81"/>
            <rFont val="ＭＳ Ｐゴシック"/>
            <family val="3"/>
            <charset val="128"/>
          </rPr>
          <t>災害支援経費分を入力</t>
        </r>
      </text>
    </comment>
    <comment ref="AG75" authorId="0" shapeId="0">
      <text>
        <r>
          <rPr>
            <b/>
            <sz val="9"/>
            <color indexed="81"/>
            <rFont val="ＭＳ Ｐゴシック"/>
            <family val="3"/>
            <charset val="128"/>
          </rPr>
          <t>熊本支援経費</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X77" authorId="0" shapeId="0">
      <text>
        <r>
          <rPr>
            <b/>
            <sz val="9"/>
            <color indexed="81"/>
            <rFont val="ＭＳ Ｐゴシック"/>
            <family val="3"/>
            <charset val="128"/>
          </rPr>
          <t>貸倒引当金取崩額に係る調整</t>
        </r>
      </text>
    </comment>
    <comment ref="F80" authorId="0" shapeId="0">
      <text>
        <r>
          <rPr>
            <b/>
            <sz val="9"/>
            <color indexed="81"/>
            <rFont val="ＭＳ Ｐゴシック"/>
            <family val="3"/>
            <charset val="128"/>
          </rPr>
          <t>前払金還付遅延利息不納欠損の雨汚水折半</t>
        </r>
      </text>
    </comment>
    <comment ref="K80" authorId="0" shapeId="0">
      <text>
        <r>
          <rPr>
            <b/>
            <sz val="9"/>
            <color indexed="81"/>
            <rFont val="ＭＳ Ｐゴシック"/>
            <family val="3"/>
            <charset val="128"/>
          </rPr>
          <t>使用料分の修正損</t>
        </r>
      </text>
    </comment>
    <comment ref="P80" authorId="0" shapeId="0">
      <text>
        <r>
          <rPr>
            <b/>
            <sz val="9"/>
            <color indexed="81"/>
            <rFont val="ＭＳ Ｐゴシック"/>
            <family val="3"/>
            <charset val="128"/>
          </rPr>
          <t>前払金還付遅延利息不納欠損の雨汚水折半</t>
        </r>
      </text>
    </comment>
    <comment ref="U80" authorId="0" shapeId="0">
      <text>
        <r>
          <rPr>
            <b/>
            <sz val="9"/>
            <color indexed="81"/>
            <rFont val="ＭＳ Ｐゴシック"/>
            <family val="3"/>
            <charset val="128"/>
          </rPr>
          <t>使用料分の修正損</t>
        </r>
      </text>
    </comment>
    <comment ref="AE80" authorId="0" shapeId="0">
      <text>
        <r>
          <rPr>
            <b/>
            <sz val="9"/>
            <color indexed="81"/>
            <rFont val="ＭＳ Ｐゴシック"/>
            <family val="3"/>
            <charset val="128"/>
          </rPr>
          <t>前払金還付遅延利息不納欠損の雨汚水折半</t>
        </r>
      </text>
    </comment>
    <comment ref="AJ80" authorId="0" shapeId="0">
      <text>
        <r>
          <rPr>
            <b/>
            <sz val="9"/>
            <color indexed="81"/>
            <rFont val="ＭＳ Ｐゴシック"/>
            <family val="3"/>
            <charset val="128"/>
          </rPr>
          <t>使用料分の修正損</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t>
        </r>
      </text>
    </comment>
    <comment ref="P85" authorId="0" shapeId="0">
      <text>
        <r>
          <rPr>
            <b/>
            <sz val="9"/>
            <color indexed="81"/>
            <rFont val="ＭＳ Ｐゴシック"/>
            <family val="3"/>
            <charset val="128"/>
          </rPr>
          <t>減価償却費雨汚水分け表より</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AE85" authorId="0" shapeId="0">
      <text>
        <r>
          <rPr>
            <b/>
            <sz val="9"/>
            <color indexed="81"/>
            <rFont val="ＭＳ Ｐゴシック"/>
            <family val="3"/>
            <charset val="128"/>
          </rPr>
          <t>減価償却費雨汚水分け表より</t>
        </r>
      </text>
    </comment>
    <comment ref="AG85" authorId="0" shapeId="0">
      <text>
        <r>
          <rPr>
            <b/>
            <sz val="9"/>
            <color indexed="81"/>
            <rFont val="ＭＳ Ｐゴシック"/>
            <family val="3"/>
            <charset val="128"/>
          </rPr>
          <t>し尿分を計上していないが、H32～財計以降は、財計経費区分表に記載の上、基準外繰出し対象とすべき。</t>
        </r>
      </text>
    </comment>
    <comment ref="F86" authorId="0" shapeId="0">
      <text>
        <r>
          <rPr>
            <b/>
            <sz val="9"/>
            <color indexed="81"/>
            <rFont val="ＭＳ Ｐゴシック"/>
            <family val="3"/>
            <charset val="128"/>
          </rPr>
          <t>除却費雨汚水分け表より</t>
        </r>
      </text>
    </comment>
    <comment ref="P86" authorId="0" shapeId="0">
      <text>
        <r>
          <rPr>
            <b/>
            <sz val="9"/>
            <color indexed="81"/>
            <rFont val="ＭＳ Ｐゴシック"/>
            <family val="3"/>
            <charset val="128"/>
          </rPr>
          <t>除却費雨汚水分け表より</t>
        </r>
      </text>
    </comment>
    <comment ref="AE86" authorId="0" shapeId="0">
      <text>
        <r>
          <rPr>
            <b/>
            <sz val="9"/>
            <color indexed="81"/>
            <rFont val="ＭＳ Ｐゴシック"/>
            <family val="3"/>
            <charset val="128"/>
          </rPr>
          <t>除却費雨汚水分け表より</t>
        </r>
      </text>
    </comment>
    <comment ref="F88" authorId="0" shapeId="0">
      <text>
        <r>
          <rPr>
            <b/>
            <sz val="9"/>
            <color indexed="81"/>
            <rFont val="ＭＳ Ｐゴシック"/>
            <family val="3"/>
            <charset val="128"/>
          </rPr>
          <t>企業債利息雨汚水分け表より</t>
        </r>
      </text>
    </comment>
    <comment ref="H88" authorId="0" shapeId="0">
      <text>
        <r>
          <rPr>
            <sz val="9"/>
            <color indexed="81"/>
            <rFont val="ＭＳ Ｐゴシック"/>
            <family val="3"/>
            <charset val="128"/>
          </rPr>
          <t>弾力運用分、特別分、し尿分の利子償還金</t>
        </r>
      </text>
    </comment>
    <comment ref="P88" authorId="0" shapeId="0">
      <text>
        <r>
          <rPr>
            <b/>
            <sz val="9"/>
            <color indexed="81"/>
            <rFont val="ＭＳ Ｐゴシック"/>
            <family val="3"/>
            <charset val="128"/>
          </rPr>
          <t>企業債利息雨汚水分け表より</t>
        </r>
      </text>
    </comment>
    <comment ref="R88" authorId="0" shapeId="0">
      <text>
        <r>
          <rPr>
            <sz val="9"/>
            <color indexed="81"/>
            <rFont val="ＭＳ Ｐゴシック"/>
            <family val="3"/>
            <charset val="128"/>
          </rPr>
          <t>弾力運用分、特別分、し尿分の利子償還金</t>
        </r>
      </text>
    </comment>
    <comment ref="AE88" authorId="0" shapeId="0">
      <text>
        <r>
          <rPr>
            <b/>
            <sz val="9"/>
            <color indexed="81"/>
            <rFont val="ＭＳ Ｐゴシック"/>
            <family val="3"/>
            <charset val="128"/>
          </rPr>
          <t>企業債利息雨汚水分け表より</t>
        </r>
      </text>
    </comment>
    <comment ref="AG88" authorId="0" shapeId="0">
      <text>
        <r>
          <rPr>
            <sz val="9"/>
            <color indexed="81"/>
            <rFont val="ＭＳ Ｐゴシック"/>
            <family val="3"/>
            <charset val="128"/>
          </rPr>
          <t>弾力運用分、特別分、し尿分の利子償還金</t>
        </r>
      </text>
    </comment>
    <comment ref="F89" authorId="0" shapeId="0">
      <text>
        <r>
          <rPr>
            <b/>
            <sz val="9"/>
            <color indexed="81"/>
            <rFont val="ＭＳ Ｐゴシック"/>
            <family val="3"/>
            <charset val="128"/>
          </rPr>
          <t>利息雨汚水から分けて拾うべき
21371910</t>
        </r>
      </text>
    </comment>
    <comment ref="K89" authorId="0" shapeId="0">
      <text>
        <r>
          <rPr>
            <b/>
            <sz val="9"/>
            <color indexed="81"/>
            <rFont val="ＭＳ Ｐゴシック"/>
            <family val="3"/>
            <charset val="128"/>
          </rPr>
          <t>利息雨汚水から分けて拾うべき
25588999</t>
        </r>
      </text>
    </comment>
    <comment ref="P89" authorId="0" shapeId="0">
      <text>
        <r>
          <rPr>
            <b/>
            <sz val="9"/>
            <color indexed="81"/>
            <rFont val="ＭＳ Ｐゴシック"/>
            <family val="3"/>
            <charset val="128"/>
          </rPr>
          <t>利息雨汚水から分けて拾うべき
21371910</t>
        </r>
      </text>
    </comment>
    <comment ref="U89" authorId="0" shapeId="0">
      <text>
        <r>
          <rPr>
            <b/>
            <sz val="9"/>
            <color indexed="81"/>
            <rFont val="ＭＳ Ｐゴシック"/>
            <family val="3"/>
            <charset val="128"/>
          </rPr>
          <t>利息雨汚水から分けて拾うべき
25588999</t>
        </r>
      </text>
    </comment>
    <comment ref="AE89" authorId="0" shapeId="0">
      <text>
        <r>
          <rPr>
            <b/>
            <sz val="9"/>
            <color indexed="81"/>
            <rFont val="ＭＳ Ｐゴシック"/>
            <family val="3"/>
            <charset val="128"/>
          </rPr>
          <t>利息雨汚水から分けて拾うべき
21371910</t>
        </r>
      </text>
    </comment>
    <comment ref="AJ89" authorId="0" shapeId="0">
      <text>
        <r>
          <rPr>
            <b/>
            <sz val="9"/>
            <color indexed="81"/>
            <rFont val="ＭＳ Ｐゴシック"/>
            <family val="3"/>
            <charset val="128"/>
          </rPr>
          <t>利息雨汚水から分けて拾うべき
25588999</t>
        </r>
      </text>
    </comment>
    <comment ref="F93" authorId="0" shapeId="0">
      <text>
        <r>
          <rPr>
            <b/>
            <sz val="9"/>
            <color indexed="81"/>
            <rFont val="ＭＳ Ｐゴシック"/>
            <family val="3"/>
            <charset val="128"/>
          </rPr>
          <t>固定資産担当に数字を作ってもらう。H26,H27に実績有あり）</t>
        </r>
      </text>
    </comment>
    <comment ref="P93" authorId="0" shapeId="0">
      <text>
        <r>
          <rPr>
            <b/>
            <sz val="9"/>
            <color indexed="81"/>
            <rFont val="ＭＳ Ｐゴシック"/>
            <family val="3"/>
            <charset val="128"/>
          </rPr>
          <t>固定資産担当に数字を作ってもらう。H26,H27に実績有あり）</t>
        </r>
      </text>
    </comment>
    <comment ref="AE93" authorId="0" shapeId="0">
      <text>
        <r>
          <rPr>
            <b/>
            <sz val="9"/>
            <color indexed="81"/>
            <rFont val="ＭＳ Ｐゴシック"/>
            <family val="3"/>
            <charset val="128"/>
          </rPr>
          <t>固定資産担当に数字を作ってもらう。H26,H27に実績有あり）</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sz val="9"/>
            <color indexed="81"/>
            <rFont val="ＭＳ Ｐゴシック"/>
            <family val="3"/>
            <charset val="128"/>
          </rPr>
          <t>減損対象資産の排水区分により、雨汚水を仕訳する。</t>
        </r>
      </text>
    </comment>
    <comment ref="U95" authorId="0" shapeId="0">
      <text>
        <r>
          <rPr>
            <sz val="9"/>
            <color indexed="81"/>
            <rFont val="ＭＳ Ｐゴシック"/>
            <family val="3"/>
            <charset val="128"/>
          </rPr>
          <t>減損対象資産の排水区分により、雨汚水を仕訳する。</t>
        </r>
      </text>
    </comment>
    <comment ref="AE95" authorId="0" shapeId="0">
      <text>
        <r>
          <rPr>
            <sz val="9"/>
            <color indexed="81"/>
            <rFont val="ＭＳ Ｐゴシック"/>
            <family val="3"/>
            <charset val="128"/>
          </rPr>
          <t>減損対象資産の排水区分により、雨汚水を仕訳する。</t>
        </r>
      </text>
    </comment>
    <comment ref="AJ95" authorId="0" shapeId="0">
      <text>
        <r>
          <rPr>
            <sz val="9"/>
            <color indexed="81"/>
            <rFont val="ＭＳ Ｐゴシック"/>
            <family val="3"/>
            <charset val="128"/>
          </rPr>
          <t>減損対象資産の排水区分により、雨汚水を仕訳する。</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w6_comments1.xml><?xml version="1.0" encoding="utf-8"?>
<comments xmlns="http://schemas.openxmlformats.org/spreadsheetml/2006/main">
  <authors>
    <author>4202453</author>
    <author>広島市</author>
  </authors>
  <commentList>
    <comment ref="H46" authorId="0" shapeId="0">
      <text>
        <r>
          <rPr>
            <b/>
            <sz val="9"/>
            <color indexed="81"/>
            <rFont val="ＭＳ Ｐゴシック"/>
            <family val="3"/>
            <charset val="128"/>
          </rPr>
          <t xml:space="preserve">
他会計負担金から
府中町使用料減免負担金を差し引くようになっているが、H21以降は、他会計負担金全額になっている。</t>
        </r>
      </text>
    </comment>
    <comment ref="H60" authorId="1" shapeId="0">
      <text>
        <r>
          <rPr>
            <b/>
            <sz val="9"/>
            <color indexed="81"/>
            <rFont val="ＭＳ Ｐゴシック"/>
            <family val="3"/>
            <charset val="128"/>
          </rPr>
          <t>特定収入に係る課税仕入れ等に係る消費税ほか、控除不可として雑支出に計上し、一般会計負担金（税抜）に上乗せした部分を、ここに加算している。</t>
        </r>
      </text>
    </comment>
    <comment ref="H62" authorId="1" shapeId="0">
      <text>
        <r>
          <rPr>
            <b/>
            <sz val="9"/>
            <color indexed="81"/>
            <rFont val="ＭＳ Ｐゴシック"/>
            <family val="3"/>
            <charset val="128"/>
          </rPr>
          <t>広島市:</t>
        </r>
        <r>
          <rPr>
            <sz val="9"/>
            <color indexed="81"/>
            <rFont val="ＭＳ Ｐゴシック"/>
            <family val="3"/>
            <charset val="128"/>
          </rPr>
          <t xml:space="preserve">
</t>
        </r>
      </text>
    </comment>
  </commentList>
</comments>
</file>

<file path=xl/w6_comments2.xml><?xml version="1.0" encoding="utf-8"?>
<comments xmlns="http://schemas.openxmlformats.org/spreadsheetml/2006/main">
  <authors>
    <author>Windows ユーザー</author>
    <author>広島市</author>
  </authors>
  <commentList>
    <comment ref="G4" authorId="0" shapeId="0">
      <text>
        <r>
          <rPr>
            <sz val="11"/>
            <color indexed="81"/>
            <rFont val="ＭＳ Ｐゴシック"/>
            <family val="3"/>
            <charset val="128"/>
          </rPr>
          <t>消費税雑支出加算前
消費税雑支出分は、総括表の「その他」で加算</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G14" authorId="0" shapeId="0">
      <text>
        <r>
          <rPr>
            <sz val="9"/>
            <color indexed="81"/>
            <rFont val="ＭＳ Ｐゴシック"/>
            <family val="3"/>
            <charset val="128"/>
          </rPr>
          <t>企業債利息等の雨汚水分け表より
='I:\経理係フォルダ\☆決算事務\２８年度決算\07 H28雨汚水分け\雨汚水分け\[★Ｈ28雨汚水分け（利息）.xls]Ｈ２８利息'!$H$47</t>
        </r>
      </text>
    </comment>
  </commentList>
</comments>
</file>

<file path=xl/w6_comments3.xml><?xml version="1.0" encoding="utf-8"?>
<comments xmlns="http://schemas.openxmlformats.org/spreadsheetml/2006/main">
  <authors>
    <author>広島市</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G20" authorId="0" shapeId="0">
      <text>
        <r>
          <rPr>
            <b/>
            <sz val="9"/>
            <color indexed="81"/>
            <rFont val="ＭＳ Ｐゴシック"/>
            <family val="3"/>
            <charset val="128"/>
          </rPr>
          <t xml:space="preserve">R5決算：
</t>
        </r>
        <r>
          <rPr>
            <sz val="9"/>
            <color indexed="81"/>
            <rFont val="ＭＳ Ｐゴシック"/>
            <family val="3"/>
            <charset val="128"/>
          </rPr>
          <t>H27熊本地震において財政課との協議で要した経費の全額を受け入れることとしていることから、この度もこれを踏襲し、税込で計上した。
なお、仮払消費税＝課税支出に係る特定収入に係る消費税額となるため、</t>
        </r>
      </text>
    </comment>
  </commentList>
</comments>
</file>

<file path=xl/w6_comments4.xml><?xml version="1.0" encoding="utf-8"?>
<comments xmlns="http://schemas.openxmlformats.org/spreadsheetml/2006/main">
  <authors>
    <author>Windows ユーザー</author>
    <author>広島市</author>
  </authors>
  <commentList>
    <comment ref="G4" authorId="0" shapeId="0">
      <text>
        <r>
          <rPr>
            <sz val="11"/>
            <color indexed="81"/>
            <rFont val="ＭＳ Ｐゴシック"/>
            <family val="3"/>
            <charset val="128"/>
          </rPr>
          <t>消費税雑支出加算前
消費税雑支出分は、総括表の「その他」で加算</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List>
</comments>
</file>

<file path=xl/w6_comments5.xml><?xml version="1.0" encoding="utf-8"?>
<comments xmlns="http://schemas.openxmlformats.org/spreadsheetml/2006/main">
  <authors>
    <author>広島市</author>
    <author>4004305</author>
    <author>安達 謙介</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sz val="11"/>
            <color indexed="81"/>
            <rFont val="ＭＳ Ｐゴシック"/>
            <family val="3"/>
            <charset val="128"/>
          </rPr>
          <t>ファイル「その他雑収益内訳」参照</t>
        </r>
      </text>
    </comment>
    <comment ref="D22" authorId="1" shapeId="0">
      <text>
        <r>
          <rPr>
            <sz val="11"/>
            <color indexed="10"/>
            <rFont val="ＭＳ Ｐゴシック"/>
            <family val="3"/>
            <charset val="128"/>
          </rPr>
          <t xml:space="preserve">h23該当なし
</t>
        </r>
        <r>
          <rPr>
            <sz val="11"/>
            <color indexed="81"/>
            <rFont val="ＭＳ Ｐゴシック"/>
            <family val="3"/>
            <charset val="128"/>
          </rPr>
          <t xml:space="preserve">
似たような事例として
①通勤手当戻入
②手当ての未収への振替
があった。
①は課税で受けるので特定収入にはならない。
②は不課税の調定を新たに立てるものなので特定収入にはならない。</t>
        </r>
        <r>
          <rPr>
            <sz val="9"/>
            <color indexed="81"/>
            <rFont val="ＭＳ Ｐゴシック"/>
            <family val="3"/>
            <charset val="128"/>
          </rPr>
          <t xml:space="preserve">
</t>
        </r>
      </text>
    </comment>
    <comment ref="D36" authorId="1" shapeId="0">
      <text>
        <r>
          <rPr>
            <sz val="11"/>
            <color indexed="10"/>
            <rFont val="ＭＳ Ｐゴシック"/>
            <family val="3"/>
            <charset val="128"/>
          </rPr>
          <t>H28　
①契約解除に伴う履行保証保険金　</t>
        </r>
        <r>
          <rPr>
            <b/>
            <sz val="11"/>
            <color indexed="10"/>
            <rFont val="ＭＳ Ｐゴシック"/>
            <family val="3"/>
            <charset val="128"/>
          </rPr>
          <t>546,000円</t>
        </r>
        <r>
          <rPr>
            <sz val="11"/>
            <color indexed="10"/>
            <rFont val="ＭＳ Ｐゴシック"/>
            <family val="3"/>
            <charset val="128"/>
          </rPr>
          <t>（株式会社アキテクノス　瀬野地区ほか特環下水道実施設計業務２６－６）共栄火災海上保険株式会社
②補修工事に係る契約保証金　</t>
        </r>
        <r>
          <rPr>
            <b/>
            <sz val="11"/>
            <color indexed="10"/>
            <rFont val="ＭＳ Ｐゴシック"/>
            <family val="3"/>
            <charset val="128"/>
          </rPr>
          <t>230,000円</t>
        </r>
        <r>
          <rPr>
            <sz val="11"/>
            <color indexed="10"/>
            <rFont val="ＭＳ Ｐゴシック"/>
            <family val="3"/>
            <charset val="128"/>
          </rPr>
          <t>（未返還契約保証金の消滅時効に伴う特別利益への計上）
大州下水処理場発電機盤その他補修工事（H14)【I:\経理係フォルダ\事務引継フォルダ\◇そういえばこんなことがありました◇\契約保証金未返還・二重還付がありました\大州（維持課対応分）\未還付契約保証金について.docx
H24　3条収入/特別利益（公共工事の履行保証保険金）</t>
        </r>
        <r>
          <rPr>
            <sz val="11"/>
            <color indexed="81"/>
            <rFont val="ＭＳ Ｐゴシック"/>
            <family val="3"/>
            <charset val="128"/>
          </rPr>
          <t xml:space="preserve">
3903034_株式会社損害
182591_あいおいニッ
＊特定収入である保険金収入</t>
        </r>
        <r>
          <rPr>
            <sz val="11"/>
            <color indexed="12"/>
            <rFont val="ＭＳ Ｐゴシック"/>
            <family val="3"/>
            <charset val="128"/>
          </rPr>
          <t>（消通達16-2-1）</t>
        </r>
        <r>
          <rPr>
            <sz val="11"/>
            <color indexed="81"/>
            <rFont val="ＭＳ Ｐゴシック"/>
            <family val="3"/>
            <charset val="128"/>
          </rPr>
          <t xml:space="preserve">は、これを工事費のみの財源とするわけではなく、人件費や物件費など何に使ったかわからない（使途不特定の特定収入）。
そのため課税支出割合で按分計算した額を「課税仕入れ」にあてたものとして扱う。
</t>
        </r>
        <r>
          <rPr>
            <sz val="11"/>
            <color indexed="12"/>
            <rFont val="ＭＳ Ｐゴシック"/>
            <family val="3"/>
            <charset val="128"/>
          </rPr>
          <t>（消通達16-2-2(5)）</t>
        </r>
      </text>
    </comment>
    <comment ref="D38" authorId="1" shapeId="0">
      <text>
        <r>
          <rPr>
            <sz val="11"/>
            <color indexed="10"/>
            <rFont val="ＭＳ Ｐゴシック"/>
            <family val="3"/>
            <charset val="128"/>
          </rPr>
          <t>H28　
①契約解除に伴う履行保証保険金　</t>
        </r>
        <r>
          <rPr>
            <b/>
            <sz val="11"/>
            <color indexed="10"/>
            <rFont val="ＭＳ Ｐゴシック"/>
            <family val="3"/>
            <charset val="128"/>
          </rPr>
          <t>546,000円</t>
        </r>
        <r>
          <rPr>
            <sz val="11"/>
            <color indexed="10"/>
            <rFont val="ＭＳ Ｐゴシック"/>
            <family val="3"/>
            <charset val="128"/>
          </rPr>
          <t>（株式会社アキテクノス　瀬野地区ほか特環下水道実施設計業務２６－６）共栄火災海上保険株式会社
②補修工事に係る契約保証金　</t>
        </r>
        <r>
          <rPr>
            <b/>
            <sz val="11"/>
            <color indexed="10"/>
            <rFont val="ＭＳ Ｐゴシック"/>
            <family val="3"/>
            <charset val="128"/>
          </rPr>
          <t>230,000円</t>
        </r>
        <r>
          <rPr>
            <sz val="11"/>
            <color indexed="10"/>
            <rFont val="ＭＳ Ｐゴシック"/>
            <family val="3"/>
            <charset val="128"/>
          </rPr>
          <t>（未返還契約保証金の消滅時効に伴う特別利益への計上）
大州下水処理場発電機盤その他補修工事（H14)【I:\経理係フォルダ\事務引継フォルダ\◇そういえばこんなことがありました◇\契約保証金未返還・二重還付がありました\大州（維持課対応分）\未還付契約保証金について.docx
H24　3条収入/特別利益（公共工事の履行保証保険金）</t>
        </r>
        <r>
          <rPr>
            <sz val="11"/>
            <color indexed="81"/>
            <rFont val="ＭＳ Ｐゴシック"/>
            <family val="3"/>
            <charset val="128"/>
          </rPr>
          <t xml:space="preserve">
3903034_株式会社損害
182591_あいおいニッ
＊特定収入である保険金収入</t>
        </r>
        <r>
          <rPr>
            <sz val="11"/>
            <color indexed="12"/>
            <rFont val="ＭＳ Ｐゴシック"/>
            <family val="3"/>
            <charset val="128"/>
          </rPr>
          <t>（消通達16-2-1）</t>
        </r>
        <r>
          <rPr>
            <sz val="11"/>
            <color indexed="81"/>
            <rFont val="ＭＳ Ｐゴシック"/>
            <family val="3"/>
            <charset val="128"/>
          </rPr>
          <t xml:space="preserve">は、これを工事費のみの財源とするわけではなく、人件費や物件費など何に使ったかわからない（使途不特定の特定収入）。
そのため課税支出割合で按分計算した額を「課税仕入れ」にあてたものとして扱う。
</t>
        </r>
        <r>
          <rPr>
            <sz val="11"/>
            <color indexed="12"/>
            <rFont val="ＭＳ Ｐゴシック"/>
            <family val="3"/>
            <charset val="128"/>
          </rPr>
          <t>（消通達16-2-2(5)）</t>
        </r>
      </text>
    </comment>
    <comment ref="B40" authorId="2" shapeId="0">
      <text>
        <r>
          <rPr>
            <b/>
            <sz val="9"/>
            <color indexed="81"/>
            <rFont val="MS P ゴシック"/>
            <family val="3"/>
            <charset val="128"/>
          </rPr>
          <t>R5決算：
・</t>
        </r>
        <r>
          <rPr>
            <sz val="9"/>
            <color indexed="81"/>
            <rFont val="MS P ゴシック"/>
            <family val="3"/>
            <charset val="128"/>
          </rPr>
          <t>元管路施設（南区宇品海岸三丁目）の（競輪事務局への）有償所属替え代金について、用地を所管していた広報ラインにおいて「官公庁同士のため不課税」という明らかに誤った整理をされていた。
・地方公共団体における消費税法の適用については、一般会計・個々の特別会計ごとに一の法人が行う事業とみなして消費法の規定を適用されるため、このままの整理だと、課税資産の譲渡があるため、課税としなければならない。
・実態を精査すると、競輪事務局は当該管きょは使用せず、今後撤去する予定であるとのことである。このため、本収入については、下水道事業としては市道廃止に伴い管きょの用途廃止を行うものの、下水管の用途として所管替えを行うわけではなく、除却損の一部を補てんするための補償金であると考えられる。また、競輪事務局への所管替えを行っているものの、管きょが実態としてやむを得ず存在する以上、競輪事務局へ属することを明確にしているにすぎない。
・以上から、使途を除却費とする不課税収入として整理可能であると思われる。</t>
        </r>
      </text>
    </comment>
  </commentList>
</comments>
</file>

<file path=xl/w6_comments6.xml><?xml version="1.0" encoding="utf-8"?>
<comments xmlns="http://schemas.openxmlformats.org/spreadsheetml/2006/main">
  <authors>
    <author>広島市</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List>
</comments>
</file>

<file path=xl/w6_comments7.xml><?xml version="1.0" encoding="utf-8"?>
<comments xmlns="http://schemas.openxmlformats.org/spreadsheetml/2006/main">
  <authors>
    <author>広島市</author>
    <author>楠 宏</author>
    <author>work7</author>
    <author>Windows ユーザー</author>
    <author>経理</author>
    <author>安達 謙介</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sz val="10"/>
            <color indexed="81"/>
            <rFont val="ＭＳ Ｐゴシック"/>
            <family val="3"/>
            <charset val="128"/>
          </rPr>
          <t>該当年度の起債フォルダ内の現年分財源計算書の現年分シートより</t>
        </r>
      </text>
    </comment>
    <comment ref="G8" authorId="1" shapeId="0">
      <text>
        <r>
          <rPr>
            <sz val="9"/>
            <color indexed="81"/>
            <rFont val="ＭＳ Ｐゴシック"/>
            <family val="3"/>
            <charset val="128"/>
          </rPr>
          <t>起債財源計算書　国費の額（補助裏単市分もここに含める）
端数調整　+1,500円</t>
        </r>
      </text>
    </comment>
    <comment ref="D10" authorId="1" shapeId="0">
      <text>
        <r>
          <rPr>
            <sz val="10"/>
            <color indexed="81"/>
            <rFont val="ＭＳ Ｐゴシック"/>
            <family val="3"/>
            <charset val="128"/>
          </rPr>
          <t>該当年度の起債フォルダ内の現年分財源計算書の現年分シートより</t>
        </r>
      </text>
    </comment>
    <comment ref="F19" authorId="1" shapeId="0">
      <text>
        <r>
          <rPr>
            <sz val="9"/>
            <color indexed="81"/>
            <rFont val="ＭＳ Ｐゴシック"/>
            <family val="3"/>
            <charset val="128"/>
          </rPr>
          <t xml:space="preserve">=+'I:\経理係フォルダ\☆決算事務\２８年度決算\06 H28決算　消費税計算\消費税（計画調整課より）\290517 H28決算で採用分\[公共 28（経企）改.xls]補現'!$D$94
</t>
        </r>
      </text>
    </comment>
    <comment ref="N19" authorId="2" shapeId="0">
      <text>
        <r>
          <rPr>
            <b/>
            <sz val="9"/>
            <color indexed="81"/>
            <rFont val="MS P ゴシック"/>
            <family val="3"/>
            <charset val="128"/>
          </rPr>
          <t>補起単現繰分け資料より</t>
        </r>
      </text>
    </comment>
    <comment ref="F20" authorId="3" shapeId="0">
      <text>
        <r>
          <rPr>
            <sz val="9"/>
            <color indexed="81"/>
            <rFont val="ＭＳ Ｐゴシック"/>
            <family val="3"/>
            <charset val="128"/>
          </rPr>
          <t>事業別財源案分表（公共）より
（資本的支出の事業別財源内訳の元データ）</t>
        </r>
      </text>
    </comment>
    <comment ref="Q20" authorId="4" shapeId="0">
      <text>
        <r>
          <rPr>
            <b/>
            <sz val="9"/>
            <color indexed="81"/>
            <rFont val="MS P ゴシック"/>
            <family val="3"/>
            <charset val="128"/>
          </rPr>
          <t>経理:端数調整</t>
        </r>
        <r>
          <rPr>
            <sz val="9"/>
            <color indexed="81"/>
            <rFont val="MS P ゴシック"/>
            <family val="3"/>
            <charset val="128"/>
          </rPr>
          <t xml:space="preserve">
</t>
        </r>
      </text>
    </comment>
    <comment ref="G22" authorId="5" shapeId="0">
      <text>
        <r>
          <rPr>
            <b/>
            <sz val="9"/>
            <color indexed="81"/>
            <rFont val="MS P ゴシック"/>
            <family val="3"/>
            <charset val="128"/>
          </rPr>
          <t>端数調整　-1500円</t>
        </r>
      </text>
    </comment>
    <comment ref="G32" authorId="1" shapeId="0">
      <text>
        <r>
          <rPr>
            <sz val="9"/>
            <color indexed="81"/>
            <rFont val="ＭＳ Ｐゴシック"/>
            <family val="3"/>
            <charset val="128"/>
          </rPr>
          <t>財源計算書の国費の額　国補正分が追加
（補助裏単市分もここに含める）</t>
        </r>
      </text>
    </comment>
    <comment ref="F37" authorId="1" shapeId="0">
      <text>
        <r>
          <rPr>
            <sz val="9"/>
            <color indexed="81"/>
            <rFont val="ＭＳ Ｐゴシック"/>
            <family val="3"/>
            <charset val="128"/>
          </rPr>
          <t xml:space="preserve">=+'I:\経理係フォルダ\☆決算事務\２８年度決算\06 H28決算　消費税計算\消費税（計画調整課より）\290517 H28決算で採用分\[公共 28（経企）改.xls]補繰'!$D$94
</t>
        </r>
      </text>
    </comment>
    <comment ref="K37" authorId="0" shapeId="0">
      <text>
        <r>
          <rPr>
            <sz val="9"/>
            <color indexed="81"/>
            <rFont val="ＭＳ Ｐゴシック"/>
            <family val="3"/>
            <charset val="128"/>
          </rPr>
          <t>=+'I:\経理係フォルダ\☆決算事務\２８年度決算\06 H28決算　消費税計算\H28当初\[H28決算　旭町雨水滞水管（その１）5%8%分け.xlsx]Sheet1'!$H$12</t>
        </r>
      </text>
    </comment>
    <comment ref="N37" authorId="2" shapeId="0">
      <text>
        <r>
          <rPr>
            <b/>
            <sz val="9"/>
            <color indexed="81"/>
            <rFont val="MS P ゴシック"/>
            <family val="3"/>
            <charset val="128"/>
          </rPr>
          <t>補起単現繰分け資料より</t>
        </r>
      </text>
    </comment>
    <comment ref="F38" authorId="3" shapeId="0">
      <text>
        <r>
          <rPr>
            <sz val="9"/>
            <color indexed="81"/>
            <rFont val="ＭＳ Ｐゴシック"/>
            <family val="3"/>
            <charset val="128"/>
          </rPr>
          <t>事業別財源案分表（公共）より
（資本的支出の事業別財源内訳の元データ）</t>
        </r>
      </text>
    </comment>
  </commentList>
</comments>
</file>

<file path=xl/w6_comments8.xml><?xml version="1.0" encoding="utf-8"?>
<comments xmlns="http://schemas.openxmlformats.org/spreadsheetml/2006/main">
  <authors>
    <author>広島市</author>
    <author>安達 謙介</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b/>
            <sz val="9"/>
            <color indexed="81"/>
            <rFont val="MS P ゴシック"/>
            <family val="3"/>
            <charset val="128"/>
          </rPr>
          <t>1,318+23,882</t>
        </r>
      </text>
    </comment>
    <comment ref="F19" authorId="2" shapeId="0">
      <text>
        <r>
          <rPr>
            <sz val="9"/>
            <color indexed="81"/>
            <rFont val="ＭＳ Ｐゴシック"/>
            <family val="3"/>
            <charset val="128"/>
          </rPr>
          <t>=+'I:\経理係フォルダ\☆決算事務\２８年度決算\06 H28決算　消費税計算\消費税（計画調整課より）\290517 H28決算で採用分\[特環 28（経企）改.xls]補現'!$D$94</t>
        </r>
      </text>
    </comment>
    <comment ref="N19" authorId="3" shapeId="0">
      <text>
        <r>
          <rPr>
            <b/>
            <sz val="9"/>
            <color indexed="81"/>
            <rFont val="MS P ゴシック"/>
            <family val="3"/>
            <charset val="128"/>
          </rPr>
          <t>補起単現繰分け資料より</t>
        </r>
      </text>
    </comment>
    <comment ref="F20" authorId="4" shapeId="0">
      <text>
        <r>
          <rPr>
            <sz val="9"/>
            <color indexed="81"/>
            <rFont val="ＭＳ Ｐゴシック"/>
            <family val="3"/>
            <charset val="128"/>
          </rPr>
          <t>事業別財源案分表（特環）より
（資本的支出の事業別財源内訳の元データ）</t>
        </r>
      </text>
    </comment>
    <comment ref="S20" authorId="1" shapeId="0">
      <text>
        <r>
          <rPr>
            <b/>
            <sz val="9"/>
            <color indexed="81"/>
            <rFont val="MS P ゴシック"/>
            <family val="3"/>
            <charset val="128"/>
          </rPr>
          <t>端数調整-1</t>
        </r>
      </text>
    </comment>
    <comment ref="F37" authorId="2" shapeId="0">
      <text>
        <r>
          <rPr>
            <sz val="9"/>
            <color indexed="81"/>
            <rFont val="ＭＳ Ｐゴシック"/>
            <family val="3"/>
            <charset val="128"/>
          </rPr>
          <t>=+'I:\経理係フォルダ\☆決算事務\２８年度決算\06 H28決算　消費税計算\消費税（計画調整課より）\290517 H28決算で採用分\[特環 28（経企）改.xls]補繰'!$D$94</t>
        </r>
      </text>
    </comment>
    <comment ref="N37" authorId="3" shapeId="0">
      <text>
        <r>
          <rPr>
            <b/>
            <sz val="9"/>
            <color indexed="81"/>
            <rFont val="MS P ゴシック"/>
            <family val="3"/>
            <charset val="128"/>
          </rPr>
          <t>補起単現繰分け資料より</t>
        </r>
      </text>
    </comment>
    <comment ref="F38" authorId="4" shapeId="0">
      <text>
        <r>
          <rPr>
            <sz val="9"/>
            <color indexed="81"/>
            <rFont val="ＭＳ Ｐゴシック"/>
            <family val="3"/>
            <charset val="128"/>
          </rPr>
          <t>事業別財源案分表（特環）より
（資本的支出の事業別財源内訳の元データ）</t>
        </r>
      </text>
    </comment>
  </commentList>
</comments>
</file>

<file path=xl/w6_comments9.xml><?xml version="1.0" encoding="utf-8"?>
<comments xmlns="http://schemas.openxmlformats.org/spreadsheetml/2006/main">
  <authors>
    <author>広島市</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0" shapeId="0">
      <text>
        <r>
          <rPr>
            <b/>
            <sz val="9"/>
            <color indexed="81"/>
            <rFont val="ＭＳ Ｐゴシック"/>
            <family val="3"/>
            <charset val="128"/>
          </rPr>
          <t>補助金20,900の算定基礎の
事業費41,800にはH29→H30の繰越分8,000を含んでいるので、これを差し引いて、33,800。</t>
        </r>
      </text>
    </comment>
    <comment ref="F19" authorId="1" shapeId="0">
      <text>
        <r>
          <rPr>
            <sz val="9"/>
            <color indexed="81"/>
            <rFont val="ＭＳ Ｐゴシック"/>
            <family val="3"/>
            <charset val="128"/>
          </rPr>
          <t>=+'I:\経理係フォルダ\☆決算事務\２８年度決算\06 H28決算　消費税計算\消費税（計画調整課より）\290517 H28決算で採用分\[農集 28（経企）改.xls]補現'!$D$94</t>
        </r>
      </text>
    </comment>
    <comment ref="N19" authorId="2" shapeId="0">
      <text>
        <r>
          <rPr>
            <b/>
            <sz val="9"/>
            <color indexed="81"/>
            <rFont val="MS P ゴシック"/>
            <family val="3"/>
            <charset val="128"/>
          </rPr>
          <t>補起単現繰分け資料より</t>
        </r>
      </text>
    </comment>
    <comment ref="F20" authorId="3" shapeId="0">
      <text>
        <r>
          <rPr>
            <sz val="9"/>
            <color indexed="81"/>
            <rFont val="ＭＳ Ｐゴシック"/>
            <family val="3"/>
            <charset val="128"/>
          </rPr>
          <t>事業別財源案分表（農集）より
（資本的支出の事業別財源内訳の元データ）</t>
        </r>
      </text>
    </comment>
    <comment ref="F37" authorId="1" shapeId="0">
      <text>
        <r>
          <rPr>
            <sz val="9"/>
            <color indexed="81"/>
            <rFont val="ＭＳ Ｐゴシック"/>
            <family val="3"/>
            <charset val="128"/>
          </rPr>
          <t>='I:\経理係フォルダ\☆決算事務\２７年度決算\06 H27決算　消費税計算\消費税（計画調整課より）\[農集　27.xls]補繰'!$D$94</t>
        </r>
      </text>
    </comment>
    <comment ref="N37" authorId="2" shapeId="0">
      <text>
        <r>
          <rPr>
            <b/>
            <sz val="9"/>
            <color indexed="81"/>
            <rFont val="MS P ゴシック"/>
            <family val="3"/>
            <charset val="128"/>
          </rPr>
          <t>補起単現繰分け資料より</t>
        </r>
      </text>
    </comment>
    <comment ref="F38" authorId="3" shapeId="0">
      <text>
        <r>
          <rPr>
            <sz val="9"/>
            <color indexed="81"/>
            <rFont val="ＭＳ Ｐゴシック"/>
            <family val="3"/>
            <charset val="128"/>
          </rPr>
          <t>事業別財源案分表（農集）より
（資本的支出の事業別財源内訳の元データ）</t>
        </r>
      </text>
    </comment>
  </commentList>
</comments>
</file>

<file path=xl/w6_comments10.xml><?xml version="1.0" encoding="utf-8"?>
<comments xmlns="http://schemas.openxmlformats.org/spreadsheetml/2006/main">
  <authors>
    <author>広島市</author>
    <author>安達 謙介</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b/>
            <sz val="9"/>
            <color indexed="81"/>
            <rFont val="MS P ゴシック"/>
            <family val="3"/>
            <charset val="128"/>
          </rPr>
          <t>－754千円（過年度受入分の控除あり</t>
        </r>
      </text>
    </comment>
    <comment ref="F19" authorId="2" shapeId="0">
      <text>
        <r>
          <rPr>
            <sz val="9"/>
            <color indexed="81"/>
            <rFont val="ＭＳ Ｐゴシック"/>
            <family val="3"/>
            <charset val="128"/>
          </rPr>
          <t>=+'I:\経理係フォルダ\☆決算事務\２８年度決算\06 H28決算　消費税計算\消費税（計画調整課より）\290517 H28決算で採用分\[浄化 28（経企）改.xls]補現'!$D$94</t>
        </r>
      </text>
    </comment>
    <comment ref="N19" authorId="3" shapeId="0">
      <text>
        <r>
          <rPr>
            <b/>
            <sz val="9"/>
            <color indexed="81"/>
            <rFont val="MS P ゴシック"/>
            <family val="3"/>
            <charset val="128"/>
          </rPr>
          <t>補起単現繰分け資料より</t>
        </r>
      </text>
    </comment>
    <comment ref="F20" authorId="4" shapeId="0">
      <text>
        <r>
          <rPr>
            <sz val="9"/>
            <color indexed="81"/>
            <rFont val="ＭＳ Ｐゴシック"/>
            <family val="3"/>
            <charset val="128"/>
          </rPr>
          <t>事業別財源案分表（浄化槽）より
（資本的支出の事業別財源内訳の元データ）</t>
        </r>
      </text>
    </comment>
    <comment ref="F37" authorId="2" shapeId="0">
      <text>
        <r>
          <rPr>
            <sz val="9"/>
            <color indexed="81"/>
            <rFont val="ＭＳ Ｐゴシック"/>
            <family val="3"/>
            <charset val="128"/>
          </rPr>
          <t>='I:\経理係フォルダ\☆決算事務\２７年度決算\06 H27決算　消費税計算\消費税（計画調整課より）\[農集　27.xls]補繰'!$D$94</t>
        </r>
      </text>
    </comment>
    <comment ref="N37" authorId="3" shapeId="0">
      <text>
        <r>
          <rPr>
            <b/>
            <sz val="9"/>
            <color indexed="81"/>
            <rFont val="MS P ゴシック"/>
            <family val="3"/>
            <charset val="128"/>
          </rPr>
          <t>補起単現繰分け資料より</t>
        </r>
      </text>
    </comment>
    <comment ref="F38" authorId="4" shapeId="0">
      <text>
        <r>
          <rPr>
            <sz val="9"/>
            <color indexed="81"/>
            <rFont val="ＭＳ Ｐゴシック"/>
            <family val="3"/>
            <charset val="128"/>
          </rPr>
          <t>事業別財源案分表（農集）より
（資本的支出の事業別財源内訳の元データ）</t>
        </r>
      </text>
    </comment>
  </commentList>
</comments>
</file>

<file path=xl/w6_comments11.xml><?xml version="1.0" encoding="utf-8"?>
<comments xmlns="http://schemas.openxmlformats.org/spreadsheetml/2006/main">
  <authors>
    <author>Windows ユーザー</author>
    <author>広島市</author>
    <author>楠 宏</author>
    <author>work7</author>
  </authors>
  <commentList>
    <comment ref="F4" authorId="0" shapeId="0">
      <text>
        <r>
          <rPr>
            <b/>
            <sz val="9"/>
            <color indexed="81"/>
            <rFont val="ＭＳ Ｐゴシック"/>
            <family val="3"/>
            <charset val="128"/>
          </rPr>
          <t>計調資料 より</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F10" authorId="2" shapeId="0">
      <text>
        <r>
          <rPr>
            <sz val="9"/>
            <color indexed="81"/>
            <rFont val="ＭＳ Ｐゴシック"/>
            <family val="3"/>
            <charset val="128"/>
          </rPr>
          <t>=+'I:\経理係フォルダ\☆決算事務\２８年度決算\06 H28決算　消費税計算\消費税（計画調整課より）\290517 H28決算で採用分\[公共 28（経企）改.xls]起現'!$D$98</t>
        </r>
      </text>
    </comment>
    <comment ref="K10" authorId="2" shapeId="0">
      <text>
        <r>
          <rPr>
            <sz val="9"/>
            <color indexed="81"/>
            <rFont val="ＭＳ Ｐゴシック"/>
            <family val="3"/>
            <charset val="128"/>
          </rPr>
          <t>=+'I:\経理係フォルダ\☆決算事務\２８年度決算\06 H28決算　消費税計算\消費税（計画調整課より）\290517 H28決算で採用分\[公共 28（経企）改.xls]起現'!$H$96</t>
        </r>
      </text>
    </comment>
    <comment ref="N10" authorId="3" shapeId="0">
      <text>
        <r>
          <rPr>
            <b/>
            <sz val="9"/>
            <color indexed="81"/>
            <rFont val="MS P ゴシック"/>
            <family val="3"/>
            <charset val="128"/>
          </rPr>
          <t>補起単現繰分け資料より</t>
        </r>
      </text>
    </comment>
    <comment ref="D14" authorId="0" shapeId="0">
      <text>
        <r>
          <rPr>
            <b/>
            <sz val="9"/>
            <color indexed="81"/>
            <rFont val="ＭＳ Ｐゴシック"/>
            <family val="3"/>
            <charset val="128"/>
          </rPr>
          <t>計調資料 より</t>
        </r>
      </text>
    </comment>
    <comment ref="E14" authorId="0" shapeId="0">
      <text>
        <r>
          <rPr>
            <sz val="9"/>
            <color indexed="81"/>
            <rFont val="ＭＳ Ｐゴシック"/>
            <family val="3"/>
            <charset val="128"/>
          </rPr>
          <t>事業別財源案分表（公共）より
（資本的支出の事業別財源内訳の元データ）</t>
        </r>
      </text>
    </comment>
  </commentList>
</comments>
</file>

<file path=xl/w6_comments12.xml><?xml version="1.0" encoding="utf-8"?>
<comments xmlns="http://schemas.openxmlformats.org/spreadsheetml/2006/main">
  <authors>
    <author>広島市</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F30" authorId="1" shapeId="0">
      <text>
        <r>
          <rPr>
            <sz val="9"/>
            <color indexed="81"/>
            <rFont val="ＭＳ Ｐゴシック"/>
            <family val="3"/>
            <charset val="128"/>
          </rPr>
          <t>=+'I:\経理係フォルダ\☆決算事務\２８年度決算\06 H28決算　消費税計算\消費税（計画調整課より）\290517 H28決算で採用分\[特環 28（経企）改.xls]起現'!$D$98</t>
        </r>
      </text>
    </comment>
    <comment ref="N30" authorId="2" shapeId="0">
      <text>
        <r>
          <rPr>
            <b/>
            <sz val="9"/>
            <color indexed="81"/>
            <rFont val="MS P ゴシック"/>
            <family val="3"/>
            <charset val="128"/>
          </rPr>
          <t>補起単現繰分け資料より</t>
        </r>
      </text>
    </comment>
    <comment ref="E34" authorId="3" shapeId="0">
      <text>
        <r>
          <rPr>
            <sz val="9"/>
            <color indexed="81"/>
            <rFont val="ＭＳ Ｐゴシック"/>
            <family val="3"/>
            <charset val="128"/>
          </rPr>
          <t>事業別財源案分表（特環）より
（資本的支出の事業別財源内訳の元データ）</t>
        </r>
      </text>
    </comment>
    <comment ref="F50" authorId="1" shapeId="0">
      <text>
        <r>
          <rPr>
            <sz val="9"/>
            <color indexed="81"/>
            <rFont val="ＭＳ Ｐゴシック"/>
            <family val="3"/>
            <charset val="128"/>
          </rPr>
          <t>=+'I:\経理係フォルダ\☆決算事務\２８年度決算\06 H28決算　消費税計算\消費税（計画調整課より）\290517 H28決算で採用分\[農集 28（経企）改.xls]起現'!$D$98</t>
        </r>
      </text>
    </comment>
    <comment ref="N50" authorId="2" shapeId="0">
      <text>
        <r>
          <rPr>
            <b/>
            <sz val="9"/>
            <color indexed="81"/>
            <rFont val="MS P ゴシック"/>
            <family val="3"/>
            <charset val="128"/>
          </rPr>
          <t>補起単現繰分け資料より</t>
        </r>
      </text>
    </comment>
    <comment ref="E54" authorId="3" shapeId="0">
      <text>
        <r>
          <rPr>
            <sz val="9"/>
            <color indexed="81"/>
            <rFont val="ＭＳ Ｐゴシック"/>
            <family val="3"/>
            <charset val="128"/>
          </rPr>
          <t>事業別財源案分表（農集）より
（資本的支出の事業別財源内訳の元データ）</t>
        </r>
      </text>
    </comment>
    <comment ref="F70" authorId="1" shapeId="0">
      <text>
        <r>
          <rPr>
            <sz val="9"/>
            <color indexed="81"/>
            <rFont val="ＭＳ Ｐゴシック"/>
            <family val="3"/>
            <charset val="128"/>
          </rPr>
          <t>=+'I:\経理係フォルダ\☆決算事務\２８年度決算\06 H28決算　消費税計算\消費税（計画調整課より）\290517 H28決算で採用分\[浄化 28（経企）改.xls]起現'!$D$98</t>
        </r>
      </text>
    </comment>
    <comment ref="N70" authorId="2" shapeId="0">
      <text>
        <r>
          <rPr>
            <b/>
            <sz val="9"/>
            <color indexed="81"/>
            <rFont val="MS P ゴシック"/>
            <family val="3"/>
            <charset val="128"/>
          </rPr>
          <t>補起単現繰分け資料より</t>
        </r>
      </text>
    </comment>
    <comment ref="E74" authorId="3" shapeId="0">
      <text>
        <r>
          <rPr>
            <sz val="9"/>
            <color indexed="81"/>
            <rFont val="ＭＳ Ｐゴシック"/>
            <family val="3"/>
            <charset val="128"/>
          </rPr>
          <t>事業別財源案分表（浄化槽）より
（資本的支出の事業別財源内訳の元データ）</t>
        </r>
      </text>
    </comment>
  </commentList>
</comments>
</file>

<file path=xl/w6_comments13.xml><?xml version="1.0" encoding="utf-8"?>
<comments xmlns="http://schemas.openxmlformats.org/spreadsheetml/2006/main">
  <authors>
    <author>広島市</author>
    <author>work7</author>
    <author>経理</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N12" authorId="1" shapeId="0">
      <text>
        <r>
          <rPr>
            <b/>
            <sz val="9"/>
            <color indexed="81"/>
            <rFont val="MS P ゴシック"/>
            <family val="3"/>
            <charset val="128"/>
          </rPr>
          <t>補起単現繰分け資料より</t>
        </r>
      </text>
    </comment>
    <comment ref="N18" authorId="1" shapeId="0">
      <text>
        <r>
          <rPr>
            <b/>
            <sz val="9"/>
            <color indexed="81"/>
            <rFont val="MS P ゴシック"/>
            <family val="3"/>
            <charset val="128"/>
          </rPr>
          <t>補起単現繰分け資料より</t>
        </r>
      </text>
    </comment>
    <comment ref="N26" authorId="1" shapeId="0">
      <text>
        <r>
          <rPr>
            <b/>
            <sz val="9"/>
            <color indexed="81"/>
            <rFont val="MS P ゴシック"/>
            <family val="3"/>
            <charset val="128"/>
          </rPr>
          <t>補起単現繰分け資料より</t>
        </r>
      </text>
    </comment>
    <comment ref="N32" authorId="1" shapeId="0">
      <text>
        <r>
          <rPr>
            <b/>
            <sz val="9"/>
            <color indexed="81"/>
            <rFont val="MS P ゴシック"/>
            <family val="3"/>
            <charset val="128"/>
          </rPr>
          <t>補起単現繰分け資料より</t>
        </r>
      </text>
    </comment>
    <comment ref="N40" authorId="1" shapeId="0">
      <text>
        <r>
          <rPr>
            <b/>
            <sz val="9"/>
            <color indexed="81"/>
            <rFont val="MS P ゴシック"/>
            <family val="3"/>
            <charset val="128"/>
          </rPr>
          <t>補起単現繰分け資料より</t>
        </r>
      </text>
    </comment>
    <comment ref="E44" authorId="2" shapeId="0">
      <text>
        <r>
          <rPr>
            <b/>
            <sz val="9"/>
            <color indexed="81"/>
            <rFont val="MS P ゴシック"/>
            <family val="3"/>
            <charset val="128"/>
          </rPr>
          <t>R4決算ではR2→R4事故繰越あり</t>
        </r>
        <r>
          <rPr>
            <sz val="9"/>
            <color indexed="81"/>
            <rFont val="MS P ゴシック"/>
            <family val="3"/>
            <charset val="128"/>
          </rPr>
          <t xml:space="preserve">
</t>
        </r>
      </text>
    </comment>
    <comment ref="N46" authorId="1" shapeId="0">
      <text>
        <r>
          <rPr>
            <b/>
            <sz val="9"/>
            <color indexed="81"/>
            <rFont val="MS P ゴシック"/>
            <family val="3"/>
            <charset val="128"/>
          </rPr>
          <t>補起単現繰分け資料より</t>
        </r>
      </text>
    </comment>
    <comment ref="N54" authorId="1" shapeId="0">
      <text>
        <r>
          <rPr>
            <b/>
            <sz val="9"/>
            <color indexed="81"/>
            <rFont val="MS P ゴシック"/>
            <family val="3"/>
            <charset val="128"/>
          </rPr>
          <t>補起単現繰分け資料より</t>
        </r>
      </text>
    </comment>
    <comment ref="N60" authorId="1" shapeId="0">
      <text>
        <r>
          <rPr>
            <b/>
            <sz val="9"/>
            <color indexed="81"/>
            <rFont val="MS P ゴシック"/>
            <family val="3"/>
            <charset val="128"/>
          </rPr>
          <t>補起単現繰分け資料より</t>
        </r>
      </text>
    </comment>
  </commentList>
</comments>
</file>

<file path=xl/w6_comments14.xml><?xml version="1.0" encoding="utf-8"?>
<comments xmlns="http://schemas.openxmlformats.org/spreadsheetml/2006/main">
  <authors>
    <author>広島市</author>
    <author>work7</author>
    <author>経理</author>
    <author>楠 宏</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r>
          <rPr>
            <b/>
            <sz val="9"/>
            <color indexed="81"/>
            <rFont val="ＭＳ Ｐゴシック"/>
            <family val="3"/>
            <charset val="128"/>
          </rPr>
          <t xml:space="preserve">
補助金等について、使途（借入金等の返済等のため）が特定されている場合は、従前（5%）の例による（元金償還充当分）。</t>
        </r>
      </text>
    </comment>
    <comment ref="F8" authorId="0" shapeId="0">
      <text>
        <r>
          <rPr>
            <b/>
            <sz val="9"/>
            <color indexed="81"/>
            <rFont val="ＭＳ Ｐゴシック"/>
            <family val="3"/>
            <charset val="128"/>
          </rPr>
          <t>=F25</t>
        </r>
        <r>
          <rPr>
            <sz val="9"/>
            <color indexed="81"/>
            <rFont val="ＭＳ Ｐゴシック"/>
            <family val="3"/>
            <charset val="128"/>
          </rPr>
          <t xml:space="preserve">
</t>
        </r>
      </text>
    </comment>
    <comment ref="N8" authorId="1" shapeId="0">
      <text>
        <r>
          <rPr>
            <b/>
            <sz val="9"/>
            <color indexed="81"/>
            <rFont val="MS P ゴシック"/>
            <family val="3"/>
            <charset val="128"/>
          </rPr>
          <t>補起単現繰分け資料より</t>
        </r>
      </text>
    </comment>
    <comment ref="F9" authorId="0" shapeId="0">
      <text>
        <r>
          <rPr>
            <b/>
            <sz val="9"/>
            <color indexed="81"/>
            <rFont val="ＭＳ Ｐゴシック"/>
            <family val="3"/>
            <charset val="128"/>
          </rPr>
          <t>=F26</t>
        </r>
      </text>
    </comment>
    <comment ref="F10" authorId="0" shapeId="0">
      <text>
        <r>
          <rPr>
            <b/>
            <sz val="9"/>
            <color indexed="81"/>
            <rFont val="ＭＳ Ｐゴシック"/>
            <family val="3"/>
            <charset val="128"/>
          </rPr>
          <t>=+'[①H28決算 収支・雨汚水・消費税・繰入【共通経費按分前】.xlsx]4条支出'!$J$8</t>
        </r>
        <r>
          <rPr>
            <sz val="9"/>
            <color indexed="81"/>
            <rFont val="ＭＳ Ｐゴシック"/>
            <family val="3"/>
            <charset val="128"/>
          </rPr>
          <t xml:space="preserve">
</t>
        </r>
      </text>
    </comment>
    <comment ref="N10" authorId="1" shapeId="0">
      <text>
        <r>
          <rPr>
            <b/>
            <sz val="9"/>
            <color indexed="81"/>
            <rFont val="MS P ゴシック"/>
            <family val="3"/>
            <charset val="128"/>
          </rPr>
          <t>「③4条支出」ファイルより</t>
        </r>
      </text>
    </comment>
    <comment ref="F11" authorId="0" shapeId="0">
      <text>
        <r>
          <rPr>
            <b/>
            <sz val="9"/>
            <color indexed="81"/>
            <rFont val="ＭＳ Ｐゴシック"/>
            <family val="3"/>
            <charset val="128"/>
          </rPr>
          <t>=+'[①H28決算 収支・雨汚水・消費税・繰入【共通経費按分前】.xlsx]4条支出'!$E$8</t>
        </r>
      </text>
    </comment>
    <comment ref="F12" authorId="0" shapeId="0">
      <text>
        <r>
          <rPr>
            <b/>
            <sz val="9"/>
            <color indexed="81"/>
            <rFont val="ＭＳ Ｐゴシック"/>
            <family val="3"/>
            <charset val="128"/>
          </rPr>
          <t>=+'[①H28決算 収支・雨汚水・消費税・繰入【共通経費按分前】.xlsx]4条支出'!$J$11</t>
        </r>
        <r>
          <rPr>
            <sz val="9"/>
            <color indexed="81"/>
            <rFont val="ＭＳ Ｐゴシック"/>
            <family val="3"/>
            <charset val="128"/>
          </rPr>
          <t xml:space="preserve">
</t>
        </r>
      </text>
    </comment>
    <comment ref="N12" authorId="1" shapeId="0">
      <text>
        <r>
          <rPr>
            <b/>
            <sz val="9"/>
            <color indexed="81"/>
            <rFont val="MS P ゴシック"/>
            <family val="3"/>
            <charset val="128"/>
          </rPr>
          <t>「③4条支出」ファイルより</t>
        </r>
      </text>
    </comment>
    <comment ref="F13" authorId="0" shapeId="0">
      <text>
        <r>
          <rPr>
            <b/>
            <sz val="9"/>
            <color indexed="81"/>
            <rFont val="ＭＳ Ｐゴシック"/>
            <family val="3"/>
            <charset val="128"/>
          </rPr>
          <t>=+'[①H28決算 収支・雨汚水・消費税・繰入【共通経費按分前】.xlsx]4条支出'!$E$11</t>
        </r>
        <r>
          <rPr>
            <sz val="9"/>
            <color indexed="81"/>
            <rFont val="ＭＳ Ｐゴシック"/>
            <family val="3"/>
            <charset val="128"/>
          </rPr>
          <t xml:space="preserve">
</t>
        </r>
      </text>
    </comment>
    <comment ref="N15" authorId="1" shapeId="0">
      <text>
        <r>
          <rPr>
            <b/>
            <sz val="9"/>
            <color indexed="81"/>
            <rFont val="MS P ゴシック"/>
            <family val="3"/>
            <charset val="128"/>
          </rPr>
          <t>「算出と帳票（計調）」より</t>
        </r>
      </text>
    </comment>
    <comment ref="B16" authorId="2" shapeId="0">
      <text>
        <r>
          <rPr>
            <b/>
            <sz val="9"/>
            <color indexed="81"/>
            <rFont val="MS P ゴシック"/>
            <family val="3"/>
            <charset val="128"/>
          </rPr>
          <t>移設等補償</t>
        </r>
        <r>
          <rPr>
            <sz val="9"/>
            <color indexed="81"/>
            <rFont val="MS P ゴシック"/>
            <family val="3"/>
            <charset val="128"/>
          </rPr>
          <t xml:space="preserve">
</t>
        </r>
      </text>
    </comment>
    <comment ref="H18" authorId="0" shapeId="0">
      <text>
        <r>
          <rPr>
            <b/>
            <sz val="9"/>
            <color indexed="81"/>
            <rFont val="ＭＳ Ｐゴシック"/>
            <family val="3"/>
            <charset val="128"/>
          </rPr>
          <t xml:space="preserve">自動で按分されてしまうが、他事業者から補償金をもらって下水道資産を移転する場合（協定書等により特定可能）には、すべて特定収入に特定すること。
</t>
        </r>
        <r>
          <rPr>
            <b/>
            <sz val="11"/>
            <color indexed="10"/>
            <rFont val="ＭＳ Ｐゴシック"/>
            <family val="3"/>
            <charset val="128"/>
          </rPr>
          <t>式に手修正 要！以下農集、浄化槽も同じ</t>
        </r>
      </text>
    </comment>
    <comment ref="N18" authorId="1" shapeId="0">
      <text>
        <r>
          <rPr>
            <b/>
            <sz val="9"/>
            <color indexed="81"/>
            <rFont val="MS P ゴシック"/>
            <family val="3"/>
            <charset val="128"/>
          </rPr>
          <t>「③4条支出」ファイルより</t>
        </r>
      </text>
    </comment>
    <comment ref="N20" authorId="1" shapeId="0">
      <text>
        <r>
          <rPr>
            <b/>
            <sz val="9"/>
            <color indexed="81"/>
            <rFont val="MS P ゴシック"/>
            <family val="3"/>
            <charset val="128"/>
          </rPr>
          <t>「③4条支出」ファイルより</t>
        </r>
      </text>
    </comment>
    <comment ref="N22" authorId="1" shapeId="0">
      <text>
        <r>
          <rPr>
            <b/>
            <sz val="9"/>
            <color indexed="81"/>
            <rFont val="MS P ゴシック"/>
            <family val="3"/>
            <charset val="128"/>
          </rPr>
          <t>「③4条支出」ファイルより</t>
        </r>
      </text>
    </comment>
    <comment ref="F27" authorId="3" shapeId="0">
      <text>
        <r>
          <rPr>
            <sz val="9"/>
            <color indexed="81"/>
            <rFont val="ＭＳ Ｐゴシック"/>
            <family val="3"/>
            <charset val="128"/>
          </rPr>
          <t>=+'I:\経理係フォルダ\☆決算事務\２８年度決算\06 H28決算　消費税計算\消費税（計画調整課より）\290517 H28決算で採用分\[公共 28（経企）改.xls]単現'!$D$94</t>
        </r>
      </text>
    </comment>
    <comment ref="F28" authorId="4" shapeId="0">
      <text>
        <r>
          <rPr>
            <sz val="9"/>
            <color indexed="81"/>
            <rFont val="ＭＳ Ｐゴシック"/>
            <family val="3"/>
            <charset val="128"/>
          </rPr>
          <t>事業別財源案分表（公共）より
（資本的支出の事業別財源内訳の元データ）</t>
        </r>
      </text>
    </comment>
    <comment ref="F30" authorId="3" shapeId="0">
      <text>
        <r>
          <rPr>
            <sz val="9"/>
            <color indexed="81"/>
            <rFont val="ＭＳ Ｐゴシック"/>
            <family val="3"/>
            <charset val="128"/>
          </rPr>
          <t>=+'I:\経理係フォルダ\☆決算事務\２８年度決算\06 H28決算　消費税計算\消費税（計画調整課より）\290517 H28決算で採用分\[公共 28（経企）改.xls]単繰'!$D$94</t>
        </r>
      </text>
    </comment>
    <comment ref="F31" authorId="4" shapeId="0">
      <text>
        <r>
          <rPr>
            <sz val="9"/>
            <color indexed="81"/>
            <rFont val="ＭＳ Ｐゴシック"/>
            <family val="3"/>
            <charset val="128"/>
          </rPr>
          <t>事業別財源案分表（公共）より
（資本的支出の事業別財源内訳の元データ）</t>
        </r>
      </text>
    </comment>
  </commentList>
</comments>
</file>

<file path=xl/w6_comments15.xml><?xml version="1.0" encoding="utf-8"?>
<comments xmlns="http://schemas.openxmlformats.org/spreadsheetml/2006/main">
  <authors>
    <author>安達 謙介</author>
    <author>work</author>
    <author>広島市</author>
    <author>楠 宏</author>
  </authors>
  <commentList>
    <comment ref="R5" authorId="0" shapeId="0">
      <text>
        <r>
          <rPr>
            <b/>
            <sz val="9"/>
            <color indexed="81"/>
            <rFont val="MS P ゴシック"/>
            <family val="3"/>
            <charset val="128"/>
          </rPr>
          <t>印刷時はここで0orブランク以外を抽出</t>
        </r>
      </text>
    </comment>
    <comment ref="J10" authorId="1" shapeId="0">
      <text>
        <r>
          <rPr>
            <sz val="8"/>
            <color indexed="81"/>
            <rFont val="MS P ゴシック"/>
            <family val="3"/>
            <charset val="128"/>
          </rPr>
          <t>大須の工事負担金は県の行う事業の工事負担金をいったん広島市４条支出の工事負担金として支払った後で、府中町に請求するものである。
４条支出の工事負担金は起債が財源となっているため起債が財源充当事業となる。</t>
        </r>
      </text>
    </comment>
    <comment ref="K11" authorId="2" shapeId="0">
      <text>
        <r>
          <rPr>
            <sz val="9"/>
            <color indexed="81"/>
            <rFont val="ＭＳ Ｐゴシック"/>
            <family val="3"/>
            <charset val="128"/>
          </rPr>
          <t>単市事業分に係る負担金
（計画調整課に確認）</t>
        </r>
      </text>
    </comment>
    <comment ref="E31" authorId="3" shapeId="0">
      <text>
        <r>
          <rPr>
            <sz val="8"/>
            <color indexed="81"/>
            <rFont val="ＭＳ Ｐゴシック"/>
            <family val="3"/>
            <charset val="128"/>
          </rPr>
          <t>全伝票　工事負担金及び
管理課伺い写しより</t>
        </r>
      </text>
    </comment>
    <comment ref="E39" authorId="3" shapeId="0">
      <text>
        <r>
          <rPr>
            <sz val="8"/>
            <color indexed="81"/>
            <rFont val="ＭＳ Ｐゴシック"/>
            <family val="3"/>
            <charset val="128"/>
          </rPr>
          <t>補償工事
Ｈ26年度あり、Ｈ27年度なし
Ｈ28年度あり、Ｈ29年度なし</t>
        </r>
      </text>
    </comment>
  </commentList>
</comments>
</file>

<file path=xl/w6_comments16.xml><?xml version="1.0" encoding="utf-8"?>
<comments xmlns="http://schemas.openxmlformats.org/spreadsheetml/2006/main">
  <authors>
    <author>Windows ユーザー</author>
  </authors>
  <commentList>
    <comment ref="O7" authorId="0" shapeId="0">
      <text>
        <r>
          <rPr>
            <sz val="11"/>
            <color indexed="81"/>
            <rFont val="ＭＳ Ｐゴシック"/>
            <family val="3"/>
            <charset val="128"/>
          </rPr>
          <t>起案書に添付している償還表にふった番号。①はh26.3.25借換により2本に分かれたため、平成26年度予算（h25.10）以降は２つの償還表を合算すること。</t>
        </r>
      </text>
    </comment>
  </commentList>
</comments>
</file>

<file path=xl/w6_comments17.xml><?xml version="1.0" encoding="utf-8"?>
<comments xmlns="http://schemas.openxmlformats.org/spreadsheetml/2006/main">
  <authors>
    <author>中尾 尚武</author>
    <author>楠 宏</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U48" authorId="2"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2"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w6_comments18.xml><?xml version="1.0" encoding="utf-8"?>
<comments xmlns="http://schemas.openxmlformats.org/spreadsheetml/2006/main">
  <authors>
    <author>中尾 尚武</author>
    <author>楠 宏</author>
    <author>経理</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N43" authorId="2" shapeId="0">
      <text>
        <r>
          <rPr>
            <b/>
            <sz val="9"/>
            <color indexed="81"/>
            <rFont val="MS P ゴシック"/>
            <family val="3"/>
            <charset val="128"/>
          </rPr>
          <t>特定収入に係る仕入れ控除税額の調整計算：10％で調整</t>
        </r>
        <r>
          <rPr>
            <sz val="9"/>
            <color indexed="81"/>
            <rFont val="MS P ゴシック"/>
            <family val="3"/>
            <charset val="128"/>
          </rPr>
          <t xml:space="preserve">
</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w6_comments19.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w6_comments20.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w6_comments21.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w7_comments1.xml><?xml version="1.0" encoding="utf-8"?>
<comments xmlns="http://schemas.openxmlformats.org/spreadsheetml/2006/main">
  <authors>
    <author>4202453</author>
    <author>Windows ユーザー</author>
    <author>広島市</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Z101" authorId="2" shapeId="0">
      <text>
        <r>
          <rPr>
            <b/>
            <sz val="9"/>
            <color indexed="81"/>
            <rFont val="ＭＳ Ｐゴシック"/>
            <family val="3"/>
            <charset val="128"/>
          </rPr>
          <t>税率3％期間（H1.4.1～H9.3.31）に課税仕入れの財源の借入金に対する補助金等であっても、５％での課税仕入れとみなして、控除対象仕入税額から差し引かれる調整税額の計算を行う。</t>
        </r>
      </text>
    </comment>
  </commentList>
</comments>
</file>

<file path=xl/w7_comments2.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32" authorId="2" shapeId="0">
      <text>
        <r>
          <rPr>
            <sz val="9"/>
            <color indexed="81"/>
            <rFont val="MS P ゴシック"/>
            <family val="3"/>
            <charset val="128"/>
          </rPr>
          <t xml:space="preserve">R2確定申告の計算式に修正
</t>
        </r>
      </text>
    </comment>
    <comment ref="AG144" authorId="2" shapeId="0">
      <text>
        <r>
          <rPr>
            <sz val="9"/>
            <color indexed="81"/>
            <rFont val="MS P ゴシック"/>
            <family val="3"/>
            <charset val="128"/>
          </rPr>
          <t xml:space="preserve">R2確定申告の計算式に修正(Wが△の時）
</t>
        </r>
      </text>
    </comment>
    <comment ref="AG152" authorId="2" shapeId="0">
      <text>
        <r>
          <rPr>
            <sz val="9"/>
            <color indexed="81"/>
            <rFont val="MS P ゴシック"/>
            <family val="3"/>
            <charset val="128"/>
          </rPr>
          <t xml:space="preserve">R2確定申告の計算式に修正
</t>
        </r>
      </text>
    </comment>
  </commentList>
</comments>
</file>

<file path=xl/w7_comments3.xml><?xml version="1.0" encoding="utf-8"?>
<comments xmlns="http://schemas.openxmlformats.org/spreadsheetml/2006/main">
  <authors>
    <author>4202453</author>
    <author>Windows ユーザー</author>
    <author>安達 謙介</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T144" authorId="2" shapeId="0">
      <text>
        <r>
          <rPr>
            <b/>
            <sz val="9"/>
            <color indexed="81"/>
            <rFont val="MS P ゴシック"/>
            <family val="3"/>
            <charset val="128"/>
          </rPr>
          <t>R5決算：式修正
&lt;元の式&gt;T142-T143</t>
        </r>
      </text>
    </comment>
    <comment ref="AG152" authorId="3" shapeId="0">
      <text>
        <r>
          <rPr>
            <sz val="9"/>
            <color indexed="81"/>
            <rFont val="MS P ゴシック"/>
            <family val="3"/>
            <charset val="128"/>
          </rPr>
          <t xml:space="preserve">R2確定申告の計算式に修正
</t>
        </r>
      </text>
    </comment>
  </commentList>
</comments>
</file>

<file path=xl/w7_comments4.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52" authorId="2" shapeId="0">
      <text>
        <r>
          <rPr>
            <sz val="9"/>
            <color indexed="81"/>
            <rFont val="MS P ゴシック"/>
            <family val="3"/>
            <charset val="128"/>
          </rPr>
          <t xml:space="preserve">R2確定申告の計算式に修正
</t>
        </r>
      </text>
    </comment>
  </commentList>
</comments>
</file>

<file path=xl/w7_comments5.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52" authorId="2" shapeId="0">
      <text>
        <r>
          <rPr>
            <sz val="9"/>
            <color indexed="81"/>
            <rFont val="MS P ゴシック"/>
            <family val="3"/>
            <charset val="128"/>
          </rPr>
          <t xml:space="preserve">R2確定申告の計算式に修正
</t>
        </r>
      </text>
    </comment>
  </commentList>
</comments>
</file>

<file path=xl/w7_comments6.xml><?xml version="1.0" encoding="utf-8"?>
<comments xmlns="http://schemas.openxmlformats.org/spreadsheetml/2006/main">
  <authors>
    <author>4202453</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AG42" authorId="0" shapeId="0">
      <text>
        <r>
          <rPr>
            <b/>
            <sz val="9"/>
            <color indexed="81"/>
            <rFont val="ＭＳ Ｐゴシック"/>
            <family val="3"/>
            <charset val="128"/>
          </rPr>
          <t>税額計算の際には、この端数を切り捨てた率で計算してもよいし、端数を切り捨てず、F/Hで（FとHの値をそのまま分母と分子にして）計算してもよいこととされている。
端数を切り捨てない方が税額は小さくなるため、これまでの下水道事業会計では、後者を採用している。</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AB144" authorId="1" shapeId="0">
      <text>
        <r>
          <rPr>
            <sz val="9"/>
            <color indexed="81"/>
            <rFont val="MS P ゴシック"/>
            <family val="3"/>
            <charset val="128"/>
          </rPr>
          <t xml:space="preserve">R2確定申告の計算式に修正
</t>
        </r>
      </text>
    </comment>
    <comment ref="AB152" authorId="1" shapeId="0">
      <text>
        <r>
          <rPr>
            <sz val="9"/>
            <color indexed="81"/>
            <rFont val="MS P ゴシック"/>
            <family val="3"/>
            <charset val="128"/>
          </rPr>
          <t xml:space="preserve">R2確定申告の計算式に修正
</t>
        </r>
      </text>
    </comment>
  </commentList>
</comments>
</file>

<file path=xl/w7_comments7.xml><?xml version="1.0" encoding="utf-8"?>
<comments xmlns="http://schemas.openxmlformats.org/spreadsheetml/2006/main">
  <authors>
    <author>Windows ユーザー</author>
    <author>楠 宏</author>
    <author>広島市</author>
  </authors>
  <commentList>
    <comment ref="B6" authorId="0" shapeId="0">
      <text>
        <r>
          <rPr>
            <b/>
            <sz val="9"/>
            <color indexed="81"/>
            <rFont val="ＭＳ Ｐゴシック"/>
            <family val="3"/>
            <charset val="128"/>
          </rPr>
          <t>仕入対価の返還等</t>
        </r>
      </text>
    </comment>
    <comment ref="B11" authorId="0" shapeId="0">
      <text>
        <r>
          <rPr>
            <b/>
            <sz val="9"/>
            <color indexed="81"/>
            <rFont val="ＭＳ Ｐゴシック"/>
            <family val="3"/>
            <charset val="128"/>
          </rPr>
          <t>返還等対価返還等、仕入対価の返還等</t>
        </r>
      </text>
    </comment>
    <comment ref="D13" authorId="1" shapeId="0">
      <text>
        <r>
          <rPr>
            <sz val="9"/>
            <color indexed="81"/>
            <rFont val="ＭＳ Ｐゴシック"/>
            <family val="3"/>
            <charset val="128"/>
          </rPr>
          <t>「Ｈ○○　３条支出　消費税」エクセル「営業外費用」シートのセルＫ１４の</t>
        </r>
        <r>
          <rPr>
            <b/>
            <sz val="9"/>
            <color indexed="81"/>
            <rFont val="ＭＳ Ｐゴシック"/>
            <family val="3"/>
            <charset val="128"/>
          </rPr>
          <t>雑支出の</t>
        </r>
        <r>
          <rPr>
            <b/>
            <u/>
            <sz val="11"/>
            <color indexed="81"/>
            <rFont val="ＭＳ Ｐゴシック"/>
            <family val="3"/>
            <charset val="128"/>
          </rPr>
          <t>消費税額</t>
        </r>
        <r>
          <rPr>
            <b/>
            <sz val="9"/>
            <color indexed="81"/>
            <rFont val="ＭＳ Ｐゴシック"/>
            <family val="3"/>
            <charset val="128"/>
          </rPr>
          <t>を加算</t>
        </r>
        <r>
          <rPr>
            <sz val="9"/>
            <color indexed="81"/>
            <rFont val="ＭＳ Ｐゴシック"/>
            <family val="3"/>
            <charset val="128"/>
          </rPr>
          <t>する。
（計算結果が特定収入に係る課税仕入れに係る消費税額　合計（セルＮ26）と合致する必要がある。セルＢ14でチェック）
雑支出の税込-税抜には、通常分雑支出の消費税が含まれているのでこれを加算している。</t>
        </r>
      </text>
    </comment>
    <comment ref="D18" authorId="1" shapeId="0">
      <text>
        <r>
          <rPr>
            <b/>
            <sz val="9"/>
            <color indexed="81"/>
            <rFont val="ＭＳ Ｐゴシック"/>
            <family val="3"/>
            <charset val="128"/>
          </rPr>
          <t>４条収入　消費税エクセルより
まず、出資金0円の状態で当該セル（D18,D19）に税込、税抜を入力する。他のセルを全て埋め、B14がOKになり、出資金の額が確定したら、４条収入　消費税エクセルの出資金を入力し、その後、当該セル（D18,D19）に税込、税抜を入力し直す。
出資金の有無は、４条仮受け消費税の計算に関係ないので、このような手順を踏んでも、結果が変わらないと思われる。</t>
        </r>
      </text>
    </comment>
    <comment ref="D24" authorId="1" shapeId="0">
      <text>
        <r>
          <rPr>
            <sz val="9"/>
            <color indexed="81"/>
            <rFont val="ＭＳ Ｐゴシック"/>
            <family val="3"/>
            <charset val="128"/>
          </rPr>
          <t>４条収入の　「特定収入に係る課税仕入れに係る消費税額の計</t>
        </r>
      </text>
    </comment>
    <comment ref="G33" authorId="2" shapeId="0">
      <text>
        <r>
          <rPr>
            <b/>
            <sz val="11"/>
            <color indexed="10"/>
            <rFont val="ＭＳ Ｐゴシック"/>
            <family val="3"/>
            <charset val="128"/>
          </rPr>
          <t>【重要】
区域外分を作成する際には、すべての作業を始める前に、この緑の範囲をコピーし、「値」で貼付け直しておく。
（課税売上割合は全事業共通のため。）</t>
        </r>
      </text>
    </comment>
    <comment ref="F35" authorId="0" shapeId="0">
      <text>
        <r>
          <rPr>
            <b/>
            <sz val="9"/>
            <color indexed="81"/>
            <rFont val="ＭＳ Ｐゴシック"/>
            <family val="3"/>
            <charset val="128"/>
          </rPr>
          <t>仕入対価の返還等、売上対価の返還等</t>
        </r>
      </text>
    </comment>
    <comment ref="G40" authorId="1" shapeId="0">
      <text>
        <r>
          <rPr>
            <sz val="11"/>
            <color indexed="81"/>
            <rFont val="ＭＳ Ｐゴシック"/>
            <family val="3"/>
            <charset val="128"/>
          </rPr>
          <t>韓国領事館免税分</t>
        </r>
      </text>
    </comment>
    <comment ref="F49" authorId="0" shapeId="0">
      <text>
        <r>
          <rPr>
            <sz val="9"/>
            <color indexed="81"/>
            <rFont val="ＭＳ Ｐゴシック"/>
            <family val="3"/>
            <charset val="128"/>
          </rPr>
          <t>「過年度損益修正益」「その他特別利益」のうち、課税支出が返還されたもの</t>
        </r>
      </text>
    </comment>
    <comment ref="F54" authorId="0" shapeId="0">
      <text>
        <r>
          <rPr>
            <sz val="9"/>
            <color indexed="81"/>
            <rFont val="ＭＳ Ｐゴシック"/>
            <family val="3"/>
            <charset val="128"/>
          </rPr>
          <t>「過年度損益修正損」「その他特別損失」のうち、課税収入を返還したもの</t>
        </r>
      </text>
    </comment>
    <comment ref="F68" authorId="0" shapeId="0">
      <text>
        <r>
          <rPr>
            <sz val="9"/>
            <color indexed="81"/>
            <rFont val="ＭＳ Ｐゴシック"/>
            <family val="3"/>
            <charset val="128"/>
          </rPr>
          <t>「過年度損益修正損」「その他特別損失」のうち、課税収入を返還したもの</t>
        </r>
      </text>
    </comment>
    <comment ref="F74" authorId="2" shapeId="0">
      <text>
        <r>
          <rPr>
            <sz val="9"/>
            <color indexed="81"/>
            <rFont val="ＭＳ Ｐゴシック"/>
            <family val="3"/>
            <charset val="128"/>
          </rPr>
          <t>使用料関係の</t>
        </r>
        <r>
          <rPr>
            <b/>
            <sz val="9"/>
            <color indexed="81"/>
            <rFont val="ＭＳ Ｐゴシック"/>
            <family val="3"/>
            <charset val="128"/>
          </rPr>
          <t>貸倒引当金取り崩し額</t>
        </r>
        <r>
          <rPr>
            <sz val="9"/>
            <color indexed="81"/>
            <rFont val="ＭＳ Ｐゴシック"/>
            <family val="3"/>
            <charset val="128"/>
          </rPr>
          <t>を積算する。税率別の内訳は、管理課使用料係に確認する。</t>
        </r>
      </text>
    </comment>
  </commentList>
</comments>
</file>

<file path=xl/w7_comments8.xml><?xml version="1.0" encoding="utf-8"?>
<comments xmlns="http://schemas.openxmlformats.org/spreadsheetml/2006/main">
  <authors>
    <author>中尾 尚武</author>
    <author>work</author>
    <author>経理</author>
  </authors>
  <commentList>
    <comment ref="J7" authorId="0" shapeId="0">
      <text>
        <r>
          <rPr>
            <b/>
            <sz val="9"/>
            <color indexed="81"/>
            <rFont val="ＭＳ Ｐゴシック"/>
            <family val="3"/>
            <charset val="128"/>
          </rPr>
          <t>不納欠損は調定減額を伴わないものとして減じるようにしていないと思われる。</t>
        </r>
        <r>
          <rPr>
            <sz val="9"/>
            <color indexed="81"/>
            <rFont val="ＭＳ Ｐゴシック"/>
            <family val="3"/>
            <charset val="128"/>
          </rPr>
          <t xml:space="preserve">
減額調定は調定減額を伴うので、課税割合を算定する際には減額していると思われる。</t>
        </r>
      </text>
    </comment>
    <comment ref="E12" authorId="0" shapeId="0">
      <text>
        <r>
          <rPr>
            <b/>
            <sz val="9"/>
            <color indexed="81"/>
            <rFont val="ＭＳ Ｐゴシック"/>
            <family val="3"/>
            <charset val="128"/>
          </rPr>
          <t>「ｈ28　４条支出消費税」ファイルの公共下水道整備・市街化区域外整備シートより
公共下水道整備
241,986,688
+
区域外　714,000</t>
        </r>
        <r>
          <rPr>
            <sz val="9"/>
            <color indexed="81"/>
            <rFont val="ＭＳ Ｐゴシック"/>
            <family val="3"/>
            <charset val="128"/>
          </rPr>
          <t xml:space="preserve">
</t>
        </r>
      </text>
    </comment>
    <comment ref="H16" authorId="1" shapeId="0">
      <text>
        <r>
          <rPr>
            <b/>
            <sz val="9"/>
            <color indexed="81"/>
            <rFont val="MS P ゴシック"/>
            <family val="3"/>
            <charset val="128"/>
          </rPr>
          <t>work:</t>
        </r>
        <r>
          <rPr>
            <sz val="9"/>
            <color indexed="81"/>
            <rFont val="MS P ゴシック"/>
            <family val="3"/>
            <charset val="128"/>
          </rPr>
          <t xml:space="preserve">
R6から追加
念のため松浦主査検証したところ申告に問題なしと回答。</t>
        </r>
      </text>
    </comment>
    <comment ref="F17" authorId="2" shapeId="0">
      <text>
        <r>
          <rPr>
            <b/>
            <sz val="9"/>
            <color indexed="81"/>
            <rFont val="MS P ゴシック"/>
            <family val="3"/>
            <charset val="128"/>
          </rPr>
          <t>貸倒引当金を取り崩した額だけを入力すること！
R2浄化槽は、貸倒引当金を計上していなかったので、過年度損益修正損で対応している。</t>
        </r>
        <r>
          <rPr>
            <sz val="9"/>
            <color indexed="81"/>
            <rFont val="MS P ゴシック"/>
            <family val="3"/>
            <charset val="128"/>
          </rPr>
          <t xml:space="preserve">
</t>
        </r>
      </text>
    </comment>
    <comment ref="D18" authorId="0" shapeId="0">
      <text>
        <r>
          <rPr>
            <b/>
            <sz val="9"/>
            <color indexed="81"/>
            <rFont val="ＭＳ Ｐゴシック"/>
            <family val="3"/>
            <charset val="128"/>
          </rPr>
          <t>「H28 不課税収入の区分（特定収入額)○　修正（特損）」ファイル参照
各シートの消費税率内訳ごとに金額をを積み上げる。</t>
        </r>
      </text>
    </comment>
  </commentList>
</comments>
</file>

<file path=xl/w7_comments9.xml><?xml version="1.0" encoding="utf-8"?>
<comments xmlns="http://schemas.openxmlformats.org/spreadsheetml/2006/main">
  <authors>
    <author>4202453</author>
    <author>広島市</author>
    <author>安達 謙介</author>
    <author>河野 昌治</author>
  </authors>
  <commentList>
    <comment ref="E28" authorId="0" shapeId="0">
      <text>
        <r>
          <rPr>
            <b/>
            <sz val="9"/>
            <color indexed="81"/>
            <rFont val="ＭＳ Ｐゴシック"/>
            <family val="3"/>
            <charset val="128"/>
          </rPr>
          <t>過去に支払った通勤手当の還付、建設負担金の精算に伴う還付など</t>
        </r>
      </text>
    </comment>
    <comment ref="E29" authorId="0" shapeId="0">
      <text>
        <r>
          <rPr>
            <b/>
            <sz val="9"/>
            <color indexed="81"/>
            <rFont val="ＭＳ Ｐゴシック"/>
            <family val="3"/>
            <charset val="128"/>
          </rPr>
          <t>下水道使用料の調定減額、過誤納還付金など</t>
        </r>
      </text>
    </comment>
    <comment ref="AG40" authorId="0" shapeId="0">
      <text>
        <r>
          <rPr>
            <b/>
            <sz val="9"/>
            <color indexed="81"/>
            <rFont val="ＭＳ Ｐゴシック"/>
            <family val="3"/>
            <charset val="128"/>
          </rPr>
          <t>税額計算の際には、この端数を切り捨てた率で計算してもよいし、端数を切り捨てず、F/Hで（FとHの値をそのまま分母と分子にして）計算してもよいこととされている。
端数を切り捨てない方が税額は小さくなるため、これまでの下水道事業会計では、後者を採用している。</t>
        </r>
      </text>
    </comment>
    <comment ref="E84" authorId="1" shapeId="0">
      <text>
        <r>
          <rPr>
            <b/>
            <sz val="9"/>
            <color indexed="81"/>
            <rFont val="ＭＳ Ｐゴシック"/>
            <family val="3"/>
            <charset val="128"/>
          </rPr>
          <t xml:space="preserve">3％分に特定する場合であっても、特定収入に係る消費税額は、5％分として計算する。
平成25年政令第56号改正附則第14条第1項
平成26年政令第317号改正附則第14条第1項（未施行、Ｈ31.10.1施行予定）
</t>
        </r>
        <r>
          <rPr>
            <b/>
            <sz val="9"/>
            <color indexed="10"/>
            <rFont val="ＭＳ Ｐゴシック"/>
            <family val="3"/>
            <charset val="128"/>
          </rPr>
          <t>税率改正時は要注意。附則の内容によっては、数式を変更すること。</t>
        </r>
      </text>
    </comment>
    <comment ref="Z111" authorId="2" shapeId="0">
      <text>
        <r>
          <rPr>
            <sz val="9"/>
            <color indexed="81"/>
            <rFont val="MS P ゴシック"/>
            <family val="3"/>
            <charset val="128"/>
          </rPr>
          <t xml:space="preserve">R6.6.19 修正
</t>
        </r>
      </text>
    </comment>
    <comment ref="W128" authorId="3" shapeId="0">
      <text>
        <r>
          <rPr>
            <b/>
            <sz val="9"/>
            <color indexed="81"/>
            <rFont val="MS P ゴシック"/>
            <family val="3"/>
            <charset val="128"/>
          </rPr>
          <t xml:space="preserve">Ｈ30の数式は、=+U62+U99
【U122～Y122について】
控除対象仕入税額を計算する際に、
課税支出から仕入対価の返還等の額も差し引くが、
このセルでは差し引いていなかった。
修正した数式でも、確実にチェックできるかどうか不明。123行は参考セル
</t>
        </r>
        <r>
          <rPr>
            <b/>
            <sz val="9"/>
            <color indexed="10"/>
            <rFont val="MS P ゴシック"/>
            <family val="3"/>
            <charset val="128"/>
          </rPr>
          <t>124行：精算表の左右が一致しているかどうかで判断し、一致していない場合はここで調整する。</t>
        </r>
      </text>
    </comment>
  </commentList>
</comments>
</file>

<file path=xl/w7_comments10.xml><?xml version="1.0" encoding="utf-8"?>
<comments xmlns="http://schemas.openxmlformats.org/spreadsheetml/2006/main">
  <authors>
    <author>楠 宏</author>
  </authors>
  <commentList>
    <comment ref="C14" authorId="0" shapeId="0">
      <text>
        <r>
          <rPr>
            <sz val="9"/>
            <color indexed="81"/>
            <rFont val="ＭＳ Ｐゴシック"/>
            <family val="3"/>
            <charset val="128"/>
          </rPr>
          <t>='I:\経理係フォルダ\★一般会計繰入金（請求・決算事務・基準）\決算事務\２７年度\精算\[27年度一般会計繰入金決算（伺い用）消費税計算.xls]消費税 (修正版１)'!$D$23</t>
        </r>
      </text>
    </comment>
  </commentList>
</comments>
</file>

<file path=xl/w7_comments11.xml><?xml version="1.0" encoding="utf-8"?>
<comments xmlns="http://schemas.openxmlformats.org/spreadsheetml/2006/main">
  <authors>
    <author>楠 宏</author>
    <author>Windows ユーザー</author>
  </authors>
  <commentList>
    <comment ref="H19" authorId="0" shapeId="0">
      <text>
        <r>
          <rPr>
            <sz val="9"/>
            <color indexed="81"/>
            <rFont val="ＭＳ Ｐゴシック"/>
            <family val="3"/>
            <charset val="128"/>
          </rPr>
          <t>営業外費用分の総額</t>
        </r>
      </text>
    </comment>
    <comment ref="H20" authorId="0" shapeId="0">
      <text>
        <r>
          <rPr>
            <sz val="9"/>
            <color indexed="81"/>
            <rFont val="ＭＳ Ｐゴシック"/>
            <family val="3"/>
            <charset val="128"/>
          </rPr>
          <t>過年度損の総額</t>
        </r>
      </text>
    </comment>
    <comment ref="I32" authorId="1" shapeId="0">
      <text>
        <r>
          <rPr>
            <b/>
            <sz val="11"/>
            <color indexed="81"/>
            <rFont val="ＭＳ Ｐゴシック"/>
            <family val="3"/>
            <charset val="128"/>
          </rPr>
          <t>仮受・仮払消費税計算表の数値</t>
        </r>
      </text>
    </comment>
    <comment ref="I33" authorId="1" shapeId="0">
      <text>
        <r>
          <rPr>
            <b/>
            <sz val="11"/>
            <color indexed="81"/>
            <rFont val="ＭＳ Ｐゴシック"/>
            <family val="3"/>
            <charset val="128"/>
          </rPr>
          <t>仮受・仮払消費税計算表の数値</t>
        </r>
      </text>
    </comment>
  </commentList>
</comments>
</file>

<file path=xl/w8_comments1.xml><?xml version="1.0" encoding="utf-8"?>
<comments xmlns="http://schemas.openxmlformats.org/spreadsheetml/2006/main">
  <authors>
    <author>work</author>
  </authors>
  <commentList>
    <comment ref="G4" authorId="0" shapeId="0">
      <text>
        <r>
          <rPr>
            <b/>
            <sz val="9"/>
            <color indexed="81"/>
            <rFont val="MS P ゴシック"/>
            <family val="3"/>
            <charset val="128"/>
          </rPr>
          <t>work:</t>
        </r>
        <r>
          <rPr>
            <sz val="9"/>
            <color indexed="81"/>
            <rFont val="MS P ゴシック"/>
            <family val="3"/>
            <charset val="128"/>
          </rPr>
          <t xml:space="preserve">
この部分は一般会計出資金の現年度分</t>
        </r>
      </text>
    </comment>
    <comment ref="G7" authorId="0" shapeId="0">
      <text>
        <r>
          <rPr>
            <b/>
            <sz val="9"/>
            <color indexed="81"/>
            <rFont val="MS P ゴシック"/>
            <family val="3"/>
            <charset val="128"/>
          </rPr>
          <t>work:</t>
        </r>
        <r>
          <rPr>
            <sz val="9"/>
            <color indexed="81"/>
            <rFont val="MS P ゴシック"/>
            <family val="3"/>
            <charset val="128"/>
          </rPr>
          <t xml:space="preserve">
この部分は一般会計出資金の来年度への繰越部分
現年度＋来年度繰越＝一般会計出資金の額</t>
        </r>
      </text>
    </comment>
  </commentList>
</comments>
</file>

<file path=xl/w8_comments2.xml><?xml version="1.0" encoding="utf-8"?>
<comments xmlns="http://schemas.openxmlformats.org/spreadsheetml/2006/main">
  <authors>
    <author>安達 謙介</author>
    <author>広島市</author>
    <author>楠 宏</author>
  </authors>
  <commentList>
    <comment ref="E29" authorId="0" shapeId="0">
      <text>
        <r>
          <rPr>
            <sz val="9"/>
            <color indexed="81"/>
            <rFont val="MS P ゴシック"/>
            <family val="3"/>
            <charset val="128"/>
          </rPr>
          <t xml:space="preserve">R5決算：過年度に購入した固定資産の取得に伴う振替
</t>
        </r>
      </text>
    </comment>
    <comment ref="C30" authorId="1" shapeId="0">
      <text>
        <r>
          <rPr>
            <b/>
            <sz val="9"/>
            <color indexed="81"/>
            <rFont val="ＭＳ Ｐゴシック"/>
            <family val="3"/>
            <charset val="128"/>
          </rPr>
          <t>H27から借り入れ方法を変更したため、以降は発生しない予定。</t>
        </r>
      </text>
    </comment>
    <comment ref="E34" authorId="2" shapeId="0">
      <text>
        <r>
          <rPr>
            <sz val="8"/>
            <color indexed="81"/>
            <rFont val="ＭＳ Ｐゴシック"/>
            <family val="3"/>
            <charset val="128"/>
          </rPr>
          <t>一昨年度の純利益
（当年度予算で補てん財源となっている。予算説明資料で確認）</t>
        </r>
      </text>
    </comment>
    <comment ref="E35" authorId="2" shapeId="0">
      <text>
        <r>
          <rPr>
            <b/>
            <sz val="12"/>
            <color indexed="81"/>
            <rFont val="ＭＳ Ｐゴシック"/>
            <family val="3"/>
            <charset val="128"/>
          </rPr>
          <t>昨年度から繰り越した事業の財源の余りを今年度の事業に充当した額。「資本的支出の事業別財源内訳」表より
現年度分を参照すること。</t>
        </r>
      </text>
    </comment>
  </commentList>
</comments>
</file>

<file path=xl/w8_comments3.xml><?xml version="1.0" encoding="utf-8"?>
<comments xmlns="http://schemas.openxmlformats.org/spreadsheetml/2006/main">
  <authors>
    <author>楠 宏</author>
    <author>Windows ユーザー</author>
  </authors>
  <commentList>
    <comment ref="J15" authorId="0" shapeId="0">
      <text>
        <r>
          <rPr>
            <b/>
            <sz val="9"/>
            <color indexed="81"/>
            <rFont val="ＭＳ Ｐゴシック"/>
            <family val="3"/>
            <charset val="128"/>
          </rPr>
          <t>前受金（災害復旧等繰越財源分）
の精算額はここに満額入っている</t>
        </r>
      </text>
    </comment>
    <comment ref="J30" authorId="1" shapeId="0">
      <text>
        <r>
          <rPr>
            <b/>
            <sz val="9"/>
            <color indexed="81"/>
            <rFont val="ＭＳ Ｐゴシック"/>
            <family val="3"/>
            <charset val="128"/>
          </rPr>
          <t>H28決算で算入していなかった熊本地震被災者減免分</t>
        </r>
      </text>
    </comment>
  </commentList>
</comments>
</file>

<file path=xl/w8_comments4.xml><?xml version="1.0" encoding="utf-8"?>
<comments xmlns="http://schemas.openxmlformats.org/spreadsheetml/2006/main">
  <authors>
    <author>Windows ユーザー</author>
  </authors>
  <commentList>
    <comment ref="Q24" authorId="0" shapeId="0">
      <text>
        <r>
          <rPr>
            <b/>
            <sz val="12"/>
            <color indexed="81"/>
            <rFont val="ＭＳ Ｐゴシック"/>
            <family val="3"/>
            <charset val="128"/>
          </rPr>
          <t>手入力</t>
        </r>
        <r>
          <rPr>
            <b/>
            <sz val="9"/>
            <color indexed="81"/>
            <rFont val="ＭＳ Ｐゴシック"/>
            <family val="3"/>
            <charset val="128"/>
          </rPr>
          <t xml:space="preserve">
H28決算で算入していなかった熊本地震被災者減免分</t>
        </r>
      </text>
    </comment>
  </commentList>
</comments>
</file>

<file path=xl/w8_comments5.xml><?xml version="1.0" encoding="utf-8"?>
<comments xmlns="http://schemas.openxmlformats.org/spreadsheetml/2006/main">
  <authors>
    <author>広島市</author>
  </authors>
  <commentList>
    <comment ref="D2" authorId="0" shapeId="0">
      <text>
        <r>
          <rPr>
            <b/>
            <sz val="9"/>
            <color indexed="81"/>
            <rFont val="ＭＳ Ｐゴシック"/>
            <family val="3"/>
            <charset val="128"/>
          </rPr>
          <t>予算書から直打ち</t>
        </r>
      </text>
    </comment>
  </commentList>
</comments>
</file>

<file path=xl/w8_comments6.xml><?xml version="1.0" encoding="utf-8"?>
<comments xmlns="http://schemas.openxmlformats.org/spreadsheetml/2006/main">
  <authors>
    <author>広島市</author>
    <author>4202453</author>
  </authors>
  <commentList>
    <comment ref="D2" authorId="0" shapeId="0">
      <text>
        <r>
          <rPr>
            <b/>
            <sz val="9"/>
            <color indexed="81"/>
            <rFont val="ＭＳ Ｐゴシック"/>
            <family val="3"/>
            <charset val="128"/>
          </rPr>
          <t>支出予算執行状況表を目レベルで出力したものを見ながら入力</t>
        </r>
      </text>
    </comment>
    <comment ref="H23" authorId="1" shapeId="0">
      <text>
        <r>
          <rPr>
            <b/>
            <sz val="11"/>
            <color indexed="81"/>
            <rFont val="ＭＳ Ｐゴシック"/>
            <family val="3"/>
            <charset val="128"/>
          </rPr>
          <t>税抜きの雑支出には、仕入控除税額の算定にあたって、仮払消費税額×課税売上割合しか計上できなくなったことにより控除できなくなった額があるが、それを入力すると、「消費税」シートの「３条の控除不可消費税（雑支出）」の額が狂うので、入力していない。</t>
        </r>
      </text>
    </comment>
    <comment ref="I23" authorId="1" shapeId="0">
      <text>
        <r>
          <rPr>
            <b/>
            <sz val="11"/>
            <color indexed="81"/>
            <rFont val="ＭＳ Ｐゴシック"/>
            <family val="3"/>
            <charset val="128"/>
          </rPr>
          <t>税抜きの雑支出には、仕入控除税額の算定にあたって、仮払消費税額×課税売上割合しか計上できなくなったことにより控除できなくなった額があるが、それを入力すると、「消費税」シートの「３条の控除不可消費税（雑支出）」の額が狂うので、入力していない。</t>
        </r>
      </text>
    </comment>
  </commentList>
</comments>
</file>

<file path=xl/w8_comments7.xml><?xml version="1.0" encoding="utf-8"?>
<comments xmlns="http://schemas.openxmlformats.org/spreadsheetml/2006/main">
  <authors>
    <author>広島市</author>
    <author>経理</author>
    <author>work</author>
  </authors>
  <commentList>
    <comment ref="D3" authorId="0" shapeId="0">
      <text>
        <r>
          <rPr>
            <b/>
            <sz val="10"/>
            <color indexed="81"/>
            <rFont val="ＭＳ Ｐゴシック"/>
            <family val="3"/>
            <charset val="128"/>
          </rPr>
          <t>支出予算執行状況表を節レベルで出力したものを見ながら入力</t>
        </r>
      </text>
    </comment>
    <comment ref="G3" authorId="1" shapeId="0">
      <text>
        <r>
          <rPr>
            <b/>
            <sz val="9"/>
            <color indexed="81"/>
            <rFont val="MS P ゴシック"/>
            <family val="3"/>
            <charset val="128"/>
          </rPr>
          <t>当該年度に収入した額</t>
        </r>
      </text>
    </comment>
    <comment ref="J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27→28繰越'!$F$6+'I:\経理係フォルダ\☆決算事務\２８年度決算\H28資本的支出の事業別財源内訳（決算）\有本加工中\[H28資本的支出の事業別財源内訳（決算）（全事業分）.xls]H28 27→28繰越'!$F$42
</t>
        </r>
        <r>
          <rPr>
            <b/>
            <sz val="9"/>
            <color indexed="81"/>
            <rFont val="ＭＳ Ｐゴシック"/>
            <family val="3"/>
            <charset val="128"/>
          </rPr>
          <t>R2決算：事故繰越分R1→3は含めず
R3決算：事故繰越分R1→3を決算額から除く必要があることから含めた</t>
        </r>
      </text>
    </comment>
    <comment ref="L7"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28→29繰越'!$F$6=+'I:\経理係フォルダ\☆決算事務\２８年度決算\H28資本的支出の事業別財源内訳（決算）\有本加工中\[H28資本的支出の事業別財源内訳（決算）（全事業分）.xls]H28 28→29繰越'!$F$36
R2決算：</t>
        </r>
        <r>
          <rPr>
            <b/>
            <sz val="9"/>
            <color indexed="81"/>
            <rFont val="ＭＳ Ｐゴシック"/>
            <family val="3"/>
            <charset val="128"/>
          </rPr>
          <t>事故繰越分R1→3含めず
R3決算：事故繰越分R2→4含めず</t>
        </r>
      </text>
    </comment>
    <comment ref="C11" authorId="2" shapeId="0">
      <text>
        <r>
          <rPr>
            <b/>
            <sz val="9"/>
            <color indexed="81"/>
            <rFont val="MS P ゴシック"/>
            <family val="3"/>
            <charset val="128"/>
          </rPr>
          <t>work:</t>
        </r>
        <r>
          <rPr>
            <sz val="9"/>
            <color indexed="81"/>
            <rFont val="MS P ゴシック"/>
            <family val="3"/>
            <charset val="128"/>
          </rPr>
          <t xml:space="preserve">
緊急自然災害防止対策事業債</t>
        </r>
      </text>
    </comment>
    <comment ref="J1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27→28繰越'!$G$6
</t>
        </r>
        <r>
          <rPr>
            <b/>
            <sz val="9"/>
            <color indexed="81"/>
            <rFont val="ＭＳ Ｐゴシック"/>
            <family val="3"/>
            <charset val="128"/>
          </rPr>
          <t>R2決算：事故繰越分R1→3は含めず
R3決算：事故繰越分R1→3を決算額から除く必要があることから含めた</t>
        </r>
      </text>
    </comment>
    <comment ref="L1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28→29繰越'!$G$6
</t>
        </r>
      </text>
    </comment>
    <comment ref="J18"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27→28繰越'!$G$36</t>
        </r>
      </text>
    </comment>
    <comment ref="L18"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28→29繰越'!$G$36</t>
        </r>
      </text>
    </comment>
    <comment ref="J19"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27→28繰越'!$G$36</t>
        </r>
      </text>
    </comment>
    <comment ref="L19"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28→29繰越'!$G$36</t>
        </r>
      </text>
    </comment>
    <comment ref="L25" authorId="1" shapeId="0">
      <text>
        <r>
          <rPr>
            <b/>
            <sz val="9"/>
            <color indexed="81"/>
            <rFont val="MS P ゴシック"/>
            <family val="3"/>
            <charset val="128"/>
          </rPr>
          <t>R5→6繰越の工事負担金</t>
        </r>
        <r>
          <rPr>
            <sz val="9"/>
            <color indexed="81"/>
            <rFont val="MS P ゴシック"/>
            <family val="3"/>
            <charset val="128"/>
          </rPr>
          <t xml:space="preserve">
維持課小林補佐がR5-6の繰越工事負担金が６０００万円あると回答(決算見込において)したため、ここに計上。
R5決算：未契約の移設工事について、一定の工事負担金が見込まれることから、+１億３０００万円（5/17 計画調整課　松田補佐、石川主事　と調整済み）</t>
        </r>
      </text>
    </comment>
  </commentList>
</comments>
</file>

<file path=xl/w8_comments8.xml><?xml version="1.0" encoding="utf-8"?>
<comments xmlns="http://schemas.openxmlformats.org/spreadsheetml/2006/main">
  <authors>
    <author>広島市</author>
    <author>安達 謙介</author>
    <author>経理</author>
    <author>楠 宏</author>
  </authors>
  <commentList>
    <comment ref="D3" authorId="0" shapeId="0">
      <text>
        <r>
          <rPr>
            <b/>
            <sz val="10"/>
            <color indexed="81"/>
            <rFont val="ＭＳ Ｐゴシック"/>
            <family val="3"/>
            <charset val="128"/>
          </rPr>
          <t>予算書から直打ち
H28は、人件費流用後の数値</t>
        </r>
      </text>
    </comment>
    <comment ref="E3" authorId="1" shapeId="0">
      <text>
        <r>
          <rPr>
            <b/>
            <sz val="9"/>
            <color indexed="81"/>
            <rFont val="MS P ゴシック"/>
            <family val="3"/>
            <charset val="128"/>
          </rPr>
          <t>R5決算：流用なし</t>
        </r>
      </text>
    </comment>
    <comment ref="G3" authorId="2" shapeId="0">
      <text>
        <r>
          <rPr>
            <b/>
            <sz val="9"/>
            <color indexed="81"/>
            <rFont val="MS P ゴシック"/>
            <family val="3"/>
            <charset val="128"/>
          </rPr>
          <t>当該年度に支出した額（現年+建繰+事故繰越）</t>
        </r>
        <r>
          <rPr>
            <sz val="9"/>
            <color indexed="81"/>
            <rFont val="MS P ゴシック"/>
            <family val="3"/>
            <charset val="128"/>
          </rPr>
          <t xml:space="preserve">
</t>
        </r>
      </text>
    </comment>
    <comment ref="H3" authorId="3" shapeId="0">
      <text>
        <r>
          <rPr>
            <b/>
            <sz val="11"/>
            <color indexed="81"/>
            <rFont val="ＭＳ Ｐゴシック"/>
            <family val="3"/>
            <charset val="128"/>
          </rPr>
          <t>H28まで、前年度決算の繰越財源計算書の数値を記載。
繰越事業に不用が生じると、現年度分決算額欄とみなし決算額欄の数値が実際より少なくなるが、
不用により余った出資金を現年度事業に充てるので、"(繰)案"シートで計算する当年度の出資金の額は、少なくなった数値で計算したものと一致した。
H29では、公共の28→29繰越が18,000,000不用になったとともに、企業債収入も8,000,000減り、
不用により余った出資金は、18,000,000ではなく、10,000,000となったため、
"(繰)案"シートで計算する当年度の出資金の額が正しく計算しないようになった。
　↓
実際の繰越事業の決算額をここに入力し、
"(繰)案"シートの34行目の"繰越工事資金当年度充当額"に、不用により余った出資金の額を入力することで、正しく計算する。</t>
        </r>
      </text>
    </comment>
    <comment ref="J3" authorId="3" shapeId="0">
      <text>
        <r>
          <rPr>
            <b/>
            <sz val="9"/>
            <color indexed="81"/>
            <rFont val="ＭＳ Ｐゴシック"/>
            <family val="3"/>
            <charset val="128"/>
          </rPr>
          <t>当年度決算の繰越財源計算書より</t>
        </r>
      </text>
    </comment>
    <comment ref="H7"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_280512.xls]Ｈ27繰越財源計算書'!$D$5-'I:\経理係フォルダ\☆決算事務\２８年度決算\50 H28→H29繰越・H27→H29事故繰\05　経理　起債担当・決算担当にメールでデータ提供\[H28繰越計算書【下水】事故繰越　4.20修正（4.24財政課で再修正）.xls]H28繰越財源計算書　事故繰越'!$D$5
3年度支出のうち前年度からの繰越分を計上⇒</t>
        </r>
        <r>
          <rPr>
            <b/>
            <sz val="9"/>
            <color indexed="81"/>
            <rFont val="ＭＳ Ｐゴシック"/>
            <family val="3"/>
            <charset val="128"/>
          </rPr>
          <t>R1→R3事故繰越分含む</t>
        </r>
      </text>
    </comment>
    <comment ref="J7" authorId="0" shapeId="0">
      <text>
        <r>
          <rPr>
            <sz val="9"/>
            <color indexed="81"/>
            <rFont val="ＭＳ Ｐゴシック"/>
            <family val="3"/>
            <charset val="128"/>
          </rPr>
          <t xml:space="preserve">=+'I:\経理係フォルダ\☆決算事務\２８年度決算\50 H28→H29繰越・H27→H29事故繰\05　経理　起債担当・決算担当にメールでデータ提供\[H28繰越計算書【下水】建設改良繰越　4.28修正.xls]Ｈ28繰越財源計算書'!$D$5
</t>
        </r>
      </text>
    </comment>
    <comment ref="H9"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_280512.xls]Ｈ27繰越財源計算書'!$D$10</t>
        </r>
      </text>
    </comment>
    <comment ref="J9"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4.28修正.xls]Ｈ28繰越財源計算書'!$D$10</t>
        </r>
      </text>
    </comment>
    <comment ref="H12"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_280512.xls]Ｈ27繰越財源計算書'!$D$20</t>
        </r>
      </text>
    </comment>
    <comment ref="J12"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4.28修正.xls]Ｈ28繰越財源計算書'!$D$20</t>
        </r>
      </text>
    </comment>
    <comment ref="H14"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_280512.xls]Ｈ27繰越財源計算書'!$D$21</t>
        </r>
      </text>
    </comment>
    <comment ref="J14"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4.28修正.xls]Ｈ28繰越財源計算書'!$D$21
3年度予算のうち翌年度への繰越額を計上⇒</t>
        </r>
        <r>
          <rPr>
            <b/>
            <sz val="9"/>
            <color indexed="81"/>
            <rFont val="ＭＳ Ｐゴシック"/>
            <family val="3"/>
            <charset val="128"/>
          </rPr>
          <t>R2→R4事故繰越分含めず</t>
        </r>
        <r>
          <rPr>
            <sz val="9"/>
            <color indexed="81"/>
            <rFont val="ＭＳ Ｐゴシック"/>
            <family val="3"/>
            <charset val="128"/>
          </rPr>
          <t xml:space="preserve">
</t>
        </r>
      </text>
    </comment>
  </commentList>
</comments>
</file>

<file path=xl/w8_comments9.xml><?xml version="1.0" encoding="utf-8"?>
<comments xmlns="http://schemas.openxmlformats.org/spreadsheetml/2006/main">
  <authors>
    <author>4202453</author>
  </authors>
  <commentList>
    <comment ref="F8" authorId="0" shapeId="0">
      <text>
        <r>
          <rPr>
            <b/>
            <sz val="9"/>
            <color indexed="81"/>
            <rFont val="ＭＳ Ｐゴシック"/>
            <family val="3"/>
            <charset val="128"/>
          </rPr>
          <t>この表の下の欄外を参照</t>
        </r>
      </text>
    </comment>
    <comment ref="F14" authorId="0" shapeId="0">
      <text>
        <r>
          <rPr>
            <b/>
            <sz val="9"/>
            <color indexed="81"/>
            <rFont val="ＭＳ Ｐゴシック"/>
            <family val="3"/>
            <charset val="128"/>
          </rPr>
          <t>この表の下の欄外を参照</t>
        </r>
      </text>
    </comment>
  </commentList>
</comments>
</file>

<file path=xl/w8_comments10.xml><?xml version="1.0" encoding="utf-8"?>
<comments xmlns="http://schemas.openxmlformats.org/spreadsheetml/2006/main">
  <authors>
    <author>Windows ユーザー</author>
    <author>安達 謙介</author>
  </authors>
  <commentList>
    <comment ref="T4" authorId="0" shapeId="0">
      <text>
        <r>
          <rPr>
            <b/>
            <sz val="18"/>
            <color indexed="81"/>
            <rFont val="ＭＳ Ｐゴシック"/>
            <family val="3"/>
            <charset val="128"/>
          </rPr>
          <t>年度を西暦で入力</t>
        </r>
      </text>
    </comment>
    <comment ref="K10" authorId="1" shapeId="0">
      <text>
        <r>
          <rPr>
            <b/>
            <sz val="9"/>
            <color indexed="81"/>
            <rFont val="MS P ゴシック"/>
            <family val="3"/>
            <charset val="128"/>
          </rPr>
          <t>営業収益</t>
        </r>
        <r>
          <rPr>
            <sz val="9"/>
            <color indexed="81"/>
            <rFont val="MS P ゴシック"/>
            <family val="3"/>
            <charset val="128"/>
          </rPr>
          <t xml:space="preserve">
【対議決予算】
・使用料　　　　　△895,765
・一般会計負担金　＋332,241
【対4月決見】
・一般会計負担金　＋235,818
・使用料　　　　　 ＋47,206</t>
        </r>
      </text>
    </comment>
    <comment ref="K12" authorId="1" shapeId="0">
      <text>
        <r>
          <rPr>
            <b/>
            <sz val="9"/>
            <color indexed="81"/>
            <rFont val="MS P ゴシック"/>
            <family val="3"/>
            <charset val="128"/>
          </rPr>
          <t>営業外収益</t>
        </r>
        <r>
          <rPr>
            <sz val="9"/>
            <color indexed="81"/>
            <rFont val="MS P ゴシック"/>
            <family val="3"/>
            <charset val="128"/>
          </rPr>
          <t xml:space="preserve">
【対議決予算】
・長期前受金戻入　＋30,265
・一般会計補助金
（能登応援・減免）＋9,203（皆増）
【対4月決見】
・負担金　＋3,810
</t>
        </r>
      </text>
    </comment>
    <comment ref="K15" authorId="1" shapeId="0">
      <text>
        <r>
          <rPr>
            <b/>
            <sz val="9"/>
            <color indexed="81"/>
            <rFont val="MS P ゴシック"/>
            <family val="3"/>
            <charset val="128"/>
          </rPr>
          <t xml:space="preserve">営業費用
</t>
        </r>
        <r>
          <rPr>
            <sz val="9"/>
            <color indexed="81"/>
            <rFont val="MS P ゴシック"/>
            <family val="3"/>
            <charset val="128"/>
          </rPr>
          <t>【対議決予算】
・処理場費　　△549,300
・ポンプ場費　 △90,013
・資産減耗費（除却）＋152,224
【対4月決見】
・処理場費　△118,498
・総係費　　 △31,798</t>
        </r>
        <r>
          <rPr>
            <b/>
            <sz val="9"/>
            <color indexed="81"/>
            <rFont val="MS P ゴシック"/>
            <family val="3"/>
            <charset val="128"/>
          </rPr>
          <t xml:space="preserve">
</t>
        </r>
        <r>
          <rPr>
            <sz val="9"/>
            <color indexed="81"/>
            <rFont val="MS P ゴシック"/>
            <family val="3"/>
            <charset val="128"/>
          </rPr>
          <t>・管きょ費　 △23,746</t>
        </r>
      </text>
    </comment>
    <comment ref="F16" authorId="1" shapeId="0">
      <text>
        <r>
          <rPr>
            <sz val="9"/>
            <color indexed="81"/>
            <rFont val="MS P ゴシック"/>
            <family val="3"/>
            <charset val="128"/>
          </rPr>
          <t>能登半島地震経費（8,000千円（決見））については、4月決見の表では、予備費執行の形にしていた。
この表では確実に比較できるよう、実際の執行に併せて営業外費用とした。</t>
        </r>
      </text>
    </comment>
    <comment ref="K16" authorId="1" shapeId="0">
      <text>
        <r>
          <rPr>
            <b/>
            <sz val="9"/>
            <color indexed="81"/>
            <rFont val="MS P ゴシック"/>
            <family val="3"/>
            <charset val="128"/>
          </rPr>
          <t xml:space="preserve">営業外費用
</t>
        </r>
        <r>
          <rPr>
            <sz val="9"/>
            <color indexed="81"/>
            <rFont val="MS P ゴシック"/>
            <family val="3"/>
            <charset val="128"/>
          </rPr>
          <t>【対議決予算】
・支払利息等　　　　　 △261,589
・消費税及び地方消費税　△48,724
・雑支出（能登応援含む） ＋9,207
【対4月決見】
・消費税及び地方消費税　＋79,173</t>
        </r>
      </text>
    </comment>
    <comment ref="H17" authorId="1" shapeId="0">
      <text>
        <r>
          <rPr>
            <b/>
            <sz val="9"/>
            <color indexed="81"/>
            <rFont val="MS P ゴシック"/>
            <family val="3"/>
            <charset val="128"/>
          </rPr>
          <t>特別損失</t>
        </r>
        <r>
          <rPr>
            <sz val="9"/>
            <color indexed="81"/>
            <rFont val="MS P ゴシック"/>
            <family val="3"/>
            <charset val="128"/>
          </rPr>
          <t>　【対議決予算】・固定資産売却損（旧東浄団地処理場）＋10,315</t>
        </r>
      </text>
    </comment>
    <comment ref="K26" authorId="1" shapeId="0">
      <text>
        <r>
          <rPr>
            <sz val="9"/>
            <color indexed="81"/>
            <rFont val="MS P ゴシック"/>
            <family val="3"/>
            <charset val="128"/>
          </rPr>
          <t>不用額に対応</t>
        </r>
      </text>
    </comment>
    <comment ref="K29" authorId="1" shapeId="0">
      <text>
        <r>
          <rPr>
            <b/>
            <sz val="9"/>
            <color indexed="81"/>
            <rFont val="MS P ゴシック"/>
            <family val="3"/>
            <charset val="128"/>
          </rPr>
          <t>企業債　</t>
        </r>
        <r>
          <rPr>
            <sz val="9"/>
            <color indexed="81"/>
            <rFont val="MS P ゴシック"/>
            <family val="3"/>
            <charset val="128"/>
          </rPr>
          <t>【対議決予算】　　・資本費平準化債　△109,500　　・流域下水道債　△39,900</t>
        </r>
      </text>
    </comment>
    <comment ref="M31" authorId="1" shapeId="0">
      <text>
        <r>
          <rPr>
            <b/>
            <sz val="9"/>
            <color indexed="81"/>
            <rFont val="MS P ゴシック"/>
            <family val="3"/>
            <charset val="128"/>
          </rPr>
          <t xml:space="preserve">その他資本的収入
</t>
        </r>
        <r>
          <rPr>
            <sz val="9"/>
            <color indexed="81"/>
            <rFont val="MS P ゴシック"/>
            <family val="3"/>
            <charset val="128"/>
          </rPr>
          <t>【対議決予算】
・一般会計出資金　        △354,969
・負担金（翌年度繰越含む）＋131,308</t>
        </r>
        <r>
          <rPr>
            <b/>
            <sz val="9"/>
            <color indexed="81"/>
            <rFont val="MS P ゴシック"/>
            <family val="3"/>
            <charset val="128"/>
          </rPr>
          <t xml:space="preserve">
</t>
        </r>
        <r>
          <rPr>
            <sz val="9"/>
            <color indexed="81"/>
            <rFont val="MS P ゴシック"/>
            <family val="3"/>
            <charset val="128"/>
          </rPr>
          <t>【対4月決見】
・負担金　　　　　＋193,224
・一般会計出資金 　△94,148
・工事受託金　　 　△29,863</t>
        </r>
      </text>
    </comment>
    <comment ref="J33" authorId="1" shapeId="0">
      <text>
        <r>
          <rPr>
            <b/>
            <sz val="9"/>
            <color indexed="81"/>
            <rFont val="MS P ゴシック"/>
            <family val="3"/>
            <charset val="128"/>
          </rPr>
          <t>建設改良費</t>
        </r>
        <r>
          <rPr>
            <sz val="9"/>
            <color indexed="81"/>
            <rFont val="MS P ゴシック"/>
            <family val="3"/>
            <charset val="128"/>
          </rPr>
          <t xml:space="preserve">
【対議決予算】　※主に単市の不用
・排水施設整備費　 △98,949
・公共下水道整備費　△60,952
・流域下水道整備費　△40,220
【対4月決見】
・公共下水道整備費　＋127,610
・排水施設整備費　 　△49,801
・流域下水道整備費　 △40,220</t>
        </r>
      </text>
    </comment>
    <comment ref="H42" authorId="1" shapeId="0">
      <text>
        <r>
          <rPr>
            <b/>
            <sz val="9"/>
            <color indexed="81"/>
            <rFont val="MS P ゴシック"/>
            <family val="3"/>
            <charset val="128"/>
          </rPr>
          <t xml:space="preserve">一般会計負担金
</t>
        </r>
        <r>
          <rPr>
            <sz val="9"/>
            <color indexed="81"/>
            <rFont val="MS P ゴシック"/>
            <family val="3"/>
            <charset val="128"/>
          </rPr>
          <t>【対議決予算】
・プラン枠内への減額査定　　　　 　 ＋597,760
・雨水処理負担金-支払利息分の減少　 △127,096
・雨水処理負担金-維持管理費分の減少　△95,275
【対4月決見】
・維持管理費分の増加　＋175,535
　（処理場費分　＋163,426、ポンプ場費分＋55,565　等）</t>
        </r>
      </text>
    </comment>
    <comment ref="H43" authorId="1" shapeId="0">
      <text>
        <r>
          <rPr>
            <b/>
            <sz val="9"/>
            <color indexed="81"/>
            <rFont val="MS P ゴシック"/>
            <family val="3"/>
            <charset val="128"/>
          </rPr>
          <t xml:space="preserve">一般会計補助金
</t>
        </r>
        <r>
          <rPr>
            <sz val="9"/>
            <color indexed="81"/>
            <rFont val="MS P ゴシック"/>
            <family val="3"/>
            <charset val="128"/>
          </rPr>
          <t>【対議決予算】
・能登半島応援　　＋9,198
・被災者使用料減免　＋5</t>
        </r>
      </text>
    </comment>
    <comment ref="K44" authorId="1" shapeId="0">
      <text>
        <r>
          <rPr>
            <b/>
            <sz val="9"/>
            <color indexed="81"/>
            <rFont val="MS P ゴシック"/>
            <family val="3"/>
            <charset val="128"/>
          </rPr>
          <t>一般会計出資金</t>
        </r>
        <r>
          <rPr>
            <sz val="9"/>
            <color indexed="81"/>
            <rFont val="MS P ゴシック"/>
            <family val="3"/>
            <charset val="128"/>
          </rPr>
          <t xml:space="preserve">
【対議決予算】
・負担金の増加　△131,308
・当年度分損益勘定留保資金の増加（減価償却費等）△102,753
・繰越工事資金の計上　△56,815
【対4月決見】
・負担金の増加　△193,224　　・繰越工事資金の計上　△56,815
・建設改良費の増加　＋81,666</t>
        </r>
      </text>
    </comment>
  </commentList>
</comments>
</file>

<file path=xl/w8_comments11.xml><?xml version="1.0" encoding="utf-8"?>
<comments xmlns="http://schemas.openxmlformats.org/spreadsheetml/2006/main">
  <authors>
    <author>Windows ユーザー</author>
    <author>安達 謙介</author>
  </authors>
  <commentList>
    <comment ref="T4" authorId="0" shapeId="0">
      <text>
        <r>
          <rPr>
            <b/>
            <sz val="18"/>
            <color indexed="81"/>
            <rFont val="ＭＳ Ｐゴシック"/>
            <family val="3"/>
            <charset val="128"/>
          </rPr>
          <t>年度を西暦で入力</t>
        </r>
      </text>
    </comment>
    <comment ref="K10" authorId="1" shapeId="0">
      <text>
        <r>
          <rPr>
            <b/>
            <sz val="9"/>
            <color indexed="81"/>
            <rFont val="MS P ゴシック"/>
            <family val="3"/>
            <charset val="128"/>
          </rPr>
          <t>営業収益</t>
        </r>
        <r>
          <rPr>
            <sz val="9"/>
            <color indexed="81"/>
            <rFont val="MS P ゴシック"/>
            <family val="3"/>
            <charset val="128"/>
          </rPr>
          <t xml:space="preserve">
【対議決予算】
・使用料　　　　　△895,765
・一般会計負担金　＋332,241
【対4月決見】
・一般会計負担金　＋235,818
・使用料　　　　　 ＋47,206</t>
        </r>
      </text>
    </comment>
    <comment ref="K12" authorId="1" shapeId="0">
      <text>
        <r>
          <rPr>
            <b/>
            <sz val="9"/>
            <color indexed="81"/>
            <rFont val="MS P ゴシック"/>
            <family val="3"/>
            <charset val="128"/>
          </rPr>
          <t>営業外収益</t>
        </r>
        <r>
          <rPr>
            <sz val="9"/>
            <color indexed="81"/>
            <rFont val="MS P ゴシック"/>
            <family val="3"/>
            <charset val="128"/>
          </rPr>
          <t xml:space="preserve">
【対議決予算】
・長期前受金戻入　＋30,265
・一般会計補助金
（能登応援・減免）＋9,203（皆増）
【対4月決見】
・負担金　＋3,810
</t>
        </r>
      </text>
    </comment>
    <comment ref="K15" authorId="1" shapeId="0">
      <text>
        <r>
          <rPr>
            <b/>
            <sz val="9"/>
            <color indexed="81"/>
            <rFont val="MS P ゴシック"/>
            <family val="3"/>
            <charset val="128"/>
          </rPr>
          <t xml:space="preserve">営業費用
</t>
        </r>
        <r>
          <rPr>
            <sz val="9"/>
            <color indexed="81"/>
            <rFont val="MS P ゴシック"/>
            <family val="3"/>
            <charset val="128"/>
          </rPr>
          <t>【対議決予算】
・処理場費　　△549,300
・ポンプ場費　 △90,013
・資産減耗費（除却）＋152,224
【対4月決見】
・処理場費　△118,498
・総係費　　 △31,798</t>
        </r>
        <r>
          <rPr>
            <b/>
            <sz val="9"/>
            <color indexed="81"/>
            <rFont val="MS P ゴシック"/>
            <family val="3"/>
            <charset val="128"/>
          </rPr>
          <t xml:space="preserve">
</t>
        </r>
        <r>
          <rPr>
            <sz val="9"/>
            <color indexed="81"/>
            <rFont val="MS P ゴシック"/>
            <family val="3"/>
            <charset val="128"/>
          </rPr>
          <t>・管きょ費　 △23,746</t>
        </r>
      </text>
    </comment>
    <comment ref="F16" authorId="1" shapeId="0">
      <text>
        <r>
          <rPr>
            <sz val="9"/>
            <color indexed="81"/>
            <rFont val="MS P ゴシック"/>
            <family val="3"/>
            <charset val="128"/>
          </rPr>
          <t>能登半島地震経費（8,000千円（決見））については、4月決見の表では、予備費執行の形にしていた。
この表では確実に比較できるよう、実際の執行に併せて営業外費用とした。</t>
        </r>
      </text>
    </comment>
    <comment ref="K16" authorId="1" shapeId="0">
      <text>
        <r>
          <rPr>
            <b/>
            <sz val="9"/>
            <color indexed="81"/>
            <rFont val="MS P ゴシック"/>
            <family val="3"/>
            <charset val="128"/>
          </rPr>
          <t xml:space="preserve">営業外費用
</t>
        </r>
        <r>
          <rPr>
            <sz val="9"/>
            <color indexed="81"/>
            <rFont val="MS P ゴシック"/>
            <family val="3"/>
            <charset val="128"/>
          </rPr>
          <t>【対議決予算】
・支払利息等　　　　　 △261,589
・消費税及び地方消費税　△48,724
・雑支出（能登応援含む） ＋9,207
【対4月決見】
・消費税及び地方消費税　＋79,173</t>
        </r>
      </text>
    </comment>
    <comment ref="H17" authorId="1" shapeId="0">
      <text>
        <r>
          <rPr>
            <b/>
            <sz val="9"/>
            <color indexed="81"/>
            <rFont val="MS P ゴシック"/>
            <family val="3"/>
            <charset val="128"/>
          </rPr>
          <t>特別損失</t>
        </r>
        <r>
          <rPr>
            <sz val="9"/>
            <color indexed="81"/>
            <rFont val="MS P ゴシック"/>
            <family val="3"/>
            <charset val="128"/>
          </rPr>
          <t>　【対議決予算】・固定資産売却損（旧東浄団地処理場）＋10,315</t>
        </r>
      </text>
    </comment>
    <comment ref="K26" authorId="1" shapeId="0">
      <text>
        <r>
          <rPr>
            <sz val="9"/>
            <color indexed="81"/>
            <rFont val="MS P ゴシック"/>
            <family val="3"/>
            <charset val="128"/>
          </rPr>
          <t>不用額に対応</t>
        </r>
      </text>
    </comment>
    <comment ref="K29" authorId="1" shapeId="0">
      <text>
        <r>
          <rPr>
            <b/>
            <sz val="9"/>
            <color indexed="81"/>
            <rFont val="MS P ゴシック"/>
            <family val="3"/>
            <charset val="128"/>
          </rPr>
          <t>企業債　</t>
        </r>
        <r>
          <rPr>
            <sz val="9"/>
            <color indexed="81"/>
            <rFont val="MS P ゴシック"/>
            <family val="3"/>
            <charset val="128"/>
          </rPr>
          <t>【対議決予算】　　・資本費平準化債　△109,500　　・流域下水道債　△39,900</t>
        </r>
      </text>
    </comment>
    <comment ref="M31" authorId="1" shapeId="0">
      <text>
        <r>
          <rPr>
            <b/>
            <sz val="9"/>
            <color indexed="81"/>
            <rFont val="MS P ゴシック"/>
            <family val="3"/>
            <charset val="128"/>
          </rPr>
          <t xml:space="preserve">その他資本的収入
</t>
        </r>
        <r>
          <rPr>
            <sz val="9"/>
            <color indexed="81"/>
            <rFont val="MS P ゴシック"/>
            <family val="3"/>
            <charset val="128"/>
          </rPr>
          <t>【対議決予算】
・一般会計出資金　        △354,969
・負担金（翌年度繰越含む）＋131,308</t>
        </r>
        <r>
          <rPr>
            <b/>
            <sz val="9"/>
            <color indexed="81"/>
            <rFont val="MS P ゴシック"/>
            <family val="3"/>
            <charset val="128"/>
          </rPr>
          <t xml:space="preserve">
</t>
        </r>
        <r>
          <rPr>
            <sz val="9"/>
            <color indexed="81"/>
            <rFont val="MS P ゴシック"/>
            <family val="3"/>
            <charset val="128"/>
          </rPr>
          <t>【対4月決見】
・負担金　　　　　＋193,224
・一般会計出資金 　△94,148
・工事受託金　　 　△29,863</t>
        </r>
      </text>
    </comment>
    <comment ref="J33" authorId="1" shapeId="0">
      <text>
        <r>
          <rPr>
            <b/>
            <sz val="9"/>
            <color indexed="81"/>
            <rFont val="MS P ゴシック"/>
            <family val="3"/>
            <charset val="128"/>
          </rPr>
          <t>建設改良費</t>
        </r>
        <r>
          <rPr>
            <sz val="9"/>
            <color indexed="81"/>
            <rFont val="MS P ゴシック"/>
            <family val="3"/>
            <charset val="128"/>
          </rPr>
          <t xml:space="preserve">
【対議決予算】　※主に単市の不用
・排水施設整備費　 △98,949
・公共下水道整備費　△60,952
・流域下水道整備費　△40,220
【対4月決見】
・公共下水道整備費　＋127,610
・排水施設整備費　 　△49,801
・流域下水道整備費　 △40,220</t>
        </r>
      </text>
    </comment>
    <comment ref="H42" authorId="1" shapeId="0">
      <text>
        <r>
          <rPr>
            <b/>
            <sz val="9"/>
            <color indexed="81"/>
            <rFont val="MS P ゴシック"/>
            <family val="3"/>
            <charset val="128"/>
          </rPr>
          <t xml:space="preserve">一般会計負担金
</t>
        </r>
        <r>
          <rPr>
            <sz val="9"/>
            <color indexed="81"/>
            <rFont val="MS P ゴシック"/>
            <family val="3"/>
            <charset val="128"/>
          </rPr>
          <t>【対議決予算】
・プラン枠内への減額査定　　　　 　 ＋597,760
・雨水処理負担金-支払利息分の減少　 △127,096
・雨水処理負担金-維持管理費分の減少　△95,275
【対4月決見】
・維持管理費分の増加　＋175,535
　（処理場費分　＋163,426、ポンプ場費分＋55,565　等）</t>
        </r>
      </text>
    </comment>
    <comment ref="H43" authorId="1" shapeId="0">
      <text>
        <r>
          <rPr>
            <b/>
            <sz val="9"/>
            <color indexed="81"/>
            <rFont val="MS P ゴシック"/>
            <family val="3"/>
            <charset val="128"/>
          </rPr>
          <t xml:space="preserve">一般会計補助金
</t>
        </r>
        <r>
          <rPr>
            <sz val="9"/>
            <color indexed="81"/>
            <rFont val="MS P ゴシック"/>
            <family val="3"/>
            <charset val="128"/>
          </rPr>
          <t>【対議決予算】
・能登半島応援　　＋9,198
・被災者使用料減免　＋5</t>
        </r>
      </text>
    </comment>
    <comment ref="K44" authorId="1" shapeId="0">
      <text>
        <r>
          <rPr>
            <b/>
            <sz val="9"/>
            <color indexed="81"/>
            <rFont val="MS P ゴシック"/>
            <family val="3"/>
            <charset val="128"/>
          </rPr>
          <t>一般会計出資金</t>
        </r>
        <r>
          <rPr>
            <sz val="9"/>
            <color indexed="81"/>
            <rFont val="MS P ゴシック"/>
            <family val="3"/>
            <charset val="128"/>
          </rPr>
          <t xml:space="preserve">
【対議決予算】
・負担金の増加　△131,308
・当年度分損益勘定留保資金の増加（減価償却費等）△102,753
・繰越工事資金の計上　△56,815
【対4月決見】
・負担金の増加　△193,224　　・繰越工事資金の計上　△56,815
・建設改良費の増加　＋81,666</t>
        </r>
      </text>
    </comment>
  </commentList>
</comments>
</file>

<file path=xl/w8_comments12.xml><?xml version="1.0" encoding="utf-8"?>
<comments xmlns="http://schemas.openxmlformats.org/spreadsheetml/2006/main">
  <authors>
    <author>安達 謙介</author>
    <author>経理</author>
  </authors>
  <commentList>
    <comment ref="E7" authorId="0" shapeId="0">
      <text>
        <r>
          <rPr>
            <sz val="9"/>
            <color indexed="81"/>
            <rFont val="MS P ゴシック"/>
            <family val="3"/>
            <charset val="128"/>
          </rPr>
          <t>R5決算：未更新</t>
        </r>
      </text>
    </comment>
    <comment ref="F7" authorId="1" shapeId="0">
      <text>
        <r>
          <rPr>
            <b/>
            <sz val="9"/>
            <color indexed="81"/>
            <rFont val="MS P ゴシック"/>
            <family val="3"/>
            <charset val="128"/>
          </rPr>
          <t>補正後</t>
        </r>
        <r>
          <rPr>
            <sz val="9"/>
            <color indexed="81"/>
            <rFont val="MS P ゴシック"/>
            <family val="3"/>
            <charset val="128"/>
          </rPr>
          <t xml:space="preserve">
</t>
        </r>
      </text>
    </comment>
    <comment ref="F41" authorId="0" shapeId="0">
      <text>
        <r>
          <rPr>
            <b/>
            <sz val="9"/>
            <color indexed="81"/>
            <rFont val="MS P ゴシック"/>
            <family val="3"/>
            <charset val="128"/>
          </rPr>
          <t xml:space="preserve">R5決算：
</t>
        </r>
        <r>
          <rPr>
            <sz val="9"/>
            <color indexed="81"/>
            <rFont val="MS P ゴシック"/>
            <family val="3"/>
            <charset val="128"/>
          </rPr>
          <t>当初　6,489,024（税抜）
2月補正　52,311（税込）
※厳密には、
・2月補正額・・・税抜、
・一般会計負担金・・・仕入れ税額控除できない金額を加算
・雑支出・・・同上
すべきだが、補正予算でもそこまでしていない（処理場・特環・農集で同様）</t>
        </r>
      </text>
    </comment>
    <comment ref="F46" authorId="0" shapeId="0">
      <text>
        <r>
          <rPr>
            <b/>
            <sz val="9"/>
            <color indexed="81"/>
            <rFont val="MS P ゴシック"/>
            <family val="3"/>
            <charset val="128"/>
          </rPr>
          <t xml:space="preserve">R5決算：
</t>
        </r>
        <r>
          <rPr>
            <sz val="9"/>
            <color indexed="81"/>
            <rFont val="MS P ゴシック"/>
            <family val="3"/>
            <charset val="128"/>
          </rPr>
          <t>当初　98,793（税抜）
12月補正　623（税込）
※厳密には、
・12月補正額・・・税抜、
・一般会計負担金・・・仕入れ税額控除できない金額を加算
・雑支出・・・同上
すべきだが、補正予算でもそこまでしていない（処理場・特環・農集で同様）</t>
        </r>
      </text>
    </comment>
    <comment ref="F47" authorId="0" shapeId="0">
      <text>
        <r>
          <rPr>
            <b/>
            <sz val="9"/>
            <color indexed="81"/>
            <rFont val="MS P ゴシック"/>
            <family val="3"/>
            <charset val="128"/>
          </rPr>
          <t xml:space="preserve">R5決算：
</t>
        </r>
        <r>
          <rPr>
            <sz val="9"/>
            <color indexed="81"/>
            <rFont val="MS P ゴシック"/>
            <family val="3"/>
            <charset val="128"/>
          </rPr>
          <t>当初　233,770（税抜）
12月補正　4,311（税込）
※厳密には、
・12月補正額・・・税抜、
・一般会計負担金・・・仕入れ税額控除できない金額を加算
・雑支出・・・同上
すべきだが、補正予算でもそこまでしていない（処理場・特環・農集で同様）</t>
        </r>
      </text>
    </comment>
  </commentList>
</comments>
</file>

<file path=xl/w8_comments13.xml><?xml version="1.0" encoding="utf-8"?>
<comments xmlns="http://schemas.openxmlformats.org/spreadsheetml/2006/main">
  <authors>
    <author>安達 謙介</author>
    <author>経理</author>
  </authors>
  <commentList>
    <comment ref="E7" authorId="0" shapeId="0">
      <text>
        <r>
          <rPr>
            <sz val="9"/>
            <color indexed="81"/>
            <rFont val="MS P ゴシック"/>
            <family val="3"/>
            <charset val="128"/>
          </rPr>
          <t>R5決算：未更新</t>
        </r>
      </text>
    </comment>
    <comment ref="F7" authorId="1" shapeId="0">
      <text>
        <r>
          <rPr>
            <b/>
            <sz val="9"/>
            <color indexed="81"/>
            <rFont val="MS P ゴシック"/>
            <family val="3"/>
            <charset val="128"/>
          </rPr>
          <t>補正後</t>
        </r>
        <r>
          <rPr>
            <sz val="9"/>
            <color indexed="81"/>
            <rFont val="MS P ゴシック"/>
            <family val="3"/>
            <charset val="128"/>
          </rPr>
          <t xml:space="preserve">
</t>
        </r>
      </text>
    </comment>
    <comment ref="G13" authorId="0" shapeId="0">
      <text>
        <r>
          <rPr>
            <b/>
            <sz val="9"/>
            <color indexed="81"/>
            <rFont val="MS P ゴシック"/>
            <family val="3"/>
            <charset val="128"/>
          </rPr>
          <t>R5決算：
能登半島応援経費に係る繰入金（決見8,000千円）については、最終的な予算執行に合わせて、一般会計補助金に計上。</t>
        </r>
      </text>
    </comment>
    <comment ref="I22" authorId="0" shapeId="0">
      <text>
        <r>
          <rPr>
            <b/>
            <sz val="9"/>
            <color indexed="81"/>
            <rFont val="MS P ゴシック"/>
            <family val="3"/>
            <charset val="128"/>
          </rPr>
          <t>R5決算：端数調整＋１</t>
        </r>
      </text>
    </comment>
    <comment ref="F41" authorId="0" shapeId="0">
      <text>
        <r>
          <rPr>
            <b/>
            <sz val="9"/>
            <color indexed="81"/>
            <rFont val="MS P ゴシック"/>
            <family val="3"/>
            <charset val="128"/>
          </rPr>
          <t xml:space="preserve">R5決算：
</t>
        </r>
        <r>
          <rPr>
            <sz val="9"/>
            <color indexed="81"/>
            <rFont val="MS P ゴシック"/>
            <family val="3"/>
            <charset val="128"/>
          </rPr>
          <t>当初　6,489,024（税抜）
2月補正　52,311（税込）
※厳密には、
・2月補正額・・・税抜、
・一般会計負担金・・・仕入れ税額控除できない金額を加算
・雑支出・・・同上
すべきだが、補正予算でもそこまでしていない（処理場・特環・農集で同様）</t>
        </r>
      </text>
    </comment>
    <comment ref="F46" authorId="0" shapeId="0">
      <text>
        <r>
          <rPr>
            <b/>
            <sz val="9"/>
            <color indexed="81"/>
            <rFont val="MS P ゴシック"/>
            <family val="3"/>
            <charset val="128"/>
          </rPr>
          <t xml:space="preserve">R5決算：
</t>
        </r>
        <r>
          <rPr>
            <sz val="9"/>
            <color indexed="81"/>
            <rFont val="MS P ゴシック"/>
            <family val="3"/>
            <charset val="128"/>
          </rPr>
          <t>当初　98,793（税抜）
12月補正　623（税込）
※厳密には、
・12月補正額・・・税抜、
・一般会計負担金・・・仕入れ税額控除できない金額を加算
・雑支出・・・同上
すべきだが、補正予算でもそこまでしていない（処理場・特環・農集で同様）</t>
        </r>
      </text>
    </comment>
    <comment ref="F47" authorId="0" shapeId="0">
      <text>
        <r>
          <rPr>
            <b/>
            <sz val="9"/>
            <color indexed="81"/>
            <rFont val="MS P ゴシック"/>
            <family val="3"/>
            <charset val="128"/>
          </rPr>
          <t xml:space="preserve">R5決算：
</t>
        </r>
        <r>
          <rPr>
            <sz val="9"/>
            <color indexed="81"/>
            <rFont val="MS P ゴシック"/>
            <family val="3"/>
            <charset val="128"/>
          </rPr>
          <t>当初　233,770（税抜）
12月補正　4,311（税込）
※厳密には、
・12月補正額・・・税抜、
・一般会計負担金・・・仕入れ税額控除できない金額を加算
・雑支出・・・同上
すべきだが、補正予算でもそこまでしていない（処理場・特環・農集で同様）</t>
        </r>
      </text>
    </comment>
  </commentList>
</comments>
</file>

<file path=xl/w8_comments14.xml><?xml version="1.0" encoding="utf-8"?>
<comments xmlns="http://schemas.openxmlformats.org/spreadsheetml/2006/main">
  <authors>
    <author>安達 謙介</author>
    <author>経理</author>
    <author>4601928</author>
    <author>4202453</author>
  </authors>
  <commentList>
    <comment ref="E5" authorId="0" shapeId="0">
      <text>
        <r>
          <rPr>
            <sz val="9"/>
            <color indexed="81"/>
            <rFont val="MS P ゴシック"/>
            <family val="3"/>
            <charset val="128"/>
          </rPr>
          <t>R5決算：未更新</t>
        </r>
      </text>
    </comment>
    <comment ref="F5" authorId="1" shapeId="0">
      <text>
        <r>
          <rPr>
            <b/>
            <sz val="9"/>
            <color indexed="81"/>
            <rFont val="MS P ゴシック"/>
            <family val="3"/>
            <charset val="128"/>
          </rPr>
          <t>補正後</t>
        </r>
        <r>
          <rPr>
            <sz val="9"/>
            <color indexed="81"/>
            <rFont val="MS P ゴシック"/>
            <family val="3"/>
            <charset val="128"/>
          </rPr>
          <t xml:space="preserve">
</t>
        </r>
      </text>
    </comment>
    <comment ref="G73" authorId="2"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H73" authorId="2"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G76" authorId="3" shapeId="0">
      <text>
        <r>
          <rPr>
            <b/>
            <sz val="9"/>
            <color indexed="81"/>
            <rFont val="ＭＳ Ｐゴシック"/>
            <family val="3"/>
            <charset val="128"/>
          </rPr>
          <t>財源不足額＝補てん財源</t>
        </r>
      </text>
    </comment>
    <comment ref="H76" authorId="3" shapeId="0">
      <text>
        <r>
          <rPr>
            <b/>
            <sz val="9"/>
            <color indexed="81"/>
            <rFont val="ＭＳ Ｐゴシック"/>
            <family val="3"/>
            <charset val="128"/>
          </rPr>
          <t>財源不足額＝補てん財源</t>
        </r>
      </text>
    </comment>
    <comment ref="F83" authorId="2" shapeId="0">
      <text>
        <r>
          <rPr>
            <b/>
            <sz val="9"/>
            <color indexed="81"/>
            <rFont val="ＭＳ Ｐゴシック"/>
            <family val="3"/>
            <charset val="128"/>
          </rPr>
          <t>4601928:</t>
        </r>
        <r>
          <rPr>
            <sz val="9"/>
            <color indexed="81"/>
            <rFont val="ＭＳ Ｐゴシック"/>
            <family val="3"/>
            <charset val="128"/>
          </rPr>
          <t xml:space="preserve">
企業債発行差金は予算には入れない。</t>
        </r>
      </text>
    </comment>
    <comment ref="F87" authorId="2"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 ref="H87" authorId="2"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List>
</comments>
</file>

<file path=xl/w8_comments15.xml><?xml version="1.0" encoding="utf-8"?>
<comments xmlns="http://schemas.openxmlformats.org/spreadsheetml/2006/main">
  <authors>
    <author>安達 謙介</author>
    <author>経理</author>
    <author>Windows ユーザー</author>
    <author>work</author>
    <author>4601928</author>
    <author>4202453</author>
  </authors>
  <commentList>
    <comment ref="E5" authorId="0" shapeId="0">
      <text>
        <r>
          <rPr>
            <sz val="9"/>
            <color indexed="81"/>
            <rFont val="MS P ゴシック"/>
            <family val="3"/>
            <charset val="128"/>
          </rPr>
          <t>R5決算：未更新</t>
        </r>
      </text>
    </comment>
    <comment ref="F5" authorId="1" shapeId="0">
      <text>
        <r>
          <rPr>
            <b/>
            <sz val="9"/>
            <color indexed="81"/>
            <rFont val="MS P ゴシック"/>
            <family val="3"/>
            <charset val="128"/>
          </rPr>
          <t>補正後</t>
        </r>
        <r>
          <rPr>
            <sz val="9"/>
            <color indexed="81"/>
            <rFont val="MS P ゴシック"/>
            <family val="3"/>
            <charset val="128"/>
          </rPr>
          <t xml:space="preserve">
</t>
        </r>
      </text>
    </comment>
    <comment ref="R5" authorId="2" shapeId="0">
      <text>
        <r>
          <rPr>
            <b/>
            <sz val="9"/>
            <color indexed="81"/>
            <rFont val="ＭＳ Ｐゴシック"/>
            <family val="3"/>
            <charset val="128"/>
          </rPr>
          <t>前年度のファイルの"(繰)4条収入"シートの翌年度繰越充当財源</t>
        </r>
      </text>
    </comment>
    <comment ref="R14" authorId="3" shapeId="0">
      <text>
        <r>
          <rPr>
            <b/>
            <sz val="9"/>
            <color indexed="81"/>
            <rFont val="MS P ゴシック"/>
            <family val="3"/>
            <charset val="128"/>
          </rPr>
          <t>work:</t>
        </r>
        <r>
          <rPr>
            <sz val="9"/>
            <color indexed="81"/>
            <rFont val="MS P ゴシック"/>
            <family val="3"/>
            <charset val="128"/>
          </rPr>
          <t xml:space="preserve">
事故繰越追加</t>
        </r>
      </text>
    </comment>
    <comment ref="R20" authorId="3" shapeId="0">
      <text>
        <r>
          <rPr>
            <b/>
            <sz val="9"/>
            <color indexed="81"/>
            <rFont val="MS P ゴシック"/>
            <family val="3"/>
            <charset val="128"/>
          </rPr>
          <t>work:</t>
        </r>
        <r>
          <rPr>
            <sz val="9"/>
            <color indexed="81"/>
            <rFont val="MS P ゴシック"/>
            <family val="3"/>
            <charset val="128"/>
          </rPr>
          <t xml:space="preserve">
事故繰越追加</t>
        </r>
      </text>
    </comment>
    <comment ref="R42" authorId="2" shapeId="0">
      <text>
        <r>
          <rPr>
            <b/>
            <sz val="9"/>
            <color indexed="81"/>
            <rFont val="ＭＳ Ｐゴシック"/>
            <family val="3"/>
            <charset val="128"/>
          </rPr>
          <t>前年度のファイルの"(繰)4条支出"シートの翌年度繰越額</t>
        </r>
      </text>
    </comment>
    <comment ref="H74" authorId="4"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H77" authorId="5" shapeId="0">
      <text>
        <r>
          <rPr>
            <b/>
            <sz val="9"/>
            <color indexed="81"/>
            <rFont val="ＭＳ Ｐゴシック"/>
            <family val="3"/>
            <charset val="128"/>
          </rPr>
          <t>財源不足額＝補てん財源</t>
        </r>
      </text>
    </comment>
    <comment ref="F84" authorId="4" shapeId="0">
      <text>
        <r>
          <rPr>
            <b/>
            <sz val="9"/>
            <color indexed="81"/>
            <rFont val="ＭＳ Ｐゴシック"/>
            <family val="3"/>
            <charset val="128"/>
          </rPr>
          <t>4601928:</t>
        </r>
        <r>
          <rPr>
            <sz val="9"/>
            <color indexed="81"/>
            <rFont val="ＭＳ Ｐゴシック"/>
            <family val="3"/>
            <charset val="128"/>
          </rPr>
          <t xml:space="preserve">
企業債発行差金は予算には入れない。</t>
        </r>
      </text>
    </comment>
    <comment ref="F88" authorId="4"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 ref="H88" authorId="4"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List>
</comments>
</file>

<file path=xl/_rels/workbook.xml.rels><?xml version="1.0" encoding="UTF-8" standalone="yes"?>
<Relationships xmlns="http://schemas.openxmlformats.org/package/2006/relationships"><Relationship Id="rId1" Type="http://schemas.openxmlformats.org/officeDocument/2006/relationships/worksheet" Target="worksheets/w1_sheet1.xml"/><Relationship Id="rId2" Type="http://schemas.openxmlformats.org/officeDocument/2006/relationships/worksheet" Target="worksheets/w1_sheet2.xml"/><Relationship Id="rId3" Type="http://schemas.openxmlformats.org/officeDocument/2006/relationships/worksheet" Target="worksheets/w1_sheet3.xml"/><Relationship Id="rId4" Type="http://schemas.openxmlformats.org/officeDocument/2006/relationships/worksheet" Target="worksheets/w1_sheet4.xml"/><Relationship Id="rId5" Type="http://schemas.openxmlformats.org/officeDocument/2006/relationships/worksheet" Target="worksheets/w1_sheet5.xml"/><Relationship Id="rId6" Type="http://schemas.openxmlformats.org/officeDocument/2006/relationships/worksheet" Target="worksheets/w1_sheet6.xml"/><Relationship Id="rId7" Type="http://schemas.openxmlformats.org/officeDocument/2006/relationships/worksheet" Target="worksheets/w1_sheet7.xml"/><Relationship Id="rId8" Type="http://schemas.openxmlformats.org/officeDocument/2006/relationships/worksheet" Target="worksheets/w1_sheet8.xml"/><Relationship Id="rId9" Type="http://schemas.openxmlformats.org/officeDocument/2006/relationships/worksheet" Target="worksheets/w1_sheet9.xml"/><Relationship Id="rId10" Type="http://schemas.openxmlformats.org/officeDocument/2006/relationships/worksheet" Target="worksheets/w1_sheet10.xml"/><Relationship Id="rId11" Type="http://schemas.openxmlformats.org/officeDocument/2006/relationships/worksheet" Target="worksheets/w1_sheet11.xml"/><Relationship Id="rId12" Type="http://schemas.openxmlformats.org/officeDocument/2006/relationships/worksheet" Target="worksheets/w1_sheet12.xml"/><Relationship Id="rId13" Type="http://schemas.openxmlformats.org/officeDocument/2006/relationships/worksheet" Target="worksheets/w1_sheet13.xml"/><Relationship Id="rId14" Type="http://schemas.openxmlformats.org/officeDocument/2006/relationships/worksheet" Target="worksheets/w1_sheet14.xml"/><Relationship Id="rId15" Type="http://schemas.openxmlformats.org/officeDocument/2006/relationships/worksheet" Target="worksheets/w1_sheet15.xml"/><Relationship Id="rId16" Type="http://schemas.openxmlformats.org/officeDocument/2006/relationships/worksheet" Target="worksheets/w1_sheet16.xml"/><Relationship Id="rId17" Type="http://schemas.openxmlformats.org/officeDocument/2006/relationships/worksheet" Target="worksheets/w1_sheet17.xml"/><Relationship Id="rId18" Type="http://schemas.openxmlformats.org/officeDocument/2006/relationships/worksheet" Target="worksheets/w1_sheet18.xml"/><Relationship Id="rId19" Type="http://schemas.openxmlformats.org/officeDocument/2006/relationships/worksheet" Target="worksheets/w1_sheet19.xml"/><Relationship Id="rId20" Type="http://schemas.openxmlformats.org/officeDocument/2006/relationships/worksheet" Target="worksheets/w1_sheet20.xml"/><Relationship Id="rId21" Type="http://schemas.openxmlformats.org/officeDocument/2006/relationships/worksheet" Target="worksheets/w1_sheet21.xml"/><Relationship Id="rId22" Type="http://schemas.openxmlformats.org/officeDocument/2006/relationships/worksheet" Target="worksheets/w1_sheet22.xml"/><Relationship Id="rId23" Type="http://schemas.openxmlformats.org/officeDocument/2006/relationships/worksheet" Target="worksheets/w1_sheet23.xml"/><Relationship Id="rId24" Type="http://schemas.openxmlformats.org/officeDocument/2006/relationships/worksheet" Target="worksheets/w1_sheet24.xml"/><Relationship Id="rId25" Type="http://schemas.openxmlformats.org/officeDocument/2006/relationships/worksheet" Target="worksheets/w1_sheet25.xml"/><Relationship Id="rId26" Type="http://schemas.openxmlformats.org/officeDocument/2006/relationships/worksheet" Target="worksheets/w1_sheet26.xml"/><Relationship Id="rId27" Type="http://schemas.openxmlformats.org/officeDocument/2006/relationships/worksheet" Target="worksheets/w2_sheet1.xml"/><Relationship Id="rId28" Type="http://schemas.openxmlformats.org/officeDocument/2006/relationships/worksheet" Target="worksheets/w3_sheet1.xml"/><Relationship Id="rId29" Type="http://schemas.openxmlformats.org/officeDocument/2006/relationships/worksheet" Target="worksheets/w3_sheet2.xml"/><Relationship Id="rId30" Type="http://schemas.openxmlformats.org/officeDocument/2006/relationships/worksheet" Target="worksheets/w3_sheet3.xml"/><Relationship Id="rId31" Type="http://schemas.openxmlformats.org/officeDocument/2006/relationships/worksheet" Target="worksheets/w3_sheet4.xml"/><Relationship Id="rId32" Type="http://schemas.openxmlformats.org/officeDocument/2006/relationships/worksheet" Target="worksheets/w3_sheet5.xml"/><Relationship Id="rId33" Type="http://schemas.openxmlformats.org/officeDocument/2006/relationships/worksheet" Target="worksheets/w3_sheet6.xml"/><Relationship Id="rId34" Type="http://schemas.openxmlformats.org/officeDocument/2006/relationships/worksheet" Target="worksheets/w3_sheet7.xml"/><Relationship Id="rId35" Type="http://schemas.openxmlformats.org/officeDocument/2006/relationships/worksheet" Target="worksheets/w3_sheet8.xml"/><Relationship Id="rId36" Type="http://schemas.openxmlformats.org/officeDocument/2006/relationships/worksheet" Target="worksheets/w3_sheet9.xml"/><Relationship Id="rId37" Type="http://schemas.openxmlformats.org/officeDocument/2006/relationships/worksheet" Target="worksheets/w3_sheet10.xml"/><Relationship Id="rId38" Type="http://schemas.openxmlformats.org/officeDocument/2006/relationships/worksheet" Target="worksheets/w3_sheet11.xml"/><Relationship Id="rId39" Type="http://schemas.openxmlformats.org/officeDocument/2006/relationships/worksheet" Target="worksheets/w3_sheet12.xml"/><Relationship Id="rId40" Type="http://schemas.openxmlformats.org/officeDocument/2006/relationships/worksheet" Target="worksheets/w3_sheet13.xml"/><Relationship Id="rId41" Type="http://schemas.openxmlformats.org/officeDocument/2006/relationships/worksheet" Target="worksheets/w3_sheet14.xml"/><Relationship Id="rId42" Type="http://schemas.openxmlformats.org/officeDocument/2006/relationships/worksheet" Target="worksheets/w3_sheet15.xml"/><Relationship Id="rId43" Type="http://schemas.openxmlformats.org/officeDocument/2006/relationships/worksheet" Target="worksheets/w3_sheet16.xml"/><Relationship Id="rId44" Type="http://schemas.openxmlformats.org/officeDocument/2006/relationships/worksheet" Target="worksheets/w4_sheet1.xml"/><Relationship Id="rId45" Type="http://schemas.openxmlformats.org/officeDocument/2006/relationships/worksheet" Target="worksheets/w5_sheet1.xml"/><Relationship Id="rId46" Type="http://schemas.openxmlformats.org/officeDocument/2006/relationships/worksheet" Target="worksheets/w5_sheet2.xml"/><Relationship Id="rId47" Type="http://schemas.openxmlformats.org/officeDocument/2006/relationships/worksheet" Target="worksheets/w5_sheet3.xml"/><Relationship Id="rId48" Type="http://schemas.openxmlformats.org/officeDocument/2006/relationships/worksheet" Target="worksheets/w5_sheet4.xml"/><Relationship Id="rId49" Type="http://schemas.openxmlformats.org/officeDocument/2006/relationships/worksheet" Target="worksheets/w5_sheet5.xml"/><Relationship Id="rId50" Type="http://schemas.openxmlformats.org/officeDocument/2006/relationships/worksheet" Target="worksheets/w5_sheet6.xml"/><Relationship Id="rId51" Type="http://schemas.openxmlformats.org/officeDocument/2006/relationships/worksheet" Target="worksheets/w5_sheet7.xml"/><Relationship Id="rId52" Type="http://schemas.openxmlformats.org/officeDocument/2006/relationships/worksheet" Target="worksheets/w5_sheet8.xml"/><Relationship Id="rId53" Type="http://schemas.openxmlformats.org/officeDocument/2006/relationships/worksheet" Target="worksheets/w5_sheet9.xml"/><Relationship Id="rId54" Type="http://schemas.openxmlformats.org/officeDocument/2006/relationships/worksheet" Target="worksheets/w5_sheet10.xml"/><Relationship Id="rId55" Type="http://schemas.openxmlformats.org/officeDocument/2006/relationships/worksheet" Target="worksheets/w5_sheet11.xml"/><Relationship Id="rId56" Type="http://schemas.openxmlformats.org/officeDocument/2006/relationships/worksheet" Target="worksheets/w5_sheet12.xml"/><Relationship Id="rId57" Type="http://schemas.openxmlformats.org/officeDocument/2006/relationships/worksheet" Target="worksheets/w5_sheet13.xml"/><Relationship Id="rId58" Type="http://schemas.openxmlformats.org/officeDocument/2006/relationships/worksheet" Target="worksheets/w5_sheet14.xml"/><Relationship Id="rId59" Type="http://schemas.openxmlformats.org/officeDocument/2006/relationships/worksheet" Target="worksheets/w5_sheet15.xml"/><Relationship Id="rId60" Type="http://schemas.openxmlformats.org/officeDocument/2006/relationships/worksheet" Target="worksheets/w6_sheet1.xml"/><Relationship Id="rId61" Type="http://schemas.openxmlformats.org/officeDocument/2006/relationships/worksheet" Target="worksheets/w6_sheet2.xml"/><Relationship Id="rId62" Type="http://schemas.openxmlformats.org/officeDocument/2006/relationships/worksheet" Target="worksheets/w6_sheet3.xml"/><Relationship Id="rId63" Type="http://schemas.openxmlformats.org/officeDocument/2006/relationships/worksheet" Target="worksheets/w6_sheet4.xml"/><Relationship Id="rId64" Type="http://schemas.openxmlformats.org/officeDocument/2006/relationships/worksheet" Target="worksheets/w6_sheet5.xml"/><Relationship Id="rId65" Type="http://schemas.openxmlformats.org/officeDocument/2006/relationships/worksheet" Target="worksheets/w6_sheet6.xml"/><Relationship Id="rId66" Type="http://schemas.openxmlformats.org/officeDocument/2006/relationships/worksheet" Target="worksheets/w6_sheet7.xml"/><Relationship Id="rId67" Type="http://schemas.openxmlformats.org/officeDocument/2006/relationships/worksheet" Target="worksheets/w6_sheet8.xml"/><Relationship Id="rId68" Type="http://schemas.openxmlformats.org/officeDocument/2006/relationships/worksheet" Target="worksheets/w6_sheet9.xml"/><Relationship Id="rId69" Type="http://schemas.openxmlformats.org/officeDocument/2006/relationships/worksheet" Target="worksheets/w6_sheet10.xml"/><Relationship Id="rId70" Type="http://schemas.openxmlformats.org/officeDocument/2006/relationships/worksheet" Target="worksheets/w6_sheet11.xml"/><Relationship Id="rId71" Type="http://schemas.openxmlformats.org/officeDocument/2006/relationships/worksheet" Target="worksheets/w6_sheet12.xml"/><Relationship Id="rId72" Type="http://schemas.openxmlformats.org/officeDocument/2006/relationships/worksheet" Target="worksheets/w6_sheet13.xml"/><Relationship Id="rId73" Type="http://schemas.openxmlformats.org/officeDocument/2006/relationships/worksheet" Target="worksheets/w6_sheet14.xml"/><Relationship Id="rId74" Type="http://schemas.openxmlformats.org/officeDocument/2006/relationships/worksheet" Target="worksheets/w6_sheet15.xml"/><Relationship Id="rId75" Type="http://schemas.openxmlformats.org/officeDocument/2006/relationships/worksheet" Target="worksheets/w6_sheet16.xml"/><Relationship Id="rId76" Type="http://schemas.openxmlformats.org/officeDocument/2006/relationships/worksheet" Target="worksheets/w6_sheet17.xml"/><Relationship Id="rId77" Type="http://schemas.openxmlformats.org/officeDocument/2006/relationships/worksheet" Target="worksheets/w6_sheet18.xml"/><Relationship Id="rId78" Type="http://schemas.openxmlformats.org/officeDocument/2006/relationships/worksheet" Target="worksheets/w6_sheet19.xml"/><Relationship Id="rId79" Type="http://schemas.openxmlformats.org/officeDocument/2006/relationships/worksheet" Target="worksheets/w6_sheet20.xml"/><Relationship Id="rId80" Type="http://schemas.openxmlformats.org/officeDocument/2006/relationships/worksheet" Target="worksheets/w6_sheet21.xml"/><Relationship Id="rId81" Type="http://schemas.openxmlformats.org/officeDocument/2006/relationships/worksheet" Target="worksheets/w6_sheet22.xml"/><Relationship Id="rId82" Type="http://schemas.openxmlformats.org/officeDocument/2006/relationships/worksheet" Target="worksheets/w6_sheet23.xml"/><Relationship Id="rId83" Type="http://schemas.openxmlformats.org/officeDocument/2006/relationships/worksheet" Target="worksheets/w6_sheet24.xml"/><Relationship Id="rId84" Type="http://schemas.openxmlformats.org/officeDocument/2006/relationships/worksheet" Target="worksheets/w7_sheet1.xml"/><Relationship Id="rId85" Type="http://schemas.openxmlformats.org/officeDocument/2006/relationships/worksheet" Target="worksheets/w7_sheet2.xml"/><Relationship Id="rId86" Type="http://schemas.openxmlformats.org/officeDocument/2006/relationships/worksheet" Target="worksheets/w7_sheet3.xml"/><Relationship Id="rId87" Type="http://schemas.openxmlformats.org/officeDocument/2006/relationships/worksheet" Target="worksheets/w7_sheet4.xml"/><Relationship Id="rId88" Type="http://schemas.openxmlformats.org/officeDocument/2006/relationships/worksheet" Target="worksheets/w7_sheet5.xml"/><Relationship Id="rId89" Type="http://schemas.openxmlformats.org/officeDocument/2006/relationships/worksheet" Target="worksheets/w7_sheet6.xml"/><Relationship Id="rId90" Type="http://schemas.openxmlformats.org/officeDocument/2006/relationships/worksheet" Target="worksheets/w7_sheet7.xml"/><Relationship Id="rId91" Type="http://schemas.openxmlformats.org/officeDocument/2006/relationships/worksheet" Target="worksheets/w7_sheet8.xml"/><Relationship Id="rId92" Type="http://schemas.openxmlformats.org/officeDocument/2006/relationships/worksheet" Target="worksheets/w7_sheet9.xml"/><Relationship Id="rId93" Type="http://schemas.openxmlformats.org/officeDocument/2006/relationships/worksheet" Target="worksheets/w7_sheet10.xml"/><Relationship Id="rId94" Type="http://schemas.openxmlformats.org/officeDocument/2006/relationships/worksheet" Target="worksheets/w7_sheet11.xml"/><Relationship Id="rId95" Type="http://schemas.openxmlformats.org/officeDocument/2006/relationships/worksheet" Target="worksheets/w7_sheet12.xml"/><Relationship Id="rId96" Type="http://schemas.openxmlformats.org/officeDocument/2006/relationships/worksheet" Target="worksheets/w7_sheet13.xml"/><Relationship Id="rId97" Type="http://schemas.openxmlformats.org/officeDocument/2006/relationships/worksheet" Target="worksheets/w7_sheet14.xml"/><Relationship Id="rId98" Type="http://schemas.openxmlformats.org/officeDocument/2006/relationships/worksheet" Target="worksheets/w8_sheet1.xml"/><Relationship Id="rId99" Type="http://schemas.openxmlformats.org/officeDocument/2006/relationships/worksheet" Target="worksheets/w8_sheet2.xml"/><Relationship Id="rId100" Type="http://schemas.openxmlformats.org/officeDocument/2006/relationships/worksheet" Target="worksheets/w8_sheet3.xml"/><Relationship Id="rId101" Type="http://schemas.openxmlformats.org/officeDocument/2006/relationships/worksheet" Target="worksheets/w8_sheet4.xml"/><Relationship Id="rId102" Type="http://schemas.openxmlformats.org/officeDocument/2006/relationships/worksheet" Target="worksheets/w8_sheet5.xml"/><Relationship Id="rId103" Type="http://schemas.openxmlformats.org/officeDocument/2006/relationships/worksheet" Target="worksheets/w8_sheet6.xml"/><Relationship Id="rId104" Type="http://schemas.openxmlformats.org/officeDocument/2006/relationships/worksheet" Target="worksheets/w8_sheet7.xml"/><Relationship Id="rId105" Type="http://schemas.openxmlformats.org/officeDocument/2006/relationships/worksheet" Target="worksheets/w8_sheet8.xml"/><Relationship Id="rId106" Type="http://schemas.openxmlformats.org/officeDocument/2006/relationships/worksheet" Target="worksheets/w8_sheet9.xml"/><Relationship Id="rId107" Type="http://schemas.openxmlformats.org/officeDocument/2006/relationships/worksheet" Target="worksheets/w8_sheet10.xml"/><Relationship Id="rId108" Type="http://schemas.openxmlformats.org/officeDocument/2006/relationships/worksheet" Target="worksheets/w8_sheet11.xml"/><Relationship Id="rId109" Type="http://schemas.openxmlformats.org/officeDocument/2006/relationships/worksheet" Target="worksheets/w8_sheet12.xml"/><Relationship Id="rId110" Type="http://schemas.openxmlformats.org/officeDocument/2006/relationships/worksheet" Target="worksheets/w8_sheet13.xml"/><Relationship Id="rId111" Type="http://schemas.openxmlformats.org/officeDocument/2006/relationships/worksheet" Target="worksheets/w8_sheet14.xml"/><Relationship Id="rId112" Type="http://schemas.openxmlformats.org/officeDocument/2006/relationships/worksheet" Target="worksheets/w8_sheet15.xml"/><Relationship Id="rId113" Type="http://schemas.openxmlformats.org/officeDocument/2006/relationships/worksheet" Target="worksheets/w8_sheet16.xml"/><Relationship Id="rId114" Type="http://schemas.openxmlformats.org/officeDocument/2006/relationships/styles" Target="styles.xml"/><Relationship Id="rId115" Type="http://schemas.openxmlformats.org/officeDocument/2006/relationships/theme" Target="theme/theme1.xml"/><Relationship Id="rId116" Type="http://schemas.openxmlformats.org/officeDocument/2006/relationships/sharedStrings" Target="sharedStrings.xml"/></Relationships>
</file>

<file path=xl/drawings/_rels/w6_drawing14.xml.rels><?xml version="1.0" encoding="UTF-8" standalone="yes"?>
<Relationships xmlns="http://schemas.openxmlformats.org/package/2006/relationships"><Relationship Id="rId1" Type="http://schemas.openxmlformats.org/officeDocument/2006/relationships/image" Target="../media/w6_image1.emf"/></Relationships>
</file>

<file path=xl/drawings/_rels/w8_drawing8.xml.rels><?xml version="1.0" encoding="UTF-8" standalone="yes"?>
<Relationships xmlns="http://schemas.openxmlformats.org/package/2006/relationships"><Relationship Id="rId2" Type="http://schemas.openxmlformats.org/officeDocument/2006/relationships/image" Target="../media/w8_image2.png"/><Relationship Id="rId1" Type="http://schemas.openxmlformats.org/officeDocument/2006/relationships/image" Target="../media/w8_image1.png"/></Relationships>
</file>

<file path=xl/drawings/_rels/w8_drawing9.xml.rels><?xml version="1.0" encoding="UTF-8" standalone="yes"?>
<Relationships xmlns="http://schemas.openxmlformats.org/package/2006/relationships"><Relationship Id="rId2" Type="http://schemas.openxmlformats.org/officeDocument/2006/relationships/image" Target="../media/w8_image2.png"/><Relationship Id="rId1" Type="http://schemas.openxmlformats.org/officeDocument/2006/relationships/image" Target="../media/w8_image1.png"/></Relationships>
</file>

<file path=xl/drawings/w1_drawing1.xml><?xml version="1.0" encoding="utf-8"?>
<xdr:wsDr xmlns:xdr="http://schemas.openxmlformats.org/drawingml/2006/spreadsheetDrawing" xmlns:a="http://schemas.openxmlformats.org/drawingml/2006/main">
  <xdr:twoCellAnchor>
    <xdr:from>
      <xdr:col>2</xdr:col>
      <xdr:colOff>100853</xdr:colOff>
      <xdr:row>2</xdr:row>
      <xdr:rowOff>145676</xdr:rowOff>
    </xdr:from>
    <xdr:to>
      <xdr:col>11</xdr:col>
      <xdr:colOff>179295</xdr:colOff>
      <xdr:row>9</xdr:row>
      <xdr:rowOff>156881</xdr:rowOff>
    </xdr:to>
    <xdr:sp macro="" textlink="">
      <xdr:nvSpPr>
        <xdr:cNvPr id="2" name="角丸四角形吹き出し 1"/>
        <xdr:cNvSpPr/>
      </xdr:nvSpPr>
      <xdr:spPr>
        <a:xfrm>
          <a:off x="515471" y="481852"/>
          <a:ext cx="3933265" cy="1187823"/>
        </a:xfrm>
        <a:prstGeom prst="wedgeRoundRectCallout">
          <a:avLst>
            <a:gd name="adj1" fmla="val 59233"/>
            <a:gd name="adj2" fmla="val 8600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latin typeface="+mn-ea"/>
              <a:ea typeface="+mn-ea"/>
            </a:rPr>
            <a:t>災害伝票</a:t>
          </a:r>
          <a:endParaRPr kumimoji="1" lang="en-US" altLang="ja-JP" sz="1800" b="1">
            <a:latin typeface="+mn-ea"/>
            <a:ea typeface="+mn-ea"/>
          </a:endParaRPr>
        </a:p>
        <a:p>
          <a:pPr algn="l"/>
          <a:r>
            <a:rPr kumimoji="1" lang="en-US" altLang="ja-JP" sz="1800" b="1">
              <a:latin typeface="+mn-ea"/>
              <a:ea typeface="+mn-ea"/>
            </a:rPr>
            <a:t>R3</a:t>
          </a:r>
          <a:r>
            <a:rPr kumimoji="1" lang="ja-JP" altLang="en-US" sz="1800" b="1">
              <a:latin typeface="+mn-ea"/>
              <a:ea typeface="+mn-ea"/>
            </a:rPr>
            <a:t>年度決算は公共</a:t>
          </a:r>
          <a:r>
            <a:rPr kumimoji="1" lang="en-US" altLang="ja-JP" sz="1800" b="1">
              <a:latin typeface="+mn-ea"/>
              <a:ea typeface="+mn-ea"/>
            </a:rPr>
            <a:t>3</a:t>
          </a:r>
          <a:r>
            <a:rPr kumimoji="1" lang="ja-JP" altLang="en-US" sz="1800" b="1">
              <a:latin typeface="+mn-ea"/>
              <a:ea typeface="+mn-ea"/>
            </a:rPr>
            <a:t>条・</a:t>
          </a:r>
          <a:r>
            <a:rPr kumimoji="1" lang="en-US" altLang="ja-JP" sz="1800" b="1">
              <a:latin typeface="+mn-ea"/>
              <a:ea typeface="+mn-ea"/>
            </a:rPr>
            <a:t>4</a:t>
          </a:r>
          <a:r>
            <a:rPr kumimoji="1" lang="ja-JP" altLang="en-US" sz="1800" b="1">
              <a:latin typeface="+mn-ea"/>
              <a:ea typeface="+mn-ea"/>
            </a:rPr>
            <a:t>条支出、農集</a:t>
          </a:r>
          <a:r>
            <a:rPr kumimoji="1" lang="en-US" altLang="ja-JP" sz="1800" b="1">
              <a:latin typeface="+mn-ea"/>
              <a:ea typeface="+mn-ea"/>
            </a:rPr>
            <a:t>3</a:t>
          </a:r>
          <a:r>
            <a:rPr kumimoji="1" lang="ja-JP" altLang="en-US" sz="1800" b="1">
              <a:latin typeface="+mn-ea"/>
              <a:ea typeface="+mn-ea"/>
            </a:rPr>
            <a:t>条支出あり</a:t>
          </a:r>
        </a:p>
      </xdr:txBody>
    </xdr:sp>
    <xdr:clientData/>
  </xdr:twoCellAnchor>
</xdr:wsDr>
</file>

<file path=xl/drawings/w1_drawing2.xml><?xml version="1.0" encoding="utf-8"?>
<xdr:wsDr xmlns:xdr="http://schemas.openxmlformats.org/drawingml/2006/spreadsheetDrawing" xmlns:a="http://schemas.openxmlformats.org/drawingml/2006/main">
  <xdr:twoCellAnchor>
    <xdr:from>
      <xdr:col>16</xdr:col>
      <xdr:colOff>89647</xdr:colOff>
      <xdr:row>64</xdr:row>
      <xdr:rowOff>112059</xdr:rowOff>
    </xdr:from>
    <xdr:to>
      <xdr:col>19</xdr:col>
      <xdr:colOff>818029</xdr:colOff>
      <xdr:row>78</xdr:row>
      <xdr:rowOff>33617</xdr:rowOff>
    </xdr:to>
    <xdr:sp macro="" textlink="">
      <xdr:nvSpPr>
        <xdr:cNvPr id="2" name="角丸四角形吹き出し 1"/>
        <xdr:cNvSpPr/>
      </xdr:nvSpPr>
      <xdr:spPr>
        <a:xfrm>
          <a:off x="13794441" y="9558618"/>
          <a:ext cx="3641912" cy="2308411"/>
        </a:xfrm>
        <a:prstGeom prst="wedgeRoundRectCallout">
          <a:avLst>
            <a:gd name="adj1" fmla="val -78679"/>
            <a:gd name="adj2" fmla="val -15582"/>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R5</a:t>
          </a:r>
          <a:r>
            <a:rPr kumimoji="1" lang="ja-JP" altLang="en-US" sz="1100"/>
            <a:t>決算：修正</a:t>
          </a:r>
          <a:endParaRPr kumimoji="1" lang="en-US" altLang="ja-JP" sz="1100"/>
        </a:p>
        <a:p>
          <a:pPr algn="l"/>
          <a:r>
            <a:rPr kumimoji="1" lang="ja-JP" altLang="en-US" sz="1100"/>
            <a:t>一時借入金利息は汚水経費としているのに、なぜか雨水にも計上され、税込決算額が不整合となっていた。</a:t>
          </a:r>
          <a:endParaRPr kumimoji="1" lang="en-US" altLang="ja-JP" sz="1100"/>
        </a:p>
        <a:p>
          <a:pPr algn="l"/>
          <a:r>
            <a:rPr kumimoji="1" lang="ja-JP" altLang="en-US" sz="1100"/>
            <a:t>このため、雨水</a:t>
          </a:r>
          <a:r>
            <a:rPr kumimoji="1" lang="en-US" altLang="ja-JP" sz="1100"/>
            <a:t>E71</a:t>
          </a:r>
          <a:r>
            <a:rPr kumimoji="1" lang="ja-JP" altLang="en-US" sz="1100"/>
            <a:t>の参照先を修正した。</a:t>
          </a:r>
          <a:endParaRPr kumimoji="1" lang="en-US" altLang="ja-JP" sz="1100"/>
        </a:p>
        <a:p>
          <a:pPr algn="l"/>
          <a:r>
            <a:rPr kumimoji="1" lang="ja-JP" altLang="en-US" sz="1100"/>
            <a:t>なお、不課税収入区分表では、営業費用</a:t>
          </a:r>
          <a:r>
            <a:rPr kumimoji="1" lang="en-US" altLang="ja-JP" sz="1100"/>
            <a:t>E53</a:t>
          </a:r>
          <a:r>
            <a:rPr kumimoji="1" lang="ja-JP" altLang="en-US" sz="1100"/>
            <a:t>を参照しているので、影響なし。</a:t>
          </a:r>
          <a:endParaRPr kumimoji="1" lang="en-US" altLang="ja-JP" sz="1100"/>
        </a:p>
        <a:p>
          <a:pPr algn="l"/>
          <a:r>
            <a:rPr kumimoji="1" lang="ja-JP" altLang="en-US" sz="1100"/>
            <a:t>（</a:t>
          </a:r>
          <a:r>
            <a:rPr kumimoji="1" lang="en-US" altLang="ja-JP" sz="1100"/>
            <a:t>H29</a:t>
          </a:r>
          <a:r>
            <a:rPr kumimoji="1" lang="ja-JP" altLang="en-US" sz="1100"/>
            <a:t>以降なぜかずっとこの数式、このエクセルになる</a:t>
          </a:r>
          <a:r>
            <a:rPr kumimoji="1" lang="en-US" altLang="ja-JP" sz="1100"/>
            <a:t>H28</a:t>
          </a:r>
          <a:r>
            <a:rPr kumimoji="1" lang="ja-JP" altLang="en-US" sz="1100"/>
            <a:t>以前は正しい（そもそも一時借入金利息がなかったのかもしれない）。）</a:t>
          </a:r>
          <a:endParaRPr kumimoji="1" lang="en-US" altLang="ja-JP" sz="1100"/>
        </a:p>
        <a:p>
          <a:pPr algn="l"/>
          <a:r>
            <a:rPr kumimoji="1" lang="ja-JP" altLang="en-US" sz="1100"/>
            <a:t>なお、課税支出額は手入力（通常ゼロ）</a:t>
          </a:r>
        </a:p>
      </xdr:txBody>
    </xdr:sp>
    <xdr:clientData/>
  </xdr:twoCellAnchor>
</xdr:wsDr>
</file>

<file path=xl/drawings/w1_drawing3.xml><?xml version="1.0" encoding="utf-8"?>
<xdr:wsDr xmlns:xdr="http://schemas.openxmlformats.org/drawingml/2006/spreadsheetDrawing" xmlns:a="http://schemas.openxmlformats.org/drawingml/2006/main">
  <xdr:twoCellAnchor>
    <xdr:from>
      <xdr:col>20</xdr:col>
      <xdr:colOff>67235</xdr:colOff>
      <xdr:row>5</xdr:row>
      <xdr:rowOff>11206</xdr:rowOff>
    </xdr:from>
    <xdr:to>
      <xdr:col>24</xdr:col>
      <xdr:colOff>106455</xdr:colOff>
      <xdr:row>7</xdr:row>
      <xdr:rowOff>94129</xdr:rowOff>
    </xdr:to>
    <xdr:sp macro="" textlink="">
      <xdr:nvSpPr>
        <xdr:cNvPr id="2" name="テキスト ボックス 1"/>
        <xdr:cNvSpPr txBox="1"/>
      </xdr:nvSpPr>
      <xdr:spPr>
        <a:xfrm>
          <a:off x="18500911" y="851647"/>
          <a:ext cx="2190750" cy="41910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kumimoji="1" lang="ja-JP" altLang="en-US" sz="1100"/>
            <a:t>←</a:t>
          </a:r>
          <a:r>
            <a:rPr kumimoji="1" lang="en-US" altLang="ja-JP" sz="1100"/>
            <a:t>R6.4.26</a:t>
          </a:r>
          <a:r>
            <a:rPr kumimoji="1" lang="ja-JP" altLang="en-US" sz="1100"/>
            <a:t>　入力済み</a:t>
          </a:r>
        </a:p>
      </xdr:txBody>
    </xdr:sp>
    <xdr:clientData/>
  </xdr:twoCellAnchor>
</xdr:wsDr>
</file>

<file path=xl/drawings/w1_drawing4.xml><?xml version="1.0" encoding="utf-8"?>
<xdr:wsDr xmlns:xdr="http://schemas.openxmlformats.org/drawingml/2006/spreadsheetDrawing" xmlns:a="http://schemas.openxmlformats.org/drawingml/2006/main">
  <xdr:twoCellAnchor>
    <xdr:from>
      <xdr:col>5</xdr:col>
      <xdr:colOff>309562</xdr:colOff>
      <xdr:row>8</xdr:row>
      <xdr:rowOff>83344</xdr:rowOff>
    </xdr:from>
    <xdr:to>
      <xdr:col>14</xdr:col>
      <xdr:colOff>702469</xdr:colOff>
      <xdr:row>17</xdr:row>
      <xdr:rowOff>119062</xdr:rowOff>
    </xdr:to>
    <xdr:sp macro="" textlink="">
      <xdr:nvSpPr>
        <xdr:cNvPr id="2" name="角丸四角形 1"/>
        <xdr:cNvSpPr/>
      </xdr:nvSpPr>
      <xdr:spPr>
        <a:xfrm>
          <a:off x="3345656" y="1416844"/>
          <a:ext cx="9191626" cy="1535906"/>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w1_drawing5.xml><?xml version="1.0" encoding="utf-8"?>
<xdr:wsDr xmlns:xdr="http://schemas.openxmlformats.org/drawingml/2006/spreadsheetDrawing" xmlns:a="http://schemas.openxmlformats.org/drawingml/2006/main">
  <xdr:twoCellAnchor>
    <xdr:from>
      <xdr:col>6</xdr:col>
      <xdr:colOff>228600</xdr:colOff>
      <xdr:row>7</xdr:row>
      <xdr:rowOff>133350</xdr:rowOff>
    </xdr:from>
    <xdr:to>
      <xdr:col>16</xdr:col>
      <xdr:colOff>116682</xdr:colOff>
      <xdr:row>16</xdr:row>
      <xdr:rowOff>169068</xdr:rowOff>
    </xdr:to>
    <xdr:sp macro="" textlink="">
      <xdr:nvSpPr>
        <xdr:cNvPr id="2" name="角丸四角形 1"/>
        <xdr:cNvSpPr/>
      </xdr:nvSpPr>
      <xdr:spPr>
        <a:xfrm>
          <a:off x="4733925" y="133350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w1_drawing6.xml><?xml version="1.0" encoding="utf-8"?>
<xdr:wsDr xmlns:xdr="http://schemas.openxmlformats.org/drawingml/2006/spreadsheetDrawing" xmlns:a="http://schemas.openxmlformats.org/drawingml/2006/main">
  <xdr:twoCellAnchor>
    <xdr:from>
      <xdr:col>2</xdr:col>
      <xdr:colOff>247650</xdr:colOff>
      <xdr:row>8</xdr:row>
      <xdr:rowOff>47625</xdr:rowOff>
    </xdr:from>
    <xdr:to>
      <xdr:col>11</xdr:col>
      <xdr:colOff>869157</xdr:colOff>
      <xdr:row>17</xdr:row>
      <xdr:rowOff>83343</xdr:rowOff>
    </xdr:to>
    <xdr:sp macro="" textlink="">
      <xdr:nvSpPr>
        <xdr:cNvPr id="2" name="角丸四角形 1"/>
        <xdr:cNvSpPr/>
      </xdr:nvSpPr>
      <xdr:spPr>
        <a:xfrm>
          <a:off x="1057275" y="1419225"/>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w1_drawing7.xml><?xml version="1.0" encoding="utf-8"?>
<xdr:wsDr xmlns:xdr="http://schemas.openxmlformats.org/drawingml/2006/spreadsheetDrawing" xmlns:a="http://schemas.openxmlformats.org/drawingml/2006/main">
  <xdr:twoCellAnchor>
    <xdr:from>
      <xdr:col>6</xdr:col>
      <xdr:colOff>0</xdr:colOff>
      <xdr:row>11</xdr:row>
      <xdr:rowOff>0</xdr:rowOff>
    </xdr:from>
    <xdr:to>
      <xdr:col>15</xdr:col>
      <xdr:colOff>697707</xdr:colOff>
      <xdr:row>20</xdr:row>
      <xdr:rowOff>35718</xdr:rowOff>
    </xdr:to>
    <xdr:sp macro="" textlink="">
      <xdr:nvSpPr>
        <xdr:cNvPr id="2" name="角丸四角形 1"/>
        <xdr:cNvSpPr/>
      </xdr:nvSpPr>
      <xdr:spPr>
        <a:xfrm>
          <a:off x="4505325" y="188595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w1_drawing8.xml><?xml version="1.0" encoding="utf-8"?>
<xdr:wsDr xmlns:xdr="http://schemas.openxmlformats.org/drawingml/2006/spreadsheetDrawing" xmlns:a="http://schemas.openxmlformats.org/drawingml/2006/main">
  <xdr:twoCellAnchor>
    <xdr:from>
      <xdr:col>6</xdr:col>
      <xdr:colOff>0</xdr:colOff>
      <xdr:row>15</xdr:row>
      <xdr:rowOff>0</xdr:rowOff>
    </xdr:from>
    <xdr:to>
      <xdr:col>15</xdr:col>
      <xdr:colOff>697707</xdr:colOff>
      <xdr:row>24</xdr:row>
      <xdr:rowOff>35718</xdr:rowOff>
    </xdr:to>
    <xdr:sp macro="" textlink="">
      <xdr:nvSpPr>
        <xdr:cNvPr id="2" name="角丸四角形 1"/>
        <xdr:cNvSpPr/>
      </xdr:nvSpPr>
      <xdr:spPr>
        <a:xfrm>
          <a:off x="4505325" y="257175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w5_drawing1.xml><?xml version="1.0" encoding="utf-8"?>
<xdr:wsDr xmlns:xdr="http://schemas.openxmlformats.org/drawingml/2006/spreadsheetDrawing" xmlns:a="http://schemas.openxmlformats.org/drawingml/2006/main">
  <xdr:twoCellAnchor>
    <xdr:from>
      <xdr:col>43</xdr:col>
      <xdr:colOff>224117</xdr:colOff>
      <xdr:row>0</xdr:row>
      <xdr:rowOff>100853</xdr:rowOff>
    </xdr:from>
    <xdr:to>
      <xdr:col>51</xdr:col>
      <xdr:colOff>112058</xdr:colOff>
      <xdr:row>5</xdr:row>
      <xdr:rowOff>0</xdr:rowOff>
    </xdr:to>
    <xdr:sp macro="" textlink="">
      <xdr:nvSpPr>
        <xdr:cNvPr id="2" name="テキスト ボックス 1"/>
        <xdr:cNvSpPr txBox="1"/>
      </xdr:nvSpPr>
      <xdr:spPr>
        <a:xfrm>
          <a:off x="41988441" y="100853"/>
          <a:ext cx="5883088" cy="739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維持管理費の増加分　</a:t>
          </a:r>
          <a:r>
            <a:rPr kumimoji="1" lang="en-US" altLang="ja-JP" sz="1100"/>
            <a:t>4,390</a:t>
          </a:r>
          <a:r>
            <a:rPr kumimoji="1" lang="ja-JP" altLang="en-US" sz="1100"/>
            <a:t>（当初予算比）</a:t>
          </a:r>
          <a:endParaRPr kumimoji="1" lang="en-US" altLang="ja-JP" sz="1100"/>
        </a:p>
        <a:p>
          <a:r>
            <a:rPr kumimoji="1" lang="en-US" altLang="ja-JP" sz="1100"/>
            <a:t>12</a:t>
          </a:r>
          <a:r>
            <a:rPr kumimoji="1" lang="ja-JP" altLang="en-US" sz="1100"/>
            <a:t>月補正分　</a:t>
          </a:r>
          <a:r>
            <a:rPr kumimoji="1" lang="en-US" altLang="ja-JP" sz="1100"/>
            <a:t>-4,934</a:t>
          </a:r>
        </a:p>
        <a:p>
          <a:r>
            <a:rPr kumimoji="1" lang="ja-JP" altLang="en-US" sz="1100"/>
            <a:t>２月補正分　</a:t>
          </a:r>
          <a:r>
            <a:rPr kumimoji="1" lang="en-US" altLang="ja-JP" sz="1100"/>
            <a:t>-52,311  total -52,855</a:t>
          </a:r>
          <a:endParaRPr kumimoji="1" lang="ja-JP" altLang="en-US" sz="1100"/>
        </a:p>
      </xdr:txBody>
    </xdr:sp>
    <xdr:clientData/>
  </xdr:twoCellAnchor>
</xdr:wsDr>
</file>

<file path=xl/drawings/w5_drawing2.xml><?xml version="1.0" encoding="utf-8"?>
<xdr:wsDr xmlns:xdr="http://schemas.openxmlformats.org/drawingml/2006/spreadsheetDrawing" xmlns:a="http://schemas.openxmlformats.org/drawingml/2006/main">
  <xdr:twoCellAnchor>
    <xdr:from>
      <xdr:col>46</xdr:col>
      <xdr:colOff>392206</xdr:colOff>
      <xdr:row>8</xdr:row>
      <xdr:rowOff>1</xdr:rowOff>
    </xdr:from>
    <xdr:to>
      <xdr:col>55</xdr:col>
      <xdr:colOff>22412</xdr:colOff>
      <xdr:row>16</xdr:row>
      <xdr:rowOff>22413</xdr:rowOff>
    </xdr:to>
    <xdr:sp macro="" textlink="">
      <xdr:nvSpPr>
        <xdr:cNvPr id="2" name="テキスト ボックス 1"/>
        <xdr:cNvSpPr txBox="1"/>
      </xdr:nvSpPr>
      <xdr:spPr>
        <a:xfrm>
          <a:off x="8090647" y="1344707"/>
          <a:ext cx="5782236" cy="1367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0" u="none" strike="noStrike">
              <a:solidFill>
                <a:schemeClr val="dk1"/>
              </a:solidFill>
              <a:effectLst/>
              <a:latin typeface="+mn-lt"/>
              <a:ea typeface="+mn-ea"/>
              <a:cs typeface="+mn-cs"/>
            </a:rPr>
            <a:t>921393</a:t>
          </a:r>
          <a:r>
            <a:rPr lang="ja-JP" altLang="en-US" sz="1100" b="0" i="0" u="none" strike="noStrike">
              <a:solidFill>
                <a:schemeClr val="dk1"/>
              </a:solidFill>
              <a:effectLst/>
              <a:latin typeface="+mn-lt"/>
              <a:ea typeface="+mn-ea"/>
              <a:cs typeface="+mn-cs"/>
            </a:rPr>
            <a:t>生活扶助世帯水洗化工事費補助　　　　　</a:t>
          </a:r>
          <a:r>
            <a:rPr lang="en-US" altLang="ja-JP" sz="1100" b="0" i="0" u="none" strike="noStrike">
              <a:solidFill>
                <a:schemeClr val="dk1"/>
              </a:solidFill>
              <a:effectLst/>
              <a:latin typeface="+mn-lt"/>
              <a:ea typeface="+mn-ea"/>
              <a:cs typeface="+mn-cs"/>
            </a:rPr>
            <a:t>921394</a:t>
          </a:r>
          <a:r>
            <a:rPr lang="ja-JP" altLang="en-US" sz="1100" b="0" i="0" u="none" strike="noStrike">
              <a:solidFill>
                <a:schemeClr val="dk1"/>
              </a:solidFill>
              <a:effectLst/>
              <a:latin typeface="+mn-lt"/>
              <a:ea typeface="+mn-ea"/>
              <a:cs typeface="+mn-cs"/>
            </a:rPr>
            <a:t>私道内排水設備布設工事費補助</a:t>
          </a:r>
          <a:endParaRPr lang="en-US" altLang="ja-JP" sz="1100" b="0" i="0" u="none" strike="noStrike">
            <a:solidFill>
              <a:schemeClr val="dk1"/>
            </a:solidFill>
            <a:effectLst/>
            <a:latin typeface="+mn-lt"/>
            <a:ea typeface="+mn-ea"/>
            <a:cs typeface="+mn-cs"/>
          </a:endParaRPr>
        </a:p>
        <a:p>
          <a:r>
            <a:rPr lang="en-US" altLang="ja-JP" sz="1100" b="0" i="0" u="none" strike="noStrike">
              <a:solidFill>
                <a:schemeClr val="dk1"/>
              </a:solidFill>
              <a:effectLst/>
              <a:latin typeface="+mn-lt"/>
              <a:ea typeface="+mn-ea"/>
              <a:cs typeface="+mn-cs"/>
            </a:rPr>
            <a:t>921514</a:t>
          </a:r>
          <a:r>
            <a:rPr lang="ja-JP" altLang="en-US" sz="1100" b="0" i="0" u="none" strike="noStrike">
              <a:solidFill>
                <a:schemeClr val="dk1"/>
              </a:solidFill>
              <a:effectLst/>
              <a:latin typeface="+mn-lt"/>
              <a:ea typeface="+mn-ea"/>
              <a:cs typeface="+mn-cs"/>
            </a:rPr>
            <a:t>水洗便所改造資金貸付等事務（特環）　　</a:t>
          </a:r>
          <a:r>
            <a:rPr lang="en-US" altLang="ja-JP" sz="1100" b="0" i="0" u="none" strike="noStrike">
              <a:solidFill>
                <a:schemeClr val="dk1"/>
              </a:solidFill>
              <a:effectLst/>
              <a:latin typeface="+mn-lt"/>
              <a:ea typeface="+mn-ea"/>
              <a:cs typeface="+mn-cs"/>
            </a:rPr>
            <a:t>921613</a:t>
          </a:r>
          <a:r>
            <a:rPr lang="ja-JP" altLang="en-US" sz="1100" b="0" i="0" u="none" strike="noStrike">
              <a:solidFill>
                <a:schemeClr val="dk1"/>
              </a:solidFill>
              <a:effectLst/>
              <a:latin typeface="+mn-lt"/>
              <a:ea typeface="+mn-ea"/>
              <a:cs typeface="+mn-cs"/>
            </a:rPr>
            <a:t>水洗便所改造資金貸付等事務（農集）</a:t>
          </a:r>
          <a:endParaRPr lang="en-US" altLang="ja-JP" sz="1100" b="0" i="0" u="none" strike="noStrike">
            <a:solidFill>
              <a:schemeClr val="dk1"/>
            </a:solidFill>
            <a:effectLst/>
            <a:latin typeface="+mn-lt"/>
            <a:ea typeface="+mn-ea"/>
            <a:cs typeface="+mn-cs"/>
          </a:endParaRPr>
        </a:p>
        <a:p>
          <a:r>
            <a:rPr lang="en-US" altLang="ja-JP" sz="1100" b="0" i="0" u="none" strike="noStrike">
              <a:solidFill>
                <a:schemeClr val="dk1"/>
              </a:solidFill>
              <a:effectLst/>
              <a:latin typeface="+mn-lt"/>
              <a:ea typeface="+mn-ea"/>
              <a:cs typeface="+mn-cs"/>
            </a:rPr>
            <a:t>921805</a:t>
          </a:r>
          <a:r>
            <a:rPr lang="ja-JP" altLang="en-US" sz="1100" b="0" i="0" u="none" strike="noStrike">
              <a:solidFill>
                <a:schemeClr val="dk1"/>
              </a:solidFill>
              <a:effectLst/>
              <a:latin typeface="+mn-lt"/>
              <a:ea typeface="+mn-ea"/>
              <a:cs typeface="+mn-cs"/>
            </a:rPr>
            <a:t>水洗便所改造資金貸付等事務（浄化槽）　</a:t>
          </a:r>
          <a:r>
            <a:rPr lang="en-US" altLang="ja-JP" sz="1100" b="0" i="0" u="none" strike="noStrike">
              <a:solidFill>
                <a:schemeClr val="dk1"/>
              </a:solidFill>
              <a:effectLst/>
              <a:latin typeface="+mn-lt"/>
              <a:ea typeface="+mn-ea"/>
              <a:cs typeface="+mn-cs"/>
            </a:rPr>
            <a:t>921605</a:t>
          </a:r>
          <a:r>
            <a:rPr lang="ja-JP" altLang="en-US" sz="1100" b="0" i="0" u="none" strike="noStrike">
              <a:solidFill>
                <a:schemeClr val="dk1"/>
              </a:solidFill>
              <a:effectLst/>
              <a:latin typeface="+mn-lt"/>
              <a:ea typeface="+mn-ea"/>
              <a:cs typeface="+mn-cs"/>
            </a:rPr>
            <a:t>排水設備改造資金利子補給（農集）</a:t>
          </a:r>
          <a:r>
            <a:rPr lang="ja-JP" altLang="en-US"/>
            <a:t> </a:t>
          </a:r>
          <a:endParaRPr kumimoji="1" lang="en-US" altLang="ja-JP" sz="1100" b="0" i="0" u="none" strike="noStrike">
            <a:solidFill>
              <a:srgbClr val="FF0000"/>
            </a:solidFill>
            <a:latin typeface="ＭＳ Ｐゴシック"/>
            <a:ea typeface="+mn-ea"/>
          </a:endParaRPr>
        </a:p>
        <a:p>
          <a:r>
            <a:rPr kumimoji="1" lang="ja-JP" altLang="en-US" sz="1100" b="0" i="0" u="none" strike="noStrike">
              <a:solidFill>
                <a:srgbClr val="000000"/>
              </a:solidFill>
              <a:latin typeface="ＭＳ Ｐゴシック"/>
              <a:ea typeface="+mn-ea"/>
            </a:rPr>
            <a:t>上記が、ここでの集計対象科目。</a:t>
          </a:r>
          <a:endParaRPr kumimoji="1" lang="en-US" altLang="ja-JP" sz="1100" b="0" i="0" u="none" strike="noStrike">
            <a:solidFill>
              <a:srgbClr val="000000"/>
            </a:solidFill>
            <a:latin typeface="ＭＳ Ｐゴシック"/>
            <a:ea typeface="+mn-ea"/>
          </a:endParaRPr>
        </a:p>
        <a:p>
          <a:r>
            <a:rPr kumimoji="1" lang="ja-JP" altLang="en-US" sz="1100" b="0" i="0" u="none" strike="noStrike">
              <a:solidFill>
                <a:srgbClr val="000000"/>
              </a:solidFill>
              <a:latin typeface="ＭＳ Ｐゴシック"/>
              <a:ea typeface="+mn-ea"/>
            </a:rPr>
            <a:t>以下は、財計繰出基準のメニューに明記されていないため、２８年度から除いているが、次期財計では、明記して算入すべき。</a:t>
          </a:r>
          <a:endParaRPr kumimoji="1" lang="en-US" altLang="ja-JP" sz="1100" b="0" i="0" u="none" strike="noStrike">
            <a:solidFill>
              <a:srgbClr val="000000"/>
            </a:solidFill>
            <a:latin typeface="ＭＳ Ｐゴシック"/>
            <a:ea typeface="+mn-ea"/>
          </a:endParaRPr>
        </a:p>
        <a:p>
          <a:r>
            <a:rPr kumimoji="1" lang="en-US" altLang="ja-JP" sz="1100" b="0" i="0" u="none" strike="noStrike">
              <a:solidFill>
                <a:srgbClr val="FF0000"/>
              </a:solidFill>
              <a:latin typeface="ＭＳ Ｐゴシック"/>
              <a:ea typeface="+mn-ea"/>
            </a:rPr>
            <a:t>921605</a:t>
          </a:r>
          <a:r>
            <a:rPr kumimoji="1" lang="ja-JP" altLang="en-US" sz="1100" b="0" i="0" u="none" strike="noStrike">
              <a:solidFill>
                <a:srgbClr val="FF0000"/>
              </a:solidFill>
              <a:latin typeface="ＭＳ Ｐゴシック"/>
              <a:ea typeface="+mn-ea"/>
            </a:rPr>
            <a:t>排水設備改造資金利子補給（農集） </a:t>
          </a:r>
          <a:endParaRPr kumimoji="1" lang="en-US" altLang="en-US" sz="1100" b="0" i="0" u="none" strike="noStrike">
            <a:solidFill>
              <a:srgbClr val="FF0000"/>
            </a:solidFill>
            <a:latin typeface="ＭＳ Ｐゴシック"/>
            <a:ea typeface="ＭＳ Ｐゴシック"/>
          </a:endParaRPr>
        </a:p>
      </xdr:txBody>
    </xdr:sp>
    <xdr:clientData/>
  </xdr:twoCellAnchor>
  <xdr:twoCellAnchor>
    <xdr:from>
      <xdr:col>15</xdr:col>
      <xdr:colOff>224118</xdr:colOff>
      <xdr:row>16</xdr:row>
      <xdr:rowOff>123264</xdr:rowOff>
    </xdr:from>
    <xdr:to>
      <xdr:col>24</xdr:col>
      <xdr:colOff>145677</xdr:colOff>
      <xdr:row>21</xdr:row>
      <xdr:rowOff>22412</xdr:rowOff>
    </xdr:to>
    <xdr:sp macro="" textlink="">
      <xdr:nvSpPr>
        <xdr:cNvPr id="3" name="角丸四角形 2"/>
        <xdr:cNvSpPr/>
      </xdr:nvSpPr>
      <xdr:spPr>
        <a:xfrm>
          <a:off x="5703794" y="2812676"/>
          <a:ext cx="5266765" cy="739589"/>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3600">
              <a:solidFill>
                <a:srgbClr val="FF0000"/>
              </a:solidFill>
              <a:latin typeface="+mn-ea"/>
              <a:ea typeface="+mn-ea"/>
            </a:rPr>
            <a:t>H30</a:t>
          </a:r>
          <a:r>
            <a:rPr kumimoji="1" lang="ja-JP" altLang="en-US" sz="3600">
              <a:solidFill>
                <a:srgbClr val="FF0000"/>
              </a:solidFill>
              <a:latin typeface="+mn-ea"/>
              <a:ea typeface="+mn-ea"/>
            </a:rPr>
            <a:t>から廃止</a:t>
          </a:r>
        </a:p>
      </xdr:txBody>
    </xdr:sp>
    <xdr:clientData/>
  </xdr:twoCellAnchor>
</xdr:wsDr>
</file>

<file path=xl/drawings/w5_drawing3.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13</xdr:col>
      <xdr:colOff>95250</xdr:colOff>
      <xdr:row>33</xdr:row>
      <xdr:rowOff>142875</xdr:rowOff>
    </xdr:from>
    <xdr:to>
      <xdr:col>15</xdr:col>
      <xdr:colOff>180975</xdr:colOff>
      <xdr:row>35</xdr:row>
      <xdr:rowOff>57150</xdr:rowOff>
    </xdr:to>
    <xdr:sp macro="" textlink="">
      <xdr:nvSpPr>
        <xdr:cNvPr id="9" name="四角形吹き出し 8"/>
        <xdr:cNvSpPr/>
      </xdr:nvSpPr>
      <xdr:spPr>
        <a:xfrm>
          <a:off x="9010650" y="5800725"/>
          <a:ext cx="1457325" cy="257175"/>
        </a:xfrm>
        <a:prstGeom prst="wedgeRectCallout">
          <a:avLst>
            <a:gd name="adj1" fmla="val -38439"/>
            <a:gd name="adj2" fmla="val 838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latin typeface="+mj-ea"/>
              <a:ea typeface="+mj-ea"/>
            </a:rPr>
            <a:t>固定資産担当作成</a:t>
          </a:r>
          <a:endParaRPr kumimoji="1" lang="en-US" altLang="ja-JP" sz="800">
            <a:latin typeface="+mj-ea"/>
            <a:ea typeface="+mj-ea"/>
          </a:endParaRPr>
        </a:p>
        <a:p>
          <a:pPr algn="l"/>
          <a:r>
            <a:rPr kumimoji="1" lang="ja-JP" altLang="en-US" sz="800">
              <a:latin typeface="+mj-ea"/>
              <a:ea typeface="+mj-ea"/>
            </a:rPr>
            <a:t>「平成</a:t>
          </a:r>
          <a:r>
            <a:rPr kumimoji="1" lang="en-US" altLang="ja-JP" sz="800">
              <a:latin typeface="+mj-ea"/>
              <a:ea typeface="+mj-ea"/>
            </a:rPr>
            <a:t>27</a:t>
          </a:r>
          <a:r>
            <a:rPr kumimoji="1" lang="ja-JP" altLang="en-US" sz="800">
              <a:latin typeface="+mj-ea"/>
              <a:ea typeface="+mj-ea"/>
            </a:rPr>
            <a:t>年度決算　耐用年数の登録誤りによる過年度損益修正に係る雨汚水分け」等より</a:t>
          </a:r>
        </a:p>
      </xdr:txBody>
    </xdr:sp>
    <xdr:clientData/>
  </xdr:twoCellAnchor>
  <xdr:twoCellAnchor>
    <xdr:from>
      <xdr:col>1</xdr:col>
      <xdr:colOff>0</xdr:colOff>
      <xdr:row>20</xdr:row>
      <xdr:rowOff>0</xdr:rowOff>
    </xdr:from>
    <xdr:to>
      <xdr:col>11</xdr:col>
      <xdr:colOff>0</xdr:colOff>
      <xdr:row>44</xdr:row>
      <xdr:rowOff>0</xdr:rowOff>
    </xdr:to>
    <xdr:sp macro="" textlink="">
      <xdr:nvSpPr>
        <xdr:cNvPr id="10" name="正方形/長方形 9"/>
        <xdr:cNvSpPr/>
      </xdr:nvSpPr>
      <xdr:spPr>
        <a:xfrm>
          <a:off x="201083" y="6350000"/>
          <a:ext cx="8688917" cy="762000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3600" b="1">
              <a:solidFill>
                <a:sysClr val="windowText" lastClr="000000"/>
              </a:solidFill>
            </a:rPr>
            <a:t>営業外費用以下未確定（精査中）</a:t>
          </a:r>
        </a:p>
      </xdr:txBody>
    </xdr:sp>
    <xdr:clientData/>
  </xdr:twoCellAnchor>
</xdr:wsDr>
</file>

<file path=xl/drawings/w5_drawing4.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w5_drawing5.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w5_drawing6.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1295400"/>
          <a:ext cx="0" cy="12763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3124200"/>
          <a:ext cx="0" cy="7239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68580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68580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6858000" y="2466975"/>
          <a:ext cx="0" cy="1047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18</xdr:col>
      <xdr:colOff>47625</xdr:colOff>
      <xdr:row>29</xdr:row>
      <xdr:rowOff>95250</xdr:rowOff>
    </xdr:from>
    <xdr:to>
      <xdr:col>18</xdr:col>
      <xdr:colOff>428625</xdr:colOff>
      <xdr:row>31</xdr:row>
      <xdr:rowOff>38100</xdr:rowOff>
    </xdr:to>
    <xdr:sp macro="" textlink="">
      <xdr:nvSpPr>
        <xdr:cNvPr id="9" name="左矢印 8"/>
        <xdr:cNvSpPr>
          <a:spLocks noChangeArrowheads="1"/>
        </xdr:cNvSpPr>
      </xdr:nvSpPr>
      <xdr:spPr bwMode="auto">
        <a:xfrm>
          <a:off x="12392025" y="5067300"/>
          <a:ext cx="381000" cy="285750"/>
        </a:xfrm>
        <a:prstGeom prst="leftArrow">
          <a:avLst>
            <a:gd name="adj1" fmla="val 50000"/>
            <a:gd name="adj2" fmla="val 49784"/>
          </a:avLst>
        </a:prstGeom>
        <a:solidFill>
          <a:srgbClr val="FF0000"/>
        </a:solidFill>
        <a:ln w="9525" algn="ctr">
          <a:solidFill>
            <a:srgbClr val="000000"/>
          </a:solidFill>
          <a:round/>
          <a:headEnd/>
          <a:tailEnd/>
        </a:ln>
      </xdr:spPr>
    </xdr:sp>
    <xdr:clientData/>
  </xdr:twoCellAnchor>
  <xdr:twoCellAnchor>
    <xdr:from>
      <xdr:col>24</xdr:col>
      <xdr:colOff>571499</xdr:colOff>
      <xdr:row>19</xdr:row>
      <xdr:rowOff>202406</xdr:rowOff>
    </xdr:from>
    <xdr:to>
      <xdr:col>25</xdr:col>
      <xdr:colOff>559593</xdr:colOff>
      <xdr:row>20</xdr:row>
      <xdr:rowOff>238125</xdr:rowOff>
    </xdr:to>
    <xdr:sp macro="" textlink="">
      <xdr:nvSpPr>
        <xdr:cNvPr id="10" name="下カーブ矢印 9"/>
        <xdr:cNvSpPr/>
      </xdr:nvSpPr>
      <xdr:spPr bwMode="auto">
        <a:xfrm flipH="1">
          <a:off x="17030699" y="3431381"/>
          <a:ext cx="673894" cy="169069"/>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w5_drawing7.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1295400"/>
          <a:ext cx="0" cy="12763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3124200"/>
          <a:ext cx="0" cy="7239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68580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68580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6858000" y="2466975"/>
          <a:ext cx="0" cy="1047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21</xdr:col>
      <xdr:colOff>428625</xdr:colOff>
      <xdr:row>19</xdr:row>
      <xdr:rowOff>261938</xdr:rowOff>
    </xdr:from>
    <xdr:to>
      <xdr:col>22</xdr:col>
      <xdr:colOff>607218</xdr:colOff>
      <xdr:row>20</xdr:row>
      <xdr:rowOff>297657</xdr:rowOff>
    </xdr:to>
    <xdr:sp macro="" textlink="">
      <xdr:nvSpPr>
        <xdr:cNvPr id="9" name="下カーブ矢印 8"/>
        <xdr:cNvSpPr/>
      </xdr:nvSpPr>
      <xdr:spPr bwMode="auto">
        <a:xfrm flipH="1">
          <a:off x="14830425" y="3424238"/>
          <a:ext cx="864393" cy="178594"/>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w5_drawing8.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2495550"/>
          <a:ext cx="0" cy="26479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6210300"/>
          <a:ext cx="0"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8410575" y="4162425"/>
          <a:ext cx="0" cy="32385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9324975"/>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9324975"/>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8410575" y="1781175"/>
          <a:ext cx="0" cy="21240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8410575" y="4867275"/>
          <a:ext cx="0" cy="2762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21</xdr:col>
      <xdr:colOff>428625</xdr:colOff>
      <xdr:row>19</xdr:row>
      <xdr:rowOff>261938</xdr:rowOff>
    </xdr:from>
    <xdr:to>
      <xdr:col>22</xdr:col>
      <xdr:colOff>607218</xdr:colOff>
      <xdr:row>20</xdr:row>
      <xdr:rowOff>297657</xdr:rowOff>
    </xdr:to>
    <xdr:sp macro="" textlink="">
      <xdr:nvSpPr>
        <xdr:cNvPr id="9" name="下カーブ矢印 8"/>
        <xdr:cNvSpPr/>
      </xdr:nvSpPr>
      <xdr:spPr bwMode="auto">
        <a:xfrm flipH="1">
          <a:off x="16087725" y="6777038"/>
          <a:ext cx="1178718" cy="378619"/>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w5_drawing9.xml><?xml version="1.0" encoding="utf-8"?>
<xdr:wsDr xmlns:xdr="http://schemas.openxmlformats.org/drawingml/2006/spreadsheetDrawing" xmlns:a="http://schemas.openxmlformats.org/drawingml/2006/main">
  <xdr:twoCellAnchor>
    <xdr:from>
      <xdr:col>7</xdr:col>
      <xdr:colOff>964407</xdr:colOff>
      <xdr:row>13</xdr:row>
      <xdr:rowOff>107156</xdr:rowOff>
    </xdr:from>
    <xdr:to>
      <xdr:col>12</xdr:col>
      <xdr:colOff>873359</xdr:colOff>
      <xdr:row>23</xdr:row>
      <xdr:rowOff>83343</xdr:rowOff>
    </xdr:to>
    <xdr:sp macro="" textlink="">
      <xdr:nvSpPr>
        <xdr:cNvPr id="3" name="角丸四角形 2"/>
        <xdr:cNvSpPr/>
      </xdr:nvSpPr>
      <xdr:spPr>
        <a:xfrm>
          <a:off x="7441407" y="2274094"/>
          <a:ext cx="5266765" cy="1643062"/>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3600">
              <a:solidFill>
                <a:srgbClr val="FF0000"/>
              </a:solidFill>
              <a:latin typeface="+mn-ea"/>
              <a:ea typeface="+mn-ea"/>
            </a:rPr>
            <a:t>このシート以降右</a:t>
          </a:r>
          <a:endParaRPr kumimoji="1" lang="en-US" altLang="ja-JP" sz="3600">
            <a:solidFill>
              <a:srgbClr val="FF0000"/>
            </a:solidFill>
            <a:latin typeface="+mn-ea"/>
            <a:ea typeface="+mn-ea"/>
          </a:endParaRPr>
        </a:p>
        <a:p>
          <a:pPr algn="ctr"/>
          <a:r>
            <a:rPr kumimoji="1" lang="ja-JP" altLang="en-US" sz="3600">
              <a:solidFill>
                <a:srgbClr val="FF0000"/>
              </a:solidFill>
              <a:latin typeface="+mn-ea"/>
              <a:ea typeface="+mn-ea"/>
            </a:rPr>
            <a:t>現在は使用していない。</a:t>
          </a:r>
        </a:p>
      </xdr:txBody>
    </xdr:sp>
    <xdr:clientData/>
  </xdr:twoCellAnchor>
</xdr:wsDr>
</file>

<file path=xl/drawings/w5_drawing10.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67775"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239875"/>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239875"/>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67775"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67775"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13</xdr:col>
      <xdr:colOff>95250</xdr:colOff>
      <xdr:row>33</xdr:row>
      <xdr:rowOff>142875</xdr:rowOff>
    </xdr:from>
    <xdr:to>
      <xdr:col>15</xdr:col>
      <xdr:colOff>180975</xdr:colOff>
      <xdr:row>35</xdr:row>
      <xdr:rowOff>57150</xdr:rowOff>
    </xdr:to>
    <xdr:sp macro="" textlink="">
      <xdr:nvSpPr>
        <xdr:cNvPr id="9" name="四角形吹き出し 8"/>
        <xdr:cNvSpPr/>
      </xdr:nvSpPr>
      <xdr:spPr>
        <a:xfrm>
          <a:off x="10744200" y="10515600"/>
          <a:ext cx="2028825" cy="542925"/>
        </a:xfrm>
        <a:prstGeom prst="wedgeRectCallout">
          <a:avLst>
            <a:gd name="adj1" fmla="val -38439"/>
            <a:gd name="adj2" fmla="val 838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latin typeface="+mj-ea"/>
              <a:ea typeface="+mj-ea"/>
            </a:rPr>
            <a:t>固定資産担当作成</a:t>
          </a:r>
          <a:endParaRPr kumimoji="1" lang="en-US" altLang="ja-JP" sz="800">
            <a:latin typeface="+mj-ea"/>
            <a:ea typeface="+mj-ea"/>
          </a:endParaRPr>
        </a:p>
        <a:p>
          <a:pPr algn="l"/>
          <a:r>
            <a:rPr kumimoji="1" lang="ja-JP" altLang="en-US" sz="800">
              <a:latin typeface="+mj-ea"/>
              <a:ea typeface="+mj-ea"/>
            </a:rPr>
            <a:t>「平成</a:t>
          </a:r>
          <a:r>
            <a:rPr kumimoji="1" lang="en-US" altLang="ja-JP" sz="800">
              <a:latin typeface="+mj-ea"/>
              <a:ea typeface="+mj-ea"/>
            </a:rPr>
            <a:t>27</a:t>
          </a:r>
          <a:r>
            <a:rPr kumimoji="1" lang="ja-JP" altLang="en-US" sz="800">
              <a:latin typeface="+mj-ea"/>
              <a:ea typeface="+mj-ea"/>
            </a:rPr>
            <a:t>年度決算　耐用年数の登録誤りによる過年度損益修正に係る雨汚水分け」等より</a:t>
          </a:r>
        </a:p>
      </xdr:txBody>
    </xdr:sp>
    <xdr:clientData/>
  </xdr:twoCellAnchor>
</xdr:wsDr>
</file>

<file path=xl/drawings/w5_drawing11.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67775"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239875"/>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239875"/>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67775"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67775"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w5_drawing12.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58250"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363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363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58250"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58250"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w6_drawing1.xml><?xml version="1.0" encoding="utf-8"?>
<xdr:wsDr xmlns:xdr="http://schemas.openxmlformats.org/drawingml/2006/spreadsheetDrawing" xmlns:a="http://schemas.openxmlformats.org/drawingml/2006/main">
  <xdr:twoCellAnchor>
    <xdr:from>
      <xdr:col>13</xdr:col>
      <xdr:colOff>533400</xdr:colOff>
      <xdr:row>3</xdr:row>
      <xdr:rowOff>114300</xdr:rowOff>
    </xdr:from>
    <xdr:to>
      <xdr:col>14</xdr:col>
      <xdr:colOff>9525</xdr:colOff>
      <xdr:row>5</xdr:row>
      <xdr:rowOff>19050</xdr:rowOff>
    </xdr:to>
    <xdr:sp macro="" textlink="">
      <xdr:nvSpPr>
        <xdr:cNvPr id="3" name="正方形/長方形 2"/>
        <xdr:cNvSpPr/>
      </xdr:nvSpPr>
      <xdr:spPr bwMode="auto">
        <a:xfrm>
          <a:off x="11639550" y="581025"/>
          <a:ext cx="342900" cy="17145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800"/>
            <a:t>（軽）</a:t>
          </a:r>
        </a:p>
      </xdr:txBody>
    </xdr:sp>
    <xdr:clientData/>
  </xdr:twoCellAnchor>
</xdr:wsDr>
</file>

<file path=xl/drawings/w6_drawing2.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214412" y="941294"/>
          <a:ext cx="347382"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w6_drawing3.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179674" y="927287"/>
          <a:ext cx="345701"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219075</xdr:colOff>
      <xdr:row>13</xdr:row>
      <xdr:rowOff>104775</xdr:rowOff>
    </xdr:from>
    <xdr:to>
      <xdr:col>14</xdr:col>
      <xdr:colOff>25400</xdr:colOff>
      <xdr:row>18</xdr:row>
      <xdr:rowOff>136525</xdr:rowOff>
    </xdr:to>
    <xdr:sp macro="" textlink="">
      <xdr:nvSpPr>
        <xdr:cNvPr id="3" name="楕円 2"/>
        <xdr:cNvSpPr/>
      </xdr:nvSpPr>
      <xdr:spPr bwMode="auto">
        <a:xfrm>
          <a:off x="9277350" y="3238500"/>
          <a:ext cx="3873500" cy="1270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w6_drawing4.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179674" y="927287"/>
          <a:ext cx="345701"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470647</xdr:colOff>
      <xdr:row>6</xdr:row>
      <xdr:rowOff>56029</xdr:rowOff>
    </xdr:from>
    <xdr:to>
      <xdr:col>13</xdr:col>
      <xdr:colOff>818030</xdr:colOff>
      <xdr:row>10</xdr:row>
      <xdr:rowOff>56028</xdr:rowOff>
    </xdr:to>
    <xdr:sp macro="" textlink="">
      <xdr:nvSpPr>
        <xdr:cNvPr id="3" name="楕円 2"/>
        <xdr:cNvSpPr/>
      </xdr:nvSpPr>
      <xdr:spPr bwMode="auto">
        <a:xfrm>
          <a:off x="9558618" y="1467970"/>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w6_drawing5.xml><?xml version="1.0" encoding="utf-8"?>
<xdr:wsDr xmlns:xdr="http://schemas.openxmlformats.org/drawingml/2006/spreadsheetDrawing" xmlns:a="http://schemas.openxmlformats.org/drawingml/2006/main">
  <xdr:twoCellAnchor>
    <xdr:from>
      <xdr:col>12</xdr:col>
      <xdr:colOff>616324</xdr:colOff>
      <xdr:row>4</xdr:row>
      <xdr:rowOff>34318</xdr:rowOff>
    </xdr:from>
    <xdr:to>
      <xdr:col>13</xdr:col>
      <xdr:colOff>0</xdr:colOff>
      <xdr:row>4</xdr:row>
      <xdr:rowOff>247228</xdr:rowOff>
    </xdr:to>
    <xdr:sp macro="" textlink="">
      <xdr:nvSpPr>
        <xdr:cNvPr id="2" name="正方形/長方形 1"/>
        <xdr:cNvSpPr/>
      </xdr:nvSpPr>
      <xdr:spPr bwMode="auto">
        <a:xfrm>
          <a:off x="12189199" y="927287"/>
          <a:ext cx="348082"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21</xdr:col>
      <xdr:colOff>616324</xdr:colOff>
      <xdr:row>0</xdr:row>
      <xdr:rowOff>22412</xdr:rowOff>
    </xdr:from>
    <xdr:to>
      <xdr:col>22</xdr:col>
      <xdr:colOff>0</xdr:colOff>
      <xdr:row>1</xdr:row>
      <xdr:rowOff>1959</xdr:rowOff>
    </xdr:to>
    <xdr:sp macro="" textlink="">
      <xdr:nvSpPr>
        <xdr:cNvPr id="3" name="正方形/長方形 2"/>
        <xdr:cNvSpPr/>
      </xdr:nvSpPr>
      <xdr:spPr bwMode="auto">
        <a:xfrm>
          <a:off x="20606918" y="22412"/>
          <a:ext cx="324270" cy="19386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212911</xdr:colOff>
      <xdr:row>24</xdr:row>
      <xdr:rowOff>56030</xdr:rowOff>
    </xdr:from>
    <xdr:to>
      <xdr:col>13</xdr:col>
      <xdr:colOff>560294</xdr:colOff>
      <xdr:row>32</xdr:row>
      <xdr:rowOff>56029</xdr:rowOff>
    </xdr:to>
    <xdr:sp macro="" textlink="">
      <xdr:nvSpPr>
        <xdr:cNvPr id="4" name="楕円 3"/>
        <xdr:cNvSpPr/>
      </xdr:nvSpPr>
      <xdr:spPr bwMode="auto">
        <a:xfrm>
          <a:off x="9300882" y="4426324"/>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w6_drawing6.xml><?xml version="1.0" encoding="utf-8"?>
<xdr:wsDr xmlns:xdr="http://schemas.openxmlformats.org/drawingml/2006/spreadsheetDrawing" xmlns:a="http://schemas.openxmlformats.org/drawingml/2006/main">
  <xdr:twoCellAnchor>
    <xdr:from>
      <xdr:col>12</xdr:col>
      <xdr:colOff>616324</xdr:colOff>
      <xdr:row>4</xdr:row>
      <xdr:rowOff>56030</xdr:rowOff>
    </xdr:from>
    <xdr:to>
      <xdr:col>13</xdr:col>
      <xdr:colOff>0</xdr:colOff>
      <xdr:row>4</xdr:row>
      <xdr:rowOff>268940</xdr:rowOff>
    </xdr:to>
    <xdr:sp macro="" textlink="">
      <xdr:nvSpPr>
        <xdr:cNvPr id="2" name="正方形/長方形 1"/>
        <xdr:cNvSpPr/>
      </xdr:nvSpPr>
      <xdr:spPr bwMode="auto">
        <a:xfrm>
          <a:off x="12797118" y="997324"/>
          <a:ext cx="381000"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w6_drawing7.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026" name="AutoShape 2"/>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計調データ</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6" name="正方形/長方形 5"/>
        <xdr:cNvSpPr/>
      </xdr:nvSpPr>
      <xdr:spPr bwMode="auto">
        <a:xfrm>
          <a:off x="12584206" y="840441"/>
          <a:ext cx="347382" cy="17369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3</xdr:row>
      <xdr:rowOff>134471</xdr:rowOff>
    </xdr:from>
    <xdr:to>
      <xdr:col>18</xdr:col>
      <xdr:colOff>0</xdr:colOff>
      <xdr:row>5</xdr:row>
      <xdr:rowOff>5602</xdr:rowOff>
    </xdr:to>
    <xdr:sp macro="" textlink="">
      <xdr:nvSpPr>
        <xdr:cNvPr id="7" name="正方形/長方形 6"/>
        <xdr:cNvSpPr/>
      </xdr:nvSpPr>
      <xdr:spPr bwMode="auto">
        <a:xfrm>
          <a:off x="17122589" y="806824"/>
          <a:ext cx="347382" cy="207307"/>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15</xdr:col>
      <xdr:colOff>152399</xdr:colOff>
      <xdr:row>24</xdr:row>
      <xdr:rowOff>33338</xdr:rowOff>
    </xdr:from>
    <xdr:to>
      <xdr:col>20</xdr:col>
      <xdr:colOff>1404937</xdr:colOff>
      <xdr:row>34</xdr:row>
      <xdr:rowOff>47625</xdr:rowOff>
    </xdr:to>
    <xdr:sp macro="" textlink="">
      <xdr:nvSpPr>
        <xdr:cNvPr id="5" name="楕円 4"/>
        <xdr:cNvSpPr/>
      </xdr:nvSpPr>
      <xdr:spPr bwMode="auto">
        <a:xfrm>
          <a:off x="13154024" y="4176713"/>
          <a:ext cx="4586288" cy="1681162"/>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w6_drawing8.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0241"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6" name="正方形/長方形 5"/>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873125</xdr:colOff>
      <xdr:row>25</xdr:row>
      <xdr:rowOff>15876</xdr:rowOff>
    </xdr:from>
    <xdr:to>
      <xdr:col>19</xdr:col>
      <xdr:colOff>603250</xdr:colOff>
      <xdr:row>32</xdr:row>
      <xdr:rowOff>63501</xdr:rowOff>
    </xdr:to>
    <xdr:sp macro="" textlink="">
      <xdr:nvSpPr>
        <xdr:cNvPr id="7" name="楕円 6"/>
        <xdr:cNvSpPr/>
      </xdr:nvSpPr>
      <xdr:spPr bwMode="auto">
        <a:xfrm>
          <a:off x="12303125" y="4524376"/>
          <a:ext cx="3873500" cy="1270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w6_drawing9.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1265"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3</xdr:col>
      <xdr:colOff>1023937</xdr:colOff>
      <xdr:row>13</xdr:row>
      <xdr:rowOff>-1</xdr:rowOff>
    </xdr:from>
    <xdr:to>
      <xdr:col>9</xdr:col>
      <xdr:colOff>381000</xdr:colOff>
      <xdr:row>32</xdr:row>
      <xdr:rowOff>83344</xdr:rowOff>
    </xdr:to>
    <xdr:sp macro="" textlink="">
      <xdr:nvSpPr>
        <xdr:cNvPr id="2" name="テキスト ボックス 1"/>
        <xdr:cNvSpPr txBox="1"/>
      </xdr:nvSpPr>
      <xdr:spPr>
        <a:xfrm>
          <a:off x="3000375" y="2309812"/>
          <a:ext cx="6846094" cy="3250407"/>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kumimoji="1" lang="ja-JP" altLang="en-US" sz="4000"/>
            <a:t>該当なし</a:t>
          </a:r>
          <a:endParaRPr kumimoji="1" lang="en-US" altLang="ja-JP" sz="4000"/>
        </a:p>
        <a:p>
          <a:pPr algn="ctr"/>
          <a:r>
            <a:rPr kumimoji="1" lang="en-US" altLang="ja-JP" sz="4000"/>
            <a:t>R6.4.28</a:t>
          </a:r>
          <a:endParaRPr kumimoji="1" lang="ja-JP" altLang="en-US" sz="4000"/>
        </a:p>
      </xdr:txBody>
    </xdr:sp>
    <xdr:clientData/>
  </xdr:twoCellAnchor>
</xdr:wsDr>
</file>

<file path=xl/drawings/w6_drawing10.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2289"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302559</xdr:colOff>
      <xdr:row>23</xdr:row>
      <xdr:rowOff>11206</xdr:rowOff>
    </xdr:from>
    <xdr:to>
      <xdr:col>18</xdr:col>
      <xdr:colOff>437030</xdr:colOff>
      <xdr:row>28</xdr:row>
      <xdr:rowOff>156882</xdr:rowOff>
    </xdr:to>
    <xdr:sp macro="" textlink="">
      <xdr:nvSpPr>
        <xdr:cNvPr id="5" name="楕円 4"/>
        <xdr:cNvSpPr/>
      </xdr:nvSpPr>
      <xdr:spPr bwMode="auto">
        <a:xfrm>
          <a:off x="11911853" y="4045324"/>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w6_drawing11.xml><?xml version="1.0" encoding="utf-8"?>
<xdr:wsDr xmlns:xdr="http://schemas.openxmlformats.org/drawingml/2006/spreadsheetDrawing" xmlns:a="http://schemas.openxmlformats.org/drawingml/2006/main">
  <xdr:twoCellAnchor>
    <xdr:from>
      <xdr:col>12</xdr:col>
      <xdr:colOff>616324</xdr:colOff>
      <xdr:row>4</xdr:row>
      <xdr:rowOff>0</xdr:rowOff>
    </xdr:from>
    <xdr:to>
      <xdr:col>13</xdr:col>
      <xdr:colOff>0</xdr:colOff>
      <xdr:row>5</xdr:row>
      <xdr:rowOff>5602</xdr:rowOff>
    </xdr:to>
    <xdr:sp macro="" textlink="">
      <xdr:nvSpPr>
        <xdr:cNvPr id="2" name="正方形/長方形 1"/>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15</xdr:col>
      <xdr:colOff>508000</xdr:colOff>
      <xdr:row>11</xdr:row>
      <xdr:rowOff>158751</xdr:rowOff>
    </xdr:from>
    <xdr:to>
      <xdr:col>19</xdr:col>
      <xdr:colOff>349250</xdr:colOff>
      <xdr:row>20</xdr:row>
      <xdr:rowOff>111126</xdr:rowOff>
    </xdr:to>
    <xdr:sp macro="" textlink="">
      <xdr:nvSpPr>
        <xdr:cNvPr id="4" name="楕円 3"/>
        <xdr:cNvSpPr/>
      </xdr:nvSpPr>
      <xdr:spPr bwMode="auto">
        <a:xfrm>
          <a:off x="14906625" y="3365501"/>
          <a:ext cx="3714750" cy="1524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w6_drawing12.xml><?xml version="1.0" encoding="utf-8"?>
<xdr:wsDr xmlns:xdr="http://schemas.openxmlformats.org/drawingml/2006/spreadsheetDrawing" xmlns:a="http://schemas.openxmlformats.org/drawingml/2006/main">
  <xdr:twoCellAnchor>
    <xdr:from>
      <xdr:col>12</xdr:col>
      <xdr:colOff>616324</xdr:colOff>
      <xdr:row>4</xdr:row>
      <xdr:rowOff>0</xdr:rowOff>
    </xdr:from>
    <xdr:to>
      <xdr:col>13</xdr:col>
      <xdr:colOff>0</xdr:colOff>
      <xdr:row>5</xdr:row>
      <xdr:rowOff>5602</xdr:rowOff>
    </xdr:to>
    <xdr:sp macro="" textlink="">
      <xdr:nvSpPr>
        <xdr:cNvPr id="2" name="正方形/長方形 1"/>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539750</xdr:colOff>
      <xdr:row>12</xdr:row>
      <xdr:rowOff>47626</xdr:rowOff>
    </xdr:from>
    <xdr:to>
      <xdr:col>18</xdr:col>
      <xdr:colOff>111125</xdr:colOff>
      <xdr:row>22</xdr:row>
      <xdr:rowOff>79376</xdr:rowOff>
    </xdr:to>
    <xdr:sp macro="" textlink="">
      <xdr:nvSpPr>
        <xdr:cNvPr id="4" name="楕円 3"/>
        <xdr:cNvSpPr/>
      </xdr:nvSpPr>
      <xdr:spPr bwMode="auto">
        <a:xfrm>
          <a:off x="12811125" y="3429001"/>
          <a:ext cx="4127500" cy="1778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w6_drawing13.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3313"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管路課データ</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6" name="正方形/長方形 5"/>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w6_drawing14.xml><?xml version="1.0" encoding="utf-8"?>
<xdr:wsDr xmlns:xdr="http://schemas.openxmlformats.org/drawingml/2006/spreadsheetDrawing" xmlns:a="http://schemas.openxmlformats.org/drawingml/2006/main">
  <xdr:twoCellAnchor>
    <xdr:from>
      <xdr:col>2</xdr:col>
      <xdr:colOff>28575</xdr:colOff>
      <xdr:row>26</xdr:row>
      <xdr:rowOff>28575</xdr:rowOff>
    </xdr:from>
    <xdr:to>
      <xdr:col>2</xdr:col>
      <xdr:colOff>1257300</xdr:colOff>
      <xdr:row>28</xdr:row>
      <xdr:rowOff>9525</xdr:rowOff>
    </xdr:to>
    <xdr:sp macro="" textlink="">
      <xdr:nvSpPr>
        <xdr:cNvPr id="2049" name="AutoShape 1"/>
        <xdr:cNvSpPr>
          <a:spLocks noChangeArrowheads="1"/>
        </xdr:cNvSpPr>
      </xdr:nvSpPr>
      <xdr:spPr bwMode="auto">
        <a:xfrm>
          <a:off x="657225" y="4495800"/>
          <a:ext cx="1228725" cy="323850"/>
        </a:xfrm>
        <a:prstGeom prst="wedgeRoundRectCallout">
          <a:avLst>
            <a:gd name="adj1" fmla="val 44971"/>
            <a:gd name="adj2" fmla="val 7353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公共は計調データ</a:t>
          </a:r>
        </a:p>
      </xdr:txBody>
    </xdr:sp>
    <xdr:clientData/>
  </xdr:twoCellAnchor>
  <xdr:twoCellAnchor>
    <xdr:from>
      <xdr:col>20</xdr:col>
      <xdr:colOff>33617</xdr:colOff>
      <xdr:row>8</xdr:row>
      <xdr:rowOff>67236</xdr:rowOff>
    </xdr:from>
    <xdr:to>
      <xdr:col>20</xdr:col>
      <xdr:colOff>134470</xdr:colOff>
      <xdr:row>12</xdr:row>
      <xdr:rowOff>268941</xdr:rowOff>
    </xdr:to>
    <xdr:sp macro="" textlink="">
      <xdr:nvSpPr>
        <xdr:cNvPr id="2" name="右中かっこ 1"/>
        <xdr:cNvSpPr/>
      </xdr:nvSpPr>
      <xdr:spPr bwMode="auto">
        <a:xfrm>
          <a:off x="19823205" y="2308412"/>
          <a:ext cx="100853" cy="1456764"/>
        </a:xfrm>
        <a:prstGeom prst="rightBrace">
          <a:avLst>
            <a:gd name="adj1" fmla="val 8333"/>
            <a:gd name="adj2" fmla="val 9231"/>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20</xdr:col>
      <xdr:colOff>66796</xdr:colOff>
      <xdr:row>9</xdr:row>
      <xdr:rowOff>44822</xdr:rowOff>
    </xdr:from>
    <xdr:to>
      <xdr:col>20</xdr:col>
      <xdr:colOff>750796</xdr:colOff>
      <xdr:row>16</xdr:row>
      <xdr:rowOff>224469</xdr:rowOff>
    </xdr:to>
    <xdr:cxnSp macro="">
      <xdr:nvCxnSpPr>
        <xdr:cNvPr id="8" name="カギ線コネクタ 7"/>
        <xdr:cNvCxnSpPr/>
      </xdr:nvCxnSpPr>
      <xdr:spPr bwMode="auto">
        <a:xfrm rot="5400000" flipH="1" flipV="1">
          <a:off x="19010384" y="3445763"/>
          <a:ext cx="2376000" cy="684000"/>
        </a:xfrm>
        <a:prstGeom prst="bentConnector3">
          <a:avLst>
            <a:gd name="adj1" fmla="val 481"/>
          </a:avLst>
        </a:prstGeom>
        <a:solidFill>
          <a:srgbClr val="FFFFFF"/>
        </a:solidFill>
        <a:ln w="12700" cap="flat" cmpd="sng" algn="ctr">
          <a:solidFill>
            <a:srgbClr val="000000"/>
          </a:solidFill>
          <a:prstDash val="solid"/>
          <a:round/>
          <a:headEnd type="none" w="med" len="med"/>
          <a:tailEnd type="triangle"/>
        </a:ln>
        <a:effectLst/>
      </xdr:spPr>
    </xdr:cxnSp>
    <xdr:clientData/>
  </xdr:twoCellAnchor>
  <xdr:twoCellAnchor editAs="oneCell">
    <xdr:from>
      <xdr:col>12</xdr:col>
      <xdr:colOff>313765</xdr:colOff>
      <xdr:row>23</xdr:row>
      <xdr:rowOff>156883</xdr:rowOff>
    </xdr:from>
    <xdr:to>
      <xdr:col>19</xdr:col>
      <xdr:colOff>727262</xdr:colOff>
      <xdr:row>82</xdr:row>
      <xdr:rowOff>166408</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3853" y="7104530"/>
          <a:ext cx="6879291" cy="9926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605119</xdr:colOff>
      <xdr:row>28</xdr:row>
      <xdr:rowOff>67236</xdr:rowOff>
    </xdr:from>
    <xdr:to>
      <xdr:col>16</xdr:col>
      <xdr:colOff>78442</xdr:colOff>
      <xdr:row>31</xdr:row>
      <xdr:rowOff>67236</xdr:rowOff>
    </xdr:to>
    <xdr:sp macro="" textlink="">
      <xdr:nvSpPr>
        <xdr:cNvPr id="3" name="角丸四角形 2"/>
        <xdr:cNvSpPr/>
      </xdr:nvSpPr>
      <xdr:spPr bwMode="auto">
        <a:xfrm>
          <a:off x="12965207" y="7855324"/>
          <a:ext cx="3048000" cy="504265"/>
        </a:xfrm>
        <a:prstGeom prst="roundRect">
          <a:avLst/>
        </a:prstGeom>
        <a:solidFill>
          <a:srgbClr val="FFFF99"/>
        </a:solidFill>
        <a:ln w="3810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600" b="1"/>
            <a:t>不課税収入の使途の特定方法</a:t>
          </a:r>
        </a:p>
      </xdr:txBody>
    </xdr:sp>
    <xdr:clientData/>
  </xdr:twoCellAnchor>
</xdr:wsDr>
</file>

<file path=xl/drawings/w6_drawing15.xml><?xml version="1.0" encoding="utf-8"?>
<xdr:wsDr xmlns:xdr="http://schemas.openxmlformats.org/drawingml/2006/spreadsheetDrawing" xmlns:a="http://schemas.openxmlformats.org/drawingml/2006/main">
  <xdr:twoCellAnchor>
    <xdr:from>
      <xdr:col>15</xdr:col>
      <xdr:colOff>0</xdr:colOff>
      <xdr:row>59</xdr:row>
      <xdr:rowOff>0</xdr:rowOff>
    </xdr:from>
    <xdr:to>
      <xdr:col>23</xdr:col>
      <xdr:colOff>806824</xdr:colOff>
      <xdr:row>65</xdr:row>
      <xdr:rowOff>11206</xdr:rowOff>
    </xdr:to>
    <xdr:sp macro="" textlink="">
      <xdr:nvSpPr>
        <xdr:cNvPr id="2" name="テキスト ボックス 1"/>
        <xdr:cNvSpPr txBox="1"/>
      </xdr:nvSpPr>
      <xdr:spPr>
        <a:xfrm>
          <a:off x="11967882" y="9917206"/>
          <a:ext cx="6555442" cy="101973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kumimoji="1" lang="en-US" altLang="ja-JP" sz="1100"/>
            <a:t>R6.4.26</a:t>
          </a:r>
        </a:p>
        <a:p>
          <a:r>
            <a:rPr kumimoji="1" lang="ja-JP" altLang="en-US" sz="1100"/>
            <a:t>例年、①</a:t>
          </a:r>
          <a:r>
            <a:rPr kumimoji="1" lang="en-US" altLang="ja-JP" sz="1100"/>
            <a:t>9</a:t>
          </a:r>
          <a:r>
            <a:rPr kumimoji="1" lang="ja-JP" altLang="en-US" sz="1100"/>
            <a:t>月分と②</a:t>
          </a:r>
          <a:r>
            <a:rPr kumimoji="1" lang="en-US" altLang="ja-JP" sz="1100"/>
            <a:t>3</a:t>
          </a:r>
          <a:r>
            <a:rPr kumimoji="1" lang="ja-JP" altLang="en-US" sz="1100"/>
            <a:t>月分の（案）の提出がある。</a:t>
          </a:r>
          <a:endParaRPr kumimoji="1" lang="en-US" altLang="ja-JP" sz="1100"/>
        </a:p>
        <a:p>
          <a:r>
            <a:rPr kumimoji="1" lang="ja-JP" altLang="en-US" sz="1100"/>
            <a:t>このうち、①</a:t>
          </a:r>
          <a:r>
            <a:rPr kumimoji="1" lang="en-US" altLang="ja-JP" sz="1100"/>
            <a:t>9</a:t>
          </a:r>
          <a:r>
            <a:rPr kumimoji="1" lang="ja-JP" altLang="en-US" sz="1100"/>
            <a:t>月分については、ア　案の実物とイ　交付税変更後で作成したもの</a:t>
          </a:r>
          <a:r>
            <a:rPr kumimoji="1" lang="en-US" altLang="ja-JP" sz="1100"/>
            <a:t>2</a:t>
          </a:r>
          <a:r>
            <a:rPr kumimoji="1" lang="ja-JP" altLang="en-US" sz="1100"/>
            <a:t>パターンある。</a:t>
          </a:r>
          <a:endParaRPr kumimoji="1" lang="en-US" altLang="ja-JP" sz="1100"/>
        </a:p>
        <a:p>
          <a:r>
            <a:rPr kumimoji="1" lang="ja-JP" altLang="en-US" sz="1100"/>
            <a:t>②とイが整合が取れていることを確認すること。</a:t>
          </a:r>
        </a:p>
      </xdr:txBody>
    </xdr:sp>
    <xdr:clientData/>
  </xdr:twoCellAnchor>
</xdr:wsDr>
</file>

<file path=xl/drawings/w6_drawing16.xml><?xml version="1.0" encoding="utf-8"?>
<xdr:wsDr xmlns:xdr="http://schemas.openxmlformats.org/drawingml/2006/spreadsheetDrawing" xmlns:a="http://schemas.openxmlformats.org/drawingml/2006/main">
  <xdr:twoCellAnchor>
    <xdr:from>
      <xdr:col>14</xdr:col>
      <xdr:colOff>447675</xdr:colOff>
      <xdr:row>35</xdr:row>
      <xdr:rowOff>200025</xdr:rowOff>
    </xdr:from>
    <xdr:to>
      <xdr:col>18</xdr:col>
      <xdr:colOff>342900</xdr:colOff>
      <xdr:row>39</xdr:row>
      <xdr:rowOff>104775</xdr:rowOff>
    </xdr:to>
    <xdr:sp macro="" textlink="">
      <xdr:nvSpPr>
        <xdr:cNvPr id="2" name="テキスト ボックス 1"/>
        <xdr:cNvSpPr txBox="1"/>
      </xdr:nvSpPr>
      <xdr:spPr>
        <a:xfrm>
          <a:off x="13992225" y="8791575"/>
          <a:ext cx="2638425" cy="895350"/>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a:t>←</a:t>
          </a:r>
          <a:r>
            <a:rPr kumimoji="1" lang="en-US" altLang="ja-JP" sz="1100"/>
            <a:t>R6.4.26 </a:t>
          </a:r>
          <a:r>
            <a:rPr kumimoji="1" lang="ja-JP" altLang="en-US" sz="1100"/>
            <a:t>入力済み</a:t>
          </a:r>
        </a:p>
      </xdr:txBody>
    </xdr:sp>
    <xdr:clientData/>
  </xdr:twoCellAnchor>
</xdr:wsDr>
</file>

<file path=xl/drawings/w7_drawing1.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3" name="角丸四角形 2"/>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4" name="角丸四角形 3"/>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wsDr>
</file>

<file path=xl/drawings/w7_drawing2.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3" name="角丸四角形 2"/>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4" name="角丸四角形 3"/>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wsDr>
</file>

<file path=xl/drawings/w7_drawing3.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w7_drawing4.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7143750" y="15144750"/>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8562975" y="15316200"/>
          <a:ext cx="151447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5857875" y="6229350"/>
          <a:ext cx="11429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w7_drawing5.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7143750" y="15144750"/>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8562975" y="15316200"/>
          <a:ext cx="151447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5857875" y="6229350"/>
          <a:ext cx="11429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w7_drawing6.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drawings/w7_drawing7.xml><?xml version="1.0" encoding="utf-8"?>
<xdr:wsDr xmlns:xdr="http://schemas.openxmlformats.org/drawingml/2006/spreadsheetDrawing" xmlns:a="http://schemas.openxmlformats.org/drawingml/2006/main">
  <xdr:twoCellAnchor>
    <xdr:from>
      <xdr:col>15</xdr:col>
      <xdr:colOff>142876</xdr:colOff>
      <xdr:row>0</xdr:row>
      <xdr:rowOff>0</xdr:rowOff>
    </xdr:from>
    <xdr:to>
      <xdr:col>21</xdr:col>
      <xdr:colOff>119063</xdr:colOff>
      <xdr:row>11</xdr:row>
      <xdr:rowOff>11905</xdr:rowOff>
    </xdr:to>
    <xdr:sp macro="" textlink="">
      <xdr:nvSpPr>
        <xdr:cNvPr id="2" name="角丸四角形吹き出し 1"/>
        <xdr:cNvSpPr/>
      </xdr:nvSpPr>
      <xdr:spPr>
        <a:xfrm>
          <a:off x="18395157" y="0"/>
          <a:ext cx="4310062" cy="2107405"/>
        </a:xfrm>
        <a:prstGeom prst="wedgeRoundRectCallout">
          <a:avLst>
            <a:gd name="adj1" fmla="val -50888"/>
            <a:gd name="adj2" fmla="val 86431"/>
            <a:gd name="adj3" fmla="val 16667"/>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000"/>
            <a:t>このシートは現在、決算担当は使用していないためフォローなし</a:t>
          </a:r>
          <a:endParaRPr kumimoji="1" lang="en-US" altLang="ja-JP" sz="2000"/>
        </a:p>
        <a:p>
          <a:pPr algn="l"/>
          <a:r>
            <a:rPr kumimoji="1" lang="ja-JP" altLang="en-US" sz="2000"/>
            <a:t>ただし、監査事務局へは部分的に紙ベースで提出しているため消費税担当が適宜、修正</a:t>
          </a:r>
        </a:p>
      </xdr:txBody>
    </xdr:sp>
    <xdr:clientData/>
  </xdr:twoCellAnchor>
</xdr:wsDr>
</file>

<file path=xl/drawings/w7_drawing8.xml><?xml version="1.0" encoding="utf-8"?>
<xdr:wsDr xmlns:xdr="http://schemas.openxmlformats.org/drawingml/2006/spreadsheetDrawing" xmlns:a="http://schemas.openxmlformats.org/drawingml/2006/main">
  <xdr:twoCellAnchor>
    <xdr:from>
      <xdr:col>5</xdr:col>
      <xdr:colOff>0</xdr:colOff>
      <xdr:row>4</xdr:row>
      <xdr:rowOff>0</xdr:rowOff>
    </xdr:from>
    <xdr:to>
      <xdr:col>18</xdr:col>
      <xdr:colOff>0</xdr:colOff>
      <xdr:row>14</xdr:row>
      <xdr:rowOff>0</xdr:rowOff>
    </xdr:to>
    <xdr:sp macro="" textlink="">
      <xdr:nvSpPr>
        <xdr:cNvPr id="2" name="テキスト ボックス 1"/>
        <xdr:cNvSpPr txBox="1"/>
      </xdr:nvSpPr>
      <xdr:spPr>
        <a:xfrm>
          <a:off x="598714" y="707571"/>
          <a:ext cx="5701393" cy="1768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決算：仕入れ対価の返還等はなし</a:t>
          </a:r>
          <a:endParaRPr kumimoji="1" lang="en-US" altLang="ja-JP" sz="1100"/>
        </a:p>
        <a:p>
          <a:r>
            <a:rPr kumimoji="1" lang="en-US" altLang="ja-JP" sz="1100"/>
            <a:t>※</a:t>
          </a:r>
          <a:r>
            <a:rPr kumimoji="1" lang="ja-JP" altLang="en-US" sz="1100"/>
            <a:t>支払った金額が過大だったため翌年度以降返還→レアケース（たぶん）</a:t>
          </a:r>
        </a:p>
      </xdr:txBody>
    </xdr:sp>
    <xdr:clientData/>
  </xdr:twoCellAnchor>
</xdr:wsDr>
</file>

<file path=xl/drawings/w7_drawing9.xml><?xml version="1.0" encoding="utf-8"?>
<xdr:wsDr xmlns:xdr="http://schemas.openxmlformats.org/drawingml/2006/spreadsheetDrawing" xmlns:a="http://schemas.openxmlformats.org/drawingml/2006/main">
  <xdr:twoCellAnchor>
    <xdr:from>
      <xdr:col>17</xdr:col>
      <xdr:colOff>0</xdr:colOff>
      <xdr:row>2</xdr:row>
      <xdr:rowOff>10697</xdr:rowOff>
    </xdr:from>
    <xdr:to>
      <xdr:col>18</xdr:col>
      <xdr:colOff>0</xdr:colOff>
      <xdr:row>3</xdr:row>
      <xdr:rowOff>509</xdr:rowOff>
    </xdr:to>
    <xdr:sp macro="" textlink="">
      <xdr:nvSpPr>
        <xdr:cNvPr id="6" name="テキスト ボックス 5"/>
        <xdr:cNvSpPr txBox="1"/>
      </xdr:nvSpPr>
      <xdr:spPr>
        <a:xfrm>
          <a:off x="9603441"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23</xdr:col>
      <xdr:colOff>-1</xdr:colOff>
      <xdr:row>2</xdr:row>
      <xdr:rowOff>10697</xdr:rowOff>
    </xdr:from>
    <xdr:to>
      <xdr:col>24</xdr:col>
      <xdr:colOff>-1</xdr:colOff>
      <xdr:row>3</xdr:row>
      <xdr:rowOff>509</xdr:rowOff>
    </xdr:to>
    <xdr:sp macro="" textlink="">
      <xdr:nvSpPr>
        <xdr:cNvPr id="7" name="テキスト ボックス 6"/>
        <xdr:cNvSpPr txBox="1"/>
      </xdr:nvSpPr>
      <xdr:spPr>
        <a:xfrm>
          <a:off x="14713323"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28</xdr:col>
      <xdr:colOff>851645</xdr:colOff>
      <xdr:row>2</xdr:row>
      <xdr:rowOff>10697</xdr:rowOff>
    </xdr:from>
    <xdr:to>
      <xdr:col>29</xdr:col>
      <xdr:colOff>851645</xdr:colOff>
      <xdr:row>3</xdr:row>
      <xdr:rowOff>509</xdr:rowOff>
    </xdr:to>
    <xdr:sp macro="" textlink="">
      <xdr:nvSpPr>
        <xdr:cNvPr id="8" name="テキスト ボックス 7"/>
        <xdr:cNvSpPr txBox="1"/>
      </xdr:nvSpPr>
      <xdr:spPr>
        <a:xfrm>
          <a:off x="19823204"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9</xdr:col>
      <xdr:colOff>0</xdr:colOff>
      <xdr:row>2</xdr:row>
      <xdr:rowOff>10697</xdr:rowOff>
    </xdr:from>
    <xdr:to>
      <xdr:col>10</xdr:col>
      <xdr:colOff>0</xdr:colOff>
      <xdr:row>3</xdr:row>
      <xdr:rowOff>509</xdr:rowOff>
    </xdr:to>
    <xdr:sp macro="" textlink="">
      <xdr:nvSpPr>
        <xdr:cNvPr id="9" name="テキスト ボックス 8"/>
        <xdr:cNvSpPr txBox="1"/>
      </xdr:nvSpPr>
      <xdr:spPr>
        <a:xfrm>
          <a:off x="8987118"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wsDr>
</file>

<file path=xl/drawings/w8_drawing1.xml><?xml version="1.0" encoding="utf-8"?>
<xdr:wsDr xmlns:xdr="http://schemas.openxmlformats.org/drawingml/2006/spreadsheetDrawing" xmlns:a="http://schemas.openxmlformats.org/drawingml/2006/main">
  <xdr:twoCellAnchor>
    <xdr:from>
      <xdr:col>2</xdr:col>
      <xdr:colOff>2171700</xdr:colOff>
      <xdr:row>37</xdr:row>
      <xdr:rowOff>0</xdr:rowOff>
    </xdr:from>
    <xdr:to>
      <xdr:col>6</xdr:col>
      <xdr:colOff>76200</xdr:colOff>
      <xdr:row>39</xdr:row>
      <xdr:rowOff>123825</xdr:rowOff>
    </xdr:to>
    <xdr:sp macro="" textlink="">
      <xdr:nvSpPr>
        <xdr:cNvPr id="2" name="大かっこ 1"/>
        <xdr:cNvSpPr/>
      </xdr:nvSpPr>
      <xdr:spPr>
        <a:xfrm>
          <a:off x="2667000" y="9201150"/>
          <a:ext cx="3771900" cy="6953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w8_drawing2.xml><?xml version="1.0" encoding="utf-8"?>
<xdr:wsDr xmlns:xdr="http://schemas.openxmlformats.org/drawingml/2006/spreadsheetDrawing" xmlns:a="http://schemas.openxmlformats.org/drawingml/2006/main">
  <xdr:twoCellAnchor>
    <xdr:from>
      <xdr:col>22</xdr:col>
      <xdr:colOff>358588</xdr:colOff>
      <xdr:row>1</xdr:row>
      <xdr:rowOff>22410</xdr:rowOff>
    </xdr:from>
    <xdr:to>
      <xdr:col>29</xdr:col>
      <xdr:colOff>224117</xdr:colOff>
      <xdr:row>6</xdr:row>
      <xdr:rowOff>168087</xdr:rowOff>
    </xdr:to>
    <xdr:sp macro="" textlink="">
      <xdr:nvSpPr>
        <xdr:cNvPr id="4" name="角丸四角形吹き出し 3"/>
        <xdr:cNvSpPr/>
      </xdr:nvSpPr>
      <xdr:spPr>
        <a:xfrm>
          <a:off x="12718676" y="347381"/>
          <a:ext cx="4650441" cy="1647265"/>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G</a:t>
          </a:r>
          <a:r>
            <a:rPr kumimoji="1" lang="ja-JP" altLang="en-US" sz="1800" b="1">
              <a:latin typeface="+mn-ea"/>
              <a:ea typeface="+mn-ea"/>
            </a:rPr>
            <a:t>列：議決予算額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列：前年度決算額　は入力済</a:t>
          </a:r>
          <a:r>
            <a:rPr kumimoji="1" lang="en-US" altLang="ja-JP" sz="1800" b="1">
              <a:latin typeface="+mn-ea"/>
              <a:ea typeface="+mn-ea"/>
            </a:rPr>
            <a:t>R6.3.13</a:t>
          </a:r>
          <a:endParaRPr kumimoji="1" lang="ja-JP" altLang="en-US" sz="1800" b="1">
            <a:latin typeface="+mn-ea"/>
            <a:ea typeface="+mn-ea"/>
          </a:endParaRPr>
        </a:p>
      </xdr:txBody>
    </xdr:sp>
    <xdr:clientData/>
  </xdr:twoCellAnchor>
</xdr:wsDr>
</file>

<file path=xl/drawings/w8_drawing3.xml><?xml version="1.0" encoding="utf-8"?>
<xdr:wsDr xmlns:xdr="http://schemas.openxmlformats.org/drawingml/2006/spreadsheetDrawing" xmlns:a="http://schemas.openxmlformats.org/drawingml/2006/main">
  <xdr:twoCellAnchor>
    <xdr:from>
      <xdr:col>8</xdr:col>
      <xdr:colOff>403410</xdr:colOff>
      <xdr:row>0</xdr:row>
      <xdr:rowOff>190499</xdr:rowOff>
    </xdr:from>
    <xdr:to>
      <xdr:col>17</xdr:col>
      <xdr:colOff>560294</xdr:colOff>
      <xdr:row>6</xdr:row>
      <xdr:rowOff>168089</xdr:rowOff>
    </xdr:to>
    <xdr:sp macro="" textlink="">
      <xdr:nvSpPr>
        <xdr:cNvPr id="3" name="角丸四角形吹き出し 2"/>
        <xdr:cNvSpPr/>
      </xdr:nvSpPr>
      <xdr:spPr>
        <a:xfrm>
          <a:off x="7194175" y="190499"/>
          <a:ext cx="6331325" cy="1277472"/>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r>
            <a:rPr kumimoji="1" lang="en-US" altLang="ja-JP" sz="1800" b="1">
              <a:latin typeface="+mn-ea"/>
              <a:ea typeface="+mn-ea"/>
            </a:rPr>
            <a:t>E</a:t>
          </a:r>
          <a:r>
            <a:rPr kumimoji="1" lang="ja-JP" altLang="en-US" sz="1800" b="1">
              <a:latin typeface="+mn-ea"/>
              <a:ea typeface="+mn-ea"/>
            </a:rPr>
            <a:t>列は該当なし</a:t>
          </a:r>
          <a:r>
            <a:rPr kumimoji="1" lang="en-US" altLang="ja-JP" sz="1800" b="1">
              <a:latin typeface="+mn-ea"/>
              <a:ea typeface="+mn-ea"/>
            </a:rPr>
            <a:t>R5.5.10</a:t>
          </a:r>
          <a:endParaRPr kumimoji="1" lang="ja-JP" altLang="en-US" sz="1800" b="1">
            <a:latin typeface="+mn-ea"/>
            <a:ea typeface="+mn-ea"/>
          </a:endParaRPr>
        </a:p>
      </xdr:txBody>
    </xdr:sp>
    <xdr:clientData/>
  </xdr:twoCellAnchor>
</xdr:wsDr>
</file>

<file path=xl/drawings/w8_drawing4.xml><?xml version="1.0" encoding="utf-8"?>
<xdr:wsDr xmlns:xdr="http://schemas.openxmlformats.org/drawingml/2006/spreadsheetDrawing" xmlns:a="http://schemas.openxmlformats.org/drawingml/2006/main">
  <xdr:twoCellAnchor>
    <xdr:from>
      <xdr:col>10</xdr:col>
      <xdr:colOff>0</xdr:colOff>
      <xdr:row>24</xdr:row>
      <xdr:rowOff>100853</xdr:rowOff>
    </xdr:from>
    <xdr:to>
      <xdr:col>15</xdr:col>
      <xdr:colOff>773206</xdr:colOff>
      <xdr:row>27</xdr:row>
      <xdr:rowOff>134471</xdr:rowOff>
    </xdr:to>
    <xdr:sp macro="" textlink="">
      <xdr:nvSpPr>
        <xdr:cNvPr id="2" name="テキスト ボックス 1"/>
        <xdr:cNvSpPr txBox="1"/>
      </xdr:nvSpPr>
      <xdr:spPr>
        <a:xfrm>
          <a:off x="8034618" y="6947647"/>
          <a:ext cx="4191000" cy="907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2000"/>
            </a:lnSpc>
          </a:pPr>
          <a:r>
            <a:rPr kumimoji="1" lang="ja-JP" altLang="en-US" sz="1800">
              <a:solidFill>
                <a:srgbClr val="FF0000"/>
              </a:solidFill>
            </a:rPr>
            <a:t>課税売上割合を乗じることにより控除できなくなった額をいる状態は、控除できない額を算出するための仮の決算額</a:t>
          </a:r>
        </a:p>
      </xdr:txBody>
    </xdr:sp>
    <xdr:clientData/>
  </xdr:twoCellAnchor>
  <xdr:twoCellAnchor>
    <xdr:from>
      <xdr:col>10</xdr:col>
      <xdr:colOff>0</xdr:colOff>
      <xdr:row>0</xdr:row>
      <xdr:rowOff>0</xdr:rowOff>
    </xdr:from>
    <xdr:to>
      <xdr:col>15</xdr:col>
      <xdr:colOff>511970</xdr:colOff>
      <xdr:row>3</xdr:row>
      <xdr:rowOff>190500</xdr:rowOff>
    </xdr:to>
    <xdr:sp macro="" textlink="">
      <xdr:nvSpPr>
        <xdr:cNvPr id="3" name="テキスト ボックス 2"/>
        <xdr:cNvSpPr txBox="1"/>
      </xdr:nvSpPr>
      <xdr:spPr>
        <a:xfrm>
          <a:off x="8034618" y="0"/>
          <a:ext cx="3929764" cy="918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2000"/>
            </a:lnSpc>
          </a:pPr>
          <a:r>
            <a:rPr kumimoji="1" lang="ja-JP" altLang="en-US" sz="1800">
              <a:solidFill>
                <a:srgbClr val="FF0000"/>
              </a:solidFill>
            </a:rPr>
            <a:t>このシートは、課税売上割合を乗じることにより控除できない額を算出するための仮の決算額算出用シート</a:t>
          </a:r>
        </a:p>
      </xdr:txBody>
    </xdr:sp>
    <xdr:clientData/>
  </xdr:twoCellAnchor>
  <xdr:twoCellAnchor>
    <xdr:from>
      <xdr:col>9</xdr:col>
      <xdr:colOff>336177</xdr:colOff>
      <xdr:row>3</xdr:row>
      <xdr:rowOff>134470</xdr:rowOff>
    </xdr:from>
    <xdr:to>
      <xdr:col>18</xdr:col>
      <xdr:colOff>0</xdr:colOff>
      <xdr:row>11</xdr:row>
      <xdr:rowOff>257735</xdr:rowOff>
    </xdr:to>
    <xdr:sp macro="" textlink="">
      <xdr:nvSpPr>
        <xdr:cNvPr id="5" name="角丸四角形吹き出し 4"/>
        <xdr:cNvSpPr/>
      </xdr:nvSpPr>
      <xdr:spPr>
        <a:xfrm>
          <a:off x="7261412" y="862852"/>
          <a:ext cx="6420970" cy="2454089"/>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E</a:t>
          </a:r>
          <a:r>
            <a:rPr kumimoji="1" lang="ja-JP" altLang="en-US" sz="1800" b="1">
              <a:latin typeface="+mn-ea"/>
              <a:ea typeface="+mn-ea"/>
            </a:rPr>
            <a:t>列：</a:t>
          </a:r>
          <a:r>
            <a:rPr kumimoji="1" lang="en-US" altLang="ja-JP" sz="1800" b="1">
              <a:latin typeface="+mn-ea"/>
              <a:ea typeface="+mn-ea"/>
            </a:rPr>
            <a:t>R6.5.9</a:t>
          </a:r>
          <a:r>
            <a:rPr kumimoji="1" lang="ja-JP" altLang="en-US" sz="1800" b="1">
              <a:latin typeface="+mn-ea"/>
              <a:ea typeface="+mn-ea"/>
            </a:rPr>
            <a:t>入力</a:t>
          </a:r>
          <a:endParaRPr kumimoji="1" lang="en-US" altLang="ja-JP" sz="1800" b="1">
            <a:latin typeface="+mn-ea"/>
            <a:ea typeface="+mn-ea"/>
          </a:endParaRPr>
        </a:p>
        <a:p>
          <a:pPr algn="l"/>
          <a:endParaRPr kumimoji="1" lang="en-US" altLang="ja-JP" sz="1800" b="1">
            <a:latin typeface="+mn-ea"/>
            <a:ea typeface="+mn-ea"/>
          </a:endParaRPr>
        </a:p>
        <a:p>
          <a:pPr algn="l"/>
          <a:r>
            <a:rPr kumimoji="1" lang="ja-JP" altLang="en-US" sz="1800" b="1">
              <a:latin typeface="+mn-ea"/>
              <a:ea typeface="+mn-ea"/>
            </a:rPr>
            <a:t>全体：</a:t>
          </a:r>
          <a:endParaRPr kumimoji="1" lang="en-US" altLang="ja-JP" sz="1800" b="1">
            <a:latin typeface="+mn-ea"/>
            <a:ea typeface="+mn-ea"/>
          </a:endParaRPr>
        </a:p>
      </xdr:txBody>
    </xdr:sp>
    <xdr:clientData/>
  </xdr:twoCellAnchor>
</xdr:wsDr>
</file>

<file path=xl/drawings/w8_drawing5.xml><?xml version="1.0" encoding="utf-8"?>
<xdr:wsDr xmlns:xdr="http://schemas.openxmlformats.org/drawingml/2006/spreadsheetDrawing" xmlns:a="http://schemas.openxmlformats.org/drawingml/2006/main">
  <xdr:twoCellAnchor>
    <xdr:from>
      <xdr:col>20</xdr:col>
      <xdr:colOff>593911</xdr:colOff>
      <xdr:row>2</xdr:row>
      <xdr:rowOff>44823</xdr:rowOff>
    </xdr:from>
    <xdr:to>
      <xdr:col>27</xdr:col>
      <xdr:colOff>459441</xdr:colOff>
      <xdr:row>17</xdr:row>
      <xdr:rowOff>179295</xdr:rowOff>
    </xdr:to>
    <xdr:sp macro="" textlink="">
      <xdr:nvSpPr>
        <xdr:cNvPr id="2" name="角丸四角形吹き出し 1"/>
        <xdr:cNvSpPr/>
      </xdr:nvSpPr>
      <xdr:spPr>
        <a:xfrm>
          <a:off x="16629529" y="493058"/>
          <a:ext cx="4650441" cy="3933266"/>
        </a:xfrm>
        <a:prstGeom prst="wedgeRoundRectCallout">
          <a:avLst>
            <a:gd name="adj1" fmla="val -52641"/>
            <a:gd name="adj2" fmla="val -5625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ja-JP" altLang="en-US" sz="1800" b="1">
              <a:latin typeface="+mn-ea"/>
              <a:ea typeface="+mn-ea"/>
            </a:rPr>
            <a:t>Ｊ列：前年度繰越充当財源　は資本的支出の事業別財源内訳（決算）を基に入力済</a:t>
          </a:r>
          <a:r>
            <a:rPr kumimoji="1" lang="en-US" altLang="ja-JP" sz="1800" b="1">
              <a:latin typeface="+mn-ea"/>
              <a:ea typeface="+mn-ea"/>
            </a:rPr>
            <a:t>R5.5.10</a:t>
          </a:r>
        </a:p>
        <a:p>
          <a:pPr algn="l"/>
          <a:r>
            <a:rPr kumimoji="1" lang="en-US" altLang="ja-JP" sz="1800" b="1">
              <a:latin typeface="+mn-ea"/>
              <a:ea typeface="+mn-ea"/>
            </a:rPr>
            <a:t>※M</a:t>
          </a:r>
          <a:r>
            <a:rPr kumimoji="1" lang="ja-JP" altLang="en-US" sz="1800" b="1">
              <a:latin typeface="+mn-ea"/>
              <a:ea typeface="+mn-ea"/>
            </a:rPr>
            <a:t>列で</a:t>
          </a:r>
          <a:r>
            <a:rPr kumimoji="1" lang="en-US" altLang="ja-JP" sz="1800" b="1">
              <a:latin typeface="+mn-ea"/>
              <a:ea typeface="+mn-ea"/>
            </a:rPr>
            <a:t>R3</a:t>
          </a:r>
          <a:r>
            <a:rPr kumimoji="1" lang="ja-JP" altLang="en-US" sz="1800" b="1">
              <a:latin typeface="+mn-ea"/>
              <a:ea typeface="+mn-ea"/>
            </a:rPr>
            <a:t>のみなしベースの額を算出するため、事故繰越分</a:t>
          </a:r>
          <a:r>
            <a:rPr kumimoji="1" lang="en-US" altLang="ja-JP" sz="1800" b="1">
              <a:latin typeface="+mn-ea"/>
              <a:ea typeface="+mn-ea"/>
            </a:rPr>
            <a:t>R</a:t>
          </a:r>
          <a:r>
            <a:rPr kumimoji="1" lang="ja-JP" altLang="en-US" sz="1800" b="1">
              <a:latin typeface="+mn-ea"/>
              <a:ea typeface="+mn-ea"/>
            </a:rPr>
            <a:t>２→４を除く必要があることから、ここに含めること</a:t>
          </a:r>
          <a:endParaRPr kumimoji="1" lang="en-US" altLang="ja-JP" sz="1800" b="1">
            <a:latin typeface="+mn-ea"/>
            <a:ea typeface="+mn-ea"/>
          </a:endParaRPr>
        </a:p>
        <a:p>
          <a:pPr algn="l"/>
          <a:endParaRPr kumimoji="1" lang="en-US" altLang="ja-JP" sz="1800" b="1">
            <a:latin typeface="+mn-ea"/>
            <a:ea typeface="+mn-ea"/>
          </a:endParaRPr>
        </a:p>
        <a:p>
          <a:pPr algn="l"/>
          <a:r>
            <a:rPr kumimoji="1" lang="ja-JP" altLang="en-US" sz="1800" b="1">
              <a:solidFill>
                <a:schemeClr val="bg1"/>
              </a:solidFill>
              <a:latin typeface="+mn-ea"/>
              <a:ea typeface="+mn-ea"/>
            </a:rPr>
            <a:t>Ｌ列は</a:t>
          </a:r>
          <a:r>
            <a:rPr kumimoji="1" lang="en-US" altLang="ja-JP" sz="1800" b="1">
              <a:solidFill>
                <a:schemeClr val="bg1"/>
              </a:solidFill>
              <a:latin typeface="+mn-ea"/>
              <a:ea typeface="+mn-ea"/>
            </a:rPr>
            <a:t>R5.5.10</a:t>
          </a:r>
          <a:r>
            <a:rPr kumimoji="1" lang="ja-JP" altLang="en-US" sz="1800" b="1">
              <a:solidFill>
                <a:schemeClr val="bg1"/>
              </a:solidFill>
              <a:latin typeface="+mn-ea"/>
              <a:ea typeface="+mn-ea"/>
            </a:rPr>
            <a:t>入力済</a:t>
          </a:r>
        </a:p>
      </xdr:txBody>
    </xdr:sp>
    <xdr:clientData/>
  </xdr:twoCellAnchor>
  <xdr:twoCellAnchor>
    <xdr:from>
      <xdr:col>21</xdr:col>
      <xdr:colOff>571501</xdr:colOff>
      <xdr:row>19</xdr:row>
      <xdr:rowOff>145678</xdr:rowOff>
    </xdr:from>
    <xdr:to>
      <xdr:col>23</xdr:col>
      <xdr:colOff>448236</xdr:colOff>
      <xdr:row>23</xdr:row>
      <xdr:rowOff>246530</xdr:rowOff>
    </xdr:to>
    <xdr:sp macro="" textlink="">
      <xdr:nvSpPr>
        <xdr:cNvPr id="11" name="楕円 10"/>
        <xdr:cNvSpPr/>
      </xdr:nvSpPr>
      <xdr:spPr>
        <a:xfrm>
          <a:off x="17290677" y="4964207"/>
          <a:ext cx="1243853" cy="1176617"/>
        </a:xfrm>
        <a:prstGeom prst="ellipse">
          <a:avLst/>
        </a:prstGeom>
        <a:solidFill>
          <a:srgbClr val="FF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済</a:t>
          </a:r>
        </a:p>
      </xdr:txBody>
    </xdr:sp>
    <xdr:clientData/>
  </xdr:twoCellAnchor>
</xdr:wsDr>
</file>

<file path=xl/drawings/w8_drawing6.xml><?xml version="1.0" encoding="utf-8"?>
<xdr:wsDr xmlns:xdr="http://schemas.openxmlformats.org/drawingml/2006/spreadsheetDrawing" xmlns:a="http://schemas.openxmlformats.org/drawingml/2006/main">
  <xdr:twoCellAnchor>
    <xdr:from>
      <xdr:col>18</xdr:col>
      <xdr:colOff>89645</xdr:colOff>
      <xdr:row>1</xdr:row>
      <xdr:rowOff>44821</xdr:rowOff>
    </xdr:from>
    <xdr:to>
      <xdr:col>24</xdr:col>
      <xdr:colOff>638733</xdr:colOff>
      <xdr:row>17</xdr:row>
      <xdr:rowOff>302558</xdr:rowOff>
    </xdr:to>
    <xdr:sp macro="" textlink="">
      <xdr:nvSpPr>
        <xdr:cNvPr id="2" name="角丸四角形吹き出し 1"/>
        <xdr:cNvSpPr/>
      </xdr:nvSpPr>
      <xdr:spPr>
        <a:xfrm>
          <a:off x="16001998" y="268939"/>
          <a:ext cx="4650441" cy="4986619"/>
        </a:xfrm>
        <a:prstGeom prst="wedgeRoundRectCallout">
          <a:avLst>
            <a:gd name="adj1" fmla="val -49025"/>
            <a:gd name="adj2" fmla="val -5531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3-4</a:t>
          </a:r>
          <a:r>
            <a:rPr kumimoji="1" lang="ja-JP" altLang="en-US" sz="1800" b="1">
              <a:latin typeface="+mn-ea"/>
              <a:ea typeface="+mn-ea"/>
            </a:rPr>
            <a:t>繰越決算額　は繰越計算書、起債財源計算書（決算）を基に入力済</a:t>
          </a:r>
          <a:r>
            <a:rPr kumimoji="1" lang="en-US" altLang="ja-JP" sz="1800" b="1">
              <a:latin typeface="+mn-ea"/>
              <a:ea typeface="+mn-ea"/>
            </a:rPr>
            <a:t>R5.5.10</a:t>
          </a:r>
        </a:p>
        <a:p>
          <a:pPr algn="l"/>
          <a:r>
            <a:rPr kumimoji="1" lang="en-US" altLang="ja-JP" sz="1800" b="1">
              <a:latin typeface="+mn-ea"/>
              <a:ea typeface="+mn-ea"/>
            </a:rPr>
            <a:t>※I</a:t>
          </a:r>
          <a:r>
            <a:rPr kumimoji="1" lang="ja-JP" altLang="en-US" sz="1800" b="1">
              <a:latin typeface="+mn-ea"/>
              <a:ea typeface="+mn-ea"/>
            </a:rPr>
            <a:t>列で</a:t>
          </a:r>
          <a:r>
            <a:rPr kumimoji="1" lang="en-US" altLang="ja-JP" sz="1800" b="1">
              <a:latin typeface="+mn-ea"/>
              <a:ea typeface="+mn-ea"/>
            </a:rPr>
            <a:t>R3</a:t>
          </a:r>
          <a:r>
            <a:rPr kumimoji="1" lang="ja-JP" altLang="en-US" sz="1800" b="1">
              <a:latin typeface="+mn-ea"/>
              <a:ea typeface="+mn-ea"/>
            </a:rPr>
            <a:t>のみなしベースの額を算出するため、事故繰越分</a:t>
          </a:r>
          <a:r>
            <a:rPr kumimoji="1" lang="en-US" altLang="ja-JP" sz="1800" b="1">
              <a:latin typeface="+mn-ea"/>
              <a:ea typeface="+mn-ea"/>
            </a:rPr>
            <a:t>R2→4</a:t>
          </a:r>
          <a:r>
            <a:rPr kumimoji="1" lang="ja-JP" altLang="en-US" sz="1800" b="1">
              <a:latin typeface="+mn-ea"/>
              <a:ea typeface="+mn-ea"/>
            </a:rPr>
            <a:t>を除く必要があることから、ここに含める</a:t>
          </a:r>
        </a:p>
        <a:p>
          <a:pPr algn="l"/>
          <a:endParaRPr kumimoji="1" lang="en-US" altLang="ja-JP" sz="1800" b="1">
            <a:latin typeface="+mn-ea"/>
            <a:ea typeface="+mn-ea"/>
          </a:endParaRPr>
        </a:p>
        <a:p>
          <a:pPr algn="l"/>
          <a:r>
            <a:rPr kumimoji="1" lang="en-US" altLang="ja-JP" sz="1800" b="1">
              <a:latin typeface="+mn-ea"/>
              <a:ea typeface="+mn-ea"/>
            </a:rPr>
            <a:t>E</a:t>
          </a:r>
          <a:r>
            <a:rPr kumimoji="1" lang="ja-JP" altLang="en-US" sz="1800" b="1">
              <a:latin typeface="+mn-ea"/>
              <a:ea typeface="+mn-ea"/>
            </a:rPr>
            <a:t>列　は入力済</a:t>
          </a:r>
          <a:r>
            <a:rPr kumimoji="1" lang="en-US" altLang="ja-JP" sz="1800" b="1">
              <a:latin typeface="+mn-ea"/>
              <a:ea typeface="+mn-ea"/>
            </a:rPr>
            <a:t>R5.5.10</a:t>
          </a:r>
        </a:p>
        <a:p>
          <a:pPr algn="l"/>
          <a:endParaRPr kumimoji="1" lang="en-US" altLang="ja-JP" sz="1800" b="1">
            <a:latin typeface="+mn-ea"/>
            <a:ea typeface="+mn-ea"/>
          </a:endParaRPr>
        </a:p>
        <a:p>
          <a:pPr algn="l"/>
          <a:r>
            <a:rPr kumimoji="1" lang="en-US" altLang="ja-JP" sz="1800" b="1">
              <a:latin typeface="+mn-ea"/>
              <a:ea typeface="+mn-ea"/>
            </a:rPr>
            <a:t>J</a:t>
          </a:r>
          <a:r>
            <a:rPr kumimoji="1" lang="ja-JP" altLang="en-US" sz="1800" b="1">
              <a:latin typeface="+mn-ea"/>
              <a:ea typeface="+mn-ea"/>
            </a:rPr>
            <a:t>列：翌年度繰越額　は、</a:t>
          </a:r>
          <a:r>
            <a:rPr kumimoji="1" lang="en-US" altLang="ja-JP" sz="1800" b="1">
              <a:latin typeface="+mn-ea"/>
              <a:ea typeface="+mn-ea"/>
            </a:rPr>
            <a:t>R4</a:t>
          </a:r>
          <a:r>
            <a:rPr kumimoji="1" lang="ja-JP" altLang="en-US" sz="1800" b="1">
              <a:latin typeface="+mn-ea"/>
              <a:ea typeface="+mn-ea"/>
            </a:rPr>
            <a:t>予算繰越計算書の額どおり入力済</a:t>
          </a:r>
          <a:r>
            <a:rPr kumimoji="1" lang="en-US" altLang="ja-JP" sz="1800" b="1">
              <a:latin typeface="+mn-ea"/>
              <a:ea typeface="+mn-ea"/>
            </a:rPr>
            <a:t>R5.5.10</a:t>
          </a:r>
          <a:endParaRPr kumimoji="1" lang="ja-JP" altLang="en-US" sz="1800" b="1">
            <a:solidFill>
              <a:srgbClr val="FFFF00"/>
            </a:solidFill>
            <a:latin typeface="+mn-ea"/>
            <a:ea typeface="+mn-ea"/>
          </a:endParaRPr>
        </a:p>
        <a:p>
          <a:pPr algn="l"/>
          <a:endParaRPr kumimoji="1" lang="ja-JP" altLang="en-US" sz="1800" b="1">
            <a:latin typeface="+mn-ea"/>
            <a:ea typeface="+mn-ea"/>
          </a:endParaRPr>
        </a:p>
      </xdr:txBody>
    </xdr:sp>
    <xdr:clientData/>
  </xdr:twoCellAnchor>
  <xdr:twoCellAnchor>
    <xdr:from>
      <xdr:col>18</xdr:col>
      <xdr:colOff>448236</xdr:colOff>
      <xdr:row>17</xdr:row>
      <xdr:rowOff>33617</xdr:rowOff>
    </xdr:from>
    <xdr:to>
      <xdr:col>20</xdr:col>
      <xdr:colOff>324971</xdr:colOff>
      <xdr:row>22</xdr:row>
      <xdr:rowOff>302558</xdr:rowOff>
    </xdr:to>
    <xdr:sp macro="" textlink="">
      <xdr:nvSpPr>
        <xdr:cNvPr id="3" name="楕円 2"/>
        <xdr:cNvSpPr/>
      </xdr:nvSpPr>
      <xdr:spPr>
        <a:xfrm>
          <a:off x="16360589" y="4986617"/>
          <a:ext cx="1243853" cy="1176617"/>
        </a:xfrm>
        <a:prstGeom prst="ellipse">
          <a:avLst/>
        </a:prstGeom>
        <a:solidFill>
          <a:srgbClr val="FF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済</a:t>
          </a:r>
        </a:p>
      </xdr:txBody>
    </xdr:sp>
    <xdr:clientData/>
  </xdr:twoCellAnchor>
</xdr:wsDr>
</file>

<file path=xl/drawings/w8_drawing7.xml><?xml version="1.0" encoding="utf-8"?>
<xdr:wsDr xmlns:xdr="http://schemas.openxmlformats.org/drawingml/2006/spreadsheetDrawing" xmlns:a="http://schemas.openxmlformats.org/drawingml/2006/main">
  <xdr:twoCellAnchor>
    <xdr:from>
      <xdr:col>7</xdr:col>
      <xdr:colOff>361950</xdr:colOff>
      <xdr:row>30</xdr:row>
      <xdr:rowOff>82363</xdr:rowOff>
    </xdr:from>
    <xdr:to>
      <xdr:col>9</xdr:col>
      <xdr:colOff>0</xdr:colOff>
      <xdr:row>30</xdr:row>
      <xdr:rowOff>82363</xdr:rowOff>
    </xdr:to>
    <xdr:sp macro="" textlink="">
      <xdr:nvSpPr>
        <xdr:cNvPr id="2" name="Line 1"/>
        <xdr:cNvSpPr>
          <a:spLocks noChangeShapeType="1"/>
        </xdr:cNvSpPr>
      </xdr:nvSpPr>
      <xdr:spPr bwMode="auto">
        <a:xfrm flipV="1">
          <a:off x="5162550" y="5225863"/>
          <a:ext cx="1009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91955</xdr:rowOff>
    </xdr:from>
    <xdr:to>
      <xdr:col>9</xdr:col>
      <xdr:colOff>0</xdr:colOff>
      <xdr:row>31</xdr:row>
      <xdr:rowOff>104698</xdr:rowOff>
    </xdr:to>
    <xdr:sp macro="" textlink="">
      <xdr:nvSpPr>
        <xdr:cNvPr id="3" name="Line 2"/>
        <xdr:cNvSpPr>
          <a:spLocks noChangeShapeType="1"/>
        </xdr:cNvSpPr>
      </xdr:nvSpPr>
      <xdr:spPr bwMode="auto">
        <a:xfrm flipV="1">
          <a:off x="6172200" y="5235455"/>
          <a:ext cx="0" cy="18419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104775</xdr:rowOff>
    </xdr:from>
    <xdr:to>
      <xdr:col>12</xdr:col>
      <xdr:colOff>552450</xdr:colOff>
      <xdr:row>31</xdr:row>
      <xdr:rowOff>104775</xdr:rowOff>
    </xdr:to>
    <xdr:sp macro="" textlink="">
      <xdr:nvSpPr>
        <xdr:cNvPr id="4" name="Line 3"/>
        <xdr:cNvSpPr>
          <a:spLocks noChangeShapeType="1"/>
        </xdr:cNvSpPr>
      </xdr:nvSpPr>
      <xdr:spPr bwMode="auto">
        <a:xfrm>
          <a:off x="6172200" y="541972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w8_drawing8.xml><?xml version="1.0" encoding="utf-8"?>
<xdr:wsDr xmlns:xdr="http://schemas.openxmlformats.org/drawingml/2006/spreadsheetDrawing" xmlns:a="http://schemas.openxmlformats.org/drawingml/2006/main">
  <xdr:twoCellAnchor editAs="oneCell">
    <xdr:from>
      <xdr:col>18</xdr:col>
      <xdr:colOff>881063</xdr:colOff>
      <xdr:row>60</xdr:row>
      <xdr:rowOff>130969</xdr:rowOff>
    </xdr:from>
    <xdr:to>
      <xdr:col>32</xdr:col>
      <xdr:colOff>522292</xdr:colOff>
      <xdr:row>107</xdr:row>
      <xdr:rowOff>141964</xdr:rowOff>
    </xdr:to>
    <xdr:pic>
      <xdr:nvPicPr>
        <xdr:cNvPr id="2" name="図 1"/>
        <xdr:cNvPicPr>
          <a:picLocks noChangeAspect="1"/>
        </xdr:cNvPicPr>
      </xdr:nvPicPr>
      <xdr:blipFill>
        <a:blip xmlns:r="http://schemas.openxmlformats.org/officeDocument/2006/relationships" r:embed="rId1"/>
        <a:stretch>
          <a:fillRect/>
        </a:stretch>
      </xdr:blipFill>
      <xdr:spPr>
        <a:xfrm>
          <a:off x="13415963" y="12627769"/>
          <a:ext cx="12614279" cy="7173795"/>
        </a:xfrm>
        <a:prstGeom prst="rect">
          <a:avLst/>
        </a:prstGeom>
      </xdr:spPr>
    </xdr:pic>
    <xdr:clientData/>
  </xdr:twoCellAnchor>
  <xdr:twoCellAnchor>
    <xdr:from>
      <xdr:col>15</xdr:col>
      <xdr:colOff>504825</xdr:colOff>
      <xdr:row>2</xdr:row>
      <xdr:rowOff>9525</xdr:rowOff>
    </xdr:from>
    <xdr:to>
      <xdr:col>18</xdr:col>
      <xdr:colOff>962025</xdr:colOff>
      <xdr:row>6</xdr:row>
      <xdr:rowOff>9525</xdr:rowOff>
    </xdr:to>
    <xdr:sp macro="" textlink="">
      <xdr:nvSpPr>
        <xdr:cNvPr id="3" name="テキスト ボックス 2"/>
        <xdr:cNvSpPr txBox="1"/>
      </xdr:nvSpPr>
      <xdr:spPr>
        <a:xfrm>
          <a:off x="10439400" y="314325"/>
          <a:ext cx="30575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先にメモ入りを作成</a:t>
          </a:r>
          <a:endParaRPr kumimoji="1" lang="en-US" altLang="ja-JP" sz="1100"/>
        </a:p>
        <a:p>
          <a:r>
            <a:rPr kumimoji="1" lang="ja-JP" altLang="en-US" sz="1100"/>
            <a:t>シートをコピー</a:t>
          </a:r>
          <a:endParaRPr kumimoji="1" lang="en-US" altLang="ja-JP" sz="1100"/>
        </a:p>
        <a:p>
          <a:r>
            <a:rPr kumimoji="1" lang="ja-JP" altLang="en-US" sz="1100"/>
            <a:t>印刷範囲を調整し</a:t>
          </a:r>
          <a:endParaRPr kumimoji="1" lang="en-US" altLang="ja-JP" sz="1100"/>
        </a:p>
        <a:p>
          <a:r>
            <a:rPr kumimoji="1" lang="ja-JP" altLang="en-US" sz="1100"/>
            <a:t>コメント印刷しない</a:t>
          </a:r>
          <a:endParaRPr kumimoji="1" lang="en-US" altLang="ja-JP" sz="1100"/>
        </a:p>
        <a:p>
          <a:endParaRPr kumimoji="1" lang="ja-JP" altLang="en-US" sz="1100"/>
        </a:p>
      </xdr:txBody>
    </xdr:sp>
    <xdr:clientData/>
  </xdr:twoCellAnchor>
  <xdr:twoCellAnchor>
    <xdr:from>
      <xdr:col>18</xdr:col>
      <xdr:colOff>676275</xdr:colOff>
      <xdr:row>7</xdr:row>
      <xdr:rowOff>266699</xdr:rowOff>
    </xdr:from>
    <xdr:to>
      <xdr:col>19</xdr:col>
      <xdr:colOff>1152525</xdr:colOff>
      <xdr:row>12</xdr:row>
      <xdr:rowOff>104774</xdr:rowOff>
    </xdr:to>
    <xdr:sp macro="" textlink="">
      <xdr:nvSpPr>
        <xdr:cNvPr id="4" name="テキスト ボックス 3"/>
        <xdr:cNvSpPr txBox="1"/>
      </xdr:nvSpPr>
      <xdr:spPr>
        <a:xfrm>
          <a:off x="13211175" y="1752599"/>
          <a:ext cx="30575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a:t>
          </a:r>
          <a:endParaRPr kumimoji="1" lang="en-US" altLang="ja-JP" sz="1100"/>
        </a:p>
        <a:p>
          <a:r>
            <a:rPr kumimoji="1" lang="ja-JP" altLang="en-US" sz="1100"/>
            <a:t>担当手持ちのつもりで、メモは作成したが、</a:t>
          </a:r>
          <a:endParaRPr kumimoji="1" lang="en-US" altLang="ja-JP" sz="1100"/>
        </a:p>
        <a:p>
          <a:r>
            <a:rPr kumimoji="1" lang="ja-JP" altLang="en-US" sz="1100"/>
            <a:t>せっかくなので課長まで手持ちとして渡した。</a:t>
          </a:r>
          <a:endParaRPr kumimoji="1" lang="en-US" altLang="ja-JP" sz="1100"/>
        </a:p>
        <a:p>
          <a:r>
            <a:rPr kumimoji="1" lang="ja-JP" altLang="en-US" sz="1100"/>
            <a:t>結局、小笹山次長から、要望があり、次長にもお渡することになった。</a:t>
          </a:r>
        </a:p>
      </xdr:txBody>
    </xdr:sp>
    <xdr:clientData/>
  </xdr:twoCellAnchor>
  <xdr:twoCellAnchor editAs="oneCell">
    <xdr:from>
      <xdr:col>5</xdr:col>
      <xdr:colOff>0</xdr:colOff>
      <xdr:row>62</xdr:row>
      <xdr:rowOff>0</xdr:rowOff>
    </xdr:from>
    <xdr:to>
      <xdr:col>11</xdr:col>
      <xdr:colOff>124542</xdr:colOff>
      <xdr:row>112</xdr:row>
      <xdr:rowOff>143958</xdr:rowOff>
    </xdr:to>
    <xdr:pic>
      <xdr:nvPicPr>
        <xdr:cNvPr id="5" name="図 4"/>
        <xdr:cNvPicPr>
          <a:picLocks noChangeAspect="1"/>
        </xdr:cNvPicPr>
      </xdr:nvPicPr>
      <xdr:blipFill>
        <a:blip xmlns:r="http://schemas.openxmlformats.org/officeDocument/2006/relationships" r:embed="rId2"/>
        <a:stretch>
          <a:fillRect/>
        </a:stretch>
      </xdr:blipFill>
      <xdr:spPr>
        <a:xfrm>
          <a:off x="2609850" y="12801600"/>
          <a:ext cx="5134692" cy="7763958"/>
        </a:xfrm>
        <a:prstGeom prst="rect">
          <a:avLst/>
        </a:prstGeom>
      </xdr:spPr>
    </xdr:pic>
    <xdr:clientData/>
  </xdr:twoCellAnchor>
  <xdr:twoCellAnchor>
    <xdr:from>
      <xdr:col>5</xdr:col>
      <xdr:colOff>695325</xdr:colOff>
      <xdr:row>99</xdr:row>
      <xdr:rowOff>57150</xdr:rowOff>
    </xdr:from>
    <xdr:to>
      <xdr:col>10</xdr:col>
      <xdr:colOff>257175</xdr:colOff>
      <xdr:row>107</xdr:row>
      <xdr:rowOff>0</xdr:rowOff>
    </xdr:to>
    <xdr:sp macro="" textlink="">
      <xdr:nvSpPr>
        <xdr:cNvPr id="6" name="テキスト ボックス 5"/>
        <xdr:cNvSpPr txBox="1"/>
      </xdr:nvSpPr>
      <xdr:spPr>
        <a:xfrm>
          <a:off x="3305175" y="18497550"/>
          <a:ext cx="3990975"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維持管理費分</a:t>
          </a:r>
          <a:endParaRPr kumimoji="1" lang="en-US" altLang="ja-JP" sz="1100"/>
        </a:p>
        <a:p>
          <a:r>
            <a:rPr kumimoji="1" lang="ja-JP" altLang="en-US" sz="1100"/>
            <a:t>決算　　 　</a:t>
          </a:r>
          <a:r>
            <a:rPr kumimoji="1" lang="en-US" altLang="ja-JP" sz="1100"/>
            <a:t>3,591,522,898</a:t>
          </a:r>
        </a:p>
        <a:p>
          <a:r>
            <a:rPr kumimoji="1" lang="en-US" altLang="ja-JP" sz="1100"/>
            <a:t>4</a:t>
          </a:r>
          <a:r>
            <a:rPr kumimoji="1" lang="ja-JP" altLang="en-US" sz="1100"/>
            <a:t>月決見　</a:t>
          </a:r>
          <a:r>
            <a:rPr kumimoji="1" lang="en-US" altLang="ja-JP" sz="1100"/>
            <a:t>3,415,988,000</a:t>
          </a:r>
        </a:p>
        <a:p>
          <a:r>
            <a:rPr kumimoji="1" lang="ja-JP" altLang="en-US" sz="1100"/>
            <a:t>差引　　　　</a:t>
          </a:r>
          <a:r>
            <a:rPr kumimoji="1" lang="ja-JP" altLang="en-US" sz="1100" baseline="0"/>
            <a:t> </a:t>
          </a:r>
          <a:r>
            <a:rPr kumimoji="1" lang="en-US" altLang="ja-JP" sz="1100"/>
            <a:t>175,534,898</a:t>
          </a:r>
          <a:endParaRPr kumimoji="1" lang="ja-JP" altLang="en-US" sz="1100"/>
        </a:p>
      </xdr:txBody>
    </xdr:sp>
    <xdr:clientData/>
  </xdr:twoCellAnchor>
  <xdr:twoCellAnchor>
    <xdr:from>
      <xdr:col>16</xdr:col>
      <xdr:colOff>228600</xdr:colOff>
      <xdr:row>16</xdr:row>
      <xdr:rowOff>123825</xdr:rowOff>
    </xdr:from>
    <xdr:to>
      <xdr:col>19</xdr:col>
      <xdr:colOff>1476375</xdr:colOff>
      <xdr:row>26</xdr:row>
      <xdr:rowOff>57150</xdr:rowOff>
    </xdr:to>
    <xdr:sp macro="" textlink="">
      <xdr:nvSpPr>
        <xdr:cNvPr id="7" name="テキスト ボックス 6"/>
        <xdr:cNvSpPr txBox="1"/>
      </xdr:nvSpPr>
      <xdr:spPr>
        <a:xfrm>
          <a:off x="11229975" y="4029075"/>
          <a:ext cx="5362575"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メモなし</a:t>
          </a:r>
        </a:p>
      </xdr:txBody>
    </xdr:sp>
    <xdr:clientData/>
  </xdr:twoCellAnchor>
</xdr:wsDr>
</file>

<file path=xl/drawings/w8_drawing9.xml><?xml version="1.0" encoding="utf-8"?>
<xdr:wsDr xmlns:xdr="http://schemas.openxmlformats.org/drawingml/2006/spreadsheetDrawing" xmlns:a="http://schemas.openxmlformats.org/drawingml/2006/main">
  <xdr:twoCellAnchor editAs="oneCell">
    <xdr:from>
      <xdr:col>18</xdr:col>
      <xdr:colOff>881063</xdr:colOff>
      <xdr:row>60</xdr:row>
      <xdr:rowOff>130969</xdr:rowOff>
    </xdr:from>
    <xdr:to>
      <xdr:col>32</xdr:col>
      <xdr:colOff>522292</xdr:colOff>
      <xdr:row>107</xdr:row>
      <xdr:rowOff>141964</xdr:rowOff>
    </xdr:to>
    <xdr:pic>
      <xdr:nvPicPr>
        <xdr:cNvPr id="3" name="図 2"/>
        <xdr:cNvPicPr>
          <a:picLocks noChangeAspect="1"/>
        </xdr:cNvPicPr>
      </xdr:nvPicPr>
      <xdr:blipFill>
        <a:blip xmlns:r="http://schemas.openxmlformats.org/officeDocument/2006/relationships" r:embed="rId1"/>
        <a:stretch>
          <a:fillRect/>
        </a:stretch>
      </xdr:blipFill>
      <xdr:spPr>
        <a:xfrm>
          <a:off x="13454063" y="12561094"/>
          <a:ext cx="12666667" cy="7285714"/>
        </a:xfrm>
        <a:prstGeom prst="rect">
          <a:avLst/>
        </a:prstGeom>
      </xdr:spPr>
    </xdr:pic>
    <xdr:clientData/>
  </xdr:twoCellAnchor>
  <xdr:twoCellAnchor>
    <xdr:from>
      <xdr:col>15</xdr:col>
      <xdr:colOff>504825</xdr:colOff>
      <xdr:row>2</xdr:row>
      <xdr:rowOff>9525</xdr:rowOff>
    </xdr:from>
    <xdr:to>
      <xdr:col>18</xdr:col>
      <xdr:colOff>962025</xdr:colOff>
      <xdr:row>6</xdr:row>
      <xdr:rowOff>9525</xdr:rowOff>
    </xdr:to>
    <xdr:sp macro="" textlink="">
      <xdr:nvSpPr>
        <xdr:cNvPr id="2" name="テキスト ボックス 1"/>
        <xdr:cNvSpPr txBox="1"/>
      </xdr:nvSpPr>
      <xdr:spPr>
        <a:xfrm>
          <a:off x="10439400" y="314325"/>
          <a:ext cx="30575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先にメモ入りを作成</a:t>
          </a:r>
          <a:endParaRPr kumimoji="1" lang="en-US" altLang="ja-JP" sz="1100"/>
        </a:p>
        <a:p>
          <a:r>
            <a:rPr kumimoji="1" lang="ja-JP" altLang="en-US" sz="1100"/>
            <a:t>シートをコピー</a:t>
          </a:r>
          <a:endParaRPr kumimoji="1" lang="en-US" altLang="ja-JP" sz="1100"/>
        </a:p>
        <a:p>
          <a:r>
            <a:rPr kumimoji="1" lang="ja-JP" altLang="en-US" sz="1100"/>
            <a:t>印刷範囲を調整し</a:t>
          </a:r>
          <a:endParaRPr kumimoji="1" lang="en-US" altLang="ja-JP" sz="1100"/>
        </a:p>
        <a:p>
          <a:r>
            <a:rPr kumimoji="1" lang="ja-JP" altLang="en-US" sz="1100"/>
            <a:t>コメント印刷しない</a:t>
          </a:r>
          <a:endParaRPr kumimoji="1" lang="en-US" altLang="ja-JP" sz="1100"/>
        </a:p>
        <a:p>
          <a:endParaRPr kumimoji="1" lang="ja-JP" altLang="en-US" sz="1100"/>
        </a:p>
      </xdr:txBody>
    </xdr:sp>
    <xdr:clientData/>
  </xdr:twoCellAnchor>
  <xdr:twoCellAnchor>
    <xdr:from>
      <xdr:col>18</xdr:col>
      <xdr:colOff>676275</xdr:colOff>
      <xdr:row>7</xdr:row>
      <xdr:rowOff>266699</xdr:rowOff>
    </xdr:from>
    <xdr:to>
      <xdr:col>19</xdr:col>
      <xdr:colOff>1152525</xdr:colOff>
      <xdr:row>12</xdr:row>
      <xdr:rowOff>104774</xdr:rowOff>
    </xdr:to>
    <xdr:sp macro="" textlink="">
      <xdr:nvSpPr>
        <xdr:cNvPr id="4" name="テキスト ボックス 3"/>
        <xdr:cNvSpPr txBox="1"/>
      </xdr:nvSpPr>
      <xdr:spPr>
        <a:xfrm>
          <a:off x="13211175" y="1752599"/>
          <a:ext cx="30575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a:t>
          </a:r>
          <a:endParaRPr kumimoji="1" lang="en-US" altLang="ja-JP" sz="1100"/>
        </a:p>
        <a:p>
          <a:r>
            <a:rPr kumimoji="1" lang="ja-JP" altLang="en-US" sz="1100"/>
            <a:t>担当手持ちのつもりで、メモは作成したが、</a:t>
          </a:r>
          <a:endParaRPr kumimoji="1" lang="en-US" altLang="ja-JP" sz="1100"/>
        </a:p>
        <a:p>
          <a:r>
            <a:rPr kumimoji="1" lang="ja-JP" altLang="en-US" sz="1100"/>
            <a:t>せっかくなので課長まで手持ちとして渡した。</a:t>
          </a:r>
          <a:endParaRPr kumimoji="1" lang="en-US" altLang="ja-JP" sz="1100"/>
        </a:p>
        <a:p>
          <a:r>
            <a:rPr kumimoji="1" lang="ja-JP" altLang="en-US" sz="1100"/>
            <a:t>結局、小笹山次長から、要望があり、次長にもお渡することになった。</a:t>
          </a:r>
        </a:p>
      </xdr:txBody>
    </xdr:sp>
    <xdr:clientData/>
  </xdr:twoCellAnchor>
  <xdr:twoCellAnchor editAs="oneCell">
    <xdr:from>
      <xdr:col>5</xdr:col>
      <xdr:colOff>0</xdr:colOff>
      <xdr:row>62</xdr:row>
      <xdr:rowOff>0</xdr:rowOff>
    </xdr:from>
    <xdr:to>
      <xdr:col>11</xdr:col>
      <xdr:colOff>124542</xdr:colOff>
      <xdr:row>112</xdr:row>
      <xdr:rowOff>143958</xdr:rowOff>
    </xdr:to>
    <xdr:pic>
      <xdr:nvPicPr>
        <xdr:cNvPr id="5" name="図 4"/>
        <xdr:cNvPicPr>
          <a:picLocks noChangeAspect="1"/>
        </xdr:cNvPicPr>
      </xdr:nvPicPr>
      <xdr:blipFill>
        <a:blip xmlns:r="http://schemas.openxmlformats.org/officeDocument/2006/relationships" r:embed="rId2"/>
        <a:stretch>
          <a:fillRect/>
        </a:stretch>
      </xdr:blipFill>
      <xdr:spPr>
        <a:xfrm>
          <a:off x="2609850" y="12801600"/>
          <a:ext cx="5134692" cy="7763958"/>
        </a:xfrm>
        <a:prstGeom prst="rect">
          <a:avLst/>
        </a:prstGeom>
      </xdr:spPr>
    </xdr:pic>
    <xdr:clientData/>
  </xdr:twoCellAnchor>
  <xdr:twoCellAnchor>
    <xdr:from>
      <xdr:col>5</xdr:col>
      <xdr:colOff>695325</xdr:colOff>
      <xdr:row>99</xdr:row>
      <xdr:rowOff>57150</xdr:rowOff>
    </xdr:from>
    <xdr:to>
      <xdr:col>10</xdr:col>
      <xdr:colOff>257175</xdr:colOff>
      <xdr:row>107</xdr:row>
      <xdr:rowOff>0</xdr:rowOff>
    </xdr:to>
    <xdr:sp macro="" textlink="">
      <xdr:nvSpPr>
        <xdr:cNvPr id="6" name="テキスト ボックス 5"/>
        <xdr:cNvSpPr txBox="1"/>
      </xdr:nvSpPr>
      <xdr:spPr>
        <a:xfrm>
          <a:off x="3305175" y="18497550"/>
          <a:ext cx="3990975"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維持管理費分</a:t>
          </a:r>
          <a:endParaRPr kumimoji="1" lang="en-US" altLang="ja-JP" sz="1100"/>
        </a:p>
        <a:p>
          <a:r>
            <a:rPr kumimoji="1" lang="ja-JP" altLang="en-US" sz="1100"/>
            <a:t>決算　　 　</a:t>
          </a:r>
          <a:r>
            <a:rPr kumimoji="1" lang="en-US" altLang="ja-JP" sz="1100"/>
            <a:t>3,591,522,898</a:t>
          </a:r>
        </a:p>
        <a:p>
          <a:r>
            <a:rPr kumimoji="1" lang="en-US" altLang="ja-JP" sz="1100"/>
            <a:t>4</a:t>
          </a:r>
          <a:r>
            <a:rPr kumimoji="1" lang="ja-JP" altLang="en-US" sz="1100"/>
            <a:t>月決見　</a:t>
          </a:r>
          <a:r>
            <a:rPr kumimoji="1" lang="en-US" altLang="ja-JP" sz="1100"/>
            <a:t>3,415,988,000</a:t>
          </a:r>
        </a:p>
        <a:p>
          <a:r>
            <a:rPr kumimoji="1" lang="ja-JP" altLang="en-US" sz="1100"/>
            <a:t>差引　　　　</a:t>
          </a:r>
          <a:r>
            <a:rPr kumimoji="1" lang="ja-JP" altLang="en-US" sz="1100" baseline="0"/>
            <a:t> </a:t>
          </a:r>
          <a:r>
            <a:rPr kumimoji="1" lang="en-US" altLang="ja-JP" sz="1100"/>
            <a:t>175,534,898</a:t>
          </a:r>
          <a:endParaRPr kumimoji="1" lang="ja-JP" altLang="en-US" sz="1100"/>
        </a:p>
      </xdr:txBody>
    </xdr:sp>
    <xdr:clientData/>
  </xdr:twoCellAnchor>
</xdr:wsDr>
</file>

<file path=xl/drawings/w8_drawing10.xml><?xml version="1.0" encoding="utf-8"?>
<xdr:wsDr xmlns:xdr="http://schemas.openxmlformats.org/drawingml/2006/spreadsheetDrawing" xmlns:a="http://schemas.openxmlformats.org/drawingml/2006/main">
  <xdr:twoCellAnchor>
    <xdr:from>
      <xdr:col>33</xdr:col>
      <xdr:colOff>0</xdr:colOff>
      <xdr:row>9</xdr:row>
      <xdr:rowOff>0</xdr:rowOff>
    </xdr:from>
    <xdr:to>
      <xdr:col>39</xdr:col>
      <xdr:colOff>521709</xdr:colOff>
      <xdr:row>25</xdr:row>
      <xdr:rowOff>55870</xdr:rowOff>
    </xdr:to>
    <xdr:sp macro="" textlink="">
      <xdr:nvSpPr>
        <xdr:cNvPr id="3" name="角丸四角形吹き出し 2"/>
        <xdr:cNvSpPr/>
      </xdr:nvSpPr>
      <xdr:spPr>
        <a:xfrm>
          <a:off x="24864680" y="1428750"/>
          <a:ext cx="4641826" cy="2791539"/>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a:t>
          </a:r>
          <a:r>
            <a:rPr kumimoji="1" lang="en-US" altLang="ja-JP" sz="1800" b="1">
              <a:latin typeface="+mn-ea"/>
              <a:ea typeface="+mn-ea"/>
            </a:rPr>
            <a:t>R4.4.19</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V</a:t>
          </a:r>
          <a:r>
            <a:rPr kumimoji="1" lang="ja-JP" altLang="en-US" sz="1800" b="1">
              <a:latin typeface="+mn-ea"/>
              <a:ea typeface="+mn-ea"/>
            </a:rPr>
            <a:t>列　は入力済み</a:t>
          </a:r>
          <a:r>
            <a:rPr kumimoji="1" lang="en-US" altLang="ja-JP" sz="1800" b="1">
              <a:latin typeface="+mn-ea"/>
              <a:ea typeface="+mn-ea"/>
            </a:rPr>
            <a:t>R4.5.14</a:t>
          </a:r>
          <a:r>
            <a:rPr kumimoji="1" lang="ja-JP" altLang="en-US" sz="1800" b="1">
              <a:latin typeface="+mn-ea"/>
              <a:ea typeface="+mn-ea"/>
            </a:rPr>
            <a:t>修正</a:t>
          </a:r>
          <a:r>
            <a:rPr kumimoji="1" lang="en-US" altLang="ja-JP" sz="1800" b="1">
              <a:latin typeface="+mn-ea"/>
              <a:ea typeface="+mn-ea"/>
            </a:rPr>
            <a:t/>
          </a:r>
          <a:br>
            <a:rPr kumimoji="1" lang="en-US" altLang="ja-JP" sz="1800" b="1">
              <a:latin typeface="+mn-ea"/>
              <a:ea typeface="+mn-ea"/>
            </a:rPr>
          </a:br>
          <a:r>
            <a:rPr kumimoji="1" lang="ja-JP" altLang="en-US" sz="1800" b="1">
              <a:latin typeface="+mn-ea"/>
              <a:ea typeface="+mn-ea"/>
            </a:rPr>
            <a:t>令和５年度では使用していません。</a:t>
          </a:r>
        </a:p>
      </xdr:txBody>
    </xdr:sp>
    <xdr:clientData/>
  </xdr:twoCellAnchor>
  <xdr:twoCellAnchor>
    <xdr:from>
      <xdr:col>6</xdr:col>
      <xdr:colOff>952500</xdr:colOff>
      <xdr:row>5</xdr:row>
      <xdr:rowOff>0</xdr:rowOff>
    </xdr:from>
    <xdr:to>
      <xdr:col>7</xdr:col>
      <xdr:colOff>952500</xdr:colOff>
      <xdr:row>62</xdr:row>
      <xdr:rowOff>0</xdr:rowOff>
    </xdr:to>
    <xdr:sp macro="" textlink="">
      <xdr:nvSpPr>
        <xdr:cNvPr id="4" name="正方形/長方形 3"/>
        <xdr:cNvSpPr/>
      </xdr:nvSpPr>
      <xdr:spPr>
        <a:xfrm>
          <a:off x="3861288" y="512885"/>
          <a:ext cx="952500" cy="11561884"/>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w8_drawing11.xml><?xml version="1.0" encoding="utf-8"?>
<xdr:wsDr xmlns:xdr="http://schemas.openxmlformats.org/drawingml/2006/spreadsheetDrawing" xmlns:a="http://schemas.openxmlformats.org/drawingml/2006/main">
  <xdr:twoCellAnchor>
    <xdr:from>
      <xdr:col>33</xdr:col>
      <xdr:colOff>0</xdr:colOff>
      <xdr:row>9</xdr:row>
      <xdr:rowOff>0</xdr:rowOff>
    </xdr:from>
    <xdr:to>
      <xdr:col>39</xdr:col>
      <xdr:colOff>521709</xdr:colOff>
      <xdr:row>25</xdr:row>
      <xdr:rowOff>55870</xdr:rowOff>
    </xdr:to>
    <xdr:sp macro="" textlink="">
      <xdr:nvSpPr>
        <xdr:cNvPr id="2" name="角丸四角形吹き出し 1"/>
        <xdr:cNvSpPr/>
      </xdr:nvSpPr>
      <xdr:spPr>
        <a:xfrm>
          <a:off x="23450550" y="1485900"/>
          <a:ext cx="4636509" cy="3399145"/>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a:t>
          </a:r>
          <a:r>
            <a:rPr kumimoji="1" lang="en-US" altLang="ja-JP" sz="1800" b="1">
              <a:latin typeface="+mn-ea"/>
              <a:ea typeface="+mn-ea"/>
            </a:rPr>
            <a:t>R4.4.19</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V</a:t>
          </a:r>
          <a:r>
            <a:rPr kumimoji="1" lang="ja-JP" altLang="en-US" sz="1800" b="1">
              <a:latin typeface="+mn-ea"/>
              <a:ea typeface="+mn-ea"/>
            </a:rPr>
            <a:t>列　は入力済み</a:t>
          </a:r>
          <a:r>
            <a:rPr kumimoji="1" lang="en-US" altLang="ja-JP" sz="1800" b="1">
              <a:latin typeface="+mn-ea"/>
              <a:ea typeface="+mn-ea"/>
            </a:rPr>
            <a:t>R4.5.14</a:t>
          </a:r>
          <a:r>
            <a:rPr kumimoji="1" lang="ja-JP" altLang="en-US" sz="1800" b="1">
              <a:latin typeface="+mn-ea"/>
              <a:ea typeface="+mn-ea"/>
            </a:rPr>
            <a:t>修正</a:t>
          </a:r>
          <a:r>
            <a:rPr kumimoji="1" lang="en-US" altLang="ja-JP" sz="1800" b="1">
              <a:latin typeface="+mn-ea"/>
              <a:ea typeface="+mn-ea"/>
            </a:rPr>
            <a:t/>
          </a:r>
          <a:br>
            <a:rPr kumimoji="1" lang="en-US" altLang="ja-JP" sz="1800" b="1">
              <a:latin typeface="+mn-ea"/>
              <a:ea typeface="+mn-ea"/>
            </a:rPr>
          </a:br>
          <a:r>
            <a:rPr kumimoji="1" lang="ja-JP" altLang="en-US" sz="1800" b="1">
              <a:latin typeface="+mn-ea"/>
              <a:ea typeface="+mn-ea"/>
            </a:rPr>
            <a:t>令和５年度では使用していません。</a:t>
          </a:r>
        </a:p>
      </xdr:txBody>
    </xdr:sp>
    <xdr:clientData/>
  </xdr:twoCellAnchor>
  <xdr:twoCellAnchor>
    <xdr:from>
      <xdr:col>6</xdr:col>
      <xdr:colOff>885825</xdr:colOff>
      <xdr:row>5</xdr:row>
      <xdr:rowOff>0</xdr:rowOff>
    </xdr:from>
    <xdr:to>
      <xdr:col>7</xdr:col>
      <xdr:colOff>885825</xdr:colOff>
      <xdr:row>64</xdr:row>
      <xdr:rowOff>0</xdr:rowOff>
    </xdr:to>
    <xdr:sp macro="" textlink="">
      <xdr:nvSpPr>
        <xdr:cNvPr id="3" name="正方形/長方形 2"/>
        <xdr:cNvSpPr/>
      </xdr:nvSpPr>
      <xdr:spPr>
        <a:xfrm>
          <a:off x="3596787" y="498231"/>
          <a:ext cx="886557" cy="14705134"/>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w8_drawing12.xml><?xml version="1.0" encoding="utf-8"?>
<xdr:wsDr xmlns:xdr="http://schemas.openxmlformats.org/drawingml/2006/spreadsheetDrawing" xmlns:a="http://schemas.openxmlformats.org/drawingml/2006/main">
  <xdr:twoCellAnchor>
    <xdr:from>
      <xdr:col>25</xdr:col>
      <xdr:colOff>525991</xdr:colOff>
      <xdr:row>1</xdr:row>
      <xdr:rowOff>70907</xdr:rowOff>
    </xdr:from>
    <xdr:to>
      <xdr:col>32</xdr:col>
      <xdr:colOff>361016</xdr:colOff>
      <xdr:row>23</xdr:row>
      <xdr:rowOff>29632</xdr:rowOff>
    </xdr:to>
    <xdr:sp macro="" textlink="">
      <xdr:nvSpPr>
        <xdr:cNvPr id="2" name="角丸四角形吹き出し 1"/>
        <xdr:cNvSpPr/>
      </xdr:nvSpPr>
      <xdr:spPr>
        <a:xfrm>
          <a:off x="17918641" y="251882"/>
          <a:ext cx="4635625" cy="3235325"/>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　（繰）</a:t>
          </a:r>
          <a:r>
            <a:rPr kumimoji="1" lang="en-US" altLang="ja-JP" sz="1800" b="1">
              <a:latin typeface="+mn-ea"/>
              <a:ea typeface="+mn-ea"/>
            </a:rPr>
            <a:t>4</a:t>
          </a:r>
          <a:r>
            <a:rPr kumimoji="1" lang="ja-JP" altLang="en-US" sz="1800" b="1">
              <a:latin typeface="+mn-ea"/>
              <a:ea typeface="+mn-ea"/>
            </a:rPr>
            <a:t>条収入シート（繰）</a:t>
          </a:r>
          <a:r>
            <a:rPr kumimoji="1" lang="en-US" altLang="ja-JP" sz="1800" b="1">
              <a:latin typeface="+mn-ea"/>
              <a:ea typeface="+mn-ea"/>
            </a:rPr>
            <a:t>4</a:t>
          </a:r>
          <a:r>
            <a:rPr kumimoji="1" lang="ja-JP" altLang="en-US" sz="1800" b="1">
              <a:latin typeface="+mn-ea"/>
              <a:ea typeface="+mn-ea"/>
            </a:rPr>
            <a:t>条支出シートを</a:t>
          </a:r>
          <a:r>
            <a:rPr kumimoji="1" lang="en-US" altLang="ja-JP" sz="1800" b="1">
              <a:latin typeface="+mn-ea"/>
              <a:ea typeface="+mn-ea"/>
            </a:rPr>
            <a:t>R4.4.19</a:t>
          </a:r>
          <a:r>
            <a:rPr kumimoji="1" lang="ja-JP" altLang="en-US" sz="1800" b="1">
              <a:latin typeface="+mn-ea"/>
              <a:ea typeface="+mn-ea"/>
            </a:rPr>
            <a:t>修正</a:t>
          </a:r>
          <a:endParaRPr kumimoji="1" lang="en-US" altLang="ja-JP" sz="1800" b="1">
            <a:latin typeface="+mn-ea"/>
            <a:ea typeface="+mn-ea"/>
          </a:endParaRP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lt1"/>
              </a:solidFill>
              <a:effectLst/>
              <a:latin typeface="+mn-ea"/>
              <a:ea typeface="+mn-ea"/>
              <a:cs typeface="+mn-cs"/>
            </a:rPr>
            <a:t>N</a:t>
          </a:r>
          <a:r>
            <a:rPr kumimoji="1" lang="ja-JP" altLang="ja-JP" sz="1800" b="1">
              <a:solidFill>
                <a:schemeClr val="lt1"/>
              </a:solidFill>
              <a:effectLst/>
              <a:latin typeface="+mn-ea"/>
              <a:ea typeface="+mn-ea"/>
              <a:cs typeface="+mn-cs"/>
            </a:rPr>
            <a:t>列</a:t>
          </a:r>
          <a:r>
            <a:rPr kumimoji="1" lang="ja-JP" altLang="en-US" sz="1800" b="1">
              <a:solidFill>
                <a:schemeClr val="lt1"/>
              </a:solidFill>
              <a:effectLst/>
              <a:latin typeface="+mn-ea"/>
              <a:ea typeface="+mn-ea"/>
              <a:cs typeface="+mn-cs"/>
            </a:rPr>
            <a:t>、</a:t>
          </a:r>
          <a:r>
            <a:rPr kumimoji="1" lang="en-US" altLang="ja-JP" sz="1800" b="1">
              <a:solidFill>
                <a:schemeClr val="lt1"/>
              </a:solidFill>
              <a:effectLst/>
              <a:latin typeface="+mn-ea"/>
              <a:ea typeface="+mn-ea"/>
              <a:cs typeface="+mn-cs"/>
            </a:rPr>
            <a:t>P</a:t>
          </a:r>
          <a:r>
            <a:rPr kumimoji="1" lang="ja-JP" altLang="en-US" sz="1800" b="1">
              <a:solidFill>
                <a:schemeClr val="lt1"/>
              </a:solidFill>
              <a:effectLst/>
              <a:latin typeface="+mn-ea"/>
              <a:ea typeface="+mn-ea"/>
              <a:cs typeface="+mn-cs"/>
            </a:rPr>
            <a:t>列　は</a:t>
          </a:r>
          <a:r>
            <a:rPr kumimoji="1" lang="en-US" altLang="ja-JP" sz="1800" b="1">
              <a:solidFill>
                <a:schemeClr val="lt1"/>
              </a:solidFill>
              <a:effectLst/>
              <a:latin typeface="+mn-ea"/>
              <a:ea typeface="+mn-ea"/>
              <a:cs typeface="+mn-cs"/>
            </a:rPr>
            <a:t>R4.5.14</a:t>
          </a:r>
          <a:r>
            <a:rPr kumimoji="1" lang="ja-JP" altLang="en-US" sz="1800" b="1">
              <a:solidFill>
                <a:schemeClr val="lt1"/>
              </a:solidFill>
              <a:effectLst/>
              <a:latin typeface="+mn-ea"/>
              <a:ea typeface="+mn-ea"/>
              <a:cs typeface="+mn-cs"/>
            </a:rPr>
            <a:t>修正</a:t>
          </a:r>
          <a:endParaRPr kumimoji="1" lang="ja-JP" altLang="en-US" sz="1800" b="1">
            <a:latin typeface="+mn-ea"/>
            <a:ea typeface="+mn-ea"/>
          </a:endParaRPr>
        </a:p>
      </xdr:txBody>
    </xdr:sp>
    <xdr:clientData/>
  </xdr:twoCellAnchor>
  <xdr:twoCellAnchor>
    <xdr:from>
      <xdr:col>7</xdr:col>
      <xdr:colOff>0</xdr:colOff>
      <xdr:row>3</xdr:row>
      <xdr:rowOff>0</xdr:rowOff>
    </xdr:from>
    <xdr:to>
      <xdr:col>8</xdr:col>
      <xdr:colOff>0</xdr:colOff>
      <xdr:row>90</xdr:row>
      <xdr:rowOff>0</xdr:rowOff>
    </xdr:to>
    <xdr:sp macro="" textlink="">
      <xdr:nvSpPr>
        <xdr:cNvPr id="3" name="正方形/長方形 2"/>
        <xdr:cNvSpPr/>
      </xdr:nvSpPr>
      <xdr:spPr>
        <a:xfrm>
          <a:off x="4191000" y="770283"/>
          <a:ext cx="944217" cy="1384852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w8_drawing13.xml><?xml version="1.0" encoding="utf-8"?>
<xdr:wsDr xmlns:xdr="http://schemas.openxmlformats.org/drawingml/2006/spreadsheetDrawing" xmlns:a="http://schemas.openxmlformats.org/drawingml/2006/main">
  <xdr:twoCellAnchor>
    <xdr:from>
      <xdr:col>21</xdr:col>
      <xdr:colOff>95250</xdr:colOff>
      <xdr:row>0</xdr:row>
      <xdr:rowOff>84667</xdr:rowOff>
    </xdr:from>
    <xdr:to>
      <xdr:col>28</xdr:col>
      <xdr:colOff>190500</xdr:colOff>
      <xdr:row>28</xdr:row>
      <xdr:rowOff>0</xdr:rowOff>
    </xdr:to>
    <xdr:sp macro="" textlink="">
      <xdr:nvSpPr>
        <xdr:cNvPr id="3" name="角丸四角形吹き出し 2"/>
        <xdr:cNvSpPr/>
      </xdr:nvSpPr>
      <xdr:spPr>
        <a:xfrm>
          <a:off x="12065000" y="84667"/>
          <a:ext cx="4910667" cy="4000500"/>
        </a:xfrm>
        <a:prstGeom prst="wedgeRoundRectCallout">
          <a:avLst>
            <a:gd name="adj1" fmla="val -43544"/>
            <a:gd name="adj2" fmla="val 5583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　（繰）</a:t>
          </a:r>
          <a:r>
            <a:rPr kumimoji="1" lang="en-US" altLang="ja-JP" sz="1800" b="1">
              <a:latin typeface="+mn-ea"/>
              <a:ea typeface="+mn-ea"/>
            </a:rPr>
            <a:t>4</a:t>
          </a:r>
          <a:r>
            <a:rPr kumimoji="1" lang="ja-JP" altLang="en-US" sz="1800" b="1">
              <a:latin typeface="+mn-ea"/>
              <a:ea typeface="+mn-ea"/>
            </a:rPr>
            <a:t>条収入シート（繰）</a:t>
          </a:r>
          <a:r>
            <a:rPr kumimoji="1" lang="en-US" altLang="ja-JP" sz="1800" b="1">
              <a:latin typeface="+mn-ea"/>
              <a:ea typeface="+mn-ea"/>
            </a:rPr>
            <a:t>4</a:t>
          </a:r>
          <a:r>
            <a:rPr kumimoji="1" lang="ja-JP" altLang="en-US" sz="1800" b="1">
              <a:latin typeface="+mn-ea"/>
              <a:ea typeface="+mn-ea"/>
            </a:rPr>
            <a:t>条支出シートを</a:t>
          </a:r>
          <a:r>
            <a:rPr kumimoji="1" lang="en-US" altLang="ja-JP" sz="1800" b="1">
              <a:latin typeface="+mn-ea"/>
              <a:ea typeface="+mn-ea"/>
            </a:rPr>
            <a:t>R4.4.19</a:t>
          </a:r>
          <a:r>
            <a:rPr kumimoji="1" lang="ja-JP" altLang="en-US" sz="1800" b="1">
              <a:latin typeface="+mn-ea"/>
              <a:ea typeface="+mn-ea"/>
            </a:rPr>
            <a:t>修正</a:t>
          </a: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M</a:t>
          </a:r>
          <a:r>
            <a:rPr kumimoji="1" lang="ja-JP" altLang="en-US" sz="1800" b="1">
              <a:latin typeface="+mn-ea"/>
              <a:ea typeface="+mn-ea"/>
            </a:rPr>
            <a:t>列：前年度からの繰越　は</a:t>
          </a:r>
          <a:r>
            <a:rPr kumimoji="1" lang="en-US" altLang="ja-JP" sz="1800" b="1">
              <a:latin typeface="+mn-ea"/>
              <a:ea typeface="+mn-ea"/>
            </a:rPr>
            <a:t>R2</a:t>
          </a:r>
          <a:r>
            <a:rPr kumimoji="1" lang="ja-JP" altLang="en-US" sz="1800" b="1">
              <a:latin typeface="+mn-ea"/>
              <a:ea typeface="+mn-ea"/>
            </a:rPr>
            <a:t>決算書どおり入力済</a:t>
          </a:r>
          <a:r>
            <a:rPr kumimoji="1" lang="en-US" altLang="ja-JP" sz="1800" b="1">
              <a:latin typeface="+mn-ea"/>
              <a:ea typeface="+mn-ea"/>
            </a:rPr>
            <a:t>R3.10.25</a:t>
          </a:r>
          <a:r>
            <a:rPr kumimoji="1" lang="ja-JP" altLang="en-US" sz="1800" b="1">
              <a:latin typeface="+mn-ea"/>
              <a:ea typeface="+mn-ea"/>
            </a:rPr>
            <a:t>（事故繰越</a:t>
          </a:r>
          <a:r>
            <a:rPr kumimoji="1" lang="en-US" altLang="ja-JP" sz="1800" b="1">
              <a:latin typeface="+mn-ea"/>
              <a:ea typeface="+mn-ea"/>
            </a:rPr>
            <a:t>R1</a:t>
          </a:r>
          <a:r>
            <a:rPr kumimoji="1" lang="ja-JP" altLang="en-US" sz="1800" b="1">
              <a:latin typeface="+mn-ea"/>
              <a:ea typeface="+mn-ea"/>
            </a:rPr>
            <a:t>→</a:t>
          </a:r>
          <a:r>
            <a:rPr kumimoji="1" lang="en-US" altLang="ja-JP" sz="1800" b="1">
              <a:latin typeface="+mn-ea"/>
              <a:ea typeface="+mn-ea"/>
            </a:rPr>
            <a:t>3</a:t>
          </a:r>
          <a:r>
            <a:rPr kumimoji="1" lang="ja-JP" altLang="en-US" sz="1800" b="1">
              <a:latin typeface="+mn-ea"/>
              <a:ea typeface="+mn-ea"/>
            </a:rPr>
            <a:t>を加算）</a:t>
          </a:r>
          <a:endParaRPr kumimoji="1" lang="en-US" altLang="ja-JP" sz="1800" b="1">
            <a:latin typeface="+mn-ea"/>
            <a:ea typeface="+mn-ea"/>
          </a:endParaRPr>
        </a:p>
        <a:p>
          <a:pPr algn="l"/>
          <a:endParaRPr kumimoji="1" lang="en-US" altLang="ja-JP" sz="1800" b="1">
            <a:latin typeface="+mn-ea"/>
            <a:ea typeface="+mn-ea"/>
          </a:endParaRPr>
        </a:p>
        <a:p>
          <a:pPr algn="l"/>
          <a:r>
            <a:rPr kumimoji="1" lang="en-US" altLang="ja-JP" sz="1800" b="1">
              <a:latin typeface="+mn-ea"/>
              <a:ea typeface="+mn-ea"/>
            </a:rPr>
            <a:t>P</a:t>
          </a:r>
          <a:r>
            <a:rPr kumimoji="1" lang="ja-JP" altLang="en-US" sz="1800" b="1">
              <a:latin typeface="+mn-ea"/>
              <a:ea typeface="+mn-ea"/>
            </a:rPr>
            <a:t>列は</a:t>
          </a:r>
          <a:r>
            <a:rPr kumimoji="1" lang="en-US" altLang="ja-JP" sz="1800" b="1">
              <a:latin typeface="+mn-ea"/>
              <a:ea typeface="+mn-ea"/>
            </a:rPr>
            <a:t>R4.5.14</a:t>
          </a:r>
          <a:r>
            <a:rPr kumimoji="1" lang="ja-JP" altLang="en-US" sz="1800" b="1">
              <a:latin typeface="+mn-ea"/>
              <a:ea typeface="+mn-ea"/>
            </a:rPr>
            <a:t>修正</a:t>
          </a:r>
        </a:p>
      </xdr:txBody>
    </xdr:sp>
    <xdr:clientData/>
  </xdr:twoCellAnchor>
  <xdr:twoCellAnchor>
    <xdr:from>
      <xdr:col>7</xdr:col>
      <xdr:colOff>0</xdr:colOff>
      <xdr:row>3</xdr:row>
      <xdr:rowOff>0</xdr:rowOff>
    </xdr:from>
    <xdr:to>
      <xdr:col>8</xdr:col>
      <xdr:colOff>1242</xdr:colOff>
      <xdr:row>70</xdr:row>
      <xdr:rowOff>0</xdr:rowOff>
    </xdr:to>
    <xdr:sp macro="" textlink="">
      <xdr:nvSpPr>
        <xdr:cNvPr id="4" name="正方形/長方形 3"/>
        <xdr:cNvSpPr/>
      </xdr:nvSpPr>
      <xdr:spPr>
        <a:xfrm>
          <a:off x="4538382" y="773206"/>
          <a:ext cx="942536" cy="16338176"/>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w1_sheet2.xml.rels><?xml version="1.0" encoding="UTF-8" standalone="yes"?>
<Relationships xmlns="http://schemas.openxmlformats.org/package/2006/relationships"><Relationship Id="rId3" Type="http://schemas.openxmlformats.org/officeDocument/2006/relationships/comments" Target="../w1_comments1.xml"/><Relationship Id="rId2" Type="http://schemas.openxmlformats.org/officeDocument/2006/relationships/vmlDrawing" Target="../drawings/w1_vmlDrawing1.vml"/><Relationship Id="rId1" Type="http://schemas.openxmlformats.org/officeDocument/2006/relationships/printerSettings" Target="../printerSettings/w1_printerSettings1.bin"/></Relationships>
</file>

<file path=xl/worksheets/_rels/w1_sheet3.xml.rels><?xml version="1.0" encoding="UTF-8" standalone="yes"?>
<Relationships xmlns="http://schemas.openxmlformats.org/package/2006/relationships"><Relationship Id="rId3" Type="http://schemas.openxmlformats.org/officeDocument/2006/relationships/vmlDrawing" Target="../drawings/w1_vmlDrawing2.vml"/><Relationship Id="rId2" Type="http://schemas.openxmlformats.org/officeDocument/2006/relationships/drawing" Target="../drawings/w1_drawing1.xml"/><Relationship Id="rId1" Type="http://schemas.openxmlformats.org/officeDocument/2006/relationships/printerSettings" Target="../printerSettings/w1_printerSettings2.bin"/><Relationship Id="rId4" Type="http://schemas.openxmlformats.org/officeDocument/2006/relationships/comments" Target="../w1_comments2.xml"/></Relationships>
</file>

<file path=xl/worksheets/_rels/w1_sheet4.xml.rels><?xml version="1.0" encoding="UTF-8" standalone="yes"?>
<Relationships xmlns="http://schemas.openxmlformats.org/package/2006/relationships"><Relationship Id="rId3" Type="http://schemas.openxmlformats.org/officeDocument/2006/relationships/vmlDrawing" Target="../drawings/w1_vmlDrawing3.vml"/><Relationship Id="rId2" Type="http://schemas.openxmlformats.org/officeDocument/2006/relationships/drawing" Target="../drawings/w1_drawing2.xml"/><Relationship Id="rId1" Type="http://schemas.openxmlformats.org/officeDocument/2006/relationships/printerSettings" Target="../printerSettings/w1_printerSettings3.bin"/><Relationship Id="rId4" Type="http://schemas.openxmlformats.org/officeDocument/2006/relationships/comments" Target="../w1_comments3.xml"/></Relationships>
</file>

<file path=xl/worksheets/_rels/w1_sheet5.xml.rels><?xml version="1.0" encoding="UTF-8" standalone="yes"?>
<Relationships xmlns="http://schemas.openxmlformats.org/package/2006/relationships"><Relationship Id="rId1" Type="http://schemas.openxmlformats.org/officeDocument/2006/relationships/printerSettings" Target="../printerSettings/w1_printerSettings4.bin"/></Relationships>
</file>

<file path=xl/worksheets/_rels/w1_sheet6.xml.rels><?xml version="1.0" encoding="UTF-8" standalone="yes"?>
<Relationships xmlns="http://schemas.openxmlformats.org/package/2006/relationships"><Relationship Id="rId1" Type="http://schemas.openxmlformats.org/officeDocument/2006/relationships/printerSettings" Target="../printerSettings/w1_printerSettings5.bin"/></Relationships>
</file>

<file path=xl/worksheets/_rels/w1_sheet7.xml.rels><?xml version="1.0" encoding="UTF-8" standalone="yes"?>
<Relationships xmlns="http://schemas.openxmlformats.org/package/2006/relationships"><Relationship Id="rId1" Type="http://schemas.openxmlformats.org/officeDocument/2006/relationships/printerSettings" Target="../printerSettings/w1_printerSettings6.bin"/></Relationships>
</file>

<file path=xl/worksheets/_rels/w1_sheet8.xml.rels><?xml version="1.0" encoding="UTF-8" standalone="yes"?>
<Relationships xmlns="http://schemas.openxmlformats.org/package/2006/relationships"><Relationship Id="rId1" Type="http://schemas.openxmlformats.org/officeDocument/2006/relationships/printerSettings" Target="../printerSettings/w1_printerSettings7.bin"/></Relationships>
</file>

<file path=xl/worksheets/_rels/w1_sheet9.xml.rels><?xml version="1.0" encoding="UTF-8" standalone="yes"?>
<Relationships xmlns="http://schemas.openxmlformats.org/package/2006/relationships"><Relationship Id="rId1" Type="http://schemas.openxmlformats.org/officeDocument/2006/relationships/printerSettings" Target="../printerSettings/w1_printerSettings8.bin"/></Relationships>
</file>

<file path=xl/worksheets/_rels/w1_sheet10.xml.rels><?xml version="1.0" encoding="UTF-8" standalone="yes"?>
<Relationships xmlns="http://schemas.openxmlformats.org/package/2006/relationships"><Relationship Id="rId1" Type="http://schemas.openxmlformats.org/officeDocument/2006/relationships/printerSettings" Target="../printerSettings/w1_printerSettings9.bin"/></Relationships>
</file>

<file path=xl/worksheets/_rels/w1_sheet11.xml.rels><?xml version="1.0" encoding="UTF-8" standalone="yes"?>
<Relationships xmlns="http://schemas.openxmlformats.org/package/2006/relationships"><Relationship Id="rId1" Type="http://schemas.openxmlformats.org/officeDocument/2006/relationships/printerSettings" Target="../printerSettings/w1_printerSettings10.bin"/></Relationships>
</file>

<file path=xl/worksheets/_rels/w1_sheet12.xml.rels><?xml version="1.0" encoding="UTF-8" standalone="yes"?>
<Relationships xmlns="http://schemas.openxmlformats.org/package/2006/relationships"><Relationship Id="rId1" Type="http://schemas.openxmlformats.org/officeDocument/2006/relationships/printerSettings" Target="../printerSettings/w1_printerSettings11.bin"/></Relationships>
</file>

<file path=xl/worksheets/_rels/w1_sheet13.xml.rels><?xml version="1.0" encoding="UTF-8" standalone="yes"?>
<Relationships xmlns="http://schemas.openxmlformats.org/package/2006/relationships"><Relationship Id="rId1" Type="http://schemas.openxmlformats.org/officeDocument/2006/relationships/printerSettings" Target="../printerSettings/w1_printerSettings12.bin"/></Relationships>
</file>

<file path=xl/worksheets/_rels/w1_sheet14.xml.rels><?xml version="1.0" encoding="UTF-8" standalone="yes"?>
<Relationships xmlns="http://schemas.openxmlformats.org/package/2006/relationships"><Relationship Id="rId1" Type="http://schemas.openxmlformats.org/officeDocument/2006/relationships/printerSettings" Target="../printerSettings/w1_printerSettings13.bin"/></Relationships>
</file>

<file path=xl/worksheets/_rels/w1_sheet15.xml.rels><?xml version="1.0" encoding="UTF-8" standalone="yes"?>
<Relationships xmlns="http://schemas.openxmlformats.org/package/2006/relationships"><Relationship Id="rId1" Type="http://schemas.openxmlformats.org/officeDocument/2006/relationships/printerSettings" Target="../printerSettings/w1_printerSettings14.bin"/></Relationships>
</file>

<file path=xl/worksheets/_rels/w1_sheet16.xml.rels><?xml version="1.0" encoding="UTF-8" standalone="yes"?>
<Relationships xmlns="http://schemas.openxmlformats.org/package/2006/relationships"><Relationship Id="rId1" Type="http://schemas.openxmlformats.org/officeDocument/2006/relationships/printerSettings" Target="../printerSettings/w1_printerSettings15.bin"/></Relationships>
</file>

<file path=xl/worksheets/_rels/w1_sheet17.xml.rels><?xml version="1.0" encoding="UTF-8" standalone="yes"?>
<Relationships xmlns="http://schemas.openxmlformats.org/package/2006/relationships"><Relationship Id="rId1" Type="http://schemas.openxmlformats.org/officeDocument/2006/relationships/printerSettings" Target="../printerSettings/w1_printerSettings16.bin"/></Relationships>
</file>

<file path=xl/worksheets/_rels/w1_sheet18.xml.rels><?xml version="1.0" encoding="UTF-8" standalone="yes"?>
<Relationships xmlns="http://schemas.openxmlformats.org/package/2006/relationships"><Relationship Id="rId1" Type="http://schemas.openxmlformats.org/officeDocument/2006/relationships/printerSettings" Target="../printerSettings/w1_printerSettings17.bin"/></Relationships>
</file>

<file path=xl/worksheets/_rels/w1_sheet19.xml.rels><?xml version="1.0" encoding="UTF-8" standalone="yes"?>
<Relationships xmlns="http://schemas.openxmlformats.org/package/2006/relationships"><Relationship Id="rId1" Type="http://schemas.openxmlformats.org/officeDocument/2006/relationships/printerSettings" Target="../printerSettings/w1_printerSettings18.bin"/></Relationships>
</file>

<file path=xl/worksheets/_rels/w1_sheet20.xml.rels><?xml version="1.0" encoding="UTF-8" standalone="yes"?>
<Relationships xmlns="http://schemas.openxmlformats.org/package/2006/relationships"><Relationship Id="rId3" Type="http://schemas.openxmlformats.org/officeDocument/2006/relationships/comments" Target="../w1_comments4.xml"/><Relationship Id="rId2" Type="http://schemas.openxmlformats.org/officeDocument/2006/relationships/vmlDrawing" Target="../drawings/w1_vmlDrawing4.vml"/><Relationship Id="rId1" Type="http://schemas.openxmlformats.org/officeDocument/2006/relationships/printerSettings" Target="../printerSettings/w1_printerSettings19.bin"/></Relationships>
</file>

<file path=xl/worksheets/_rels/w1_sheet21.xml.rels><?xml version="1.0" encoding="UTF-8" standalone="yes"?>
<Relationships xmlns="http://schemas.openxmlformats.org/package/2006/relationships"><Relationship Id="rId3" Type="http://schemas.openxmlformats.org/officeDocument/2006/relationships/vmlDrawing" Target="../drawings/w1_vmlDrawing5.vml"/><Relationship Id="rId2" Type="http://schemas.openxmlformats.org/officeDocument/2006/relationships/drawing" Target="../drawings/w1_drawing3.xml"/><Relationship Id="rId1" Type="http://schemas.openxmlformats.org/officeDocument/2006/relationships/printerSettings" Target="../printerSettings/w1_printerSettings20.bin"/><Relationship Id="rId4" Type="http://schemas.openxmlformats.org/officeDocument/2006/relationships/comments" Target="../w1_comments5.xml"/></Relationships>
</file>

<file path=xl/worksheets/_rels/w1_sheet22.xml.rels><?xml version="1.0" encoding="UTF-8" standalone="yes"?>
<Relationships xmlns="http://schemas.openxmlformats.org/package/2006/relationships"><Relationship Id="rId3" Type="http://schemas.openxmlformats.org/officeDocument/2006/relationships/vmlDrawing" Target="../drawings/w1_vmlDrawing6.vml"/><Relationship Id="rId2" Type="http://schemas.openxmlformats.org/officeDocument/2006/relationships/drawing" Target="../drawings/w1_drawing4.xml"/><Relationship Id="rId1" Type="http://schemas.openxmlformats.org/officeDocument/2006/relationships/printerSettings" Target="../printerSettings/w1_printerSettings21.bin"/><Relationship Id="rId4" Type="http://schemas.openxmlformats.org/officeDocument/2006/relationships/comments" Target="../w1_comments6.xml"/></Relationships>
</file>

<file path=xl/worksheets/_rels/w1_sheet23.xml.rels><?xml version="1.0" encoding="UTF-8" standalone="yes"?>
<Relationships xmlns="http://schemas.openxmlformats.org/package/2006/relationships"><Relationship Id="rId2" Type="http://schemas.openxmlformats.org/officeDocument/2006/relationships/drawing" Target="../drawings/w1_drawing5.xml"/><Relationship Id="rId1" Type="http://schemas.openxmlformats.org/officeDocument/2006/relationships/printerSettings" Target="../printerSettings/w1_printerSettings22.bin"/></Relationships>
</file>

<file path=xl/worksheets/_rels/w1_sheet24.xml.rels><?xml version="1.0" encoding="UTF-8" standalone="yes"?>
<Relationships xmlns="http://schemas.openxmlformats.org/package/2006/relationships"><Relationship Id="rId2" Type="http://schemas.openxmlformats.org/officeDocument/2006/relationships/drawing" Target="../drawings/w1_drawing6.xml"/><Relationship Id="rId1" Type="http://schemas.openxmlformats.org/officeDocument/2006/relationships/printerSettings" Target="../printerSettings/w1_printerSettings23.bin"/></Relationships>
</file>

<file path=xl/worksheets/_rels/w1_sheet25.xml.rels><?xml version="1.0" encoding="UTF-8" standalone="yes"?>
<Relationships xmlns="http://schemas.openxmlformats.org/package/2006/relationships"><Relationship Id="rId2" Type="http://schemas.openxmlformats.org/officeDocument/2006/relationships/drawing" Target="../drawings/w1_drawing7.xml"/><Relationship Id="rId1" Type="http://schemas.openxmlformats.org/officeDocument/2006/relationships/printerSettings" Target="../printerSettings/w1_printerSettings24.bin"/></Relationships>
</file>

<file path=xl/worksheets/_rels/w1_sheet26.xml.rels><?xml version="1.0" encoding="UTF-8" standalone="yes"?>
<Relationships xmlns="http://schemas.openxmlformats.org/package/2006/relationships"><Relationship Id="rId2" Type="http://schemas.openxmlformats.org/officeDocument/2006/relationships/drawing" Target="../drawings/w1_drawing8.xml"/><Relationship Id="rId1" Type="http://schemas.openxmlformats.org/officeDocument/2006/relationships/printerSettings" Target="../printerSettings/w1_printerSettings25.bin"/></Relationships>
</file>

<file path=xl/worksheets/_rels/w2_sheet1.xml.rels><?xml version="1.0" encoding="UTF-8" standalone="yes"?>
<Relationships xmlns="http://schemas.openxmlformats.org/package/2006/relationships"><Relationship Id="rId3" Type="http://schemas.openxmlformats.org/officeDocument/2006/relationships/comments" Target="../w2_comments1.xml"/><Relationship Id="rId2" Type="http://schemas.openxmlformats.org/officeDocument/2006/relationships/vmlDrawing" Target="../drawings/w2_vmlDrawing1.vml"/><Relationship Id="rId1" Type="http://schemas.openxmlformats.org/officeDocument/2006/relationships/printerSettings" Target="../printerSettings/w2_printerSettings1.bin"/></Relationships>
</file>

<file path=xl/worksheets/_rels/w3_sheet1.xml.rels><?xml version="1.0" encoding="UTF-8" standalone="yes"?>
<Relationships xmlns="http://schemas.openxmlformats.org/package/2006/relationships"><Relationship Id="rId1" Type="http://schemas.openxmlformats.org/officeDocument/2006/relationships/printerSettings" Target="../printerSettings/w3_printerSettings1.bin"/></Relationships>
</file>

<file path=xl/worksheets/_rels/w3_sheet2.xml.rels><?xml version="1.0" encoding="UTF-8" standalone="yes"?>
<Relationships xmlns="http://schemas.openxmlformats.org/package/2006/relationships"><Relationship Id="rId1" Type="http://schemas.openxmlformats.org/officeDocument/2006/relationships/printerSettings" Target="../printerSettings/w3_printerSettings2.bin"/></Relationships>
</file>

<file path=xl/worksheets/_rels/w3_sheet3.xml.rels><?xml version="1.0" encoding="UTF-8" standalone="yes"?>
<Relationships xmlns="http://schemas.openxmlformats.org/package/2006/relationships"><Relationship Id="rId1" Type="http://schemas.openxmlformats.org/officeDocument/2006/relationships/printerSettings" Target="../printerSettings/w3_printerSettings3.bin"/></Relationships>
</file>

<file path=xl/worksheets/_rels/w3_sheet4.xml.rels><?xml version="1.0" encoding="UTF-8" standalone="yes"?>
<Relationships xmlns="http://schemas.openxmlformats.org/package/2006/relationships"><Relationship Id="rId1" Type="http://schemas.openxmlformats.org/officeDocument/2006/relationships/printerSettings" Target="../printerSettings/w3_printerSettings4.bin"/></Relationships>
</file>

<file path=xl/worksheets/_rels/w3_sheet5.xml.rels><?xml version="1.0" encoding="UTF-8" standalone="yes"?>
<Relationships xmlns="http://schemas.openxmlformats.org/package/2006/relationships"><Relationship Id="rId1" Type="http://schemas.openxmlformats.org/officeDocument/2006/relationships/printerSettings" Target="../printerSettings/w3_printerSettings5.bin"/></Relationships>
</file>

<file path=xl/worksheets/_rels/w3_sheet6.xml.rels><?xml version="1.0" encoding="UTF-8" standalone="yes"?>
<Relationships xmlns="http://schemas.openxmlformats.org/package/2006/relationships"><Relationship Id="rId1" Type="http://schemas.openxmlformats.org/officeDocument/2006/relationships/printerSettings" Target="../printerSettings/w3_printerSettings6.bin"/></Relationships>
</file>

<file path=xl/worksheets/_rels/w3_sheet7.xml.rels><?xml version="1.0" encoding="UTF-8" standalone="yes"?>
<Relationships xmlns="http://schemas.openxmlformats.org/package/2006/relationships"><Relationship Id="rId1" Type="http://schemas.openxmlformats.org/officeDocument/2006/relationships/printerSettings" Target="../printerSettings/w3_printerSettings7.bin"/></Relationships>
</file>

<file path=xl/worksheets/_rels/w3_sheet8.xml.rels><?xml version="1.0" encoding="UTF-8" standalone="yes"?>
<Relationships xmlns="http://schemas.openxmlformats.org/package/2006/relationships"><Relationship Id="rId1" Type="http://schemas.openxmlformats.org/officeDocument/2006/relationships/printerSettings" Target="../printerSettings/w3_printerSettings8.bin"/></Relationships>
</file>

<file path=xl/worksheets/_rels/w3_sheet9.xml.rels><?xml version="1.0" encoding="UTF-8" standalone="yes"?>
<Relationships xmlns="http://schemas.openxmlformats.org/package/2006/relationships"><Relationship Id="rId1" Type="http://schemas.openxmlformats.org/officeDocument/2006/relationships/printerSettings" Target="../printerSettings/w3_printerSettings9.bin"/></Relationships>
</file>

<file path=xl/worksheets/_rels/w3_sheet10.xml.rels><?xml version="1.0" encoding="UTF-8" standalone="yes"?>
<Relationships xmlns="http://schemas.openxmlformats.org/package/2006/relationships"><Relationship Id="rId1" Type="http://schemas.openxmlformats.org/officeDocument/2006/relationships/printerSettings" Target="../printerSettings/w3_printerSettings10.bin"/></Relationships>
</file>

<file path=xl/worksheets/_rels/w3_sheet11.xml.rels><?xml version="1.0" encoding="UTF-8" standalone="yes"?>
<Relationships xmlns="http://schemas.openxmlformats.org/package/2006/relationships"><Relationship Id="rId1" Type="http://schemas.openxmlformats.org/officeDocument/2006/relationships/printerSettings" Target="../printerSettings/w3_printerSettings11.bin"/></Relationships>
</file>

<file path=xl/worksheets/_rels/w3_sheet12.xml.rels><?xml version="1.0" encoding="UTF-8" standalone="yes"?>
<Relationships xmlns="http://schemas.openxmlformats.org/package/2006/relationships"><Relationship Id="rId1" Type="http://schemas.openxmlformats.org/officeDocument/2006/relationships/printerSettings" Target="../printerSettings/w3_printerSettings12.bin"/></Relationships>
</file>

<file path=xl/worksheets/_rels/w3_sheet13.xml.rels><?xml version="1.0" encoding="UTF-8" standalone="yes"?>
<Relationships xmlns="http://schemas.openxmlformats.org/package/2006/relationships"><Relationship Id="rId1" Type="http://schemas.openxmlformats.org/officeDocument/2006/relationships/printerSettings" Target="../printerSettings/w3_printerSettings13.bin"/></Relationships>
</file>

<file path=xl/worksheets/_rels/w3_sheet14.xml.rels><?xml version="1.0" encoding="UTF-8" standalone="yes"?>
<Relationships xmlns="http://schemas.openxmlformats.org/package/2006/relationships"><Relationship Id="rId1" Type="http://schemas.openxmlformats.org/officeDocument/2006/relationships/printerSettings" Target="../printerSettings/w3_printerSettings14.bin"/></Relationships>
</file>

<file path=xl/worksheets/_rels/w3_sheet15.xml.rels><?xml version="1.0" encoding="UTF-8" standalone="yes"?>
<Relationships xmlns="http://schemas.openxmlformats.org/package/2006/relationships"><Relationship Id="rId1" Type="http://schemas.openxmlformats.org/officeDocument/2006/relationships/printerSettings" Target="../printerSettings/w3_printerSettings15.bin"/></Relationships>
</file>

<file path=xl/worksheets/_rels/w3_sheet16.xml.rels><?xml version="1.0" encoding="UTF-8" standalone="yes"?>
<Relationships xmlns="http://schemas.openxmlformats.org/package/2006/relationships"><Relationship Id="rId1" Type="http://schemas.openxmlformats.org/officeDocument/2006/relationships/printerSettings" Target="../printerSettings/w3_printerSettings16.bin"/></Relationships>
</file>

<file path=xl/worksheets/_rels/w4_sheet1.xml.rels><?xml version="1.0" encoding="UTF-8" standalone="yes"?>
<Relationships xmlns="http://schemas.openxmlformats.org/package/2006/relationships"><Relationship Id="rId3" Type="http://schemas.openxmlformats.org/officeDocument/2006/relationships/comments" Target="../w4_comments1.xml"/><Relationship Id="rId2" Type="http://schemas.openxmlformats.org/officeDocument/2006/relationships/vmlDrawing" Target="../drawings/w4_vmlDrawing1.vml"/><Relationship Id="rId1" Type="http://schemas.openxmlformats.org/officeDocument/2006/relationships/printerSettings" Target="../printerSettings/w4_printerSettings1.bin"/></Relationships>
</file>

<file path=xl/worksheets/_rels/w5_sheet1.xml.rels><?xml version="1.0" encoding="UTF-8" standalone="yes"?>
<Relationships xmlns="http://schemas.openxmlformats.org/package/2006/relationships"><Relationship Id="rId3" Type="http://schemas.openxmlformats.org/officeDocument/2006/relationships/vmlDrawing" Target="../drawings/w5_vmlDrawing1.vml"/><Relationship Id="rId2" Type="http://schemas.openxmlformats.org/officeDocument/2006/relationships/drawing" Target="../drawings/w5_drawing1.xml"/><Relationship Id="rId1" Type="http://schemas.openxmlformats.org/officeDocument/2006/relationships/printerSettings" Target="../printerSettings/w5_printerSettings1.bin"/><Relationship Id="rId4" Type="http://schemas.openxmlformats.org/officeDocument/2006/relationships/comments" Target="../w5_comments1.xml"/></Relationships>
</file>

<file path=xl/worksheets/_rels/w5_sheet2.xml.rels><?xml version="1.0" encoding="UTF-8" standalone="yes"?>
<Relationships xmlns="http://schemas.openxmlformats.org/package/2006/relationships"><Relationship Id="rId1" Type="http://schemas.openxmlformats.org/officeDocument/2006/relationships/printerSettings" Target="../printerSettings/w5_printerSettings2.bin"/></Relationships>
</file>

<file path=xl/worksheets/_rels/w5_sheet3.xml.rels><?xml version="1.0" encoding="UTF-8" standalone="yes"?>
<Relationships xmlns="http://schemas.openxmlformats.org/package/2006/relationships"><Relationship Id="rId1" Type="http://schemas.openxmlformats.org/officeDocument/2006/relationships/printerSettings" Target="../printerSettings/w5_printerSettings3.bin"/></Relationships>
</file>

<file path=xl/worksheets/_rels/w5_sheet4.xml.rels><?xml version="1.0" encoding="UTF-8" standalone="yes"?>
<Relationships xmlns="http://schemas.openxmlformats.org/package/2006/relationships"><Relationship Id="rId2" Type="http://schemas.openxmlformats.org/officeDocument/2006/relationships/drawing" Target="../drawings/w5_drawing2.xml"/><Relationship Id="rId1" Type="http://schemas.openxmlformats.org/officeDocument/2006/relationships/printerSettings" Target="../printerSettings/w5_printerSettings4.bin"/></Relationships>
</file>

<file path=xl/worksheets/_rels/w5_sheet5.xml.rels><?xml version="1.0" encoding="UTF-8" standalone="yes"?>
<Relationships xmlns="http://schemas.openxmlformats.org/package/2006/relationships"><Relationship Id="rId3" Type="http://schemas.openxmlformats.org/officeDocument/2006/relationships/vmlDrawing" Target="../drawings/w5_vmlDrawing2.vml"/><Relationship Id="rId2" Type="http://schemas.openxmlformats.org/officeDocument/2006/relationships/drawing" Target="../drawings/w5_drawing3.xml"/><Relationship Id="rId1" Type="http://schemas.openxmlformats.org/officeDocument/2006/relationships/printerSettings" Target="../printerSettings/w5_printerSettings5.bin"/><Relationship Id="rId4" Type="http://schemas.openxmlformats.org/officeDocument/2006/relationships/comments" Target="../w5_comments2.xml"/></Relationships>
</file>

<file path=xl/worksheets/_rels/w5_sheet6.xml.rels><?xml version="1.0" encoding="UTF-8" standalone="yes"?>
<Relationships xmlns="http://schemas.openxmlformats.org/package/2006/relationships"><Relationship Id="rId3" Type="http://schemas.openxmlformats.org/officeDocument/2006/relationships/vmlDrawing" Target="../drawings/w5_vmlDrawing3.vml"/><Relationship Id="rId2" Type="http://schemas.openxmlformats.org/officeDocument/2006/relationships/drawing" Target="../drawings/w5_drawing4.xml"/><Relationship Id="rId1" Type="http://schemas.openxmlformats.org/officeDocument/2006/relationships/printerSettings" Target="../printerSettings/w5_printerSettings6.bin"/><Relationship Id="rId4" Type="http://schemas.openxmlformats.org/officeDocument/2006/relationships/comments" Target="../w5_comments3.xml"/></Relationships>
</file>

<file path=xl/worksheets/_rels/w5_sheet7.xml.rels><?xml version="1.0" encoding="UTF-8" standalone="yes"?>
<Relationships xmlns="http://schemas.openxmlformats.org/package/2006/relationships"><Relationship Id="rId3" Type="http://schemas.openxmlformats.org/officeDocument/2006/relationships/vmlDrawing" Target="../drawings/w5_vmlDrawing4.vml"/><Relationship Id="rId2" Type="http://schemas.openxmlformats.org/officeDocument/2006/relationships/drawing" Target="../drawings/w5_drawing5.xml"/><Relationship Id="rId1" Type="http://schemas.openxmlformats.org/officeDocument/2006/relationships/printerSettings" Target="../printerSettings/w5_printerSettings7.bin"/><Relationship Id="rId4" Type="http://schemas.openxmlformats.org/officeDocument/2006/relationships/comments" Target="../w5_comments4.xml"/></Relationships>
</file>

<file path=xl/worksheets/_rels/w5_sheet8.xml.rels><?xml version="1.0" encoding="UTF-8" standalone="yes"?>
<Relationships xmlns="http://schemas.openxmlformats.org/package/2006/relationships"><Relationship Id="rId3" Type="http://schemas.openxmlformats.org/officeDocument/2006/relationships/vmlDrawing" Target="../drawings/w5_vmlDrawing5.vml"/><Relationship Id="rId2" Type="http://schemas.openxmlformats.org/officeDocument/2006/relationships/drawing" Target="../drawings/w5_drawing6.xml"/><Relationship Id="rId1" Type="http://schemas.openxmlformats.org/officeDocument/2006/relationships/printerSettings" Target="../printerSettings/w5_printerSettings8.bin"/><Relationship Id="rId4" Type="http://schemas.openxmlformats.org/officeDocument/2006/relationships/comments" Target="../w5_comments5.xml"/></Relationships>
</file>

<file path=xl/worksheets/_rels/w5_sheet9.xml.rels><?xml version="1.0" encoding="UTF-8" standalone="yes"?>
<Relationships xmlns="http://schemas.openxmlformats.org/package/2006/relationships"><Relationship Id="rId3" Type="http://schemas.openxmlformats.org/officeDocument/2006/relationships/vmlDrawing" Target="../drawings/w5_vmlDrawing6.vml"/><Relationship Id="rId2" Type="http://schemas.openxmlformats.org/officeDocument/2006/relationships/drawing" Target="../drawings/w5_drawing7.xml"/><Relationship Id="rId1" Type="http://schemas.openxmlformats.org/officeDocument/2006/relationships/printerSettings" Target="../printerSettings/w5_printerSettings9.bin"/><Relationship Id="rId4" Type="http://schemas.openxmlformats.org/officeDocument/2006/relationships/comments" Target="../w5_comments6.xml"/></Relationships>
</file>

<file path=xl/worksheets/_rels/w5_sheet10.xml.rels><?xml version="1.0" encoding="UTF-8" standalone="yes"?>
<Relationships xmlns="http://schemas.openxmlformats.org/package/2006/relationships"><Relationship Id="rId3" Type="http://schemas.openxmlformats.org/officeDocument/2006/relationships/vmlDrawing" Target="../drawings/w5_vmlDrawing7.vml"/><Relationship Id="rId2" Type="http://schemas.openxmlformats.org/officeDocument/2006/relationships/drawing" Target="../drawings/w5_drawing8.xml"/><Relationship Id="rId1" Type="http://schemas.openxmlformats.org/officeDocument/2006/relationships/printerSettings" Target="../printerSettings/w5_printerSettings10.bin"/><Relationship Id="rId4" Type="http://schemas.openxmlformats.org/officeDocument/2006/relationships/comments" Target="../w5_comments7.xml"/></Relationships>
</file>

<file path=xl/worksheets/_rels/w5_sheet11.xml.rels><?xml version="1.0" encoding="UTF-8" standalone="yes"?>
<Relationships xmlns="http://schemas.openxmlformats.org/package/2006/relationships"><Relationship Id="rId3" Type="http://schemas.openxmlformats.org/officeDocument/2006/relationships/vmlDrawing" Target="../drawings/w5_vmlDrawing8.vml"/><Relationship Id="rId2" Type="http://schemas.openxmlformats.org/officeDocument/2006/relationships/drawing" Target="../drawings/w5_drawing9.xml"/><Relationship Id="rId1" Type="http://schemas.openxmlformats.org/officeDocument/2006/relationships/printerSettings" Target="../printerSettings/w5_printerSettings11.bin"/><Relationship Id="rId4" Type="http://schemas.openxmlformats.org/officeDocument/2006/relationships/comments" Target="../w5_comments8.xml"/></Relationships>
</file>

<file path=xl/worksheets/_rels/w5_sheet12.xml.rels><?xml version="1.0" encoding="UTF-8" standalone="yes"?>
<Relationships xmlns="http://schemas.openxmlformats.org/package/2006/relationships"><Relationship Id="rId3" Type="http://schemas.openxmlformats.org/officeDocument/2006/relationships/vmlDrawing" Target="../drawings/w5_vmlDrawing9.vml"/><Relationship Id="rId2" Type="http://schemas.openxmlformats.org/officeDocument/2006/relationships/drawing" Target="../drawings/w5_drawing10.xml"/><Relationship Id="rId1" Type="http://schemas.openxmlformats.org/officeDocument/2006/relationships/printerSettings" Target="../printerSettings/w5_printerSettings12.bin"/><Relationship Id="rId4" Type="http://schemas.openxmlformats.org/officeDocument/2006/relationships/comments" Target="../w5_comments9.xml"/></Relationships>
</file>

<file path=xl/worksheets/_rels/w5_sheet13.xml.rels><?xml version="1.0" encoding="UTF-8" standalone="yes"?>
<Relationships xmlns="http://schemas.openxmlformats.org/package/2006/relationships"><Relationship Id="rId3" Type="http://schemas.openxmlformats.org/officeDocument/2006/relationships/vmlDrawing" Target="../drawings/w5_vmlDrawing10.vml"/><Relationship Id="rId2" Type="http://schemas.openxmlformats.org/officeDocument/2006/relationships/drawing" Target="../drawings/w5_drawing11.xml"/><Relationship Id="rId1" Type="http://schemas.openxmlformats.org/officeDocument/2006/relationships/printerSettings" Target="../printerSettings/w5_printerSettings13.bin"/><Relationship Id="rId4" Type="http://schemas.openxmlformats.org/officeDocument/2006/relationships/comments" Target="../w5_comments10.xml"/></Relationships>
</file>

<file path=xl/worksheets/_rels/w5_sheet14.xml.rels><?xml version="1.0" encoding="UTF-8" standalone="yes"?>
<Relationships xmlns="http://schemas.openxmlformats.org/package/2006/relationships"><Relationship Id="rId3" Type="http://schemas.openxmlformats.org/officeDocument/2006/relationships/vmlDrawing" Target="../drawings/w5_vmlDrawing11.vml"/><Relationship Id="rId2" Type="http://schemas.openxmlformats.org/officeDocument/2006/relationships/drawing" Target="../drawings/w5_drawing12.xml"/><Relationship Id="rId1" Type="http://schemas.openxmlformats.org/officeDocument/2006/relationships/printerSettings" Target="../printerSettings/w5_printerSettings14.bin"/><Relationship Id="rId4" Type="http://schemas.openxmlformats.org/officeDocument/2006/relationships/comments" Target="../w5_comments11.xml"/></Relationships>
</file>

<file path=xl/worksheets/_rels/w5_sheet15.xml.rels><?xml version="1.0" encoding="UTF-8" standalone="yes"?>
<Relationships xmlns="http://schemas.openxmlformats.org/package/2006/relationships"><Relationship Id="rId3" Type="http://schemas.openxmlformats.org/officeDocument/2006/relationships/comments" Target="../w5_comments12.xml"/><Relationship Id="rId2" Type="http://schemas.openxmlformats.org/officeDocument/2006/relationships/vmlDrawing" Target="../drawings/w5_vmlDrawing12.vml"/><Relationship Id="rId1" Type="http://schemas.openxmlformats.org/officeDocument/2006/relationships/printerSettings" Target="../printerSettings/w5_printerSettings15.bin"/></Relationships>
</file>

<file path=xl/worksheets/_rels/w6_sheet1.xml.rels><?xml version="1.0" encoding="UTF-8" standalone="yes"?>
<Relationships xmlns="http://schemas.openxmlformats.org/package/2006/relationships"><Relationship Id="rId1" Type="http://schemas.openxmlformats.org/officeDocument/2006/relationships/printerSettings" Target="../printerSettings/w6_printerSettings1.bin"/></Relationships>
</file>

<file path=xl/worksheets/_rels/w6_sheet2.xml.rels><?xml version="1.0" encoding="UTF-8" standalone="yes"?>
<Relationships xmlns="http://schemas.openxmlformats.org/package/2006/relationships"><Relationship Id="rId3" Type="http://schemas.openxmlformats.org/officeDocument/2006/relationships/vmlDrawing" Target="../drawings/w6_vmlDrawing1.vml"/><Relationship Id="rId2" Type="http://schemas.openxmlformats.org/officeDocument/2006/relationships/drawing" Target="../drawings/w6_drawing1.xml"/><Relationship Id="rId1" Type="http://schemas.openxmlformats.org/officeDocument/2006/relationships/printerSettings" Target="../printerSettings/w6_printerSettings2.bin"/><Relationship Id="rId4" Type="http://schemas.openxmlformats.org/officeDocument/2006/relationships/comments" Target="../w6_comments1.xml"/></Relationships>
</file>

<file path=xl/worksheets/_rels/w6_sheet3.xml.rels><?xml version="1.0" encoding="UTF-8" standalone="yes"?>
<Relationships xmlns="http://schemas.openxmlformats.org/package/2006/relationships"><Relationship Id="rId3" Type="http://schemas.openxmlformats.org/officeDocument/2006/relationships/vmlDrawing" Target="../drawings/w6_vmlDrawing2.vml"/><Relationship Id="rId2" Type="http://schemas.openxmlformats.org/officeDocument/2006/relationships/drawing" Target="../drawings/w6_drawing2.xml"/><Relationship Id="rId1" Type="http://schemas.openxmlformats.org/officeDocument/2006/relationships/printerSettings" Target="../printerSettings/w6_printerSettings3.bin"/><Relationship Id="rId4" Type="http://schemas.openxmlformats.org/officeDocument/2006/relationships/comments" Target="../w6_comments2.xml"/></Relationships>
</file>

<file path=xl/worksheets/_rels/w6_sheet4.xml.rels><?xml version="1.0" encoding="UTF-8" standalone="yes"?>
<Relationships xmlns="http://schemas.openxmlformats.org/package/2006/relationships"><Relationship Id="rId3" Type="http://schemas.openxmlformats.org/officeDocument/2006/relationships/vmlDrawing" Target="../drawings/w6_vmlDrawing3.vml"/><Relationship Id="rId2" Type="http://schemas.openxmlformats.org/officeDocument/2006/relationships/drawing" Target="../drawings/w6_drawing3.xml"/><Relationship Id="rId1" Type="http://schemas.openxmlformats.org/officeDocument/2006/relationships/printerSettings" Target="../printerSettings/w6_printerSettings4.bin"/><Relationship Id="rId4" Type="http://schemas.openxmlformats.org/officeDocument/2006/relationships/comments" Target="../w6_comments3.xml"/></Relationships>
</file>

<file path=xl/worksheets/_rels/w6_sheet5.xml.rels><?xml version="1.0" encoding="UTF-8" standalone="yes"?>
<Relationships xmlns="http://schemas.openxmlformats.org/package/2006/relationships"><Relationship Id="rId3" Type="http://schemas.openxmlformats.org/officeDocument/2006/relationships/vmlDrawing" Target="../drawings/w6_vmlDrawing4.vml"/><Relationship Id="rId2" Type="http://schemas.openxmlformats.org/officeDocument/2006/relationships/drawing" Target="../drawings/w6_drawing4.xml"/><Relationship Id="rId1" Type="http://schemas.openxmlformats.org/officeDocument/2006/relationships/printerSettings" Target="../printerSettings/w6_printerSettings5.bin"/><Relationship Id="rId4" Type="http://schemas.openxmlformats.org/officeDocument/2006/relationships/comments" Target="../w6_comments4.xml"/></Relationships>
</file>

<file path=xl/worksheets/_rels/w6_sheet6.xml.rels><?xml version="1.0" encoding="UTF-8" standalone="yes"?>
<Relationships xmlns="http://schemas.openxmlformats.org/package/2006/relationships"><Relationship Id="rId3" Type="http://schemas.openxmlformats.org/officeDocument/2006/relationships/vmlDrawing" Target="../drawings/w6_vmlDrawing5.vml"/><Relationship Id="rId2" Type="http://schemas.openxmlformats.org/officeDocument/2006/relationships/drawing" Target="../drawings/w6_drawing5.xml"/><Relationship Id="rId1" Type="http://schemas.openxmlformats.org/officeDocument/2006/relationships/printerSettings" Target="../printerSettings/w6_printerSettings6.bin"/><Relationship Id="rId4" Type="http://schemas.openxmlformats.org/officeDocument/2006/relationships/comments" Target="../w6_comments5.xml"/></Relationships>
</file>

<file path=xl/worksheets/_rels/w6_sheet7.xml.rels><?xml version="1.0" encoding="UTF-8" standalone="yes"?>
<Relationships xmlns="http://schemas.openxmlformats.org/package/2006/relationships"><Relationship Id="rId3" Type="http://schemas.openxmlformats.org/officeDocument/2006/relationships/vmlDrawing" Target="../drawings/w6_vmlDrawing6.vml"/><Relationship Id="rId2" Type="http://schemas.openxmlformats.org/officeDocument/2006/relationships/drawing" Target="../drawings/w6_drawing6.xml"/><Relationship Id="rId1" Type="http://schemas.openxmlformats.org/officeDocument/2006/relationships/printerSettings" Target="../printerSettings/w6_printerSettings7.bin"/><Relationship Id="rId4" Type="http://schemas.openxmlformats.org/officeDocument/2006/relationships/comments" Target="../w6_comments6.xml"/></Relationships>
</file>

<file path=xl/worksheets/_rels/w6_sheet8.xml.rels><?xml version="1.0" encoding="UTF-8" standalone="yes"?>
<Relationships xmlns="http://schemas.openxmlformats.org/package/2006/relationships"><Relationship Id="rId3" Type="http://schemas.openxmlformats.org/officeDocument/2006/relationships/vmlDrawing" Target="../drawings/w6_vmlDrawing7.vml"/><Relationship Id="rId2" Type="http://schemas.openxmlformats.org/officeDocument/2006/relationships/drawing" Target="../drawings/w6_drawing7.xml"/><Relationship Id="rId1" Type="http://schemas.openxmlformats.org/officeDocument/2006/relationships/printerSettings" Target="../printerSettings/w6_printerSettings8.bin"/><Relationship Id="rId4" Type="http://schemas.openxmlformats.org/officeDocument/2006/relationships/comments" Target="../w6_comments7.xml"/></Relationships>
</file>

<file path=xl/worksheets/_rels/w6_sheet9.xml.rels><?xml version="1.0" encoding="UTF-8" standalone="yes"?>
<Relationships xmlns="http://schemas.openxmlformats.org/package/2006/relationships"><Relationship Id="rId3" Type="http://schemas.openxmlformats.org/officeDocument/2006/relationships/vmlDrawing" Target="../drawings/w6_vmlDrawing8.vml"/><Relationship Id="rId2" Type="http://schemas.openxmlformats.org/officeDocument/2006/relationships/drawing" Target="../drawings/w6_drawing8.xml"/><Relationship Id="rId1" Type="http://schemas.openxmlformats.org/officeDocument/2006/relationships/printerSettings" Target="../printerSettings/w6_printerSettings9.bin"/><Relationship Id="rId4" Type="http://schemas.openxmlformats.org/officeDocument/2006/relationships/comments" Target="../w6_comments8.xml"/></Relationships>
</file>

<file path=xl/worksheets/_rels/w6_sheet10.xml.rels><?xml version="1.0" encoding="UTF-8" standalone="yes"?>
<Relationships xmlns="http://schemas.openxmlformats.org/package/2006/relationships"><Relationship Id="rId3" Type="http://schemas.openxmlformats.org/officeDocument/2006/relationships/vmlDrawing" Target="../drawings/w6_vmlDrawing9.vml"/><Relationship Id="rId2" Type="http://schemas.openxmlformats.org/officeDocument/2006/relationships/drawing" Target="../drawings/w6_drawing9.xml"/><Relationship Id="rId1" Type="http://schemas.openxmlformats.org/officeDocument/2006/relationships/printerSettings" Target="../printerSettings/w6_printerSettings10.bin"/><Relationship Id="rId4" Type="http://schemas.openxmlformats.org/officeDocument/2006/relationships/comments" Target="../w6_comments9.xml"/></Relationships>
</file>

<file path=xl/worksheets/_rels/w6_sheet11.xml.rels><?xml version="1.0" encoding="UTF-8" standalone="yes"?>
<Relationships xmlns="http://schemas.openxmlformats.org/package/2006/relationships"><Relationship Id="rId3" Type="http://schemas.openxmlformats.org/officeDocument/2006/relationships/vmlDrawing" Target="../drawings/w6_vmlDrawing10.vml"/><Relationship Id="rId2" Type="http://schemas.openxmlformats.org/officeDocument/2006/relationships/drawing" Target="../drawings/w6_drawing10.xml"/><Relationship Id="rId1" Type="http://schemas.openxmlformats.org/officeDocument/2006/relationships/printerSettings" Target="../printerSettings/w6_printerSettings11.bin"/><Relationship Id="rId4" Type="http://schemas.openxmlformats.org/officeDocument/2006/relationships/comments" Target="../w6_comments10.xml"/></Relationships>
</file>

<file path=xl/worksheets/_rels/w6_sheet12.xml.rels><?xml version="1.0" encoding="UTF-8" standalone="yes"?>
<Relationships xmlns="http://schemas.openxmlformats.org/package/2006/relationships"><Relationship Id="rId3" Type="http://schemas.openxmlformats.org/officeDocument/2006/relationships/vmlDrawing" Target="../drawings/w6_vmlDrawing11.vml"/><Relationship Id="rId2" Type="http://schemas.openxmlformats.org/officeDocument/2006/relationships/drawing" Target="../drawings/w6_drawing11.xml"/><Relationship Id="rId1" Type="http://schemas.openxmlformats.org/officeDocument/2006/relationships/printerSettings" Target="../printerSettings/w6_printerSettings12.bin"/><Relationship Id="rId4" Type="http://schemas.openxmlformats.org/officeDocument/2006/relationships/comments" Target="../w6_comments11.xml"/></Relationships>
</file>

<file path=xl/worksheets/_rels/w6_sheet13.xml.rels><?xml version="1.0" encoding="UTF-8" standalone="yes"?>
<Relationships xmlns="http://schemas.openxmlformats.org/package/2006/relationships"><Relationship Id="rId3" Type="http://schemas.openxmlformats.org/officeDocument/2006/relationships/vmlDrawing" Target="../drawings/w6_vmlDrawing12.vml"/><Relationship Id="rId2" Type="http://schemas.openxmlformats.org/officeDocument/2006/relationships/drawing" Target="../drawings/w6_drawing12.xml"/><Relationship Id="rId1" Type="http://schemas.openxmlformats.org/officeDocument/2006/relationships/printerSettings" Target="../printerSettings/w6_printerSettings13.bin"/><Relationship Id="rId4" Type="http://schemas.openxmlformats.org/officeDocument/2006/relationships/comments" Target="../w6_comments12.xml"/></Relationships>
</file>

<file path=xl/worksheets/_rels/w6_sheet14.xml.rels><?xml version="1.0" encoding="UTF-8" standalone="yes"?>
<Relationships xmlns="http://schemas.openxmlformats.org/package/2006/relationships"><Relationship Id="rId3" Type="http://schemas.openxmlformats.org/officeDocument/2006/relationships/vmlDrawing" Target="../drawings/w6_vmlDrawing13.vml"/><Relationship Id="rId2" Type="http://schemas.openxmlformats.org/officeDocument/2006/relationships/drawing" Target="../drawings/w6_drawing13.xml"/><Relationship Id="rId1" Type="http://schemas.openxmlformats.org/officeDocument/2006/relationships/printerSettings" Target="../printerSettings/w6_printerSettings14.bin"/><Relationship Id="rId4" Type="http://schemas.openxmlformats.org/officeDocument/2006/relationships/comments" Target="../w6_comments13.xml"/></Relationships>
</file>

<file path=xl/worksheets/_rels/w6_sheet15.xml.rels><?xml version="1.0" encoding="UTF-8" standalone="yes"?>
<Relationships xmlns="http://schemas.openxmlformats.org/package/2006/relationships"><Relationship Id="rId3" Type="http://schemas.openxmlformats.org/officeDocument/2006/relationships/vmlDrawing" Target="../drawings/w6_vmlDrawing14.vml"/><Relationship Id="rId2" Type="http://schemas.openxmlformats.org/officeDocument/2006/relationships/drawing" Target="../drawings/w6_drawing14.xml"/><Relationship Id="rId1" Type="http://schemas.openxmlformats.org/officeDocument/2006/relationships/printerSettings" Target="../printerSettings/w6_printerSettings15.bin"/><Relationship Id="rId4" Type="http://schemas.openxmlformats.org/officeDocument/2006/relationships/comments" Target="../w6_comments14.xml"/></Relationships>
</file>

<file path=xl/worksheets/_rels/w6_sheet16.xml.rels><?xml version="1.0" encoding="UTF-8" standalone="yes"?>
<Relationships xmlns="http://schemas.openxmlformats.org/package/2006/relationships"><Relationship Id="rId3" Type="http://schemas.openxmlformats.org/officeDocument/2006/relationships/comments" Target="../w6_comments15.xml"/><Relationship Id="rId2" Type="http://schemas.openxmlformats.org/officeDocument/2006/relationships/vmlDrawing" Target="../drawings/w6_vmlDrawing15.vml"/><Relationship Id="rId1" Type="http://schemas.openxmlformats.org/officeDocument/2006/relationships/printerSettings" Target="../printerSettings/w6_printerSettings16.bin"/></Relationships>
</file>

<file path=xl/worksheets/_rels/w6_sheet17.xml.rels><?xml version="1.0" encoding="UTF-8" standalone="yes"?>
<Relationships xmlns="http://schemas.openxmlformats.org/package/2006/relationships"><Relationship Id="rId1" Type="http://schemas.openxmlformats.org/officeDocument/2006/relationships/printerSettings" Target="../printerSettings/w6_printerSettings17.bin"/></Relationships>
</file>

<file path=xl/worksheets/_rels/w6_sheet18.xml.rels><?xml version="1.0" encoding="UTF-8" standalone="yes"?>
<Relationships xmlns="http://schemas.openxmlformats.org/package/2006/relationships"><Relationship Id="rId3" Type="http://schemas.openxmlformats.org/officeDocument/2006/relationships/comments" Target="../w6_comments16.xml"/><Relationship Id="rId2" Type="http://schemas.openxmlformats.org/officeDocument/2006/relationships/vmlDrawing" Target="../drawings/w6_vmlDrawing16.vml"/><Relationship Id="rId1" Type="http://schemas.openxmlformats.org/officeDocument/2006/relationships/printerSettings" Target="../printerSettings/w6_printerSettings18.bin"/></Relationships>
</file>

<file path=xl/worksheets/_rels/w6_sheet19.xml.rels><?xml version="1.0" encoding="UTF-8" standalone="yes"?>
<Relationships xmlns="http://schemas.openxmlformats.org/package/2006/relationships"><Relationship Id="rId3" Type="http://schemas.openxmlformats.org/officeDocument/2006/relationships/vmlDrawing" Target="../drawings/w6_vmlDrawing17.vml"/><Relationship Id="rId2" Type="http://schemas.openxmlformats.org/officeDocument/2006/relationships/drawing" Target="../drawings/w6_drawing15.xml"/><Relationship Id="rId1" Type="http://schemas.openxmlformats.org/officeDocument/2006/relationships/printerSettings" Target="../printerSettings/w6_printerSettings19.bin"/><Relationship Id="rId4" Type="http://schemas.openxmlformats.org/officeDocument/2006/relationships/comments" Target="../w6_comments17.xml"/></Relationships>
</file>

<file path=xl/worksheets/_rels/w6_sheet20.xml.rels><?xml version="1.0" encoding="UTF-8" standalone="yes"?>
<Relationships xmlns="http://schemas.openxmlformats.org/package/2006/relationships"><Relationship Id="rId3" Type="http://schemas.openxmlformats.org/officeDocument/2006/relationships/comments" Target="../w6_comments18.xml"/><Relationship Id="rId2" Type="http://schemas.openxmlformats.org/officeDocument/2006/relationships/vmlDrawing" Target="../drawings/w6_vmlDrawing18.vml"/><Relationship Id="rId1" Type="http://schemas.openxmlformats.org/officeDocument/2006/relationships/printerSettings" Target="../printerSettings/w6_printerSettings20.bin"/></Relationships>
</file>

<file path=xl/worksheets/_rels/w6_sheet21.xml.rels><?xml version="1.0" encoding="UTF-8" standalone="yes"?>
<Relationships xmlns="http://schemas.openxmlformats.org/package/2006/relationships"><Relationship Id="rId3" Type="http://schemas.openxmlformats.org/officeDocument/2006/relationships/comments" Target="../w6_comments19.xml"/><Relationship Id="rId2" Type="http://schemas.openxmlformats.org/officeDocument/2006/relationships/vmlDrawing" Target="../drawings/w6_vmlDrawing19.vml"/><Relationship Id="rId1" Type="http://schemas.openxmlformats.org/officeDocument/2006/relationships/printerSettings" Target="../printerSettings/w6_printerSettings21.bin"/></Relationships>
</file>

<file path=xl/worksheets/_rels/w6_sheet22.xml.rels><?xml version="1.0" encoding="UTF-8" standalone="yes"?>
<Relationships xmlns="http://schemas.openxmlformats.org/package/2006/relationships"><Relationship Id="rId3" Type="http://schemas.openxmlformats.org/officeDocument/2006/relationships/comments" Target="../w6_comments20.xml"/><Relationship Id="rId2" Type="http://schemas.openxmlformats.org/officeDocument/2006/relationships/vmlDrawing" Target="../drawings/w6_vmlDrawing20.vml"/><Relationship Id="rId1" Type="http://schemas.openxmlformats.org/officeDocument/2006/relationships/printerSettings" Target="../printerSettings/w6_printerSettings22.bin"/></Relationships>
</file>

<file path=xl/worksheets/_rels/w6_sheet23.xml.rels><?xml version="1.0" encoding="UTF-8" standalone="yes"?>
<Relationships xmlns="http://schemas.openxmlformats.org/package/2006/relationships"><Relationship Id="rId3" Type="http://schemas.openxmlformats.org/officeDocument/2006/relationships/comments" Target="../w6_comments21.xml"/><Relationship Id="rId2" Type="http://schemas.openxmlformats.org/officeDocument/2006/relationships/vmlDrawing" Target="../drawings/w6_vmlDrawing21.vml"/><Relationship Id="rId1" Type="http://schemas.openxmlformats.org/officeDocument/2006/relationships/printerSettings" Target="../printerSettings/w6_printerSettings23.bin"/></Relationships>
</file>

<file path=xl/worksheets/_rels/w6_sheet24.xml.rels><?xml version="1.0" encoding="UTF-8" standalone="yes"?>
<Relationships xmlns="http://schemas.openxmlformats.org/package/2006/relationships"><Relationship Id="rId2" Type="http://schemas.openxmlformats.org/officeDocument/2006/relationships/drawing" Target="../drawings/w6_drawing16.xml"/><Relationship Id="rId1" Type="http://schemas.openxmlformats.org/officeDocument/2006/relationships/printerSettings" Target="../printerSettings/w6_printerSettings24.bin"/></Relationships>
</file>

<file path=xl/worksheets/_rels/w7_sheet1.xml.rels><?xml version="1.0" encoding="UTF-8" standalone="yes"?>
<Relationships xmlns="http://schemas.openxmlformats.org/package/2006/relationships"><Relationship Id="rId3" Type="http://schemas.openxmlformats.org/officeDocument/2006/relationships/vmlDrawing" Target="../drawings/w7_vmlDrawing1.vml"/><Relationship Id="rId2" Type="http://schemas.openxmlformats.org/officeDocument/2006/relationships/drawing" Target="../drawings/w7_drawing1.xml"/><Relationship Id="rId1" Type="http://schemas.openxmlformats.org/officeDocument/2006/relationships/printerSettings" Target="../printerSettings/w7_printerSettings1.bin"/><Relationship Id="rId4" Type="http://schemas.openxmlformats.org/officeDocument/2006/relationships/comments" Target="../w7_comments1.xml"/></Relationships>
</file>

<file path=xl/worksheets/_rels/w7_sheet2.xml.rels><?xml version="1.0" encoding="UTF-8" standalone="yes"?>
<Relationships xmlns="http://schemas.openxmlformats.org/package/2006/relationships"><Relationship Id="rId3" Type="http://schemas.openxmlformats.org/officeDocument/2006/relationships/vmlDrawing" Target="../drawings/w7_vmlDrawing2.vml"/><Relationship Id="rId2" Type="http://schemas.openxmlformats.org/officeDocument/2006/relationships/drawing" Target="../drawings/w7_drawing2.xml"/><Relationship Id="rId1" Type="http://schemas.openxmlformats.org/officeDocument/2006/relationships/printerSettings" Target="../printerSettings/w7_printerSettings2.bin"/><Relationship Id="rId4" Type="http://schemas.openxmlformats.org/officeDocument/2006/relationships/comments" Target="../w7_comments2.xml"/></Relationships>
</file>

<file path=xl/worksheets/_rels/w7_sheet3.xml.rels><?xml version="1.0" encoding="UTF-8" standalone="yes"?>
<Relationships xmlns="http://schemas.openxmlformats.org/package/2006/relationships"><Relationship Id="rId3" Type="http://schemas.openxmlformats.org/officeDocument/2006/relationships/vmlDrawing" Target="../drawings/w7_vmlDrawing3.vml"/><Relationship Id="rId2" Type="http://schemas.openxmlformats.org/officeDocument/2006/relationships/drawing" Target="../drawings/w7_drawing3.xml"/><Relationship Id="rId1" Type="http://schemas.openxmlformats.org/officeDocument/2006/relationships/printerSettings" Target="../printerSettings/w7_printerSettings3.bin"/><Relationship Id="rId4" Type="http://schemas.openxmlformats.org/officeDocument/2006/relationships/comments" Target="../w7_comments3.xml"/></Relationships>
</file>

<file path=xl/worksheets/_rels/w7_sheet4.xml.rels><?xml version="1.0" encoding="UTF-8" standalone="yes"?>
<Relationships xmlns="http://schemas.openxmlformats.org/package/2006/relationships"><Relationship Id="rId3" Type="http://schemas.openxmlformats.org/officeDocument/2006/relationships/vmlDrawing" Target="../drawings/w7_vmlDrawing4.vml"/><Relationship Id="rId2" Type="http://schemas.openxmlformats.org/officeDocument/2006/relationships/drawing" Target="../drawings/w7_drawing4.xml"/><Relationship Id="rId1" Type="http://schemas.openxmlformats.org/officeDocument/2006/relationships/printerSettings" Target="../printerSettings/w7_printerSettings4.bin"/><Relationship Id="rId4" Type="http://schemas.openxmlformats.org/officeDocument/2006/relationships/comments" Target="../w7_comments4.xml"/></Relationships>
</file>

<file path=xl/worksheets/_rels/w7_sheet5.xml.rels><?xml version="1.0" encoding="UTF-8" standalone="yes"?>
<Relationships xmlns="http://schemas.openxmlformats.org/package/2006/relationships"><Relationship Id="rId3" Type="http://schemas.openxmlformats.org/officeDocument/2006/relationships/vmlDrawing" Target="../drawings/w7_vmlDrawing5.vml"/><Relationship Id="rId2" Type="http://schemas.openxmlformats.org/officeDocument/2006/relationships/drawing" Target="../drawings/w7_drawing5.xml"/><Relationship Id="rId1" Type="http://schemas.openxmlformats.org/officeDocument/2006/relationships/printerSettings" Target="../printerSettings/w7_printerSettings5.bin"/><Relationship Id="rId4" Type="http://schemas.openxmlformats.org/officeDocument/2006/relationships/comments" Target="../w7_comments5.xml"/></Relationships>
</file>

<file path=xl/worksheets/_rels/w7_sheet6.xml.rels><?xml version="1.0" encoding="UTF-8" standalone="yes"?>
<Relationships xmlns="http://schemas.openxmlformats.org/package/2006/relationships"><Relationship Id="rId3" Type="http://schemas.openxmlformats.org/officeDocument/2006/relationships/vmlDrawing" Target="../drawings/w7_vmlDrawing6.vml"/><Relationship Id="rId2" Type="http://schemas.openxmlformats.org/officeDocument/2006/relationships/drawing" Target="../drawings/w7_drawing6.xml"/><Relationship Id="rId1" Type="http://schemas.openxmlformats.org/officeDocument/2006/relationships/printerSettings" Target="../printerSettings/w7_printerSettings6.bin"/><Relationship Id="rId4" Type="http://schemas.openxmlformats.org/officeDocument/2006/relationships/comments" Target="../w7_comments6.xml"/></Relationships>
</file>

<file path=xl/worksheets/_rels/w7_sheet7.xml.rels><?xml version="1.0" encoding="UTF-8" standalone="yes"?>
<Relationships xmlns="http://schemas.openxmlformats.org/package/2006/relationships"><Relationship Id="rId3" Type="http://schemas.openxmlformats.org/officeDocument/2006/relationships/vmlDrawing" Target="../drawings/w7_vmlDrawing7.vml"/><Relationship Id="rId2" Type="http://schemas.openxmlformats.org/officeDocument/2006/relationships/drawing" Target="../drawings/w7_drawing7.xml"/><Relationship Id="rId1" Type="http://schemas.openxmlformats.org/officeDocument/2006/relationships/printerSettings" Target="../printerSettings/w7_printerSettings7.bin"/><Relationship Id="rId4" Type="http://schemas.openxmlformats.org/officeDocument/2006/relationships/comments" Target="../w7_comments7.xml"/></Relationships>
</file>

<file path=xl/worksheets/_rels/w7_sheet8.xml.rels><?xml version="1.0" encoding="UTF-8" standalone="yes"?>
<Relationships xmlns="http://schemas.openxmlformats.org/package/2006/relationships"><Relationship Id="rId2" Type="http://schemas.openxmlformats.org/officeDocument/2006/relationships/drawing" Target="../drawings/w7_drawing8.xml"/><Relationship Id="rId1" Type="http://schemas.openxmlformats.org/officeDocument/2006/relationships/printerSettings" Target="../printerSettings/w7_printerSettings8.bin"/></Relationships>
</file>

<file path=xl/worksheets/_rels/w7_sheet9.xml.rels><?xml version="1.0" encoding="UTF-8" standalone="yes"?>
<Relationships xmlns="http://schemas.openxmlformats.org/package/2006/relationships"><Relationship Id="rId3" Type="http://schemas.openxmlformats.org/officeDocument/2006/relationships/comments" Target="../w7_comments8.xml"/><Relationship Id="rId2" Type="http://schemas.openxmlformats.org/officeDocument/2006/relationships/vmlDrawing" Target="../drawings/w7_vmlDrawing8.vml"/><Relationship Id="rId1" Type="http://schemas.openxmlformats.org/officeDocument/2006/relationships/printerSettings" Target="../printerSettings/w7_printerSettings9.bin"/></Relationships>
</file>

<file path=xl/worksheets/_rels/w7_sheet10.xml.rels><?xml version="1.0" encoding="UTF-8" standalone="yes"?>
<Relationships xmlns="http://schemas.openxmlformats.org/package/2006/relationships"><Relationship Id="rId3" Type="http://schemas.openxmlformats.org/officeDocument/2006/relationships/vmlDrawing" Target="../drawings/w7_vmlDrawing9.vml"/><Relationship Id="rId2" Type="http://schemas.openxmlformats.org/officeDocument/2006/relationships/drawing" Target="../drawings/w7_drawing9.xml"/><Relationship Id="rId1" Type="http://schemas.openxmlformats.org/officeDocument/2006/relationships/printerSettings" Target="../printerSettings/w7_printerSettings10.bin"/><Relationship Id="rId4" Type="http://schemas.openxmlformats.org/officeDocument/2006/relationships/comments" Target="../w7_comments9.xml"/></Relationships>
</file>

<file path=xl/worksheets/_rels/w7_sheet11.xml.rels><?xml version="1.0" encoding="UTF-8" standalone="yes"?>
<Relationships xmlns="http://schemas.openxmlformats.org/package/2006/relationships"><Relationship Id="rId1" Type="http://schemas.openxmlformats.org/officeDocument/2006/relationships/printerSettings" Target="../printerSettings/w7_printerSettings11.bin"/></Relationships>
</file>

<file path=xl/worksheets/_rels/w7_sheet12.xml.rels><?xml version="1.0" encoding="UTF-8" standalone="yes"?>
<Relationships xmlns="http://schemas.openxmlformats.org/package/2006/relationships"><Relationship Id="rId1" Type="http://schemas.openxmlformats.org/officeDocument/2006/relationships/printerSettings" Target="../printerSettings/w7_printerSettings12.bin"/></Relationships>
</file>

<file path=xl/worksheets/_rels/w7_sheet13.xml.rels><?xml version="1.0" encoding="UTF-8" standalone="yes"?>
<Relationships xmlns="http://schemas.openxmlformats.org/package/2006/relationships"><Relationship Id="rId3" Type="http://schemas.openxmlformats.org/officeDocument/2006/relationships/comments" Target="../w7_comments10.xml"/><Relationship Id="rId2" Type="http://schemas.openxmlformats.org/officeDocument/2006/relationships/vmlDrawing" Target="../drawings/w7_vmlDrawing10.vml"/><Relationship Id="rId1" Type="http://schemas.openxmlformats.org/officeDocument/2006/relationships/printerSettings" Target="../printerSettings/w7_printerSettings13.bin"/></Relationships>
</file>

<file path=xl/worksheets/_rels/w7_sheet14.xml.rels><?xml version="1.0" encoding="UTF-8" standalone="yes"?>
<Relationships xmlns="http://schemas.openxmlformats.org/package/2006/relationships"><Relationship Id="rId3" Type="http://schemas.openxmlformats.org/officeDocument/2006/relationships/comments" Target="../w7_comments11.xml"/><Relationship Id="rId2" Type="http://schemas.openxmlformats.org/officeDocument/2006/relationships/vmlDrawing" Target="../drawings/w7_vmlDrawing11.vml"/><Relationship Id="rId1" Type="http://schemas.openxmlformats.org/officeDocument/2006/relationships/printerSettings" Target="../printerSettings/w7_printerSettings14.bin"/></Relationships>
</file>

<file path=xl/worksheets/_rels/w8_sheet1.xml.rels><?xml version="1.0" encoding="UTF-8" standalone="yes"?>
<Relationships xmlns="http://schemas.openxmlformats.org/package/2006/relationships"><Relationship Id="rId3" Type="http://schemas.openxmlformats.org/officeDocument/2006/relationships/comments" Target="../w8_comments1.xml"/><Relationship Id="rId2" Type="http://schemas.openxmlformats.org/officeDocument/2006/relationships/vmlDrawing" Target="../drawings/w8_vmlDrawing1.vml"/><Relationship Id="rId1" Type="http://schemas.openxmlformats.org/officeDocument/2006/relationships/printerSettings" Target="../printerSettings/w8_printerSettings1.bin"/></Relationships>
</file>

<file path=xl/worksheets/_rels/w8_sheet2.xml.rels><?xml version="1.0" encoding="UTF-8" standalone="yes"?>
<Relationships xmlns="http://schemas.openxmlformats.org/package/2006/relationships"><Relationship Id="rId3" Type="http://schemas.openxmlformats.org/officeDocument/2006/relationships/vmlDrawing" Target="../drawings/w8_vmlDrawing2.vml"/><Relationship Id="rId2" Type="http://schemas.openxmlformats.org/officeDocument/2006/relationships/drawing" Target="../drawings/w8_drawing1.xml"/><Relationship Id="rId1" Type="http://schemas.openxmlformats.org/officeDocument/2006/relationships/printerSettings" Target="../printerSettings/w8_printerSettings2.bin"/><Relationship Id="rId4" Type="http://schemas.openxmlformats.org/officeDocument/2006/relationships/comments" Target="../w8_comments2.xml"/></Relationships>
</file>

<file path=xl/worksheets/_rels/w8_sheet3.xml.rels><?xml version="1.0" encoding="UTF-8" standalone="yes"?>
<Relationships xmlns="http://schemas.openxmlformats.org/package/2006/relationships"><Relationship Id="rId3" Type="http://schemas.openxmlformats.org/officeDocument/2006/relationships/comments" Target="../w8_comments3.xml"/><Relationship Id="rId2" Type="http://schemas.openxmlformats.org/officeDocument/2006/relationships/vmlDrawing" Target="../drawings/w8_vmlDrawing3.vml"/><Relationship Id="rId1" Type="http://schemas.openxmlformats.org/officeDocument/2006/relationships/printerSettings" Target="../printerSettings/w8_printerSettings3.bin"/></Relationships>
</file>

<file path=xl/worksheets/_rels/w8_sheet4.xml.rels><?xml version="1.0" encoding="UTF-8" standalone="yes"?>
<Relationships xmlns="http://schemas.openxmlformats.org/package/2006/relationships"><Relationship Id="rId1" Type="http://schemas.openxmlformats.org/officeDocument/2006/relationships/printerSettings" Target="../printerSettings/w8_printerSettings4.bin"/></Relationships>
</file>

<file path=xl/worksheets/_rels/w8_sheet5.xml.rels><?xml version="1.0" encoding="UTF-8" standalone="yes"?>
<Relationships xmlns="http://schemas.openxmlformats.org/package/2006/relationships"><Relationship Id="rId3" Type="http://schemas.openxmlformats.org/officeDocument/2006/relationships/vmlDrawing" Target="../drawings/w8_vmlDrawing4.vml"/><Relationship Id="rId2" Type="http://schemas.openxmlformats.org/officeDocument/2006/relationships/drawing" Target="../drawings/w8_drawing2.xml"/><Relationship Id="rId1" Type="http://schemas.openxmlformats.org/officeDocument/2006/relationships/printerSettings" Target="../printerSettings/w8_printerSettings5.bin"/><Relationship Id="rId4" Type="http://schemas.openxmlformats.org/officeDocument/2006/relationships/comments" Target="../w8_comments4.xml"/></Relationships>
</file>

<file path=xl/worksheets/_rels/w8_sheet6.xml.rels><?xml version="1.0" encoding="UTF-8" standalone="yes"?>
<Relationships xmlns="http://schemas.openxmlformats.org/package/2006/relationships"><Relationship Id="rId3" Type="http://schemas.openxmlformats.org/officeDocument/2006/relationships/vmlDrawing" Target="../drawings/w8_vmlDrawing5.vml"/><Relationship Id="rId2" Type="http://schemas.openxmlformats.org/officeDocument/2006/relationships/drawing" Target="../drawings/w8_drawing3.xml"/><Relationship Id="rId1" Type="http://schemas.openxmlformats.org/officeDocument/2006/relationships/printerSettings" Target="../printerSettings/w8_printerSettings6.bin"/><Relationship Id="rId4" Type="http://schemas.openxmlformats.org/officeDocument/2006/relationships/comments" Target="../w8_comments5.xml"/></Relationships>
</file>

<file path=xl/worksheets/_rels/w8_sheet7.xml.rels><?xml version="1.0" encoding="UTF-8" standalone="yes"?>
<Relationships xmlns="http://schemas.openxmlformats.org/package/2006/relationships"><Relationship Id="rId3" Type="http://schemas.openxmlformats.org/officeDocument/2006/relationships/vmlDrawing" Target="../drawings/w8_vmlDrawing6.vml"/><Relationship Id="rId2" Type="http://schemas.openxmlformats.org/officeDocument/2006/relationships/drawing" Target="../drawings/w8_drawing4.xml"/><Relationship Id="rId1" Type="http://schemas.openxmlformats.org/officeDocument/2006/relationships/printerSettings" Target="../printerSettings/w8_printerSettings7.bin"/><Relationship Id="rId4" Type="http://schemas.openxmlformats.org/officeDocument/2006/relationships/comments" Target="../w8_comments6.xml"/></Relationships>
</file>

<file path=xl/worksheets/_rels/w8_sheet8.xml.rels><?xml version="1.0" encoding="UTF-8" standalone="yes"?>
<Relationships xmlns="http://schemas.openxmlformats.org/package/2006/relationships"><Relationship Id="rId3" Type="http://schemas.openxmlformats.org/officeDocument/2006/relationships/vmlDrawing" Target="../drawings/w8_vmlDrawing7.vml"/><Relationship Id="rId2" Type="http://schemas.openxmlformats.org/officeDocument/2006/relationships/drawing" Target="../drawings/w8_drawing5.xml"/><Relationship Id="rId1" Type="http://schemas.openxmlformats.org/officeDocument/2006/relationships/printerSettings" Target="../printerSettings/w8_printerSettings8.bin"/><Relationship Id="rId4" Type="http://schemas.openxmlformats.org/officeDocument/2006/relationships/comments" Target="../w8_comments7.xml"/></Relationships>
</file>

<file path=xl/worksheets/_rels/w8_sheet9.xml.rels><?xml version="1.0" encoding="UTF-8" standalone="yes"?>
<Relationships xmlns="http://schemas.openxmlformats.org/package/2006/relationships"><Relationship Id="rId3" Type="http://schemas.openxmlformats.org/officeDocument/2006/relationships/vmlDrawing" Target="../drawings/w8_vmlDrawing8.vml"/><Relationship Id="rId2" Type="http://schemas.openxmlformats.org/officeDocument/2006/relationships/drawing" Target="../drawings/w8_drawing6.xml"/><Relationship Id="rId1" Type="http://schemas.openxmlformats.org/officeDocument/2006/relationships/printerSettings" Target="../printerSettings/w8_printerSettings9.bin"/><Relationship Id="rId4" Type="http://schemas.openxmlformats.org/officeDocument/2006/relationships/comments" Target="../w8_comments8.xml"/></Relationships>
</file>

<file path=xl/worksheets/_rels/w8_sheet10.xml.rels><?xml version="1.0" encoding="UTF-8" standalone="yes"?>
<Relationships xmlns="http://schemas.openxmlformats.org/package/2006/relationships"><Relationship Id="rId3" Type="http://schemas.openxmlformats.org/officeDocument/2006/relationships/vmlDrawing" Target="../drawings/w8_vmlDrawing9.vml"/><Relationship Id="rId2" Type="http://schemas.openxmlformats.org/officeDocument/2006/relationships/drawing" Target="../drawings/w8_drawing7.xml"/><Relationship Id="rId1" Type="http://schemas.openxmlformats.org/officeDocument/2006/relationships/printerSettings" Target="../printerSettings/w8_printerSettings10.bin"/><Relationship Id="rId4" Type="http://schemas.openxmlformats.org/officeDocument/2006/relationships/comments" Target="../w8_comments9.xml"/></Relationships>
</file>

<file path=xl/worksheets/_rels/w8_sheet11.xml.rels><?xml version="1.0" encoding="UTF-8" standalone="yes"?>
<Relationships xmlns="http://schemas.openxmlformats.org/package/2006/relationships"><Relationship Id="rId3" Type="http://schemas.openxmlformats.org/officeDocument/2006/relationships/vmlDrawing" Target="../drawings/w8_vmlDrawing10.vml"/><Relationship Id="rId2" Type="http://schemas.openxmlformats.org/officeDocument/2006/relationships/drawing" Target="../drawings/w8_drawing8.xml"/><Relationship Id="rId1" Type="http://schemas.openxmlformats.org/officeDocument/2006/relationships/printerSettings" Target="../printerSettings/w8_printerSettings11.bin"/><Relationship Id="rId4" Type="http://schemas.openxmlformats.org/officeDocument/2006/relationships/comments" Target="../w8_comments10.xml"/></Relationships>
</file>

<file path=xl/worksheets/_rels/w8_sheet12.xml.rels><?xml version="1.0" encoding="UTF-8" standalone="yes"?>
<Relationships xmlns="http://schemas.openxmlformats.org/package/2006/relationships"><Relationship Id="rId3" Type="http://schemas.openxmlformats.org/officeDocument/2006/relationships/vmlDrawing" Target="../drawings/w8_vmlDrawing11.vml"/><Relationship Id="rId2" Type="http://schemas.openxmlformats.org/officeDocument/2006/relationships/drawing" Target="../drawings/w8_drawing9.xml"/><Relationship Id="rId1" Type="http://schemas.openxmlformats.org/officeDocument/2006/relationships/printerSettings" Target="../printerSettings/w8_printerSettings12.bin"/><Relationship Id="rId4" Type="http://schemas.openxmlformats.org/officeDocument/2006/relationships/comments" Target="../w8_comments11.xml"/></Relationships>
</file>

<file path=xl/worksheets/_rels/w8_sheet13.xml.rels><?xml version="1.0" encoding="UTF-8" standalone="yes"?>
<Relationships xmlns="http://schemas.openxmlformats.org/package/2006/relationships"><Relationship Id="rId3" Type="http://schemas.openxmlformats.org/officeDocument/2006/relationships/vmlDrawing" Target="../drawings/w8_vmlDrawing12.vml"/><Relationship Id="rId2" Type="http://schemas.openxmlformats.org/officeDocument/2006/relationships/drawing" Target="../drawings/w8_drawing10.xml"/><Relationship Id="rId1" Type="http://schemas.openxmlformats.org/officeDocument/2006/relationships/printerSettings" Target="../printerSettings/w8_printerSettings13.bin"/><Relationship Id="rId4" Type="http://schemas.openxmlformats.org/officeDocument/2006/relationships/comments" Target="../w8_comments12.xml"/></Relationships>
</file>

<file path=xl/worksheets/_rels/w8_sheet14.xml.rels><?xml version="1.0" encoding="UTF-8" standalone="yes"?>
<Relationships xmlns="http://schemas.openxmlformats.org/package/2006/relationships"><Relationship Id="rId3" Type="http://schemas.openxmlformats.org/officeDocument/2006/relationships/vmlDrawing" Target="../drawings/w8_vmlDrawing13.vml"/><Relationship Id="rId2" Type="http://schemas.openxmlformats.org/officeDocument/2006/relationships/drawing" Target="../drawings/w8_drawing11.xml"/><Relationship Id="rId1" Type="http://schemas.openxmlformats.org/officeDocument/2006/relationships/printerSettings" Target="../printerSettings/w8_printerSettings14.bin"/><Relationship Id="rId4" Type="http://schemas.openxmlformats.org/officeDocument/2006/relationships/comments" Target="../w8_comments13.xml"/></Relationships>
</file>

<file path=xl/worksheets/_rels/w8_sheet15.xml.rels><?xml version="1.0" encoding="UTF-8" standalone="yes"?>
<Relationships xmlns="http://schemas.openxmlformats.org/package/2006/relationships"><Relationship Id="rId3" Type="http://schemas.openxmlformats.org/officeDocument/2006/relationships/vmlDrawing" Target="../drawings/w8_vmlDrawing14.vml"/><Relationship Id="rId2" Type="http://schemas.openxmlformats.org/officeDocument/2006/relationships/drawing" Target="../drawings/w8_drawing12.xml"/><Relationship Id="rId1" Type="http://schemas.openxmlformats.org/officeDocument/2006/relationships/printerSettings" Target="../printerSettings/w8_printerSettings15.bin"/><Relationship Id="rId4" Type="http://schemas.openxmlformats.org/officeDocument/2006/relationships/comments" Target="../w8_comments14.xml"/></Relationships>
</file>

<file path=xl/worksheets/_rels/w8_sheet16.xml.rels><?xml version="1.0" encoding="UTF-8" standalone="yes"?>
<Relationships xmlns="http://schemas.openxmlformats.org/package/2006/relationships"><Relationship Id="rId3" Type="http://schemas.openxmlformats.org/officeDocument/2006/relationships/vmlDrawing" Target="../drawings/w8_vmlDrawing15.vml"/><Relationship Id="rId2" Type="http://schemas.openxmlformats.org/officeDocument/2006/relationships/drawing" Target="../drawings/w8_drawing13.xml"/><Relationship Id="rId1" Type="http://schemas.openxmlformats.org/officeDocument/2006/relationships/printerSettings" Target="../printerSettings/w8_printerSettings16.bin"/><Relationship Id="rId4" Type="http://schemas.openxmlformats.org/officeDocument/2006/relationships/comments" Target="../w8_comments15.xml"/></Relationships>
</file>

<file path=xl/worksheets/w1_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tabSelected="1" workbookViewId="0"/>
  </sheetViews>
  <sheetFormatPr defaultRowHeight="13.5"/>
  <cols>
    <col min="1" max="1" width="16.375" customWidth="1"/>
  </cols>
  <sheetData>
    <row r="2" spans="1:2" ht="74.25" customHeight="1">
      <c r="A2" s="231">
        <v>5</v>
      </c>
      <c r="B2" s="232" t="s">
        <v>549</v>
      </c>
    </row>
  </sheetData>
  <phoneticPr fontId="3"/>
  <pageMargins left="0.7" right="0.7" top="0.75" bottom="0.75" header="0.3" footer="0.3"/>
</worksheet>
</file>

<file path=xl/worksheets/w1_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S1642"/>
  <sheetViews>
    <sheetView workbookViewId="0">
      <pane xSplit="9" ySplit="3" topLeftCell="J7" activePane="bottomRight" state="frozen"/>
      <selection pane="topRight" activeCell="J1" sqref="J1"/>
      <selection pane="bottomLeft" activeCell="A4" sqref="A4"/>
      <selection pane="bottomRight" activeCell="I42" sqref="I42:I43"/>
    </sheetView>
  </sheetViews>
  <sheetFormatPr defaultRowHeight="13.5"/>
  <cols>
    <col min="1" max="5" width="9" style="259"/>
    <col min="6" max="6" width="21.375" style="259" customWidth="1"/>
    <col min="7" max="7" width="14.75" style="259" customWidth="1"/>
    <col min="8" max="8" width="9" style="259"/>
    <col min="9" max="9" width="14.5" style="257" customWidth="1"/>
    <col min="10" max="15" width="13.625" style="257" customWidth="1"/>
    <col min="16" max="16" width="15.125" style="257" bestFit="1" customWidth="1"/>
    <col min="17" max="17" width="13.5" style="259" customWidth="1"/>
    <col min="18" max="18" width="9" style="259"/>
    <col min="19" max="19" width="17.375" style="259" customWidth="1"/>
    <col min="20" max="16384" width="9" style="259"/>
  </cols>
  <sheetData>
    <row r="1" spans="1:19">
      <c r="A1" s="256"/>
      <c r="B1" s="256"/>
      <c r="C1" s="256"/>
      <c r="D1" s="256"/>
      <c r="E1" s="256"/>
      <c r="F1" s="256"/>
      <c r="G1" s="283"/>
      <c r="H1" s="256"/>
      <c r="I1" s="284">
        <v>179962946555</v>
      </c>
      <c r="J1" s="257">
        <v>0</v>
      </c>
      <c r="K1" s="257">
        <v>0</v>
      </c>
      <c r="L1" s="257">
        <v>1408906</v>
      </c>
      <c r="M1" s="257">
        <v>537718</v>
      </c>
      <c r="N1" s="257">
        <v>44539401683</v>
      </c>
      <c r="O1" s="257">
        <v>4535078073</v>
      </c>
      <c r="P1" s="257">
        <v>130886520175</v>
      </c>
      <c r="Q1" s="257">
        <v>0</v>
      </c>
      <c r="S1" s="258"/>
    </row>
    <row r="2" spans="1:19">
      <c r="A2" s="295" t="s">
        <v>49</v>
      </c>
      <c r="B2" s="295" t="s">
        <v>529</v>
      </c>
      <c r="C2" s="295" t="s">
        <v>529</v>
      </c>
      <c r="D2" s="295" t="s">
        <v>871</v>
      </c>
      <c r="E2" s="295" t="s">
        <v>530</v>
      </c>
      <c r="F2" s="295" t="s">
        <v>531</v>
      </c>
      <c r="G2" s="295" t="s">
        <v>532</v>
      </c>
      <c r="H2" s="295" t="s">
        <v>533</v>
      </c>
      <c r="I2" s="294" t="s">
        <v>872</v>
      </c>
      <c r="J2" s="294" t="s">
        <v>873</v>
      </c>
      <c r="K2" s="294"/>
      <c r="L2" s="294"/>
      <c r="M2" s="294"/>
      <c r="N2" s="294"/>
      <c r="O2" s="285" t="s">
        <v>874</v>
      </c>
      <c r="P2" s="285" t="s">
        <v>875</v>
      </c>
    </row>
    <row r="3" spans="1:19">
      <c r="A3" s="295"/>
      <c r="B3" s="295"/>
      <c r="C3" s="295"/>
      <c r="D3" s="295"/>
      <c r="E3" s="295"/>
      <c r="F3" s="295"/>
      <c r="G3" s="295"/>
      <c r="H3" s="295"/>
      <c r="I3" s="294"/>
      <c r="J3" s="286">
        <v>3</v>
      </c>
      <c r="K3" s="286">
        <v>5</v>
      </c>
      <c r="L3" s="287">
        <v>8</v>
      </c>
      <c r="M3" s="288">
        <v>8</v>
      </c>
      <c r="N3" s="287">
        <v>10</v>
      </c>
      <c r="O3" s="287">
        <v>21</v>
      </c>
      <c r="P3" s="286">
        <v>31</v>
      </c>
    </row>
    <row r="4" spans="1:19">
      <c r="A4" s="256">
        <v>1</v>
      </c>
      <c r="B4" s="256">
        <v>1120110</v>
      </c>
      <c r="C4" s="256">
        <v>112011010</v>
      </c>
      <c r="D4" s="256" t="s">
        <v>631</v>
      </c>
      <c r="E4" s="256" t="s">
        <v>632</v>
      </c>
      <c r="F4" s="256" t="s">
        <v>633</v>
      </c>
      <c r="G4" s="256" t="s">
        <v>634</v>
      </c>
      <c r="H4" s="256" t="s">
        <v>635</v>
      </c>
      <c r="I4" s="257">
        <v>8822500000</v>
      </c>
      <c r="J4" s="257">
        <v>0</v>
      </c>
      <c r="K4" s="257">
        <v>0</v>
      </c>
      <c r="L4" s="257">
        <v>0</v>
      </c>
      <c r="M4" s="257">
        <v>0</v>
      </c>
      <c r="N4" s="257">
        <v>0</v>
      </c>
      <c r="O4" s="257">
        <v>0</v>
      </c>
      <c r="P4" s="257">
        <v>8822500000</v>
      </c>
      <c r="Q4" s="258">
        <v>0</v>
      </c>
    </row>
    <row r="5" spans="1:19">
      <c r="A5" s="256">
        <v>1</v>
      </c>
      <c r="B5" s="256">
        <v>1120110</v>
      </c>
      <c r="C5" s="256">
        <v>112011011</v>
      </c>
      <c r="D5" s="256" t="s">
        <v>631</v>
      </c>
      <c r="E5" s="256" t="s">
        <v>632</v>
      </c>
      <c r="F5" s="256" t="s">
        <v>633</v>
      </c>
      <c r="G5" s="256" t="s">
        <v>634</v>
      </c>
      <c r="H5" s="256" t="s">
        <v>636</v>
      </c>
      <c r="I5" s="257">
        <v>0</v>
      </c>
      <c r="J5" s="257">
        <v>0</v>
      </c>
      <c r="K5" s="257">
        <v>0</v>
      </c>
      <c r="L5" s="257">
        <v>0</v>
      </c>
      <c r="M5" s="257">
        <v>0</v>
      </c>
      <c r="N5" s="257">
        <v>0</v>
      </c>
      <c r="O5" s="257">
        <v>0</v>
      </c>
      <c r="P5" s="257">
        <v>0</v>
      </c>
      <c r="Q5" s="258">
        <v>0</v>
      </c>
    </row>
    <row r="6" spans="1:19">
      <c r="A6" s="256">
        <v>1</v>
      </c>
      <c r="B6" s="256">
        <v>1120110</v>
      </c>
      <c r="C6" s="256">
        <v>112011012</v>
      </c>
      <c r="D6" s="256" t="s">
        <v>631</v>
      </c>
      <c r="E6" s="256" t="s">
        <v>632</v>
      </c>
      <c r="F6" s="256" t="s">
        <v>633</v>
      </c>
      <c r="G6" s="256" t="s">
        <v>634</v>
      </c>
      <c r="H6" s="256" t="s">
        <v>637</v>
      </c>
      <c r="I6" s="257">
        <v>0</v>
      </c>
      <c r="J6" s="257">
        <v>0</v>
      </c>
      <c r="K6" s="257">
        <v>0</v>
      </c>
      <c r="L6" s="257">
        <v>0</v>
      </c>
      <c r="M6" s="257">
        <v>0</v>
      </c>
      <c r="N6" s="257">
        <v>0</v>
      </c>
      <c r="O6" s="257">
        <v>0</v>
      </c>
      <c r="P6" s="257">
        <v>0</v>
      </c>
      <c r="Q6" s="258">
        <v>0</v>
      </c>
    </row>
    <row r="7" spans="1:19">
      <c r="A7" s="256">
        <v>1</v>
      </c>
      <c r="B7" s="256">
        <v>1120111</v>
      </c>
      <c r="C7" s="256">
        <v>112011100</v>
      </c>
      <c r="D7" s="256" t="s">
        <v>631</v>
      </c>
      <c r="E7" s="256" t="s">
        <v>632</v>
      </c>
      <c r="F7" s="256" t="s">
        <v>633</v>
      </c>
      <c r="G7" s="256" t="s">
        <v>638</v>
      </c>
      <c r="H7" s="256"/>
      <c r="I7" s="257">
        <v>0</v>
      </c>
      <c r="J7" s="257">
        <v>0</v>
      </c>
      <c r="K7" s="257">
        <v>0</v>
      </c>
      <c r="L7" s="257">
        <v>0</v>
      </c>
      <c r="M7" s="257">
        <v>0</v>
      </c>
      <c r="N7" s="257">
        <v>0</v>
      </c>
      <c r="O7" s="257">
        <v>0</v>
      </c>
      <c r="P7" s="257">
        <v>0</v>
      </c>
      <c r="Q7" s="258">
        <v>0</v>
      </c>
    </row>
    <row r="8" spans="1:19">
      <c r="A8" s="256">
        <v>1</v>
      </c>
      <c r="B8" s="256">
        <v>1120112</v>
      </c>
      <c r="C8" s="256">
        <v>112011200</v>
      </c>
      <c r="D8" s="256" t="s">
        <v>631</v>
      </c>
      <c r="E8" s="256" t="s">
        <v>632</v>
      </c>
      <c r="F8" s="256" t="s">
        <v>633</v>
      </c>
      <c r="G8" s="256" t="s">
        <v>639</v>
      </c>
      <c r="H8" s="256"/>
      <c r="I8" s="257">
        <v>120200000</v>
      </c>
      <c r="J8" s="257">
        <v>0</v>
      </c>
      <c r="K8" s="257">
        <v>0</v>
      </c>
      <c r="L8" s="257">
        <v>0</v>
      </c>
      <c r="M8" s="257">
        <v>0</v>
      </c>
      <c r="N8" s="257">
        <v>0</v>
      </c>
      <c r="O8" s="257">
        <v>0</v>
      </c>
      <c r="P8" s="257">
        <v>120200000</v>
      </c>
      <c r="Q8" s="258">
        <v>0</v>
      </c>
    </row>
    <row r="9" spans="1:19">
      <c r="A9" s="256">
        <v>1</v>
      </c>
      <c r="B9" s="256">
        <v>1120113</v>
      </c>
      <c r="C9" s="256">
        <v>112011300</v>
      </c>
      <c r="D9" s="256" t="s">
        <v>631</v>
      </c>
      <c r="E9" s="256" t="s">
        <v>632</v>
      </c>
      <c r="F9" s="256" t="s">
        <v>633</v>
      </c>
      <c r="G9" s="256" t="s">
        <v>640</v>
      </c>
      <c r="H9" s="256"/>
      <c r="I9" s="257">
        <v>5632100000</v>
      </c>
      <c r="J9" s="257">
        <v>0</v>
      </c>
      <c r="K9" s="257">
        <v>0</v>
      </c>
      <c r="L9" s="257">
        <v>0</v>
      </c>
      <c r="M9" s="257">
        <v>0</v>
      </c>
      <c r="N9" s="257">
        <v>0</v>
      </c>
      <c r="O9" s="257">
        <v>0</v>
      </c>
      <c r="P9" s="257">
        <v>5632100000</v>
      </c>
      <c r="Q9" s="258">
        <v>0</v>
      </c>
    </row>
    <row r="10" spans="1:19">
      <c r="A10" s="256">
        <v>1</v>
      </c>
      <c r="B10" s="256">
        <v>1120114</v>
      </c>
      <c r="C10" s="256">
        <v>112011400</v>
      </c>
      <c r="D10" s="256" t="s">
        <v>631</v>
      </c>
      <c r="E10" s="256" t="s">
        <v>632</v>
      </c>
      <c r="F10" s="256" t="s">
        <v>633</v>
      </c>
      <c r="G10" s="256" t="s">
        <v>641</v>
      </c>
      <c r="H10" s="256"/>
      <c r="I10" s="257">
        <v>0</v>
      </c>
      <c r="J10" s="257">
        <v>0</v>
      </c>
      <c r="K10" s="257">
        <v>0</v>
      </c>
      <c r="L10" s="257">
        <v>0</v>
      </c>
      <c r="M10" s="257">
        <v>0</v>
      </c>
      <c r="N10" s="257">
        <v>0</v>
      </c>
      <c r="O10" s="257">
        <v>0</v>
      </c>
      <c r="P10" s="257">
        <v>0</v>
      </c>
      <c r="Q10" s="258">
        <v>0</v>
      </c>
    </row>
    <row r="11" spans="1:19">
      <c r="A11" s="256">
        <v>1</v>
      </c>
      <c r="B11" s="256">
        <v>1120116</v>
      </c>
      <c r="C11" s="256">
        <v>112011600</v>
      </c>
      <c r="D11" s="256" t="s">
        <v>631</v>
      </c>
      <c r="E11" s="256" t="s">
        <v>632</v>
      </c>
      <c r="F11" s="256" t="s">
        <v>633</v>
      </c>
      <c r="G11" s="256" t="s">
        <v>642</v>
      </c>
      <c r="H11" s="256"/>
      <c r="I11" s="257">
        <v>0</v>
      </c>
      <c r="J11" s="257">
        <v>0</v>
      </c>
      <c r="K11" s="257">
        <v>0</v>
      </c>
      <c r="L11" s="257">
        <v>0</v>
      </c>
      <c r="M11" s="257">
        <v>0</v>
      </c>
      <c r="N11" s="257">
        <v>0</v>
      </c>
      <c r="O11" s="257">
        <v>0</v>
      </c>
      <c r="P11" s="257">
        <v>0</v>
      </c>
      <c r="Q11" s="258">
        <v>0</v>
      </c>
    </row>
    <row r="12" spans="1:19">
      <c r="A12" s="256">
        <v>1</v>
      </c>
      <c r="B12" s="256">
        <v>1120210</v>
      </c>
      <c r="C12" s="256">
        <v>112021000</v>
      </c>
      <c r="D12" s="256" t="s">
        <v>631</v>
      </c>
      <c r="E12" s="256" t="s">
        <v>632</v>
      </c>
      <c r="F12" s="256" t="s">
        <v>643</v>
      </c>
      <c r="G12" s="256" t="s">
        <v>644</v>
      </c>
      <c r="H12" s="256"/>
      <c r="I12" s="257">
        <v>0</v>
      </c>
      <c r="J12" s="257">
        <v>0</v>
      </c>
      <c r="K12" s="257">
        <v>0</v>
      </c>
      <c r="L12" s="257">
        <v>0</v>
      </c>
      <c r="M12" s="257">
        <v>0</v>
      </c>
      <c r="N12" s="257">
        <v>0</v>
      </c>
      <c r="O12" s="257">
        <v>0</v>
      </c>
      <c r="P12" s="257">
        <v>0</v>
      </c>
      <c r="Q12" s="258">
        <v>0</v>
      </c>
    </row>
    <row r="13" spans="1:19">
      <c r="A13" s="256">
        <v>1</v>
      </c>
      <c r="B13" s="256">
        <v>1120220</v>
      </c>
      <c r="C13" s="256">
        <v>112022000</v>
      </c>
      <c r="D13" s="256" t="s">
        <v>631</v>
      </c>
      <c r="E13" s="256" t="s">
        <v>632</v>
      </c>
      <c r="F13" s="256" t="s">
        <v>643</v>
      </c>
      <c r="G13" s="256" t="s">
        <v>645</v>
      </c>
      <c r="H13" s="256"/>
      <c r="I13" s="257">
        <v>0</v>
      </c>
      <c r="J13" s="257">
        <v>0</v>
      </c>
      <c r="K13" s="257">
        <v>0</v>
      </c>
      <c r="L13" s="257">
        <v>0</v>
      </c>
      <c r="M13" s="257">
        <v>0</v>
      </c>
      <c r="N13" s="257">
        <v>0</v>
      </c>
      <c r="O13" s="257">
        <v>0</v>
      </c>
      <c r="P13" s="257">
        <v>0</v>
      </c>
      <c r="Q13" s="258">
        <v>0</v>
      </c>
    </row>
    <row r="14" spans="1:19">
      <c r="A14" s="256">
        <v>1</v>
      </c>
      <c r="B14" s="256">
        <v>1120230</v>
      </c>
      <c r="C14" s="256">
        <v>112023000</v>
      </c>
      <c r="D14" s="256" t="s">
        <v>631</v>
      </c>
      <c r="E14" s="256" t="s">
        <v>632</v>
      </c>
      <c r="F14" s="256" t="s">
        <v>643</v>
      </c>
      <c r="G14" s="256" t="s">
        <v>646</v>
      </c>
      <c r="H14" s="256"/>
      <c r="I14" s="257">
        <v>0</v>
      </c>
      <c r="J14" s="257">
        <v>0</v>
      </c>
      <c r="K14" s="257">
        <v>0</v>
      </c>
      <c r="L14" s="257">
        <v>0</v>
      </c>
      <c r="M14" s="257">
        <v>0</v>
      </c>
      <c r="N14" s="257">
        <v>0</v>
      </c>
      <c r="O14" s="257">
        <v>0</v>
      </c>
      <c r="P14" s="257">
        <v>0</v>
      </c>
      <c r="Q14" s="258">
        <v>0</v>
      </c>
    </row>
    <row r="15" spans="1:19">
      <c r="A15" s="256">
        <v>1</v>
      </c>
      <c r="B15" s="256">
        <v>1120240</v>
      </c>
      <c r="C15" s="256">
        <v>112024000</v>
      </c>
      <c r="D15" s="256" t="s">
        <v>631</v>
      </c>
      <c r="E15" s="256" t="s">
        <v>632</v>
      </c>
      <c r="F15" s="256" t="s">
        <v>643</v>
      </c>
      <c r="G15" s="256" t="s">
        <v>647</v>
      </c>
      <c r="H15" s="256"/>
      <c r="I15" s="257">
        <v>17007700000</v>
      </c>
      <c r="J15" s="257">
        <v>0</v>
      </c>
      <c r="K15" s="257">
        <v>0</v>
      </c>
      <c r="L15" s="257">
        <v>0</v>
      </c>
      <c r="M15" s="257">
        <v>0</v>
      </c>
      <c r="N15" s="257">
        <v>0</v>
      </c>
      <c r="O15" s="257">
        <v>0</v>
      </c>
      <c r="P15" s="257">
        <v>17007700000</v>
      </c>
      <c r="Q15" s="258">
        <v>0</v>
      </c>
    </row>
    <row r="16" spans="1:19">
      <c r="A16" s="256">
        <v>1</v>
      </c>
      <c r="B16" s="256">
        <v>1120310</v>
      </c>
      <c r="C16" s="256">
        <v>112031000</v>
      </c>
      <c r="D16" s="256" t="s">
        <v>631</v>
      </c>
      <c r="E16" s="256" t="s">
        <v>632</v>
      </c>
      <c r="F16" s="256" t="s">
        <v>648</v>
      </c>
      <c r="G16" s="256" t="s">
        <v>649</v>
      </c>
      <c r="H16" s="256"/>
      <c r="I16" s="257">
        <v>0</v>
      </c>
      <c r="J16" s="257">
        <v>0</v>
      </c>
      <c r="K16" s="257">
        <v>0</v>
      </c>
      <c r="L16" s="257">
        <v>0</v>
      </c>
      <c r="M16" s="257">
        <v>0</v>
      </c>
      <c r="N16" s="257">
        <v>0</v>
      </c>
      <c r="O16" s="257">
        <v>0</v>
      </c>
      <c r="P16" s="257">
        <v>0</v>
      </c>
      <c r="Q16" s="258">
        <v>0</v>
      </c>
    </row>
    <row r="17" spans="1:17">
      <c r="A17" s="256">
        <v>1</v>
      </c>
      <c r="B17" s="256">
        <v>1140303</v>
      </c>
      <c r="C17" s="256">
        <v>114030300</v>
      </c>
      <c r="D17" s="256" t="s">
        <v>631</v>
      </c>
      <c r="E17" s="256" t="s">
        <v>650</v>
      </c>
      <c r="F17" s="256" t="s">
        <v>651</v>
      </c>
      <c r="G17" s="256" t="s">
        <v>651</v>
      </c>
      <c r="H17" s="256"/>
      <c r="I17" s="257">
        <v>0</v>
      </c>
      <c r="J17" s="257">
        <v>0</v>
      </c>
      <c r="K17" s="257">
        <v>0</v>
      </c>
      <c r="L17" s="257">
        <v>0</v>
      </c>
      <c r="M17" s="257">
        <v>0</v>
      </c>
      <c r="N17" s="257">
        <v>0</v>
      </c>
      <c r="O17" s="257">
        <v>0</v>
      </c>
      <c r="P17" s="257">
        <v>0</v>
      </c>
      <c r="Q17" s="258">
        <v>0</v>
      </c>
    </row>
    <row r="18" spans="1:17">
      <c r="A18" s="256">
        <v>1</v>
      </c>
      <c r="B18" s="256">
        <v>1160101</v>
      </c>
      <c r="C18" s="256">
        <v>116010100</v>
      </c>
      <c r="D18" s="256" t="s">
        <v>631</v>
      </c>
      <c r="E18" s="256" t="s">
        <v>652</v>
      </c>
      <c r="F18" s="256" t="s">
        <v>653</v>
      </c>
      <c r="G18" s="256" t="s">
        <v>653</v>
      </c>
      <c r="H18" s="256"/>
      <c r="I18" s="257">
        <v>3566242000</v>
      </c>
      <c r="J18" s="257">
        <v>0</v>
      </c>
      <c r="K18" s="257">
        <v>0</v>
      </c>
      <c r="L18" s="257">
        <v>0</v>
      </c>
      <c r="M18" s="257">
        <v>0</v>
      </c>
      <c r="N18" s="257">
        <v>0</v>
      </c>
      <c r="O18" s="257">
        <v>0</v>
      </c>
      <c r="P18" s="257">
        <v>3566242000</v>
      </c>
      <c r="Q18" s="258">
        <v>0</v>
      </c>
    </row>
    <row r="19" spans="1:17">
      <c r="A19" s="256">
        <v>1</v>
      </c>
      <c r="B19" s="256">
        <v>1160202</v>
      </c>
      <c r="C19" s="256">
        <v>116020200</v>
      </c>
      <c r="D19" s="256" t="s">
        <v>631</v>
      </c>
      <c r="E19" s="256" t="s">
        <v>652</v>
      </c>
      <c r="F19" s="256" t="s">
        <v>654</v>
      </c>
      <c r="G19" s="256" t="s">
        <v>654</v>
      </c>
      <c r="H19" s="256"/>
      <c r="I19" s="257">
        <v>0</v>
      </c>
      <c r="J19" s="257">
        <v>0</v>
      </c>
      <c r="K19" s="257">
        <v>0</v>
      </c>
      <c r="L19" s="257">
        <v>0</v>
      </c>
      <c r="M19" s="257">
        <v>0</v>
      </c>
      <c r="N19" s="257">
        <v>0</v>
      </c>
      <c r="O19" s="257">
        <v>0</v>
      </c>
      <c r="P19" s="257">
        <v>0</v>
      </c>
      <c r="Q19" s="258">
        <v>0</v>
      </c>
    </row>
    <row r="20" spans="1:17">
      <c r="A20" s="256">
        <v>1</v>
      </c>
      <c r="B20" s="256">
        <v>1180401</v>
      </c>
      <c r="C20" s="256">
        <v>118040101</v>
      </c>
      <c r="D20" s="256" t="s">
        <v>631</v>
      </c>
      <c r="E20" s="256" t="s">
        <v>655</v>
      </c>
      <c r="F20" s="256" t="s">
        <v>655</v>
      </c>
      <c r="G20" s="256" t="s">
        <v>656</v>
      </c>
      <c r="H20" s="256" t="s">
        <v>656</v>
      </c>
      <c r="I20" s="257">
        <v>5683800000</v>
      </c>
      <c r="J20" s="257">
        <v>0</v>
      </c>
      <c r="K20" s="257">
        <v>0</v>
      </c>
      <c r="L20" s="257">
        <v>0</v>
      </c>
      <c r="M20" s="257">
        <v>0</v>
      </c>
      <c r="N20" s="257">
        <v>0</v>
      </c>
      <c r="O20" s="257">
        <v>0</v>
      </c>
      <c r="P20" s="257">
        <v>5683800000</v>
      </c>
      <c r="Q20" s="258">
        <v>0</v>
      </c>
    </row>
    <row r="21" spans="1:17">
      <c r="A21" s="256">
        <v>1</v>
      </c>
      <c r="B21" s="256">
        <v>1180401</v>
      </c>
      <c r="C21" s="256">
        <v>118040102</v>
      </c>
      <c r="D21" s="256" t="s">
        <v>631</v>
      </c>
      <c r="E21" s="256" t="s">
        <v>655</v>
      </c>
      <c r="F21" s="256" t="s">
        <v>655</v>
      </c>
      <c r="G21" s="256" t="s">
        <v>656</v>
      </c>
      <c r="H21" s="256" t="s">
        <v>657</v>
      </c>
      <c r="I21" s="257">
        <v>0</v>
      </c>
      <c r="J21" s="257">
        <v>0</v>
      </c>
      <c r="K21" s="257">
        <v>0</v>
      </c>
      <c r="L21" s="257">
        <v>0</v>
      </c>
      <c r="M21" s="257">
        <v>0</v>
      </c>
      <c r="N21" s="257">
        <v>0</v>
      </c>
      <c r="O21" s="257">
        <v>0</v>
      </c>
      <c r="P21" s="257">
        <v>0</v>
      </c>
      <c r="Q21" s="258">
        <v>0</v>
      </c>
    </row>
    <row r="22" spans="1:17">
      <c r="A22" s="256">
        <v>1</v>
      </c>
      <c r="B22" s="256">
        <v>1180402</v>
      </c>
      <c r="C22" s="256">
        <v>118040200</v>
      </c>
      <c r="D22" s="256" t="s">
        <v>631</v>
      </c>
      <c r="E22" s="256" t="s">
        <v>655</v>
      </c>
      <c r="F22" s="256" t="s">
        <v>655</v>
      </c>
      <c r="G22" s="256" t="s">
        <v>658</v>
      </c>
      <c r="H22" s="256"/>
      <c r="I22" s="257">
        <v>0</v>
      </c>
      <c r="J22" s="257">
        <v>0</v>
      </c>
      <c r="K22" s="257">
        <v>0</v>
      </c>
      <c r="L22" s="257">
        <v>0</v>
      </c>
      <c r="M22" s="257">
        <v>0</v>
      </c>
      <c r="N22" s="257">
        <v>0</v>
      </c>
      <c r="O22" s="257">
        <v>0</v>
      </c>
      <c r="P22" s="257">
        <v>0</v>
      </c>
      <c r="Q22" s="258">
        <v>0</v>
      </c>
    </row>
    <row r="23" spans="1:17">
      <c r="A23" s="256">
        <v>1</v>
      </c>
      <c r="B23" s="256">
        <v>1200630</v>
      </c>
      <c r="C23" s="256">
        <v>120063000</v>
      </c>
      <c r="D23" s="256" t="s">
        <v>631</v>
      </c>
      <c r="E23" s="256" t="s">
        <v>659</v>
      </c>
      <c r="F23" s="256" t="s">
        <v>659</v>
      </c>
      <c r="G23" s="256" t="s">
        <v>659</v>
      </c>
      <c r="H23" s="256"/>
      <c r="I23" s="257">
        <v>0</v>
      </c>
      <c r="J23" s="257">
        <v>0</v>
      </c>
      <c r="K23" s="257">
        <v>0</v>
      </c>
      <c r="L23" s="257">
        <v>0</v>
      </c>
      <c r="M23" s="257">
        <v>0</v>
      </c>
      <c r="N23" s="257">
        <v>0</v>
      </c>
      <c r="O23" s="257">
        <v>0</v>
      </c>
      <c r="P23" s="257">
        <v>0</v>
      </c>
      <c r="Q23" s="258">
        <v>0</v>
      </c>
    </row>
    <row r="24" spans="1:17">
      <c r="A24" s="256">
        <v>1</v>
      </c>
      <c r="B24" s="256">
        <v>1300831</v>
      </c>
      <c r="C24" s="256">
        <v>130083100</v>
      </c>
      <c r="D24" s="256" t="s">
        <v>631</v>
      </c>
      <c r="E24" s="256" t="s">
        <v>660</v>
      </c>
      <c r="F24" s="256" t="s">
        <v>660</v>
      </c>
      <c r="G24" s="256" t="s">
        <v>660</v>
      </c>
      <c r="H24" s="256"/>
      <c r="I24" s="257">
        <v>0</v>
      </c>
      <c r="J24" s="257">
        <v>0</v>
      </c>
      <c r="K24" s="257">
        <v>0</v>
      </c>
      <c r="L24" s="257">
        <v>0</v>
      </c>
      <c r="M24" s="257">
        <v>0</v>
      </c>
      <c r="N24" s="257">
        <v>0</v>
      </c>
      <c r="O24" s="257">
        <v>0</v>
      </c>
      <c r="P24" s="257">
        <v>0</v>
      </c>
      <c r="Q24" s="258">
        <v>0</v>
      </c>
    </row>
    <row r="25" spans="1:17">
      <c r="A25" s="256">
        <v>1</v>
      </c>
      <c r="B25" s="256">
        <v>1401010</v>
      </c>
      <c r="C25" s="256">
        <v>140101000</v>
      </c>
      <c r="D25" s="256" t="s">
        <v>631</v>
      </c>
      <c r="E25" s="256" t="s">
        <v>661</v>
      </c>
      <c r="F25" s="256" t="s">
        <v>661</v>
      </c>
      <c r="G25" s="256" t="s">
        <v>661</v>
      </c>
      <c r="H25" s="256"/>
      <c r="I25" s="257">
        <v>0</v>
      </c>
      <c r="J25" s="257">
        <v>0</v>
      </c>
      <c r="K25" s="257">
        <v>0</v>
      </c>
      <c r="L25" s="257">
        <v>0</v>
      </c>
      <c r="M25" s="257">
        <v>0</v>
      </c>
      <c r="N25" s="257">
        <v>0</v>
      </c>
      <c r="O25" s="257">
        <v>0</v>
      </c>
      <c r="P25" s="257">
        <v>0</v>
      </c>
      <c r="Q25" s="258">
        <v>0</v>
      </c>
    </row>
    <row r="26" spans="1:17">
      <c r="A26" s="256">
        <v>1</v>
      </c>
      <c r="B26" s="256">
        <v>1600101</v>
      </c>
      <c r="C26" s="256">
        <v>160010100</v>
      </c>
      <c r="D26" s="256" t="s">
        <v>631</v>
      </c>
      <c r="E26" s="256" t="s">
        <v>662</v>
      </c>
      <c r="F26" s="256" t="s">
        <v>662</v>
      </c>
      <c r="G26" s="256" t="s">
        <v>662</v>
      </c>
      <c r="H26" s="256"/>
      <c r="I26" s="257">
        <v>24373083</v>
      </c>
      <c r="J26" s="257">
        <v>0</v>
      </c>
      <c r="K26" s="257">
        <v>0</v>
      </c>
      <c r="L26" s="257">
        <v>0</v>
      </c>
      <c r="M26" s="257">
        <v>0</v>
      </c>
      <c r="N26" s="257">
        <v>24373083</v>
      </c>
      <c r="O26" s="257">
        <v>0</v>
      </c>
      <c r="P26" s="257">
        <v>0</v>
      </c>
      <c r="Q26" s="258">
        <v>0</v>
      </c>
    </row>
    <row r="27" spans="1:17">
      <c r="A27" s="256">
        <v>1</v>
      </c>
      <c r="B27" s="256">
        <v>1800606</v>
      </c>
      <c r="C27" s="256">
        <v>180060600</v>
      </c>
      <c r="D27" s="256" t="s">
        <v>631</v>
      </c>
      <c r="E27" s="256" t="s">
        <v>663</v>
      </c>
      <c r="F27" s="256" t="s">
        <v>664</v>
      </c>
      <c r="G27" s="256" t="s">
        <v>664</v>
      </c>
      <c r="H27" s="256"/>
      <c r="I27" s="257">
        <v>8799605</v>
      </c>
      <c r="J27" s="257">
        <v>0</v>
      </c>
      <c r="K27" s="257">
        <v>0</v>
      </c>
      <c r="L27" s="257">
        <v>0</v>
      </c>
      <c r="M27" s="257">
        <v>0</v>
      </c>
      <c r="N27" s="257">
        <v>0</v>
      </c>
      <c r="O27" s="257">
        <v>0</v>
      </c>
      <c r="P27" s="257">
        <v>8799605</v>
      </c>
      <c r="Q27" s="258">
        <v>0</v>
      </c>
    </row>
    <row r="28" spans="1:17">
      <c r="A28" s="256">
        <v>1</v>
      </c>
      <c r="B28" s="256">
        <v>1800808</v>
      </c>
      <c r="C28" s="256">
        <v>180080800</v>
      </c>
      <c r="D28" s="256" t="s">
        <v>631</v>
      </c>
      <c r="E28" s="256" t="s">
        <v>663</v>
      </c>
      <c r="F28" s="256" t="s">
        <v>665</v>
      </c>
      <c r="G28" s="256" t="s">
        <v>665</v>
      </c>
      <c r="H28" s="256"/>
      <c r="I28" s="257">
        <v>530286509</v>
      </c>
      <c r="J28" s="257">
        <v>0</v>
      </c>
      <c r="K28" s="257">
        <v>0</v>
      </c>
      <c r="L28" s="257">
        <v>0</v>
      </c>
      <c r="M28" s="257">
        <v>0</v>
      </c>
      <c r="N28" s="257">
        <v>15318327</v>
      </c>
      <c r="O28" s="257">
        <v>0</v>
      </c>
      <c r="P28" s="257">
        <v>514968182</v>
      </c>
      <c r="Q28" s="258">
        <v>0</v>
      </c>
    </row>
    <row r="29" spans="1:17">
      <c r="A29" s="256">
        <v>1</v>
      </c>
      <c r="B29" s="256">
        <v>1820101</v>
      </c>
      <c r="C29" s="256">
        <v>182010100</v>
      </c>
      <c r="D29" s="256" t="s">
        <v>631</v>
      </c>
      <c r="E29" s="256" t="s">
        <v>666</v>
      </c>
      <c r="F29" s="256" t="s">
        <v>667</v>
      </c>
      <c r="G29" s="256" t="s">
        <v>667</v>
      </c>
      <c r="H29" s="256"/>
      <c r="I29" s="257">
        <v>0</v>
      </c>
      <c r="J29" s="257">
        <v>0</v>
      </c>
      <c r="K29" s="257">
        <v>0</v>
      </c>
      <c r="L29" s="257">
        <v>0</v>
      </c>
      <c r="M29" s="257">
        <v>0</v>
      </c>
      <c r="N29" s="257">
        <v>0</v>
      </c>
      <c r="O29" s="257">
        <v>0</v>
      </c>
      <c r="P29" s="257">
        <v>0</v>
      </c>
      <c r="Q29" s="258">
        <v>0</v>
      </c>
    </row>
    <row r="30" spans="1:17">
      <c r="A30" s="256">
        <v>1</v>
      </c>
      <c r="B30" s="256">
        <v>1840102</v>
      </c>
      <c r="C30" s="256">
        <v>184010200</v>
      </c>
      <c r="D30" s="256" t="s">
        <v>631</v>
      </c>
      <c r="E30" s="256" t="s">
        <v>668</v>
      </c>
      <c r="F30" s="256" t="s">
        <v>669</v>
      </c>
      <c r="G30" s="256" t="s">
        <v>670</v>
      </c>
      <c r="H30" s="256"/>
      <c r="I30" s="257">
        <v>0</v>
      </c>
      <c r="J30" s="257">
        <v>0</v>
      </c>
      <c r="K30" s="257">
        <v>0</v>
      </c>
      <c r="L30" s="257">
        <v>0</v>
      </c>
      <c r="M30" s="257">
        <v>0</v>
      </c>
      <c r="N30" s="257">
        <v>0</v>
      </c>
      <c r="O30" s="257">
        <v>0</v>
      </c>
      <c r="P30" s="257">
        <v>0</v>
      </c>
      <c r="Q30" s="258">
        <v>0</v>
      </c>
    </row>
    <row r="31" spans="1:17">
      <c r="A31" s="256">
        <v>1</v>
      </c>
      <c r="B31" s="256">
        <v>1840304</v>
      </c>
      <c r="C31" s="256">
        <v>184030400</v>
      </c>
      <c r="D31" s="256" t="s">
        <v>631</v>
      </c>
      <c r="E31" s="256" t="s">
        <v>668</v>
      </c>
      <c r="F31" s="256" t="s">
        <v>651</v>
      </c>
      <c r="G31" s="256" t="s">
        <v>671</v>
      </c>
      <c r="H31" s="256"/>
      <c r="I31" s="257">
        <v>0</v>
      </c>
      <c r="J31" s="257">
        <v>0</v>
      </c>
      <c r="K31" s="257">
        <v>0</v>
      </c>
      <c r="L31" s="257">
        <v>0</v>
      </c>
      <c r="M31" s="257">
        <v>0</v>
      </c>
      <c r="N31" s="257">
        <v>0</v>
      </c>
      <c r="O31" s="257">
        <v>0</v>
      </c>
      <c r="P31" s="257">
        <v>0</v>
      </c>
      <c r="Q31" s="258">
        <v>0</v>
      </c>
    </row>
    <row r="32" spans="1:17">
      <c r="A32" s="256">
        <v>1</v>
      </c>
      <c r="B32" s="256">
        <v>1840305</v>
      </c>
      <c r="C32" s="256">
        <v>184030500</v>
      </c>
      <c r="D32" s="256" t="s">
        <v>631</v>
      </c>
      <c r="E32" s="256" t="s">
        <v>668</v>
      </c>
      <c r="F32" s="256" t="s">
        <v>651</v>
      </c>
      <c r="G32" s="256" t="s">
        <v>672</v>
      </c>
      <c r="H32" s="256"/>
      <c r="I32" s="257">
        <v>0</v>
      </c>
      <c r="J32" s="257">
        <v>0</v>
      </c>
      <c r="K32" s="257">
        <v>0</v>
      </c>
      <c r="L32" s="257">
        <v>0</v>
      </c>
      <c r="M32" s="257">
        <v>0</v>
      </c>
      <c r="N32" s="257">
        <v>0</v>
      </c>
      <c r="O32" s="257">
        <v>0</v>
      </c>
      <c r="P32" s="257">
        <v>0</v>
      </c>
      <c r="Q32" s="258">
        <v>0</v>
      </c>
    </row>
    <row r="33" spans="1:17">
      <c r="A33" s="256">
        <v>1</v>
      </c>
      <c r="B33" s="256">
        <v>1840306</v>
      </c>
      <c r="C33" s="256">
        <v>184030600</v>
      </c>
      <c r="D33" s="256" t="s">
        <v>631</v>
      </c>
      <c r="E33" s="256" t="s">
        <v>668</v>
      </c>
      <c r="F33" s="256" t="s">
        <v>651</v>
      </c>
      <c r="G33" s="256" t="s">
        <v>673</v>
      </c>
      <c r="H33" s="256"/>
      <c r="I33" s="257">
        <v>0</v>
      </c>
      <c r="J33" s="257">
        <v>0</v>
      </c>
      <c r="K33" s="257">
        <v>0</v>
      </c>
      <c r="L33" s="257">
        <v>0</v>
      </c>
      <c r="M33" s="257">
        <v>0</v>
      </c>
      <c r="N33" s="257">
        <v>0</v>
      </c>
      <c r="O33" s="257">
        <v>0</v>
      </c>
      <c r="P33" s="257">
        <v>0</v>
      </c>
      <c r="Q33" s="258">
        <v>0</v>
      </c>
    </row>
    <row r="34" spans="1:17">
      <c r="A34" s="256">
        <v>1</v>
      </c>
      <c r="B34" s="256">
        <v>1840506</v>
      </c>
      <c r="C34" s="256">
        <v>184050600</v>
      </c>
      <c r="D34" s="256" t="s">
        <v>631</v>
      </c>
      <c r="E34" s="256" t="s">
        <v>668</v>
      </c>
      <c r="F34" s="256" t="s">
        <v>674</v>
      </c>
      <c r="G34" s="256" t="s">
        <v>675</v>
      </c>
      <c r="H34" s="256"/>
      <c r="I34" s="257">
        <v>640000</v>
      </c>
      <c r="J34" s="257">
        <v>0</v>
      </c>
      <c r="K34" s="257">
        <v>0</v>
      </c>
      <c r="L34" s="257">
        <v>0</v>
      </c>
      <c r="M34" s="257">
        <v>0</v>
      </c>
      <c r="N34" s="257">
        <v>0</v>
      </c>
      <c r="O34" s="257">
        <v>0</v>
      </c>
      <c r="P34" s="257">
        <v>640000</v>
      </c>
      <c r="Q34" s="258">
        <v>0</v>
      </c>
    </row>
    <row r="35" spans="1:17">
      <c r="A35" s="256">
        <v>1</v>
      </c>
      <c r="B35" s="256">
        <v>1840507</v>
      </c>
      <c r="C35" s="256">
        <v>184050700</v>
      </c>
      <c r="D35" s="256" t="s">
        <v>631</v>
      </c>
      <c r="E35" s="256" t="s">
        <v>668</v>
      </c>
      <c r="F35" s="256" t="s">
        <v>674</v>
      </c>
      <c r="G35" s="256" t="s">
        <v>676</v>
      </c>
      <c r="H35" s="256"/>
      <c r="I35" s="257">
        <v>1079000</v>
      </c>
      <c r="J35" s="257">
        <v>0</v>
      </c>
      <c r="K35" s="257">
        <v>0</v>
      </c>
      <c r="L35" s="257">
        <v>0</v>
      </c>
      <c r="M35" s="257">
        <v>0</v>
      </c>
      <c r="N35" s="257">
        <v>0</v>
      </c>
      <c r="O35" s="257">
        <v>0</v>
      </c>
      <c r="P35" s="257">
        <v>1079000</v>
      </c>
      <c r="Q35" s="258">
        <v>0</v>
      </c>
    </row>
    <row r="36" spans="1:17">
      <c r="A36" s="256">
        <v>1</v>
      </c>
      <c r="B36" s="256">
        <v>1840508</v>
      </c>
      <c r="C36" s="256">
        <v>184050800</v>
      </c>
      <c r="D36" s="256" t="s">
        <v>631</v>
      </c>
      <c r="E36" s="256" t="s">
        <v>668</v>
      </c>
      <c r="F36" s="256" t="s">
        <v>674</v>
      </c>
      <c r="G36" s="256" t="s">
        <v>677</v>
      </c>
      <c r="H36" s="256"/>
      <c r="I36" s="257">
        <v>0</v>
      </c>
      <c r="J36" s="257">
        <v>0</v>
      </c>
      <c r="K36" s="257">
        <v>0</v>
      </c>
      <c r="L36" s="257">
        <v>0</v>
      </c>
      <c r="M36" s="257">
        <v>0</v>
      </c>
      <c r="N36" s="257">
        <v>0</v>
      </c>
      <c r="O36" s="257">
        <v>0</v>
      </c>
      <c r="P36" s="257">
        <v>0</v>
      </c>
      <c r="Q36" s="258">
        <v>0</v>
      </c>
    </row>
    <row r="37" spans="1:17">
      <c r="A37" s="256">
        <v>1</v>
      </c>
      <c r="B37" s="256">
        <v>1860303</v>
      </c>
      <c r="C37" s="256">
        <v>186030300</v>
      </c>
      <c r="D37" s="256" t="s">
        <v>631</v>
      </c>
      <c r="E37" s="256" t="s">
        <v>678</v>
      </c>
      <c r="F37" s="256" t="s">
        <v>679</v>
      </c>
      <c r="G37" s="256" t="s">
        <v>679</v>
      </c>
      <c r="H37" s="256"/>
      <c r="I37" s="257">
        <v>0</v>
      </c>
      <c r="J37" s="257">
        <v>0</v>
      </c>
      <c r="K37" s="257">
        <v>0</v>
      </c>
      <c r="L37" s="257">
        <v>0</v>
      </c>
      <c r="M37" s="257">
        <v>0</v>
      </c>
      <c r="N37" s="257">
        <v>0</v>
      </c>
      <c r="O37" s="257">
        <v>0</v>
      </c>
      <c r="P37" s="257">
        <v>0</v>
      </c>
      <c r="Q37" s="258">
        <v>0</v>
      </c>
    </row>
    <row r="38" spans="1:17">
      <c r="A38" s="256">
        <v>1</v>
      </c>
      <c r="B38" s="256">
        <v>1880101</v>
      </c>
      <c r="C38" s="256">
        <v>188010100</v>
      </c>
      <c r="D38" s="256" t="s">
        <v>631</v>
      </c>
      <c r="E38" s="256" t="s">
        <v>680</v>
      </c>
      <c r="F38" s="256" t="s">
        <v>681</v>
      </c>
      <c r="G38" s="256" t="s">
        <v>681</v>
      </c>
      <c r="H38" s="256"/>
      <c r="I38" s="257">
        <v>45948113</v>
      </c>
      <c r="J38" s="257">
        <v>0</v>
      </c>
      <c r="K38" s="257">
        <v>0</v>
      </c>
      <c r="L38" s="257">
        <v>0</v>
      </c>
      <c r="M38" s="257">
        <v>0</v>
      </c>
      <c r="N38" s="257">
        <v>0</v>
      </c>
      <c r="O38" s="257">
        <v>45948113</v>
      </c>
      <c r="P38" s="257">
        <v>0</v>
      </c>
      <c r="Q38" s="258">
        <v>0</v>
      </c>
    </row>
    <row r="39" spans="1:17">
      <c r="A39" s="256">
        <v>1</v>
      </c>
      <c r="B39" s="256">
        <v>1880202</v>
      </c>
      <c r="C39" s="256">
        <v>188020200</v>
      </c>
      <c r="D39" s="256" t="s">
        <v>631</v>
      </c>
      <c r="E39" s="256" t="s">
        <v>680</v>
      </c>
      <c r="F39" s="256" t="s">
        <v>682</v>
      </c>
      <c r="G39" s="256" t="s">
        <v>682</v>
      </c>
      <c r="H39" s="256"/>
      <c r="I39" s="257">
        <v>0</v>
      </c>
      <c r="J39" s="257">
        <v>0</v>
      </c>
      <c r="K39" s="257">
        <v>0</v>
      </c>
      <c r="L39" s="257">
        <v>0</v>
      </c>
      <c r="M39" s="257">
        <v>0</v>
      </c>
      <c r="N39" s="257">
        <v>0</v>
      </c>
      <c r="O39" s="257">
        <v>0</v>
      </c>
      <c r="P39" s="257">
        <v>0</v>
      </c>
      <c r="Q39" s="258">
        <v>0</v>
      </c>
    </row>
    <row r="40" spans="1:17">
      <c r="A40" s="256">
        <v>1</v>
      </c>
      <c r="B40" s="256">
        <v>1900101</v>
      </c>
      <c r="C40" s="256">
        <v>190010100</v>
      </c>
      <c r="D40" s="256" t="s">
        <v>631</v>
      </c>
      <c r="E40" s="256" t="s">
        <v>683</v>
      </c>
      <c r="F40" s="256" t="s">
        <v>684</v>
      </c>
      <c r="G40" s="256" t="s">
        <v>684</v>
      </c>
      <c r="H40" s="256"/>
      <c r="I40" s="257">
        <v>0</v>
      </c>
      <c r="J40" s="257">
        <v>0</v>
      </c>
      <c r="K40" s="257">
        <v>0</v>
      </c>
      <c r="L40" s="257">
        <v>0</v>
      </c>
      <c r="M40" s="257">
        <v>0</v>
      </c>
      <c r="N40" s="257">
        <v>0</v>
      </c>
      <c r="O40" s="257">
        <v>0</v>
      </c>
      <c r="P40" s="257">
        <v>0</v>
      </c>
      <c r="Q40" s="258">
        <v>0</v>
      </c>
    </row>
    <row r="41" spans="1:17">
      <c r="A41" s="256">
        <v>1</v>
      </c>
      <c r="B41" s="256">
        <v>1900202</v>
      </c>
      <c r="C41" s="256">
        <v>190020200</v>
      </c>
      <c r="D41" s="256" t="s">
        <v>631</v>
      </c>
      <c r="E41" s="256" t="s">
        <v>683</v>
      </c>
      <c r="F41" s="256" t="s">
        <v>685</v>
      </c>
      <c r="G41" s="256" t="s">
        <v>685</v>
      </c>
      <c r="H41" s="256"/>
      <c r="I41" s="257">
        <v>0</v>
      </c>
      <c r="J41" s="257">
        <v>0</v>
      </c>
      <c r="K41" s="257">
        <v>0</v>
      </c>
      <c r="L41" s="257">
        <v>0</v>
      </c>
      <c r="M41" s="257">
        <v>0</v>
      </c>
      <c r="N41" s="257">
        <v>0</v>
      </c>
      <c r="O41" s="257">
        <v>0</v>
      </c>
      <c r="P41" s="257">
        <v>0</v>
      </c>
      <c r="Q41" s="258">
        <v>0</v>
      </c>
    </row>
    <row r="42" spans="1:17">
      <c r="A42" s="256">
        <v>1</v>
      </c>
      <c r="B42" s="256">
        <v>1900303</v>
      </c>
      <c r="C42" s="256">
        <v>190030300</v>
      </c>
      <c r="D42" s="256" t="s">
        <v>631</v>
      </c>
      <c r="E42" s="256" t="s">
        <v>683</v>
      </c>
      <c r="F42" s="256" t="s">
        <v>683</v>
      </c>
      <c r="G42" s="256" t="s">
        <v>683</v>
      </c>
      <c r="H42" s="256"/>
      <c r="I42" s="257">
        <v>0</v>
      </c>
      <c r="J42" s="257">
        <v>0</v>
      </c>
      <c r="K42" s="257">
        <v>0</v>
      </c>
      <c r="L42" s="257">
        <v>0</v>
      </c>
      <c r="M42" s="257">
        <v>0</v>
      </c>
      <c r="N42" s="257">
        <v>0</v>
      </c>
      <c r="O42" s="257">
        <v>0</v>
      </c>
      <c r="P42" s="257">
        <v>0</v>
      </c>
      <c r="Q42" s="258">
        <v>0</v>
      </c>
    </row>
    <row r="43" spans="1:17">
      <c r="A43" s="256">
        <v>1</v>
      </c>
      <c r="B43" s="256">
        <v>4810202</v>
      </c>
      <c r="C43" s="256">
        <v>481020200</v>
      </c>
      <c r="D43" s="256" t="s">
        <v>686</v>
      </c>
      <c r="E43" s="256" t="s">
        <v>687</v>
      </c>
      <c r="F43" s="256" t="s">
        <v>688</v>
      </c>
      <c r="G43" s="256" t="s">
        <v>688</v>
      </c>
      <c r="H43" s="256"/>
      <c r="I43" s="257">
        <v>20339840861</v>
      </c>
      <c r="J43" s="257">
        <v>0</v>
      </c>
      <c r="K43" s="257">
        <v>0</v>
      </c>
      <c r="L43" s="257">
        <v>0</v>
      </c>
      <c r="M43" s="257">
        <v>0</v>
      </c>
      <c r="N43" s="257">
        <v>20339840861</v>
      </c>
      <c r="O43" s="257">
        <v>0</v>
      </c>
      <c r="P43" s="257">
        <v>0</v>
      </c>
      <c r="Q43" s="258">
        <v>0</v>
      </c>
    </row>
    <row r="44" spans="1:17">
      <c r="A44" s="256">
        <v>1</v>
      </c>
      <c r="B44" s="256">
        <v>4810404</v>
      </c>
      <c r="C44" s="256">
        <v>481040411</v>
      </c>
      <c r="D44" s="256" t="s">
        <v>686</v>
      </c>
      <c r="E44" s="256" t="s">
        <v>687</v>
      </c>
      <c r="F44" s="256" t="s">
        <v>689</v>
      </c>
      <c r="G44" s="256" t="s">
        <v>690</v>
      </c>
      <c r="H44" s="256" t="s">
        <v>691</v>
      </c>
      <c r="I44" s="257">
        <v>2754671000</v>
      </c>
      <c r="J44" s="257">
        <v>0</v>
      </c>
      <c r="K44" s="257">
        <v>0</v>
      </c>
      <c r="L44" s="257">
        <v>0</v>
      </c>
      <c r="M44" s="257">
        <v>0</v>
      </c>
      <c r="N44" s="257">
        <v>0</v>
      </c>
      <c r="O44" s="257">
        <v>0</v>
      </c>
      <c r="P44" s="257">
        <v>2754671000</v>
      </c>
      <c r="Q44" s="258">
        <v>0</v>
      </c>
    </row>
    <row r="45" spans="1:17">
      <c r="A45" s="256">
        <v>1</v>
      </c>
      <c r="B45" s="256">
        <v>4810404</v>
      </c>
      <c r="C45" s="256">
        <v>481040412</v>
      </c>
      <c r="D45" s="256" t="s">
        <v>686</v>
      </c>
      <c r="E45" s="256" t="s">
        <v>687</v>
      </c>
      <c r="F45" s="256" t="s">
        <v>689</v>
      </c>
      <c r="G45" s="256" t="s">
        <v>690</v>
      </c>
      <c r="H45" s="256" t="s">
        <v>692</v>
      </c>
      <c r="I45" s="257">
        <v>7912710000</v>
      </c>
      <c r="J45" s="257">
        <v>0</v>
      </c>
      <c r="K45" s="257">
        <v>0</v>
      </c>
      <c r="L45" s="257">
        <v>0</v>
      </c>
      <c r="M45" s="257">
        <v>0</v>
      </c>
      <c r="N45" s="257">
        <v>0</v>
      </c>
      <c r="O45" s="257">
        <v>0</v>
      </c>
      <c r="P45" s="257">
        <v>7912710000</v>
      </c>
      <c r="Q45" s="258">
        <v>0</v>
      </c>
    </row>
    <row r="46" spans="1:17">
      <c r="A46" s="256">
        <v>1</v>
      </c>
      <c r="B46" s="256">
        <v>4810404</v>
      </c>
      <c r="C46" s="256">
        <v>481040413</v>
      </c>
      <c r="D46" s="256" t="s">
        <v>686</v>
      </c>
      <c r="E46" s="256" t="s">
        <v>687</v>
      </c>
      <c r="F46" s="256" t="s">
        <v>689</v>
      </c>
      <c r="G46" s="256" t="s">
        <v>690</v>
      </c>
      <c r="H46" s="256" t="s">
        <v>693</v>
      </c>
      <c r="I46" s="257">
        <v>2138644000</v>
      </c>
      <c r="J46" s="257">
        <v>0</v>
      </c>
      <c r="K46" s="257">
        <v>0</v>
      </c>
      <c r="L46" s="257">
        <v>0</v>
      </c>
      <c r="M46" s="257">
        <v>0</v>
      </c>
      <c r="N46" s="257">
        <v>0</v>
      </c>
      <c r="O46" s="257">
        <v>0</v>
      </c>
      <c r="P46" s="257">
        <v>2138644000</v>
      </c>
      <c r="Q46" s="258">
        <v>0</v>
      </c>
    </row>
    <row r="47" spans="1:17">
      <c r="A47" s="256">
        <v>1</v>
      </c>
      <c r="B47" s="256">
        <v>4810404</v>
      </c>
      <c r="C47" s="256">
        <v>481040415</v>
      </c>
      <c r="D47" s="256" t="s">
        <v>686</v>
      </c>
      <c r="E47" s="256" t="s">
        <v>687</v>
      </c>
      <c r="F47" s="256" t="s">
        <v>689</v>
      </c>
      <c r="G47" s="256" t="s">
        <v>690</v>
      </c>
      <c r="H47" s="256" t="s">
        <v>694</v>
      </c>
      <c r="I47" s="257">
        <v>0</v>
      </c>
      <c r="J47" s="257">
        <v>0</v>
      </c>
      <c r="K47" s="257">
        <v>0</v>
      </c>
      <c r="L47" s="257">
        <v>0</v>
      </c>
      <c r="M47" s="257">
        <v>0</v>
      </c>
      <c r="N47" s="257">
        <v>0</v>
      </c>
      <c r="O47" s="257">
        <v>0</v>
      </c>
      <c r="P47" s="257">
        <v>0</v>
      </c>
      <c r="Q47" s="258">
        <v>0</v>
      </c>
    </row>
    <row r="48" spans="1:17">
      <c r="A48" s="256">
        <v>1</v>
      </c>
      <c r="B48" s="256">
        <v>4810406</v>
      </c>
      <c r="C48" s="256">
        <v>481040600</v>
      </c>
      <c r="D48" s="256" t="s">
        <v>686</v>
      </c>
      <c r="E48" s="256" t="s">
        <v>687</v>
      </c>
      <c r="F48" s="256" t="s">
        <v>689</v>
      </c>
      <c r="G48" s="256" t="s">
        <v>695</v>
      </c>
      <c r="H48" s="256"/>
      <c r="I48" s="257">
        <v>61778000</v>
      </c>
      <c r="J48" s="257">
        <v>0</v>
      </c>
      <c r="K48" s="257">
        <v>0</v>
      </c>
      <c r="L48" s="257">
        <v>0</v>
      </c>
      <c r="M48" s="257">
        <v>0</v>
      </c>
      <c r="N48" s="257">
        <v>0</v>
      </c>
      <c r="O48" s="257">
        <v>0</v>
      </c>
      <c r="P48" s="257">
        <v>61778000</v>
      </c>
      <c r="Q48" s="258">
        <v>0</v>
      </c>
    </row>
    <row r="49" spans="1:17">
      <c r="A49" s="256">
        <v>1</v>
      </c>
      <c r="B49" s="256">
        <v>4810408</v>
      </c>
      <c r="C49" s="256">
        <v>481040800</v>
      </c>
      <c r="D49" s="256" t="s">
        <v>686</v>
      </c>
      <c r="E49" s="256" t="s">
        <v>687</v>
      </c>
      <c r="F49" s="256" t="s">
        <v>689</v>
      </c>
      <c r="G49" s="256" t="s">
        <v>696</v>
      </c>
      <c r="H49" s="256"/>
      <c r="I49" s="257">
        <v>40039000</v>
      </c>
      <c r="J49" s="257">
        <v>0</v>
      </c>
      <c r="K49" s="257">
        <v>0</v>
      </c>
      <c r="L49" s="257">
        <v>0</v>
      </c>
      <c r="M49" s="257">
        <v>0</v>
      </c>
      <c r="N49" s="257">
        <v>0</v>
      </c>
      <c r="O49" s="257">
        <v>0</v>
      </c>
      <c r="P49" s="257">
        <v>40039000</v>
      </c>
      <c r="Q49" s="258">
        <v>0</v>
      </c>
    </row>
    <row r="50" spans="1:17">
      <c r="A50" s="256">
        <v>1</v>
      </c>
      <c r="B50" s="256">
        <v>4810409</v>
      </c>
      <c r="C50" s="256">
        <v>481040900</v>
      </c>
      <c r="D50" s="256" t="s">
        <v>686</v>
      </c>
      <c r="E50" s="256" t="s">
        <v>687</v>
      </c>
      <c r="F50" s="256" t="s">
        <v>689</v>
      </c>
      <c r="G50" s="256" t="s">
        <v>697</v>
      </c>
      <c r="H50" s="256"/>
      <c r="I50" s="257">
        <v>14763000</v>
      </c>
      <c r="J50" s="257">
        <v>0</v>
      </c>
      <c r="K50" s="257">
        <v>0</v>
      </c>
      <c r="L50" s="257">
        <v>0</v>
      </c>
      <c r="M50" s="257">
        <v>0</v>
      </c>
      <c r="N50" s="257">
        <v>0</v>
      </c>
      <c r="O50" s="257">
        <v>0</v>
      </c>
      <c r="P50" s="257">
        <v>14763000</v>
      </c>
      <c r="Q50" s="258">
        <v>0</v>
      </c>
    </row>
    <row r="51" spans="1:17">
      <c r="A51" s="256">
        <v>1</v>
      </c>
      <c r="B51" s="256">
        <v>4810415</v>
      </c>
      <c r="C51" s="256">
        <v>481041500</v>
      </c>
      <c r="D51" s="256" t="s">
        <v>686</v>
      </c>
      <c r="E51" s="256" t="s">
        <v>687</v>
      </c>
      <c r="F51" s="256" t="s">
        <v>689</v>
      </c>
      <c r="G51" s="256" t="s">
        <v>698</v>
      </c>
      <c r="H51" s="256"/>
      <c r="I51" s="257">
        <v>0</v>
      </c>
      <c r="J51" s="257">
        <v>0</v>
      </c>
      <c r="K51" s="257">
        <v>0</v>
      </c>
      <c r="L51" s="257">
        <v>0</v>
      </c>
      <c r="M51" s="257">
        <v>0</v>
      </c>
      <c r="N51" s="257">
        <v>0</v>
      </c>
      <c r="O51" s="257">
        <v>0</v>
      </c>
      <c r="P51" s="257">
        <v>0</v>
      </c>
      <c r="Q51" s="258">
        <v>0</v>
      </c>
    </row>
    <row r="52" spans="1:17">
      <c r="A52" s="256">
        <v>1</v>
      </c>
      <c r="B52" s="256">
        <v>4811214</v>
      </c>
      <c r="C52" s="256">
        <v>481121400</v>
      </c>
      <c r="D52" s="256" t="s">
        <v>686</v>
      </c>
      <c r="E52" s="256" t="s">
        <v>687</v>
      </c>
      <c r="F52" s="256" t="s">
        <v>699</v>
      </c>
      <c r="G52" s="256" t="s">
        <v>699</v>
      </c>
      <c r="H52" s="256"/>
      <c r="I52" s="257">
        <v>0</v>
      </c>
      <c r="J52" s="257">
        <v>0</v>
      </c>
      <c r="K52" s="257">
        <v>0</v>
      </c>
      <c r="L52" s="257">
        <v>0</v>
      </c>
      <c r="M52" s="257">
        <v>0</v>
      </c>
      <c r="N52" s="257">
        <v>0</v>
      </c>
      <c r="O52" s="257">
        <v>0</v>
      </c>
      <c r="P52" s="257">
        <v>0</v>
      </c>
      <c r="Q52" s="258">
        <v>0</v>
      </c>
    </row>
    <row r="53" spans="1:17">
      <c r="A53" s="256">
        <v>1</v>
      </c>
      <c r="B53" s="256">
        <v>4811415</v>
      </c>
      <c r="C53" s="256">
        <v>481141500</v>
      </c>
      <c r="D53" s="256" t="s">
        <v>686</v>
      </c>
      <c r="E53" s="256" t="s">
        <v>687</v>
      </c>
      <c r="F53" s="256" t="s">
        <v>700</v>
      </c>
      <c r="G53" s="256" t="s">
        <v>701</v>
      </c>
      <c r="H53" s="256"/>
      <c r="I53" s="257">
        <v>187826166</v>
      </c>
      <c r="J53" s="257">
        <v>0</v>
      </c>
      <c r="K53" s="257">
        <v>0</v>
      </c>
      <c r="L53" s="257">
        <v>0</v>
      </c>
      <c r="M53" s="257">
        <v>0</v>
      </c>
      <c r="N53" s="257">
        <v>187826166</v>
      </c>
      <c r="O53" s="257">
        <v>0</v>
      </c>
      <c r="P53" s="257">
        <v>0</v>
      </c>
      <c r="Q53" s="258">
        <v>0</v>
      </c>
    </row>
    <row r="54" spans="1:17">
      <c r="A54" s="256">
        <v>1</v>
      </c>
      <c r="B54" s="256">
        <v>4811416</v>
      </c>
      <c r="C54" s="256">
        <v>481141600</v>
      </c>
      <c r="D54" s="256" t="s">
        <v>686</v>
      </c>
      <c r="E54" s="256" t="s">
        <v>687</v>
      </c>
      <c r="F54" s="256" t="s">
        <v>700</v>
      </c>
      <c r="G54" s="256" t="s">
        <v>702</v>
      </c>
      <c r="H54" s="256"/>
      <c r="I54" s="257">
        <v>0</v>
      </c>
      <c r="J54" s="257">
        <v>0</v>
      </c>
      <c r="K54" s="257">
        <v>0</v>
      </c>
      <c r="L54" s="257">
        <v>0</v>
      </c>
      <c r="M54" s="257">
        <v>0</v>
      </c>
      <c r="N54" s="257">
        <v>0</v>
      </c>
      <c r="O54" s="257">
        <v>0</v>
      </c>
      <c r="P54" s="257">
        <v>0</v>
      </c>
      <c r="Q54" s="258">
        <v>0</v>
      </c>
    </row>
    <row r="55" spans="1:17">
      <c r="A55" s="256">
        <v>1</v>
      </c>
      <c r="B55" s="256">
        <v>4811417</v>
      </c>
      <c r="C55" s="256">
        <v>481141700</v>
      </c>
      <c r="D55" s="256" t="s">
        <v>686</v>
      </c>
      <c r="E55" s="256" t="s">
        <v>687</v>
      </c>
      <c r="F55" s="256" t="s">
        <v>700</v>
      </c>
      <c r="G55" s="256" t="s">
        <v>703</v>
      </c>
      <c r="H55" s="256"/>
      <c r="I55" s="257">
        <v>1409733</v>
      </c>
      <c r="J55" s="257">
        <v>0</v>
      </c>
      <c r="K55" s="257">
        <v>0</v>
      </c>
      <c r="L55" s="257">
        <v>0</v>
      </c>
      <c r="M55" s="257">
        <v>0</v>
      </c>
      <c r="N55" s="257">
        <v>1409733</v>
      </c>
      <c r="O55" s="257">
        <v>0</v>
      </c>
      <c r="P55" s="257">
        <v>0</v>
      </c>
      <c r="Q55" s="258">
        <v>0</v>
      </c>
    </row>
    <row r="56" spans="1:17">
      <c r="A56" s="256">
        <v>1</v>
      </c>
      <c r="B56" s="256">
        <v>4811418</v>
      </c>
      <c r="C56" s="256">
        <v>481141800</v>
      </c>
      <c r="D56" s="256" t="s">
        <v>686</v>
      </c>
      <c r="E56" s="256" t="s">
        <v>687</v>
      </c>
      <c r="F56" s="256" t="s">
        <v>700</v>
      </c>
      <c r="G56" s="256" t="s">
        <v>64</v>
      </c>
      <c r="H56" s="256"/>
      <c r="I56" s="257">
        <v>0</v>
      </c>
      <c r="J56" s="257">
        <v>0</v>
      </c>
      <c r="K56" s="257">
        <v>0</v>
      </c>
      <c r="L56" s="257">
        <v>0</v>
      </c>
      <c r="M56" s="257">
        <v>0</v>
      </c>
      <c r="N56" s="257">
        <v>0</v>
      </c>
      <c r="O56" s="257">
        <v>0</v>
      </c>
      <c r="P56" s="257">
        <v>0</v>
      </c>
      <c r="Q56" s="258">
        <v>0</v>
      </c>
    </row>
    <row r="57" spans="1:17">
      <c r="A57" s="256">
        <v>1</v>
      </c>
      <c r="B57" s="256">
        <v>4811419</v>
      </c>
      <c r="C57" s="256">
        <v>481141915</v>
      </c>
      <c r="D57" s="256" t="s">
        <v>686</v>
      </c>
      <c r="E57" s="256" t="s">
        <v>687</v>
      </c>
      <c r="F57" s="256" t="s">
        <v>700</v>
      </c>
      <c r="G57" s="256" t="s">
        <v>85</v>
      </c>
      <c r="H57" s="256" t="s">
        <v>704</v>
      </c>
      <c r="I57" s="257">
        <v>71970</v>
      </c>
      <c r="J57" s="257">
        <v>0</v>
      </c>
      <c r="K57" s="257">
        <v>0</v>
      </c>
      <c r="L57" s="257">
        <v>0</v>
      </c>
      <c r="M57" s="257">
        <v>0</v>
      </c>
      <c r="N57" s="257">
        <v>0</v>
      </c>
      <c r="O57" s="257">
        <v>71970</v>
      </c>
      <c r="P57" s="257">
        <v>0</v>
      </c>
      <c r="Q57" s="258">
        <v>0</v>
      </c>
    </row>
    <row r="58" spans="1:17">
      <c r="A58" s="256">
        <v>1</v>
      </c>
      <c r="B58" s="256">
        <v>4811419</v>
      </c>
      <c r="C58" s="256">
        <v>481141916</v>
      </c>
      <c r="D58" s="256" t="s">
        <v>686</v>
      </c>
      <c r="E58" s="256" t="s">
        <v>687</v>
      </c>
      <c r="F58" s="256" t="s">
        <v>700</v>
      </c>
      <c r="G58" s="256" t="s">
        <v>85</v>
      </c>
      <c r="H58" s="256" t="s">
        <v>705</v>
      </c>
      <c r="I58" s="257">
        <v>539000</v>
      </c>
      <c r="J58" s="257">
        <v>0</v>
      </c>
      <c r="K58" s="257">
        <v>0</v>
      </c>
      <c r="L58" s="257">
        <v>0</v>
      </c>
      <c r="M58" s="257">
        <v>0</v>
      </c>
      <c r="N58" s="257">
        <v>0</v>
      </c>
      <c r="O58" s="257">
        <v>539000</v>
      </c>
      <c r="P58" s="257">
        <v>0</v>
      </c>
      <c r="Q58" s="258">
        <v>0</v>
      </c>
    </row>
    <row r="59" spans="1:17">
      <c r="A59" s="256">
        <v>1</v>
      </c>
      <c r="B59" s="256">
        <v>4811419</v>
      </c>
      <c r="C59" s="256">
        <v>481141917</v>
      </c>
      <c r="D59" s="256" t="s">
        <v>686</v>
      </c>
      <c r="E59" s="256" t="s">
        <v>687</v>
      </c>
      <c r="F59" s="256" t="s">
        <v>700</v>
      </c>
      <c r="G59" s="256" t="s">
        <v>85</v>
      </c>
      <c r="H59" s="256" t="s">
        <v>706</v>
      </c>
      <c r="I59" s="257">
        <v>0</v>
      </c>
      <c r="J59" s="257">
        <v>0</v>
      </c>
      <c r="K59" s="257">
        <v>0</v>
      </c>
      <c r="L59" s="257">
        <v>0</v>
      </c>
      <c r="M59" s="257">
        <v>0</v>
      </c>
      <c r="N59" s="257">
        <v>0</v>
      </c>
      <c r="O59" s="257">
        <v>0</v>
      </c>
      <c r="P59" s="257">
        <v>0</v>
      </c>
      <c r="Q59" s="258">
        <v>0</v>
      </c>
    </row>
    <row r="60" spans="1:17">
      <c r="A60" s="256">
        <v>1</v>
      </c>
      <c r="B60" s="256">
        <v>4811420</v>
      </c>
      <c r="C60" s="256">
        <v>481142000</v>
      </c>
      <c r="D60" s="256" t="s">
        <v>686</v>
      </c>
      <c r="E60" s="256" t="s">
        <v>687</v>
      </c>
      <c r="F60" s="256" t="s">
        <v>700</v>
      </c>
      <c r="G60" s="256" t="s">
        <v>707</v>
      </c>
      <c r="H60" s="256"/>
      <c r="I60" s="257">
        <v>0</v>
      </c>
      <c r="J60" s="257">
        <v>0</v>
      </c>
      <c r="K60" s="257">
        <v>0</v>
      </c>
      <c r="L60" s="257">
        <v>0</v>
      </c>
      <c r="M60" s="257">
        <v>0</v>
      </c>
      <c r="N60" s="257">
        <v>0</v>
      </c>
      <c r="O60" s="257">
        <v>0</v>
      </c>
      <c r="P60" s="257">
        <v>0</v>
      </c>
      <c r="Q60" s="258">
        <v>0</v>
      </c>
    </row>
    <row r="61" spans="1:17">
      <c r="A61" s="256">
        <v>1</v>
      </c>
      <c r="B61" s="256">
        <v>4820221</v>
      </c>
      <c r="C61" s="256">
        <v>482022100</v>
      </c>
      <c r="D61" s="256" t="s">
        <v>686</v>
      </c>
      <c r="E61" s="256" t="s">
        <v>708</v>
      </c>
      <c r="F61" s="256" t="s">
        <v>709</v>
      </c>
      <c r="G61" s="256" t="s">
        <v>710</v>
      </c>
      <c r="H61" s="256"/>
      <c r="I61" s="257">
        <v>88770</v>
      </c>
      <c r="J61" s="257">
        <v>0</v>
      </c>
      <c r="K61" s="257">
        <v>0</v>
      </c>
      <c r="L61" s="257">
        <v>0</v>
      </c>
      <c r="M61" s="257">
        <v>0</v>
      </c>
      <c r="N61" s="257">
        <v>0</v>
      </c>
      <c r="O61" s="257">
        <v>88770</v>
      </c>
      <c r="P61" s="257">
        <v>0</v>
      </c>
      <c r="Q61" s="258">
        <v>0</v>
      </c>
    </row>
    <row r="62" spans="1:17">
      <c r="A62" s="256">
        <v>1</v>
      </c>
      <c r="B62" s="256">
        <v>4820222</v>
      </c>
      <c r="C62" s="256">
        <v>482022200</v>
      </c>
      <c r="D62" s="256" t="s">
        <v>686</v>
      </c>
      <c r="E62" s="256" t="s">
        <v>708</v>
      </c>
      <c r="F62" s="256" t="s">
        <v>709</v>
      </c>
      <c r="G62" s="256" t="s">
        <v>711</v>
      </c>
      <c r="H62" s="256"/>
      <c r="I62" s="257">
        <v>0</v>
      </c>
      <c r="J62" s="257">
        <v>0</v>
      </c>
      <c r="K62" s="257">
        <v>0</v>
      </c>
      <c r="L62" s="257">
        <v>0</v>
      </c>
      <c r="M62" s="257">
        <v>0</v>
      </c>
      <c r="N62" s="257">
        <v>0</v>
      </c>
      <c r="O62" s="257">
        <v>0</v>
      </c>
      <c r="P62" s="257">
        <v>0</v>
      </c>
      <c r="Q62" s="258">
        <v>0</v>
      </c>
    </row>
    <row r="63" spans="1:17">
      <c r="A63" s="256">
        <v>1</v>
      </c>
      <c r="B63" s="256">
        <v>4820224</v>
      </c>
      <c r="C63" s="256">
        <v>482022400</v>
      </c>
      <c r="D63" s="256" t="s">
        <v>686</v>
      </c>
      <c r="E63" s="256" t="s">
        <v>708</v>
      </c>
      <c r="F63" s="256" t="s">
        <v>709</v>
      </c>
      <c r="G63" s="256" t="s">
        <v>712</v>
      </c>
      <c r="H63" s="256"/>
      <c r="I63" s="257">
        <v>0</v>
      </c>
      <c r="J63" s="257">
        <v>0</v>
      </c>
      <c r="K63" s="257">
        <v>0</v>
      </c>
      <c r="L63" s="257">
        <v>0</v>
      </c>
      <c r="M63" s="257">
        <v>0</v>
      </c>
      <c r="N63" s="257">
        <v>0</v>
      </c>
      <c r="O63" s="257">
        <v>0</v>
      </c>
      <c r="P63" s="257">
        <v>0</v>
      </c>
      <c r="Q63" s="258">
        <v>0</v>
      </c>
    </row>
    <row r="64" spans="1:17">
      <c r="A64" s="256">
        <v>1</v>
      </c>
      <c r="B64" s="256">
        <v>4820427</v>
      </c>
      <c r="C64" s="256">
        <v>482042700</v>
      </c>
      <c r="D64" s="256" t="s">
        <v>686</v>
      </c>
      <c r="E64" s="256" t="s">
        <v>708</v>
      </c>
      <c r="F64" s="256" t="s">
        <v>655</v>
      </c>
      <c r="G64" s="256" t="s">
        <v>713</v>
      </c>
      <c r="H64" s="256"/>
      <c r="I64" s="257">
        <v>0</v>
      </c>
      <c r="J64" s="257">
        <v>0</v>
      </c>
      <c r="K64" s="257">
        <v>0</v>
      </c>
      <c r="L64" s="257">
        <v>0</v>
      </c>
      <c r="M64" s="257">
        <v>0</v>
      </c>
      <c r="N64" s="257">
        <v>0</v>
      </c>
      <c r="O64" s="257">
        <v>0</v>
      </c>
      <c r="P64" s="257">
        <v>0</v>
      </c>
      <c r="Q64" s="258">
        <v>0</v>
      </c>
    </row>
    <row r="65" spans="1:17">
      <c r="A65" s="256">
        <v>1</v>
      </c>
      <c r="B65" s="256">
        <v>4820428</v>
      </c>
      <c r="C65" s="256">
        <v>482042800</v>
      </c>
      <c r="D65" s="256" t="s">
        <v>686</v>
      </c>
      <c r="E65" s="256" t="s">
        <v>708</v>
      </c>
      <c r="F65" s="256" t="s">
        <v>655</v>
      </c>
      <c r="G65" s="256" t="s">
        <v>714</v>
      </c>
      <c r="H65" s="256"/>
      <c r="I65" s="257">
        <v>0</v>
      </c>
      <c r="J65" s="257">
        <v>0</v>
      </c>
      <c r="K65" s="257">
        <v>0</v>
      </c>
      <c r="L65" s="257">
        <v>0</v>
      </c>
      <c r="M65" s="257">
        <v>0</v>
      </c>
      <c r="N65" s="257">
        <v>0</v>
      </c>
      <c r="O65" s="257">
        <v>0</v>
      </c>
      <c r="P65" s="257">
        <v>0</v>
      </c>
      <c r="Q65" s="258">
        <v>0</v>
      </c>
    </row>
    <row r="66" spans="1:17">
      <c r="A66" s="256">
        <v>1</v>
      </c>
      <c r="B66" s="256">
        <v>4820429</v>
      </c>
      <c r="C66" s="256">
        <v>482042900</v>
      </c>
      <c r="D66" s="256" t="s">
        <v>686</v>
      </c>
      <c r="E66" s="256" t="s">
        <v>708</v>
      </c>
      <c r="F66" s="256" t="s">
        <v>655</v>
      </c>
      <c r="G66" s="256" t="s">
        <v>658</v>
      </c>
      <c r="H66" s="256"/>
      <c r="I66" s="257">
        <v>0</v>
      </c>
      <c r="J66" s="257">
        <v>0</v>
      </c>
      <c r="K66" s="257">
        <v>0</v>
      </c>
      <c r="L66" s="257">
        <v>0</v>
      </c>
      <c r="M66" s="257">
        <v>0</v>
      </c>
      <c r="N66" s="257">
        <v>0</v>
      </c>
      <c r="O66" s="257">
        <v>0</v>
      </c>
      <c r="P66" s="257">
        <v>0</v>
      </c>
      <c r="Q66" s="258">
        <v>0</v>
      </c>
    </row>
    <row r="67" spans="1:17">
      <c r="A67" s="256">
        <v>1</v>
      </c>
      <c r="B67" s="256">
        <v>4820501</v>
      </c>
      <c r="C67" s="256">
        <v>482050100</v>
      </c>
      <c r="D67" s="256" t="s">
        <v>686</v>
      </c>
      <c r="E67" s="256" t="s">
        <v>708</v>
      </c>
      <c r="F67" s="256" t="s">
        <v>715</v>
      </c>
      <c r="G67" s="256" t="s">
        <v>715</v>
      </c>
      <c r="H67" s="256"/>
      <c r="I67" s="257">
        <v>0</v>
      </c>
      <c r="J67" s="257">
        <v>0</v>
      </c>
      <c r="K67" s="257">
        <v>0</v>
      </c>
      <c r="L67" s="257">
        <v>0</v>
      </c>
      <c r="M67" s="257">
        <v>0</v>
      </c>
      <c r="N67" s="257">
        <v>0</v>
      </c>
      <c r="O67" s="257">
        <v>0</v>
      </c>
      <c r="P67" s="257">
        <v>0</v>
      </c>
      <c r="Q67" s="258">
        <v>0</v>
      </c>
    </row>
    <row r="68" spans="1:17">
      <c r="A68" s="256">
        <v>1</v>
      </c>
      <c r="B68" s="256">
        <v>4820630</v>
      </c>
      <c r="C68" s="256">
        <v>482063000</v>
      </c>
      <c r="D68" s="256" t="s">
        <v>686</v>
      </c>
      <c r="E68" s="256" t="s">
        <v>708</v>
      </c>
      <c r="F68" s="256" t="s">
        <v>659</v>
      </c>
      <c r="G68" s="256" t="s">
        <v>659</v>
      </c>
      <c r="H68" s="256"/>
      <c r="I68" s="257">
        <v>0</v>
      </c>
      <c r="J68" s="257">
        <v>0</v>
      </c>
      <c r="K68" s="257">
        <v>0</v>
      </c>
      <c r="L68" s="257">
        <v>0</v>
      </c>
      <c r="M68" s="257">
        <v>0</v>
      </c>
      <c r="N68" s="257">
        <v>0</v>
      </c>
      <c r="O68" s="257">
        <v>0</v>
      </c>
      <c r="P68" s="257">
        <v>0</v>
      </c>
      <c r="Q68" s="258">
        <v>0</v>
      </c>
    </row>
    <row r="69" spans="1:17">
      <c r="A69" s="256">
        <v>1</v>
      </c>
      <c r="B69" s="256">
        <v>4820831</v>
      </c>
      <c r="C69" s="256">
        <v>482083100</v>
      </c>
      <c r="D69" s="256" t="s">
        <v>686</v>
      </c>
      <c r="E69" s="256" t="s">
        <v>708</v>
      </c>
      <c r="F69" s="256" t="s">
        <v>660</v>
      </c>
      <c r="G69" s="256" t="s">
        <v>660</v>
      </c>
      <c r="H69" s="256"/>
      <c r="I69" s="257">
        <v>0</v>
      </c>
      <c r="J69" s="257">
        <v>0</v>
      </c>
      <c r="K69" s="257">
        <v>0</v>
      </c>
      <c r="L69" s="257">
        <v>0</v>
      </c>
      <c r="M69" s="257">
        <v>0</v>
      </c>
      <c r="N69" s="257">
        <v>0</v>
      </c>
      <c r="O69" s="257">
        <v>0</v>
      </c>
      <c r="P69" s="257">
        <v>0</v>
      </c>
      <c r="Q69" s="258">
        <v>0</v>
      </c>
    </row>
    <row r="70" spans="1:17">
      <c r="A70" s="256">
        <v>1</v>
      </c>
      <c r="B70" s="256">
        <v>4820932</v>
      </c>
      <c r="C70" s="256">
        <v>482093200</v>
      </c>
      <c r="D70" s="256" t="s">
        <v>686</v>
      </c>
      <c r="E70" s="256" t="s">
        <v>708</v>
      </c>
      <c r="F70" s="256" t="s">
        <v>663</v>
      </c>
      <c r="G70" s="256" t="s">
        <v>716</v>
      </c>
      <c r="H70" s="256"/>
      <c r="I70" s="257">
        <v>37016600</v>
      </c>
      <c r="J70" s="257">
        <v>0</v>
      </c>
      <c r="K70" s="257">
        <v>0</v>
      </c>
      <c r="L70" s="257">
        <v>0</v>
      </c>
      <c r="M70" s="257">
        <v>0</v>
      </c>
      <c r="N70" s="257">
        <v>37016600</v>
      </c>
      <c r="O70" s="257">
        <v>0</v>
      </c>
      <c r="P70" s="257">
        <v>0</v>
      </c>
      <c r="Q70" s="258">
        <v>0</v>
      </c>
    </row>
    <row r="71" spans="1:17">
      <c r="A71" s="256">
        <v>1</v>
      </c>
      <c r="B71" s="256">
        <v>4820933</v>
      </c>
      <c r="C71" s="256">
        <v>482093300</v>
      </c>
      <c r="D71" s="256" t="s">
        <v>686</v>
      </c>
      <c r="E71" s="256" t="s">
        <v>708</v>
      </c>
      <c r="F71" s="256" t="s">
        <v>663</v>
      </c>
      <c r="G71" s="256" t="s">
        <v>717</v>
      </c>
      <c r="H71" s="256"/>
      <c r="I71" s="257">
        <v>16476593</v>
      </c>
      <c r="J71" s="257">
        <v>0</v>
      </c>
      <c r="K71" s="257">
        <v>0</v>
      </c>
      <c r="L71" s="257">
        <v>0</v>
      </c>
      <c r="M71" s="257">
        <v>0</v>
      </c>
      <c r="N71" s="257">
        <v>0</v>
      </c>
      <c r="O71" s="257">
        <v>0</v>
      </c>
      <c r="P71" s="257">
        <v>16476593</v>
      </c>
      <c r="Q71" s="258">
        <v>0</v>
      </c>
    </row>
    <row r="72" spans="1:17">
      <c r="A72" s="256">
        <v>1</v>
      </c>
      <c r="B72" s="256">
        <v>4821034</v>
      </c>
      <c r="C72" s="256">
        <v>482103411</v>
      </c>
      <c r="D72" s="256" t="s">
        <v>686</v>
      </c>
      <c r="E72" s="256" t="s">
        <v>708</v>
      </c>
      <c r="F72" s="256" t="s">
        <v>661</v>
      </c>
      <c r="G72" s="256" t="s">
        <v>718</v>
      </c>
      <c r="H72" s="256" t="s">
        <v>691</v>
      </c>
      <c r="I72" s="257">
        <v>0</v>
      </c>
      <c r="J72" s="257">
        <v>0</v>
      </c>
      <c r="K72" s="257">
        <v>0</v>
      </c>
      <c r="L72" s="257">
        <v>0</v>
      </c>
      <c r="M72" s="257">
        <v>0</v>
      </c>
      <c r="N72" s="257">
        <v>0</v>
      </c>
      <c r="O72" s="257">
        <v>0</v>
      </c>
      <c r="P72" s="257">
        <v>0</v>
      </c>
      <c r="Q72" s="258">
        <v>0</v>
      </c>
    </row>
    <row r="73" spans="1:17">
      <c r="A73" s="256">
        <v>1</v>
      </c>
      <c r="B73" s="256">
        <v>4821034</v>
      </c>
      <c r="C73" s="256">
        <v>482103412</v>
      </c>
      <c r="D73" s="256" t="s">
        <v>686</v>
      </c>
      <c r="E73" s="256" t="s">
        <v>708</v>
      </c>
      <c r="F73" s="256" t="s">
        <v>661</v>
      </c>
      <c r="G73" s="256" t="s">
        <v>718</v>
      </c>
      <c r="H73" s="256" t="s">
        <v>692</v>
      </c>
      <c r="I73" s="257">
        <v>0</v>
      </c>
      <c r="J73" s="257">
        <v>0</v>
      </c>
      <c r="K73" s="257">
        <v>0</v>
      </c>
      <c r="L73" s="257">
        <v>0</v>
      </c>
      <c r="M73" s="257">
        <v>0</v>
      </c>
      <c r="N73" s="257">
        <v>0</v>
      </c>
      <c r="O73" s="257">
        <v>0</v>
      </c>
      <c r="P73" s="257">
        <v>0</v>
      </c>
      <c r="Q73" s="258">
        <v>0</v>
      </c>
    </row>
    <row r="74" spans="1:17">
      <c r="A74" s="256">
        <v>1</v>
      </c>
      <c r="B74" s="256">
        <v>4821034</v>
      </c>
      <c r="C74" s="256">
        <v>482103413</v>
      </c>
      <c r="D74" s="256" t="s">
        <v>686</v>
      </c>
      <c r="E74" s="256" t="s">
        <v>708</v>
      </c>
      <c r="F74" s="256" t="s">
        <v>661</v>
      </c>
      <c r="G74" s="256" t="s">
        <v>718</v>
      </c>
      <c r="H74" s="256" t="s">
        <v>693</v>
      </c>
      <c r="I74" s="257">
        <v>0</v>
      </c>
      <c r="J74" s="257">
        <v>0</v>
      </c>
      <c r="K74" s="257">
        <v>0</v>
      </c>
      <c r="L74" s="257">
        <v>0</v>
      </c>
      <c r="M74" s="257">
        <v>0</v>
      </c>
      <c r="N74" s="257">
        <v>0</v>
      </c>
      <c r="O74" s="257">
        <v>0</v>
      </c>
      <c r="P74" s="257">
        <v>0</v>
      </c>
      <c r="Q74" s="258">
        <v>0</v>
      </c>
    </row>
    <row r="75" spans="1:17">
      <c r="A75" s="256">
        <v>1</v>
      </c>
      <c r="B75" s="256">
        <v>4821034</v>
      </c>
      <c r="C75" s="256">
        <v>482103414</v>
      </c>
      <c r="D75" s="256" t="s">
        <v>686</v>
      </c>
      <c r="E75" s="256" t="s">
        <v>708</v>
      </c>
      <c r="F75" s="256" t="s">
        <v>661</v>
      </c>
      <c r="G75" s="256" t="s">
        <v>718</v>
      </c>
      <c r="H75" s="256" t="s">
        <v>719</v>
      </c>
      <c r="I75" s="257">
        <v>0</v>
      </c>
      <c r="J75" s="257">
        <v>0</v>
      </c>
      <c r="K75" s="257">
        <v>0</v>
      </c>
      <c r="L75" s="257">
        <v>0</v>
      </c>
      <c r="M75" s="257">
        <v>0</v>
      </c>
      <c r="N75" s="257">
        <v>0</v>
      </c>
      <c r="O75" s="257">
        <v>0</v>
      </c>
      <c r="P75" s="257">
        <v>0</v>
      </c>
      <c r="Q75" s="258">
        <v>0</v>
      </c>
    </row>
    <row r="76" spans="1:17">
      <c r="A76" s="256">
        <v>1</v>
      </c>
      <c r="B76" s="256">
        <v>4821035</v>
      </c>
      <c r="C76" s="256">
        <v>482103500</v>
      </c>
      <c r="D76" s="256" t="s">
        <v>686</v>
      </c>
      <c r="E76" s="256" t="s">
        <v>708</v>
      </c>
      <c r="F76" s="256" t="s">
        <v>661</v>
      </c>
      <c r="G76" s="256" t="s">
        <v>720</v>
      </c>
      <c r="H76" s="256"/>
      <c r="I76" s="257">
        <v>0</v>
      </c>
      <c r="J76" s="257">
        <v>0</v>
      </c>
      <c r="K76" s="257">
        <v>0</v>
      </c>
      <c r="L76" s="257">
        <v>0</v>
      </c>
      <c r="M76" s="257">
        <v>0</v>
      </c>
      <c r="N76" s="257">
        <v>0</v>
      </c>
      <c r="O76" s="257">
        <v>0</v>
      </c>
      <c r="P76" s="257">
        <v>0</v>
      </c>
      <c r="Q76" s="258">
        <v>0</v>
      </c>
    </row>
    <row r="77" spans="1:17">
      <c r="A77" s="256">
        <v>1</v>
      </c>
      <c r="B77" s="256">
        <v>4821040</v>
      </c>
      <c r="C77" s="256">
        <v>482104000</v>
      </c>
      <c r="D77" s="256" t="s">
        <v>686</v>
      </c>
      <c r="E77" s="256" t="s">
        <v>708</v>
      </c>
      <c r="F77" s="256" t="s">
        <v>661</v>
      </c>
      <c r="G77" s="256" t="s">
        <v>721</v>
      </c>
      <c r="H77" s="256"/>
      <c r="I77" s="257">
        <v>0</v>
      </c>
      <c r="J77" s="257">
        <v>0</v>
      </c>
      <c r="K77" s="257">
        <v>0</v>
      </c>
      <c r="L77" s="257">
        <v>0</v>
      </c>
      <c r="M77" s="257">
        <v>0</v>
      </c>
      <c r="N77" s="257">
        <v>0</v>
      </c>
      <c r="O77" s="257">
        <v>0</v>
      </c>
      <c r="P77" s="257">
        <v>0</v>
      </c>
      <c r="Q77" s="258">
        <v>0</v>
      </c>
    </row>
    <row r="78" spans="1:17">
      <c r="A78" s="256">
        <v>1</v>
      </c>
      <c r="B78" s="256">
        <v>4821137</v>
      </c>
      <c r="C78" s="256">
        <v>482113700</v>
      </c>
      <c r="D78" s="256" t="s">
        <v>686</v>
      </c>
      <c r="E78" s="256" t="s">
        <v>708</v>
      </c>
      <c r="F78" s="256" t="s">
        <v>685</v>
      </c>
      <c r="G78" s="256" t="s">
        <v>685</v>
      </c>
      <c r="H78" s="256"/>
      <c r="I78" s="257">
        <v>0</v>
      </c>
      <c r="J78" s="257">
        <v>0</v>
      </c>
      <c r="K78" s="257">
        <v>0</v>
      </c>
      <c r="L78" s="257">
        <v>0</v>
      </c>
      <c r="M78" s="257">
        <v>0</v>
      </c>
      <c r="N78" s="257">
        <v>0</v>
      </c>
      <c r="O78" s="257">
        <v>0</v>
      </c>
      <c r="P78" s="257">
        <v>0</v>
      </c>
      <c r="Q78" s="258">
        <v>0</v>
      </c>
    </row>
    <row r="79" spans="1:17">
      <c r="A79" s="256">
        <v>1</v>
      </c>
      <c r="B79" s="256">
        <v>4821236</v>
      </c>
      <c r="C79" s="256">
        <v>482123600</v>
      </c>
      <c r="D79" s="256" t="s">
        <v>686</v>
      </c>
      <c r="E79" s="256" t="s">
        <v>708</v>
      </c>
      <c r="F79" s="256" t="s">
        <v>707</v>
      </c>
      <c r="G79" s="256" t="s">
        <v>722</v>
      </c>
      <c r="H79" s="256"/>
      <c r="I79" s="257">
        <v>408100</v>
      </c>
      <c r="J79" s="257">
        <v>0</v>
      </c>
      <c r="K79" s="257">
        <v>0</v>
      </c>
      <c r="L79" s="257">
        <v>0</v>
      </c>
      <c r="M79" s="257">
        <v>0</v>
      </c>
      <c r="N79" s="257">
        <v>408100</v>
      </c>
      <c r="O79" s="257">
        <v>0</v>
      </c>
      <c r="P79" s="257">
        <v>0</v>
      </c>
      <c r="Q79" s="258">
        <v>0</v>
      </c>
    </row>
    <row r="80" spans="1:17">
      <c r="A80" s="256">
        <v>1</v>
      </c>
      <c r="B80" s="256">
        <v>4821240</v>
      </c>
      <c r="C80" s="256">
        <v>482124000</v>
      </c>
      <c r="D80" s="256" t="s">
        <v>686</v>
      </c>
      <c r="E80" s="256" t="s">
        <v>708</v>
      </c>
      <c r="F80" s="256" t="s">
        <v>707</v>
      </c>
      <c r="G80" s="256" t="s">
        <v>723</v>
      </c>
      <c r="H80" s="256"/>
      <c r="I80" s="257">
        <v>35949984</v>
      </c>
      <c r="J80" s="257">
        <v>0</v>
      </c>
      <c r="K80" s="257">
        <v>0</v>
      </c>
      <c r="L80" s="257">
        <v>0</v>
      </c>
      <c r="M80" s="257">
        <v>0</v>
      </c>
      <c r="N80" s="257">
        <v>12905830</v>
      </c>
      <c r="O80" s="257">
        <v>21841940</v>
      </c>
      <c r="P80" s="257">
        <v>1202214</v>
      </c>
      <c r="Q80" s="258">
        <v>0</v>
      </c>
    </row>
    <row r="81" spans="1:19">
      <c r="A81" s="256">
        <v>1</v>
      </c>
      <c r="B81" s="256">
        <v>4821301</v>
      </c>
      <c r="C81" s="256">
        <v>482130103</v>
      </c>
      <c r="D81" s="256" t="s">
        <v>686</v>
      </c>
      <c r="E81" s="256" t="s">
        <v>708</v>
      </c>
      <c r="F81" s="256" t="s">
        <v>724</v>
      </c>
      <c r="G81" s="256" t="s">
        <v>724</v>
      </c>
      <c r="H81" s="256" t="s">
        <v>725</v>
      </c>
      <c r="I81" s="257">
        <v>1393301969</v>
      </c>
      <c r="J81" s="257">
        <v>0</v>
      </c>
      <c r="K81" s="257">
        <v>0</v>
      </c>
      <c r="L81" s="257">
        <v>0</v>
      </c>
      <c r="M81" s="257">
        <v>0</v>
      </c>
      <c r="N81" s="257">
        <v>0</v>
      </c>
      <c r="O81" s="257">
        <v>0</v>
      </c>
      <c r="P81" s="257">
        <v>1393301969</v>
      </c>
      <c r="Q81" s="258">
        <v>0</v>
      </c>
    </row>
    <row r="82" spans="1:19">
      <c r="A82" s="256">
        <v>1</v>
      </c>
      <c r="B82" s="256">
        <v>4821301</v>
      </c>
      <c r="C82" s="256">
        <v>482130104</v>
      </c>
      <c r="D82" s="256" t="s">
        <v>686</v>
      </c>
      <c r="E82" s="256" t="s">
        <v>708</v>
      </c>
      <c r="F82" s="256" t="s">
        <v>724</v>
      </c>
      <c r="G82" s="256" t="s">
        <v>724</v>
      </c>
      <c r="H82" s="256" t="s">
        <v>655</v>
      </c>
      <c r="I82" s="290">
        <v>6705381537</v>
      </c>
      <c r="J82" s="257">
        <v>0</v>
      </c>
      <c r="K82" s="257">
        <v>0</v>
      </c>
      <c r="L82" s="257">
        <v>0</v>
      </c>
      <c r="M82" s="257">
        <v>0</v>
      </c>
      <c r="N82" s="257">
        <v>0</v>
      </c>
      <c r="O82" s="257">
        <v>0</v>
      </c>
      <c r="P82" s="290">
        <v>6705381537</v>
      </c>
      <c r="Q82" s="258">
        <v>0</v>
      </c>
      <c r="S82" s="259" t="s">
        <v>876</v>
      </c>
    </row>
    <row r="83" spans="1:19">
      <c r="A83" s="256">
        <v>1</v>
      </c>
      <c r="B83" s="256">
        <v>4821301</v>
      </c>
      <c r="C83" s="256">
        <v>482130106</v>
      </c>
      <c r="D83" s="256" t="s">
        <v>686</v>
      </c>
      <c r="E83" s="256" t="s">
        <v>708</v>
      </c>
      <c r="F83" s="256" t="s">
        <v>724</v>
      </c>
      <c r="G83" s="256" t="s">
        <v>724</v>
      </c>
      <c r="H83" s="256" t="s">
        <v>664</v>
      </c>
      <c r="I83" s="257">
        <v>193254317</v>
      </c>
      <c r="J83" s="257">
        <v>0</v>
      </c>
      <c r="K83" s="257">
        <v>0</v>
      </c>
      <c r="L83" s="257">
        <v>0</v>
      </c>
      <c r="M83" s="257">
        <v>0</v>
      </c>
      <c r="N83" s="257">
        <v>0</v>
      </c>
      <c r="O83" s="257">
        <v>0</v>
      </c>
      <c r="P83" s="257">
        <v>193254317</v>
      </c>
      <c r="Q83" s="258">
        <v>0</v>
      </c>
    </row>
    <row r="84" spans="1:19">
      <c r="A84" s="256">
        <v>1</v>
      </c>
      <c r="B84" s="256">
        <v>4821301</v>
      </c>
      <c r="C84" s="256">
        <v>482130108</v>
      </c>
      <c r="D84" s="256" t="s">
        <v>686</v>
      </c>
      <c r="E84" s="256" t="s">
        <v>708</v>
      </c>
      <c r="F84" s="256" t="s">
        <v>724</v>
      </c>
      <c r="G84" s="256" t="s">
        <v>724</v>
      </c>
      <c r="H84" s="256" t="s">
        <v>665</v>
      </c>
      <c r="I84" s="257">
        <v>841304822</v>
      </c>
      <c r="J84" s="257">
        <v>0</v>
      </c>
      <c r="K84" s="257">
        <v>0</v>
      </c>
      <c r="L84" s="257">
        <v>0</v>
      </c>
      <c r="M84" s="257">
        <v>0</v>
      </c>
      <c r="N84" s="257">
        <v>0</v>
      </c>
      <c r="O84" s="257">
        <v>0</v>
      </c>
      <c r="P84" s="257">
        <v>841304822</v>
      </c>
      <c r="Q84" s="258">
        <v>0</v>
      </c>
    </row>
    <row r="85" spans="1:19">
      <c r="A85" s="256">
        <v>1</v>
      </c>
      <c r="B85" s="256">
        <v>4821301</v>
      </c>
      <c r="C85" s="256">
        <v>482130110</v>
      </c>
      <c r="D85" s="256" t="s">
        <v>686</v>
      </c>
      <c r="E85" s="256" t="s">
        <v>708</v>
      </c>
      <c r="F85" s="256" t="s">
        <v>724</v>
      </c>
      <c r="G85" s="256" t="s">
        <v>724</v>
      </c>
      <c r="H85" s="256" t="s">
        <v>661</v>
      </c>
      <c r="I85" s="257">
        <v>0</v>
      </c>
      <c r="J85" s="257">
        <v>0</v>
      </c>
      <c r="K85" s="257">
        <v>0</v>
      </c>
      <c r="L85" s="257">
        <v>0</v>
      </c>
      <c r="M85" s="257">
        <v>0</v>
      </c>
      <c r="N85" s="257">
        <v>0</v>
      </c>
      <c r="O85" s="257">
        <v>0</v>
      </c>
      <c r="P85" s="257">
        <v>0</v>
      </c>
      <c r="Q85" s="258">
        <v>0</v>
      </c>
    </row>
    <row r="86" spans="1:19">
      <c r="A86" s="256">
        <v>1</v>
      </c>
      <c r="B86" s="256">
        <v>4821301</v>
      </c>
      <c r="C86" s="256">
        <v>482130120</v>
      </c>
      <c r="D86" s="256" t="s">
        <v>686</v>
      </c>
      <c r="E86" s="256" t="s">
        <v>708</v>
      </c>
      <c r="F86" s="256" t="s">
        <v>724</v>
      </c>
      <c r="G86" s="256" t="s">
        <v>724</v>
      </c>
      <c r="H86" s="256" t="s">
        <v>726</v>
      </c>
      <c r="I86" s="257">
        <v>4429743</v>
      </c>
      <c r="J86" s="257">
        <v>0</v>
      </c>
      <c r="K86" s="257">
        <v>0</v>
      </c>
      <c r="L86" s="257">
        <v>0</v>
      </c>
      <c r="M86" s="257">
        <v>0</v>
      </c>
      <c r="N86" s="257">
        <v>0</v>
      </c>
      <c r="O86" s="257">
        <v>0</v>
      </c>
      <c r="P86" s="257">
        <v>4429743</v>
      </c>
      <c r="Q86" s="258">
        <v>0</v>
      </c>
    </row>
    <row r="87" spans="1:19">
      <c r="A87" s="256">
        <v>1</v>
      </c>
      <c r="B87" s="256">
        <v>4830202</v>
      </c>
      <c r="C87" s="256">
        <v>483020200</v>
      </c>
      <c r="D87" s="256" t="s">
        <v>686</v>
      </c>
      <c r="E87" s="256" t="s">
        <v>727</v>
      </c>
      <c r="F87" s="256" t="s">
        <v>728</v>
      </c>
      <c r="G87" s="256" t="s">
        <v>728</v>
      </c>
      <c r="H87" s="256"/>
      <c r="I87" s="257">
        <v>0</v>
      </c>
      <c r="J87" s="257">
        <v>0</v>
      </c>
      <c r="K87" s="257">
        <v>0</v>
      </c>
      <c r="L87" s="257">
        <v>0</v>
      </c>
      <c r="M87" s="257">
        <v>0</v>
      </c>
      <c r="N87" s="257">
        <v>0</v>
      </c>
      <c r="O87" s="257">
        <v>0</v>
      </c>
      <c r="P87" s="257">
        <v>0</v>
      </c>
      <c r="Q87" s="258">
        <v>0</v>
      </c>
    </row>
    <row r="88" spans="1:19">
      <c r="A88" s="256">
        <v>1</v>
      </c>
      <c r="B88" s="256">
        <v>4830404</v>
      </c>
      <c r="C88" s="256">
        <v>483040400</v>
      </c>
      <c r="D88" s="256" t="s">
        <v>686</v>
      </c>
      <c r="E88" s="256" t="s">
        <v>727</v>
      </c>
      <c r="F88" s="256" t="s">
        <v>729</v>
      </c>
      <c r="G88" s="256" t="s">
        <v>729</v>
      </c>
      <c r="H88" s="256"/>
      <c r="I88" s="257">
        <v>2710875</v>
      </c>
      <c r="J88" s="257">
        <v>0</v>
      </c>
      <c r="K88" s="257">
        <v>0</v>
      </c>
      <c r="L88" s="257">
        <v>36536</v>
      </c>
      <c r="M88" s="257">
        <v>0</v>
      </c>
      <c r="N88" s="257">
        <v>1518254</v>
      </c>
      <c r="O88" s="257">
        <v>910</v>
      </c>
      <c r="P88" s="257">
        <v>1155175</v>
      </c>
      <c r="Q88" s="258">
        <v>0</v>
      </c>
    </row>
    <row r="89" spans="1:19">
      <c r="A89" s="256">
        <v>1</v>
      </c>
      <c r="B89" s="256">
        <v>4830606</v>
      </c>
      <c r="C89" s="256">
        <v>483060600</v>
      </c>
      <c r="D89" s="256" t="s">
        <v>686</v>
      </c>
      <c r="E89" s="256" t="s">
        <v>727</v>
      </c>
      <c r="F89" s="256" t="s">
        <v>730</v>
      </c>
      <c r="G89" s="256" t="s">
        <v>730</v>
      </c>
      <c r="H89" s="256"/>
      <c r="I89" s="257">
        <v>864807</v>
      </c>
      <c r="J89" s="257">
        <v>0</v>
      </c>
      <c r="K89" s="257">
        <v>0</v>
      </c>
      <c r="L89" s="257">
        <v>0</v>
      </c>
      <c r="M89" s="257">
        <v>0</v>
      </c>
      <c r="N89" s="257">
        <v>0</v>
      </c>
      <c r="O89" s="257">
        <v>0</v>
      </c>
      <c r="P89" s="257">
        <v>864807</v>
      </c>
      <c r="Q89" s="258">
        <v>0</v>
      </c>
    </row>
    <row r="90" spans="1:19">
      <c r="A90" s="256">
        <v>1</v>
      </c>
      <c r="B90" s="256">
        <v>4830607</v>
      </c>
      <c r="C90" s="256">
        <v>483060700</v>
      </c>
      <c r="D90" s="256" t="s">
        <v>686</v>
      </c>
      <c r="E90" s="256" t="s">
        <v>727</v>
      </c>
      <c r="F90" s="256" t="s">
        <v>730</v>
      </c>
      <c r="G90" s="256" t="s">
        <v>731</v>
      </c>
      <c r="H90" s="256"/>
      <c r="I90" s="257">
        <v>428075</v>
      </c>
      <c r="J90" s="257">
        <v>0</v>
      </c>
      <c r="K90" s="257">
        <v>0</v>
      </c>
      <c r="L90" s="257">
        <v>0</v>
      </c>
      <c r="M90" s="257">
        <v>0</v>
      </c>
      <c r="N90" s="257">
        <v>0</v>
      </c>
      <c r="O90" s="257">
        <v>0</v>
      </c>
      <c r="P90" s="257">
        <v>428075</v>
      </c>
      <c r="Q90" s="258">
        <v>0</v>
      </c>
    </row>
    <row r="91" spans="1:19">
      <c r="A91" s="256">
        <v>1</v>
      </c>
      <c r="B91" s="256">
        <v>4830608</v>
      </c>
      <c r="C91" s="256">
        <v>483060800</v>
      </c>
      <c r="D91" s="256" t="s">
        <v>686</v>
      </c>
      <c r="E91" s="256" t="s">
        <v>727</v>
      </c>
      <c r="F91" s="256" t="s">
        <v>730</v>
      </c>
      <c r="G91" s="256" t="s">
        <v>732</v>
      </c>
      <c r="H91" s="256"/>
      <c r="I91" s="257">
        <v>109000</v>
      </c>
      <c r="J91" s="257">
        <v>0</v>
      </c>
      <c r="K91" s="257">
        <v>0</v>
      </c>
      <c r="L91" s="257">
        <v>0</v>
      </c>
      <c r="M91" s="257">
        <v>0</v>
      </c>
      <c r="N91" s="257">
        <v>0</v>
      </c>
      <c r="O91" s="257">
        <v>0</v>
      </c>
      <c r="P91" s="257">
        <v>109000</v>
      </c>
      <c r="Q91" s="258">
        <v>0</v>
      </c>
    </row>
    <row r="92" spans="1:19">
      <c r="A92" s="256">
        <v>1</v>
      </c>
      <c r="B92" s="256">
        <v>4830808</v>
      </c>
      <c r="C92" s="256">
        <v>483080800</v>
      </c>
      <c r="D92" s="256" t="s">
        <v>686</v>
      </c>
      <c r="E92" s="256" t="s">
        <v>727</v>
      </c>
      <c r="F92" s="256" t="s">
        <v>733</v>
      </c>
      <c r="G92" s="256" t="s">
        <v>733</v>
      </c>
      <c r="H92" s="256"/>
      <c r="I92" s="257">
        <v>0</v>
      </c>
      <c r="J92" s="257">
        <v>0</v>
      </c>
      <c r="K92" s="257">
        <v>0</v>
      </c>
      <c r="L92" s="257">
        <v>0</v>
      </c>
      <c r="M92" s="257">
        <v>0</v>
      </c>
      <c r="N92" s="257">
        <v>0</v>
      </c>
      <c r="O92" s="257">
        <v>0</v>
      </c>
      <c r="P92" s="257">
        <v>0</v>
      </c>
      <c r="Q92" s="258">
        <v>0</v>
      </c>
    </row>
    <row r="93" spans="1:19">
      <c r="A93" s="256">
        <v>1</v>
      </c>
      <c r="B93" s="256">
        <v>6153201</v>
      </c>
      <c r="C93" s="256">
        <v>615320102</v>
      </c>
      <c r="D93" s="256" t="s">
        <v>734</v>
      </c>
      <c r="E93" s="256" t="s">
        <v>735</v>
      </c>
      <c r="F93" s="256" t="s">
        <v>736</v>
      </c>
      <c r="G93" s="256" t="s">
        <v>112</v>
      </c>
      <c r="H93" s="256" t="s">
        <v>737</v>
      </c>
      <c r="I93" s="257">
        <v>0</v>
      </c>
      <c r="J93" s="257">
        <v>0</v>
      </c>
      <c r="K93" s="257">
        <v>0</v>
      </c>
      <c r="L93" s="257">
        <v>0</v>
      </c>
      <c r="M93" s="257">
        <v>0</v>
      </c>
      <c r="N93" s="257">
        <v>0</v>
      </c>
      <c r="O93" s="257">
        <v>0</v>
      </c>
      <c r="P93" s="257">
        <v>0</v>
      </c>
      <c r="Q93" s="258">
        <v>0</v>
      </c>
    </row>
    <row r="94" spans="1:19">
      <c r="A94" s="256">
        <v>1</v>
      </c>
      <c r="B94" s="256">
        <v>6153201</v>
      </c>
      <c r="C94" s="256">
        <v>615320103</v>
      </c>
      <c r="D94" s="256" t="s">
        <v>734</v>
      </c>
      <c r="E94" s="256" t="s">
        <v>735</v>
      </c>
      <c r="F94" s="256" t="s">
        <v>736</v>
      </c>
      <c r="G94" s="256" t="s">
        <v>112</v>
      </c>
      <c r="H94" s="256" t="s">
        <v>738</v>
      </c>
      <c r="I94" s="257">
        <v>0</v>
      </c>
      <c r="J94" s="257">
        <v>0</v>
      </c>
      <c r="K94" s="257">
        <v>0</v>
      </c>
      <c r="L94" s="257">
        <v>0</v>
      </c>
      <c r="M94" s="257">
        <v>0</v>
      </c>
      <c r="N94" s="257">
        <v>0</v>
      </c>
      <c r="O94" s="257">
        <v>0</v>
      </c>
      <c r="P94" s="257">
        <v>0</v>
      </c>
      <c r="Q94" s="258">
        <v>0</v>
      </c>
    </row>
    <row r="95" spans="1:19">
      <c r="A95" s="256">
        <v>1</v>
      </c>
      <c r="B95" s="256">
        <v>6153201</v>
      </c>
      <c r="C95" s="256">
        <v>615320104</v>
      </c>
      <c r="D95" s="256" t="s">
        <v>734</v>
      </c>
      <c r="E95" s="256" t="s">
        <v>735</v>
      </c>
      <c r="F95" s="256" t="s">
        <v>736</v>
      </c>
      <c r="G95" s="256" t="s">
        <v>112</v>
      </c>
      <c r="H95" s="256" t="s">
        <v>739</v>
      </c>
      <c r="I95" s="257">
        <v>0</v>
      </c>
      <c r="J95" s="257">
        <v>0</v>
      </c>
      <c r="K95" s="257">
        <v>0</v>
      </c>
      <c r="L95" s="257">
        <v>0</v>
      </c>
      <c r="M95" s="257">
        <v>0</v>
      </c>
      <c r="N95" s="257">
        <v>0</v>
      </c>
      <c r="O95" s="257">
        <v>0</v>
      </c>
      <c r="P95" s="257">
        <v>0</v>
      </c>
      <c r="Q95" s="258">
        <v>0</v>
      </c>
    </row>
    <row r="96" spans="1:19">
      <c r="A96" s="236">
        <v>1</v>
      </c>
      <c r="B96" s="236">
        <v>6153201</v>
      </c>
      <c r="C96" s="236">
        <v>615320105</v>
      </c>
      <c r="D96" s="236" t="s">
        <v>734</v>
      </c>
      <c r="E96" s="236" t="s">
        <v>735</v>
      </c>
      <c r="F96" s="236" t="s">
        <v>736</v>
      </c>
      <c r="G96" s="236" t="s">
        <v>112</v>
      </c>
      <c r="H96" s="236" t="s">
        <v>740</v>
      </c>
      <c r="I96" s="257">
        <v>13722776</v>
      </c>
      <c r="J96" s="257">
        <v>0</v>
      </c>
      <c r="K96" s="257">
        <v>0</v>
      </c>
      <c r="L96" s="257">
        <v>0</v>
      </c>
      <c r="M96" s="257">
        <v>0</v>
      </c>
      <c r="N96" s="257">
        <v>0</v>
      </c>
      <c r="O96" s="257">
        <v>0</v>
      </c>
      <c r="P96" s="257">
        <v>13722776</v>
      </c>
      <c r="Q96" s="258">
        <v>0</v>
      </c>
    </row>
    <row r="97" spans="1:17">
      <c r="A97" s="256">
        <v>1</v>
      </c>
      <c r="B97" s="256">
        <v>6153202</v>
      </c>
      <c r="C97" s="256">
        <v>615320202</v>
      </c>
      <c r="D97" s="256" t="s">
        <v>734</v>
      </c>
      <c r="E97" s="256" t="s">
        <v>735</v>
      </c>
      <c r="F97" s="256" t="s">
        <v>736</v>
      </c>
      <c r="G97" s="256" t="s">
        <v>110</v>
      </c>
      <c r="H97" s="256" t="s">
        <v>741</v>
      </c>
      <c r="I97" s="257">
        <v>285882615</v>
      </c>
      <c r="J97" s="257">
        <v>0</v>
      </c>
      <c r="K97" s="257">
        <v>0</v>
      </c>
      <c r="L97" s="257">
        <v>0</v>
      </c>
      <c r="M97" s="257">
        <v>0</v>
      </c>
      <c r="N97" s="257">
        <v>0</v>
      </c>
      <c r="O97" s="257">
        <v>0</v>
      </c>
      <c r="P97" s="257">
        <v>285882615</v>
      </c>
      <c r="Q97" s="258">
        <v>0</v>
      </c>
    </row>
    <row r="98" spans="1:17">
      <c r="A98" s="256">
        <v>1</v>
      </c>
      <c r="B98" s="256">
        <v>6153203</v>
      </c>
      <c r="C98" s="256">
        <v>615320301</v>
      </c>
      <c r="D98" s="256" t="s">
        <v>734</v>
      </c>
      <c r="E98" s="256" t="s">
        <v>735</v>
      </c>
      <c r="F98" s="256" t="s">
        <v>736</v>
      </c>
      <c r="G98" s="256" t="s">
        <v>108</v>
      </c>
      <c r="H98" s="256" t="s">
        <v>742</v>
      </c>
      <c r="I98" s="257">
        <v>30683384</v>
      </c>
      <c r="J98" s="257">
        <v>0</v>
      </c>
      <c r="K98" s="257">
        <v>0</v>
      </c>
      <c r="L98" s="257">
        <v>0</v>
      </c>
      <c r="M98" s="257">
        <v>0</v>
      </c>
      <c r="N98" s="257">
        <v>0</v>
      </c>
      <c r="O98" s="257">
        <v>0</v>
      </c>
      <c r="P98" s="257">
        <v>30683384</v>
      </c>
      <c r="Q98" s="258">
        <v>0</v>
      </c>
    </row>
    <row r="99" spans="1:17">
      <c r="A99" s="256">
        <v>1</v>
      </c>
      <c r="B99" s="256">
        <v>6153203</v>
      </c>
      <c r="C99" s="256">
        <v>615320302</v>
      </c>
      <c r="D99" s="256" t="s">
        <v>734</v>
      </c>
      <c r="E99" s="256" t="s">
        <v>735</v>
      </c>
      <c r="F99" s="256" t="s">
        <v>736</v>
      </c>
      <c r="G99" s="256" t="s">
        <v>108</v>
      </c>
      <c r="H99" s="256" t="s">
        <v>743</v>
      </c>
      <c r="I99" s="257">
        <v>10330091</v>
      </c>
      <c r="J99" s="257">
        <v>0</v>
      </c>
      <c r="K99" s="257">
        <v>0</v>
      </c>
      <c r="L99" s="257">
        <v>0</v>
      </c>
      <c r="M99" s="257">
        <v>0</v>
      </c>
      <c r="N99" s="257">
        <v>0</v>
      </c>
      <c r="O99" s="257">
        <v>0</v>
      </c>
      <c r="P99" s="257">
        <v>10330091</v>
      </c>
      <c r="Q99" s="258">
        <v>0</v>
      </c>
    </row>
    <row r="100" spans="1:17">
      <c r="A100" s="256">
        <v>1</v>
      </c>
      <c r="B100" s="256">
        <v>6153203</v>
      </c>
      <c r="C100" s="256">
        <v>615320303</v>
      </c>
      <c r="D100" s="256" t="s">
        <v>734</v>
      </c>
      <c r="E100" s="256" t="s">
        <v>735</v>
      </c>
      <c r="F100" s="256" t="s">
        <v>736</v>
      </c>
      <c r="G100" s="256" t="s">
        <v>108</v>
      </c>
      <c r="H100" s="256" t="s">
        <v>744</v>
      </c>
      <c r="I100" s="257">
        <v>135518157</v>
      </c>
      <c r="J100" s="257">
        <v>0</v>
      </c>
      <c r="K100" s="257">
        <v>0</v>
      </c>
      <c r="L100" s="257">
        <v>0</v>
      </c>
      <c r="M100" s="257">
        <v>0</v>
      </c>
      <c r="N100" s="257">
        <v>0</v>
      </c>
      <c r="O100" s="257">
        <v>0</v>
      </c>
      <c r="P100" s="257">
        <v>135518157</v>
      </c>
      <c r="Q100" s="258">
        <v>0</v>
      </c>
    </row>
    <row r="101" spans="1:17">
      <c r="A101" s="256">
        <v>1</v>
      </c>
      <c r="B101" s="256">
        <v>6153203</v>
      </c>
      <c r="C101" s="256">
        <v>615320304</v>
      </c>
      <c r="D101" s="256" t="s">
        <v>734</v>
      </c>
      <c r="E101" s="256" t="s">
        <v>735</v>
      </c>
      <c r="F101" s="256" t="s">
        <v>736</v>
      </c>
      <c r="G101" s="256" t="s">
        <v>108</v>
      </c>
      <c r="H101" s="256" t="s">
        <v>745</v>
      </c>
      <c r="I101" s="257">
        <v>8735510</v>
      </c>
      <c r="J101" s="257">
        <v>0</v>
      </c>
      <c r="K101" s="257">
        <v>0</v>
      </c>
      <c r="L101" s="257">
        <v>0</v>
      </c>
      <c r="M101" s="257">
        <v>0</v>
      </c>
      <c r="N101" s="257">
        <v>8735510</v>
      </c>
      <c r="O101" s="257">
        <v>0</v>
      </c>
      <c r="P101" s="257">
        <v>0</v>
      </c>
      <c r="Q101" s="258">
        <v>0</v>
      </c>
    </row>
    <row r="102" spans="1:17">
      <c r="A102" s="256">
        <v>1</v>
      </c>
      <c r="B102" s="256">
        <v>6153203</v>
      </c>
      <c r="C102" s="256">
        <v>615320305</v>
      </c>
      <c r="D102" s="256" t="s">
        <v>734</v>
      </c>
      <c r="E102" s="256" t="s">
        <v>735</v>
      </c>
      <c r="F102" s="256" t="s">
        <v>736</v>
      </c>
      <c r="G102" s="256" t="s">
        <v>108</v>
      </c>
      <c r="H102" s="256" t="s">
        <v>746</v>
      </c>
      <c r="I102" s="257">
        <v>10621200</v>
      </c>
      <c r="J102" s="257">
        <v>0</v>
      </c>
      <c r="K102" s="257">
        <v>0</v>
      </c>
      <c r="L102" s="257">
        <v>0</v>
      </c>
      <c r="M102" s="257">
        <v>0</v>
      </c>
      <c r="N102" s="257">
        <v>0</v>
      </c>
      <c r="O102" s="257">
        <v>0</v>
      </c>
      <c r="P102" s="257">
        <v>10621200</v>
      </c>
      <c r="Q102" s="258">
        <v>0</v>
      </c>
    </row>
    <row r="103" spans="1:17">
      <c r="A103" s="256">
        <v>1</v>
      </c>
      <c r="B103" s="256">
        <v>6153203</v>
      </c>
      <c r="C103" s="256">
        <v>615320306</v>
      </c>
      <c r="D103" s="256" t="s">
        <v>734</v>
      </c>
      <c r="E103" s="256" t="s">
        <v>735</v>
      </c>
      <c r="F103" s="256" t="s">
        <v>736</v>
      </c>
      <c r="G103" s="256" t="s">
        <v>108</v>
      </c>
      <c r="H103" s="256" t="s">
        <v>747</v>
      </c>
      <c r="I103" s="257">
        <v>0</v>
      </c>
      <c r="J103" s="257">
        <v>0</v>
      </c>
      <c r="K103" s="257">
        <v>0</v>
      </c>
      <c r="L103" s="257">
        <v>0</v>
      </c>
      <c r="M103" s="257">
        <v>0</v>
      </c>
      <c r="N103" s="257">
        <v>0</v>
      </c>
      <c r="O103" s="257">
        <v>0</v>
      </c>
      <c r="P103" s="257">
        <v>0</v>
      </c>
      <c r="Q103" s="258">
        <v>0</v>
      </c>
    </row>
    <row r="104" spans="1:17">
      <c r="A104" s="256">
        <v>1</v>
      </c>
      <c r="B104" s="256">
        <v>6153203</v>
      </c>
      <c r="C104" s="256">
        <v>615320307</v>
      </c>
      <c r="D104" s="256" t="s">
        <v>734</v>
      </c>
      <c r="E104" s="256" t="s">
        <v>735</v>
      </c>
      <c r="F104" s="256" t="s">
        <v>736</v>
      </c>
      <c r="G104" s="256" t="s">
        <v>108</v>
      </c>
      <c r="H104" s="256" t="s">
        <v>748</v>
      </c>
      <c r="I104" s="257">
        <v>46428</v>
      </c>
      <c r="J104" s="257">
        <v>0</v>
      </c>
      <c r="K104" s="257">
        <v>0</v>
      </c>
      <c r="L104" s="257">
        <v>0</v>
      </c>
      <c r="M104" s="257">
        <v>0</v>
      </c>
      <c r="N104" s="257">
        <v>0</v>
      </c>
      <c r="O104" s="257">
        <v>0</v>
      </c>
      <c r="P104" s="257">
        <v>46428</v>
      </c>
      <c r="Q104" s="258">
        <v>0</v>
      </c>
    </row>
    <row r="105" spans="1:17">
      <c r="A105" s="256">
        <v>1</v>
      </c>
      <c r="B105" s="256">
        <v>6153203</v>
      </c>
      <c r="C105" s="256">
        <v>615320310</v>
      </c>
      <c r="D105" s="256" t="s">
        <v>734</v>
      </c>
      <c r="E105" s="256" t="s">
        <v>735</v>
      </c>
      <c r="F105" s="256" t="s">
        <v>736</v>
      </c>
      <c r="G105" s="256" t="s">
        <v>108</v>
      </c>
      <c r="H105" s="256" t="s">
        <v>749</v>
      </c>
      <c r="I105" s="257">
        <v>45682943</v>
      </c>
      <c r="J105" s="257">
        <v>0</v>
      </c>
      <c r="K105" s="257">
        <v>0</v>
      </c>
      <c r="L105" s="257">
        <v>0</v>
      </c>
      <c r="M105" s="257">
        <v>0</v>
      </c>
      <c r="N105" s="257">
        <v>0</v>
      </c>
      <c r="O105" s="257">
        <v>0</v>
      </c>
      <c r="P105" s="257">
        <v>45682943</v>
      </c>
      <c r="Q105" s="258">
        <v>0</v>
      </c>
    </row>
    <row r="106" spans="1:17">
      <c r="A106" s="256">
        <v>1</v>
      </c>
      <c r="B106" s="256">
        <v>6153203</v>
      </c>
      <c r="C106" s="256">
        <v>615320311</v>
      </c>
      <c r="D106" s="256" t="s">
        <v>734</v>
      </c>
      <c r="E106" s="256" t="s">
        <v>735</v>
      </c>
      <c r="F106" s="256" t="s">
        <v>736</v>
      </c>
      <c r="G106" s="256" t="s">
        <v>108</v>
      </c>
      <c r="H106" s="256" t="s">
        <v>750</v>
      </c>
      <c r="I106" s="257">
        <v>0</v>
      </c>
      <c r="J106" s="257">
        <v>0</v>
      </c>
      <c r="K106" s="257">
        <v>0</v>
      </c>
      <c r="L106" s="257">
        <v>0</v>
      </c>
      <c r="M106" s="257">
        <v>0</v>
      </c>
      <c r="N106" s="257">
        <v>0</v>
      </c>
      <c r="O106" s="257">
        <v>0</v>
      </c>
      <c r="P106" s="257">
        <v>0</v>
      </c>
      <c r="Q106" s="258">
        <v>0</v>
      </c>
    </row>
    <row r="107" spans="1:17">
      <c r="A107" s="256">
        <v>1</v>
      </c>
      <c r="B107" s="256">
        <v>6153203</v>
      </c>
      <c r="C107" s="256">
        <v>615320314</v>
      </c>
      <c r="D107" s="256" t="s">
        <v>734</v>
      </c>
      <c r="E107" s="256" t="s">
        <v>735</v>
      </c>
      <c r="F107" s="256" t="s">
        <v>736</v>
      </c>
      <c r="G107" s="256" t="s">
        <v>108</v>
      </c>
      <c r="H107" s="256" t="s">
        <v>751</v>
      </c>
      <c r="I107" s="257">
        <v>7701600</v>
      </c>
      <c r="J107" s="257">
        <v>0</v>
      </c>
      <c r="K107" s="257">
        <v>0</v>
      </c>
      <c r="L107" s="257">
        <v>0</v>
      </c>
      <c r="M107" s="257">
        <v>0</v>
      </c>
      <c r="N107" s="257">
        <v>0</v>
      </c>
      <c r="O107" s="257">
        <v>0</v>
      </c>
      <c r="P107" s="257">
        <v>7701600</v>
      </c>
      <c r="Q107" s="258">
        <v>0</v>
      </c>
    </row>
    <row r="108" spans="1:17">
      <c r="A108" s="256">
        <v>1</v>
      </c>
      <c r="B108" s="256">
        <v>6153203</v>
      </c>
      <c r="C108" s="256">
        <v>615320315</v>
      </c>
      <c r="D108" s="256" t="s">
        <v>734</v>
      </c>
      <c r="E108" s="256" t="s">
        <v>735</v>
      </c>
      <c r="F108" s="256" t="s">
        <v>736</v>
      </c>
      <c r="G108" s="256" t="s">
        <v>108</v>
      </c>
      <c r="H108" s="256" t="s">
        <v>752</v>
      </c>
      <c r="I108" s="257">
        <v>4935000</v>
      </c>
      <c r="J108" s="257">
        <v>0</v>
      </c>
      <c r="K108" s="257">
        <v>0</v>
      </c>
      <c r="L108" s="257">
        <v>0</v>
      </c>
      <c r="M108" s="257">
        <v>0</v>
      </c>
      <c r="N108" s="257">
        <v>0</v>
      </c>
      <c r="O108" s="257">
        <v>0</v>
      </c>
      <c r="P108" s="257">
        <v>4935000</v>
      </c>
      <c r="Q108" s="258">
        <v>0</v>
      </c>
    </row>
    <row r="109" spans="1:17">
      <c r="A109" s="256">
        <v>1</v>
      </c>
      <c r="B109" s="256">
        <v>6153203</v>
      </c>
      <c r="C109" s="256">
        <v>615320316</v>
      </c>
      <c r="D109" s="256" t="s">
        <v>734</v>
      </c>
      <c r="E109" s="256" t="s">
        <v>735</v>
      </c>
      <c r="F109" s="256" t="s">
        <v>736</v>
      </c>
      <c r="G109" s="256" t="s">
        <v>108</v>
      </c>
      <c r="H109" s="256" t="s">
        <v>753</v>
      </c>
      <c r="I109" s="257">
        <v>0</v>
      </c>
      <c r="J109" s="257">
        <v>0</v>
      </c>
      <c r="K109" s="257">
        <v>0</v>
      </c>
      <c r="L109" s="257">
        <v>0</v>
      </c>
      <c r="M109" s="257">
        <v>0</v>
      </c>
      <c r="N109" s="257">
        <v>0</v>
      </c>
      <c r="O109" s="257">
        <v>0</v>
      </c>
      <c r="P109" s="257">
        <v>0</v>
      </c>
      <c r="Q109" s="258">
        <v>0</v>
      </c>
    </row>
    <row r="110" spans="1:17">
      <c r="A110" s="256">
        <v>1</v>
      </c>
      <c r="B110" s="256">
        <v>6153203</v>
      </c>
      <c r="C110" s="256">
        <v>615320319</v>
      </c>
      <c r="D110" s="256" t="s">
        <v>734</v>
      </c>
      <c r="E110" s="256" t="s">
        <v>735</v>
      </c>
      <c r="F110" s="256" t="s">
        <v>736</v>
      </c>
      <c r="G110" s="256" t="s">
        <v>108</v>
      </c>
      <c r="H110" s="256" t="s">
        <v>754</v>
      </c>
      <c r="I110" s="257">
        <v>0</v>
      </c>
      <c r="J110" s="257">
        <v>0</v>
      </c>
      <c r="K110" s="257">
        <v>0</v>
      </c>
      <c r="L110" s="257">
        <v>0</v>
      </c>
      <c r="M110" s="257">
        <v>0</v>
      </c>
      <c r="N110" s="257">
        <v>0</v>
      </c>
      <c r="O110" s="257">
        <v>0</v>
      </c>
      <c r="P110" s="257">
        <v>0</v>
      </c>
      <c r="Q110" s="258">
        <v>0</v>
      </c>
    </row>
    <row r="111" spans="1:17">
      <c r="A111" s="256">
        <v>1</v>
      </c>
      <c r="B111" s="256">
        <v>6153204</v>
      </c>
      <c r="C111" s="256">
        <v>615320401</v>
      </c>
      <c r="D111" s="256" t="s">
        <v>734</v>
      </c>
      <c r="E111" s="256" t="s">
        <v>735</v>
      </c>
      <c r="F111" s="256" t="s">
        <v>736</v>
      </c>
      <c r="G111" s="256" t="s">
        <v>106</v>
      </c>
      <c r="H111" s="256" t="s">
        <v>755</v>
      </c>
      <c r="I111" s="257">
        <v>77205747</v>
      </c>
      <c r="J111" s="257">
        <v>0</v>
      </c>
      <c r="K111" s="257">
        <v>0</v>
      </c>
      <c r="L111" s="257">
        <v>0</v>
      </c>
      <c r="M111" s="257">
        <v>0</v>
      </c>
      <c r="N111" s="257">
        <v>0</v>
      </c>
      <c r="O111" s="257">
        <v>77205747</v>
      </c>
      <c r="P111" s="257">
        <v>0</v>
      </c>
      <c r="Q111" s="258">
        <v>0</v>
      </c>
    </row>
    <row r="112" spans="1:17">
      <c r="A112" s="256">
        <v>1</v>
      </c>
      <c r="B112" s="256">
        <v>6153204</v>
      </c>
      <c r="C112" s="256">
        <v>615320402</v>
      </c>
      <c r="D112" s="256" t="s">
        <v>734</v>
      </c>
      <c r="E112" s="256" t="s">
        <v>735</v>
      </c>
      <c r="F112" s="256" t="s">
        <v>736</v>
      </c>
      <c r="G112" s="256" t="s">
        <v>106</v>
      </c>
      <c r="H112" s="256" t="s">
        <v>756</v>
      </c>
      <c r="I112" s="257">
        <v>444888</v>
      </c>
      <c r="J112" s="257">
        <v>0</v>
      </c>
      <c r="K112" s="257">
        <v>0</v>
      </c>
      <c r="L112" s="257">
        <v>0</v>
      </c>
      <c r="M112" s="257">
        <v>0</v>
      </c>
      <c r="N112" s="257">
        <v>0</v>
      </c>
      <c r="O112" s="257">
        <v>0</v>
      </c>
      <c r="P112" s="257">
        <v>444888</v>
      </c>
      <c r="Q112" s="258">
        <v>0</v>
      </c>
    </row>
    <row r="113" spans="1:17">
      <c r="A113" s="256">
        <v>1</v>
      </c>
      <c r="B113" s="256">
        <v>6153204</v>
      </c>
      <c r="C113" s="256">
        <v>615320403</v>
      </c>
      <c r="D113" s="256" t="s">
        <v>734</v>
      </c>
      <c r="E113" s="256" t="s">
        <v>735</v>
      </c>
      <c r="F113" s="256" t="s">
        <v>736</v>
      </c>
      <c r="G113" s="256" t="s">
        <v>106</v>
      </c>
      <c r="H113" s="256" t="s">
        <v>757</v>
      </c>
      <c r="I113" s="257">
        <v>0</v>
      </c>
      <c r="J113" s="257">
        <v>0</v>
      </c>
      <c r="K113" s="257">
        <v>0</v>
      </c>
      <c r="L113" s="257">
        <v>0</v>
      </c>
      <c r="M113" s="257">
        <v>0</v>
      </c>
      <c r="N113" s="257">
        <v>0</v>
      </c>
      <c r="O113" s="257">
        <v>0</v>
      </c>
      <c r="P113" s="257">
        <v>0</v>
      </c>
      <c r="Q113" s="258">
        <v>0</v>
      </c>
    </row>
    <row r="114" spans="1:17">
      <c r="A114" s="256">
        <v>1</v>
      </c>
      <c r="B114" s="256">
        <v>6153204</v>
      </c>
      <c r="C114" s="256">
        <v>615320405</v>
      </c>
      <c r="D114" s="256" t="s">
        <v>734</v>
      </c>
      <c r="E114" s="256" t="s">
        <v>735</v>
      </c>
      <c r="F114" s="256" t="s">
        <v>736</v>
      </c>
      <c r="G114" s="256" t="s">
        <v>106</v>
      </c>
      <c r="H114" s="256" t="s">
        <v>758</v>
      </c>
      <c r="I114" s="257">
        <v>0</v>
      </c>
      <c r="J114" s="257">
        <v>0</v>
      </c>
      <c r="K114" s="257">
        <v>0</v>
      </c>
      <c r="L114" s="257">
        <v>0</v>
      </c>
      <c r="M114" s="257">
        <v>0</v>
      </c>
      <c r="N114" s="257">
        <v>0</v>
      </c>
      <c r="O114" s="257">
        <v>0</v>
      </c>
      <c r="P114" s="257">
        <v>0</v>
      </c>
      <c r="Q114" s="258">
        <v>0</v>
      </c>
    </row>
    <row r="115" spans="1:17">
      <c r="A115" s="256">
        <v>1</v>
      </c>
      <c r="B115" s="256">
        <v>6153204</v>
      </c>
      <c r="C115" s="256">
        <v>615320406</v>
      </c>
      <c r="D115" s="256" t="s">
        <v>734</v>
      </c>
      <c r="E115" s="256" t="s">
        <v>735</v>
      </c>
      <c r="F115" s="256" t="s">
        <v>736</v>
      </c>
      <c r="G115" s="256" t="s">
        <v>106</v>
      </c>
      <c r="H115" s="256" t="s">
        <v>759</v>
      </c>
      <c r="I115" s="257">
        <v>162145</v>
      </c>
      <c r="J115" s="257">
        <v>0</v>
      </c>
      <c r="K115" s="257">
        <v>0</v>
      </c>
      <c r="L115" s="257">
        <v>0</v>
      </c>
      <c r="M115" s="257">
        <v>0</v>
      </c>
      <c r="N115" s="257">
        <v>0</v>
      </c>
      <c r="O115" s="257">
        <v>162145</v>
      </c>
      <c r="P115" s="257">
        <v>0</v>
      </c>
      <c r="Q115" s="258">
        <v>0</v>
      </c>
    </row>
    <row r="116" spans="1:17">
      <c r="A116" s="256">
        <v>1</v>
      </c>
      <c r="B116" s="256">
        <v>6153204</v>
      </c>
      <c r="C116" s="256">
        <v>615320407</v>
      </c>
      <c r="D116" s="256" t="s">
        <v>734</v>
      </c>
      <c r="E116" s="256" t="s">
        <v>735</v>
      </c>
      <c r="F116" s="256" t="s">
        <v>736</v>
      </c>
      <c r="G116" s="256" t="s">
        <v>106</v>
      </c>
      <c r="H116" s="256" t="s">
        <v>760</v>
      </c>
      <c r="I116" s="257">
        <v>1528328</v>
      </c>
      <c r="J116" s="257">
        <v>0</v>
      </c>
      <c r="K116" s="257">
        <v>0</v>
      </c>
      <c r="L116" s="257">
        <v>0</v>
      </c>
      <c r="M116" s="257">
        <v>0</v>
      </c>
      <c r="N116" s="257">
        <v>0</v>
      </c>
      <c r="O116" s="257">
        <v>1528328</v>
      </c>
      <c r="P116" s="257">
        <v>0</v>
      </c>
      <c r="Q116" s="258">
        <v>0</v>
      </c>
    </row>
    <row r="117" spans="1:17">
      <c r="A117" s="256">
        <v>1</v>
      </c>
      <c r="B117" s="256">
        <v>6153204</v>
      </c>
      <c r="C117" s="256">
        <v>615320408</v>
      </c>
      <c r="D117" s="256" t="s">
        <v>734</v>
      </c>
      <c r="E117" s="256" t="s">
        <v>735</v>
      </c>
      <c r="F117" s="256" t="s">
        <v>736</v>
      </c>
      <c r="G117" s="256" t="s">
        <v>106</v>
      </c>
      <c r="H117" s="256" t="s">
        <v>761</v>
      </c>
      <c r="I117" s="257">
        <v>60124</v>
      </c>
      <c r="J117" s="257">
        <v>0</v>
      </c>
      <c r="K117" s="257">
        <v>0</v>
      </c>
      <c r="L117" s="257">
        <v>0</v>
      </c>
      <c r="M117" s="257">
        <v>0</v>
      </c>
      <c r="N117" s="257">
        <v>0</v>
      </c>
      <c r="O117" s="257">
        <v>60124</v>
      </c>
      <c r="P117" s="257">
        <v>0</v>
      </c>
      <c r="Q117" s="258">
        <v>0</v>
      </c>
    </row>
    <row r="118" spans="1:17">
      <c r="A118" s="256">
        <v>1</v>
      </c>
      <c r="B118" s="256">
        <v>6153204</v>
      </c>
      <c r="C118" s="256">
        <v>615320410</v>
      </c>
      <c r="D118" s="256" t="s">
        <v>734</v>
      </c>
      <c r="E118" s="256" t="s">
        <v>735</v>
      </c>
      <c r="F118" s="256" t="s">
        <v>736</v>
      </c>
      <c r="G118" s="256" t="s">
        <v>106</v>
      </c>
      <c r="H118" s="256" t="s">
        <v>762</v>
      </c>
      <c r="I118" s="257">
        <v>28219882</v>
      </c>
      <c r="J118" s="257">
        <v>0</v>
      </c>
      <c r="K118" s="257">
        <v>0</v>
      </c>
      <c r="L118" s="257">
        <v>0</v>
      </c>
      <c r="M118" s="257">
        <v>0</v>
      </c>
      <c r="N118" s="257">
        <v>0</v>
      </c>
      <c r="O118" s="257">
        <v>28219882</v>
      </c>
      <c r="P118" s="257">
        <v>0</v>
      </c>
      <c r="Q118" s="258">
        <v>0</v>
      </c>
    </row>
    <row r="119" spans="1:17">
      <c r="A119" s="256">
        <v>1</v>
      </c>
      <c r="B119" s="256">
        <v>6153204</v>
      </c>
      <c r="C119" s="256">
        <v>615320411</v>
      </c>
      <c r="D119" s="256" t="s">
        <v>734</v>
      </c>
      <c r="E119" s="256" t="s">
        <v>735</v>
      </c>
      <c r="F119" s="256" t="s">
        <v>736</v>
      </c>
      <c r="G119" s="256" t="s">
        <v>106</v>
      </c>
      <c r="H119" s="256" t="s">
        <v>763</v>
      </c>
      <c r="I119" s="257">
        <v>0</v>
      </c>
      <c r="J119" s="257">
        <v>0</v>
      </c>
      <c r="K119" s="257">
        <v>0</v>
      </c>
      <c r="L119" s="257">
        <v>0</v>
      </c>
      <c r="M119" s="257">
        <v>0</v>
      </c>
      <c r="N119" s="257">
        <v>0</v>
      </c>
      <c r="O119" s="257">
        <v>0</v>
      </c>
      <c r="P119" s="257">
        <v>0</v>
      </c>
      <c r="Q119" s="258">
        <v>0</v>
      </c>
    </row>
    <row r="120" spans="1:17">
      <c r="A120" s="256">
        <v>1</v>
      </c>
      <c r="B120" s="256">
        <v>6153205</v>
      </c>
      <c r="C120" s="256">
        <v>615320500</v>
      </c>
      <c r="D120" s="256" t="s">
        <v>734</v>
      </c>
      <c r="E120" s="256" t="s">
        <v>735</v>
      </c>
      <c r="F120" s="256" t="s">
        <v>736</v>
      </c>
      <c r="G120" s="256" t="s">
        <v>104</v>
      </c>
      <c r="H120" s="256"/>
      <c r="I120" s="257">
        <v>0</v>
      </c>
      <c r="J120" s="257">
        <v>0</v>
      </c>
      <c r="K120" s="257">
        <v>0</v>
      </c>
      <c r="L120" s="257">
        <v>0</v>
      </c>
      <c r="M120" s="257">
        <v>0</v>
      </c>
      <c r="N120" s="257">
        <v>0</v>
      </c>
      <c r="O120" s="257">
        <v>0</v>
      </c>
      <c r="P120" s="257">
        <v>0</v>
      </c>
      <c r="Q120" s="258">
        <v>0</v>
      </c>
    </row>
    <row r="121" spans="1:17">
      <c r="A121" s="256">
        <v>1</v>
      </c>
      <c r="B121" s="256">
        <v>6153207</v>
      </c>
      <c r="C121" s="256">
        <v>615320700</v>
      </c>
      <c r="D121" s="256" t="s">
        <v>734</v>
      </c>
      <c r="E121" s="256" t="s">
        <v>735</v>
      </c>
      <c r="F121" s="256" t="s">
        <v>736</v>
      </c>
      <c r="G121" s="256" t="s">
        <v>102</v>
      </c>
      <c r="H121" s="256"/>
      <c r="I121" s="257">
        <v>0</v>
      </c>
      <c r="J121" s="257">
        <v>0</v>
      </c>
      <c r="K121" s="257">
        <v>0</v>
      </c>
      <c r="L121" s="257">
        <v>0</v>
      </c>
      <c r="M121" s="257">
        <v>0</v>
      </c>
      <c r="N121" s="257">
        <v>0</v>
      </c>
      <c r="O121" s="257">
        <v>0</v>
      </c>
      <c r="P121" s="257">
        <v>0</v>
      </c>
      <c r="Q121" s="258">
        <v>0</v>
      </c>
    </row>
    <row r="122" spans="1:17">
      <c r="A122" s="256">
        <v>1</v>
      </c>
      <c r="B122" s="256">
        <v>6153208</v>
      </c>
      <c r="C122" s="256">
        <v>615320800</v>
      </c>
      <c r="D122" s="256" t="s">
        <v>734</v>
      </c>
      <c r="E122" s="256" t="s">
        <v>735</v>
      </c>
      <c r="F122" s="256" t="s">
        <v>736</v>
      </c>
      <c r="G122" s="256" t="s">
        <v>100</v>
      </c>
      <c r="H122" s="256"/>
      <c r="I122" s="257">
        <v>0</v>
      </c>
      <c r="J122" s="257">
        <v>0</v>
      </c>
      <c r="K122" s="257">
        <v>0</v>
      </c>
      <c r="L122" s="257">
        <v>0</v>
      </c>
      <c r="M122" s="257">
        <v>0</v>
      </c>
      <c r="N122" s="257">
        <v>0</v>
      </c>
      <c r="O122" s="257">
        <v>0</v>
      </c>
      <c r="P122" s="257">
        <v>0</v>
      </c>
      <c r="Q122" s="258">
        <v>0</v>
      </c>
    </row>
    <row r="123" spans="1:17">
      <c r="A123" s="256">
        <v>1</v>
      </c>
      <c r="B123" s="256">
        <v>6153210</v>
      </c>
      <c r="C123" s="256">
        <v>615321001</v>
      </c>
      <c r="D123" s="256" t="s">
        <v>734</v>
      </c>
      <c r="E123" s="256" t="s">
        <v>735</v>
      </c>
      <c r="F123" s="256" t="s">
        <v>736</v>
      </c>
      <c r="G123" s="256" t="s">
        <v>764</v>
      </c>
      <c r="H123" s="256" t="s">
        <v>98</v>
      </c>
      <c r="I123" s="257">
        <v>2021074</v>
      </c>
      <c r="J123" s="257">
        <v>0</v>
      </c>
      <c r="K123" s="257">
        <v>0</v>
      </c>
      <c r="L123" s="257">
        <v>0</v>
      </c>
      <c r="M123" s="257">
        <v>0</v>
      </c>
      <c r="N123" s="257">
        <v>2021074</v>
      </c>
      <c r="O123" s="257">
        <v>0</v>
      </c>
      <c r="P123" s="257">
        <v>0</v>
      </c>
      <c r="Q123" s="258">
        <v>0</v>
      </c>
    </row>
    <row r="124" spans="1:17">
      <c r="A124" s="256">
        <v>1</v>
      </c>
      <c r="B124" s="256">
        <v>6153210</v>
      </c>
      <c r="C124" s="256">
        <v>615321002</v>
      </c>
      <c r="D124" s="256" t="s">
        <v>734</v>
      </c>
      <c r="E124" s="256" t="s">
        <v>735</v>
      </c>
      <c r="F124" s="256" t="s">
        <v>736</v>
      </c>
      <c r="G124" s="256" t="s">
        <v>764</v>
      </c>
      <c r="H124" s="256" t="s">
        <v>95</v>
      </c>
      <c r="I124" s="257">
        <v>0</v>
      </c>
      <c r="J124" s="257">
        <v>0</v>
      </c>
      <c r="K124" s="257">
        <v>0</v>
      </c>
      <c r="L124" s="257">
        <v>0</v>
      </c>
      <c r="M124" s="257">
        <v>0</v>
      </c>
      <c r="N124" s="257">
        <v>0</v>
      </c>
      <c r="O124" s="257">
        <v>0</v>
      </c>
      <c r="P124" s="257">
        <v>0</v>
      </c>
      <c r="Q124" s="258">
        <v>0</v>
      </c>
    </row>
    <row r="125" spans="1:17">
      <c r="A125" s="236">
        <v>1</v>
      </c>
      <c r="B125" s="236">
        <v>6153210</v>
      </c>
      <c r="C125" s="236">
        <v>615321003</v>
      </c>
      <c r="D125" s="236" t="s">
        <v>734</v>
      </c>
      <c r="E125" s="236" t="s">
        <v>735</v>
      </c>
      <c r="F125" s="236" t="s">
        <v>736</v>
      </c>
      <c r="G125" s="236" t="s">
        <v>764</v>
      </c>
      <c r="H125" s="236" t="s">
        <v>765</v>
      </c>
      <c r="I125" s="257">
        <v>739160</v>
      </c>
      <c r="J125" s="257">
        <v>0</v>
      </c>
      <c r="K125" s="257">
        <v>0</v>
      </c>
      <c r="L125" s="257">
        <v>0</v>
      </c>
      <c r="M125" s="257">
        <v>0</v>
      </c>
      <c r="N125" s="257">
        <v>739160</v>
      </c>
      <c r="O125" s="257">
        <v>0</v>
      </c>
      <c r="P125" s="257">
        <v>0</v>
      </c>
      <c r="Q125" s="258">
        <v>0</v>
      </c>
    </row>
    <row r="126" spans="1:17">
      <c r="A126" s="256">
        <v>1</v>
      </c>
      <c r="B126" s="256">
        <v>6153213</v>
      </c>
      <c r="C126" s="256">
        <v>615321300</v>
      </c>
      <c r="D126" s="256" t="s">
        <v>734</v>
      </c>
      <c r="E126" s="256" t="s">
        <v>735</v>
      </c>
      <c r="F126" s="256" t="s">
        <v>736</v>
      </c>
      <c r="G126" s="256" t="s">
        <v>93</v>
      </c>
      <c r="H126" s="256"/>
      <c r="I126" s="257">
        <v>10417060</v>
      </c>
      <c r="J126" s="257">
        <v>0</v>
      </c>
      <c r="K126" s="257">
        <v>0</v>
      </c>
      <c r="L126" s="257">
        <v>0</v>
      </c>
      <c r="M126" s="257">
        <v>36840</v>
      </c>
      <c r="N126" s="257">
        <v>10380220</v>
      </c>
      <c r="O126" s="257">
        <v>0</v>
      </c>
      <c r="P126" s="257">
        <v>0</v>
      </c>
      <c r="Q126" s="258">
        <v>0</v>
      </c>
    </row>
    <row r="127" spans="1:17">
      <c r="A127" s="256">
        <v>1</v>
      </c>
      <c r="B127" s="256">
        <v>6153214</v>
      </c>
      <c r="C127" s="256">
        <v>615321400</v>
      </c>
      <c r="D127" s="256" t="s">
        <v>734</v>
      </c>
      <c r="E127" s="256" t="s">
        <v>735</v>
      </c>
      <c r="F127" s="256" t="s">
        <v>736</v>
      </c>
      <c r="G127" s="256" t="s">
        <v>91</v>
      </c>
      <c r="H127" s="256"/>
      <c r="I127" s="257">
        <v>1053838</v>
      </c>
      <c r="J127" s="257">
        <v>0</v>
      </c>
      <c r="K127" s="257">
        <v>0</v>
      </c>
      <c r="L127" s="257">
        <v>0</v>
      </c>
      <c r="M127" s="257">
        <v>0</v>
      </c>
      <c r="N127" s="257">
        <v>1053838</v>
      </c>
      <c r="O127" s="257">
        <v>0</v>
      </c>
      <c r="P127" s="257">
        <v>0</v>
      </c>
      <c r="Q127" s="258">
        <v>0</v>
      </c>
    </row>
    <row r="128" spans="1:17">
      <c r="A128" s="256">
        <v>1</v>
      </c>
      <c r="B128" s="256">
        <v>6153215</v>
      </c>
      <c r="C128" s="256">
        <v>615321500</v>
      </c>
      <c r="D128" s="256" t="s">
        <v>734</v>
      </c>
      <c r="E128" s="256" t="s">
        <v>735</v>
      </c>
      <c r="F128" s="256" t="s">
        <v>736</v>
      </c>
      <c r="G128" s="256" t="s">
        <v>89</v>
      </c>
      <c r="H128" s="256"/>
      <c r="I128" s="257">
        <v>0</v>
      </c>
      <c r="J128" s="257">
        <v>0</v>
      </c>
      <c r="K128" s="257">
        <v>0</v>
      </c>
      <c r="L128" s="257">
        <v>0</v>
      </c>
      <c r="M128" s="257">
        <v>0</v>
      </c>
      <c r="N128" s="257">
        <v>0</v>
      </c>
      <c r="O128" s="257">
        <v>0</v>
      </c>
      <c r="P128" s="257">
        <v>0</v>
      </c>
      <c r="Q128" s="258">
        <v>0</v>
      </c>
    </row>
    <row r="129" spans="1:17">
      <c r="A129" s="256">
        <v>1</v>
      </c>
      <c r="B129" s="256">
        <v>6153217</v>
      </c>
      <c r="C129" s="256">
        <v>615321700</v>
      </c>
      <c r="D129" s="256" t="s">
        <v>734</v>
      </c>
      <c r="E129" s="256" t="s">
        <v>735</v>
      </c>
      <c r="F129" s="256" t="s">
        <v>736</v>
      </c>
      <c r="G129" s="256" t="s">
        <v>87</v>
      </c>
      <c r="H129" s="256"/>
      <c r="I129" s="257">
        <v>2423102</v>
      </c>
      <c r="J129" s="257">
        <v>0</v>
      </c>
      <c r="K129" s="257">
        <v>0</v>
      </c>
      <c r="L129" s="257">
        <v>0</v>
      </c>
      <c r="M129" s="257">
        <v>0</v>
      </c>
      <c r="N129" s="257">
        <v>2423102</v>
      </c>
      <c r="O129" s="257">
        <v>0</v>
      </c>
      <c r="P129" s="257">
        <v>0</v>
      </c>
      <c r="Q129" s="258">
        <v>0</v>
      </c>
    </row>
    <row r="130" spans="1:17">
      <c r="A130" s="256">
        <v>1</v>
      </c>
      <c r="B130" s="256">
        <v>6153219</v>
      </c>
      <c r="C130" s="256">
        <v>615321900</v>
      </c>
      <c r="D130" s="256" t="s">
        <v>734</v>
      </c>
      <c r="E130" s="256" t="s">
        <v>735</v>
      </c>
      <c r="F130" s="256" t="s">
        <v>736</v>
      </c>
      <c r="G130" s="256" t="s">
        <v>85</v>
      </c>
      <c r="H130" s="256"/>
      <c r="I130" s="257">
        <v>357250</v>
      </c>
      <c r="J130" s="257">
        <v>0</v>
      </c>
      <c r="K130" s="257">
        <v>0</v>
      </c>
      <c r="L130" s="257">
        <v>0</v>
      </c>
      <c r="M130" s="257">
        <v>0</v>
      </c>
      <c r="N130" s="257">
        <v>290850</v>
      </c>
      <c r="O130" s="257">
        <v>66400</v>
      </c>
      <c r="P130" s="257">
        <v>0</v>
      </c>
      <c r="Q130" s="258">
        <v>0</v>
      </c>
    </row>
    <row r="131" spans="1:17">
      <c r="A131" s="256">
        <v>1</v>
      </c>
      <c r="B131" s="256">
        <v>6153220</v>
      </c>
      <c r="C131" s="256">
        <v>615322000</v>
      </c>
      <c r="D131" s="256" t="s">
        <v>734</v>
      </c>
      <c r="E131" s="256" t="s">
        <v>735</v>
      </c>
      <c r="F131" s="256" t="s">
        <v>736</v>
      </c>
      <c r="G131" s="256" t="s">
        <v>83</v>
      </c>
      <c r="H131" s="256"/>
      <c r="I131" s="257">
        <v>13483332</v>
      </c>
      <c r="J131" s="257">
        <v>0</v>
      </c>
      <c r="K131" s="257">
        <v>0</v>
      </c>
      <c r="L131" s="257">
        <v>125712</v>
      </c>
      <c r="M131" s="257">
        <v>0</v>
      </c>
      <c r="N131" s="257">
        <v>7866081</v>
      </c>
      <c r="O131" s="257">
        <v>5491539</v>
      </c>
      <c r="P131" s="257">
        <v>0</v>
      </c>
      <c r="Q131" s="258">
        <v>0</v>
      </c>
    </row>
    <row r="132" spans="1:17">
      <c r="A132" s="256">
        <v>1</v>
      </c>
      <c r="B132" s="256">
        <v>6153221</v>
      </c>
      <c r="C132" s="256">
        <v>615322100</v>
      </c>
      <c r="D132" s="256" t="s">
        <v>734</v>
      </c>
      <c r="E132" s="256" t="s">
        <v>735</v>
      </c>
      <c r="F132" s="256" t="s">
        <v>736</v>
      </c>
      <c r="G132" s="256" t="s">
        <v>81</v>
      </c>
      <c r="H132" s="256"/>
      <c r="I132" s="257">
        <v>85827500</v>
      </c>
      <c r="J132" s="257">
        <v>0</v>
      </c>
      <c r="K132" s="257">
        <v>0</v>
      </c>
      <c r="L132" s="257">
        <v>0</v>
      </c>
      <c r="M132" s="257">
        <v>0</v>
      </c>
      <c r="N132" s="257">
        <v>85827500</v>
      </c>
      <c r="O132" s="257">
        <v>0</v>
      </c>
      <c r="P132" s="257">
        <v>0</v>
      </c>
      <c r="Q132" s="258">
        <v>0</v>
      </c>
    </row>
    <row r="133" spans="1:17">
      <c r="A133" s="256">
        <v>1</v>
      </c>
      <c r="B133" s="256">
        <v>6153223</v>
      </c>
      <c r="C133" s="256">
        <v>615322300</v>
      </c>
      <c r="D133" s="256" t="s">
        <v>734</v>
      </c>
      <c r="E133" s="256" t="s">
        <v>735</v>
      </c>
      <c r="F133" s="256" t="s">
        <v>736</v>
      </c>
      <c r="G133" s="256" t="s">
        <v>79</v>
      </c>
      <c r="H133" s="256"/>
      <c r="I133" s="257">
        <v>1482466</v>
      </c>
      <c r="J133" s="257">
        <v>0</v>
      </c>
      <c r="K133" s="257">
        <v>0</v>
      </c>
      <c r="L133" s="257">
        <v>0</v>
      </c>
      <c r="M133" s="257">
        <v>0</v>
      </c>
      <c r="N133" s="257">
        <v>1482466</v>
      </c>
      <c r="O133" s="257">
        <v>0</v>
      </c>
      <c r="P133" s="257">
        <v>0</v>
      </c>
      <c r="Q133" s="258">
        <v>0</v>
      </c>
    </row>
    <row r="134" spans="1:17">
      <c r="A134" s="256">
        <v>1</v>
      </c>
      <c r="B134" s="256">
        <v>6153224</v>
      </c>
      <c r="C134" s="256">
        <v>615322400</v>
      </c>
      <c r="D134" s="256" t="s">
        <v>734</v>
      </c>
      <c r="E134" s="256" t="s">
        <v>735</v>
      </c>
      <c r="F134" s="256" t="s">
        <v>736</v>
      </c>
      <c r="G134" s="256" t="s">
        <v>77</v>
      </c>
      <c r="H134" s="256"/>
      <c r="I134" s="257">
        <v>0</v>
      </c>
      <c r="J134" s="257">
        <v>0</v>
      </c>
      <c r="K134" s="257">
        <v>0</v>
      </c>
      <c r="L134" s="257">
        <v>0</v>
      </c>
      <c r="M134" s="257">
        <v>0</v>
      </c>
      <c r="N134" s="257">
        <v>0</v>
      </c>
      <c r="O134" s="257">
        <v>0</v>
      </c>
      <c r="P134" s="257">
        <v>0</v>
      </c>
      <c r="Q134" s="258">
        <v>0</v>
      </c>
    </row>
    <row r="135" spans="1:17">
      <c r="A135" s="256">
        <v>1</v>
      </c>
      <c r="B135" s="256">
        <v>6153231</v>
      </c>
      <c r="C135" s="256">
        <v>615323100</v>
      </c>
      <c r="D135" s="256" t="s">
        <v>734</v>
      </c>
      <c r="E135" s="256" t="s">
        <v>735</v>
      </c>
      <c r="F135" s="256" t="s">
        <v>736</v>
      </c>
      <c r="G135" s="256" t="s">
        <v>62</v>
      </c>
      <c r="H135" s="256"/>
      <c r="I135" s="257">
        <v>51295633</v>
      </c>
      <c r="J135" s="257">
        <v>0</v>
      </c>
      <c r="K135" s="257">
        <v>0</v>
      </c>
      <c r="L135" s="257">
        <v>0</v>
      </c>
      <c r="M135" s="257">
        <v>0</v>
      </c>
      <c r="N135" s="257">
        <v>51295633</v>
      </c>
      <c r="O135" s="257">
        <v>0</v>
      </c>
      <c r="P135" s="257">
        <v>0</v>
      </c>
      <c r="Q135" s="258">
        <v>0</v>
      </c>
    </row>
    <row r="136" spans="1:17">
      <c r="A136" s="256">
        <v>1</v>
      </c>
      <c r="B136" s="256">
        <v>6153237</v>
      </c>
      <c r="C136" s="256">
        <v>615323700</v>
      </c>
      <c r="D136" s="256" t="s">
        <v>734</v>
      </c>
      <c r="E136" s="256" t="s">
        <v>735</v>
      </c>
      <c r="F136" s="256" t="s">
        <v>736</v>
      </c>
      <c r="G136" s="256" t="s">
        <v>60</v>
      </c>
      <c r="H136" s="256"/>
      <c r="I136" s="257">
        <v>0</v>
      </c>
      <c r="J136" s="257">
        <v>0</v>
      </c>
      <c r="K136" s="257">
        <v>0</v>
      </c>
      <c r="L136" s="257">
        <v>0</v>
      </c>
      <c r="M136" s="257">
        <v>0</v>
      </c>
      <c r="N136" s="257">
        <v>0</v>
      </c>
      <c r="O136" s="257">
        <v>0</v>
      </c>
      <c r="P136" s="257">
        <v>0</v>
      </c>
      <c r="Q136" s="258">
        <v>0</v>
      </c>
    </row>
    <row r="137" spans="1:17">
      <c r="A137" s="256">
        <v>1</v>
      </c>
      <c r="B137" s="256">
        <v>6153239</v>
      </c>
      <c r="C137" s="256">
        <v>615323900</v>
      </c>
      <c r="D137" s="256" t="s">
        <v>734</v>
      </c>
      <c r="E137" s="256" t="s">
        <v>735</v>
      </c>
      <c r="F137" s="256" t="s">
        <v>736</v>
      </c>
      <c r="G137" s="256" t="s">
        <v>58</v>
      </c>
      <c r="H137" s="256"/>
      <c r="I137" s="257">
        <v>557452</v>
      </c>
      <c r="J137" s="257">
        <v>0</v>
      </c>
      <c r="K137" s="257">
        <v>0</v>
      </c>
      <c r="L137" s="257">
        <v>0</v>
      </c>
      <c r="M137" s="257">
        <v>0</v>
      </c>
      <c r="N137" s="257">
        <v>0</v>
      </c>
      <c r="O137" s="257">
        <v>557452</v>
      </c>
      <c r="P137" s="257">
        <v>0</v>
      </c>
      <c r="Q137" s="258">
        <v>0</v>
      </c>
    </row>
    <row r="138" spans="1:17">
      <c r="A138" s="256">
        <v>1</v>
      </c>
      <c r="B138" s="256">
        <v>6153240</v>
      </c>
      <c r="C138" s="256">
        <v>615324000</v>
      </c>
      <c r="D138" s="256" t="s">
        <v>734</v>
      </c>
      <c r="E138" s="256" t="s">
        <v>735</v>
      </c>
      <c r="F138" s="256" t="s">
        <v>736</v>
      </c>
      <c r="G138" s="256" t="s">
        <v>56</v>
      </c>
      <c r="H138" s="256"/>
      <c r="I138" s="257">
        <v>240506</v>
      </c>
      <c r="J138" s="257">
        <v>0</v>
      </c>
      <c r="K138" s="257">
        <v>0</v>
      </c>
      <c r="L138" s="257">
        <v>0</v>
      </c>
      <c r="M138" s="257">
        <v>0</v>
      </c>
      <c r="N138" s="257">
        <v>0</v>
      </c>
      <c r="O138" s="257">
        <v>0</v>
      </c>
      <c r="P138" s="257">
        <v>240506</v>
      </c>
      <c r="Q138" s="258">
        <v>0</v>
      </c>
    </row>
    <row r="139" spans="1:17">
      <c r="A139" s="256">
        <v>1</v>
      </c>
      <c r="B139" s="256">
        <v>6153241</v>
      </c>
      <c r="C139" s="256">
        <v>615324100</v>
      </c>
      <c r="D139" s="256" t="s">
        <v>734</v>
      </c>
      <c r="E139" s="256" t="s">
        <v>735</v>
      </c>
      <c r="F139" s="256" t="s">
        <v>736</v>
      </c>
      <c r="G139" s="256" t="s">
        <v>55</v>
      </c>
      <c r="H139" s="256"/>
      <c r="I139" s="257">
        <v>0</v>
      </c>
      <c r="J139" s="257">
        <v>0</v>
      </c>
      <c r="K139" s="257">
        <v>0</v>
      </c>
      <c r="L139" s="257">
        <v>0</v>
      </c>
      <c r="M139" s="257">
        <v>0</v>
      </c>
      <c r="N139" s="257">
        <v>0</v>
      </c>
      <c r="O139" s="257">
        <v>0</v>
      </c>
      <c r="P139" s="257">
        <v>0</v>
      </c>
      <c r="Q139" s="258">
        <v>0</v>
      </c>
    </row>
    <row r="140" spans="1:17">
      <c r="A140" s="256">
        <v>1</v>
      </c>
      <c r="B140" s="256">
        <v>6153265</v>
      </c>
      <c r="C140" s="256">
        <v>615326500</v>
      </c>
      <c r="D140" s="256" t="s">
        <v>734</v>
      </c>
      <c r="E140" s="256" t="s">
        <v>735</v>
      </c>
      <c r="F140" s="256" t="s">
        <v>736</v>
      </c>
      <c r="G140" s="256" t="s">
        <v>766</v>
      </c>
      <c r="H140" s="256"/>
      <c r="I140" s="257">
        <v>14830375</v>
      </c>
      <c r="J140" s="257">
        <v>0</v>
      </c>
      <c r="K140" s="257">
        <v>0</v>
      </c>
      <c r="L140" s="257">
        <v>0</v>
      </c>
      <c r="M140" s="257">
        <v>0</v>
      </c>
      <c r="N140" s="257">
        <v>0</v>
      </c>
      <c r="O140" s="257">
        <v>4022760</v>
      </c>
      <c r="P140" s="257">
        <v>10807615</v>
      </c>
      <c r="Q140" s="258">
        <v>0</v>
      </c>
    </row>
    <row r="141" spans="1:17">
      <c r="A141" s="256">
        <v>1</v>
      </c>
      <c r="B141" s="256">
        <v>6153269</v>
      </c>
      <c r="C141" s="256">
        <v>615326900</v>
      </c>
      <c r="D141" s="256" t="s">
        <v>734</v>
      </c>
      <c r="E141" s="256" t="s">
        <v>735</v>
      </c>
      <c r="F141" s="256" t="s">
        <v>736</v>
      </c>
      <c r="G141" s="256" t="s">
        <v>767</v>
      </c>
      <c r="H141" s="256"/>
      <c r="I141" s="257">
        <v>0</v>
      </c>
      <c r="J141" s="257">
        <v>0</v>
      </c>
      <c r="K141" s="257">
        <v>0</v>
      </c>
      <c r="L141" s="257">
        <v>0</v>
      </c>
      <c r="M141" s="257">
        <v>0</v>
      </c>
      <c r="N141" s="257">
        <v>0</v>
      </c>
      <c r="O141" s="257">
        <v>0</v>
      </c>
      <c r="P141" s="257">
        <v>0</v>
      </c>
      <c r="Q141" s="258">
        <v>0</v>
      </c>
    </row>
    <row r="142" spans="1:17">
      <c r="A142" s="256">
        <v>1</v>
      </c>
      <c r="B142" s="256">
        <v>6153270</v>
      </c>
      <c r="C142" s="256">
        <v>615327000</v>
      </c>
      <c r="D142" s="256" t="s">
        <v>734</v>
      </c>
      <c r="E142" s="256" t="s">
        <v>735</v>
      </c>
      <c r="F142" s="256" t="s">
        <v>736</v>
      </c>
      <c r="G142" s="256" t="s">
        <v>768</v>
      </c>
      <c r="H142" s="256"/>
      <c r="I142" s="257">
        <v>275990</v>
      </c>
      <c r="J142" s="257">
        <v>0</v>
      </c>
      <c r="K142" s="257">
        <v>0</v>
      </c>
      <c r="L142" s="257">
        <v>0</v>
      </c>
      <c r="M142" s="257">
        <v>0</v>
      </c>
      <c r="N142" s="257">
        <v>275990</v>
      </c>
      <c r="O142" s="257">
        <v>0</v>
      </c>
      <c r="P142" s="257">
        <v>0</v>
      </c>
      <c r="Q142" s="258">
        <v>0</v>
      </c>
    </row>
    <row r="143" spans="1:17">
      <c r="A143" s="256">
        <v>1</v>
      </c>
      <c r="B143" s="256">
        <v>6153271</v>
      </c>
      <c r="C143" s="256">
        <v>615327100</v>
      </c>
      <c r="D143" s="256" t="s">
        <v>734</v>
      </c>
      <c r="E143" s="256" t="s">
        <v>735</v>
      </c>
      <c r="F143" s="256" t="s">
        <v>736</v>
      </c>
      <c r="G143" s="256" t="s">
        <v>769</v>
      </c>
      <c r="H143" s="256"/>
      <c r="I143" s="257">
        <v>0</v>
      </c>
      <c r="J143" s="257">
        <v>0</v>
      </c>
      <c r="K143" s="257">
        <v>0</v>
      </c>
      <c r="L143" s="257">
        <v>0</v>
      </c>
      <c r="M143" s="257">
        <v>0</v>
      </c>
      <c r="N143" s="257">
        <v>0</v>
      </c>
      <c r="O143" s="257">
        <v>0</v>
      </c>
      <c r="P143" s="257">
        <v>0</v>
      </c>
      <c r="Q143" s="258">
        <v>0</v>
      </c>
    </row>
    <row r="144" spans="1:17">
      <c r="A144" s="256">
        <v>1</v>
      </c>
      <c r="B144" s="256">
        <v>6153272</v>
      </c>
      <c r="C144" s="256">
        <v>615327200</v>
      </c>
      <c r="D144" s="256" t="s">
        <v>734</v>
      </c>
      <c r="E144" s="256" t="s">
        <v>735</v>
      </c>
      <c r="F144" s="256" t="s">
        <v>736</v>
      </c>
      <c r="G144" s="256" t="s">
        <v>770</v>
      </c>
      <c r="H144" s="256"/>
      <c r="I144" s="257">
        <v>0</v>
      </c>
      <c r="J144" s="257">
        <v>0</v>
      </c>
      <c r="K144" s="257">
        <v>0</v>
      </c>
      <c r="L144" s="257">
        <v>0</v>
      </c>
      <c r="M144" s="257">
        <v>0</v>
      </c>
      <c r="N144" s="257">
        <v>0</v>
      </c>
      <c r="O144" s="257">
        <v>0</v>
      </c>
      <c r="P144" s="257">
        <v>0</v>
      </c>
      <c r="Q144" s="258">
        <v>0</v>
      </c>
    </row>
    <row r="145" spans="1:17">
      <c r="A145" s="256">
        <v>1</v>
      </c>
      <c r="B145" s="256">
        <v>6153273</v>
      </c>
      <c r="C145" s="256">
        <v>615327300</v>
      </c>
      <c r="D145" s="256" t="s">
        <v>734</v>
      </c>
      <c r="E145" s="256" t="s">
        <v>735</v>
      </c>
      <c r="F145" s="256" t="s">
        <v>736</v>
      </c>
      <c r="G145" s="256" t="s">
        <v>771</v>
      </c>
      <c r="H145" s="256"/>
      <c r="I145" s="257">
        <v>0</v>
      </c>
      <c r="J145" s="257">
        <v>0</v>
      </c>
      <c r="K145" s="257">
        <v>0</v>
      </c>
      <c r="L145" s="257">
        <v>0</v>
      </c>
      <c r="M145" s="257">
        <v>0</v>
      </c>
      <c r="N145" s="257">
        <v>0</v>
      </c>
      <c r="O145" s="257">
        <v>0</v>
      </c>
      <c r="P145" s="257">
        <v>0</v>
      </c>
      <c r="Q145" s="258">
        <v>0</v>
      </c>
    </row>
    <row r="146" spans="1:17">
      <c r="A146" s="256">
        <v>1</v>
      </c>
      <c r="B146" s="256">
        <v>6153274</v>
      </c>
      <c r="C146" s="256">
        <v>615327400</v>
      </c>
      <c r="D146" s="256" t="s">
        <v>734</v>
      </c>
      <c r="E146" s="256" t="s">
        <v>735</v>
      </c>
      <c r="F146" s="256" t="s">
        <v>736</v>
      </c>
      <c r="G146" s="256" t="s">
        <v>772</v>
      </c>
      <c r="H146" s="256"/>
      <c r="I146" s="257">
        <v>0</v>
      </c>
      <c r="J146" s="257">
        <v>0</v>
      </c>
      <c r="K146" s="257">
        <v>0</v>
      </c>
      <c r="L146" s="257">
        <v>0</v>
      </c>
      <c r="M146" s="257">
        <v>0</v>
      </c>
      <c r="N146" s="257">
        <v>0</v>
      </c>
      <c r="O146" s="257">
        <v>0</v>
      </c>
      <c r="P146" s="257">
        <v>0</v>
      </c>
      <c r="Q146" s="258">
        <v>0</v>
      </c>
    </row>
    <row r="147" spans="1:17">
      <c r="A147" s="256">
        <v>1</v>
      </c>
      <c r="B147" s="256">
        <v>6153275</v>
      </c>
      <c r="C147" s="256">
        <v>615327583</v>
      </c>
      <c r="D147" s="256" t="s">
        <v>734</v>
      </c>
      <c r="E147" s="256" t="s">
        <v>735</v>
      </c>
      <c r="F147" s="256" t="s">
        <v>736</v>
      </c>
      <c r="G147" s="256" t="s">
        <v>773</v>
      </c>
      <c r="H147" s="256" t="s">
        <v>75</v>
      </c>
      <c r="I147" s="257">
        <v>13601868302</v>
      </c>
      <c r="J147" s="257">
        <v>0</v>
      </c>
      <c r="K147" s="257">
        <v>0</v>
      </c>
      <c r="L147" s="257">
        <v>0</v>
      </c>
      <c r="M147" s="257">
        <v>0</v>
      </c>
      <c r="N147" s="257">
        <v>13601868302</v>
      </c>
      <c r="O147" s="257">
        <v>0</v>
      </c>
      <c r="P147" s="257">
        <v>0</v>
      </c>
      <c r="Q147" s="258">
        <v>0</v>
      </c>
    </row>
    <row r="148" spans="1:17">
      <c r="A148" s="256">
        <v>1</v>
      </c>
      <c r="B148" s="256">
        <v>6153275</v>
      </c>
      <c r="C148" s="256">
        <v>615327584</v>
      </c>
      <c r="D148" s="256" t="s">
        <v>734</v>
      </c>
      <c r="E148" s="256" t="s">
        <v>735</v>
      </c>
      <c r="F148" s="256" t="s">
        <v>736</v>
      </c>
      <c r="G148" s="256" t="s">
        <v>773</v>
      </c>
      <c r="H148" s="256" t="s">
        <v>774</v>
      </c>
      <c r="I148" s="257">
        <v>59375146</v>
      </c>
      <c r="J148" s="257">
        <v>0</v>
      </c>
      <c r="K148" s="257">
        <v>0</v>
      </c>
      <c r="L148" s="257">
        <v>0</v>
      </c>
      <c r="M148" s="257">
        <v>0</v>
      </c>
      <c r="N148" s="257">
        <v>0</v>
      </c>
      <c r="O148" s="257">
        <v>0</v>
      </c>
      <c r="P148" s="257">
        <v>59375146</v>
      </c>
      <c r="Q148" s="258">
        <v>0</v>
      </c>
    </row>
    <row r="149" spans="1:17">
      <c r="A149" s="256">
        <v>1</v>
      </c>
      <c r="B149" s="256">
        <v>6153275</v>
      </c>
      <c r="C149" s="256">
        <v>615327585</v>
      </c>
      <c r="D149" s="256" t="s">
        <v>734</v>
      </c>
      <c r="E149" s="256" t="s">
        <v>735</v>
      </c>
      <c r="F149" s="256" t="s">
        <v>736</v>
      </c>
      <c r="G149" s="256" t="s">
        <v>773</v>
      </c>
      <c r="H149" s="256" t="s">
        <v>775</v>
      </c>
      <c r="I149" s="257">
        <v>867470663</v>
      </c>
      <c r="J149" s="257">
        <v>0</v>
      </c>
      <c r="K149" s="257">
        <v>0</v>
      </c>
      <c r="L149" s="257">
        <v>0</v>
      </c>
      <c r="M149" s="257">
        <v>0</v>
      </c>
      <c r="N149" s="257">
        <v>867470663</v>
      </c>
      <c r="O149" s="257">
        <v>0</v>
      </c>
      <c r="P149" s="257">
        <v>0</v>
      </c>
      <c r="Q149" s="258">
        <v>0</v>
      </c>
    </row>
    <row r="150" spans="1:17">
      <c r="A150" s="256">
        <v>1</v>
      </c>
      <c r="B150" s="256">
        <v>6153275</v>
      </c>
      <c r="C150" s="256">
        <v>615327586</v>
      </c>
      <c r="D150" s="256" t="s">
        <v>734</v>
      </c>
      <c r="E150" s="256" t="s">
        <v>735</v>
      </c>
      <c r="F150" s="256" t="s">
        <v>736</v>
      </c>
      <c r="G150" s="256" t="s">
        <v>773</v>
      </c>
      <c r="H150" s="256" t="s">
        <v>776</v>
      </c>
      <c r="I150" s="257">
        <v>273840500</v>
      </c>
      <c r="J150" s="257">
        <v>0</v>
      </c>
      <c r="K150" s="257">
        <v>0</v>
      </c>
      <c r="L150" s="257">
        <v>0</v>
      </c>
      <c r="M150" s="257">
        <v>0</v>
      </c>
      <c r="N150" s="257">
        <v>273840500</v>
      </c>
      <c r="O150" s="257">
        <v>0</v>
      </c>
      <c r="P150" s="257">
        <v>0</v>
      </c>
      <c r="Q150" s="258">
        <v>0</v>
      </c>
    </row>
    <row r="151" spans="1:17">
      <c r="A151" s="256">
        <v>1</v>
      </c>
      <c r="B151" s="256">
        <v>6153275</v>
      </c>
      <c r="C151" s="256">
        <v>615327587</v>
      </c>
      <c r="D151" s="256" t="s">
        <v>734</v>
      </c>
      <c r="E151" s="256" t="s">
        <v>735</v>
      </c>
      <c r="F151" s="256" t="s">
        <v>736</v>
      </c>
      <c r="G151" s="256" t="s">
        <v>773</v>
      </c>
      <c r="H151" s="256" t="s">
        <v>665</v>
      </c>
      <c r="I151" s="257">
        <v>25650977</v>
      </c>
      <c r="J151" s="257">
        <v>0</v>
      </c>
      <c r="K151" s="257">
        <v>0</v>
      </c>
      <c r="L151" s="257">
        <v>0</v>
      </c>
      <c r="M151" s="257">
        <v>0</v>
      </c>
      <c r="N151" s="257">
        <v>1500075</v>
      </c>
      <c r="O151" s="257">
        <v>0</v>
      </c>
      <c r="P151" s="257">
        <v>24150902</v>
      </c>
      <c r="Q151" s="258">
        <v>0</v>
      </c>
    </row>
    <row r="152" spans="1:17">
      <c r="A152" s="256">
        <v>1</v>
      </c>
      <c r="B152" s="256">
        <v>6153275</v>
      </c>
      <c r="C152" s="256">
        <v>615327588</v>
      </c>
      <c r="D152" s="256" t="s">
        <v>734</v>
      </c>
      <c r="E152" s="256" t="s">
        <v>735</v>
      </c>
      <c r="F152" s="256" t="s">
        <v>736</v>
      </c>
      <c r="G152" s="256" t="s">
        <v>773</v>
      </c>
      <c r="H152" s="256" t="s">
        <v>73</v>
      </c>
      <c r="I152" s="257">
        <v>2958420</v>
      </c>
      <c r="J152" s="257">
        <v>0</v>
      </c>
      <c r="K152" s="257">
        <v>0</v>
      </c>
      <c r="L152" s="257">
        <v>0</v>
      </c>
      <c r="M152" s="257">
        <v>0</v>
      </c>
      <c r="N152" s="257">
        <v>0</v>
      </c>
      <c r="O152" s="257">
        <v>2958420</v>
      </c>
      <c r="P152" s="257">
        <v>0</v>
      </c>
      <c r="Q152" s="258">
        <v>0</v>
      </c>
    </row>
    <row r="153" spans="1:17">
      <c r="A153" s="256">
        <v>1</v>
      </c>
      <c r="B153" s="256">
        <v>6153801</v>
      </c>
      <c r="C153" s="256">
        <v>615380102</v>
      </c>
      <c r="D153" s="256" t="s">
        <v>734</v>
      </c>
      <c r="E153" s="256" t="s">
        <v>735</v>
      </c>
      <c r="F153" s="256" t="s">
        <v>777</v>
      </c>
      <c r="G153" s="256" t="s">
        <v>112</v>
      </c>
      <c r="H153" s="256" t="s">
        <v>737</v>
      </c>
      <c r="I153" s="257">
        <v>0</v>
      </c>
      <c r="J153" s="257">
        <v>0</v>
      </c>
      <c r="K153" s="257">
        <v>0</v>
      </c>
      <c r="L153" s="257">
        <v>0</v>
      </c>
      <c r="M153" s="257">
        <v>0</v>
      </c>
      <c r="N153" s="257">
        <v>0</v>
      </c>
      <c r="O153" s="257">
        <v>0</v>
      </c>
      <c r="P153" s="257">
        <v>0</v>
      </c>
      <c r="Q153" s="258">
        <v>0</v>
      </c>
    </row>
    <row r="154" spans="1:17">
      <c r="A154" s="256">
        <v>1</v>
      </c>
      <c r="B154" s="256">
        <v>6153801</v>
      </c>
      <c r="C154" s="256">
        <v>615380103</v>
      </c>
      <c r="D154" s="256" t="s">
        <v>734</v>
      </c>
      <c r="E154" s="256" t="s">
        <v>735</v>
      </c>
      <c r="F154" s="256" t="s">
        <v>777</v>
      </c>
      <c r="G154" s="256" t="s">
        <v>112</v>
      </c>
      <c r="H154" s="256" t="s">
        <v>738</v>
      </c>
      <c r="I154" s="257">
        <v>0</v>
      </c>
      <c r="J154" s="257">
        <v>0</v>
      </c>
      <c r="K154" s="257">
        <v>0</v>
      </c>
      <c r="L154" s="257">
        <v>0</v>
      </c>
      <c r="M154" s="257">
        <v>0</v>
      </c>
      <c r="N154" s="257">
        <v>0</v>
      </c>
      <c r="O154" s="257">
        <v>0</v>
      </c>
      <c r="P154" s="257">
        <v>0</v>
      </c>
      <c r="Q154" s="258">
        <v>0</v>
      </c>
    </row>
    <row r="155" spans="1:17">
      <c r="A155" s="256">
        <v>1</v>
      </c>
      <c r="B155" s="256">
        <v>6153801</v>
      </c>
      <c r="C155" s="256">
        <v>615380104</v>
      </c>
      <c r="D155" s="256" t="s">
        <v>734</v>
      </c>
      <c r="E155" s="256" t="s">
        <v>735</v>
      </c>
      <c r="F155" s="256" t="s">
        <v>777</v>
      </c>
      <c r="G155" s="256" t="s">
        <v>112</v>
      </c>
      <c r="H155" s="256" t="s">
        <v>739</v>
      </c>
      <c r="I155" s="257">
        <v>0</v>
      </c>
      <c r="J155" s="257">
        <v>0</v>
      </c>
      <c r="K155" s="257">
        <v>0</v>
      </c>
      <c r="L155" s="257">
        <v>0</v>
      </c>
      <c r="M155" s="257">
        <v>0</v>
      </c>
      <c r="N155" s="257">
        <v>0</v>
      </c>
      <c r="O155" s="257">
        <v>0</v>
      </c>
      <c r="P155" s="257">
        <v>0</v>
      </c>
      <c r="Q155" s="258">
        <v>0</v>
      </c>
    </row>
    <row r="156" spans="1:17">
      <c r="A156" s="236">
        <v>1</v>
      </c>
      <c r="B156" s="236">
        <v>6153801</v>
      </c>
      <c r="C156" s="236">
        <v>615380105</v>
      </c>
      <c r="D156" s="236" t="s">
        <v>734</v>
      </c>
      <c r="E156" s="236" t="s">
        <v>735</v>
      </c>
      <c r="F156" s="236" t="s">
        <v>777</v>
      </c>
      <c r="G156" s="236" t="s">
        <v>112</v>
      </c>
      <c r="H156" s="236" t="s">
        <v>740</v>
      </c>
      <c r="I156" s="257">
        <v>0</v>
      </c>
      <c r="J156" s="257">
        <v>0</v>
      </c>
      <c r="K156" s="257">
        <v>0</v>
      </c>
      <c r="L156" s="257">
        <v>0</v>
      </c>
      <c r="M156" s="257">
        <v>0</v>
      </c>
      <c r="N156" s="257">
        <v>0</v>
      </c>
      <c r="O156" s="257">
        <v>0</v>
      </c>
      <c r="P156" s="257">
        <v>0</v>
      </c>
      <c r="Q156" s="258">
        <v>0</v>
      </c>
    </row>
    <row r="157" spans="1:17">
      <c r="A157" s="256">
        <v>1</v>
      </c>
      <c r="B157" s="256">
        <v>6153802</v>
      </c>
      <c r="C157" s="256">
        <v>615380202</v>
      </c>
      <c r="D157" s="256" t="s">
        <v>734</v>
      </c>
      <c r="E157" s="256" t="s">
        <v>735</v>
      </c>
      <c r="F157" s="256" t="s">
        <v>777</v>
      </c>
      <c r="G157" s="256" t="s">
        <v>110</v>
      </c>
      <c r="H157" s="256" t="s">
        <v>741</v>
      </c>
      <c r="I157" s="257">
        <v>4694400</v>
      </c>
      <c r="J157" s="257">
        <v>0</v>
      </c>
      <c r="K157" s="257">
        <v>0</v>
      </c>
      <c r="L157" s="257">
        <v>0</v>
      </c>
      <c r="M157" s="257">
        <v>0</v>
      </c>
      <c r="N157" s="257">
        <v>0</v>
      </c>
      <c r="O157" s="257">
        <v>0</v>
      </c>
      <c r="P157" s="257">
        <v>4694400</v>
      </c>
      <c r="Q157" s="258">
        <v>0</v>
      </c>
    </row>
    <row r="158" spans="1:17">
      <c r="A158" s="256">
        <v>1</v>
      </c>
      <c r="B158" s="256">
        <v>6153803</v>
      </c>
      <c r="C158" s="256">
        <v>615380301</v>
      </c>
      <c r="D158" s="256" t="s">
        <v>734</v>
      </c>
      <c r="E158" s="256" t="s">
        <v>735</v>
      </c>
      <c r="F158" s="256" t="s">
        <v>777</v>
      </c>
      <c r="G158" s="256" t="s">
        <v>108</v>
      </c>
      <c r="H158" s="256" t="s">
        <v>742</v>
      </c>
      <c r="I158" s="257">
        <v>495480</v>
      </c>
      <c r="J158" s="257">
        <v>0</v>
      </c>
      <c r="K158" s="257">
        <v>0</v>
      </c>
      <c r="L158" s="257">
        <v>0</v>
      </c>
      <c r="M158" s="257">
        <v>0</v>
      </c>
      <c r="N158" s="257">
        <v>0</v>
      </c>
      <c r="O158" s="257">
        <v>0</v>
      </c>
      <c r="P158" s="257">
        <v>495480</v>
      </c>
      <c r="Q158" s="258">
        <v>0</v>
      </c>
    </row>
    <row r="159" spans="1:17">
      <c r="A159" s="256">
        <v>1</v>
      </c>
      <c r="B159" s="256">
        <v>6153803</v>
      </c>
      <c r="C159" s="256">
        <v>615380302</v>
      </c>
      <c r="D159" s="256" t="s">
        <v>734</v>
      </c>
      <c r="E159" s="256" t="s">
        <v>735</v>
      </c>
      <c r="F159" s="256" t="s">
        <v>777</v>
      </c>
      <c r="G159" s="256" t="s">
        <v>108</v>
      </c>
      <c r="H159" s="256" t="s">
        <v>743</v>
      </c>
      <c r="I159" s="257">
        <v>260400</v>
      </c>
      <c r="J159" s="257">
        <v>0</v>
      </c>
      <c r="K159" s="257">
        <v>0</v>
      </c>
      <c r="L159" s="257">
        <v>0</v>
      </c>
      <c r="M159" s="257">
        <v>0</v>
      </c>
      <c r="N159" s="257">
        <v>0</v>
      </c>
      <c r="O159" s="257">
        <v>0</v>
      </c>
      <c r="P159" s="257">
        <v>260400</v>
      </c>
      <c r="Q159" s="258">
        <v>0</v>
      </c>
    </row>
    <row r="160" spans="1:17">
      <c r="A160" s="256">
        <v>1</v>
      </c>
      <c r="B160" s="256">
        <v>6153803</v>
      </c>
      <c r="C160" s="256">
        <v>615380303</v>
      </c>
      <c r="D160" s="256" t="s">
        <v>734</v>
      </c>
      <c r="E160" s="256" t="s">
        <v>735</v>
      </c>
      <c r="F160" s="256" t="s">
        <v>777</v>
      </c>
      <c r="G160" s="256" t="s">
        <v>108</v>
      </c>
      <c r="H160" s="256" t="s">
        <v>744</v>
      </c>
      <c r="I160" s="257">
        <v>2237499</v>
      </c>
      <c r="J160" s="257">
        <v>0</v>
      </c>
      <c r="K160" s="257">
        <v>0</v>
      </c>
      <c r="L160" s="257">
        <v>0</v>
      </c>
      <c r="M160" s="257">
        <v>0</v>
      </c>
      <c r="N160" s="257">
        <v>0</v>
      </c>
      <c r="O160" s="257">
        <v>0</v>
      </c>
      <c r="P160" s="257">
        <v>2237499</v>
      </c>
      <c r="Q160" s="258">
        <v>0</v>
      </c>
    </row>
    <row r="161" spans="1:17">
      <c r="A161" s="256">
        <v>1</v>
      </c>
      <c r="B161" s="256">
        <v>6153803</v>
      </c>
      <c r="C161" s="256">
        <v>615380304</v>
      </c>
      <c r="D161" s="256" t="s">
        <v>734</v>
      </c>
      <c r="E161" s="256" t="s">
        <v>735</v>
      </c>
      <c r="F161" s="256" t="s">
        <v>777</v>
      </c>
      <c r="G161" s="256" t="s">
        <v>108</v>
      </c>
      <c r="H161" s="256" t="s">
        <v>745</v>
      </c>
      <c r="I161" s="257">
        <v>168200</v>
      </c>
      <c r="J161" s="257">
        <v>0</v>
      </c>
      <c r="K161" s="257">
        <v>0</v>
      </c>
      <c r="L161" s="257">
        <v>0</v>
      </c>
      <c r="M161" s="257">
        <v>0</v>
      </c>
      <c r="N161" s="257">
        <v>168200</v>
      </c>
      <c r="O161" s="257">
        <v>0</v>
      </c>
      <c r="P161" s="257">
        <v>0</v>
      </c>
      <c r="Q161" s="258">
        <v>0</v>
      </c>
    </row>
    <row r="162" spans="1:17">
      <c r="A162" s="256">
        <v>1</v>
      </c>
      <c r="B162" s="256">
        <v>6153803</v>
      </c>
      <c r="C162" s="256">
        <v>615380305</v>
      </c>
      <c r="D162" s="256" t="s">
        <v>734</v>
      </c>
      <c r="E162" s="256" t="s">
        <v>735</v>
      </c>
      <c r="F162" s="256" t="s">
        <v>777</v>
      </c>
      <c r="G162" s="256" t="s">
        <v>108</v>
      </c>
      <c r="H162" s="256" t="s">
        <v>746</v>
      </c>
      <c r="I162" s="257">
        <v>0</v>
      </c>
      <c r="J162" s="257">
        <v>0</v>
      </c>
      <c r="K162" s="257">
        <v>0</v>
      </c>
      <c r="L162" s="257">
        <v>0</v>
      </c>
      <c r="M162" s="257">
        <v>0</v>
      </c>
      <c r="N162" s="257">
        <v>0</v>
      </c>
      <c r="O162" s="257">
        <v>0</v>
      </c>
      <c r="P162" s="257">
        <v>0</v>
      </c>
      <c r="Q162" s="258">
        <v>0</v>
      </c>
    </row>
    <row r="163" spans="1:17">
      <c r="A163" s="256">
        <v>1</v>
      </c>
      <c r="B163" s="256">
        <v>6153803</v>
      </c>
      <c r="C163" s="256">
        <v>615380306</v>
      </c>
      <c r="D163" s="256" t="s">
        <v>734</v>
      </c>
      <c r="E163" s="256" t="s">
        <v>735</v>
      </c>
      <c r="F163" s="256" t="s">
        <v>777</v>
      </c>
      <c r="G163" s="256" t="s">
        <v>108</v>
      </c>
      <c r="H163" s="256" t="s">
        <v>747</v>
      </c>
      <c r="I163" s="257">
        <v>0</v>
      </c>
      <c r="J163" s="257">
        <v>0</v>
      </c>
      <c r="K163" s="257">
        <v>0</v>
      </c>
      <c r="L163" s="257">
        <v>0</v>
      </c>
      <c r="M163" s="257">
        <v>0</v>
      </c>
      <c r="N163" s="257">
        <v>0</v>
      </c>
      <c r="O163" s="257">
        <v>0</v>
      </c>
      <c r="P163" s="257">
        <v>0</v>
      </c>
      <c r="Q163" s="258">
        <v>0</v>
      </c>
    </row>
    <row r="164" spans="1:17">
      <c r="A164" s="256">
        <v>1</v>
      </c>
      <c r="B164" s="256">
        <v>6153803</v>
      </c>
      <c r="C164" s="256">
        <v>615380307</v>
      </c>
      <c r="D164" s="256" t="s">
        <v>734</v>
      </c>
      <c r="E164" s="256" t="s">
        <v>735</v>
      </c>
      <c r="F164" s="256" t="s">
        <v>777</v>
      </c>
      <c r="G164" s="256" t="s">
        <v>108</v>
      </c>
      <c r="H164" s="256" t="s">
        <v>748</v>
      </c>
      <c r="I164" s="257">
        <v>0</v>
      </c>
      <c r="J164" s="257">
        <v>0</v>
      </c>
      <c r="K164" s="257">
        <v>0</v>
      </c>
      <c r="L164" s="257">
        <v>0</v>
      </c>
      <c r="M164" s="257">
        <v>0</v>
      </c>
      <c r="N164" s="257">
        <v>0</v>
      </c>
      <c r="O164" s="257">
        <v>0</v>
      </c>
      <c r="P164" s="257">
        <v>0</v>
      </c>
      <c r="Q164" s="258">
        <v>0</v>
      </c>
    </row>
    <row r="165" spans="1:17">
      <c r="A165" s="256">
        <v>1</v>
      </c>
      <c r="B165" s="256">
        <v>6153803</v>
      </c>
      <c r="C165" s="256">
        <v>615380310</v>
      </c>
      <c r="D165" s="256" t="s">
        <v>734</v>
      </c>
      <c r="E165" s="256" t="s">
        <v>735</v>
      </c>
      <c r="F165" s="256" t="s">
        <v>777</v>
      </c>
      <c r="G165" s="256" t="s">
        <v>108</v>
      </c>
      <c r="H165" s="256" t="s">
        <v>749</v>
      </c>
      <c r="I165" s="257">
        <v>10281</v>
      </c>
      <c r="J165" s="257">
        <v>0</v>
      </c>
      <c r="K165" s="257">
        <v>0</v>
      </c>
      <c r="L165" s="257">
        <v>0</v>
      </c>
      <c r="M165" s="257">
        <v>0</v>
      </c>
      <c r="N165" s="257">
        <v>0</v>
      </c>
      <c r="O165" s="257">
        <v>0</v>
      </c>
      <c r="P165" s="257">
        <v>10281</v>
      </c>
      <c r="Q165" s="258">
        <v>0</v>
      </c>
    </row>
    <row r="166" spans="1:17">
      <c r="A166" s="256">
        <v>1</v>
      </c>
      <c r="B166" s="256">
        <v>6153803</v>
      </c>
      <c r="C166" s="256">
        <v>615380311</v>
      </c>
      <c r="D166" s="256" t="s">
        <v>734</v>
      </c>
      <c r="E166" s="256" t="s">
        <v>735</v>
      </c>
      <c r="F166" s="256" t="s">
        <v>777</v>
      </c>
      <c r="G166" s="256" t="s">
        <v>108</v>
      </c>
      <c r="H166" s="256" t="s">
        <v>750</v>
      </c>
      <c r="I166" s="257">
        <v>0</v>
      </c>
      <c r="J166" s="257">
        <v>0</v>
      </c>
      <c r="K166" s="257">
        <v>0</v>
      </c>
      <c r="L166" s="257">
        <v>0</v>
      </c>
      <c r="M166" s="257">
        <v>0</v>
      </c>
      <c r="N166" s="257">
        <v>0</v>
      </c>
      <c r="O166" s="257">
        <v>0</v>
      </c>
      <c r="P166" s="257">
        <v>0</v>
      </c>
      <c r="Q166" s="258">
        <v>0</v>
      </c>
    </row>
    <row r="167" spans="1:17">
      <c r="A167" s="256">
        <v>1</v>
      </c>
      <c r="B167" s="256">
        <v>6153803</v>
      </c>
      <c r="C167" s="256">
        <v>615380314</v>
      </c>
      <c r="D167" s="256" t="s">
        <v>734</v>
      </c>
      <c r="E167" s="256" t="s">
        <v>735</v>
      </c>
      <c r="F167" s="256" t="s">
        <v>777</v>
      </c>
      <c r="G167" s="256" t="s">
        <v>108</v>
      </c>
      <c r="H167" s="256" t="s">
        <v>751</v>
      </c>
      <c r="I167" s="257">
        <v>0</v>
      </c>
      <c r="J167" s="257">
        <v>0</v>
      </c>
      <c r="K167" s="257">
        <v>0</v>
      </c>
      <c r="L167" s="257">
        <v>0</v>
      </c>
      <c r="M167" s="257">
        <v>0</v>
      </c>
      <c r="N167" s="257">
        <v>0</v>
      </c>
      <c r="O167" s="257">
        <v>0</v>
      </c>
      <c r="P167" s="257">
        <v>0</v>
      </c>
      <c r="Q167" s="258">
        <v>0</v>
      </c>
    </row>
    <row r="168" spans="1:17">
      <c r="A168" s="256">
        <v>1</v>
      </c>
      <c r="B168" s="256">
        <v>6153803</v>
      </c>
      <c r="C168" s="256">
        <v>615380315</v>
      </c>
      <c r="D168" s="256" t="s">
        <v>734</v>
      </c>
      <c r="E168" s="256" t="s">
        <v>735</v>
      </c>
      <c r="F168" s="256" t="s">
        <v>777</v>
      </c>
      <c r="G168" s="256" t="s">
        <v>108</v>
      </c>
      <c r="H168" s="256" t="s">
        <v>752</v>
      </c>
      <c r="I168" s="257">
        <v>0</v>
      </c>
      <c r="J168" s="257">
        <v>0</v>
      </c>
      <c r="K168" s="257">
        <v>0</v>
      </c>
      <c r="L168" s="257">
        <v>0</v>
      </c>
      <c r="M168" s="257">
        <v>0</v>
      </c>
      <c r="N168" s="257">
        <v>0</v>
      </c>
      <c r="O168" s="257">
        <v>0</v>
      </c>
      <c r="P168" s="257">
        <v>0</v>
      </c>
      <c r="Q168" s="258">
        <v>0</v>
      </c>
    </row>
    <row r="169" spans="1:17">
      <c r="A169" s="256">
        <v>1</v>
      </c>
      <c r="B169" s="256">
        <v>6153804</v>
      </c>
      <c r="C169" s="256">
        <v>615380401</v>
      </c>
      <c r="D169" s="256" t="s">
        <v>734</v>
      </c>
      <c r="E169" s="256" t="s">
        <v>735</v>
      </c>
      <c r="F169" s="256" t="s">
        <v>777</v>
      </c>
      <c r="G169" s="256" t="s">
        <v>106</v>
      </c>
      <c r="H169" s="256" t="s">
        <v>755</v>
      </c>
      <c r="I169" s="257">
        <v>1191868</v>
      </c>
      <c r="J169" s="257">
        <v>0</v>
      </c>
      <c r="K169" s="257">
        <v>0</v>
      </c>
      <c r="L169" s="257">
        <v>0</v>
      </c>
      <c r="M169" s="257">
        <v>0</v>
      </c>
      <c r="N169" s="257">
        <v>0</v>
      </c>
      <c r="O169" s="257">
        <v>1191868</v>
      </c>
      <c r="P169" s="257">
        <v>0</v>
      </c>
      <c r="Q169" s="258">
        <v>0</v>
      </c>
    </row>
    <row r="170" spans="1:17">
      <c r="A170" s="256">
        <v>1</v>
      </c>
      <c r="B170" s="256">
        <v>6153804</v>
      </c>
      <c r="C170" s="256">
        <v>615380402</v>
      </c>
      <c r="D170" s="256" t="s">
        <v>734</v>
      </c>
      <c r="E170" s="256" t="s">
        <v>735</v>
      </c>
      <c r="F170" s="256" t="s">
        <v>777</v>
      </c>
      <c r="G170" s="256" t="s">
        <v>106</v>
      </c>
      <c r="H170" s="256" t="s">
        <v>756</v>
      </c>
      <c r="I170" s="257">
        <v>7032</v>
      </c>
      <c r="J170" s="257">
        <v>0</v>
      </c>
      <c r="K170" s="257">
        <v>0</v>
      </c>
      <c r="L170" s="257">
        <v>0</v>
      </c>
      <c r="M170" s="257">
        <v>0</v>
      </c>
      <c r="N170" s="257">
        <v>0</v>
      </c>
      <c r="O170" s="257">
        <v>0</v>
      </c>
      <c r="P170" s="257">
        <v>7032</v>
      </c>
      <c r="Q170" s="258">
        <v>0</v>
      </c>
    </row>
    <row r="171" spans="1:17">
      <c r="A171" s="256">
        <v>1</v>
      </c>
      <c r="B171" s="256">
        <v>6153804</v>
      </c>
      <c r="C171" s="256">
        <v>615380403</v>
      </c>
      <c r="D171" s="256" t="s">
        <v>734</v>
      </c>
      <c r="E171" s="256" t="s">
        <v>735</v>
      </c>
      <c r="F171" s="256" t="s">
        <v>777</v>
      </c>
      <c r="G171" s="256" t="s">
        <v>106</v>
      </c>
      <c r="H171" s="256" t="s">
        <v>757</v>
      </c>
      <c r="I171" s="257">
        <v>0</v>
      </c>
      <c r="J171" s="257">
        <v>0</v>
      </c>
      <c r="K171" s="257">
        <v>0</v>
      </c>
      <c r="L171" s="257">
        <v>0</v>
      </c>
      <c r="M171" s="257">
        <v>0</v>
      </c>
      <c r="N171" s="257">
        <v>0</v>
      </c>
      <c r="O171" s="257">
        <v>0</v>
      </c>
      <c r="P171" s="257">
        <v>0</v>
      </c>
      <c r="Q171" s="258">
        <v>0</v>
      </c>
    </row>
    <row r="172" spans="1:17">
      <c r="A172" s="256">
        <v>1</v>
      </c>
      <c r="B172" s="256">
        <v>6153804</v>
      </c>
      <c r="C172" s="256">
        <v>615380405</v>
      </c>
      <c r="D172" s="256" t="s">
        <v>734</v>
      </c>
      <c r="E172" s="256" t="s">
        <v>735</v>
      </c>
      <c r="F172" s="256" t="s">
        <v>777</v>
      </c>
      <c r="G172" s="256" t="s">
        <v>106</v>
      </c>
      <c r="H172" s="256" t="s">
        <v>758</v>
      </c>
      <c r="I172" s="257">
        <v>0</v>
      </c>
      <c r="J172" s="257">
        <v>0</v>
      </c>
      <c r="K172" s="257">
        <v>0</v>
      </c>
      <c r="L172" s="257">
        <v>0</v>
      </c>
      <c r="M172" s="257">
        <v>0</v>
      </c>
      <c r="N172" s="257">
        <v>0</v>
      </c>
      <c r="O172" s="257">
        <v>0</v>
      </c>
      <c r="P172" s="257">
        <v>0</v>
      </c>
      <c r="Q172" s="258">
        <v>0</v>
      </c>
    </row>
    <row r="173" spans="1:17">
      <c r="A173" s="256">
        <v>1</v>
      </c>
      <c r="B173" s="256">
        <v>6153804</v>
      </c>
      <c r="C173" s="256">
        <v>615380406</v>
      </c>
      <c r="D173" s="256" t="s">
        <v>734</v>
      </c>
      <c r="E173" s="256" t="s">
        <v>735</v>
      </c>
      <c r="F173" s="256" t="s">
        <v>777</v>
      </c>
      <c r="G173" s="256" t="s">
        <v>106</v>
      </c>
      <c r="H173" s="256" t="s">
        <v>759</v>
      </c>
      <c r="I173" s="257">
        <v>0</v>
      </c>
      <c r="J173" s="257">
        <v>0</v>
      </c>
      <c r="K173" s="257">
        <v>0</v>
      </c>
      <c r="L173" s="257">
        <v>0</v>
      </c>
      <c r="M173" s="257">
        <v>0</v>
      </c>
      <c r="N173" s="257">
        <v>0</v>
      </c>
      <c r="O173" s="257">
        <v>0</v>
      </c>
      <c r="P173" s="257">
        <v>0</v>
      </c>
      <c r="Q173" s="258">
        <v>0</v>
      </c>
    </row>
    <row r="174" spans="1:17">
      <c r="A174" s="256">
        <v>1</v>
      </c>
      <c r="B174" s="256">
        <v>6153804</v>
      </c>
      <c r="C174" s="256">
        <v>615380407</v>
      </c>
      <c r="D174" s="256" t="s">
        <v>734</v>
      </c>
      <c r="E174" s="256" t="s">
        <v>735</v>
      </c>
      <c r="F174" s="256" t="s">
        <v>777</v>
      </c>
      <c r="G174" s="256" t="s">
        <v>106</v>
      </c>
      <c r="H174" s="256" t="s">
        <v>760</v>
      </c>
      <c r="I174" s="257">
        <v>0</v>
      </c>
      <c r="J174" s="257">
        <v>0</v>
      </c>
      <c r="K174" s="257">
        <v>0</v>
      </c>
      <c r="L174" s="257">
        <v>0</v>
      </c>
      <c r="M174" s="257">
        <v>0</v>
      </c>
      <c r="N174" s="257">
        <v>0</v>
      </c>
      <c r="O174" s="257">
        <v>0</v>
      </c>
      <c r="P174" s="257">
        <v>0</v>
      </c>
      <c r="Q174" s="258">
        <v>0</v>
      </c>
    </row>
    <row r="175" spans="1:17">
      <c r="A175" s="256">
        <v>1</v>
      </c>
      <c r="B175" s="256">
        <v>6153804</v>
      </c>
      <c r="C175" s="256">
        <v>615380408</v>
      </c>
      <c r="D175" s="256" t="s">
        <v>734</v>
      </c>
      <c r="E175" s="256" t="s">
        <v>735</v>
      </c>
      <c r="F175" s="256" t="s">
        <v>777</v>
      </c>
      <c r="G175" s="256" t="s">
        <v>106</v>
      </c>
      <c r="H175" s="256" t="s">
        <v>761</v>
      </c>
      <c r="I175" s="257">
        <v>0</v>
      </c>
      <c r="J175" s="257">
        <v>0</v>
      </c>
      <c r="K175" s="257">
        <v>0</v>
      </c>
      <c r="L175" s="257">
        <v>0</v>
      </c>
      <c r="M175" s="257">
        <v>0</v>
      </c>
      <c r="N175" s="257">
        <v>0</v>
      </c>
      <c r="O175" s="257">
        <v>0</v>
      </c>
      <c r="P175" s="257">
        <v>0</v>
      </c>
      <c r="Q175" s="258">
        <v>0</v>
      </c>
    </row>
    <row r="176" spans="1:17">
      <c r="A176" s="256">
        <v>1</v>
      </c>
      <c r="B176" s="256">
        <v>6153804</v>
      </c>
      <c r="C176" s="256">
        <v>615380410</v>
      </c>
      <c r="D176" s="256" t="s">
        <v>734</v>
      </c>
      <c r="E176" s="256" t="s">
        <v>735</v>
      </c>
      <c r="F176" s="256" t="s">
        <v>777</v>
      </c>
      <c r="G176" s="256" t="s">
        <v>106</v>
      </c>
      <c r="H176" s="256" t="s">
        <v>762</v>
      </c>
      <c r="I176" s="257">
        <v>455365</v>
      </c>
      <c r="J176" s="257">
        <v>0</v>
      </c>
      <c r="K176" s="257">
        <v>0</v>
      </c>
      <c r="L176" s="257">
        <v>0</v>
      </c>
      <c r="M176" s="257">
        <v>0</v>
      </c>
      <c r="N176" s="257">
        <v>0</v>
      </c>
      <c r="O176" s="257">
        <v>455365</v>
      </c>
      <c r="P176" s="257">
        <v>0</v>
      </c>
      <c r="Q176" s="258">
        <v>0</v>
      </c>
    </row>
    <row r="177" spans="1:17">
      <c r="A177" s="256">
        <v>1</v>
      </c>
      <c r="B177" s="256">
        <v>6153805</v>
      </c>
      <c r="C177" s="256">
        <v>615380500</v>
      </c>
      <c r="D177" s="256" t="s">
        <v>734</v>
      </c>
      <c r="E177" s="256" t="s">
        <v>735</v>
      </c>
      <c r="F177" s="256" t="s">
        <v>777</v>
      </c>
      <c r="G177" s="256" t="s">
        <v>104</v>
      </c>
      <c r="H177" s="256"/>
      <c r="I177" s="257">
        <v>0</v>
      </c>
      <c r="J177" s="257">
        <v>0</v>
      </c>
      <c r="K177" s="257">
        <v>0</v>
      </c>
      <c r="L177" s="257">
        <v>0</v>
      </c>
      <c r="M177" s="257">
        <v>0</v>
      </c>
      <c r="N177" s="257">
        <v>0</v>
      </c>
      <c r="O177" s="257">
        <v>0</v>
      </c>
      <c r="P177" s="257">
        <v>0</v>
      </c>
      <c r="Q177" s="258">
        <v>0</v>
      </c>
    </row>
    <row r="178" spans="1:17">
      <c r="A178" s="256">
        <v>1</v>
      </c>
      <c r="B178" s="256">
        <v>6153807</v>
      </c>
      <c r="C178" s="256">
        <v>615380700</v>
      </c>
      <c r="D178" s="256" t="s">
        <v>734</v>
      </c>
      <c r="E178" s="256" t="s">
        <v>735</v>
      </c>
      <c r="F178" s="256" t="s">
        <v>777</v>
      </c>
      <c r="G178" s="256" t="s">
        <v>102</v>
      </c>
      <c r="H178" s="256"/>
      <c r="I178" s="257">
        <v>0</v>
      </c>
      <c r="J178" s="257">
        <v>0</v>
      </c>
      <c r="K178" s="257">
        <v>0</v>
      </c>
      <c r="L178" s="257">
        <v>0</v>
      </c>
      <c r="M178" s="257">
        <v>0</v>
      </c>
      <c r="N178" s="257">
        <v>0</v>
      </c>
      <c r="O178" s="257">
        <v>0</v>
      </c>
      <c r="P178" s="257">
        <v>0</v>
      </c>
      <c r="Q178" s="258">
        <v>0</v>
      </c>
    </row>
    <row r="179" spans="1:17">
      <c r="A179" s="256">
        <v>1</v>
      </c>
      <c r="B179" s="256">
        <v>6153808</v>
      </c>
      <c r="C179" s="256">
        <v>615380800</v>
      </c>
      <c r="D179" s="256" t="s">
        <v>734</v>
      </c>
      <c r="E179" s="256" t="s">
        <v>735</v>
      </c>
      <c r="F179" s="256" t="s">
        <v>777</v>
      </c>
      <c r="G179" s="256" t="s">
        <v>100</v>
      </c>
      <c r="H179" s="256"/>
      <c r="I179" s="257">
        <v>534257</v>
      </c>
      <c r="J179" s="257">
        <v>0</v>
      </c>
      <c r="K179" s="257">
        <v>0</v>
      </c>
      <c r="L179" s="257">
        <v>0</v>
      </c>
      <c r="M179" s="257">
        <v>0</v>
      </c>
      <c r="N179" s="257">
        <v>0</v>
      </c>
      <c r="O179" s="257">
        <v>0</v>
      </c>
      <c r="P179" s="257">
        <v>534257</v>
      </c>
      <c r="Q179" s="258">
        <v>0</v>
      </c>
    </row>
    <row r="180" spans="1:17">
      <c r="A180" s="256">
        <v>1</v>
      </c>
      <c r="B180" s="256">
        <v>6153810</v>
      </c>
      <c r="C180" s="256">
        <v>615381001</v>
      </c>
      <c r="D180" s="256" t="s">
        <v>734</v>
      </c>
      <c r="E180" s="256" t="s">
        <v>735</v>
      </c>
      <c r="F180" s="256" t="s">
        <v>777</v>
      </c>
      <c r="G180" s="256" t="s">
        <v>764</v>
      </c>
      <c r="H180" s="256" t="s">
        <v>98</v>
      </c>
      <c r="I180" s="257">
        <v>0</v>
      </c>
      <c r="J180" s="257">
        <v>0</v>
      </c>
      <c r="K180" s="257">
        <v>0</v>
      </c>
      <c r="L180" s="257">
        <v>0</v>
      </c>
      <c r="M180" s="257">
        <v>0</v>
      </c>
      <c r="N180" s="257">
        <v>0</v>
      </c>
      <c r="O180" s="257">
        <v>0</v>
      </c>
      <c r="P180" s="257">
        <v>0</v>
      </c>
      <c r="Q180" s="258">
        <v>0</v>
      </c>
    </row>
    <row r="181" spans="1:17">
      <c r="A181" s="256">
        <v>1</v>
      </c>
      <c r="B181" s="256">
        <v>6153810</v>
      </c>
      <c r="C181" s="256">
        <v>615381002</v>
      </c>
      <c r="D181" s="256" t="s">
        <v>734</v>
      </c>
      <c r="E181" s="256" t="s">
        <v>735</v>
      </c>
      <c r="F181" s="256" t="s">
        <v>777</v>
      </c>
      <c r="G181" s="256" t="s">
        <v>764</v>
      </c>
      <c r="H181" s="256" t="s">
        <v>95</v>
      </c>
      <c r="I181" s="257">
        <v>0</v>
      </c>
      <c r="J181" s="257">
        <v>0</v>
      </c>
      <c r="K181" s="257">
        <v>0</v>
      </c>
      <c r="L181" s="257">
        <v>0</v>
      </c>
      <c r="M181" s="257">
        <v>0</v>
      </c>
      <c r="N181" s="257">
        <v>0</v>
      </c>
      <c r="O181" s="257">
        <v>0</v>
      </c>
      <c r="P181" s="257">
        <v>0</v>
      </c>
      <c r="Q181" s="258">
        <v>0</v>
      </c>
    </row>
    <row r="182" spans="1:17">
      <c r="A182" s="236">
        <v>1</v>
      </c>
      <c r="B182" s="236">
        <v>6153810</v>
      </c>
      <c r="C182" s="236">
        <v>615381003</v>
      </c>
      <c r="D182" s="236" t="s">
        <v>734</v>
      </c>
      <c r="E182" s="236" t="s">
        <v>735</v>
      </c>
      <c r="F182" s="236" t="s">
        <v>777</v>
      </c>
      <c r="G182" s="236" t="s">
        <v>764</v>
      </c>
      <c r="H182" s="236" t="s">
        <v>765</v>
      </c>
      <c r="I182" s="257">
        <v>0</v>
      </c>
      <c r="J182" s="257">
        <v>0</v>
      </c>
      <c r="K182" s="257">
        <v>0</v>
      </c>
      <c r="L182" s="257">
        <v>0</v>
      </c>
      <c r="M182" s="257">
        <v>0</v>
      </c>
      <c r="N182" s="257">
        <v>0</v>
      </c>
      <c r="O182" s="257">
        <v>0</v>
      </c>
      <c r="P182" s="257">
        <v>0</v>
      </c>
      <c r="Q182" s="258">
        <v>0</v>
      </c>
    </row>
    <row r="183" spans="1:17">
      <c r="A183" s="256">
        <v>1</v>
      </c>
      <c r="B183" s="256">
        <v>6153813</v>
      </c>
      <c r="C183" s="256">
        <v>615381300</v>
      </c>
      <c r="D183" s="256" t="s">
        <v>734</v>
      </c>
      <c r="E183" s="256" t="s">
        <v>735</v>
      </c>
      <c r="F183" s="256" t="s">
        <v>777</v>
      </c>
      <c r="G183" s="256" t="s">
        <v>93</v>
      </c>
      <c r="H183" s="256"/>
      <c r="I183" s="257">
        <v>274112</v>
      </c>
      <c r="J183" s="257">
        <v>0</v>
      </c>
      <c r="K183" s="257">
        <v>0</v>
      </c>
      <c r="L183" s="257">
        <v>0</v>
      </c>
      <c r="M183" s="257">
        <v>0</v>
      </c>
      <c r="N183" s="257">
        <v>274112</v>
      </c>
      <c r="O183" s="257">
        <v>0</v>
      </c>
      <c r="P183" s="257">
        <v>0</v>
      </c>
      <c r="Q183" s="258">
        <v>0</v>
      </c>
    </row>
    <row r="184" spans="1:17">
      <c r="A184" s="256">
        <v>1</v>
      </c>
      <c r="B184" s="256">
        <v>6153814</v>
      </c>
      <c r="C184" s="256">
        <v>615381400</v>
      </c>
      <c r="D184" s="256" t="s">
        <v>734</v>
      </c>
      <c r="E184" s="256" t="s">
        <v>735</v>
      </c>
      <c r="F184" s="256" t="s">
        <v>777</v>
      </c>
      <c r="G184" s="256" t="s">
        <v>91</v>
      </c>
      <c r="H184" s="256"/>
      <c r="I184" s="257">
        <v>0</v>
      </c>
      <c r="J184" s="257">
        <v>0</v>
      </c>
      <c r="K184" s="257">
        <v>0</v>
      </c>
      <c r="L184" s="257">
        <v>0</v>
      </c>
      <c r="M184" s="257">
        <v>0</v>
      </c>
      <c r="N184" s="257">
        <v>0</v>
      </c>
      <c r="O184" s="257">
        <v>0</v>
      </c>
      <c r="P184" s="257">
        <v>0</v>
      </c>
      <c r="Q184" s="258">
        <v>0</v>
      </c>
    </row>
    <row r="185" spans="1:17">
      <c r="A185" s="256">
        <v>1</v>
      </c>
      <c r="B185" s="256">
        <v>6153815</v>
      </c>
      <c r="C185" s="256">
        <v>615381500</v>
      </c>
      <c r="D185" s="256" t="s">
        <v>734</v>
      </c>
      <c r="E185" s="256" t="s">
        <v>735</v>
      </c>
      <c r="F185" s="256" t="s">
        <v>777</v>
      </c>
      <c r="G185" s="256" t="s">
        <v>89</v>
      </c>
      <c r="H185" s="256"/>
      <c r="I185" s="257">
        <v>0</v>
      </c>
      <c r="J185" s="257">
        <v>0</v>
      </c>
      <c r="K185" s="257">
        <v>0</v>
      </c>
      <c r="L185" s="257">
        <v>0</v>
      </c>
      <c r="M185" s="257">
        <v>0</v>
      </c>
      <c r="N185" s="257">
        <v>0</v>
      </c>
      <c r="O185" s="257">
        <v>0</v>
      </c>
      <c r="P185" s="257">
        <v>0</v>
      </c>
      <c r="Q185" s="258">
        <v>0</v>
      </c>
    </row>
    <row r="186" spans="1:17">
      <c r="A186" s="256">
        <v>1</v>
      </c>
      <c r="B186" s="256">
        <v>6153817</v>
      </c>
      <c r="C186" s="256">
        <v>615381700</v>
      </c>
      <c r="D186" s="256" t="s">
        <v>734</v>
      </c>
      <c r="E186" s="256" t="s">
        <v>735</v>
      </c>
      <c r="F186" s="256" t="s">
        <v>777</v>
      </c>
      <c r="G186" s="256" t="s">
        <v>87</v>
      </c>
      <c r="H186" s="256"/>
      <c r="I186" s="257">
        <v>75214</v>
      </c>
      <c r="J186" s="257">
        <v>0</v>
      </c>
      <c r="K186" s="257">
        <v>0</v>
      </c>
      <c r="L186" s="257">
        <v>0</v>
      </c>
      <c r="M186" s="257">
        <v>0</v>
      </c>
      <c r="N186" s="257">
        <v>75214</v>
      </c>
      <c r="O186" s="257">
        <v>0</v>
      </c>
      <c r="P186" s="257">
        <v>0</v>
      </c>
      <c r="Q186" s="258">
        <v>0</v>
      </c>
    </row>
    <row r="187" spans="1:17">
      <c r="A187" s="256">
        <v>1</v>
      </c>
      <c r="B187" s="256">
        <v>6153819</v>
      </c>
      <c r="C187" s="256">
        <v>615381900</v>
      </c>
      <c r="D187" s="256" t="s">
        <v>734</v>
      </c>
      <c r="E187" s="256" t="s">
        <v>735</v>
      </c>
      <c r="F187" s="256" t="s">
        <v>777</v>
      </c>
      <c r="G187" s="256" t="s">
        <v>85</v>
      </c>
      <c r="H187" s="256"/>
      <c r="I187" s="257">
        <v>1016</v>
      </c>
      <c r="J187" s="257">
        <v>0</v>
      </c>
      <c r="K187" s="257">
        <v>0</v>
      </c>
      <c r="L187" s="257">
        <v>0</v>
      </c>
      <c r="M187" s="257">
        <v>0</v>
      </c>
      <c r="N187" s="257">
        <v>1016</v>
      </c>
      <c r="O187" s="257">
        <v>0</v>
      </c>
      <c r="P187" s="257">
        <v>0</v>
      </c>
      <c r="Q187" s="258">
        <v>0</v>
      </c>
    </row>
    <row r="188" spans="1:17">
      <c r="A188" s="256">
        <v>1</v>
      </c>
      <c r="B188" s="256">
        <v>6153820</v>
      </c>
      <c r="C188" s="256">
        <v>615382000</v>
      </c>
      <c r="D188" s="256" t="s">
        <v>734</v>
      </c>
      <c r="E188" s="256" t="s">
        <v>735</v>
      </c>
      <c r="F188" s="256" t="s">
        <v>777</v>
      </c>
      <c r="G188" s="256" t="s">
        <v>83</v>
      </c>
      <c r="H188" s="256"/>
      <c r="I188" s="257">
        <v>0</v>
      </c>
      <c r="J188" s="257">
        <v>0</v>
      </c>
      <c r="K188" s="257">
        <v>0</v>
      </c>
      <c r="L188" s="257">
        <v>0</v>
      </c>
      <c r="M188" s="257">
        <v>0</v>
      </c>
      <c r="N188" s="257">
        <v>0</v>
      </c>
      <c r="O188" s="257">
        <v>0</v>
      </c>
      <c r="P188" s="257">
        <v>0</v>
      </c>
      <c r="Q188" s="258">
        <v>0</v>
      </c>
    </row>
    <row r="189" spans="1:17">
      <c r="A189" s="256">
        <v>1</v>
      </c>
      <c r="B189" s="256">
        <v>6153821</v>
      </c>
      <c r="C189" s="256">
        <v>615382100</v>
      </c>
      <c r="D189" s="256" t="s">
        <v>734</v>
      </c>
      <c r="E189" s="256" t="s">
        <v>735</v>
      </c>
      <c r="F189" s="256" t="s">
        <v>777</v>
      </c>
      <c r="G189" s="256" t="s">
        <v>81</v>
      </c>
      <c r="H189" s="256"/>
      <c r="I189" s="257">
        <v>5356549</v>
      </c>
      <c r="J189" s="257">
        <v>0</v>
      </c>
      <c r="K189" s="257">
        <v>0</v>
      </c>
      <c r="L189" s="257">
        <v>0</v>
      </c>
      <c r="M189" s="257">
        <v>0</v>
      </c>
      <c r="N189" s="257">
        <v>5356549</v>
      </c>
      <c r="O189" s="257">
        <v>0</v>
      </c>
      <c r="P189" s="257">
        <v>0</v>
      </c>
      <c r="Q189" s="258">
        <v>0</v>
      </c>
    </row>
    <row r="190" spans="1:17">
      <c r="A190" s="256">
        <v>1</v>
      </c>
      <c r="B190" s="256">
        <v>6153823</v>
      </c>
      <c r="C190" s="256">
        <v>615382300</v>
      </c>
      <c r="D190" s="256" t="s">
        <v>734</v>
      </c>
      <c r="E190" s="256" t="s">
        <v>735</v>
      </c>
      <c r="F190" s="256" t="s">
        <v>777</v>
      </c>
      <c r="G190" s="256" t="s">
        <v>79</v>
      </c>
      <c r="H190" s="256"/>
      <c r="I190" s="257">
        <v>0</v>
      </c>
      <c r="J190" s="257">
        <v>0</v>
      </c>
      <c r="K190" s="257">
        <v>0</v>
      </c>
      <c r="L190" s="257">
        <v>0</v>
      </c>
      <c r="M190" s="257">
        <v>0</v>
      </c>
      <c r="N190" s="257">
        <v>0</v>
      </c>
      <c r="O190" s="257">
        <v>0</v>
      </c>
      <c r="P190" s="257">
        <v>0</v>
      </c>
      <c r="Q190" s="258">
        <v>0</v>
      </c>
    </row>
    <row r="191" spans="1:17">
      <c r="A191" s="256">
        <v>1</v>
      </c>
      <c r="B191" s="256">
        <v>6153824</v>
      </c>
      <c r="C191" s="256">
        <v>615382400</v>
      </c>
      <c r="D191" s="256" t="s">
        <v>734</v>
      </c>
      <c r="E191" s="256" t="s">
        <v>735</v>
      </c>
      <c r="F191" s="256" t="s">
        <v>777</v>
      </c>
      <c r="G191" s="256" t="s">
        <v>77</v>
      </c>
      <c r="H191" s="256"/>
      <c r="I191" s="257">
        <v>0</v>
      </c>
      <c r="J191" s="257">
        <v>0</v>
      </c>
      <c r="K191" s="257">
        <v>0</v>
      </c>
      <c r="L191" s="257">
        <v>0</v>
      </c>
      <c r="M191" s="257">
        <v>0</v>
      </c>
      <c r="N191" s="257">
        <v>0</v>
      </c>
      <c r="O191" s="257">
        <v>0</v>
      </c>
      <c r="P191" s="257">
        <v>0</v>
      </c>
      <c r="Q191" s="258">
        <v>0</v>
      </c>
    </row>
    <row r="192" spans="1:17">
      <c r="A192" s="256">
        <v>1</v>
      </c>
      <c r="B192" s="256">
        <v>6153831</v>
      </c>
      <c r="C192" s="256">
        <v>615383100</v>
      </c>
      <c r="D192" s="256" t="s">
        <v>734</v>
      </c>
      <c r="E192" s="256" t="s">
        <v>735</v>
      </c>
      <c r="F192" s="256" t="s">
        <v>777</v>
      </c>
      <c r="G192" s="256" t="s">
        <v>62</v>
      </c>
      <c r="H192" s="256"/>
      <c r="I192" s="257">
        <v>98684</v>
      </c>
      <c r="J192" s="257">
        <v>0</v>
      </c>
      <c r="K192" s="257">
        <v>0</v>
      </c>
      <c r="L192" s="257">
        <v>0</v>
      </c>
      <c r="M192" s="257">
        <v>0</v>
      </c>
      <c r="N192" s="257">
        <v>98684</v>
      </c>
      <c r="O192" s="257">
        <v>0</v>
      </c>
      <c r="P192" s="257">
        <v>0</v>
      </c>
      <c r="Q192" s="258">
        <v>0</v>
      </c>
    </row>
    <row r="193" spans="1:17">
      <c r="A193" s="256">
        <v>1</v>
      </c>
      <c r="B193" s="256">
        <v>6153837</v>
      </c>
      <c r="C193" s="256">
        <v>615383700</v>
      </c>
      <c r="D193" s="256" t="s">
        <v>734</v>
      </c>
      <c r="E193" s="256" t="s">
        <v>735</v>
      </c>
      <c r="F193" s="256" t="s">
        <v>777</v>
      </c>
      <c r="G193" s="256" t="s">
        <v>60</v>
      </c>
      <c r="H193" s="256"/>
      <c r="I193" s="257">
        <v>0</v>
      </c>
      <c r="J193" s="257">
        <v>0</v>
      </c>
      <c r="K193" s="257">
        <v>0</v>
      </c>
      <c r="L193" s="257">
        <v>0</v>
      </c>
      <c r="M193" s="257">
        <v>0</v>
      </c>
      <c r="N193" s="257">
        <v>0</v>
      </c>
      <c r="O193" s="257">
        <v>0</v>
      </c>
      <c r="P193" s="257">
        <v>0</v>
      </c>
      <c r="Q193" s="258">
        <v>0</v>
      </c>
    </row>
    <row r="194" spans="1:17">
      <c r="A194" s="256">
        <v>1</v>
      </c>
      <c r="B194" s="256">
        <v>6153839</v>
      </c>
      <c r="C194" s="256">
        <v>615383900</v>
      </c>
      <c r="D194" s="256" t="s">
        <v>734</v>
      </c>
      <c r="E194" s="256" t="s">
        <v>735</v>
      </c>
      <c r="F194" s="256" t="s">
        <v>777</v>
      </c>
      <c r="G194" s="256" t="s">
        <v>58</v>
      </c>
      <c r="H194" s="256"/>
      <c r="I194" s="257">
        <v>0</v>
      </c>
      <c r="J194" s="257">
        <v>0</v>
      </c>
      <c r="K194" s="257">
        <v>0</v>
      </c>
      <c r="L194" s="257">
        <v>0</v>
      </c>
      <c r="M194" s="257">
        <v>0</v>
      </c>
      <c r="N194" s="257">
        <v>0</v>
      </c>
      <c r="O194" s="257">
        <v>0</v>
      </c>
      <c r="P194" s="257">
        <v>0</v>
      </c>
      <c r="Q194" s="258">
        <v>0</v>
      </c>
    </row>
    <row r="195" spans="1:17">
      <c r="A195" s="256">
        <v>1</v>
      </c>
      <c r="B195" s="256">
        <v>6153840</v>
      </c>
      <c r="C195" s="256">
        <v>615384000</v>
      </c>
      <c r="D195" s="256" t="s">
        <v>734</v>
      </c>
      <c r="E195" s="256" t="s">
        <v>735</v>
      </c>
      <c r="F195" s="256" t="s">
        <v>777</v>
      </c>
      <c r="G195" s="256" t="s">
        <v>56</v>
      </c>
      <c r="H195" s="256"/>
      <c r="I195" s="257">
        <v>0</v>
      </c>
      <c r="J195" s="257">
        <v>0</v>
      </c>
      <c r="K195" s="257">
        <v>0</v>
      </c>
      <c r="L195" s="257">
        <v>0</v>
      </c>
      <c r="M195" s="257">
        <v>0</v>
      </c>
      <c r="N195" s="257">
        <v>0</v>
      </c>
      <c r="O195" s="257">
        <v>0</v>
      </c>
      <c r="P195" s="257">
        <v>0</v>
      </c>
      <c r="Q195" s="258">
        <v>0</v>
      </c>
    </row>
    <row r="196" spans="1:17">
      <c r="A196" s="256">
        <v>1</v>
      </c>
      <c r="B196" s="256">
        <v>6153841</v>
      </c>
      <c r="C196" s="256">
        <v>615384100</v>
      </c>
      <c r="D196" s="256" t="s">
        <v>734</v>
      </c>
      <c r="E196" s="256" t="s">
        <v>735</v>
      </c>
      <c r="F196" s="256" t="s">
        <v>777</v>
      </c>
      <c r="G196" s="256" t="s">
        <v>55</v>
      </c>
      <c r="H196" s="256"/>
      <c r="I196" s="257">
        <v>0</v>
      </c>
      <c r="J196" s="257">
        <v>0</v>
      </c>
      <c r="K196" s="257">
        <v>0</v>
      </c>
      <c r="L196" s="257">
        <v>0</v>
      </c>
      <c r="M196" s="257">
        <v>0</v>
      </c>
      <c r="N196" s="257">
        <v>0</v>
      </c>
      <c r="O196" s="257">
        <v>0</v>
      </c>
      <c r="P196" s="257">
        <v>0</v>
      </c>
      <c r="Q196" s="258">
        <v>0</v>
      </c>
    </row>
    <row r="197" spans="1:17">
      <c r="A197" s="256">
        <v>1</v>
      </c>
      <c r="B197" s="256">
        <v>6153865</v>
      </c>
      <c r="C197" s="256">
        <v>615386500</v>
      </c>
      <c r="D197" s="256" t="s">
        <v>734</v>
      </c>
      <c r="E197" s="256" t="s">
        <v>735</v>
      </c>
      <c r="F197" s="256" t="s">
        <v>777</v>
      </c>
      <c r="G197" s="256" t="s">
        <v>766</v>
      </c>
      <c r="H197" s="256"/>
      <c r="I197" s="257">
        <v>0</v>
      </c>
      <c r="J197" s="257">
        <v>0</v>
      </c>
      <c r="K197" s="257">
        <v>0</v>
      </c>
      <c r="L197" s="257">
        <v>0</v>
      </c>
      <c r="M197" s="257">
        <v>0</v>
      </c>
      <c r="N197" s="257">
        <v>0</v>
      </c>
      <c r="O197" s="257">
        <v>0</v>
      </c>
      <c r="P197" s="257">
        <v>0</v>
      </c>
      <c r="Q197" s="258">
        <v>0</v>
      </c>
    </row>
    <row r="198" spans="1:17">
      <c r="A198" s="256">
        <v>1</v>
      </c>
      <c r="B198" s="256">
        <v>6153869</v>
      </c>
      <c r="C198" s="256">
        <v>615386900</v>
      </c>
      <c r="D198" s="256" t="s">
        <v>734</v>
      </c>
      <c r="E198" s="256" t="s">
        <v>735</v>
      </c>
      <c r="F198" s="256" t="s">
        <v>777</v>
      </c>
      <c r="G198" s="256" t="s">
        <v>767</v>
      </c>
      <c r="H198" s="256"/>
      <c r="I198" s="257">
        <v>0</v>
      </c>
      <c r="J198" s="257">
        <v>0</v>
      </c>
      <c r="K198" s="257">
        <v>0</v>
      </c>
      <c r="L198" s="257">
        <v>0</v>
      </c>
      <c r="M198" s="257">
        <v>0</v>
      </c>
      <c r="N198" s="257">
        <v>0</v>
      </c>
      <c r="O198" s="257">
        <v>0</v>
      </c>
      <c r="P198" s="257">
        <v>0</v>
      </c>
      <c r="Q198" s="258">
        <v>0</v>
      </c>
    </row>
    <row r="199" spans="1:17">
      <c r="A199" s="256">
        <v>1</v>
      </c>
      <c r="B199" s="256">
        <v>6153870</v>
      </c>
      <c r="C199" s="256">
        <v>615387000</v>
      </c>
      <c r="D199" s="256" t="s">
        <v>734</v>
      </c>
      <c r="E199" s="256" t="s">
        <v>735</v>
      </c>
      <c r="F199" s="256" t="s">
        <v>777</v>
      </c>
      <c r="G199" s="256" t="s">
        <v>768</v>
      </c>
      <c r="H199" s="256"/>
      <c r="I199" s="257">
        <v>0</v>
      </c>
      <c r="J199" s="257">
        <v>0</v>
      </c>
      <c r="K199" s="257">
        <v>0</v>
      </c>
      <c r="L199" s="257">
        <v>0</v>
      </c>
      <c r="M199" s="257">
        <v>0</v>
      </c>
      <c r="N199" s="257">
        <v>0</v>
      </c>
      <c r="O199" s="257">
        <v>0</v>
      </c>
      <c r="P199" s="257">
        <v>0</v>
      </c>
      <c r="Q199" s="258">
        <v>0</v>
      </c>
    </row>
    <row r="200" spans="1:17">
      <c r="A200" s="256">
        <v>1</v>
      </c>
      <c r="B200" s="256">
        <v>6153871</v>
      </c>
      <c r="C200" s="256">
        <v>615387100</v>
      </c>
      <c r="D200" s="256" t="s">
        <v>734</v>
      </c>
      <c r="E200" s="256" t="s">
        <v>735</v>
      </c>
      <c r="F200" s="256" t="s">
        <v>777</v>
      </c>
      <c r="G200" s="256" t="s">
        <v>769</v>
      </c>
      <c r="H200" s="256"/>
      <c r="I200" s="257">
        <v>0</v>
      </c>
      <c r="J200" s="257">
        <v>0</v>
      </c>
      <c r="K200" s="257">
        <v>0</v>
      </c>
      <c r="L200" s="257">
        <v>0</v>
      </c>
      <c r="M200" s="257">
        <v>0</v>
      </c>
      <c r="N200" s="257">
        <v>0</v>
      </c>
      <c r="O200" s="257">
        <v>0</v>
      </c>
      <c r="P200" s="257">
        <v>0</v>
      </c>
      <c r="Q200" s="258">
        <v>0</v>
      </c>
    </row>
    <row r="201" spans="1:17">
      <c r="A201" s="256">
        <v>1</v>
      </c>
      <c r="B201" s="256">
        <v>6153872</v>
      </c>
      <c r="C201" s="256">
        <v>615387200</v>
      </c>
      <c r="D201" s="256" t="s">
        <v>734</v>
      </c>
      <c r="E201" s="256" t="s">
        <v>735</v>
      </c>
      <c r="F201" s="256" t="s">
        <v>777</v>
      </c>
      <c r="G201" s="256" t="s">
        <v>770</v>
      </c>
      <c r="H201" s="256"/>
      <c r="I201" s="257">
        <v>0</v>
      </c>
      <c r="J201" s="257">
        <v>0</v>
      </c>
      <c r="K201" s="257">
        <v>0</v>
      </c>
      <c r="L201" s="257">
        <v>0</v>
      </c>
      <c r="M201" s="257">
        <v>0</v>
      </c>
      <c r="N201" s="257">
        <v>0</v>
      </c>
      <c r="O201" s="257">
        <v>0</v>
      </c>
      <c r="P201" s="257">
        <v>0</v>
      </c>
      <c r="Q201" s="258">
        <v>0</v>
      </c>
    </row>
    <row r="202" spans="1:17">
      <c r="A202" s="256">
        <v>1</v>
      </c>
      <c r="B202" s="256">
        <v>6153873</v>
      </c>
      <c r="C202" s="256">
        <v>615387300</v>
      </c>
      <c r="D202" s="256" t="s">
        <v>734</v>
      </c>
      <c r="E202" s="256" t="s">
        <v>735</v>
      </c>
      <c r="F202" s="256" t="s">
        <v>777</v>
      </c>
      <c r="G202" s="256" t="s">
        <v>771</v>
      </c>
      <c r="H202" s="256"/>
      <c r="I202" s="257">
        <v>0</v>
      </c>
      <c r="J202" s="257">
        <v>0</v>
      </c>
      <c r="K202" s="257">
        <v>0</v>
      </c>
      <c r="L202" s="257">
        <v>0</v>
      </c>
      <c r="M202" s="257">
        <v>0</v>
      </c>
      <c r="N202" s="257">
        <v>0</v>
      </c>
      <c r="O202" s="257">
        <v>0</v>
      </c>
      <c r="P202" s="257">
        <v>0</v>
      </c>
      <c r="Q202" s="258">
        <v>0</v>
      </c>
    </row>
    <row r="203" spans="1:17">
      <c r="A203" s="256">
        <v>1</v>
      </c>
      <c r="B203" s="256">
        <v>6153874</v>
      </c>
      <c r="C203" s="256">
        <v>615387400</v>
      </c>
      <c r="D203" s="256" t="s">
        <v>734</v>
      </c>
      <c r="E203" s="256" t="s">
        <v>735</v>
      </c>
      <c r="F203" s="256" t="s">
        <v>777</v>
      </c>
      <c r="G203" s="256" t="s">
        <v>772</v>
      </c>
      <c r="H203" s="256"/>
      <c r="I203" s="257">
        <v>0</v>
      </c>
      <c r="J203" s="257">
        <v>0</v>
      </c>
      <c r="K203" s="257">
        <v>0</v>
      </c>
      <c r="L203" s="257">
        <v>0</v>
      </c>
      <c r="M203" s="257">
        <v>0</v>
      </c>
      <c r="N203" s="257">
        <v>0</v>
      </c>
      <c r="O203" s="257">
        <v>0</v>
      </c>
      <c r="P203" s="257">
        <v>0</v>
      </c>
      <c r="Q203" s="258">
        <v>0</v>
      </c>
    </row>
    <row r="204" spans="1:17">
      <c r="A204" s="256">
        <v>1</v>
      </c>
      <c r="B204" s="256">
        <v>6153875</v>
      </c>
      <c r="C204" s="256">
        <v>615387583</v>
      </c>
      <c r="D204" s="256" t="s">
        <v>734</v>
      </c>
      <c r="E204" s="256" t="s">
        <v>735</v>
      </c>
      <c r="F204" s="256" t="s">
        <v>777</v>
      </c>
      <c r="G204" s="256" t="s">
        <v>773</v>
      </c>
      <c r="H204" s="256" t="s">
        <v>75</v>
      </c>
      <c r="I204" s="257">
        <v>0</v>
      </c>
      <c r="J204" s="257">
        <v>0</v>
      </c>
      <c r="K204" s="257">
        <v>0</v>
      </c>
      <c r="L204" s="257">
        <v>0</v>
      </c>
      <c r="M204" s="257">
        <v>0</v>
      </c>
      <c r="N204" s="257">
        <v>0</v>
      </c>
      <c r="O204" s="257">
        <v>0</v>
      </c>
      <c r="P204" s="257">
        <v>0</v>
      </c>
      <c r="Q204" s="258">
        <v>0</v>
      </c>
    </row>
    <row r="205" spans="1:17">
      <c r="A205" s="256">
        <v>1</v>
      </c>
      <c r="B205" s="256">
        <v>6153875</v>
      </c>
      <c r="C205" s="256">
        <v>615387584</v>
      </c>
      <c r="D205" s="256" t="s">
        <v>734</v>
      </c>
      <c r="E205" s="256" t="s">
        <v>735</v>
      </c>
      <c r="F205" s="256" t="s">
        <v>777</v>
      </c>
      <c r="G205" s="256" t="s">
        <v>773</v>
      </c>
      <c r="H205" s="256" t="s">
        <v>774</v>
      </c>
      <c r="I205" s="257">
        <v>0</v>
      </c>
      <c r="J205" s="257">
        <v>0</v>
      </c>
      <c r="K205" s="257">
        <v>0</v>
      </c>
      <c r="L205" s="257">
        <v>0</v>
      </c>
      <c r="M205" s="257">
        <v>0</v>
      </c>
      <c r="N205" s="257">
        <v>0</v>
      </c>
      <c r="O205" s="257">
        <v>0</v>
      </c>
      <c r="P205" s="257">
        <v>0</v>
      </c>
      <c r="Q205" s="258">
        <v>0</v>
      </c>
    </row>
    <row r="206" spans="1:17">
      <c r="A206" s="256">
        <v>1</v>
      </c>
      <c r="B206" s="256">
        <v>6153875</v>
      </c>
      <c r="C206" s="256">
        <v>615387585</v>
      </c>
      <c r="D206" s="256" t="s">
        <v>734</v>
      </c>
      <c r="E206" s="256" t="s">
        <v>735</v>
      </c>
      <c r="F206" s="256" t="s">
        <v>777</v>
      </c>
      <c r="G206" s="256" t="s">
        <v>773</v>
      </c>
      <c r="H206" s="256" t="s">
        <v>775</v>
      </c>
      <c r="I206" s="257">
        <v>0</v>
      </c>
      <c r="J206" s="257">
        <v>0</v>
      </c>
      <c r="K206" s="257">
        <v>0</v>
      </c>
      <c r="L206" s="257">
        <v>0</v>
      </c>
      <c r="M206" s="257">
        <v>0</v>
      </c>
      <c r="N206" s="257">
        <v>0</v>
      </c>
      <c r="O206" s="257">
        <v>0</v>
      </c>
      <c r="P206" s="257">
        <v>0</v>
      </c>
      <c r="Q206" s="258">
        <v>0</v>
      </c>
    </row>
    <row r="207" spans="1:17">
      <c r="A207" s="256">
        <v>1</v>
      </c>
      <c r="B207" s="256">
        <v>6153875</v>
      </c>
      <c r="C207" s="256">
        <v>615387586</v>
      </c>
      <c r="D207" s="256" t="s">
        <v>734</v>
      </c>
      <c r="E207" s="256" t="s">
        <v>735</v>
      </c>
      <c r="F207" s="256" t="s">
        <v>777</v>
      </c>
      <c r="G207" s="256" t="s">
        <v>773</v>
      </c>
      <c r="H207" s="256" t="s">
        <v>776</v>
      </c>
      <c r="I207" s="257">
        <v>0</v>
      </c>
      <c r="J207" s="257">
        <v>0</v>
      </c>
      <c r="K207" s="257">
        <v>0</v>
      </c>
      <c r="L207" s="257">
        <v>0</v>
      </c>
      <c r="M207" s="257">
        <v>0</v>
      </c>
      <c r="N207" s="257">
        <v>0</v>
      </c>
      <c r="O207" s="257">
        <v>0</v>
      </c>
      <c r="P207" s="257">
        <v>0</v>
      </c>
      <c r="Q207" s="258">
        <v>0</v>
      </c>
    </row>
    <row r="208" spans="1:17">
      <c r="A208" s="256">
        <v>1</v>
      </c>
      <c r="B208" s="256">
        <v>6153875</v>
      </c>
      <c r="C208" s="256">
        <v>615387587</v>
      </c>
      <c r="D208" s="256" t="s">
        <v>734</v>
      </c>
      <c r="E208" s="256" t="s">
        <v>735</v>
      </c>
      <c r="F208" s="256" t="s">
        <v>777</v>
      </c>
      <c r="G208" s="256" t="s">
        <v>773</v>
      </c>
      <c r="H208" s="256" t="s">
        <v>665</v>
      </c>
      <c r="I208" s="257">
        <v>0</v>
      </c>
      <c r="J208" s="257">
        <v>0</v>
      </c>
      <c r="K208" s="257">
        <v>0</v>
      </c>
      <c r="L208" s="257">
        <v>0</v>
      </c>
      <c r="M208" s="257">
        <v>0</v>
      </c>
      <c r="N208" s="257">
        <v>0</v>
      </c>
      <c r="O208" s="257">
        <v>0</v>
      </c>
      <c r="P208" s="257">
        <v>0</v>
      </c>
      <c r="Q208" s="258">
        <v>0</v>
      </c>
    </row>
    <row r="209" spans="1:17">
      <c r="A209" s="256">
        <v>1</v>
      </c>
      <c r="B209" s="256">
        <v>6154075</v>
      </c>
      <c r="C209" s="256">
        <v>615407583</v>
      </c>
      <c r="D209" s="256" t="s">
        <v>734</v>
      </c>
      <c r="E209" s="256" t="s">
        <v>735</v>
      </c>
      <c r="F209" s="256" t="s">
        <v>778</v>
      </c>
      <c r="G209" s="256" t="s">
        <v>773</v>
      </c>
      <c r="H209" s="256" t="s">
        <v>75</v>
      </c>
      <c r="I209" s="257">
        <v>0</v>
      </c>
      <c r="J209" s="257">
        <v>0</v>
      </c>
      <c r="K209" s="257">
        <v>0</v>
      </c>
      <c r="L209" s="257">
        <v>0</v>
      </c>
      <c r="M209" s="257">
        <v>0</v>
      </c>
      <c r="N209" s="257">
        <v>0</v>
      </c>
      <c r="O209" s="257">
        <v>0</v>
      </c>
      <c r="P209" s="257">
        <v>0</v>
      </c>
      <c r="Q209" s="258">
        <v>0</v>
      </c>
    </row>
    <row r="210" spans="1:17">
      <c r="A210" s="256">
        <v>1</v>
      </c>
      <c r="B210" s="256">
        <v>6154075</v>
      </c>
      <c r="C210" s="256">
        <v>615407584</v>
      </c>
      <c r="D210" s="256" t="s">
        <v>734</v>
      </c>
      <c r="E210" s="256" t="s">
        <v>735</v>
      </c>
      <c r="F210" s="256" t="s">
        <v>778</v>
      </c>
      <c r="G210" s="256" t="s">
        <v>773</v>
      </c>
      <c r="H210" s="256" t="s">
        <v>774</v>
      </c>
      <c r="I210" s="257">
        <v>0</v>
      </c>
      <c r="J210" s="257">
        <v>0</v>
      </c>
      <c r="K210" s="257">
        <v>0</v>
      </c>
      <c r="L210" s="257">
        <v>0</v>
      </c>
      <c r="M210" s="257">
        <v>0</v>
      </c>
      <c r="N210" s="257">
        <v>0</v>
      </c>
      <c r="O210" s="257">
        <v>0</v>
      </c>
      <c r="P210" s="257">
        <v>0</v>
      </c>
      <c r="Q210" s="258">
        <v>0</v>
      </c>
    </row>
    <row r="211" spans="1:17">
      <c r="A211" s="256">
        <v>1</v>
      </c>
      <c r="B211" s="256">
        <v>6154075</v>
      </c>
      <c r="C211" s="256">
        <v>615407585</v>
      </c>
      <c r="D211" s="256" t="s">
        <v>734</v>
      </c>
      <c r="E211" s="256" t="s">
        <v>735</v>
      </c>
      <c r="F211" s="256" t="s">
        <v>778</v>
      </c>
      <c r="G211" s="256" t="s">
        <v>773</v>
      </c>
      <c r="H211" s="256" t="s">
        <v>775</v>
      </c>
      <c r="I211" s="257">
        <v>0</v>
      </c>
      <c r="J211" s="257">
        <v>0</v>
      </c>
      <c r="K211" s="257">
        <v>0</v>
      </c>
      <c r="L211" s="257">
        <v>0</v>
      </c>
      <c r="M211" s="257">
        <v>0</v>
      </c>
      <c r="N211" s="257">
        <v>0</v>
      </c>
      <c r="O211" s="257">
        <v>0</v>
      </c>
      <c r="P211" s="257">
        <v>0</v>
      </c>
      <c r="Q211" s="258">
        <v>0</v>
      </c>
    </row>
    <row r="212" spans="1:17">
      <c r="A212" s="256">
        <v>1</v>
      </c>
      <c r="B212" s="256">
        <v>6154075</v>
      </c>
      <c r="C212" s="256">
        <v>615407586</v>
      </c>
      <c r="D212" s="256" t="s">
        <v>734</v>
      </c>
      <c r="E212" s="256" t="s">
        <v>735</v>
      </c>
      <c r="F212" s="256" t="s">
        <v>778</v>
      </c>
      <c r="G212" s="256" t="s">
        <v>773</v>
      </c>
      <c r="H212" s="256" t="s">
        <v>776</v>
      </c>
      <c r="I212" s="257">
        <v>0</v>
      </c>
      <c r="J212" s="257">
        <v>0</v>
      </c>
      <c r="K212" s="257">
        <v>0</v>
      </c>
      <c r="L212" s="257">
        <v>0</v>
      </c>
      <c r="M212" s="257">
        <v>0</v>
      </c>
      <c r="N212" s="257">
        <v>0</v>
      </c>
      <c r="O212" s="257">
        <v>0</v>
      </c>
      <c r="P212" s="257">
        <v>0</v>
      </c>
      <c r="Q212" s="258">
        <v>0</v>
      </c>
    </row>
    <row r="213" spans="1:17">
      <c r="A213" s="256">
        <v>1</v>
      </c>
      <c r="B213" s="256">
        <v>6154075</v>
      </c>
      <c r="C213" s="256">
        <v>615407587</v>
      </c>
      <c r="D213" s="256" t="s">
        <v>734</v>
      </c>
      <c r="E213" s="256" t="s">
        <v>735</v>
      </c>
      <c r="F213" s="256" t="s">
        <v>778</v>
      </c>
      <c r="G213" s="256" t="s">
        <v>773</v>
      </c>
      <c r="H213" s="256" t="s">
        <v>665</v>
      </c>
      <c r="I213" s="257">
        <v>0</v>
      </c>
      <c r="J213" s="257">
        <v>0</v>
      </c>
      <c r="K213" s="257">
        <v>0</v>
      </c>
      <c r="L213" s="257">
        <v>0</v>
      </c>
      <c r="M213" s="257">
        <v>0</v>
      </c>
      <c r="N213" s="257">
        <v>0</v>
      </c>
      <c r="O213" s="257">
        <v>0</v>
      </c>
      <c r="P213" s="257">
        <v>0</v>
      </c>
      <c r="Q213" s="258">
        <v>0</v>
      </c>
    </row>
    <row r="214" spans="1:17">
      <c r="A214" s="256">
        <v>1</v>
      </c>
      <c r="B214" s="256">
        <v>6154201</v>
      </c>
      <c r="C214" s="256">
        <v>615420102</v>
      </c>
      <c r="D214" s="256" t="s">
        <v>734</v>
      </c>
      <c r="E214" s="256" t="s">
        <v>735</v>
      </c>
      <c r="F214" s="256" t="s">
        <v>779</v>
      </c>
      <c r="G214" s="256" t="s">
        <v>112</v>
      </c>
      <c r="H214" s="256" t="s">
        <v>737</v>
      </c>
      <c r="I214" s="257">
        <v>0</v>
      </c>
      <c r="J214" s="257">
        <v>0</v>
      </c>
      <c r="K214" s="257">
        <v>0</v>
      </c>
      <c r="L214" s="257">
        <v>0</v>
      </c>
      <c r="M214" s="257">
        <v>0</v>
      </c>
      <c r="N214" s="257">
        <v>0</v>
      </c>
      <c r="O214" s="257">
        <v>0</v>
      </c>
      <c r="P214" s="257">
        <v>0</v>
      </c>
      <c r="Q214" s="258">
        <v>0</v>
      </c>
    </row>
    <row r="215" spans="1:17">
      <c r="A215" s="256">
        <v>1</v>
      </c>
      <c r="B215" s="256">
        <v>6154201</v>
      </c>
      <c r="C215" s="256">
        <v>615420103</v>
      </c>
      <c r="D215" s="256" t="s">
        <v>734</v>
      </c>
      <c r="E215" s="256" t="s">
        <v>735</v>
      </c>
      <c r="F215" s="256" t="s">
        <v>779</v>
      </c>
      <c r="G215" s="256" t="s">
        <v>112</v>
      </c>
      <c r="H215" s="256" t="s">
        <v>738</v>
      </c>
      <c r="I215" s="257">
        <v>0</v>
      </c>
      <c r="J215" s="257">
        <v>0</v>
      </c>
      <c r="K215" s="257">
        <v>0</v>
      </c>
      <c r="L215" s="257">
        <v>0</v>
      </c>
      <c r="M215" s="257">
        <v>0</v>
      </c>
      <c r="N215" s="257">
        <v>0</v>
      </c>
      <c r="O215" s="257">
        <v>0</v>
      </c>
      <c r="P215" s="257">
        <v>0</v>
      </c>
      <c r="Q215" s="258">
        <v>0</v>
      </c>
    </row>
    <row r="216" spans="1:17">
      <c r="A216" s="256">
        <v>1</v>
      </c>
      <c r="B216" s="256">
        <v>6154201</v>
      </c>
      <c r="C216" s="256">
        <v>615420104</v>
      </c>
      <c r="D216" s="256" t="s">
        <v>734</v>
      </c>
      <c r="E216" s="256" t="s">
        <v>735</v>
      </c>
      <c r="F216" s="256" t="s">
        <v>779</v>
      </c>
      <c r="G216" s="256" t="s">
        <v>112</v>
      </c>
      <c r="H216" s="256" t="s">
        <v>739</v>
      </c>
      <c r="I216" s="257">
        <v>0</v>
      </c>
      <c r="J216" s="257">
        <v>0</v>
      </c>
      <c r="K216" s="257">
        <v>0</v>
      </c>
      <c r="L216" s="257">
        <v>0</v>
      </c>
      <c r="M216" s="257">
        <v>0</v>
      </c>
      <c r="N216" s="257">
        <v>0</v>
      </c>
      <c r="O216" s="257">
        <v>0</v>
      </c>
      <c r="P216" s="257">
        <v>0</v>
      </c>
      <c r="Q216" s="258">
        <v>0</v>
      </c>
    </row>
    <row r="217" spans="1:17">
      <c r="A217" s="236">
        <v>1</v>
      </c>
      <c r="B217" s="236">
        <v>6154201</v>
      </c>
      <c r="C217" s="236">
        <v>615420105</v>
      </c>
      <c r="D217" s="236" t="s">
        <v>734</v>
      </c>
      <c r="E217" s="236" t="s">
        <v>735</v>
      </c>
      <c r="F217" s="236" t="s">
        <v>779</v>
      </c>
      <c r="G217" s="236" t="s">
        <v>112</v>
      </c>
      <c r="H217" s="236" t="s">
        <v>740</v>
      </c>
      <c r="I217" s="257">
        <v>0</v>
      </c>
      <c r="J217" s="257">
        <v>0</v>
      </c>
      <c r="K217" s="257">
        <v>0</v>
      </c>
      <c r="L217" s="257">
        <v>0</v>
      </c>
      <c r="M217" s="257">
        <v>0</v>
      </c>
      <c r="N217" s="257">
        <v>0</v>
      </c>
      <c r="O217" s="257">
        <v>0</v>
      </c>
      <c r="P217" s="257">
        <v>0</v>
      </c>
      <c r="Q217" s="258">
        <v>0</v>
      </c>
    </row>
    <row r="218" spans="1:17">
      <c r="A218" s="256">
        <v>1</v>
      </c>
      <c r="B218" s="256">
        <v>6154202</v>
      </c>
      <c r="C218" s="256">
        <v>615420202</v>
      </c>
      <c r="D218" s="256" t="s">
        <v>734</v>
      </c>
      <c r="E218" s="256" t="s">
        <v>735</v>
      </c>
      <c r="F218" s="256" t="s">
        <v>779</v>
      </c>
      <c r="G218" s="256" t="s">
        <v>110</v>
      </c>
      <c r="H218" s="256" t="s">
        <v>741</v>
      </c>
      <c r="I218" s="257">
        <v>67726400</v>
      </c>
      <c r="J218" s="257">
        <v>0</v>
      </c>
      <c r="K218" s="257">
        <v>0</v>
      </c>
      <c r="L218" s="257">
        <v>0</v>
      </c>
      <c r="M218" s="257">
        <v>0</v>
      </c>
      <c r="N218" s="257">
        <v>0</v>
      </c>
      <c r="O218" s="257">
        <v>0</v>
      </c>
      <c r="P218" s="257">
        <v>67726400</v>
      </c>
      <c r="Q218" s="258">
        <v>0</v>
      </c>
    </row>
    <row r="219" spans="1:17">
      <c r="A219" s="256">
        <v>1</v>
      </c>
      <c r="B219" s="256">
        <v>6154203</v>
      </c>
      <c r="C219" s="256">
        <v>615420301</v>
      </c>
      <c r="D219" s="256" t="s">
        <v>734</v>
      </c>
      <c r="E219" s="256" t="s">
        <v>735</v>
      </c>
      <c r="F219" s="256" t="s">
        <v>779</v>
      </c>
      <c r="G219" s="256" t="s">
        <v>108</v>
      </c>
      <c r="H219" s="256" t="s">
        <v>742</v>
      </c>
      <c r="I219" s="257">
        <v>7045640</v>
      </c>
      <c r="J219" s="257">
        <v>0</v>
      </c>
      <c r="K219" s="257">
        <v>0</v>
      </c>
      <c r="L219" s="257">
        <v>0</v>
      </c>
      <c r="M219" s="257">
        <v>0</v>
      </c>
      <c r="N219" s="257">
        <v>0</v>
      </c>
      <c r="O219" s="257">
        <v>0</v>
      </c>
      <c r="P219" s="257">
        <v>7045640</v>
      </c>
      <c r="Q219" s="258">
        <v>0</v>
      </c>
    </row>
    <row r="220" spans="1:17">
      <c r="A220" s="256">
        <v>1</v>
      </c>
      <c r="B220" s="256">
        <v>6154203</v>
      </c>
      <c r="C220" s="256">
        <v>615420302</v>
      </c>
      <c r="D220" s="256" t="s">
        <v>734</v>
      </c>
      <c r="E220" s="256" t="s">
        <v>735</v>
      </c>
      <c r="F220" s="256" t="s">
        <v>779</v>
      </c>
      <c r="G220" s="256" t="s">
        <v>108</v>
      </c>
      <c r="H220" s="256" t="s">
        <v>743</v>
      </c>
      <c r="I220" s="257">
        <v>1964400</v>
      </c>
      <c r="J220" s="257">
        <v>0</v>
      </c>
      <c r="K220" s="257">
        <v>0</v>
      </c>
      <c r="L220" s="257">
        <v>0</v>
      </c>
      <c r="M220" s="257">
        <v>0</v>
      </c>
      <c r="N220" s="257">
        <v>0</v>
      </c>
      <c r="O220" s="257">
        <v>0</v>
      </c>
      <c r="P220" s="257">
        <v>1964400</v>
      </c>
      <c r="Q220" s="258">
        <v>0</v>
      </c>
    </row>
    <row r="221" spans="1:17">
      <c r="A221" s="256">
        <v>1</v>
      </c>
      <c r="B221" s="256">
        <v>6154203</v>
      </c>
      <c r="C221" s="256">
        <v>615420303</v>
      </c>
      <c r="D221" s="256" t="s">
        <v>734</v>
      </c>
      <c r="E221" s="256" t="s">
        <v>735</v>
      </c>
      <c r="F221" s="256" t="s">
        <v>779</v>
      </c>
      <c r="G221" s="256" t="s">
        <v>108</v>
      </c>
      <c r="H221" s="256" t="s">
        <v>744</v>
      </c>
      <c r="I221" s="257">
        <v>29010974</v>
      </c>
      <c r="J221" s="257">
        <v>0</v>
      </c>
      <c r="K221" s="257">
        <v>0</v>
      </c>
      <c r="L221" s="257">
        <v>0</v>
      </c>
      <c r="M221" s="257">
        <v>0</v>
      </c>
      <c r="N221" s="257">
        <v>0</v>
      </c>
      <c r="O221" s="257">
        <v>0</v>
      </c>
      <c r="P221" s="257">
        <v>29010974</v>
      </c>
      <c r="Q221" s="258">
        <v>0</v>
      </c>
    </row>
    <row r="222" spans="1:17">
      <c r="A222" s="256">
        <v>1</v>
      </c>
      <c r="B222" s="256">
        <v>6154203</v>
      </c>
      <c r="C222" s="256">
        <v>615420304</v>
      </c>
      <c r="D222" s="256" t="s">
        <v>734</v>
      </c>
      <c r="E222" s="256" t="s">
        <v>735</v>
      </c>
      <c r="F222" s="256" t="s">
        <v>779</v>
      </c>
      <c r="G222" s="256" t="s">
        <v>108</v>
      </c>
      <c r="H222" s="256" t="s">
        <v>745</v>
      </c>
      <c r="I222" s="257">
        <v>2482140</v>
      </c>
      <c r="J222" s="257">
        <v>0</v>
      </c>
      <c r="K222" s="257">
        <v>0</v>
      </c>
      <c r="L222" s="257">
        <v>0</v>
      </c>
      <c r="M222" s="257">
        <v>0</v>
      </c>
      <c r="N222" s="257">
        <v>2482140</v>
      </c>
      <c r="O222" s="257">
        <v>0</v>
      </c>
      <c r="P222" s="257">
        <v>0</v>
      </c>
      <c r="Q222" s="258">
        <v>0</v>
      </c>
    </row>
    <row r="223" spans="1:17">
      <c r="A223" s="256">
        <v>1</v>
      </c>
      <c r="B223" s="256">
        <v>6154203</v>
      </c>
      <c r="C223" s="256">
        <v>615420305</v>
      </c>
      <c r="D223" s="256" t="s">
        <v>734</v>
      </c>
      <c r="E223" s="256" t="s">
        <v>735</v>
      </c>
      <c r="F223" s="256" t="s">
        <v>779</v>
      </c>
      <c r="G223" s="256" t="s">
        <v>108</v>
      </c>
      <c r="H223" s="256" t="s">
        <v>746</v>
      </c>
      <c r="I223" s="257">
        <v>765600</v>
      </c>
      <c r="J223" s="257">
        <v>0</v>
      </c>
      <c r="K223" s="257">
        <v>0</v>
      </c>
      <c r="L223" s="257">
        <v>0</v>
      </c>
      <c r="M223" s="257">
        <v>0</v>
      </c>
      <c r="N223" s="257">
        <v>0</v>
      </c>
      <c r="O223" s="257">
        <v>0</v>
      </c>
      <c r="P223" s="257">
        <v>765600</v>
      </c>
      <c r="Q223" s="258">
        <v>0</v>
      </c>
    </row>
    <row r="224" spans="1:17">
      <c r="A224" s="256">
        <v>1</v>
      </c>
      <c r="B224" s="256">
        <v>6154203</v>
      </c>
      <c r="C224" s="256">
        <v>615420306</v>
      </c>
      <c r="D224" s="256" t="s">
        <v>734</v>
      </c>
      <c r="E224" s="256" t="s">
        <v>735</v>
      </c>
      <c r="F224" s="256" t="s">
        <v>779</v>
      </c>
      <c r="G224" s="256" t="s">
        <v>108</v>
      </c>
      <c r="H224" s="256" t="s">
        <v>747</v>
      </c>
      <c r="I224" s="257">
        <v>0</v>
      </c>
      <c r="J224" s="257">
        <v>0</v>
      </c>
      <c r="K224" s="257">
        <v>0</v>
      </c>
      <c r="L224" s="257">
        <v>0</v>
      </c>
      <c r="M224" s="257">
        <v>0</v>
      </c>
      <c r="N224" s="257">
        <v>0</v>
      </c>
      <c r="O224" s="257">
        <v>0</v>
      </c>
      <c r="P224" s="257">
        <v>0</v>
      </c>
      <c r="Q224" s="258">
        <v>0</v>
      </c>
    </row>
    <row r="225" spans="1:17">
      <c r="A225" s="256">
        <v>1</v>
      </c>
      <c r="B225" s="256">
        <v>6154203</v>
      </c>
      <c r="C225" s="256">
        <v>615420307</v>
      </c>
      <c r="D225" s="256" t="s">
        <v>734</v>
      </c>
      <c r="E225" s="256" t="s">
        <v>735</v>
      </c>
      <c r="F225" s="256" t="s">
        <v>779</v>
      </c>
      <c r="G225" s="256" t="s">
        <v>108</v>
      </c>
      <c r="H225" s="256" t="s">
        <v>748</v>
      </c>
      <c r="I225" s="257">
        <v>62880</v>
      </c>
      <c r="J225" s="257">
        <v>0</v>
      </c>
      <c r="K225" s="257">
        <v>0</v>
      </c>
      <c r="L225" s="257">
        <v>0</v>
      </c>
      <c r="M225" s="257">
        <v>0</v>
      </c>
      <c r="N225" s="257">
        <v>0</v>
      </c>
      <c r="O225" s="257">
        <v>0</v>
      </c>
      <c r="P225" s="257">
        <v>62880</v>
      </c>
      <c r="Q225" s="258">
        <v>0</v>
      </c>
    </row>
    <row r="226" spans="1:17">
      <c r="A226" s="256">
        <v>1</v>
      </c>
      <c r="B226" s="256">
        <v>6154203</v>
      </c>
      <c r="C226" s="256">
        <v>615420310</v>
      </c>
      <c r="D226" s="256" t="s">
        <v>734</v>
      </c>
      <c r="E226" s="256" t="s">
        <v>735</v>
      </c>
      <c r="F226" s="256" t="s">
        <v>779</v>
      </c>
      <c r="G226" s="256" t="s">
        <v>108</v>
      </c>
      <c r="H226" s="256" t="s">
        <v>749</v>
      </c>
      <c r="I226" s="257">
        <v>11610729</v>
      </c>
      <c r="J226" s="257">
        <v>0</v>
      </c>
      <c r="K226" s="257">
        <v>0</v>
      </c>
      <c r="L226" s="257">
        <v>0</v>
      </c>
      <c r="M226" s="257">
        <v>0</v>
      </c>
      <c r="N226" s="257">
        <v>0</v>
      </c>
      <c r="O226" s="257">
        <v>0</v>
      </c>
      <c r="P226" s="257">
        <v>11610729</v>
      </c>
      <c r="Q226" s="258">
        <v>0</v>
      </c>
    </row>
    <row r="227" spans="1:17">
      <c r="A227" s="256">
        <v>1</v>
      </c>
      <c r="B227" s="256">
        <v>6154203</v>
      </c>
      <c r="C227" s="256">
        <v>615420311</v>
      </c>
      <c r="D227" s="256" t="s">
        <v>734</v>
      </c>
      <c r="E227" s="256" t="s">
        <v>735</v>
      </c>
      <c r="F227" s="256" t="s">
        <v>779</v>
      </c>
      <c r="G227" s="256" t="s">
        <v>108</v>
      </c>
      <c r="H227" s="256" t="s">
        <v>750</v>
      </c>
      <c r="I227" s="257">
        <v>0</v>
      </c>
      <c r="J227" s="257">
        <v>0</v>
      </c>
      <c r="K227" s="257">
        <v>0</v>
      </c>
      <c r="L227" s="257">
        <v>0</v>
      </c>
      <c r="M227" s="257">
        <v>0</v>
      </c>
      <c r="N227" s="257">
        <v>0</v>
      </c>
      <c r="O227" s="257">
        <v>0</v>
      </c>
      <c r="P227" s="257">
        <v>0</v>
      </c>
      <c r="Q227" s="258">
        <v>0</v>
      </c>
    </row>
    <row r="228" spans="1:17">
      <c r="A228" s="256">
        <v>1</v>
      </c>
      <c r="B228" s="256">
        <v>6154203</v>
      </c>
      <c r="C228" s="256">
        <v>615420314</v>
      </c>
      <c r="D228" s="256" t="s">
        <v>734</v>
      </c>
      <c r="E228" s="256" t="s">
        <v>735</v>
      </c>
      <c r="F228" s="256" t="s">
        <v>779</v>
      </c>
      <c r="G228" s="256" t="s">
        <v>108</v>
      </c>
      <c r="H228" s="256" t="s">
        <v>751</v>
      </c>
      <c r="I228" s="257">
        <v>2861400</v>
      </c>
      <c r="J228" s="257">
        <v>0</v>
      </c>
      <c r="K228" s="257">
        <v>0</v>
      </c>
      <c r="L228" s="257">
        <v>0</v>
      </c>
      <c r="M228" s="257">
        <v>0</v>
      </c>
      <c r="N228" s="257">
        <v>0</v>
      </c>
      <c r="O228" s="257">
        <v>0</v>
      </c>
      <c r="P228" s="257">
        <v>2861400</v>
      </c>
      <c r="Q228" s="258">
        <v>0</v>
      </c>
    </row>
    <row r="229" spans="1:17">
      <c r="A229" s="256">
        <v>1</v>
      </c>
      <c r="B229" s="256">
        <v>6154203</v>
      </c>
      <c r="C229" s="256">
        <v>615420315</v>
      </c>
      <c r="D229" s="256" t="s">
        <v>734</v>
      </c>
      <c r="E229" s="256" t="s">
        <v>735</v>
      </c>
      <c r="F229" s="256" t="s">
        <v>779</v>
      </c>
      <c r="G229" s="256" t="s">
        <v>108</v>
      </c>
      <c r="H229" s="256" t="s">
        <v>752</v>
      </c>
      <c r="I229" s="257">
        <v>480000</v>
      </c>
      <c r="J229" s="257">
        <v>0</v>
      </c>
      <c r="K229" s="257">
        <v>0</v>
      </c>
      <c r="L229" s="257">
        <v>0</v>
      </c>
      <c r="M229" s="257">
        <v>0</v>
      </c>
      <c r="N229" s="257">
        <v>0</v>
      </c>
      <c r="O229" s="257">
        <v>0</v>
      </c>
      <c r="P229" s="257">
        <v>480000</v>
      </c>
      <c r="Q229" s="258">
        <v>0</v>
      </c>
    </row>
    <row r="230" spans="1:17">
      <c r="A230" s="256">
        <v>1</v>
      </c>
      <c r="B230" s="256">
        <v>6154204</v>
      </c>
      <c r="C230" s="256">
        <v>615420401</v>
      </c>
      <c r="D230" s="256" t="s">
        <v>734</v>
      </c>
      <c r="E230" s="256" t="s">
        <v>735</v>
      </c>
      <c r="F230" s="256" t="s">
        <v>779</v>
      </c>
      <c r="G230" s="256" t="s">
        <v>106</v>
      </c>
      <c r="H230" s="256" t="s">
        <v>755</v>
      </c>
      <c r="I230" s="257">
        <v>17996187</v>
      </c>
      <c r="J230" s="257">
        <v>0</v>
      </c>
      <c r="K230" s="257">
        <v>0</v>
      </c>
      <c r="L230" s="257">
        <v>0</v>
      </c>
      <c r="M230" s="257">
        <v>0</v>
      </c>
      <c r="N230" s="257">
        <v>0</v>
      </c>
      <c r="O230" s="257">
        <v>17996187</v>
      </c>
      <c r="P230" s="257">
        <v>0</v>
      </c>
      <c r="Q230" s="258">
        <v>0</v>
      </c>
    </row>
    <row r="231" spans="1:17">
      <c r="A231" s="256">
        <v>1</v>
      </c>
      <c r="B231" s="256">
        <v>6154204</v>
      </c>
      <c r="C231" s="256">
        <v>615420402</v>
      </c>
      <c r="D231" s="256" t="s">
        <v>734</v>
      </c>
      <c r="E231" s="256" t="s">
        <v>735</v>
      </c>
      <c r="F231" s="256" t="s">
        <v>779</v>
      </c>
      <c r="G231" s="256" t="s">
        <v>106</v>
      </c>
      <c r="H231" s="256" t="s">
        <v>756</v>
      </c>
      <c r="I231" s="257">
        <v>101588</v>
      </c>
      <c r="J231" s="257">
        <v>0</v>
      </c>
      <c r="K231" s="257">
        <v>0</v>
      </c>
      <c r="L231" s="257">
        <v>0</v>
      </c>
      <c r="M231" s="257">
        <v>0</v>
      </c>
      <c r="N231" s="257">
        <v>0</v>
      </c>
      <c r="O231" s="257">
        <v>0</v>
      </c>
      <c r="P231" s="257">
        <v>101588</v>
      </c>
      <c r="Q231" s="258">
        <v>0</v>
      </c>
    </row>
    <row r="232" spans="1:17">
      <c r="A232" s="256">
        <v>1</v>
      </c>
      <c r="B232" s="256">
        <v>6154204</v>
      </c>
      <c r="C232" s="256">
        <v>615420403</v>
      </c>
      <c r="D232" s="256" t="s">
        <v>734</v>
      </c>
      <c r="E232" s="256" t="s">
        <v>735</v>
      </c>
      <c r="F232" s="256" t="s">
        <v>779</v>
      </c>
      <c r="G232" s="256" t="s">
        <v>106</v>
      </c>
      <c r="H232" s="256" t="s">
        <v>757</v>
      </c>
      <c r="I232" s="257">
        <v>0</v>
      </c>
      <c r="J232" s="257">
        <v>0</v>
      </c>
      <c r="K232" s="257">
        <v>0</v>
      </c>
      <c r="L232" s="257">
        <v>0</v>
      </c>
      <c r="M232" s="257">
        <v>0</v>
      </c>
      <c r="N232" s="257">
        <v>0</v>
      </c>
      <c r="O232" s="257">
        <v>0</v>
      </c>
      <c r="P232" s="257">
        <v>0</v>
      </c>
      <c r="Q232" s="258">
        <v>0</v>
      </c>
    </row>
    <row r="233" spans="1:17">
      <c r="A233" s="256">
        <v>1</v>
      </c>
      <c r="B233" s="256">
        <v>6154204</v>
      </c>
      <c r="C233" s="256">
        <v>615420405</v>
      </c>
      <c r="D233" s="256" t="s">
        <v>734</v>
      </c>
      <c r="E233" s="256" t="s">
        <v>735</v>
      </c>
      <c r="F233" s="256" t="s">
        <v>779</v>
      </c>
      <c r="G233" s="256" t="s">
        <v>106</v>
      </c>
      <c r="H233" s="256" t="s">
        <v>758</v>
      </c>
      <c r="I233" s="257">
        <v>0</v>
      </c>
      <c r="J233" s="257">
        <v>0</v>
      </c>
      <c r="K233" s="257">
        <v>0</v>
      </c>
      <c r="L233" s="257">
        <v>0</v>
      </c>
      <c r="M233" s="257">
        <v>0</v>
      </c>
      <c r="N233" s="257">
        <v>0</v>
      </c>
      <c r="O233" s="257">
        <v>0</v>
      </c>
      <c r="P233" s="257">
        <v>0</v>
      </c>
      <c r="Q233" s="258">
        <v>0</v>
      </c>
    </row>
    <row r="234" spans="1:17">
      <c r="A234" s="256">
        <v>1</v>
      </c>
      <c r="B234" s="256">
        <v>6154204</v>
      </c>
      <c r="C234" s="256">
        <v>615420406</v>
      </c>
      <c r="D234" s="256" t="s">
        <v>734</v>
      </c>
      <c r="E234" s="256" t="s">
        <v>735</v>
      </c>
      <c r="F234" s="256" t="s">
        <v>779</v>
      </c>
      <c r="G234" s="256" t="s">
        <v>106</v>
      </c>
      <c r="H234" s="256" t="s">
        <v>759</v>
      </c>
      <c r="I234" s="257">
        <v>77742</v>
      </c>
      <c r="J234" s="257">
        <v>0</v>
      </c>
      <c r="K234" s="257">
        <v>0</v>
      </c>
      <c r="L234" s="257">
        <v>0</v>
      </c>
      <c r="M234" s="257">
        <v>0</v>
      </c>
      <c r="N234" s="257">
        <v>0</v>
      </c>
      <c r="O234" s="257">
        <v>77742</v>
      </c>
      <c r="P234" s="257">
        <v>0</v>
      </c>
      <c r="Q234" s="258">
        <v>0</v>
      </c>
    </row>
    <row r="235" spans="1:17">
      <c r="A235" s="256">
        <v>1</v>
      </c>
      <c r="B235" s="256">
        <v>6154204</v>
      </c>
      <c r="C235" s="256">
        <v>615420407</v>
      </c>
      <c r="D235" s="256" t="s">
        <v>734</v>
      </c>
      <c r="E235" s="256" t="s">
        <v>735</v>
      </c>
      <c r="F235" s="256" t="s">
        <v>779</v>
      </c>
      <c r="G235" s="256" t="s">
        <v>106</v>
      </c>
      <c r="H235" s="256" t="s">
        <v>760</v>
      </c>
      <c r="I235" s="257">
        <v>0</v>
      </c>
      <c r="J235" s="257">
        <v>0</v>
      </c>
      <c r="K235" s="257">
        <v>0</v>
      </c>
      <c r="L235" s="257">
        <v>0</v>
      </c>
      <c r="M235" s="257">
        <v>0</v>
      </c>
      <c r="N235" s="257">
        <v>0</v>
      </c>
      <c r="O235" s="257">
        <v>0</v>
      </c>
      <c r="P235" s="257">
        <v>0</v>
      </c>
      <c r="Q235" s="258">
        <v>0</v>
      </c>
    </row>
    <row r="236" spans="1:17">
      <c r="A236" s="256">
        <v>1</v>
      </c>
      <c r="B236" s="256">
        <v>6154204</v>
      </c>
      <c r="C236" s="256">
        <v>615420408</v>
      </c>
      <c r="D236" s="256" t="s">
        <v>734</v>
      </c>
      <c r="E236" s="256" t="s">
        <v>735</v>
      </c>
      <c r="F236" s="256" t="s">
        <v>779</v>
      </c>
      <c r="G236" s="256" t="s">
        <v>106</v>
      </c>
      <c r="H236" s="256" t="s">
        <v>761</v>
      </c>
      <c r="I236" s="257">
        <v>0</v>
      </c>
      <c r="J236" s="257">
        <v>0</v>
      </c>
      <c r="K236" s="257">
        <v>0</v>
      </c>
      <c r="L236" s="257">
        <v>0</v>
      </c>
      <c r="M236" s="257">
        <v>0</v>
      </c>
      <c r="N236" s="257">
        <v>0</v>
      </c>
      <c r="O236" s="257">
        <v>0</v>
      </c>
      <c r="P236" s="257">
        <v>0</v>
      </c>
      <c r="Q236" s="258">
        <v>0</v>
      </c>
    </row>
    <row r="237" spans="1:17">
      <c r="A237" s="256">
        <v>1</v>
      </c>
      <c r="B237" s="256">
        <v>6154204</v>
      </c>
      <c r="C237" s="256">
        <v>615420410</v>
      </c>
      <c r="D237" s="256" t="s">
        <v>734</v>
      </c>
      <c r="E237" s="256" t="s">
        <v>735</v>
      </c>
      <c r="F237" s="256" t="s">
        <v>779</v>
      </c>
      <c r="G237" s="256" t="s">
        <v>106</v>
      </c>
      <c r="H237" s="256" t="s">
        <v>762</v>
      </c>
      <c r="I237" s="257">
        <v>6437933</v>
      </c>
      <c r="J237" s="257">
        <v>0</v>
      </c>
      <c r="K237" s="257">
        <v>0</v>
      </c>
      <c r="L237" s="257">
        <v>0</v>
      </c>
      <c r="M237" s="257">
        <v>0</v>
      </c>
      <c r="N237" s="257">
        <v>0</v>
      </c>
      <c r="O237" s="257">
        <v>6437933</v>
      </c>
      <c r="P237" s="257">
        <v>0</v>
      </c>
      <c r="Q237" s="258">
        <v>0</v>
      </c>
    </row>
    <row r="238" spans="1:17">
      <c r="A238" s="256">
        <v>1</v>
      </c>
      <c r="B238" s="256">
        <v>6154204</v>
      </c>
      <c r="C238" s="256">
        <v>615420411</v>
      </c>
      <c r="D238" s="256" t="s">
        <v>734</v>
      </c>
      <c r="E238" s="256" t="s">
        <v>735</v>
      </c>
      <c r="F238" s="256" t="s">
        <v>779</v>
      </c>
      <c r="G238" s="256" t="s">
        <v>106</v>
      </c>
      <c r="H238" s="256" t="s">
        <v>763</v>
      </c>
      <c r="I238" s="257">
        <v>59</v>
      </c>
      <c r="J238" s="257">
        <v>0</v>
      </c>
      <c r="K238" s="257">
        <v>0</v>
      </c>
      <c r="L238" s="257">
        <v>0</v>
      </c>
      <c r="M238" s="257">
        <v>0</v>
      </c>
      <c r="N238" s="257">
        <v>0</v>
      </c>
      <c r="O238" s="257">
        <v>59</v>
      </c>
      <c r="P238" s="257">
        <v>0</v>
      </c>
      <c r="Q238" s="258">
        <v>0</v>
      </c>
    </row>
    <row r="239" spans="1:17">
      <c r="A239" s="256">
        <v>1</v>
      </c>
      <c r="B239" s="256">
        <v>6154205</v>
      </c>
      <c r="C239" s="256">
        <v>615420500</v>
      </c>
      <c r="D239" s="256" t="s">
        <v>734</v>
      </c>
      <c r="E239" s="256" t="s">
        <v>735</v>
      </c>
      <c r="F239" s="256" t="s">
        <v>779</v>
      </c>
      <c r="G239" s="256" t="s">
        <v>104</v>
      </c>
      <c r="H239" s="256"/>
      <c r="I239" s="257">
        <v>0</v>
      </c>
      <c r="J239" s="257">
        <v>0</v>
      </c>
      <c r="K239" s="257">
        <v>0</v>
      </c>
      <c r="L239" s="257">
        <v>0</v>
      </c>
      <c r="M239" s="257">
        <v>0</v>
      </c>
      <c r="N239" s="257">
        <v>0</v>
      </c>
      <c r="O239" s="257">
        <v>0</v>
      </c>
      <c r="P239" s="257">
        <v>0</v>
      </c>
      <c r="Q239" s="258">
        <v>0</v>
      </c>
    </row>
    <row r="240" spans="1:17">
      <c r="A240" s="256">
        <v>1</v>
      </c>
      <c r="B240" s="256">
        <v>6154207</v>
      </c>
      <c r="C240" s="256">
        <v>615420700</v>
      </c>
      <c r="D240" s="256" t="s">
        <v>734</v>
      </c>
      <c r="E240" s="256" t="s">
        <v>735</v>
      </c>
      <c r="F240" s="256" t="s">
        <v>779</v>
      </c>
      <c r="G240" s="256" t="s">
        <v>102</v>
      </c>
      <c r="H240" s="256"/>
      <c r="I240" s="257">
        <v>0</v>
      </c>
      <c r="J240" s="257">
        <v>0</v>
      </c>
      <c r="K240" s="257">
        <v>0</v>
      </c>
      <c r="L240" s="257">
        <v>0</v>
      </c>
      <c r="M240" s="257">
        <v>0</v>
      </c>
      <c r="N240" s="257">
        <v>0</v>
      </c>
      <c r="O240" s="257">
        <v>0</v>
      </c>
      <c r="P240" s="257">
        <v>0</v>
      </c>
      <c r="Q240" s="258">
        <v>0</v>
      </c>
    </row>
    <row r="241" spans="1:17">
      <c r="A241" s="256">
        <v>1</v>
      </c>
      <c r="B241" s="256">
        <v>6154208</v>
      </c>
      <c r="C241" s="256">
        <v>615420800</v>
      </c>
      <c r="D241" s="256" t="s">
        <v>734</v>
      </c>
      <c r="E241" s="256" t="s">
        <v>735</v>
      </c>
      <c r="F241" s="256" t="s">
        <v>779</v>
      </c>
      <c r="G241" s="256" t="s">
        <v>100</v>
      </c>
      <c r="H241" s="256"/>
      <c r="I241" s="257">
        <v>0</v>
      </c>
      <c r="J241" s="257">
        <v>0</v>
      </c>
      <c r="K241" s="257">
        <v>0</v>
      </c>
      <c r="L241" s="257">
        <v>0</v>
      </c>
      <c r="M241" s="257">
        <v>0</v>
      </c>
      <c r="N241" s="257">
        <v>0</v>
      </c>
      <c r="O241" s="257">
        <v>0</v>
      </c>
      <c r="P241" s="257">
        <v>0</v>
      </c>
      <c r="Q241" s="258">
        <v>0</v>
      </c>
    </row>
    <row r="242" spans="1:17">
      <c r="A242" s="256">
        <v>1</v>
      </c>
      <c r="B242" s="256">
        <v>6154210</v>
      </c>
      <c r="C242" s="256">
        <v>615421001</v>
      </c>
      <c r="D242" s="256" t="s">
        <v>734</v>
      </c>
      <c r="E242" s="256" t="s">
        <v>735</v>
      </c>
      <c r="F242" s="256" t="s">
        <v>779</v>
      </c>
      <c r="G242" s="256" t="s">
        <v>764</v>
      </c>
      <c r="H242" s="256" t="s">
        <v>98</v>
      </c>
      <c r="I242" s="257">
        <v>0</v>
      </c>
      <c r="J242" s="257">
        <v>0</v>
      </c>
      <c r="K242" s="257">
        <v>0</v>
      </c>
      <c r="L242" s="257">
        <v>0</v>
      </c>
      <c r="M242" s="257">
        <v>0</v>
      </c>
      <c r="N242" s="257">
        <v>0</v>
      </c>
      <c r="O242" s="257">
        <v>0</v>
      </c>
      <c r="P242" s="257">
        <v>0</v>
      </c>
      <c r="Q242" s="258">
        <v>0</v>
      </c>
    </row>
    <row r="243" spans="1:17">
      <c r="A243" s="256">
        <v>1</v>
      </c>
      <c r="B243" s="256">
        <v>6154210</v>
      </c>
      <c r="C243" s="256">
        <v>615421002</v>
      </c>
      <c r="D243" s="256" t="s">
        <v>734</v>
      </c>
      <c r="E243" s="256" t="s">
        <v>735</v>
      </c>
      <c r="F243" s="256" t="s">
        <v>779</v>
      </c>
      <c r="G243" s="256" t="s">
        <v>764</v>
      </c>
      <c r="H243" s="256" t="s">
        <v>95</v>
      </c>
      <c r="I243" s="257">
        <v>0</v>
      </c>
      <c r="J243" s="257">
        <v>0</v>
      </c>
      <c r="K243" s="257">
        <v>0</v>
      </c>
      <c r="L243" s="257">
        <v>0</v>
      </c>
      <c r="M243" s="257">
        <v>0</v>
      </c>
      <c r="N243" s="257">
        <v>0</v>
      </c>
      <c r="O243" s="257">
        <v>0</v>
      </c>
      <c r="P243" s="257">
        <v>0</v>
      </c>
      <c r="Q243" s="258">
        <v>0</v>
      </c>
    </row>
    <row r="244" spans="1:17">
      <c r="A244" s="236">
        <v>1</v>
      </c>
      <c r="B244" s="236">
        <v>6154210</v>
      </c>
      <c r="C244" s="236">
        <v>615421003</v>
      </c>
      <c r="D244" s="236" t="s">
        <v>734</v>
      </c>
      <c r="E244" s="236" t="s">
        <v>735</v>
      </c>
      <c r="F244" s="236" t="s">
        <v>779</v>
      </c>
      <c r="G244" s="236" t="s">
        <v>764</v>
      </c>
      <c r="H244" s="236" t="s">
        <v>765</v>
      </c>
      <c r="I244" s="257">
        <v>0</v>
      </c>
      <c r="J244" s="257">
        <v>0</v>
      </c>
      <c r="K244" s="257">
        <v>0</v>
      </c>
      <c r="L244" s="257">
        <v>0</v>
      </c>
      <c r="M244" s="257">
        <v>0</v>
      </c>
      <c r="N244" s="257">
        <v>0</v>
      </c>
      <c r="O244" s="257">
        <v>0</v>
      </c>
      <c r="P244" s="257">
        <v>0</v>
      </c>
      <c r="Q244" s="258">
        <v>0</v>
      </c>
    </row>
    <row r="245" spans="1:17">
      <c r="A245" s="256">
        <v>1</v>
      </c>
      <c r="B245" s="256">
        <v>6154213</v>
      </c>
      <c r="C245" s="256">
        <v>615421300</v>
      </c>
      <c r="D245" s="256" t="s">
        <v>734</v>
      </c>
      <c r="E245" s="256" t="s">
        <v>735</v>
      </c>
      <c r="F245" s="256" t="s">
        <v>779</v>
      </c>
      <c r="G245" s="256" t="s">
        <v>93</v>
      </c>
      <c r="H245" s="256"/>
      <c r="I245" s="257">
        <v>144037</v>
      </c>
      <c r="J245" s="257">
        <v>0</v>
      </c>
      <c r="K245" s="257">
        <v>0</v>
      </c>
      <c r="L245" s="257">
        <v>0</v>
      </c>
      <c r="M245" s="257">
        <v>0</v>
      </c>
      <c r="N245" s="257">
        <v>144037</v>
      </c>
      <c r="O245" s="257">
        <v>0</v>
      </c>
      <c r="P245" s="257">
        <v>0</v>
      </c>
      <c r="Q245" s="258">
        <v>0</v>
      </c>
    </row>
    <row r="246" spans="1:17">
      <c r="A246" s="256">
        <v>1</v>
      </c>
      <c r="B246" s="256">
        <v>6154214</v>
      </c>
      <c r="C246" s="256">
        <v>615421400</v>
      </c>
      <c r="D246" s="256" t="s">
        <v>734</v>
      </c>
      <c r="E246" s="256" t="s">
        <v>735</v>
      </c>
      <c r="F246" s="256" t="s">
        <v>779</v>
      </c>
      <c r="G246" s="256" t="s">
        <v>91</v>
      </c>
      <c r="H246" s="256"/>
      <c r="I246" s="257">
        <v>181386</v>
      </c>
      <c r="J246" s="257">
        <v>0</v>
      </c>
      <c r="K246" s="257">
        <v>0</v>
      </c>
      <c r="L246" s="257">
        <v>0</v>
      </c>
      <c r="M246" s="257">
        <v>0</v>
      </c>
      <c r="N246" s="257">
        <v>181386</v>
      </c>
      <c r="O246" s="257">
        <v>0</v>
      </c>
      <c r="P246" s="257">
        <v>0</v>
      </c>
      <c r="Q246" s="258">
        <v>0</v>
      </c>
    </row>
    <row r="247" spans="1:17">
      <c r="A247" s="256">
        <v>1</v>
      </c>
      <c r="B247" s="256">
        <v>6154215</v>
      </c>
      <c r="C247" s="256">
        <v>615421500</v>
      </c>
      <c r="D247" s="256" t="s">
        <v>734</v>
      </c>
      <c r="E247" s="256" t="s">
        <v>735</v>
      </c>
      <c r="F247" s="256" t="s">
        <v>779</v>
      </c>
      <c r="G247" s="256" t="s">
        <v>89</v>
      </c>
      <c r="H247" s="256"/>
      <c r="I247" s="257">
        <v>0</v>
      </c>
      <c r="J247" s="257">
        <v>0</v>
      </c>
      <c r="K247" s="257">
        <v>0</v>
      </c>
      <c r="L247" s="257">
        <v>0</v>
      </c>
      <c r="M247" s="257">
        <v>0</v>
      </c>
      <c r="N247" s="257">
        <v>0</v>
      </c>
      <c r="O247" s="257">
        <v>0</v>
      </c>
      <c r="P247" s="257">
        <v>0</v>
      </c>
      <c r="Q247" s="258">
        <v>0</v>
      </c>
    </row>
    <row r="248" spans="1:17">
      <c r="A248" s="256">
        <v>1</v>
      </c>
      <c r="B248" s="256">
        <v>6154217</v>
      </c>
      <c r="C248" s="256">
        <v>615421700</v>
      </c>
      <c r="D248" s="256" t="s">
        <v>734</v>
      </c>
      <c r="E248" s="256" t="s">
        <v>735</v>
      </c>
      <c r="F248" s="256" t="s">
        <v>779</v>
      </c>
      <c r="G248" s="256" t="s">
        <v>87</v>
      </c>
      <c r="H248" s="256"/>
      <c r="I248" s="257">
        <v>120705</v>
      </c>
      <c r="J248" s="257">
        <v>0</v>
      </c>
      <c r="K248" s="257">
        <v>0</v>
      </c>
      <c r="L248" s="257">
        <v>0</v>
      </c>
      <c r="M248" s="257">
        <v>0</v>
      </c>
      <c r="N248" s="257">
        <v>120705</v>
      </c>
      <c r="O248" s="257">
        <v>0</v>
      </c>
      <c r="P248" s="257">
        <v>0</v>
      </c>
      <c r="Q248" s="258">
        <v>0</v>
      </c>
    </row>
    <row r="249" spans="1:17">
      <c r="A249" s="256">
        <v>1</v>
      </c>
      <c r="B249" s="256">
        <v>6154219</v>
      </c>
      <c r="C249" s="256">
        <v>615421900</v>
      </c>
      <c r="D249" s="256" t="s">
        <v>734</v>
      </c>
      <c r="E249" s="256" t="s">
        <v>735</v>
      </c>
      <c r="F249" s="256" t="s">
        <v>779</v>
      </c>
      <c r="G249" s="256" t="s">
        <v>85</v>
      </c>
      <c r="H249" s="256"/>
      <c r="I249" s="257">
        <v>3850</v>
      </c>
      <c r="J249" s="257">
        <v>0</v>
      </c>
      <c r="K249" s="257">
        <v>0</v>
      </c>
      <c r="L249" s="257">
        <v>0</v>
      </c>
      <c r="M249" s="257">
        <v>0</v>
      </c>
      <c r="N249" s="257">
        <v>3850</v>
      </c>
      <c r="O249" s="257">
        <v>0</v>
      </c>
      <c r="P249" s="257">
        <v>0</v>
      </c>
      <c r="Q249" s="258">
        <v>0</v>
      </c>
    </row>
    <row r="250" spans="1:17">
      <c r="A250" s="256">
        <v>1</v>
      </c>
      <c r="B250" s="256">
        <v>6154220</v>
      </c>
      <c r="C250" s="256">
        <v>615422000</v>
      </c>
      <c r="D250" s="256" t="s">
        <v>734</v>
      </c>
      <c r="E250" s="256" t="s">
        <v>735</v>
      </c>
      <c r="F250" s="256" t="s">
        <v>779</v>
      </c>
      <c r="G250" s="256" t="s">
        <v>83</v>
      </c>
      <c r="H250" s="256"/>
      <c r="I250" s="257">
        <v>10980</v>
      </c>
      <c r="J250" s="257">
        <v>0</v>
      </c>
      <c r="K250" s="257">
        <v>0</v>
      </c>
      <c r="L250" s="257">
        <v>0</v>
      </c>
      <c r="M250" s="257">
        <v>0</v>
      </c>
      <c r="N250" s="257">
        <v>10980</v>
      </c>
      <c r="O250" s="257">
        <v>0</v>
      </c>
      <c r="P250" s="257">
        <v>0</v>
      </c>
      <c r="Q250" s="258">
        <v>0</v>
      </c>
    </row>
    <row r="251" spans="1:17">
      <c r="A251" s="256">
        <v>1</v>
      </c>
      <c r="B251" s="256">
        <v>6154221</v>
      </c>
      <c r="C251" s="256">
        <v>615422100</v>
      </c>
      <c r="D251" s="256" t="s">
        <v>734</v>
      </c>
      <c r="E251" s="256" t="s">
        <v>735</v>
      </c>
      <c r="F251" s="256" t="s">
        <v>779</v>
      </c>
      <c r="G251" s="256" t="s">
        <v>81</v>
      </c>
      <c r="H251" s="256"/>
      <c r="I251" s="257">
        <v>1071341</v>
      </c>
      <c r="J251" s="257">
        <v>0</v>
      </c>
      <c r="K251" s="257">
        <v>0</v>
      </c>
      <c r="L251" s="257">
        <v>0</v>
      </c>
      <c r="M251" s="257">
        <v>0</v>
      </c>
      <c r="N251" s="257">
        <v>1071341</v>
      </c>
      <c r="O251" s="257">
        <v>0</v>
      </c>
      <c r="P251" s="257">
        <v>0</v>
      </c>
      <c r="Q251" s="258">
        <v>0</v>
      </c>
    </row>
    <row r="252" spans="1:17">
      <c r="A252" s="256">
        <v>1</v>
      </c>
      <c r="B252" s="256">
        <v>6154223</v>
      </c>
      <c r="C252" s="256">
        <v>615422300</v>
      </c>
      <c r="D252" s="256" t="s">
        <v>734</v>
      </c>
      <c r="E252" s="256" t="s">
        <v>735</v>
      </c>
      <c r="F252" s="256" t="s">
        <v>779</v>
      </c>
      <c r="G252" s="256" t="s">
        <v>79</v>
      </c>
      <c r="H252" s="256"/>
      <c r="I252" s="257">
        <v>206580</v>
      </c>
      <c r="J252" s="257">
        <v>0</v>
      </c>
      <c r="K252" s="257">
        <v>0</v>
      </c>
      <c r="L252" s="257">
        <v>0</v>
      </c>
      <c r="M252" s="257">
        <v>0</v>
      </c>
      <c r="N252" s="257">
        <v>206580</v>
      </c>
      <c r="O252" s="257">
        <v>0</v>
      </c>
      <c r="P252" s="257">
        <v>0</v>
      </c>
      <c r="Q252" s="258">
        <v>0</v>
      </c>
    </row>
    <row r="253" spans="1:17">
      <c r="A253" s="256">
        <v>1</v>
      </c>
      <c r="B253" s="256">
        <v>6154224</v>
      </c>
      <c r="C253" s="256">
        <v>615422400</v>
      </c>
      <c r="D253" s="256" t="s">
        <v>734</v>
      </c>
      <c r="E253" s="256" t="s">
        <v>735</v>
      </c>
      <c r="F253" s="256" t="s">
        <v>779</v>
      </c>
      <c r="G253" s="256" t="s">
        <v>77</v>
      </c>
      <c r="H253" s="256"/>
      <c r="I253" s="257">
        <v>0</v>
      </c>
      <c r="J253" s="257">
        <v>0</v>
      </c>
      <c r="K253" s="257">
        <v>0</v>
      </c>
      <c r="L253" s="257">
        <v>0</v>
      </c>
      <c r="M253" s="257">
        <v>0</v>
      </c>
      <c r="N253" s="257">
        <v>0</v>
      </c>
      <c r="O253" s="257">
        <v>0</v>
      </c>
      <c r="P253" s="257">
        <v>0</v>
      </c>
      <c r="Q253" s="258">
        <v>0</v>
      </c>
    </row>
    <row r="254" spans="1:17">
      <c r="A254" s="256">
        <v>1</v>
      </c>
      <c r="B254" s="256">
        <v>6154231</v>
      </c>
      <c r="C254" s="256">
        <v>615423100</v>
      </c>
      <c r="D254" s="256" t="s">
        <v>734</v>
      </c>
      <c r="E254" s="256" t="s">
        <v>735</v>
      </c>
      <c r="F254" s="256" t="s">
        <v>779</v>
      </c>
      <c r="G254" s="256" t="s">
        <v>62</v>
      </c>
      <c r="H254" s="256"/>
      <c r="I254" s="257">
        <v>0</v>
      </c>
      <c r="J254" s="257">
        <v>0</v>
      </c>
      <c r="K254" s="257">
        <v>0</v>
      </c>
      <c r="L254" s="257">
        <v>0</v>
      </c>
      <c r="M254" s="257">
        <v>0</v>
      </c>
      <c r="N254" s="257">
        <v>0</v>
      </c>
      <c r="O254" s="257">
        <v>0</v>
      </c>
      <c r="P254" s="257">
        <v>0</v>
      </c>
      <c r="Q254" s="258">
        <v>0</v>
      </c>
    </row>
    <row r="255" spans="1:17">
      <c r="A255" s="256">
        <v>1</v>
      </c>
      <c r="B255" s="256">
        <v>6154237</v>
      </c>
      <c r="C255" s="256">
        <v>615423700</v>
      </c>
      <c r="D255" s="256" t="s">
        <v>734</v>
      </c>
      <c r="E255" s="256" t="s">
        <v>735</v>
      </c>
      <c r="F255" s="256" t="s">
        <v>779</v>
      </c>
      <c r="G255" s="256" t="s">
        <v>60</v>
      </c>
      <c r="H255" s="256"/>
      <c r="I255" s="257">
        <v>0</v>
      </c>
      <c r="J255" s="257">
        <v>0</v>
      </c>
      <c r="K255" s="257">
        <v>0</v>
      </c>
      <c r="L255" s="257">
        <v>0</v>
      </c>
      <c r="M255" s="257">
        <v>0</v>
      </c>
      <c r="N255" s="257">
        <v>0</v>
      </c>
      <c r="O255" s="257">
        <v>0</v>
      </c>
      <c r="P255" s="257">
        <v>0</v>
      </c>
      <c r="Q255" s="258">
        <v>0</v>
      </c>
    </row>
    <row r="256" spans="1:17">
      <c r="A256" s="256">
        <v>1</v>
      </c>
      <c r="B256" s="256">
        <v>6154239</v>
      </c>
      <c r="C256" s="256">
        <v>615423900</v>
      </c>
      <c r="D256" s="256" t="s">
        <v>734</v>
      </c>
      <c r="E256" s="256" t="s">
        <v>735</v>
      </c>
      <c r="F256" s="256" t="s">
        <v>779</v>
      </c>
      <c r="G256" s="256" t="s">
        <v>58</v>
      </c>
      <c r="H256" s="256"/>
      <c r="I256" s="257">
        <v>10540</v>
      </c>
      <c r="J256" s="257">
        <v>0</v>
      </c>
      <c r="K256" s="257">
        <v>0</v>
      </c>
      <c r="L256" s="257">
        <v>0</v>
      </c>
      <c r="M256" s="257">
        <v>0</v>
      </c>
      <c r="N256" s="257">
        <v>0</v>
      </c>
      <c r="O256" s="257">
        <v>10540</v>
      </c>
      <c r="P256" s="257">
        <v>0</v>
      </c>
      <c r="Q256" s="258">
        <v>0</v>
      </c>
    </row>
    <row r="257" spans="1:17">
      <c r="A257" s="256">
        <v>1</v>
      </c>
      <c r="B257" s="256">
        <v>6154240</v>
      </c>
      <c r="C257" s="256">
        <v>615424000</v>
      </c>
      <c r="D257" s="256" t="s">
        <v>734</v>
      </c>
      <c r="E257" s="256" t="s">
        <v>735</v>
      </c>
      <c r="F257" s="256" t="s">
        <v>779</v>
      </c>
      <c r="G257" s="256" t="s">
        <v>56</v>
      </c>
      <c r="H257" s="256"/>
      <c r="I257" s="257">
        <v>0</v>
      </c>
      <c r="J257" s="257">
        <v>0</v>
      </c>
      <c r="K257" s="257">
        <v>0</v>
      </c>
      <c r="L257" s="257">
        <v>0</v>
      </c>
      <c r="M257" s="257">
        <v>0</v>
      </c>
      <c r="N257" s="257">
        <v>0</v>
      </c>
      <c r="O257" s="257">
        <v>0</v>
      </c>
      <c r="P257" s="257">
        <v>0</v>
      </c>
      <c r="Q257" s="258">
        <v>0</v>
      </c>
    </row>
    <row r="258" spans="1:17">
      <c r="A258" s="256">
        <v>1</v>
      </c>
      <c r="B258" s="256">
        <v>6154241</v>
      </c>
      <c r="C258" s="256">
        <v>615424100</v>
      </c>
      <c r="D258" s="256" t="s">
        <v>734</v>
      </c>
      <c r="E258" s="256" t="s">
        <v>735</v>
      </c>
      <c r="F258" s="256" t="s">
        <v>779</v>
      </c>
      <c r="G258" s="256" t="s">
        <v>55</v>
      </c>
      <c r="H258" s="256"/>
      <c r="I258" s="257">
        <v>0</v>
      </c>
      <c r="J258" s="257">
        <v>0</v>
      </c>
      <c r="K258" s="257">
        <v>0</v>
      </c>
      <c r="L258" s="257">
        <v>0</v>
      </c>
      <c r="M258" s="257">
        <v>0</v>
      </c>
      <c r="N258" s="257">
        <v>0</v>
      </c>
      <c r="O258" s="257">
        <v>0</v>
      </c>
      <c r="P258" s="257">
        <v>0</v>
      </c>
      <c r="Q258" s="258">
        <v>0</v>
      </c>
    </row>
    <row r="259" spans="1:17">
      <c r="A259" s="256">
        <v>1</v>
      </c>
      <c r="B259" s="256">
        <v>6154265</v>
      </c>
      <c r="C259" s="256">
        <v>615426500</v>
      </c>
      <c r="D259" s="256" t="s">
        <v>734</v>
      </c>
      <c r="E259" s="256" t="s">
        <v>735</v>
      </c>
      <c r="F259" s="256" t="s">
        <v>779</v>
      </c>
      <c r="G259" s="256" t="s">
        <v>766</v>
      </c>
      <c r="H259" s="256"/>
      <c r="I259" s="257">
        <v>0</v>
      </c>
      <c r="J259" s="257">
        <v>0</v>
      </c>
      <c r="K259" s="257">
        <v>0</v>
      </c>
      <c r="L259" s="257">
        <v>0</v>
      </c>
      <c r="M259" s="257">
        <v>0</v>
      </c>
      <c r="N259" s="257">
        <v>0</v>
      </c>
      <c r="O259" s="257">
        <v>0</v>
      </c>
      <c r="P259" s="257">
        <v>0</v>
      </c>
      <c r="Q259" s="258">
        <v>0</v>
      </c>
    </row>
    <row r="260" spans="1:17">
      <c r="A260" s="256">
        <v>1</v>
      </c>
      <c r="B260" s="256">
        <v>6154269</v>
      </c>
      <c r="C260" s="256">
        <v>615426900</v>
      </c>
      <c r="D260" s="256" t="s">
        <v>734</v>
      </c>
      <c r="E260" s="256" t="s">
        <v>735</v>
      </c>
      <c r="F260" s="256" t="s">
        <v>779</v>
      </c>
      <c r="G260" s="256" t="s">
        <v>767</v>
      </c>
      <c r="H260" s="256"/>
      <c r="I260" s="257">
        <v>0</v>
      </c>
      <c r="J260" s="257">
        <v>0</v>
      </c>
      <c r="K260" s="257">
        <v>0</v>
      </c>
      <c r="L260" s="257">
        <v>0</v>
      </c>
      <c r="M260" s="257">
        <v>0</v>
      </c>
      <c r="N260" s="257">
        <v>0</v>
      </c>
      <c r="O260" s="257">
        <v>0</v>
      </c>
      <c r="P260" s="257">
        <v>0</v>
      </c>
      <c r="Q260" s="258">
        <v>0</v>
      </c>
    </row>
    <row r="261" spans="1:17">
      <c r="A261" s="256">
        <v>1</v>
      </c>
      <c r="B261" s="256">
        <v>6154270</v>
      </c>
      <c r="C261" s="256">
        <v>615427000</v>
      </c>
      <c r="D261" s="256" t="s">
        <v>734</v>
      </c>
      <c r="E261" s="256" t="s">
        <v>735</v>
      </c>
      <c r="F261" s="256" t="s">
        <v>779</v>
      </c>
      <c r="G261" s="256" t="s">
        <v>768</v>
      </c>
      <c r="H261" s="256"/>
      <c r="I261" s="257">
        <v>1448370</v>
      </c>
      <c r="J261" s="257">
        <v>0</v>
      </c>
      <c r="K261" s="257">
        <v>0</v>
      </c>
      <c r="L261" s="257">
        <v>0</v>
      </c>
      <c r="M261" s="257">
        <v>0</v>
      </c>
      <c r="N261" s="257">
        <v>1448370</v>
      </c>
      <c r="O261" s="257">
        <v>0</v>
      </c>
      <c r="P261" s="257">
        <v>0</v>
      </c>
      <c r="Q261" s="258">
        <v>0</v>
      </c>
    </row>
    <row r="262" spans="1:17">
      <c r="A262" s="256">
        <v>1</v>
      </c>
      <c r="B262" s="256">
        <v>6154271</v>
      </c>
      <c r="C262" s="256">
        <v>615427100</v>
      </c>
      <c r="D262" s="256" t="s">
        <v>734</v>
      </c>
      <c r="E262" s="256" t="s">
        <v>735</v>
      </c>
      <c r="F262" s="256" t="s">
        <v>779</v>
      </c>
      <c r="G262" s="256" t="s">
        <v>769</v>
      </c>
      <c r="H262" s="256"/>
      <c r="I262" s="257">
        <v>0</v>
      </c>
      <c r="J262" s="257">
        <v>0</v>
      </c>
      <c r="K262" s="257">
        <v>0</v>
      </c>
      <c r="L262" s="257">
        <v>0</v>
      </c>
      <c r="M262" s="257">
        <v>0</v>
      </c>
      <c r="N262" s="257">
        <v>0</v>
      </c>
      <c r="O262" s="257">
        <v>0</v>
      </c>
      <c r="P262" s="257">
        <v>0</v>
      </c>
      <c r="Q262" s="258">
        <v>0</v>
      </c>
    </row>
    <row r="263" spans="1:17">
      <c r="A263" s="256">
        <v>1</v>
      </c>
      <c r="B263" s="256">
        <v>6154272</v>
      </c>
      <c r="C263" s="256">
        <v>615427200</v>
      </c>
      <c r="D263" s="256" t="s">
        <v>734</v>
      </c>
      <c r="E263" s="256" t="s">
        <v>735</v>
      </c>
      <c r="F263" s="256" t="s">
        <v>779</v>
      </c>
      <c r="G263" s="256" t="s">
        <v>770</v>
      </c>
      <c r="H263" s="256"/>
      <c r="I263" s="257">
        <v>0</v>
      </c>
      <c r="J263" s="257">
        <v>0</v>
      </c>
      <c r="K263" s="257">
        <v>0</v>
      </c>
      <c r="L263" s="257">
        <v>0</v>
      </c>
      <c r="M263" s="257">
        <v>0</v>
      </c>
      <c r="N263" s="257">
        <v>0</v>
      </c>
      <c r="O263" s="257">
        <v>0</v>
      </c>
      <c r="P263" s="257">
        <v>0</v>
      </c>
      <c r="Q263" s="258">
        <v>0</v>
      </c>
    </row>
    <row r="264" spans="1:17">
      <c r="A264" s="256">
        <v>1</v>
      </c>
      <c r="B264" s="256">
        <v>6154273</v>
      </c>
      <c r="C264" s="256">
        <v>615427300</v>
      </c>
      <c r="D264" s="256" t="s">
        <v>734</v>
      </c>
      <c r="E264" s="256" t="s">
        <v>735</v>
      </c>
      <c r="F264" s="256" t="s">
        <v>779</v>
      </c>
      <c r="G264" s="256" t="s">
        <v>771</v>
      </c>
      <c r="H264" s="256"/>
      <c r="I264" s="257">
        <v>0</v>
      </c>
      <c r="J264" s="257">
        <v>0</v>
      </c>
      <c r="K264" s="257">
        <v>0</v>
      </c>
      <c r="L264" s="257">
        <v>0</v>
      </c>
      <c r="M264" s="257">
        <v>0</v>
      </c>
      <c r="N264" s="257">
        <v>0</v>
      </c>
      <c r="O264" s="257">
        <v>0</v>
      </c>
      <c r="P264" s="257">
        <v>0</v>
      </c>
      <c r="Q264" s="258">
        <v>0</v>
      </c>
    </row>
    <row r="265" spans="1:17">
      <c r="A265" s="256">
        <v>1</v>
      </c>
      <c r="B265" s="256">
        <v>6154274</v>
      </c>
      <c r="C265" s="256">
        <v>615427400</v>
      </c>
      <c r="D265" s="256" t="s">
        <v>734</v>
      </c>
      <c r="E265" s="256" t="s">
        <v>735</v>
      </c>
      <c r="F265" s="256" t="s">
        <v>779</v>
      </c>
      <c r="G265" s="256" t="s">
        <v>772</v>
      </c>
      <c r="H265" s="256"/>
      <c r="I265" s="257">
        <v>0</v>
      </c>
      <c r="J265" s="257">
        <v>0</v>
      </c>
      <c r="K265" s="257">
        <v>0</v>
      </c>
      <c r="L265" s="257">
        <v>0</v>
      </c>
      <c r="M265" s="257">
        <v>0</v>
      </c>
      <c r="N265" s="257">
        <v>0</v>
      </c>
      <c r="O265" s="257">
        <v>0</v>
      </c>
      <c r="P265" s="257">
        <v>0</v>
      </c>
      <c r="Q265" s="258">
        <v>0</v>
      </c>
    </row>
    <row r="266" spans="1:17">
      <c r="A266" s="256">
        <v>1</v>
      </c>
      <c r="B266" s="256">
        <v>6154275</v>
      </c>
      <c r="C266" s="256">
        <v>615427583</v>
      </c>
      <c r="D266" s="256" t="s">
        <v>734</v>
      </c>
      <c r="E266" s="256" t="s">
        <v>735</v>
      </c>
      <c r="F266" s="256" t="s">
        <v>779</v>
      </c>
      <c r="G266" s="256" t="s">
        <v>773</v>
      </c>
      <c r="H266" s="256" t="s">
        <v>75</v>
      </c>
      <c r="I266" s="257">
        <v>473572660</v>
      </c>
      <c r="J266" s="257">
        <v>0</v>
      </c>
      <c r="K266" s="257">
        <v>0</v>
      </c>
      <c r="L266" s="257">
        <v>0</v>
      </c>
      <c r="M266" s="257">
        <v>0</v>
      </c>
      <c r="N266" s="257">
        <v>473572660</v>
      </c>
      <c r="O266" s="257">
        <v>0</v>
      </c>
      <c r="P266" s="257">
        <v>0</v>
      </c>
      <c r="Q266" s="258">
        <v>0</v>
      </c>
    </row>
    <row r="267" spans="1:17">
      <c r="A267" s="256">
        <v>1</v>
      </c>
      <c r="B267" s="256">
        <v>6154275</v>
      </c>
      <c r="C267" s="256">
        <v>615427584</v>
      </c>
      <c r="D267" s="256" t="s">
        <v>734</v>
      </c>
      <c r="E267" s="256" t="s">
        <v>735</v>
      </c>
      <c r="F267" s="256" t="s">
        <v>779</v>
      </c>
      <c r="G267" s="256" t="s">
        <v>773</v>
      </c>
      <c r="H267" s="256" t="s">
        <v>774</v>
      </c>
      <c r="I267" s="257">
        <v>0</v>
      </c>
      <c r="J267" s="257">
        <v>0</v>
      </c>
      <c r="K267" s="257">
        <v>0</v>
      </c>
      <c r="L267" s="257">
        <v>0</v>
      </c>
      <c r="M267" s="257">
        <v>0</v>
      </c>
      <c r="N267" s="257">
        <v>0</v>
      </c>
      <c r="O267" s="257">
        <v>0</v>
      </c>
      <c r="P267" s="257">
        <v>0</v>
      </c>
      <c r="Q267" s="258">
        <v>0</v>
      </c>
    </row>
    <row r="268" spans="1:17">
      <c r="A268" s="256">
        <v>1</v>
      </c>
      <c r="B268" s="256">
        <v>6154275</v>
      </c>
      <c r="C268" s="256">
        <v>615427585</v>
      </c>
      <c r="D268" s="256" t="s">
        <v>734</v>
      </c>
      <c r="E268" s="256" t="s">
        <v>735</v>
      </c>
      <c r="F268" s="256" t="s">
        <v>779</v>
      </c>
      <c r="G268" s="256" t="s">
        <v>773</v>
      </c>
      <c r="H268" s="256" t="s">
        <v>775</v>
      </c>
      <c r="I268" s="257">
        <v>28758400</v>
      </c>
      <c r="J268" s="257">
        <v>0</v>
      </c>
      <c r="K268" s="257">
        <v>0</v>
      </c>
      <c r="L268" s="257">
        <v>0</v>
      </c>
      <c r="M268" s="257">
        <v>0</v>
      </c>
      <c r="N268" s="257">
        <v>28758400</v>
      </c>
      <c r="O268" s="257">
        <v>0</v>
      </c>
      <c r="P268" s="257">
        <v>0</v>
      </c>
      <c r="Q268" s="258">
        <v>0</v>
      </c>
    </row>
    <row r="269" spans="1:17">
      <c r="A269" s="256">
        <v>1</v>
      </c>
      <c r="B269" s="256">
        <v>6154275</v>
      </c>
      <c r="C269" s="256">
        <v>615427586</v>
      </c>
      <c r="D269" s="256" t="s">
        <v>734</v>
      </c>
      <c r="E269" s="256" t="s">
        <v>735</v>
      </c>
      <c r="F269" s="256" t="s">
        <v>779</v>
      </c>
      <c r="G269" s="256" t="s">
        <v>773</v>
      </c>
      <c r="H269" s="256" t="s">
        <v>776</v>
      </c>
      <c r="I269" s="257">
        <v>10619400</v>
      </c>
      <c r="J269" s="257">
        <v>0</v>
      </c>
      <c r="K269" s="257">
        <v>0</v>
      </c>
      <c r="L269" s="257">
        <v>0</v>
      </c>
      <c r="M269" s="257">
        <v>0</v>
      </c>
      <c r="N269" s="257">
        <v>10619400</v>
      </c>
      <c r="O269" s="257">
        <v>0</v>
      </c>
      <c r="P269" s="257">
        <v>0</v>
      </c>
      <c r="Q269" s="258">
        <v>0</v>
      </c>
    </row>
    <row r="270" spans="1:17">
      <c r="A270" s="256">
        <v>1</v>
      </c>
      <c r="B270" s="256">
        <v>6154275</v>
      </c>
      <c r="C270" s="256">
        <v>615427587</v>
      </c>
      <c r="D270" s="256" t="s">
        <v>734</v>
      </c>
      <c r="E270" s="256" t="s">
        <v>735</v>
      </c>
      <c r="F270" s="256" t="s">
        <v>779</v>
      </c>
      <c r="G270" s="256" t="s">
        <v>773</v>
      </c>
      <c r="H270" s="256" t="s">
        <v>665</v>
      </c>
      <c r="I270" s="257">
        <v>0</v>
      </c>
      <c r="J270" s="257">
        <v>0</v>
      </c>
      <c r="K270" s="257">
        <v>0</v>
      </c>
      <c r="L270" s="257">
        <v>0</v>
      </c>
      <c r="M270" s="257">
        <v>0</v>
      </c>
      <c r="N270" s="257">
        <v>0</v>
      </c>
      <c r="O270" s="257">
        <v>0</v>
      </c>
      <c r="P270" s="257">
        <v>0</v>
      </c>
      <c r="Q270" s="258">
        <v>0</v>
      </c>
    </row>
    <row r="271" spans="1:17">
      <c r="A271" s="256">
        <v>1</v>
      </c>
      <c r="B271" s="256">
        <v>6154275</v>
      </c>
      <c r="C271" s="256">
        <v>615427588</v>
      </c>
      <c r="D271" s="256" t="s">
        <v>734</v>
      </c>
      <c r="E271" s="256" t="s">
        <v>735</v>
      </c>
      <c r="F271" s="256" t="s">
        <v>779</v>
      </c>
      <c r="G271" s="256" t="s">
        <v>773</v>
      </c>
      <c r="H271" s="256" t="s">
        <v>73</v>
      </c>
      <c r="I271" s="257">
        <v>328230</v>
      </c>
      <c r="J271" s="257">
        <v>0</v>
      </c>
      <c r="K271" s="257">
        <v>0</v>
      </c>
      <c r="L271" s="257">
        <v>0</v>
      </c>
      <c r="M271" s="257">
        <v>0</v>
      </c>
      <c r="N271" s="257">
        <v>0</v>
      </c>
      <c r="O271" s="257">
        <v>328230</v>
      </c>
      <c r="P271" s="257">
        <v>0</v>
      </c>
      <c r="Q271" s="258">
        <v>0</v>
      </c>
    </row>
    <row r="272" spans="1:17">
      <c r="A272" s="256">
        <v>1</v>
      </c>
      <c r="B272" s="256">
        <v>6154601</v>
      </c>
      <c r="C272" s="256">
        <v>615460102</v>
      </c>
      <c r="D272" s="256" t="s">
        <v>734</v>
      </c>
      <c r="E272" s="256" t="s">
        <v>735</v>
      </c>
      <c r="F272" s="256" t="s">
        <v>780</v>
      </c>
      <c r="G272" s="256" t="s">
        <v>112</v>
      </c>
      <c r="H272" s="256" t="s">
        <v>737</v>
      </c>
      <c r="I272" s="257">
        <v>0</v>
      </c>
      <c r="J272" s="257">
        <v>0</v>
      </c>
      <c r="K272" s="257">
        <v>0</v>
      </c>
      <c r="L272" s="257">
        <v>0</v>
      </c>
      <c r="M272" s="257">
        <v>0</v>
      </c>
      <c r="N272" s="257">
        <v>0</v>
      </c>
      <c r="O272" s="257">
        <v>0</v>
      </c>
      <c r="P272" s="257">
        <v>0</v>
      </c>
      <c r="Q272" s="258">
        <v>0</v>
      </c>
    </row>
    <row r="273" spans="1:17">
      <c r="A273" s="256">
        <v>1</v>
      </c>
      <c r="B273" s="256">
        <v>6154601</v>
      </c>
      <c r="C273" s="256">
        <v>615460103</v>
      </c>
      <c r="D273" s="256" t="s">
        <v>734</v>
      </c>
      <c r="E273" s="256" t="s">
        <v>735</v>
      </c>
      <c r="F273" s="256" t="s">
        <v>780</v>
      </c>
      <c r="G273" s="256" t="s">
        <v>112</v>
      </c>
      <c r="H273" s="256" t="s">
        <v>738</v>
      </c>
      <c r="I273" s="257">
        <v>0</v>
      </c>
      <c r="J273" s="257">
        <v>0</v>
      </c>
      <c r="K273" s="257">
        <v>0</v>
      </c>
      <c r="L273" s="257">
        <v>0</v>
      </c>
      <c r="M273" s="257">
        <v>0</v>
      </c>
      <c r="N273" s="257">
        <v>0</v>
      </c>
      <c r="O273" s="257">
        <v>0</v>
      </c>
      <c r="P273" s="257">
        <v>0</v>
      </c>
      <c r="Q273" s="258">
        <v>0</v>
      </c>
    </row>
    <row r="274" spans="1:17">
      <c r="A274" s="256">
        <v>1</v>
      </c>
      <c r="B274" s="256">
        <v>6154601</v>
      </c>
      <c r="C274" s="256">
        <v>615460104</v>
      </c>
      <c r="D274" s="256" t="s">
        <v>734</v>
      </c>
      <c r="E274" s="256" t="s">
        <v>735</v>
      </c>
      <c r="F274" s="256" t="s">
        <v>780</v>
      </c>
      <c r="G274" s="256" t="s">
        <v>112</v>
      </c>
      <c r="H274" s="256" t="s">
        <v>739</v>
      </c>
      <c r="I274" s="257">
        <v>0</v>
      </c>
      <c r="J274" s="257">
        <v>0</v>
      </c>
      <c r="K274" s="257">
        <v>0</v>
      </c>
      <c r="L274" s="257">
        <v>0</v>
      </c>
      <c r="M274" s="257">
        <v>0</v>
      </c>
      <c r="N274" s="257">
        <v>0</v>
      </c>
      <c r="O274" s="257">
        <v>0</v>
      </c>
      <c r="P274" s="257">
        <v>0</v>
      </c>
      <c r="Q274" s="258">
        <v>0</v>
      </c>
    </row>
    <row r="275" spans="1:17">
      <c r="A275" s="236">
        <v>1</v>
      </c>
      <c r="B275" s="236">
        <v>6154601</v>
      </c>
      <c r="C275" s="236">
        <v>615460105</v>
      </c>
      <c r="D275" s="236" t="s">
        <v>734</v>
      </c>
      <c r="E275" s="236" t="s">
        <v>735</v>
      </c>
      <c r="F275" s="236" t="s">
        <v>780</v>
      </c>
      <c r="G275" s="236" t="s">
        <v>112</v>
      </c>
      <c r="H275" s="236" t="s">
        <v>740</v>
      </c>
      <c r="I275" s="257">
        <v>0</v>
      </c>
      <c r="J275" s="257">
        <v>0</v>
      </c>
      <c r="K275" s="257">
        <v>0</v>
      </c>
      <c r="L275" s="257">
        <v>0</v>
      </c>
      <c r="M275" s="257">
        <v>0</v>
      </c>
      <c r="N275" s="257">
        <v>0</v>
      </c>
      <c r="O275" s="257">
        <v>0</v>
      </c>
      <c r="P275" s="257">
        <v>0</v>
      </c>
      <c r="Q275" s="258">
        <v>0</v>
      </c>
    </row>
    <row r="276" spans="1:17">
      <c r="A276" s="256">
        <v>1</v>
      </c>
      <c r="B276" s="256">
        <v>6154602</v>
      </c>
      <c r="C276" s="256">
        <v>615460202</v>
      </c>
      <c r="D276" s="256" t="s">
        <v>734</v>
      </c>
      <c r="E276" s="256" t="s">
        <v>735</v>
      </c>
      <c r="F276" s="256" t="s">
        <v>780</v>
      </c>
      <c r="G276" s="256" t="s">
        <v>110</v>
      </c>
      <c r="H276" s="256" t="s">
        <v>741</v>
      </c>
      <c r="I276" s="257">
        <v>0</v>
      </c>
      <c r="J276" s="257">
        <v>0</v>
      </c>
      <c r="K276" s="257">
        <v>0</v>
      </c>
      <c r="L276" s="257">
        <v>0</v>
      </c>
      <c r="M276" s="257">
        <v>0</v>
      </c>
      <c r="N276" s="257">
        <v>0</v>
      </c>
      <c r="O276" s="257">
        <v>0</v>
      </c>
      <c r="P276" s="257">
        <v>0</v>
      </c>
      <c r="Q276" s="258">
        <v>0</v>
      </c>
    </row>
    <row r="277" spans="1:17">
      <c r="A277" s="256">
        <v>1</v>
      </c>
      <c r="B277" s="256">
        <v>6154603</v>
      </c>
      <c r="C277" s="256">
        <v>615460301</v>
      </c>
      <c r="D277" s="256" t="s">
        <v>734</v>
      </c>
      <c r="E277" s="256" t="s">
        <v>735</v>
      </c>
      <c r="F277" s="256" t="s">
        <v>780</v>
      </c>
      <c r="G277" s="256" t="s">
        <v>108</v>
      </c>
      <c r="H277" s="256" t="s">
        <v>742</v>
      </c>
      <c r="I277" s="257">
        <v>0</v>
      </c>
      <c r="J277" s="257">
        <v>0</v>
      </c>
      <c r="K277" s="257">
        <v>0</v>
      </c>
      <c r="L277" s="257">
        <v>0</v>
      </c>
      <c r="M277" s="257">
        <v>0</v>
      </c>
      <c r="N277" s="257">
        <v>0</v>
      </c>
      <c r="O277" s="257">
        <v>0</v>
      </c>
      <c r="P277" s="257">
        <v>0</v>
      </c>
      <c r="Q277" s="258">
        <v>0</v>
      </c>
    </row>
    <row r="278" spans="1:17">
      <c r="A278" s="256">
        <v>1</v>
      </c>
      <c r="B278" s="256">
        <v>6154603</v>
      </c>
      <c r="C278" s="256">
        <v>615460302</v>
      </c>
      <c r="D278" s="256" t="s">
        <v>734</v>
      </c>
      <c r="E278" s="256" t="s">
        <v>735</v>
      </c>
      <c r="F278" s="256" t="s">
        <v>780</v>
      </c>
      <c r="G278" s="256" t="s">
        <v>108</v>
      </c>
      <c r="H278" s="256" t="s">
        <v>743</v>
      </c>
      <c r="I278" s="257">
        <v>0</v>
      </c>
      <c r="J278" s="257">
        <v>0</v>
      </c>
      <c r="K278" s="257">
        <v>0</v>
      </c>
      <c r="L278" s="257">
        <v>0</v>
      </c>
      <c r="M278" s="257">
        <v>0</v>
      </c>
      <c r="N278" s="257">
        <v>0</v>
      </c>
      <c r="O278" s="257">
        <v>0</v>
      </c>
      <c r="P278" s="257">
        <v>0</v>
      </c>
      <c r="Q278" s="258">
        <v>0</v>
      </c>
    </row>
    <row r="279" spans="1:17">
      <c r="A279" s="256">
        <v>1</v>
      </c>
      <c r="B279" s="256">
        <v>6154603</v>
      </c>
      <c r="C279" s="256">
        <v>615460303</v>
      </c>
      <c r="D279" s="256" t="s">
        <v>734</v>
      </c>
      <c r="E279" s="256" t="s">
        <v>735</v>
      </c>
      <c r="F279" s="256" t="s">
        <v>780</v>
      </c>
      <c r="G279" s="256" t="s">
        <v>108</v>
      </c>
      <c r="H279" s="256" t="s">
        <v>744</v>
      </c>
      <c r="I279" s="257">
        <v>0</v>
      </c>
      <c r="J279" s="257">
        <v>0</v>
      </c>
      <c r="K279" s="257">
        <v>0</v>
      </c>
      <c r="L279" s="257">
        <v>0</v>
      </c>
      <c r="M279" s="257">
        <v>0</v>
      </c>
      <c r="N279" s="257">
        <v>0</v>
      </c>
      <c r="O279" s="257">
        <v>0</v>
      </c>
      <c r="P279" s="257">
        <v>0</v>
      </c>
      <c r="Q279" s="258">
        <v>0</v>
      </c>
    </row>
    <row r="280" spans="1:17">
      <c r="A280" s="256">
        <v>1</v>
      </c>
      <c r="B280" s="256">
        <v>6154603</v>
      </c>
      <c r="C280" s="256">
        <v>615460304</v>
      </c>
      <c r="D280" s="256" t="s">
        <v>734</v>
      </c>
      <c r="E280" s="256" t="s">
        <v>735</v>
      </c>
      <c r="F280" s="256" t="s">
        <v>780</v>
      </c>
      <c r="G280" s="256" t="s">
        <v>108</v>
      </c>
      <c r="H280" s="256" t="s">
        <v>745</v>
      </c>
      <c r="I280" s="257">
        <v>0</v>
      </c>
      <c r="J280" s="257">
        <v>0</v>
      </c>
      <c r="K280" s="257">
        <v>0</v>
      </c>
      <c r="L280" s="257">
        <v>0</v>
      </c>
      <c r="M280" s="257">
        <v>0</v>
      </c>
      <c r="N280" s="257">
        <v>0</v>
      </c>
      <c r="O280" s="257">
        <v>0</v>
      </c>
      <c r="P280" s="257">
        <v>0</v>
      </c>
      <c r="Q280" s="258">
        <v>0</v>
      </c>
    </row>
    <row r="281" spans="1:17">
      <c r="A281" s="256">
        <v>1</v>
      </c>
      <c r="B281" s="256">
        <v>6154603</v>
      </c>
      <c r="C281" s="256">
        <v>615460305</v>
      </c>
      <c r="D281" s="256" t="s">
        <v>734</v>
      </c>
      <c r="E281" s="256" t="s">
        <v>735</v>
      </c>
      <c r="F281" s="256" t="s">
        <v>780</v>
      </c>
      <c r="G281" s="256" t="s">
        <v>108</v>
      </c>
      <c r="H281" s="256" t="s">
        <v>746</v>
      </c>
      <c r="I281" s="257">
        <v>0</v>
      </c>
      <c r="J281" s="257">
        <v>0</v>
      </c>
      <c r="K281" s="257">
        <v>0</v>
      </c>
      <c r="L281" s="257">
        <v>0</v>
      </c>
      <c r="M281" s="257">
        <v>0</v>
      </c>
      <c r="N281" s="257">
        <v>0</v>
      </c>
      <c r="O281" s="257">
        <v>0</v>
      </c>
      <c r="P281" s="257">
        <v>0</v>
      </c>
      <c r="Q281" s="258">
        <v>0</v>
      </c>
    </row>
    <row r="282" spans="1:17">
      <c r="A282" s="256">
        <v>1</v>
      </c>
      <c r="B282" s="256">
        <v>6154603</v>
      </c>
      <c r="C282" s="256">
        <v>615460306</v>
      </c>
      <c r="D282" s="256" t="s">
        <v>734</v>
      </c>
      <c r="E282" s="256" t="s">
        <v>735</v>
      </c>
      <c r="F282" s="256" t="s">
        <v>780</v>
      </c>
      <c r="G282" s="256" t="s">
        <v>108</v>
      </c>
      <c r="H282" s="256" t="s">
        <v>747</v>
      </c>
      <c r="I282" s="257">
        <v>0</v>
      </c>
      <c r="J282" s="257">
        <v>0</v>
      </c>
      <c r="K282" s="257">
        <v>0</v>
      </c>
      <c r="L282" s="257">
        <v>0</v>
      </c>
      <c r="M282" s="257">
        <v>0</v>
      </c>
      <c r="N282" s="257">
        <v>0</v>
      </c>
      <c r="O282" s="257">
        <v>0</v>
      </c>
      <c r="P282" s="257">
        <v>0</v>
      </c>
      <c r="Q282" s="258">
        <v>0</v>
      </c>
    </row>
    <row r="283" spans="1:17">
      <c r="A283" s="256">
        <v>1</v>
      </c>
      <c r="B283" s="256">
        <v>6154603</v>
      </c>
      <c r="C283" s="256">
        <v>615460307</v>
      </c>
      <c r="D283" s="256" t="s">
        <v>734</v>
      </c>
      <c r="E283" s="256" t="s">
        <v>735</v>
      </c>
      <c r="F283" s="256" t="s">
        <v>780</v>
      </c>
      <c r="G283" s="256" t="s">
        <v>108</v>
      </c>
      <c r="H283" s="256" t="s">
        <v>748</v>
      </c>
      <c r="I283" s="257">
        <v>0</v>
      </c>
      <c r="J283" s="257">
        <v>0</v>
      </c>
      <c r="K283" s="257">
        <v>0</v>
      </c>
      <c r="L283" s="257">
        <v>0</v>
      </c>
      <c r="M283" s="257">
        <v>0</v>
      </c>
      <c r="N283" s="257">
        <v>0</v>
      </c>
      <c r="O283" s="257">
        <v>0</v>
      </c>
      <c r="P283" s="257">
        <v>0</v>
      </c>
      <c r="Q283" s="258">
        <v>0</v>
      </c>
    </row>
    <row r="284" spans="1:17">
      <c r="A284" s="256">
        <v>1</v>
      </c>
      <c r="B284" s="256">
        <v>6154603</v>
      </c>
      <c r="C284" s="256">
        <v>615460310</v>
      </c>
      <c r="D284" s="256" t="s">
        <v>734</v>
      </c>
      <c r="E284" s="256" t="s">
        <v>735</v>
      </c>
      <c r="F284" s="256" t="s">
        <v>780</v>
      </c>
      <c r="G284" s="256" t="s">
        <v>108</v>
      </c>
      <c r="H284" s="256" t="s">
        <v>749</v>
      </c>
      <c r="I284" s="257">
        <v>0</v>
      </c>
      <c r="J284" s="257">
        <v>0</v>
      </c>
      <c r="K284" s="257">
        <v>0</v>
      </c>
      <c r="L284" s="257">
        <v>0</v>
      </c>
      <c r="M284" s="257">
        <v>0</v>
      </c>
      <c r="N284" s="257">
        <v>0</v>
      </c>
      <c r="O284" s="257">
        <v>0</v>
      </c>
      <c r="P284" s="257">
        <v>0</v>
      </c>
      <c r="Q284" s="258">
        <v>0</v>
      </c>
    </row>
    <row r="285" spans="1:17">
      <c r="A285" s="256">
        <v>1</v>
      </c>
      <c r="B285" s="256">
        <v>6154603</v>
      </c>
      <c r="C285" s="256">
        <v>615460311</v>
      </c>
      <c r="D285" s="256" t="s">
        <v>734</v>
      </c>
      <c r="E285" s="256" t="s">
        <v>735</v>
      </c>
      <c r="F285" s="256" t="s">
        <v>780</v>
      </c>
      <c r="G285" s="256" t="s">
        <v>108</v>
      </c>
      <c r="H285" s="256" t="s">
        <v>750</v>
      </c>
      <c r="I285" s="257">
        <v>0</v>
      </c>
      <c r="J285" s="257">
        <v>0</v>
      </c>
      <c r="K285" s="257">
        <v>0</v>
      </c>
      <c r="L285" s="257">
        <v>0</v>
      </c>
      <c r="M285" s="257">
        <v>0</v>
      </c>
      <c r="N285" s="257">
        <v>0</v>
      </c>
      <c r="O285" s="257">
        <v>0</v>
      </c>
      <c r="P285" s="257">
        <v>0</v>
      </c>
      <c r="Q285" s="258">
        <v>0</v>
      </c>
    </row>
    <row r="286" spans="1:17">
      <c r="A286" s="256">
        <v>1</v>
      </c>
      <c r="B286" s="256">
        <v>6154603</v>
      </c>
      <c r="C286" s="256">
        <v>615460314</v>
      </c>
      <c r="D286" s="256" t="s">
        <v>734</v>
      </c>
      <c r="E286" s="256" t="s">
        <v>735</v>
      </c>
      <c r="F286" s="256" t="s">
        <v>780</v>
      </c>
      <c r="G286" s="256" t="s">
        <v>108</v>
      </c>
      <c r="H286" s="256" t="s">
        <v>751</v>
      </c>
      <c r="I286" s="257">
        <v>0</v>
      </c>
      <c r="J286" s="257">
        <v>0</v>
      </c>
      <c r="K286" s="257">
        <v>0</v>
      </c>
      <c r="L286" s="257">
        <v>0</v>
      </c>
      <c r="M286" s="257">
        <v>0</v>
      </c>
      <c r="N286" s="257">
        <v>0</v>
      </c>
      <c r="O286" s="257">
        <v>0</v>
      </c>
      <c r="P286" s="257">
        <v>0</v>
      </c>
      <c r="Q286" s="258">
        <v>0</v>
      </c>
    </row>
    <row r="287" spans="1:17">
      <c r="A287" s="256">
        <v>1</v>
      </c>
      <c r="B287" s="256">
        <v>6154603</v>
      </c>
      <c r="C287" s="256">
        <v>615460315</v>
      </c>
      <c r="D287" s="256" t="s">
        <v>734</v>
      </c>
      <c r="E287" s="256" t="s">
        <v>735</v>
      </c>
      <c r="F287" s="256" t="s">
        <v>780</v>
      </c>
      <c r="G287" s="256" t="s">
        <v>108</v>
      </c>
      <c r="H287" s="256" t="s">
        <v>752</v>
      </c>
      <c r="I287" s="257">
        <v>0</v>
      </c>
      <c r="J287" s="257">
        <v>0</v>
      </c>
      <c r="K287" s="257">
        <v>0</v>
      </c>
      <c r="L287" s="257">
        <v>0</v>
      </c>
      <c r="M287" s="257">
        <v>0</v>
      </c>
      <c r="N287" s="257">
        <v>0</v>
      </c>
      <c r="O287" s="257">
        <v>0</v>
      </c>
      <c r="P287" s="257">
        <v>0</v>
      </c>
      <c r="Q287" s="258">
        <v>0</v>
      </c>
    </row>
    <row r="288" spans="1:17">
      <c r="A288" s="256">
        <v>1</v>
      </c>
      <c r="B288" s="256">
        <v>6154604</v>
      </c>
      <c r="C288" s="256">
        <v>615460401</v>
      </c>
      <c r="D288" s="256" t="s">
        <v>734</v>
      </c>
      <c r="E288" s="256" t="s">
        <v>735</v>
      </c>
      <c r="F288" s="256" t="s">
        <v>780</v>
      </c>
      <c r="G288" s="256" t="s">
        <v>106</v>
      </c>
      <c r="H288" s="256" t="s">
        <v>755</v>
      </c>
      <c r="I288" s="257">
        <v>0</v>
      </c>
      <c r="J288" s="257">
        <v>0</v>
      </c>
      <c r="K288" s="257">
        <v>0</v>
      </c>
      <c r="L288" s="257">
        <v>0</v>
      </c>
      <c r="M288" s="257">
        <v>0</v>
      </c>
      <c r="N288" s="257">
        <v>0</v>
      </c>
      <c r="O288" s="257">
        <v>0</v>
      </c>
      <c r="P288" s="257">
        <v>0</v>
      </c>
      <c r="Q288" s="258">
        <v>0</v>
      </c>
    </row>
    <row r="289" spans="1:17">
      <c r="A289" s="256">
        <v>1</v>
      </c>
      <c r="B289" s="256">
        <v>6154604</v>
      </c>
      <c r="C289" s="256">
        <v>615460402</v>
      </c>
      <c r="D289" s="256" t="s">
        <v>734</v>
      </c>
      <c r="E289" s="256" t="s">
        <v>735</v>
      </c>
      <c r="F289" s="256" t="s">
        <v>780</v>
      </c>
      <c r="G289" s="256" t="s">
        <v>106</v>
      </c>
      <c r="H289" s="256" t="s">
        <v>756</v>
      </c>
      <c r="I289" s="257">
        <v>0</v>
      </c>
      <c r="J289" s="257">
        <v>0</v>
      </c>
      <c r="K289" s="257">
        <v>0</v>
      </c>
      <c r="L289" s="257">
        <v>0</v>
      </c>
      <c r="M289" s="257">
        <v>0</v>
      </c>
      <c r="N289" s="257">
        <v>0</v>
      </c>
      <c r="O289" s="257">
        <v>0</v>
      </c>
      <c r="P289" s="257">
        <v>0</v>
      </c>
      <c r="Q289" s="258">
        <v>0</v>
      </c>
    </row>
    <row r="290" spans="1:17">
      <c r="A290" s="256">
        <v>1</v>
      </c>
      <c r="B290" s="256">
        <v>6154604</v>
      </c>
      <c r="C290" s="256">
        <v>615460403</v>
      </c>
      <c r="D290" s="256" t="s">
        <v>734</v>
      </c>
      <c r="E290" s="256" t="s">
        <v>735</v>
      </c>
      <c r="F290" s="256" t="s">
        <v>780</v>
      </c>
      <c r="G290" s="256" t="s">
        <v>106</v>
      </c>
      <c r="H290" s="256" t="s">
        <v>757</v>
      </c>
      <c r="I290" s="257">
        <v>0</v>
      </c>
      <c r="J290" s="257">
        <v>0</v>
      </c>
      <c r="K290" s="257">
        <v>0</v>
      </c>
      <c r="L290" s="257">
        <v>0</v>
      </c>
      <c r="M290" s="257">
        <v>0</v>
      </c>
      <c r="N290" s="257">
        <v>0</v>
      </c>
      <c r="O290" s="257">
        <v>0</v>
      </c>
      <c r="P290" s="257">
        <v>0</v>
      </c>
      <c r="Q290" s="258">
        <v>0</v>
      </c>
    </row>
    <row r="291" spans="1:17">
      <c r="A291" s="256">
        <v>1</v>
      </c>
      <c r="B291" s="256">
        <v>6154604</v>
      </c>
      <c r="C291" s="256">
        <v>615460405</v>
      </c>
      <c r="D291" s="256" t="s">
        <v>734</v>
      </c>
      <c r="E291" s="256" t="s">
        <v>735</v>
      </c>
      <c r="F291" s="256" t="s">
        <v>780</v>
      </c>
      <c r="G291" s="256" t="s">
        <v>106</v>
      </c>
      <c r="H291" s="256" t="s">
        <v>758</v>
      </c>
      <c r="I291" s="257">
        <v>0</v>
      </c>
      <c r="J291" s="257">
        <v>0</v>
      </c>
      <c r="K291" s="257">
        <v>0</v>
      </c>
      <c r="L291" s="257">
        <v>0</v>
      </c>
      <c r="M291" s="257">
        <v>0</v>
      </c>
      <c r="N291" s="257">
        <v>0</v>
      </c>
      <c r="O291" s="257">
        <v>0</v>
      </c>
      <c r="P291" s="257">
        <v>0</v>
      </c>
      <c r="Q291" s="258">
        <v>0</v>
      </c>
    </row>
    <row r="292" spans="1:17">
      <c r="A292" s="256">
        <v>1</v>
      </c>
      <c r="B292" s="256">
        <v>6154604</v>
      </c>
      <c r="C292" s="256">
        <v>615460406</v>
      </c>
      <c r="D292" s="256" t="s">
        <v>734</v>
      </c>
      <c r="E292" s="256" t="s">
        <v>735</v>
      </c>
      <c r="F292" s="256" t="s">
        <v>780</v>
      </c>
      <c r="G292" s="256" t="s">
        <v>106</v>
      </c>
      <c r="H292" s="256" t="s">
        <v>759</v>
      </c>
      <c r="I292" s="257">
        <v>0</v>
      </c>
      <c r="J292" s="257">
        <v>0</v>
      </c>
      <c r="K292" s="257">
        <v>0</v>
      </c>
      <c r="L292" s="257">
        <v>0</v>
      </c>
      <c r="M292" s="257">
        <v>0</v>
      </c>
      <c r="N292" s="257">
        <v>0</v>
      </c>
      <c r="O292" s="257">
        <v>0</v>
      </c>
      <c r="P292" s="257">
        <v>0</v>
      </c>
      <c r="Q292" s="258">
        <v>0</v>
      </c>
    </row>
    <row r="293" spans="1:17">
      <c r="A293" s="256">
        <v>1</v>
      </c>
      <c r="B293" s="256">
        <v>6154604</v>
      </c>
      <c r="C293" s="256">
        <v>615460407</v>
      </c>
      <c r="D293" s="256" t="s">
        <v>734</v>
      </c>
      <c r="E293" s="256" t="s">
        <v>735</v>
      </c>
      <c r="F293" s="256" t="s">
        <v>780</v>
      </c>
      <c r="G293" s="256" t="s">
        <v>106</v>
      </c>
      <c r="H293" s="256" t="s">
        <v>760</v>
      </c>
      <c r="I293" s="257">
        <v>0</v>
      </c>
      <c r="J293" s="257">
        <v>0</v>
      </c>
      <c r="K293" s="257">
        <v>0</v>
      </c>
      <c r="L293" s="257">
        <v>0</v>
      </c>
      <c r="M293" s="257">
        <v>0</v>
      </c>
      <c r="N293" s="257">
        <v>0</v>
      </c>
      <c r="O293" s="257">
        <v>0</v>
      </c>
      <c r="P293" s="257">
        <v>0</v>
      </c>
      <c r="Q293" s="258">
        <v>0</v>
      </c>
    </row>
    <row r="294" spans="1:17">
      <c r="A294" s="256">
        <v>1</v>
      </c>
      <c r="B294" s="256">
        <v>6154604</v>
      </c>
      <c r="C294" s="256">
        <v>615460408</v>
      </c>
      <c r="D294" s="256" t="s">
        <v>734</v>
      </c>
      <c r="E294" s="256" t="s">
        <v>735</v>
      </c>
      <c r="F294" s="256" t="s">
        <v>780</v>
      </c>
      <c r="G294" s="256" t="s">
        <v>106</v>
      </c>
      <c r="H294" s="256" t="s">
        <v>761</v>
      </c>
      <c r="I294" s="257">
        <v>0</v>
      </c>
      <c r="J294" s="257">
        <v>0</v>
      </c>
      <c r="K294" s="257">
        <v>0</v>
      </c>
      <c r="L294" s="257">
        <v>0</v>
      </c>
      <c r="M294" s="257">
        <v>0</v>
      </c>
      <c r="N294" s="257">
        <v>0</v>
      </c>
      <c r="O294" s="257">
        <v>0</v>
      </c>
      <c r="P294" s="257">
        <v>0</v>
      </c>
      <c r="Q294" s="258">
        <v>0</v>
      </c>
    </row>
    <row r="295" spans="1:17">
      <c r="A295" s="256">
        <v>1</v>
      </c>
      <c r="B295" s="256">
        <v>6154604</v>
      </c>
      <c r="C295" s="256">
        <v>615460410</v>
      </c>
      <c r="D295" s="256" t="s">
        <v>734</v>
      </c>
      <c r="E295" s="256" t="s">
        <v>735</v>
      </c>
      <c r="F295" s="256" t="s">
        <v>780</v>
      </c>
      <c r="G295" s="256" t="s">
        <v>106</v>
      </c>
      <c r="H295" s="256" t="s">
        <v>762</v>
      </c>
      <c r="I295" s="257">
        <v>0</v>
      </c>
      <c r="J295" s="257">
        <v>0</v>
      </c>
      <c r="K295" s="257">
        <v>0</v>
      </c>
      <c r="L295" s="257">
        <v>0</v>
      </c>
      <c r="M295" s="257">
        <v>0</v>
      </c>
      <c r="N295" s="257">
        <v>0</v>
      </c>
      <c r="O295" s="257">
        <v>0</v>
      </c>
      <c r="P295" s="257">
        <v>0</v>
      </c>
      <c r="Q295" s="258">
        <v>0</v>
      </c>
    </row>
    <row r="296" spans="1:17">
      <c r="A296" s="256">
        <v>1</v>
      </c>
      <c r="B296" s="256">
        <v>6154605</v>
      </c>
      <c r="C296" s="256">
        <v>615460500</v>
      </c>
      <c r="D296" s="256" t="s">
        <v>734</v>
      </c>
      <c r="E296" s="256" t="s">
        <v>735</v>
      </c>
      <c r="F296" s="256" t="s">
        <v>780</v>
      </c>
      <c r="G296" s="256" t="s">
        <v>104</v>
      </c>
      <c r="H296" s="256"/>
      <c r="I296" s="257">
        <v>0</v>
      </c>
      <c r="J296" s="257">
        <v>0</v>
      </c>
      <c r="K296" s="257">
        <v>0</v>
      </c>
      <c r="L296" s="257">
        <v>0</v>
      </c>
      <c r="M296" s="257">
        <v>0</v>
      </c>
      <c r="N296" s="257">
        <v>0</v>
      </c>
      <c r="O296" s="257">
        <v>0</v>
      </c>
      <c r="P296" s="257">
        <v>0</v>
      </c>
      <c r="Q296" s="258">
        <v>0</v>
      </c>
    </row>
    <row r="297" spans="1:17">
      <c r="A297" s="256">
        <v>1</v>
      </c>
      <c r="B297" s="256">
        <v>6154607</v>
      </c>
      <c r="C297" s="256">
        <v>615460700</v>
      </c>
      <c r="D297" s="256" t="s">
        <v>734</v>
      </c>
      <c r="E297" s="256" t="s">
        <v>735</v>
      </c>
      <c r="F297" s="256" t="s">
        <v>780</v>
      </c>
      <c r="G297" s="256" t="s">
        <v>102</v>
      </c>
      <c r="H297" s="256"/>
      <c r="I297" s="257">
        <v>0</v>
      </c>
      <c r="J297" s="257">
        <v>0</v>
      </c>
      <c r="K297" s="257">
        <v>0</v>
      </c>
      <c r="L297" s="257">
        <v>0</v>
      </c>
      <c r="M297" s="257">
        <v>0</v>
      </c>
      <c r="N297" s="257">
        <v>0</v>
      </c>
      <c r="O297" s="257">
        <v>0</v>
      </c>
      <c r="P297" s="257">
        <v>0</v>
      </c>
      <c r="Q297" s="258">
        <v>0</v>
      </c>
    </row>
    <row r="298" spans="1:17">
      <c r="A298" s="256">
        <v>1</v>
      </c>
      <c r="B298" s="256">
        <v>6154608</v>
      </c>
      <c r="C298" s="256">
        <v>615460800</v>
      </c>
      <c r="D298" s="256" t="s">
        <v>734</v>
      </c>
      <c r="E298" s="256" t="s">
        <v>735</v>
      </c>
      <c r="F298" s="256" t="s">
        <v>780</v>
      </c>
      <c r="G298" s="256" t="s">
        <v>100</v>
      </c>
      <c r="H298" s="256"/>
      <c r="I298" s="257">
        <v>0</v>
      </c>
      <c r="J298" s="257">
        <v>0</v>
      </c>
      <c r="K298" s="257">
        <v>0</v>
      </c>
      <c r="L298" s="257">
        <v>0</v>
      </c>
      <c r="M298" s="257">
        <v>0</v>
      </c>
      <c r="N298" s="257">
        <v>0</v>
      </c>
      <c r="O298" s="257">
        <v>0</v>
      </c>
      <c r="P298" s="257">
        <v>0</v>
      </c>
      <c r="Q298" s="258">
        <v>0</v>
      </c>
    </row>
    <row r="299" spans="1:17">
      <c r="A299" s="256">
        <v>1</v>
      </c>
      <c r="B299" s="256">
        <v>6154610</v>
      </c>
      <c r="C299" s="256">
        <v>615461001</v>
      </c>
      <c r="D299" s="256" t="s">
        <v>734</v>
      </c>
      <c r="E299" s="256" t="s">
        <v>735</v>
      </c>
      <c r="F299" s="256" t="s">
        <v>780</v>
      </c>
      <c r="G299" s="256" t="s">
        <v>764</v>
      </c>
      <c r="H299" s="256" t="s">
        <v>98</v>
      </c>
      <c r="I299" s="257">
        <v>0</v>
      </c>
      <c r="J299" s="257">
        <v>0</v>
      </c>
      <c r="K299" s="257">
        <v>0</v>
      </c>
      <c r="L299" s="257">
        <v>0</v>
      </c>
      <c r="M299" s="257">
        <v>0</v>
      </c>
      <c r="N299" s="257">
        <v>0</v>
      </c>
      <c r="O299" s="257">
        <v>0</v>
      </c>
      <c r="P299" s="257">
        <v>0</v>
      </c>
      <c r="Q299" s="258">
        <v>0</v>
      </c>
    </row>
    <row r="300" spans="1:17">
      <c r="A300" s="256">
        <v>1</v>
      </c>
      <c r="B300" s="256">
        <v>6154610</v>
      </c>
      <c r="C300" s="256">
        <v>615461002</v>
      </c>
      <c r="D300" s="256" t="s">
        <v>734</v>
      </c>
      <c r="E300" s="256" t="s">
        <v>735</v>
      </c>
      <c r="F300" s="256" t="s">
        <v>780</v>
      </c>
      <c r="G300" s="256" t="s">
        <v>764</v>
      </c>
      <c r="H300" s="256" t="s">
        <v>95</v>
      </c>
      <c r="I300" s="257">
        <v>0</v>
      </c>
      <c r="J300" s="257">
        <v>0</v>
      </c>
      <c r="K300" s="257">
        <v>0</v>
      </c>
      <c r="L300" s="257">
        <v>0</v>
      </c>
      <c r="M300" s="257">
        <v>0</v>
      </c>
      <c r="N300" s="257">
        <v>0</v>
      </c>
      <c r="O300" s="257">
        <v>0</v>
      </c>
      <c r="P300" s="257">
        <v>0</v>
      </c>
      <c r="Q300" s="258">
        <v>0</v>
      </c>
    </row>
    <row r="301" spans="1:17">
      <c r="A301" s="236">
        <v>1</v>
      </c>
      <c r="B301" s="236">
        <v>6154610</v>
      </c>
      <c r="C301" s="236">
        <v>615461003</v>
      </c>
      <c r="D301" s="236" t="s">
        <v>734</v>
      </c>
      <c r="E301" s="236" t="s">
        <v>735</v>
      </c>
      <c r="F301" s="236" t="s">
        <v>780</v>
      </c>
      <c r="G301" s="236" t="s">
        <v>764</v>
      </c>
      <c r="H301" s="236" t="s">
        <v>765</v>
      </c>
      <c r="I301" s="257">
        <v>0</v>
      </c>
      <c r="J301" s="257">
        <v>0</v>
      </c>
      <c r="K301" s="257">
        <v>0</v>
      </c>
      <c r="L301" s="257">
        <v>0</v>
      </c>
      <c r="M301" s="257">
        <v>0</v>
      </c>
      <c r="N301" s="257">
        <v>0</v>
      </c>
      <c r="O301" s="257">
        <v>0</v>
      </c>
      <c r="P301" s="257">
        <v>0</v>
      </c>
      <c r="Q301" s="258">
        <v>0</v>
      </c>
    </row>
    <row r="302" spans="1:17">
      <c r="A302" s="256">
        <v>1</v>
      </c>
      <c r="B302" s="256">
        <v>6154613</v>
      </c>
      <c r="C302" s="256">
        <v>615461300</v>
      </c>
      <c r="D302" s="256" t="s">
        <v>734</v>
      </c>
      <c r="E302" s="256" t="s">
        <v>735</v>
      </c>
      <c r="F302" s="256" t="s">
        <v>780</v>
      </c>
      <c r="G302" s="256" t="s">
        <v>93</v>
      </c>
      <c r="H302" s="256"/>
      <c r="I302" s="257">
        <v>0</v>
      </c>
      <c r="J302" s="257">
        <v>0</v>
      </c>
      <c r="K302" s="257">
        <v>0</v>
      </c>
      <c r="L302" s="257">
        <v>0</v>
      </c>
      <c r="M302" s="257">
        <v>0</v>
      </c>
      <c r="N302" s="257">
        <v>0</v>
      </c>
      <c r="O302" s="257">
        <v>0</v>
      </c>
      <c r="P302" s="257">
        <v>0</v>
      </c>
      <c r="Q302" s="258">
        <v>0</v>
      </c>
    </row>
    <row r="303" spans="1:17">
      <c r="A303" s="256">
        <v>1</v>
      </c>
      <c r="B303" s="256">
        <v>6154614</v>
      </c>
      <c r="C303" s="256">
        <v>615461400</v>
      </c>
      <c r="D303" s="256" t="s">
        <v>734</v>
      </c>
      <c r="E303" s="256" t="s">
        <v>735</v>
      </c>
      <c r="F303" s="256" t="s">
        <v>780</v>
      </c>
      <c r="G303" s="256" t="s">
        <v>91</v>
      </c>
      <c r="H303" s="256"/>
      <c r="I303" s="257">
        <v>0</v>
      </c>
      <c r="J303" s="257">
        <v>0</v>
      </c>
      <c r="K303" s="257">
        <v>0</v>
      </c>
      <c r="L303" s="257">
        <v>0</v>
      </c>
      <c r="M303" s="257">
        <v>0</v>
      </c>
      <c r="N303" s="257">
        <v>0</v>
      </c>
      <c r="O303" s="257">
        <v>0</v>
      </c>
      <c r="P303" s="257">
        <v>0</v>
      </c>
      <c r="Q303" s="258">
        <v>0</v>
      </c>
    </row>
    <row r="304" spans="1:17">
      <c r="A304" s="256">
        <v>1</v>
      </c>
      <c r="B304" s="256">
        <v>6154615</v>
      </c>
      <c r="C304" s="256">
        <v>615461500</v>
      </c>
      <c r="D304" s="256" t="s">
        <v>734</v>
      </c>
      <c r="E304" s="256" t="s">
        <v>735</v>
      </c>
      <c r="F304" s="256" t="s">
        <v>780</v>
      </c>
      <c r="G304" s="256" t="s">
        <v>89</v>
      </c>
      <c r="H304" s="256"/>
      <c r="I304" s="257">
        <v>0</v>
      </c>
      <c r="J304" s="257">
        <v>0</v>
      </c>
      <c r="K304" s="257">
        <v>0</v>
      </c>
      <c r="L304" s="257">
        <v>0</v>
      </c>
      <c r="M304" s="257">
        <v>0</v>
      </c>
      <c r="N304" s="257">
        <v>0</v>
      </c>
      <c r="O304" s="257">
        <v>0</v>
      </c>
      <c r="P304" s="257">
        <v>0</v>
      </c>
      <c r="Q304" s="258">
        <v>0</v>
      </c>
    </row>
    <row r="305" spans="1:17">
      <c r="A305" s="256">
        <v>1</v>
      </c>
      <c r="B305" s="256">
        <v>6154617</v>
      </c>
      <c r="C305" s="256">
        <v>615461700</v>
      </c>
      <c r="D305" s="256" t="s">
        <v>734</v>
      </c>
      <c r="E305" s="256" t="s">
        <v>735</v>
      </c>
      <c r="F305" s="256" t="s">
        <v>780</v>
      </c>
      <c r="G305" s="256" t="s">
        <v>87</v>
      </c>
      <c r="H305" s="256"/>
      <c r="I305" s="257">
        <v>0</v>
      </c>
      <c r="J305" s="257">
        <v>0</v>
      </c>
      <c r="K305" s="257">
        <v>0</v>
      </c>
      <c r="L305" s="257">
        <v>0</v>
      </c>
      <c r="M305" s="257">
        <v>0</v>
      </c>
      <c r="N305" s="257">
        <v>0</v>
      </c>
      <c r="O305" s="257">
        <v>0</v>
      </c>
      <c r="P305" s="257">
        <v>0</v>
      </c>
      <c r="Q305" s="258">
        <v>0</v>
      </c>
    </row>
    <row r="306" spans="1:17">
      <c r="A306" s="256">
        <v>1</v>
      </c>
      <c r="B306" s="256">
        <v>6154619</v>
      </c>
      <c r="C306" s="256">
        <v>615461900</v>
      </c>
      <c r="D306" s="256" t="s">
        <v>734</v>
      </c>
      <c r="E306" s="256" t="s">
        <v>735</v>
      </c>
      <c r="F306" s="256" t="s">
        <v>780</v>
      </c>
      <c r="G306" s="256" t="s">
        <v>85</v>
      </c>
      <c r="H306" s="256"/>
      <c r="I306" s="257">
        <v>0</v>
      </c>
      <c r="J306" s="257">
        <v>0</v>
      </c>
      <c r="K306" s="257">
        <v>0</v>
      </c>
      <c r="L306" s="257">
        <v>0</v>
      </c>
      <c r="M306" s="257">
        <v>0</v>
      </c>
      <c r="N306" s="257">
        <v>0</v>
      </c>
      <c r="O306" s="257">
        <v>0</v>
      </c>
      <c r="P306" s="257">
        <v>0</v>
      </c>
      <c r="Q306" s="258">
        <v>0</v>
      </c>
    </row>
    <row r="307" spans="1:17">
      <c r="A307" s="256">
        <v>1</v>
      </c>
      <c r="B307" s="256">
        <v>6154620</v>
      </c>
      <c r="C307" s="256">
        <v>615462000</v>
      </c>
      <c r="D307" s="256" t="s">
        <v>734</v>
      </c>
      <c r="E307" s="256" t="s">
        <v>735</v>
      </c>
      <c r="F307" s="256" t="s">
        <v>780</v>
      </c>
      <c r="G307" s="256" t="s">
        <v>83</v>
      </c>
      <c r="H307" s="256"/>
      <c r="I307" s="257">
        <v>0</v>
      </c>
      <c r="J307" s="257">
        <v>0</v>
      </c>
      <c r="K307" s="257">
        <v>0</v>
      </c>
      <c r="L307" s="257">
        <v>0</v>
      </c>
      <c r="M307" s="257">
        <v>0</v>
      </c>
      <c r="N307" s="257">
        <v>0</v>
      </c>
      <c r="O307" s="257">
        <v>0</v>
      </c>
      <c r="P307" s="257">
        <v>0</v>
      </c>
      <c r="Q307" s="258">
        <v>0</v>
      </c>
    </row>
    <row r="308" spans="1:17">
      <c r="A308" s="256">
        <v>1</v>
      </c>
      <c r="B308" s="256">
        <v>6154621</v>
      </c>
      <c r="C308" s="256">
        <v>615462100</v>
      </c>
      <c r="D308" s="256" t="s">
        <v>734</v>
      </c>
      <c r="E308" s="256" t="s">
        <v>735</v>
      </c>
      <c r="F308" s="256" t="s">
        <v>780</v>
      </c>
      <c r="G308" s="256" t="s">
        <v>81</v>
      </c>
      <c r="H308" s="256"/>
      <c r="I308" s="257">
        <v>0</v>
      </c>
      <c r="J308" s="257">
        <v>0</v>
      </c>
      <c r="K308" s="257">
        <v>0</v>
      </c>
      <c r="L308" s="257">
        <v>0</v>
      </c>
      <c r="M308" s="257">
        <v>0</v>
      </c>
      <c r="N308" s="257">
        <v>0</v>
      </c>
      <c r="O308" s="257">
        <v>0</v>
      </c>
      <c r="P308" s="257">
        <v>0</v>
      </c>
      <c r="Q308" s="258">
        <v>0</v>
      </c>
    </row>
    <row r="309" spans="1:17">
      <c r="A309" s="256">
        <v>1</v>
      </c>
      <c r="B309" s="256">
        <v>6154623</v>
      </c>
      <c r="C309" s="256">
        <v>615462300</v>
      </c>
      <c r="D309" s="256" t="s">
        <v>734</v>
      </c>
      <c r="E309" s="256" t="s">
        <v>735</v>
      </c>
      <c r="F309" s="256" t="s">
        <v>780</v>
      </c>
      <c r="G309" s="256" t="s">
        <v>79</v>
      </c>
      <c r="H309" s="256"/>
      <c r="I309" s="257">
        <v>0</v>
      </c>
      <c r="J309" s="257">
        <v>0</v>
      </c>
      <c r="K309" s="257">
        <v>0</v>
      </c>
      <c r="L309" s="257">
        <v>0</v>
      </c>
      <c r="M309" s="257">
        <v>0</v>
      </c>
      <c r="N309" s="257">
        <v>0</v>
      </c>
      <c r="O309" s="257">
        <v>0</v>
      </c>
      <c r="P309" s="257">
        <v>0</v>
      </c>
      <c r="Q309" s="258">
        <v>0</v>
      </c>
    </row>
    <row r="310" spans="1:17">
      <c r="A310" s="256">
        <v>1</v>
      </c>
      <c r="B310" s="256">
        <v>6154624</v>
      </c>
      <c r="C310" s="256">
        <v>615462400</v>
      </c>
      <c r="D310" s="256" t="s">
        <v>734</v>
      </c>
      <c r="E310" s="256" t="s">
        <v>735</v>
      </c>
      <c r="F310" s="256" t="s">
        <v>780</v>
      </c>
      <c r="G310" s="256" t="s">
        <v>77</v>
      </c>
      <c r="H310" s="256"/>
      <c r="I310" s="257">
        <v>0</v>
      </c>
      <c r="J310" s="257">
        <v>0</v>
      </c>
      <c r="K310" s="257">
        <v>0</v>
      </c>
      <c r="L310" s="257">
        <v>0</v>
      </c>
      <c r="M310" s="257">
        <v>0</v>
      </c>
      <c r="N310" s="257">
        <v>0</v>
      </c>
      <c r="O310" s="257">
        <v>0</v>
      </c>
      <c r="P310" s="257">
        <v>0</v>
      </c>
      <c r="Q310" s="258">
        <v>0</v>
      </c>
    </row>
    <row r="311" spans="1:17">
      <c r="A311" s="256">
        <v>1</v>
      </c>
      <c r="B311" s="256">
        <v>6154631</v>
      </c>
      <c r="C311" s="256">
        <v>615463100</v>
      </c>
      <c r="D311" s="256" t="s">
        <v>734</v>
      </c>
      <c r="E311" s="256" t="s">
        <v>735</v>
      </c>
      <c r="F311" s="256" t="s">
        <v>780</v>
      </c>
      <c r="G311" s="256" t="s">
        <v>62</v>
      </c>
      <c r="H311" s="256"/>
      <c r="I311" s="257">
        <v>0</v>
      </c>
      <c r="J311" s="257">
        <v>0</v>
      </c>
      <c r="K311" s="257">
        <v>0</v>
      </c>
      <c r="L311" s="257">
        <v>0</v>
      </c>
      <c r="M311" s="257">
        <v>0</v>
      </c>
      <c r="N311" s="257">
        <v>0</v>
      </c>
      <c r="O311" s="257">
        <v>0</v>
      </c>
      <c r="P311" s="257">
        <v>0</v>
      </c>
      <c r="Q311" s="258">
        <v>0</v>
      </c>
    </row>
    <row r="312" spans="1:17">
      <c r="A312" s="256">
        <v>1</v>
      </c>
      <c r="B312" s="256">
        <v>6154637</v>
      </c>
      <c r="C312" s="256">
        <v>615463700</v>
      </c>
      <c r="D312" s="256" t="s">
        <v>734</v>
      </c>
      <c r="E312" s="256" t="s">
        <v>735</v>
      </c>
      <c r="F312" s="256" t="s">
        <v>780</v>
      </c>
      <c r="G312" s="256" t="s">
        <v>60</v>
      </c>
      <c r="H312" s="256"/>
      <c r="I312" s="257">
        <v>0</v>
      </c>
      <c r="J312" s="257">
        <v>0</v>
      </c>
      <c r="K312" s="257">
        <v>0</v>
      </c>
      <c r="L312" s="257">
        <v>0</v>
      </c>
      <c r="M312" s="257">
        <v>0</v>
      </c>
      <c r="N312" s="257">
        <v>0</v>
      </c>
      <c r="O312" s="257">
        <v>0</v>
      </c>
      <c r="P312" s="257">
        <v>0</v>
      </c>
      <c r="Q312" s="258">
        <v>0</v>
      </c>
    </row>
    <row r="313" spans="1:17">
      <c r="A313" s="256">
        <v>1</v>
      </c>
      <c r="B313" s="256">
        <v>6154639</v>
      </c>
      <c r="C313" s="256">
        <v>615463900</v>
      </c>
      <c r="D313" s="256" t="s">
        <v>734</v>
      </c>
      <c r="E313" s="256" t="s">
        <v>735</v>
      </c>
      <c r="F313" s="256" t="s">
        <v>780</v>
      </c>
      <c r="G313" s="256" t="s">
        <v>58</v>
      </c>
      <c r="H313" s="256"/>
      <c r="I313" s="257">
        <v>0</v>
      </c>
      <c r="J313" s="257">
        <v>0</v>
      </c>
      <c r="K313" s="257">
        <v>0</v>
      </c>
      <c r="L313" s="257">
        <v>0</v>
      </c>
      <c r="M313" s="257">
        <v>0</v>
      </c>
      <c r="N313" s="257">
        <v>0</v>
      </c>
      <c r="O313" s="257">
        <v>0</v>
      </c>
      <c r="P313" s="257">
        <v>0</v>
      </c>
      <c r="Q313" s="258">
        <v>0</v>
      </c>
    </row>
    <row r="314" spans="1:17">
      <c r="A314" s="256">
        <v>1</v>
      </c>
      <c r="B314" s="256">
        <v>6154640</v>
      </c>
      <c r="C314" s="256">
        <v>615464000</v>
      </c>
      <c r="D314" s="256" t="s">
        <v>734</v>
      </c>
      <c r="E314" s="256" t="s">
        <v>735</v>
      </c>
      <c r="F314" s="256" t="s">
        <v>780</v>
      </c>
      <c r="G314" s="256" t="s">
        <v>56</v>
      </c>
      <c r="H314" s="256"/>
      <c r="I314" s="257">
        <v>0</v>
      </c>
      <c r="J314" s="257">
        <v>0</v>
      </c>
      <c r="K314" s="257">
        <v>0</v>
      </c>
      <c r="L314" s="257">
        <v>0</v>
      </c>
      <c r="M314" s="257">
        <v>0</v>
      </c>
      <c r="N314" s="257">
        <v>0</v>
      </c>
      <c r="O314" s="257">
        <v>0</v>
      </c>
      <c r="P314" s="257">
        <v>0</v>
      </c>
      <c r="Q314" s="258">
        <v>0</v>
      </c>
    </row>
    <row r="315" spans="1:17">
      <c r="A315" s="256">
        <v>1</v>
      </c>
      <c r="B315" s="256">
        <v>6154641</v>
      </c>
      <c r="C315" s="256">
        <v>615464100</v>
      </c>
      <c r="D315" s="256" t="s">
        <v>734</v>
      </c>
      <c r="E315" s="256" t="s">
        <v>735</v>
      </c>
      <c r="F315" s="256" t="s">
        <v>780</v>
      </c>
      <c r="G315" s="256" t="s">
        <v>55</v>
      </c>
      <c r="H315" s="256"/>
      <c r="I315" s="257">
        <v>0</v>
      </c>
      <c r="J315" s="257">
        <v>0</v>
      </c>
      <c r="K315" s="257">
        <v>0</v>
      </c>
      <c r="L315" s="257">
        <v>0</v>
      </c>
      <c r="M315" s="257">
        <v>0</v>
      </c>
      <c r="N315" s="257">
        <v>0</v>
      </c>
      <c r="O315" s="257">
        <v>0</v>
      </c>
      <c r="P315" s="257">
        <v>0</v>
      </c>
      <c r="Q315" s="258">
        <v>0</v>
      </c>
    </row>
    <row r="316" spans="1:17">
      <c r="A316" s="256">
        <v>1</v>
      </c>
      <c r="B316" s="256">
        <v>6154665</v>
      </c>
      <c r="C316" s="256">
        <v>615466500</v>
      </c>
      <c r="D316" s="256" t="s">
        <v>734</v>
      </c>
      <c r="E316" s="256" t="s">
        <v>735</v>
      </c>
      <c r="F316" s="256" t="s">
        <v>780</v>
      </c>
      <c r="G316" s="256" t="s">
        <v>766</v>
      </c>
      <c r="H316" s="256"/>
      <c r="I316" s="257">
        <v>0</v>
      </c>
      <c r="J316" s="257">
        <v>0</v>
      </c>
      <c r="K316" s="257">
        <v>0</v>
      </c>
      <c r="L316" s="257">
        <v>0</v>
      </c>
      <c r="M316" s="257">
        <v>0</v>
      </c>
      <c r="N316" s="257">
        <v>0</v>
      </c>
      <c r="O316" s="257">
        <v>0</v>
      </c>
      <c r="P316" s="257">
        <v>0</v>
      </c>
      <c r="Q316" s="258">
        <v>0</v>
      </c>
    </row>
    <row r="317" spans="1:17">
      <c r="A317" s="256">
        <v>1</v>
      </c>
      <c r="B317" s="256">
        <v>6154669</v>
      </c>
      <c r="C317" s="256">
        <v>615466900</v>
      </c>
      <c r="D317" s="256" t="s">
        <v>734</v>
      </c>
      <c r="E317" s="256" t="s">
        <v>735</v>
      </c>
      <c r="F317" s="256" t="s">
        <v>780</v>
      </c>
      <c r="G317" s="256" t="s">
        <v>767</v>
      </c>
      <c r="H317" s="256"/>
      <c r="I317" s="257">
        <v>0</v>
      </c>
      <c r="J317" s="257">
        <v>0</v>
      </c>
      <c r="K317" s="257">
        <v>0</v>
      </c>
      <c r="L317" s="257">
        <v>0</v>
      </c>
      <c r="M317" s="257">
        <v>0</v>
      </c>
      <c r="N317" s="257">
        <v>0</v>
      </c>
      <c r="O317" s="257">
        <v>0</v>
      </c>
      <c r="P317" s="257">
        <v>0</v>
      </c>
      <c r="Q317" s="258">
        <v>0</v>
      </c>
    </row>
    <row r="318" spans="1:17">
      <c r="A318" s="256">
        <v>1</v>
      </c>
      <c r="B318" s="256">
        <v>6154670</v>
      </c>
      <c r="C318" s="256">
        <v>615467000</v>
      </c>
      <c r="D318" s="256" t="s">
        <v>734</v>
      </c>
      <c r="E318" s="256" t="s">
        <v>735</v>
      </c>
      <c r="F318" s="256" t="s">
        <v>780</v>
      </c>
      <c r="G318" s="256" t="s">
        <v>768</v>
      </c>
      <c r="H318" s="256"/>
      <c r="I318" s="257">
        <v>0</v>
      </c>
      <c r="J318" s="257">
        <v>0</v>
      </c>
      <c r="K318" s="257">
        <v>0</v>
      </c>
      <c r="L318" s="257">
        <v>0</v>
      </c>
      <c r="M318" s="257">
        <v>0</v>
      </c>
      <c r="N318" s="257">
        <v>0</v>
      </c>
      <c r="O318" s="257">
        <v>0</v>
      </c>
      <c r="P318" s="257">
        <v>0</v>
      </c>
      <c r="Q318" s="258">
        <v>0</v>
      </c>
    </row>
    <row r="319" spans="1:17">
      <c r="A319" s="256">
        <v>1</v>
      </c>
      <c r="B319" s="256">
        <v>6154671</v>
      </c>
      <c r="C319" s="256">
        <v>615467100</v>
      </c>
      <c r="D319" s="256" t="s">
        <v>734</v>
      </c>
      <c r="E319" s="256" t="s">
        <v>735</v>
      </c>
      <c r="F319" s="256" t="s">
        <v>780</v>
      </c>
      <c r="G319" s="256" t="s">
        <v>769</v>
      </c>
      <c r="H319" s="256"/>
      <c r="I319" s="257">
        <v>0</v>
      </c>
      <c r="J319" s="257">
        <v>0</v>
      </c>
      <c r="K319" s="257">
        <v>0</v>
      </c>
      <c r="L319" s="257">
        <v>0</v>
      </c>
      <c r="M319" s="257">
        <v>0</v>
      </c>
      <c r="N319" s="257">
        <v>0</v>
      </c>
      <c r="O319" s="257">
        <v>0</v>
      </c>
      <c r="P319" s="257">
        <v>0</v>
      </c>
      <c r="Q319" s="258">
        <v>0</v>
      </c>
    </row>
    <row r="320" spans="1:17">
      <c r="A320" s="256">
        <v>1</v>
      </c>
      <c r="B320" s="256">
        <v>6154672</v>
      </c>
      <c r="C320" s="256">
        <v>615467200</v>
      </c>
      <c r="D320" s="256" t="s">
        <v>734</v>
      </c>
      <c r="E320" s="256" t="s">
        <v>735</v>
      </c>
      <c r="F320" s="256" t="s">
        <v>780</v>
      </c>
      <c r="G320" s="256" t="s">
        <v>770</v>
      </c>
      <c r="H320" s="256"/>
      <c r="I320" s="257">
        <v>0</v>
      </c>
      <c r="J320" s="257">
        <v>0</v>
      </c>
      <c r="K320" s="257">
        <v>0</v>
      </c>
      <c r="L320" s="257">
        <v>0</v>
      </c>
      <c r="M320" s="257">
        <v>0</v>
      </c>
      <c r="N320" s="257">
        <v>0</v>
      </c>
      <c r="O320" s="257">
        <v>0</v>
      </c>
      <c r="P320" s="257">
        <v>0</v>
      </c>
      <c r="Q320" s="258">
        <v>0</v>
      </c>
    </row>
    <row r="321" spans="1:17">
      <c r="A321" s="256">
        <v>1</v>
      </c>
      <c r="B321" s="256">
        <v>6154673</v>
      </c>
      <c r="C321" s="256">
        <v>615467300</v>
      </c>
      <c r="D321" s="256" t="s">
        <v>734</v>
      </c>
      <c r="E321" s="256" t="s">
        <v>735</v>
      </c>
      <c r="F321" s="256" t="s">
        <v>780</v>
      </c>
      <c r="G321" s="256" t="s">
        <v>771</v>
      </c>
      <c r="H321" s="256"/>
      <c r="I321" s="257">
        <v>0</v>
      </c>
      <c r="J321" s="257">
        <v>0</v>
      </c>
      <c r="K321" s="257">
        <v>0</v>
      </c>
      <c r="L321" s="257">
        <v>0</v>
      </c>
      <c r="M321" s="257">
        <v>0</v>
      </c>
      <c r="N321" s="257">
        <v>0</v>
      </c>
      <c r="O321" s="257">
        <v>0</v>
      </c>
      <c r="P321" s="257">
        <v>0</v>
      </c>
      <c r="Q321" s="258">
        <v>0</v>
      </c>
    </row>
    <row r="322" spans="1:17">
      <c r="A322" s="256">
        <v>1</v>
      </c>
      <c r="B322" s="256">
        <v>6154674</v>
      </c>
      <c r="C322" s="256">
        <v>615467400</v>
      </c>
      <c r="D322" s="256" t="s">
        <v>734</v>
      </c>
      <c r="E322" s="256" t="s">
        <v>735</v>
      </c>
      <c r="F322" s="256" t="s">
        <v>780</v>
      </c>
      <c r="G322" s="256" t="s">
        <v>772</v>
      </c>
      <c r="H322" s="256"/>
      <c r="I322" s="257">
        <v>0</v>
      </c>
      <c r="J322" s="257">
        <v>0</v>
      </c>
      <c r="K322" s="257">
        <v>0</v>
      </c>
      <c r="L322" s="257">
        <v>0</v>
      </c>
      <c r="M322" s="257">
        <v>0</v>
      </c>
      <c r="N322" s="257">
        <v>0</v>
      </c>
      <c r="O322" s="257">
        <v>0</v>
      </c>
      <c r="P322" s="257">
        <v>0</v>
      </c>
      <c r="Q322" s="258">
        <v>0</v>
      </c>
    </row>
    <row r="323" spans="1:17">
      <c r="A323" s="256">
        <v>1</v>
      </c>
      <c r="B323" s="256">
        <v>6154675</v>
      </c>
      <c r="C323" s="256">
        <v>615467583</v>
      </c>
      <c r="D323" s="256" t="s">
        <v>734</v>
      </c>
      <c r="E323" s="256" t="s">
        <v>735</v>
      </c>
      <c r="F323" s="256" t="s">
        <v>780</v>
      </c>
      <c r="G323" s="256" t="s">
        <v>773</v>
      </c>
      <c r="H323" s="256" t="s">
        <v>75</v>
      </c>
      <c r="I323" s="257">
        <v>0</v>
      </c>
      <c r="J323" s="257">
        <v>0</v>
      </c>
      <c r="K323" s="257">
        <v>0</v>
      </c>
      <c r="L323" s="257">
        <v>0</v>
      </c>
      <c r="M323" s="257">
        <v>0</v>
      </c>
      <c r="N323" s="257">
        <v>0</v>
      </c>
      <c r="O323" s="257">
        <v>0</v>
      </c>
      <c r="P323" s="257">
        <v>0</v>
      </c>
      <c r="Q323" s="258">
        <v>0</v>
      </c>
    </row>
    <row r="324" spans="1:17">
      <c r="A324" s="256">
        <v>1</v>
      </c>
      <c r="B324" s="256">
        <v>6154675</v>
      </c>
      <c r="C324" s="256">
        <v>615467584</v>
      </c>
      <c r="D324" s="256" t="s">
        <v>734</v>
      </c>
      <c r="E324" s="256" t="s">
        <v>735</v>
      </c>
      <c r="F324" s="256" t="s">
        <v>780</v>
      </c>
      <c r="G324" s="256" t="s">
        <v>773</v>
      </c>
      <c r="H324" s="256" t="s">
        <v>774</v>
      </c>
      <c r="I324" s="257">
        <v>0</v>
      </c>
      <c r="J324" s="257">
        <v>0</v>
      </c>
      <c r="K324" s="257">
        <v>0</v>
      </c>
      <c r="L324" s="257">
        <v>0</v>
      </c>
      <c r="M324" s="257">
        <v>0</v>
      </c>
      <c r="N324" s="257">
        <v>0</v>
      </c>
      <c r="O324" s="257">
        <v>0</v>
      </c>
      <c r="P324" s="257">
        <v>0</v>
      </c>
      <c r="Q324" s="258">
        <v>0</v>
      </c>
    </row>
    <row r="325" spans="1:17">
      <c r="A325" s="256">
        <v>1</v>
      </c>
      <c r="B325" s="256">
        <v>6154675</v>
      </c>
      <c r="C325" s="256">
        <v>615467585</v>
      </c>
      <c r="D325" s="256" t="s">
        <v>734</v>
      </c>
      <c r="E325" s="256" t="s">
        <v>735</v>
      </c>
      <c r="F325" s="256" t="s">
        <v>780</v>
      </c>
      <c r="G325" s="256" t="s">
        <v>773</v>
      </c>
      <c r="H325" s="256" t="s">
        <v>775</v>
      </c>
      <c r="I325" s="257">
        <v>0</v>
      </c>
      <c r="J325" s="257">
        <v>0</v>
      </c>
      <c r="K325" s="257">
        <v>0</v>
      </c>
      <c r="L325" s="257">
        <v>0</v>
      </c>
      <c r="M325" s="257">
        <v>0</v>
      </c>
      <c r="N325" s="257">
        <v>0</v>
      </c>
      <c r="O325" s="257">
        <v>0</v>
      </c>
      <c r="P325" s="257">
        <v>0</v>
      </c>
      <c r="Q325" s="258">
        <v>0</v>
      </c>
    </row>
    <row r="326" spans="1:17">
      <c r="A326" s="256">
        <v>1</v>
      </c>
      <c r="B326" s="256">
        <v>6154675</v>
      </c>
      <c r="C326" s="256">
        <v>615467586</v>
      </c>
      <c r="D326" s="256" t="s">
        <v>734</v>
      </c>
      <c r="E326" s="256" t="s">
        <v>735</v>
      </c>
      <c r="F326" s="256" t="s">
        <v>780</v>
      </c>
      <c r="G326" s="256" t="s">
        <v>773</v>
      </c>
      <c r="H326" s="256" t="s">
        <v>776</v>
      </c>
      <c r="I326" s="257">
        <v>0</v>
      </c>
      <c r="J326" s="257">
        <v>0</v>
      </c>
      <c r="K326" s="257">
        <v>0</v>
      </c>
      <c r="L326" s="257">
        <v>0</v>
      </c>
      <c r="M326" s="257">
        <v>0</v>
      </c>
      <c r="N326" s="257">
        <v>0</v>
      </c>
      <c r="O326" s="257">
        <v>0</v>
      </c>
      <c r="P326" s="257">
        <v>0</v>
      </c>
      <c r="Q326" s="258">
        <v>0</v>
      </c>
    </row>
    <row r="327" spans="1:17">
      <c r="A327" s="256">
        <v>1</v>
      </c>
      <c r="B327" s="256">
        <v>6154675</v>
      </c>
      <c r="C327" s="256">
        <v>615467587</v>
      </c>
      <c r="D327" s="256" t="s">
        <v>734</v>
      </c>
      <c r="E327" s="256" t="s">
        <v>735</v>
      </c>
      <c r="F327" s="256" t="s">
        <v>780</v>
      </c>
      <c r="G327" s="256" t="s">
        <v>773</v>
      </c>
      <c r="H327" s="256" t="s">
        <v>665</v>
      </c>
      <c r="I327" s="257">
        <v>0</v>
      </c>
      <c r="J327" s="257">
        <v>0</v>
      </c>
      <c r="K327" s="257">
        <v>0</v>
      </c>
      <c r="L327" s="257">
        <v>0</v>
      </c>
      <c r="M327" s="257">
        <v>0</v>
      </c>
      <c r="N327" s="257">
        <v>0</v>
      </c>
      <c r="O327" s="257">
        <v>0</v>
      </c>
      <c r="P327" s="257">
        <v>0</v>
      </c>
      <c r="Q327" s="258">
        <v>0</v>
      </c>
    </row>
    <row r="328" spans="1:17">
      <c r="A328" s="256">
        <v>1</v>
      </c>
      <c r="B328" s="256">
        <v>6154675</v>
      </c>
      <c r="C328" s="256">
        <v>615467588</v>
      </c>
      <c r="D328" s="256" t="s">
        <v>734</v>
      </c>
      <c r="E328" s="256" t="s">
        <v>735</v>
      </c>
      <c r="F328" s="256" t="s">
        <v>780</v>
      </c>
      <c r="G328" s="256" t="s">
        <v>773</v>
      </c>
      <c r="H328" s="256" t="s">
        <v>73</v>
      </c>
      <c r="I328" s="257">
        <v>0</v>
      </c>
      <c r="J328" s="257">
        <v>0</v>
      </c>
      <c r="K328" s="257">
        <v>0</v>
      </c>
      <c r="L328" s="257">
        <v>0</v>
      </c>
      <c r="M328" s="257">
        <v>0</v>
      </c>
      <c r="N328" s="257">
        <v>0</v>
      </c>
      <c r="O328" s="257">
        <v>0</v>
      </c>
      <c r="P328" s="257">
        <v>0</v>
      </c>
      <c r="Q328" s="258">
        <v>0</v>
      </c>
    </row>
    <row r="329" spans="1:17">
      <c r="A329" s="256">
        <v>1</v>
      </c>
      <c r="B329" s="256">
        <v>6154775</v>
      </c>
      <c r="C329" s="256">
        <v>615477583</v>
      </c>
      <c r="D329" s="256" t="s">
        <v>734</v>
      </c>
      <c r="E329" s="256" t="s">
        <v>735</v>
      </c>
      <c r="F329" s="256" t="s">
        <v>781</v>
      </c>
      <c r="G329" s="256" t="s">
        <v>773</v>
      </c>
      <c r="H329" s="256" t="s">
        <v>75</v>
      </c>
      <c r="I329" s="257">
        <v>0</v>
      </c>
      <c r="J329" s="257">
        <v>0</v>
      </c>
      <c r="K329" s="257">
        <v>0</v>
      </c>
      <c r="L329" s="257">
        <v>0</v>
      </c>
      <c r="M329" s="257">
        <v>0</v>
      </c>
      <c r="N329" s="257">
        <v>0</v>
      </c>
      <c r="O329" s="257">
        <v>0</v>
      </c>
      <c r="P329" s="257">
        <v>0</v>
      </c>
      <c r="Q329" s="258">
        <v>0</v>
      </c>
    </row>
    <row r="330" spans="1:17">
      <c r="A330" s="256">
        <v>1</v>
      </c>
      <c r="B330" s="256">
        <v>6154775</v>
      </c>
      <c r="C330" s="256">
        <v>615477584</v>
      </c>
      <c r="D330" s="256" t="s">
        <v>734</v>
      </c>
      <c r="E330" s="256" t="s">
        <v>735</v>
      </c>
      <c r="F330" s="256" t="s">
        <v>781</v>
      </c>
      <c r="G330" s="256" t="s">
        <v>773</v>
      </c>
      <c r="H330" s="256" t="s">
        <v>774</v>
      </c>
      <c r="I330" s="257">
        <v>0</v>
      </c>
      <c r="J330" s="257">
        <v>0</v>
      </c>
      <c r="K330" s="257">
        <v>0</v>
      </c>
      <c r="L330" s="257">
        <v>0</v>
      </c>
      <c r="M330" s="257">
        <v>0</v>
      </c>
      <c r="N330" s="257">
        <v>0</v>
      </c>
      <c r="O330" s="257">
        <v>0</v>
      </c>
      <c r="P330" s="257">
        <v>0</v>
      </c>
      <c r="Q330" s="258">
        <v>0</v>
      </c>
    </row>
    <row r="331" spans="1:17">
      <c r="A331" s="256">
        <v>1</v>
      </c>
      <c r="B331" s="256">
        <v>6154775</v>
      </c>
      <c r="C331" s="256">
        <v>615477585</v>
      </c>
      <c r="D331" s="256" t="s">
        <v>734</v>
      </c>
      <c r="E331" s="256" t="s">
        <v>735</v>
      </c>
      <c r="F331" s="256" t="s">
        <v>781</v>
      </c>
      <c r="G331" s="256" t="s">
        <v>773</v>
      </c>
      <c r="H331" s="256" t="s">
        <v>775</v>
      </c>
      <c r="I331" s="257">
        <v>0</v>
      </c>
      <c r="J331" s="257">
        <v>0</v>
      </c>
      <c r="K331" s="257">
        <v>0</v>
      </c>
      <c r="L331" s="257">
        <v>0</v>
      </c>
      <c r="M331" s="257">
        <v>0</v>
      </c>
      <c r="N331" s="257">
        <v>0</v>
      </c>
      <c r="O331" s="257">
        <v>0</v>
      </c>
      <c r="P331" s="257">
        <v>0</v>
      </c>
      <c r="Q331" s="258">
        <v>0</v>
      </c>
    </row>
    <row r="332" spans="1:17">
      <c r="A332" s="256">
        <v>1</v>
      </c>
      <c r="B332" s="256">
        <v>6154775</v>
      </c>
      <c r="C332" s="256">
        <v>615477586</v>
      </c>
      <c r="D332" s="256" t="s">
        <v>734</v>
      </c>
      <c r="E332" s="256" t="s">
        <v>735</v>
      </c>
      <c r="F332" s="256" t="s">
        <v>781</v>
      </c>
      <c r="G332" s="256" t="s">
        <v>773</v>
      </c>
      <c r="H332" s="256" t="s">
        <v>776</v>
      </c>
      <c r="I332" s="257">
        <v>0</v>
      </c>
      <c r="J332" s="257">
        <v>0</v>
      </c>
      <c r="K332" s="257">
        <v>0</v>
      </c>
      <c r="L332" s="257">
        <v>0</v>
      </c>
      <c r="M332" s="257">
        <v>0</v>
      </c>
      <c r="N332" s="257">
        <v>0</v>
      </c>
      <c r="O332" s="257">
        <v>0</v>
      </c>
      <c r="P332" s="257">
        <v>0</v>
      </c>
      <c r="Q332" s="258">
        <v>0</v>
      </c>
    </row>
    <row r="333" spans="1:17">
      <c r="A333" s="256">
        <v>1</v>
      </c>
      <c r="B333" s="256">
        <v>6154775</v>
      </c>
      <c r="C333" s="256">
        <v>615477587</v>
      </c>
      <c r="D333" s="256" t="s">
        <v>734</v>
      </c>
      <c r="E333" s="256" t="s">
        <v>735</v>
      </c>
      <c r="F333" s="256" t="s">
        <v>781</v>
      </c>
      <c r="G333" s="256" t="s">
        <v>773</v>
      </c>
      <c r="H333" s="256" t="s">
        <v>665</v>
      </c>
      <c r="I333" s="257">
        <v>131921564</v>
      </c>
      <c r="J333" s="257">
        <v>0</v>
      </c>
      <c r="K333" s="257">
        <v>0</v>
      </c>
      <c r="L333" s="257">
        <v>0</v>
      </c>
      <c r="M333" s="257">
        <v>0</v>
      </c>
      <c r="N333" s="257">
        <v>121228564</v>
      </c>
      <c r="O333" s="257">
        <v>0</v>
      </c>
      <c r="P333" s="257">
        <v>10693000</v>
      </c>
      <c r="Q333" s="258">
        <v>0</v>
      </c>
    </row>
    <row r="334" spans="1:17">
      <c r="A334" s="256">
        <v>1</v>
      </c>
      <c r="B334" s="256">
        <v>6154875</v>
      </c>
      <c r="C334" s="256">
        <v>615487583</v>
      </c>
      <c r="D334" s="256" t="s">
        <v>734</v>
      </c>
      <c r="E334" s="256" t="s">
        <v>735</v>
      </c>
      <c r="F334" s="256" t="s">
        <v>782</v>
      </c>
      <c r="G334" s="256" t="s">
        <v>773</v>
      </c>
      <c r="H334" s="256" t="s">
        <v>75</v>
      </c>
      <c r="I334" s="257">
        <v>0</v>
      </c>
      <c r="J334" s="257">
        <v>0</v>
      </c>
      <c r="K334" s="257">
        <v>0</v>
      </c>
      <c r="L334" s="257">
        <v>0</v>
      </c>
      <c r="M334" s="257">
        <v>0</v>
      </c>
      <c r="N334" s="257">
        <v>0</v>
      </c>
      <c r="O334" s="257">
        <v>0</v>
      </c>
      <c r="P334" s="257">
        <v>0</v>
      </c>
      <c r="Q334" s="258">
        <v>0</v>
      </c>
    </row>
    <row r="335" spans="1:17">
      <c r="A335" s="256">
        <v>1</v>
      </c>
      <c r="B335" s="256">
        <v>6154875</v>
      </c>
      <c r="C335" s="256">
        <v>615487584</v>
      </c>
      <c r="D335" s="256" t="s">
        <v>734</v>
      </c>
      <c r="E335" s="256" t="s">
        <v>735</v>
      </c>
      <c r="F335" s="256" t="s">
        <v>782</v>
      </c>
      <c r="G335" s="256" t="s">
        <v>773</v>
      </c>
      <c r="H335" s="256" t="s">
        <v>774</v>
      </c>
      <c r="I335" s="257">
        <v>0</v>
      </c>
      <c r="J335" s="257">
        <v>0</v>
      </c>
      <c r="K335" s="257">
        <v>0</v>
      </c>
      <c r="L335" s="257">
        <v>0</v>
      </c>
      <c r="M335" s="257">
        <v>0</v>
      </c>
      <c r="N335" s="257">
        <v>0</v>
      </c>
      <c r="O335" s="257">
        <v>0</v>
      </c>
      <c r="P335" s="257">
        <v>0</v>
      </c>
      <c r="Q335" s="258">
        <v>0</v>
      </c>
    </row>
    <row r="336" spans="1:17">
      <c r="A336" s="256">
        <v>1</v>
      </c>
      <c r="B336" s="256">
        <v>6154875</v>
      </c>
      <c r="C336" s="256">
        <v>615487585</v>
      </c>
      <c r="D336" s="256" t="s">
        <v>734</v>
      </c>
      <c r="E336" s="256" t="s">
        <v>735</v>
      </c>
      <c r="F336" s="256" t="s">
        <v>782</v>
      </c>
      <c r="G336" s="256" t="s">
        <v>773</v>
      </c>
      <c r="H336" s="256" t="s">
        <v>775</v>
      </c>
      <c r="I336" s="257">
        <v>0</v>
      </c>
      <c r="J336" s="257">
        <v>0</v>
      </c>
      <c r="K336" s="257">
        <v>0</v>
      </c>
      <c r="L336" s="257">
        <v>0</v>
      </c>
      <c r="M336" s="257">
        <v>0</v>
      </c>
      <c r="N336" s="257">
        <v>0</v>
      </c>
      <c r="O336" s="257">
        <v>0</v>
      </c>
      <c r="P336" s="257">
        <v>0</v>
      </c>
      <c r="Q336" s="258">
        <v>0</v>
      </c>
    </row>
    <row r="337" spans="1:17">
      <c r="A337" s="256">
        <v>1</v>
      </c>
      <c r="B337" s="256">
        <v>6154875</v>
      </c>
      <c r="C337" s="256">
        <v>615487586</v>
      </c>
      <c r="D337" s="256" t="s">
        <v>734</v>
      </c>
      <c r="E337" s="256" t="s">
        <v>735</v>
      </c>
      <c r="F337" s="256" t="s">
        <v>782</v>
      </c>
      <c r="G337" s="256" t="s">
        <v>773</v>
      </c>
      <c r="H337" s="256" t="s">
        <v>776</v>
      </c>
      <c r="I337" s="257">
        <v>0</v>
      </c>
      <c r="J337" s="257">
        <v>0</v>
      </c>
      <c r="K337" s="257">
        <v>0</v>
      </c>
      <c r="L337" s="257">
        <v>0</v>
      </c>
      <c r="M337" s="257">
        <v>0</v>
      </c>
      <c r="N337" s="257">
        <v>0</v>
      </c>
      <c r="O337" s="257">
        <v>0</v>
      </c>
      <c r="P337" s="257">
        <v>0</v>
      </c>
      <c r="Q337" s="258">
        <v>0</v>
      </c>
    </row>
    <row r="338" spans="1:17">
      <c r="A338" s="256">
        <v>1</v>
      </c>
      <c r="B338" s="256">
        <v>6154875</v>
      </c>
      <c r="C338" s="256">
        <v>615487587</v>
      </c>
      <c r="D338" s="256" t="s">
        <v>734</v>
      </c>
      <c r="E338" s="256" t="s">
        <v>735</v>
      </c>
      <c r="F338" s="256" t="s">
        <v>782</v>
      </c>
      <c r="G338" s="256" t="s">
        <v>773</v>
      </c>
      <c r="H338" s="256" t="s">
        <v>665</v>
      </c>
      <c r="I338" s="257">
        <v>0</v>
      </c>
      <c r="J338" s="257">
        <v>0</v>
      </c>
      <c r="K338" s="257">
        <v>0</v>
      </c>
      <c r="L338" s="257">
        <v>0</v>
      </c>
      <c r="M338" s="257">
        <v>0</v>
      </c>
      <c r="N338" s="257">
        <v>0</v>
      </c>
      <c r="O338" s="257">
        <v>0</v>
      </c>
      <c r="P338" s="257">
        <v>0</v>
      </c>
      <c r="Q338" s="258">
        <v>0</v>
      </c>
    </row>
    <row r="339" spans="1:17">
      <c r="A339" s="256">
        <v>1</v>
      </c>
      <c r="B339" s="256">
        <v>6155017</v>
      </c>
      <c r="C339" s="256">
        <v>615501700</v>
      </c>
      <c r="D339" s="256" t="s">
        <v>734</v>
      </c>
      <c r="E339" s="256" t="s">
        <v>735</v>
      </c>
      <c r="F339" s="256" t="s">
        <v>783</v>
      </c>
      <c r="G339" s="256" t="s">
        <v>87</v>
      </c>
      <c r="H339" s="256"/>
      <c r="I339" s="257">
        <v>0</v>
      </c>
      <c r="J339" s="257">
        <v>0</v>
      </c>
      <c r="K339" s="257">
        <v>0</v>
      </c>
      <c r="L339" s="257">
        <v>0</v>
      </c>
      <c r="M339" s="257">
        <v>0</v>
      </c>
      <c r="N339" s="257">
        <v>0</v>
      </c>
      <c r="O339" s="257">
        <v>0</v>
      </c>
      <c r="P339" s="257">
        <v>0</v>
      </c>
      <c r="Q339" s="258">
        <v>0</v>
      </c>
    </row>
    <row r="340" spans="1:17">
      <c r="A340" s="256">
        <v>1</v>
      </c>
      <c r="B340" s="256">
        <v>6155020</v>
      </c>
      <c r="C340" s="256">
        <v>615502000</v>
      </c>
      <c r="D340" s="256" t="s">
        <v>734</v>
      </c>
      <c r="E340" s="256" t="s">
        <v>735</v>
      </c>
      <c r="F340" s="256" t="s">
        <v>783</v>
      </c>
      <c r="G340" s="256" t="s">
        <v>83</v>
      </c>
      <c r="H340" s="256"/>
      <c r="I340" s="257">
        <v>0</v>
      </c>
      <c r="J340" s="257">
        <v>0</v>
      </c>
      <c r="K340" s="257">
        <v>0</v>
      </c>
      <c r="L340" s="257">
        <v>0</v>
      </c>
      <c r="M340" s="257">
        <v>0</v>
      </c>
      <c r="N340" s="257">
        <v>0</v>
      </c>
      <c r="O340" s="257">
        <v>0</v>
      </c>
      <c r="P340" s="257">
        <v>0</v>
      </c>
      <c r="Q340" s="258">
        <v>0</v>
      </c>
    </row>
    <row r="341" spans="1:17">
      <c r="A341" s="256">
        <v>1</v>
      </c>
      <c r="B341" s="256">
        <v>6155065</v>
      </c>
      <c r="C341" s="256">
        <v>615506500</v>
      </c>
      <c r="D341" s="256" t="s">
        <v>734</v>
      </c>
      <c r="E341" s="256" t="s">
        <v>735</v>
      </c>
      <c r="F341" s="256" t="s">
        <v>783</v>
      </c>
      <c r="G341" s="256" t="s">
        <v>766</v>
      </c>
      <c r="H341" s="256"/>
      <c r="I341" s="257">
        <v>0</v>
      </c>
      <c r="J341" s="257">
        <v>0</v>
      </c>
      <c r="K341" s="257">
        <v>0</v>
      </c>
      <c r="L341" s="257">
        <v>0</v>
      </c>
      <c r="M341" s="257">
        <v>0</v>
      </c>
      <c r="N341" s="257">
        <v>0</v>
      </c>
      <c r="O341" s="257">
        <v>0</v>
      </c>
      <c r="P341" s="257">
        <v>0</v>
      </c>
      <c r="Q341" s="258">
        <v>0</v>
      </c>
    </row>
    <row r="342" spans="1:17">
      <c r="A342" s="256">
        <v>1</v>
      </c>
      <c r="B342" s="256">
        <v>6155069</v>
      </c>
      <c r="C342" s="256">
        <v>615506900</v>
      </c>
      <c r="D342" s="256" t="s">
        <v>734</v>
      </c>
      <c r="E342" s="256" t="s">
        <v>735</v>
      </c>
      <c r="F342" s="256" t="s">
        <v>783</v>
      </c>
      <c r="G342" s="256" t="s">
        <v>767</v>
      </c>
      <c r="H342" s="256"/>
      <c r="I342" s="257">
        <v>3003980</v>
      </c>
      <c r="J342" s="257">
        <v>0</v>
      </c>
      <c r="K342" s="257">
        <v>0</v>
      </c>
      <c r="L342" s="257">
        <v>0</v>
      </c>
      <c r="M342" s="257">
        <v>0</v>
      </c>
      <c r="N342" s="257">
        <v>3003980</v>
      </c>
      <c r="O342" s="257">
        <v>0</v>
      </c>
      <c r="P342" s="257">
        <v>0</v>
      </c>
      <c r="Q342" s="258">
        <v>0</v>
      </c>
    </row>
    <row r="343" spans="1:17">
      <c r="A343" s="256">
        <v>1</v>
      </c>
      <c r="B343" s="256">
        <v>6155070</v>
      </c>
      <c r="C343" s="256">
        <v>615507000</v>
      </c>
      <c r="D343" s="256" t="s">
        <v>734</v>
      </c>
      <c r="E343" s="256" t="s">
        <v>735</v>
      </c>
      <c r="F343" s="256" t="s">
        <v>783</v>
      </c>
      <c r="G343" s="256" t="s">
        <v>768</v>
      </c>
      <c r="H343" s="256"/>
      <c r="I343" s="257">
        <v>6518930</v>
      </c>
      <c r="J343" s="257">
        <v>0</v>
      </c>
      <c r="K343" s="257">
        <v>0</v>
      </c>
      <c r="L343" s="257">
        <v>0</v>
      </c>
      <c r="M343" s="257">
        <v>0</v>
      </c>
      <c r="N343" s="257">
        <v>6518930</v>
      </c>
      <c r="O343" s="257">
        <v>0</v>
      </c>
      <c r="P343" s="257">
        <v>0</v>
      </c>
      <c r="Q343" s="258">
        <v>0</v>
      </c>
    </row>
    <row r="344" spans="1:17">
      <c r="A344" s="256">
        <v>1</v>
      </c>
      <c r="B344" s="256">
        <v>6155071</v>
      </c>
      <c r="C344" s="256">
        <v>615507100</v>
      </c>
      <c r="D344" s="256" t="s">
        <v>734</v>
      </c>
      <c r="E344" s="256" t="s">
        <v>735</v>
      </c>
      <c r="F344" s="256" t="s">
        <v>783</v>
      </c>
      <c r="G344" s="256" t="s">
        <v>769</v>
      </c>
      <c r="H344" s="256"/>
      <c r="I344" s="257">
        <v>0</v>
      </c>
      <c r="J344" s="257">
        <v>0</v>
      </c>
      <c r="K344" s="257">
        <v>0</v>
      </c>
      <c r="L344" s="257">
        <v>0</v>
      </c>
      <c r="M344" s="257">
        <v>0</v>
      </c>
      <c r="N344" s="257">
        <v>0</v>
      </c>
      <c r="O344" s="257">
        <v>0</v>
      </c>
      <c r="P344" s="257">
        <v>0</v>
      </c>
      <c r="Q344" s="258">
        <v>0</v>
      </c>
    </row>
    <row r="345" spans="1:17">
      <c r="A345" s="256">
        <v>1</v>
      </c>
      <c r="B345" s="256">
        <v>6155072</v>
      </c>
      <c r="C345" s="256">
        <v>615507200</v>
      </c>
      <c r="D345" s="256" t="s">
        <v>734</v>
      </c>
      <c r="E345" s="256" t="s">
        <v>735</v>
      </c>
      <c r="F345" s="256" t="s">
        <v>783</v>
      </c>
      <c r="G345" s="256" t="s">
        <v>770</v>
      </c>
      <c r="H345" s="256"/>
      <c r="I345" s="257">
        <v>0</v>
      </c>
      <c r="J345" s="257">
        <v>0</v>
      </c>
      <c r="K345" s="257">
        <v>0</v>
      </c>
      <c r="L345" s="257">
        <v>0</v>
      </c>
      <c r="M345" s="257">
        <v>0</v>
      </c>
      <c r="N345" s="257">
        <v>0</v>
      </c>
      <c r="O345" s="257">
        <v>0</v>
      </c>
      <c r="P345" s="257">
        <v>0</v>
      </c>
      <c r="Q345" s="258">
        <v>0</v>
      </c>
    </row>
    <row r="346" spans="1:17">
      <c r="A346" s="256">
        <v>1</v>
      </c>
      <c r="B346" s="256">
        <v>6155073</v>
      </c>
      <c r="C346" s="256">
        <v>615507300</v>
      </c>
      <c r="D346" s="256" t="s">
        <v>734</v>
      </c>
      <c r="E346" s="256" t="s">
        <v>735</v>
      </c>
      <c r="F346" s="256" t="s">
        <v>783</v>
      </c>
      <c r="G346" s="256" t="s">
        <v>771</v>
      </c>
      <c r="H346" s="256"/>
      <c r="I346" s="257">
        <v>0</v>
      </c>
      <c r="J346" s="257">
        <v>0</v>
      </c>
      <c r="K346" s="257">
        <v>0</v>
      </c>
      <c r="L346" s="257">
        <v>0</v>
      </c>
      <c r="M346" s="257">
        <v>0</v>
      </c>
      <c r="N346" s="257">
        <v>0</v>
      </c>
      <c r="O346" s="257">
        <v>0</v>
      </c>
      <c r="P346" s="257">
        <v>0</v>
      </c>
      <c r="Q346" s="258">
        <v>0</v>
      </c>
    </row>
    <row r="347" spans="1:17">
      <c r="A347" s="256">
        <v>1</v>
      </c>
      <c r="B347" s="256">
        <v>6155074</v>
      </c>
      <c r="C347" s="256">
        <v>615507400</v>
      </c>
      <c r="D347" s="256" t="s">
        <v>734</v>
      </c>
      <c r="E347" s="256" t="s">
        <v>735</v>
      </c>
      <c r="F347" s="256" t="s">
        <v>783</v>
      </c>
      <c r="G347" s="256" t="s">
        <v>772</v>
      </c>
      <c r="H347" s="256"/>
      <c r="I347" s="257">
        <v>0</v>
      </c>
      <c r="J347" s="257">
        <v>0</v>
      </c>
      <c r="K347" s="257">
        <v>0</v>
      </c>
      <c r="L347" s="257">
        <v>0</v>
      </c>
      <c r="M347" s="257">
        <v>0</v>
      </c>
      <c r="N347" s="257">
        <v>0</v>
      </c>
      <c r="O347" s="257">
        <v>0</v>
      </c>
      <c r="P347" s="257">
        <v>0</v>
      </c>
      <c r="Q347" s="258">
        <v>0</v>
      </c>
    </row>
    <row r="348" spans="1:17">
      <c r="A348" s="256">
        <v>1</v>
      </c>
      <c r="B348" s="256">
        <v>6155075</v>
      </c>
      <c r="C348" s="256">
        <v>615507583</v>
      </c>
      <c r="D348" s="256" t="s">
        <v>734</v>
      </c>
      <c r="E348" s="256" t="s">
        <v>735</v>
      </c>
      <c r="F348" s="256" t="s">
        <v>783</v>
      </c>
      <c r="G348" s="256" t="s">
        <v>773</v>
      </c>
      <c r="H348" s="256" t="s">
        <v>75</v>
      </c>
      <c r="I348" s="257">
        <v>48126100</v>
      </c>
      <c r="J348" s="257">
        <v>0</v>
      </c>
      <c r="K348" s="257">
        <v>0</v>
      </c>
      <c r="L348" s="257">
        <v>0</v>
      </c>
      <c r="M348" s="257">
        <v>0</v>
      </c>
      <c r="N348" s="257">
        <v>48126100</v>
      </c>
      <c r="O348" s="257">
        <v>0</v>
      </c>
      <c r="P348" s="257">
        <v>0</v>
      </c>
      <c r="Q348" s="258">
        <v>0</v>
      </c>
    </row>
    <row r="349" spans="1:17">
      <c r="A349" s="256">
        <v>1</v>
      </c>
      <c r="B349" s="256">
        <v>6155075</v>
      </c>
      <c r="C349" s="256">
        <v>615507584</v>
      </c>
      <c r="D349" s="256" t="s">
        <v>734</v>
      </c>
      <c r="E349" s="256" t="s">
        <v>735</v>
      </c>
      <c r="F349" s="256" t="s">
        <v>783</v>
      </c>
      <c r="G349" s="256" t="s">
        <v>773</v>
      </c>
      <c r="H349" s="256" t="s">
        <v>774</v>
      </c>
      <c r="I349" s="257">
        <v>0</v>
      </c>
      <c r="J349" s="257">
        <v>0</v>
      </c>
      <c r="K349" s="257">
        <v>0</v>
      </c>
      <c r="L349" s="257">
        <v>0</v>
      </c>
      <c r="M349" s="257">
        <v>0</v>
      </c>
      <c r="N349" s="257">
        <v>0</v>
      </c>
      <c r="O349" s="257">
        <v>0</v>
      </c>
      <c r="P349" s="257">
        <v>0</v>
      </c>
      <c r="Q349" s="258">
        <v>0</v>
      </c>
    </row>
    <row r="350" spans="1:17">
      <c r="A350" s="256">
        <v>1</v>
      </c>
      <c r="B350" s="256">
        <v>6155075</v>
      </c>
      <c r="C350" s="256">
        <v>615507585</v>
      </c>
      <c r="D350" s="256" t="s">
        <v>734</v>
      </c>
      <c r="E350" s="256" t="s">
        <v>735</v>
      </c>
      <c r="F350" s="256" t="s">
        <v>783</v>
      </c>
      <c r="G350" s="256" t="s">
        <v>773</v>
      </c>
      <c r="H350" s="256" t="s">
        <v>775</v>
      </c>
      <c r="I350" s="257">
        <v>1529000</v>
      </c>
      <c r="J350" s="257">
        <v>0</v>
      </c>
      <c r="K350" s="257">
        <v>0</v>
      </c>
      <c r="L350" s="257">
        <v>0</v>
      </c>
      <c r="M350" s="257">
        <v>0</v>
      </c>
      <c r="N350" s="257">
        <v>1529000</v>
      </c>
      <c r="O350" s="257">
        <v>0</v>
      </c>
      <c r="P350" s="257">
        <v>0</v>
      </c>
      <c r="Q350" s="258">
        <v>0</v>
      </c>
    </row>
    <row r="351" spans="1:17">
      <c r="A351" s="256">
        <v>1</v>
      </c>
      <c r="B351" s="256">
        <v>6155075</v>
      </c>
      <c r="C351" s="256">
        <v>615507586</v>
      </c>
      <c r="D351" s="256" t="s">
        <v>734</v>
      </c>
      <c r="E351" s="256" t="s">
        <v>735</v>
      </c>
      <c r="F351" s="256" t="s">
        <v>783</v>
      </c>
      <c r="G351" s="256" t="s">
        <v>773</v>
      </c>
      <c r="H351" s="256" t="s">
        <v>776</v>
      </c>
      <c r="I351" s="257">
        <v>0</v>
      </c>
      <c r="J351" s="257">
        <v>0</v>
      </c>
      <c r="K351" s="257">
        <v>0</v>
      </c>
      <c r="L351" s="257">
        <v>0</v>
      </c>
      <c r="M351" s="257">
        <v>0</v>
      </c>
      <c r="N351" s="257">
        <v>0</v>
      </c>
      <c r="O351" s="257">
        <v>0</v>
      </c>
      <c r="P351" s="257">
        <v>0</v>
      </c>
      <c r="Q351" s="258">
        <v>0</v>
      </c>
    </row>
    <row r="352" spans="1:17">
      <c r="A352" s="256">
        <v>1</v>
      </c>
      <c r="B352" s="256">
        <v>6155075</v>
      </c>
      <c r="C352" s="256">
        <v>615507587</v>
      </c>
      <c r="D352" s="256" t="s">
        <v>734</v>
      </c>
      <c r="E352" s="256" t="s">
        <v>735</v>
      </c>
      <c r="F352" s="256" t="s">
        <v>783</v>
      </c>
      <c r="G352" s="256" t="s">
        <v>773</v>
      </c>
      <c r="H352" s="256" t="s">
        <v>665</v>
      </c>
      <c r="I352" s="257">
        <v>0</v>
      </c>
      <c r="J352" s="257">
        <v>0</v>
      </c>
      <c r="K352" s="257">
        <v>0</v>
      </c>
      <c r="L352" s="257">
        <v>0</v>
      </c>
      <c r="M352" s="257">
        <v>0</v>
      </c>
      <c r="N352" s="257">
        <v>0</v>
      </c>
      <c r="O352" s="257">
        <v>0</v>
      </c>
      <c r="P352" s="257">
        <v>0</v>
      </c>
      <c r="Q352" s="258">
        <v>0</v>
      </c>
    </row>
    <row r="353" spans="1:17">
      <c r="A353" s="256">
        <v>1</v>
      </c>
      <c r="B353" s="256">
        <v>6155075</v>
      </c>
      <c r="C353" s="256">
        <v>615507588</v>
      </c>
      <c r="D353" s="256" t="s">
        <v>734</v>
      </c>
      <c r="E353" s="256" t="s">
        <v>735</v>
      </c>
      <c r="F353" s="256" t="s">
        <v>783</v>
      </c>
      <c r="G353" s="256" t="s">
        <v>773</v>
      </c>
      <c r="H353" s="256" t="s">
        <v>73</v>
      </c>
      <c r="I353" s="257">
        <v>0</v>
      </c>
      <c r="J353" s="257">
        <v>0</v>
      </c>
      <c r="K353" s="257">
        <v>0</v>
      </c>
      <c r="L353" s="257">
        <v>0</v>
      </c>
      <c r="M353" s="257">
        <v>0</v>
      </c>
      <c r="N353" s="257">
        <v>0</v>
      </c>
      <c r="O353" s="257">
        <v>0</v>
      </c>
      <c r="P353" s="257">
        <v>0</v>
      </c>
      <c r="Q353" s="258">
        <v>0</v>
      </c>
    </row>
    <row r="354" spans="1:17">
      <c r="A354" s="256">
        <v>1</v>
      </c>
      <c r="B354" s="256">
        <v>6155113</v>
      </c>
      <c r="C354" s="256">
        <v>615511300</v>
      </c>
      <c r="D354" s="256" t="s">
        <v>734</v>
      </c>
      <c r="E354" s="256" t="s">
        <v>735</v>
      </c>
      <c r="F354" s="256" t="s">
        <v>784</v>
      </c>
      <c r="G354" s="256" t="s">
        <v>93</v>
      </c>
      <c r="H354" s="256"/>
      <c r="I354" s="257">
        <v>0</v>
      </c>
      <c r="J354" s="257">
        <v>0</v>
      </c>
      <c r="K354" s="257">
        <v>0</v>
      </c>
      <c r="L354" s="257">
        <v>0</v>
      </c>
      <c r="M354" s="257">
        <v>0</v>
      </c>
      <c r="N354" s="257">
        <v>0</v>
      </c>
      <c r="O354" s="257">
        <v>0</v>
      </c>
      <c r="P354" s="257">
        <v>0</v>
      </c>
      <c r="Q354" s="258">
        <v>0</v>
      </c>
    </row>
    <row r="355" spans="1:17">
      <c r="A355" s="256">
        <v>1</v>
      </c>
      <c r="B355" s="256">
        <v>6155175</v>
      </c>
      <c r="C355" s="256">
        <v>615517583</v>
      </c>
      <c r="D355" s="256" t="s">
        <v>734</v>
      </c>
      <c r="E355" s="256" t="s">
        <v>735</v>
      </c>
      <c r="F355" s="256" t="s">
        <v>784</v>
      </c>
      <c r="G355" s="256" t="s">
        <v>773</v>
      </c>
      <c r="H355" s="256" t="s">
        <v>75</v>
      </c>
      <c r="I355" s="257">
        <v>0</v>
      </c>
      <c r="J355" s="257">
        <v>0</v>
      </c>
      <c r="K355" s="257">
        <v>0</v>
      </c>
      <c r="L355" s="257">
        <v>0</v>
      </c>
      <c r="M355" s="257">
        <v>0</v>
      </c>
      <c r="N355" s="257">
        <v>0</v>
      </c>
      <c r="O355" s="257">
        <v>0</v>
      </c>
      <c r="P355" s="257">
        <v>0</v>
      </c>
      <c r="Q355" s="258">
        <v>0</v>
      </c>
    </row>
    <row r="356" spans="1:17">
      <c r="A356" s="256">
        <v>1</v>
      </c>
      <c r="B356" s="256">
        <v>6155277</v>
      </c>
      <c r="C356" s="256">
        <v>615527700</v>
      </c>
      <c r="D356" s="256" t="s">
        <v>734</v>
      </c>
      <c r="E356" s="256" t="s">
        <v>735</v>
      </c>
      <c r="F356" s="256" t="s">
        <v>785</v>
      </c>
      <c r="G356" s="256" t="s">
        <v>786</v>
      </c>
      <c r="H356" s="256"/>
      <c r="I356" s="257">
        <v>12600000</v>
      </c>
      <c r="J356" s="257">
        <v>0</v>
      </c>
      <c r="K356" s="257">
        <v>0</v>
      </c>
      <c r="L356" s="257">
        <v>0</v>
      </c>
      <c r="M356" s="257">
        <v>0</v>
      </c>
      <c r="N356" s="257">
        <v>0</v>
      </c>
      <c r="O356" s="257">
        <v>12600000</v>
      </c>
      <c r="P356" s="257">
        <v>0</v>
      </c>
      <c r="Q356" s="258">
        <v>0</v>
      </c>
    </row>
    <row r="357" spans="1:17">
      <c r="A357" s="256">
        <v>1</v>
      </c>
      <c r="B357" s="256">
        <v>6155278</v>
      </c>
      <c r="C357" s="256">
        <v>615527800</v>
      </c>
      <c r="D357" s="256" t="s">
        <v>734</v>
      </c>
      <c r="E357" s="256" t="s">
        <v>735</v>
      </c>
      <c r="F357" s="256" t="s">
        <v>785</v>
      </c>
      <c r="G357" s="256" t="s">
        <v>787</v>
      </c>
      <c r="H357" s="256"/>
      <c r="I357" s="257">
        <v>0</v>
      </c>
      <c r="J357" s="257">
        <v>0</v>
      </c>
      <c r="K357" s="257">
        <v>0</v>
      </c>
      <c r="L357" s="257">
        <v>0</v>
      </c>
      <c r="M357" s="257">
        <v>0</v>
      </c>
      <c r="N357" s="257">
        <v>0</v>
      </c>
      <c r="O357" s="257">
        <v>0</v>
      </c>
      <c r="P357" s="257">
        <v>0</v>
      </c>
      <c r="Q357" s="258">
        <v>0</v>
      </c>
    </row>
    <row r="358" spans="1:17">
      <c r="A358" s="256">
        <v>1</v>
      </c>
      <c r="B358" s="256">
        <v>6160101</v>
      </c>
      <c r="C358" s="256">
        <v>616010100</v>
      </c>
      <c r="D358" s="256" t="s">
        <v>734</v>
      </c>
      <c r="E358" s="256" t="s">
        <v>788</v>
      </c>
      <c r="F358" s="256" t="s">
        <v>789</v>
      </c>
      <c r="G358" s="256" t="s">
        <v>789</v>
      </c>
      <c r="H358" s="256"/>
      <c r="I358" s="257">
        <v>43813632761</v>
      </c>
      <c r="J358" s="257">
        <v>0</v>
      </c>
      <c r="K358" s="257">
        <v>0</v>
      </c>
      <c r="L358" s="257">
        <v>0</v>
      </c>
      <c r="M358" s="257">
        <v>0</v>
      </c>
      <c r="N358" s="257">
        <v>0</v>
      </c>
      <c r="O358" s="257">
        <v>0</v>
      </c>
      <c r="P358" s="257">
        <v>43813632761</v>
      </c>
      <c r="Q358" s="258">
        <v>0</v>
      </c>
    </row>
    <row r="359" spans="1:17">
      <c r="A359" s="236">
        <v>1</v>
      </c>
      <c r="B359" s="236">
        <v>6160102</v>
      </c>
      <c r="C359" s="236">
        <v>616010200</v>
      </c>
      <c r="D359" s="236" t="s">
        <v>734</v>
      </c>
      <c r="E359" s="236" t="s">
        <v>788</v>
      </c>
      <c r="F359" s="236" t="s">
        <v>789</v>
      </c>
      <c r="G359" s="236" t="s">
        <v>877</v>
      </c>
      <c r="H359" s="236"/>
      <c r="I359" s="257">
        <v>25158531</v>
      </c>
      <c r="J359" s="257">
        <v>0</v>
      </c>
      <c r="K359" s="257">
        <v>0</v>
      </c>
      <c r="L359" s="257">
        <v>0</v>
      </c>
      <c r="M359" s="257">
        <v>0</v>
      </c>
      <c r="N359" s="257">
        <v>0</v>
      </c>
      <c r="O359" s="257">
        <v>0</v>
      </c>
      <c r="P359" s="257">
        <v>25158531</v>
      </c>
      <c r="Q359" s="258">
        <v>0</v>
      </c>
    </row>
    <row r="360" spans="1:17">
      <c r="A360" s="256">
        <v>1</v>
      </c>
      <c r="B360" s="256">
        <v>6160202</v>
      </c>
      <c r="C360" s="256">
        <v>616020200</v>
      </c>
      <c r="D360" s="256" t="s">
        <v>734</v>
      </c>
      <c r="E360" s="256" t="s">
        <v>788</v>
      </c>
      <c r="F360" s="256" t="s">
        <v>790</v>
      </c>
      <c r="G360" s="256" t="s">
        <v>790</v>
      </c>
      <c r="H360" s="256"/>
      <c r="I360" s="257">
        <v>0</v>
      </c>
      <c r="J360" s="257">
        <v>0</v>
      </c>
      <c r="K360" s="257">
        <v>0</v>
      </c>
      <c r="L360" s="257">
        <v>0</v>
      </c>
      <c r="M360" s="257">
        <v>0</v>
      </c>
      <c r="N360" s="257">
        <v>0</v>
      </c>
      <c r="O360" s="257">
        <v>0</v>
      </c>
      <c r="P360" s="257">
        <v>0</v>
      </c>
      <c r="Q360" s="258">
        <v>0</v>
      </c>
    </row>
    <row r="361" spans="1:17">
      <c r="A361" s="256">
        <v>1</v>
      </c>
      <c r="B361" s="256">
        <v>6160303</v>
      </c>
      <c r="C361" s="256">
        <v>616030300</v>
      </c>
      <c r="D361" s="256" t="s">
        <v>734</v>
      </c>
      <c r="E361" s="256" t="s">
        <v>788</v>
      </c>
      <c r="F361" s="256" t="s">
        <v>791</v>
      </c>
      <c r="G361" s="256" t="s">
        <v>791</v>
      </c>
      <c r="H361" s="256"/>
      <c r="I361" s="257">
        <v>0</v>
      </c>
      <c r="J361" s="257">
        <v>0</v>
      </c>
      <c r="K361" s="257">
        <v>0</v>
      </c>
      <c r="L361" s="257">
        <v>0</v>
      </c>
      <c r="M361" s="257">
        <v>0</v>
      </c>
      <c r="N361" s="257">
        <v>0</v>
      </c>
      <c r="O361" s="257">
        <v>0</v>
      </c>
      <c r="P361" s="257">
        <v>0</v>
      </c>
      <c r="Q361" s="258">
        <v>0</v>
      </c>
    </row>
    <row r="362" spans="1:17">
      <c r="A362" s="256">
        <v>1</v>
      </c>
      <c r="B362" s="256">
        <v>6170202</v>
      </c>
      <c r="C362" s="256">
        <v>617020200</v>
      </c>
      <c r="D362" s="256" t="s">
        <v>734</v>
      </c>
      <c r="E362" s="256" t="s">
        <v>792</v>
      </c>
      <c r="F362" s="256" t="s">
        <v>793</v>
      </c>
      <c r="G362" s="256" t="s">
        <v>794</v>
      </c>
      <c r="H362" s="256"/>
      <c r="I362" s="257">
        <v>1040000</v>
      </c>
      <c r="J362" s="257">
        <v>0</v>
      </c>
      <c r="K362" s="257">
        <v>0</v>
      </c>
      <c r="L362" s="257">
        <v>0</v>
      </c>
      <c r="M362" s="257">
        <v>0</v>
      </c>
      <c r="N362" s="257">
        <v>0</v>
      </c>
      <c r="O362" s="257">
        <v>0</v>
      </c>
      <c r="P362" s="257">
        <v>1040000</v>
      </c>
      <c r="Q362" s="258">
        <v>0</v>
      </c>
    </row>
    <row r="363" spans="1:17">
      <c r="A363" s="256">
        <v>1</v>
      </c>
      <c r="B363" s="256">
        <v>6170204</v>
      </c>
      <c r="C363" s="256">
        <v>617020400</v>
      </c>
      <c r="D363" s="256" t="s">
        <v>734</v>
      </c>
      <c r="E363" s="256" t="s">
        <v>792</v>
      </c>
      <c r="F363" s="256" t="s">
        <v>793</v>
      </c>
      <c r="G363" s="256" t="s">
        <v>795</v>
      </c>
      <c r="H363" s="256"/>
      <c r="I363" s="257">
        <v>874000</v>
      </c>
      <c r="J363" s="257">
        <v>0</v>
      </c>
      <c r="K363" s="257">
        <v>0</v>
      </c>
      <c r="L363" s="257">
        <v>0</v>
      </c>
      <c r="M363" s="257">
        <v>0</v>
      </c>
      <c r="N363" s="257">
        <v>0</v>
      </c>
      <c r="O363" s="257">
        <v>0</v>
      </c>
      <c r="P363" s="257">
        <v>874000</v>
      </c>
      <c r="Q363" s="258">
        <v>0</v>
      </c>
    </row>
    <row r="364" spans="1:17">
      <c r="A364" s="256">
        <v>1</v>
      </c>
      <c r="B364" s="256">
        <v>6170206</v>
      </c>
      <c r="C364" s="256">
        <v>617020600</v>
      </c>
      <c r="D364" s="256" t="s">
        <v>734</v>
      </c>
      <c r="E364" s="256" t="s">
        <v>792</v>
      </c>
      <c r="F364" s="256" t="s">
        <v>793</v>
      </c>
      <c r="G364" s="256" t="s">
        <v>796</v>
      </c>
      <c r="H364" s="256"/>
      <c r="I364" s="257">
        <v>0</v>
      </c>
      <c r="J364" s="257">
        <v>0</v>
      </c>
      <c r="K364" s="257">
        <v>0</v>
      </c>
      <c r="L364" s="257">
        <v>0</v>
      </c>
      <c r="M364" s="257">
        <v>0</v>
      </c>
      <c r="N364" s="257">
        <v>0</v>
      </c>
      <c r="O364" s="257">
        <v>0</v>
      </c>
      <c r="P364" s="257">
        <v>0</v>
      </c>
      <c r="Q364" s="258">
        <v>0</v>
      </c>
    </row>
    <row r="365" spans="1:17">
      <c r="A365" s="256">
        <v>1</v>
      </c>
      <c r="B365" s="256">
        <v>6170303</v>
      </c>
      <c r="C365" s="256">
        <v>617030300</v>
      </c>
      <c r="D365" s="256" t="s">
        <v>734</v>
      </c>
      <c r="E365" s="256" t="s">
        <v>792</v>
      </c>
      <c r="F365" s="256" t="s">
        <v>797</v>
      </c>
      <c r="G365" s="256" t="s">
        <v>797</v>
      </c>
      <c r="H365" s="256"/>
      <c r="I365" s="257">
        <v>0</v>
      </c>
      <c r="J365" s="257">
        <v>0</v>
      </c>
      <c r="K365" s="257">
        <v>0</v>
      </c>
      <c r="L365" s="257">
        <v>0</v>
      </c>
      <c r="M365" s="257">
        <v>0</v>
      </c>
      <c r="N365" s="257">
        <v>0</v>
      </c>
      <c r="O365" s="257">
        <v>0</v>
      </c>
      <c r="P365" s="257">
        <v>0</v>
      </c>
      <c r="Q365" s="258">
        <v>0</v>
      </c>
    </row>
    <row r="366" spans="1:17">
      <c r="A366" s="256">
        <v>1</v>
      </c>
      <c r="B366" s="256">
        <v>6170401</v>
      </c>
      <c r="C366" s="256">
        <v>617040100</v>
      </c>
      <c r="D366" s="256" t="s">
        <v>734</v>
      </c>
      <c r="E366" s="256" t="s">
        <v>792</v>
      </c>
      <c r="F366" s="256" t="s">
        <v>791</v>
      </c>
      <c r="G366" s="256" t="s">
        <v>798</v>
      </c>
      <c r="H366" s="256"/>
      <c r="I366" s="257">
        <v>0</v>
      </c>
      <c r="J366" s="257">
        <v>0</v>
      </c>
      <c r="K366" s="257">
        <v>0</v>
      </c>
      <c r="L366" s="257">
        <v>0</v>
      </c>
      <c r="M366" s="257">
        <v>0</v>
      </c>
      <c r="N366" s="257">
        <v>0</v>
      </c>
      <c r="O366" s="257">
        <v>0</v>
      </c>
      <c r="P366" s="257">
        <v>0</v>
      </c>
      <c r="Q366" s="258">
        <v>0</v>
      </c>
    </row>
    <row r="367" spans="1:17">
      <c r="A367" s="256">
        <v>1</v>
      </c>
      <c r="B367" s="256">
        <v>6170402</v>
      </c>
      <c r="C367" s="256">
        <v>617040200</v>
      </c>
      <c r="D367" s="256" t="s">
        <v>734</v>
      </c>
      <c r="E367" s="256" t="s">
        <v>792</v>
      </c>
      <c r="F367" s="256" t="s">
        <v>791</v>
      </c>
      <c r="G367" s="256" t="s">
        <v>799</v>
      </c>
      <c r="H367" s="256"/>
      <c r="I367" s="257">
        <v>0</v>
      </c>
      <c r="J367" s="257">
        <v>0</v>
      </c>
      <c r="K367" s="257">
        <v>0</v>
      </c>
      <c r="L367" s="257">
        <v>0</v>
      </c>
      <c r="M367" s="257">
        <v>0</v>
      </c>
      <c r="N367" s="257">
        <v>0</v>
      </c>
      <c r="O367" s="257">
        <v>0</v>
      </c>
      <c r="P367" s="257">
        <v>0</v>
      </c>
      <c r="Q367" s="258">
        <v>0</v>
      </c>
    </row>
    <row r="368" spans="1:17">
      <c r="A368" s="256">
        <v>1</v>
      </c>
      <c r="B368" s="256">
        <v>6170403</v>
      </c>
      <c r="C368" s="256">
        <v>617040300</v>
      </c>
      <c r="D368" s="256" t="s">
        <v>734</v>
      </c>
      <c r="E368" s="256" t="s">
        <v>792</v>
      </c>
      <c r="F368" s="256" t="s">
        <v>791</v>
      </c>
      <c r="G368" s="256" t="s">
        <v>800</v>
      </c>
      <c r="H368" s="256"/>
      <c r="I368" s="257">
        <v>0</v>
      </c>
      <c r="J368" s="257">
        <v>0</v>
      </c>
      <c r="K368" s="257">
        <v>0</v>
      </c>
      <c r="L368" s="257">
        <v>0</v>
      </c>
      <c r="M368" s="257">
        <v>0</v>
      </c>
      <c r="N368" s="257">
        <v>0</v>
      </c>
      <c r="O368" s="257">
        <v>0</v>
      </c>
      <c r="P368" s="257">
        <v>0</v>
      </c>
      <c r="Q368" s="258">
        <v>0</v>
      </c>
    </row>
    <row r="369" spans="1:17">
      <c r="A369" s="256">
        <v>1</v>
      </c>
      <c r="B369" s="256">
        <v>6181212</v>
      </c>
      <c r="C369" s="256">
        <v>618121200</v>
      </c>
      <c r="D369" s="256" t="s">
        <v>734</v>
      </c>
      <c r="E369" s="256" t="s">
        <v>801</v>
      </c>
      <c r="F369" s="256" t="s">
        <v>501</v>
      </c>
      <c r="G369" s="256" t="s">
        <v>501</v>
      </c>
      <c r="H369" s="256"/>
      <c r="I369" s="257">
        <v>0</v>
      </c>
      <c r="J369" s="257">
        <v>0</v>
      </c>
      <c r="K369" s="257">
        <v>0</v>
      </c>
      <c r="L369" s="257">
        <v>0</v>
      </c>
      <c r="M369" s="257">
        <v>0</v>
      </c>
      <c r="N369" s="257">
        <v>0</v>
      </c>
      <c r="O369" s="257">
        <v>0</v>
      </c>
      <c r="P369" s="257">
        <v>0</v>
      </c>
      <c r="Q369" s="258">
        <v>0</v>
      </c>
    </row>
    <row r="370" spans="1:17">
      <c r="A370" s="256">
        <v>1</v>
      </c>
      <c r="B370" s="256">
        <v>6181414</v>
      </c>
      <c r="C370" s="256">
        <v>618141400</v>
      </c>
      <c r="D370" s="256" t="s">
        <v>734</v>
      </c>
      <c r="E370" s="256" t="s">
        <v>801</v>
      </c>
      <c r="F370" s="256" t="s">
        <v>802</v>
      </c>
      <c r="G370" s="256" t="s">
        <v>802</v>
      </c>
      <c r="H370" s="256"/>
      <c r="I370" s="257">
        <v>0</v>
      </c>
      <c r="J370" s="257">
        <v>0</v>
      </c>
      <c r="K370" s="257">
        <v>0</v>
      </c>
      <c r="L370" s="257">
        <v>0</v>
      </c>
      <c r="M370" s="257">
        <v>0</v>
      </c>
      <c r="N370" s="257">
        <v>0</v>
      </c>
      <c r="O370" s="257">
        <v>0</v>
      </c>
      <c r="P370" s="257">
        <v>0</v>
      </c>
      <c r="Q370" s="258">
        <v>0</v>
      </c>
    </row>
    <row r="371" spans="1:17">
      <c r="A371" s="256">
        <v>1</v>
      </c>
      <c r="B371" s="256">
        <v>6182020</v>
      </c>
      <c r="C371" s="256">
        <v>618202000</v>
      </c>
      <c r="D371" s="256" t="s">
        <v>734</v>
      </c>
      <c r="E371" s="256" t="s">
        <v>801</v>
      </c>
      <c r="F371" s="256" t="s">
        <v>803</v>
      </c>
      <c r="G371" s="256" t="s">
        <v>803</v>
      </c>
      <c r="H371" s="256"/>
      <c r="I371" s="257">
        <v>0</v>
      </c>
      <c r="J371" s="257">
        <v>0</v>
      </c>
      <c r="K371" s="257">
        <v>0</v>
      </c>
      <c r="L371" s="257">
        <v>0</v>
      </c>
      <c r="M371" s="257">
        <v>0</v>
      </c>
      <c r="N371" s="257">
        <v>0</v>
      </c>
      <c r="O371" s="257">
        <v>0</v>
      </c>
      <c r="P371" s="257">
        <v>0</v>
      </c>
      <c r="Q371" s="258">
        <v>0</v>
      </c>
    </row>
    <row r="372" spans="1:17">
      <c r="A372" s="256">
        <v>1</v>
      </c>
      <c r="B372" s="256">
        <v>6190101</v>
      </c>
      <c r="C372" s="256">
        <v>619010100</v>
      </c>
      <c r="D372" s="256" t="s">
        <v>734</v>
      </c>
      <c r="E372" s="256" t="s">
        <v>804</v>
      </c>
      <c r="F372" s="256" t="s">
        <v>804</v>
      </c>
      <c r="G372" s="256" t="s">
        <v>804</v>
      </c>
      <c r="H372" s="256"/>
      <c r="I372" s="257">
        <v>0</v>
      </c>
      <c r="J372" s="257">
        <v>0</v>
      </c>
      <c r="K372" s="257">
        <v>0</v>
      </c>
      <c r="L372" s="257">
        <v>0</v>
      </c>
      <c r="M372" s="257">
        <v>0</v>
      </c>
      <c r="N372" s="257">
        <v>0</v>
      </c>
      <c r="O372" s="257">
        <v>0</v>
      </c>
      <c r="P372" s="257">
        <v>0</v>
      </c>
      <c r="Q372" s="258">
        <v>0</v>
      </c>
    </row>
    <row r="373" spans="1:17">
      <c r="A373" s="256">
        <v>1</v>
      </c>
      <c r="B373" s="256">
        <v>6200101</v>
      </c>
      <c r="C373" s="256">
        <v>620010100</v>
      </c>
      <c r="D373" s="256" t="s">
        <v>734</v>
      </c>
      <c r="E373" s="256" t="s">
        <v>805</v>
      </c>
      <c r="F373" s="256" t="s">
        <v>805</v>
      </c>
      <c r="G373" s="256" t="s">
        <v>805</v>
      </c>
      <c r="H373" s="256"/>
      <c r="I373" s="257">
        <v>0</v>
      </c>
      <c r="J373" s="257">
        <v>0</v>
      </c>
      <c r="K373" s="257">
        <v>0</v>
      </c>
      <c r="L373" s="257">
        <v>0</v>
      </c>
      <c r="M373" s="257">
        <v>0</v>
      </c>
      <c r="N373" s="257">
        <v>0</v>
      </c>
      <c r="O373" s="257">
        <v>0</v>
      </c>
      <c r="P373" s="257">
        <v>0</v>
      </c>
      <c r="Q373" s="258">
        <v>0</v>
      </c>
    </row>
    <row r="374" spans="1:17">
      <c r="A374" s="256">
        <v>1</v>
      </c>
      <c r="B374" s="256">
        <v>6210101</v>
      </c>
      <c r="C374" s="256">
        <v>621010100</v>
      </c>
      <c r="D374" s="256" t="s">
        <v>734</v>
      </c>
      <c r="E374" s="256" t="s">
        <v>806</v>
      </c>
      <c r="F374" s="256" t="s">
        <v>807</v>
      </c>
      <c r="G374" s="256" t="s">
        <v>807</v>
      </c>
      <c r="H374" s="256"/>
      <c r="I374" s="257">
        <v>0</v>
      </c>
      <c r="J374" s="257">
        <v>0</v>
      </c>
      <c r="K374" s="257">
        <v>0</v>
      </c>
      <c r="L374" s="257">
        <v>0</v>
      </c>
      <c r="M374" s="257">
        <v>0</v>
      </c>
      <c r="N374" s="257">
        <v>0</v>
      </c>
      <c r="O374" s="257">
        <v>0</v>
      </c>
      <c r="P374" s="257">
        <v>0</v>
      </c>
      <c r="Q374" s="258">
        <v>0</v>
      </c>
    </row>
    <row r="375" spans="1:17">
      <c r="A375" s="256">
        <v>1</v>
      </c>
      <c r="B375" s="256">
        <v>6220101</v>
      </c>
      <c r="C375" s="256">
        <v>622010100</v>
      </c>
      <c r="D375" s="256" t="s">
        <v>734</v>
      </c>
      <c r="E375" s="256" t="s">
        <v>678</v>
      </c>
      <c r="F375" s="256" t="s">
        <v>808</v>
      </c>
      <c r="G375" s="256" t="s">
        <v>808</v>
      </c>
      <c r="H375" s="256"/>
      <c r="I375" s="257">
        <v>0</v>
      </c>
      <c r="J375" s="257">
        <v>0</v>
      </c>
      <c r="K375" s="257">
        <v>0</v>
      </c>
      <c r="L375" s="257">
        <v>0</v>
      </c>
      <c r="M375" s="257">
        <v>0</v>
      </c>
      <c r="N375" s="257">
        <v>0</v>
      </c>
      <c r="O375" s="257">
        <v>0</v>
      </c>
      <c r="P375" s="257">
        <v>0</v>
      </c>
      <c r="Q375" s="258">
        <v>0</v>
      </c>
    </row>
    <row r="376" spans="1:17">
      <c r="A376" s="256">
        <v>1</v>
      </c>
      <c r="B376" s="256">
        <v>6900101</v>
      </c>
      <c r="C376" s="256">
        <v>690010100</v>
      </c>
      <c r="D376" s="256" t="s">
        <v>734</v>
      </c>
      <c r="E376" s="256" t="s">
        <v>809</v>
      </c>
      <c r="F376" s="256" t="s">
        <v>809</v>
      </c>
      <c r="G376" s="256" t="s">
        <v>809</v>
      </c>
      <c r="H376" s="256"/>
      <c r="I376" s="257">
        <v>0</v>
      </c>
      <c r="J376" s="257">
        <v>0</v>
      </c>
      <c r="K376" s="257">
        <v>0</v>
      </c>
      <c r="L376" s="257">
        <v>0</v>
      </c>
      <c r="M376" s="257">
        <v>0</v>
      </c>
      <c r="N376" s="257">
        <v>0</v>
      </c>
      <c r="O376" s="257">
        <v>0</v>
      </c>
      <c r="P376" s="257">
        <v>0</v>
      </c>
      <c r="Q376" s="258">
        <v>0</v>
      </c>
    </row>
    <row r="377" spans="1:17">
      <c r="A377" s="256">
        <v>1</v>
      </c>
      <c r="B377" s="256">
        <v>8830201</v>
      </c>
      <c r="C377" s="256">
        <v>883020102</v>
      </c>
      <c r="D377" s="256" t="s">
        <v>538</v>
      </c>
      <c r="E377" s="256" t="s">
        <v>539</v>
      </c>
      <c r="F377" s="256" t="s">
        <v>810</v>
      </c>
      <c r="G377" s="256" t="s">
        <v>112</v>
      </c>
      <c r="H377" s="256" t="s">
        <v>737</v>
      </c>
      <c r="I377" s="257">
        <v>0</v>
      </c>
      <c r="J377" s="257">
        <v>0</v>
      </c>
      <c r="K377" s="257">
        <v>0</v>
      </c>
      <c r="L377" s="257">
        <v>0</v>
      </c>
      <c r="M377" s="257">
        <v>0</v>
      </c>
      <c r="N377" s="257">
        <v>0</v>
      </c>
      <c r="O377" s="257">
        <v>0</v>
      </c>
      <c r="P377" s="257">
        <v>0</v>
      </c>
      <c r="Q377" s="258">
        <v>0</v>
      </c>
    </row>
    <row r="378" spans="1:17">
      <c r="A378" s="256">
        <v>1</v>
      </c>
      <c r="B378" s="256">
        <v>8830201</v>
      </c>
      <c r="C378" s="256">
        <v>883020103</v>
      </c>
      <c r="D378" s="256" t="s">
        <v>538</v>
      </c>
      <c r="E378" s="256" t="s">
        <v>539</v>
      </c>
      <c r="F378" s="256" t="s">
        <v>810</v>
      </c>
      <c r="G378" s="256" t="s">
        <v>112</v>
      </c>
      <c r="H378" s="256" t="s">
        <v>738</v>
      </c>
      <c r="I378" s="257">
        <v>0</v>
      </c>
      <c r="J378" s="257">
        <v>0</v>
      </c>
      <c r="K378" s="257">
        <v>0</v>
      </c>
      <c r="L378" s="257">
        <v>0</v>
      </c>
      <c r="M378" s="257">
        <v>0</v>
      </c>
      <c r="N378" s="257">
        <v>0</v>
      </c>
      <c r="O378" s="257">
        <v>0</v>
      </c>
      <c r="P378" s="257">
        <v>0</v>
      </c>
      <c r="Q378" s="258">
        <v>0</v>
      </c>
    </row>
    <row r="379" spans="1:17">
      <c r="A379" s="256">
        <v>1</v>
      </c>
      <c r="B379" s="256">
        <v>8830201</v>
      </c>
      <c r="C379" s="256">
        <v>883020104</v>
      </c>
      <c r="D379" s="256" t="s">
        <v>538</v>
      </c>
      <c r="E379" s="256" t="s">
        <v>539</v>
      </c>
      <c r="F379" s="256" t="s">
        <v>810</v>
      </c>
      <c r="G379" s="256" t="s">
        <v>112</v>
      </c>
      <c r="H379" s="256" t="s">
        <v>739</v>
      </c>
      <c r="I379" s="257">
        <v>0</v>
      </c>
      <c r="J379" s="257">
        <v>0</v>
      </c>
      <c r="K379" s="257">
        <v>0</v>
      </c>
      <c r="L379" s="257">
        <v>0</v>
      </c>
      <c r="M379" s="257">
        <v>0</v>
      </c>
      <c r="N379" s="257">
        <v>0</v>
      </c>
      <c r="O379" s="257">
        <v>0</v>
      </c>
      <c r="P379" s="257">
        <v>0</v>
      </c>
      <c r="Q379" s="258">
        <v>0</v>
      </c>
    </row>
    <row r="380" spans="1:17">
      <c r="A380" s="236">
        <v>1</v>
      </c>
      <c r="B380" s="236">
        <v>8830201</v>
      </c>
      <c r="C380" s="236">
        <v>883020105</v>
      </c>
      <c r="D380" s="236" t="s">
        <v>538</v>
      </c>
      <c r="E380" s="236" t="s">
        <v>539</v>
      </c>
      <c r="F380" s="236" t="s">
        <v>810</v>
      </c>
      <c r="G380" s="236" t="s">
        <v>112</v>
      </c>
      <c r="H380" s="236" t="s">
        <v>740</v>
      </c>
      <c r="I380" s="257">
        <v>0</v>
      </c>
      <c r="J380" s="257">
        <v>0</v>
      </c>
      <c r="K380" s="257">
        <v>0</v>
      </c>
      <c r="L380" s="257">
        <v>0</v>
      </c>
      <c r="M380" s="257">
        <v>0</v>
      </c>
      <c r="N380" s="257">
        <v>0</v>
      </c>
      <c r="O380" s="257">
        <v>0</v>
      </c>
      <c r="P380" s="257">
        <v>0</v>
      </c>
      <c r="Q380" s="258">
        <v>0</v>
      </c>
    </row>
    <row r="381" spans="1:17">
      <c r="A381" s="256">
        <v>1</v>
      </c>
      <c r="B381" s="256">
        <v>8830202</v>
      </c>
      <c r="C381" s="256">
        <v>883020202</v>
      </c>
      <c r="D381" s="256" t="s">
        <v>538</v>
      </c>
      <c r="E381" s="256" t="s">
        <v>539</v>
      </c>
      <c r="F381" s="256" t="s">
        <v>810</v>
      </c>
      <c r="G381" s="256" t="s">
        <v>110</v>
      </c>
      <c r="H381" s="256" t="s">
        <v>741</v>
      </c>
      <c r="I381" s="257">
        <v>39580800</v>
      </c>
      <c r="J381" s="257">
        <v>0</v>
      </c>
      <c r="K381" s="257">
        <v>0</v>
      </c>
      <c r="L381" s="257">
        <v>0</v>
      </c>
      <c r="M381" s="257">
        <v>0</v>
      </c>
      <c r="N381" s="257">
        <v>0</v>
      </c>
      <c r="O381" s="257">
        <v>0</v>
      </c>
      <c r="P381" s="257">
        <v>39580800</v>
      </c>
      <c r="Q381" s="258">
        <v>0</v>
      </c>
    </row>
    <row r="382" spans="1:17">
      <c r="A382" s="256">
        <v>1</v>
      </c>
      <c r="B382" s="256">
        <v>8830203</v>
      </c>
      <c r="C382" s="256">
        <v>883020301</v>
      </c>
      <c r="D382" s="256" t="s">
        <v>538</v>
      </c>
      <c r="E382" s="256" t="s">
        <v>539</v>
      </c>
      <c r="F382" s="256" t="s">
        <v>810</v>
      </c>
      <c r="G382" s="256" t="s">
        <v>108</v>
      </c>
      <c r="H382" s="256" t="s">
        <v>742</v>
      </c>
      <c r="I382" s="257">
        <v>4072950</v>
      </c>
      <c r="J382" s="257">
        <v>0</v>
      </c>
      <c r="K382" s="257">
        <v>0</v>
      </c>
      <c r="L382" s="257">
        <v>0</v>
      </c>
      <c r="M382" s="257">
        <v>0</v>
      </c>
      <c r="N382" s="257">
        <v>0</v>
      </c>
      <c r="O382" s="257">
        <v>0</v>
      </c>
      <c r="P382" s="257">
        <v>4072950</v>
      </c>
      <c r="Q382" s="258">
        <v>0</v>
      </c>
    </row>
    <row r="383" spans="1:17">
      <c r="A383" s="256">
        <v>1</v>
      </c>
      <c r="B383" s="256">
        <v>8830203</v>
      </c>
      <c r="C383" s="256">
        <v>883020302</v>
      </c>
      <c r="D383" s="256" t="s">
        <v>538</v>
      </c>
      <c r="E383" s="256" t="s">
        <v>539</v>
      </c>
      <c r="F383" s="256" t="s">
        <v>810</v>
      </c>
      <c r="G383" s="256" t="s">
        <v>108</v>
      </c>
      <c r="H383" s="256" t="s">
        <v>743</v>
      </c>
      <c r="I383" s="257">
        <v>1148700</v>
      </c>
      <c r="J383" s="257">
        <v>0</v>
      </c>
      <c r="K383" s="257">
        <v>0</v>
      </c>
      <c r="L383" s="257">
        <v>0</v>
      </c>
      <c r="M383" s="257">
        <v>0</v>
      </c>
      <c r="N383" s="257">
        <v>0</v>
      </c>
      <c r="O383" s="257">
        <v>0</v>
      </c>
      <c r="P383" s="257">
        <v>1148700</v>
      </c>
      <c r="Q383" s="258">
        <v>0</v>
      </c>
    </row>
    <row r="384" spans="1:17">
      <c r="A384" s="256">
        <v>1</v>
      </c>
      <c r="B384" s="256">
        <v>8830203</v>
      </c>
      <c r="C384" s="256">
        <v>883020303</v>
      </c>
      <c r="D384" s="256" t="s">
        <v>538</v>
      </c>
      <c r="E384" s="256" t="s">
        <v>539</v>
      </c>
      <c r="F384" s="256" t="s">
        <v>810</v>
      </c>
      <c r="G384" s="256" t="s">
        <v>108</v>
      </c>
      <c r="H384" s="256" t="s">
        <v>744</v>
      </c>
      <c r="I384" s="257">
        <v>13135154</v>
      </c>
      <c r="J384" s="257">
        <v>0</v>
      </c>
      <c r="K384" s="257">
        <v>0</v>
      </c>
      <c r="L384" s="257">
        <v>0</v>
      </c>
      <c r="M384" s="257">
        <v>0</v>
      </c>
      <c r="N384" s="257">
        <v>0</v>
      </c>
      <c r="O384" s="257">
        <v>0</v>
      </c>
      <c r="P384" s="257">
        <v>13135154</v>
      </c>
      <c r="Q384" s="258">
        <v>0</v>
      </c>
    </row>
    <row r="385" spans="1:17">
      <c r="A385" s="256">
        <v>1</v>
      </c>
      <c r="B385" s="256">
        <v>8830203</v>
      </c>
      <c r="C385" s="256">
        <v>883020304</v>
      </c>
      <c r="D385" s="256" t="s">
        <v>538</v>
      </c>
      <c r="E385" s="256" t="s">
        <v>539</v>
      </c>
      <c r="F385" s="256" t="s">
        <v>810</v>
      </c>
      <c r="G385" s="256" t="s">
        <v>108</v>
      </c>
      <c r="H385" s="256" t="s">
        <v>745</v>
      </c>
      <c r="I385" s="257">
        <v>1117260</v>
      </c>
      <c r="J385" s="257">
        <v>0</v>
      </c>
      <c r="K385" s="257">
        <v>0</v>
      </c>
      <c r="L385" s="257">
        <v>0</v>
      </c>
      <c r="M385" s="257">
        <v>0</v>
      </c>
      <c r="N385" s="257">
        <v>1117260</v>
      </c>
      <c r="O385" s="257">
        <v>0</v>
      </c>
      <c r="P385" s="257">
        <v>0</v>
      </c>
      <c r="Q385" s="258">
        <v>0</v>
      </c>
    </row>
    <row r="386" spans="1:17">
      <c r="A386" s="256">
        <v>1</v>
      </c>
      <c r="B386" s="256">
        <v>8830203</v>
      </c>
      <c r="C386" s="256">
        <v>883020305</v>
      </c>
      <c r="D386" s="256" t="s">
        <v>538</v>
      </c>
      <c r="E386" s="256" t="s">
        <v>539</v>
      </c>
      <c r="F386" s="256" t="s">
        <v>810</v>
      </c>
      <c r="G386" s="256" t="s">
        <v>108</v>
      </c>
      <c r="H386" s="256" t="s">
        <v>746</v>
      </c>
      <c r="I386" s="257">
        <v>0</v>
      </c>
      <c r="J386" s="257">
        <v>0</v>
      </c>
      <c r="K386" s="257">
        <v>0</v>
      </c>
      <c r="L386" s="257">
        <v>0</v>
      </c>
      <c r="M386" s="257">
        <v>0</v>
      </c>
      <c r="N386" s="257">
        <v>0</v>
      </c>
      <c r="O386" s="257">
        <v>0</v>
      </c>
      <c r="P386" s="257">
        <v>0</v>
      </c>
      <c r="Q386" s="258">
        <v>0</v>
      </c>
    </row>
    <row r="387" spans="1:17">
      <c r="A387" s="256">
        <v>1</v>
      </c>
      <c r="B387" s="256">
        <v>8830203</v>
      </c>
      <c r="C387" s="256">
        <v>883020306</v>
      </c>
      <c r="D387" s="256" t="s">
        <v>538</v>
      </c>
      <c r="E387" s="256" t="s">
        <v>539</v>
      </c>
      <c r="F387" s="256" t="s">
        <v>810</v>
      </c>
      <c r="G387" s="256" t="s">
        <v>108</v>
      </c>
      <c r="H387" s="256" t="s">
        <v>747</v>
      </c>
      <c r="I387" s="257">
        <v>0</v>
      </c>
      <c r="J387" s="257">
        <v>0</v>
      </c>
      <c r="K387" s="257">
        <v>0</v>
      </c>
      <c r="L387" s="257">
        <v>0</v>
      </c>
      <c r="M387" s="257">
        <v>0</v>
      </c>
      <c r="N387" s="257">
        <v>0</v>
      </c>
      <c r="O387" s="257">
        <v>0</v>
      </c>
      <c r="P387" s="257">
        <v>0</v>
      </c>
      <c r="Q387" s="258">
        <v>0</v>
      </c>
    </row>
    <row r="388" spans="1:17">
      <c r="A388" s="256">
        <v>1</v>
      </c>
      <c r="B388" s="256">
        <v>8830203</v>
      </c>
      <c r="C388" s="256">
        <v>883020307</v>
      </c>
      <c r="D388" s="256" t="s">
        <v>538</v>
      </c>
      <c r="E388" s="256" t="s">
        <v>539</v>
      </c>
      <c r="F388" s="256" t="s">
        <v>810</v>
      </c>
      <c r="G388" s="256" t="s">
        <v>108</v>
      </c>
      <c r="H388" s="256" t="s">
        <v>748</v>
      </c>
      <c r="I388" s="257">
        <v>88476</v>
      </c>
      <c r="J388" s="257">
        <v>0</v>
      </c>
      <c r="K388" s="257">
        <v>0</v>
      </c>
      <c r="L388" s="257">
        <v>0</v>
      </c>
      <c r="M388" s="257">
        <v>0</v>
      </c>
      <c r="N388" s="257">
        <v>0</v>
      </c>
      <c r="O388" s="257">
        <v>0</v>
      </c>
      <c r="P388" s="257">
        <v>88476</v>
      </c>
      <c r="Q388" s="258">
        <v>0</v>
      </c>
    </row>
    <row r="389" spans="1:17">
      <c r="A389" s="256">
        <v>1</v>
      </c>
      <c r="B389" s="256">
        <v>8830203</v>
      </c>
      <c r="C389" s="256">
        <v>883020310</v>
      </c>
      <c r="D389" s="256" t="s">
        <v>538</v>
      </c>
      <c r="E389" s="256" t="s">
        <v>539</v>
      </c>
      <c r="F389" s="256" t="s">
        <v>810</v>
      </c>
      <c r="G389" s="256" t="s">
        <v>108</v>
      </c>
      <c r="H389" s="256" t="s">
        <v>749</v>
      </c>
      <c r="I389" s="257">
        <v>7380655</v>
      </c>
      <c r="J389" s="257">
        <v>0</v>
      </c>
      <c r="K389" s="257">
        <v>0</v>
      </c>
      <c r="L389" s="257">
        <v>0</v>
      </c>
      <c r="M389" s="257">
        <v>0</v>
      </c>
      <c r="N389" s="257">
        <v>0</v>
      </c>
      <c r="O389" s="257">
        <v>0</v>
      </c>
      <c r="P389" s="257">
        <v>7380655</v>
      </c>
      <c r="Q389" s="258">
        <v>0</v>
      </c>
    </row>
    <row r="390" spans="1:17">
      <c r="A390" s="256">
        <v>1</v>
      </c>
      <c r="B390" s="256">
        <v>8830203</v>
      </c>
      <c r="C390" s="256">
        <v>883020311</v>
      </c>
      <c r="D390" s="256" t="s">
        <v>538</v>
      </c>
      <c r="E390" s="256" t="s">
        <v>539</v>
      </c>
      <c r="F390" s="256" t="s">
        <v>810</v>
      </c>
      <c r="G390" s="256" t="s">
        <v>108</v>
      </c>
      <c r="H390" s="256" t="s">
        <v>750</v>
      </c>
      <c r="I390" s="257">
        <v>0</v>
      </c>
      <c r="J390" s="257">
        <v>0</v>
      </c>
      <c r="K390" s="257">
        <v>0</v>
      </c>
      <c r="L390" s="257">
        <v>0</v>
      </c>
      <c r="M390" s="257">
        <v>0</v>
      </c>
      <c r="N390" s="257">
        <v>0</v>
      </c>
      <c r="O390" s="257">
        <v>0</v>
      </c>
      <c r="P390" s="257">
        <v>0</v>
      </c>
      <c r="Q390" s="258">
        <v>0</v>
      </c>
    </row>
    <row r="391" spans="1:17">
      <c r="A391" s="256">
        <v>1</v>
      </c>
      <c r="B391" s="256">
        <v>8830203</v>
      </c>
      <c r="C391" s="256">
        <v>883020314</v>
      </c>
      <c r="D391" s="256" t="s">
        <v>538</v>
      </c>
      <c r="E391" s="256" t="s">
        <v>539</v>
      </c>
      <c r="F391" s="256" t="s">
        <v>810</v>
      </c>
      <c r="G391" s="256" t="s">
        <v>108</v>
      </c>
      <c r="H391" s="256" t="s">
        <v>751</v>
      </c>
      <c r="I391" s="257">
        <v>1239800</v>
      </c>
      <c r="J391" s="257">
        <v>0</v>
      </c>
      <c r="K391" s="257">
        <v>0</v>
      </c>
      <c r="L391" s="257">
        <v>0</v>
      </c>
      <c r="M391" s="257">
        <v>0</v>
      </c>
      <c r="N391" s="257">
        <v>0</v>
      </c>
      <c r="O391" s="257">
        <v>0</v>
      </c>
      <c r="P391" s="257">
        <v>1239800</v>
      </c>
      <c r="Q391" s="258">
        <v>0</v>
      </c>
    </row>
    <row r="392" spans="1:17">
      <c r="A392" s="256">
        <v>1</v>
      </c>
      <c r="B392" s="256">
        <v>8830203</v>
      </c>
      <c r="C392" s="256">
        <v>883020315</v>
      </c>
      <c r="D392" s="256" t="s">
        <v>538</v>
      </c>
      <c r="E392" s="256" t="s">
        <v>539</v>
      </c>
      <c r="F392" s="256" t="s">
        <v>810</v>
      </c>
      <c r="G392" s="256" t="s">
        <v>108</v>
      </c>
      <c r="H392" s="256" t="s">
        <v>752</v>
      </c>
      <c r="I392" s="257">
        <v>400000</v>
      </c>
      <c r="J392" s="257">
        <v>0</v>
      </c>
      <c r="K392" s="257">
        <v>0</v>
      </c>
      <c r="L392" s="257">
        <v>0</v>
      </c>
      <c r="M392" s="257">
        <v>0</v>
      </c>
      <c r="N392" s="257">
        <v>0</v>
      </c>
      <c r="O392" s="257">
        <v>0</v>
      </c>
      <c r="P392" s="257">
        <v>400000</v>
      </c>
      <c r="Q392" s="258">
        <v>0</v>
      </c>
    </row>
    <row r="393" spans="1:17">
      <c r="A393" s="256">
        <v>1</v>
      </c>
      <c r="B393" s="256">
        <v>8830204</v>
      </c>
      <c r="C393" s="256">
        <v>883020401</v>
      </c>
      <c r="D393" s="256" t="s">
        <v>538</v>
      </c>
      <c r="E393" s="256" t="s">
        <v>539</v>
      </c>
      <c r="F393" s="256" t="s">
        <v>810</v>
      </c>
      <c r="G393" s="256" t="s">
        <v>106</v>
      </c>
      <c r="H393" s="256" t="s">
        <v>755</v>
      </c>
      <c r="I393" s="257">
        <v>10164027</v>
      </c>
      <c r="J393" s="257">
        <v>0</v>
      </c>
      <c r="K393" s="257">
        <v>0</v>
      </c>
      <c r="L393" s="257">
        <v>0</v>
      </c>
      <c r="M393" s="257">
        <v>0</v>
      </c>
      <c r="N393" s="257">
        <v>0</v>
      </c>
      <c r="O393" s="257">
        <v>10164027</v>
      </c>
      <c r="P393" s="257">
        <v>0</v>
      </c>
      <c r="Q393" s="258">
        <v>0</v>
      </c>
    </row>
    <row r="394" spans="1:17">
      <c r="A394" s="256">
        <v>1</v>
      </c>
      <c r="B394" s="256">
        <v>8830204</v>
      </c>
      <c r="C394" s="256">
        <v>883020402</v>
      </c>
      <c r="D394" s="256" t="s">
        <v>538</v>
      </c>
      <c r="E394" s="256" t="s">
        <v>539</v>
      </c>
      <c r="F394" s="256" t="s">
        <v>810</v>
      </c>
      <c r="G394" s="256" t="s">
        <v>106</v>
      </c>
      <c r="H394" s="256" t="s">
        <v>756</v>
      </c>
      <c r="I394" s="257">
        <v>64656</v>
      </c>
      <c r="J394" s="257">
        <v>0</v>
      </c>
      <c r="K394" s="257">
        <v>0</v>
      </c>
      <c r="L394" s="257">
        <v>0</v>
      </c>
      <c r="M394" s="257">
        <v>0</v>
      </c>
      <c r="N394" s="257">
        <v>0</v>
      </c>
      <c r="O394" s="257">
        <v>0</v>
      </c>
      <c r="P394" s="257">
        <v>64656</v>
      </c>
      <c r="Q394" s="258">
        <v>0</v>
      </c>
    </row>
    <row r="395" spans="1:17">
      <c r="A395" s="256">
        <v>1</v>
      </c>
      <c r="B395" s="256">
        <v>8830204</v>
      </c>
      <c r="C395" s="256">
        <v>883020403</v>
      </c>
      <c r="D395" s="256" t="s">
        <v>538</v>
      </c>
      <c r="E395" s="256" t="s">
        <v>539</v>
      </c>
      <c r="F395" s="256" t="s">
        <v>810</v>
      </c>
      <c r="G395" s="256" t="s">
        <v>106</v>
      </c>
      <c r="H395" s="256" t="s">
        <v>757</v>
      </c>
      <c r="I395" s="257">
        <v>0</v>
      </c>
      <c r="J395" s="257">
        <v>0</v>
      </c>
      <c r="K395" s="257">
        <v>0</v>
      </c>
      <c r="L395" s="257">
        <v>0</v>
      </c>
      <c r="M395" s="257">
        <v>0</v>
      </c>
      <c r="N395" s="257">
        <v>0</v>
      </c>
      <c r="O395" s="257">
        <v>0</v>
      </c>
      <c r="P395" s="257">
        <v>0</v>
      </c>
      <c r="Q395" s="258">
        <v>0</v>
      </c>
    </row>
    <row r="396" spans="1:17">
      <c r="A396" s="256">
        <v>1</v>
      </c>
      <c r="B396" s="256">
        <v>8830204</v>
      </c>
      <c r="C396" s="256">
        <v>883020405</v>
      </c>
      <c r="D396" s="256" t="s">
        <v>538</v>
      </c>
      <c r="E396" s="256" t="s">
        <v>539</v>
      </c>
      <c r="F396" s="256" t="s">
        <v>810</v>
      </c>
      <c r="G396" s="256" t="s">
        <v>106</v>
      </c>
      <c r="H396" s="256" t="s">
        <v>758</v>
      </c>
      <c r="I396" s="257">
        <v>0</v>
      </c>
      <c r="J396" s="257">
        <v>0</v>
      </c>
      <c r="K396" s="257">
        <v>0</v>
      </c>
      <c r="L396" s="257">
        <v>0</v>
      </c>
      <c r="M396" s="257">
        <v>0</v>
      </c>
      <c r="N396" s="257">
        <v>0</v>
      </c>
      <c r="O396" s="257">
        <v>0</v>
      </c>
      <c r="P396" s="257">
        <v>0</v>
      </c>
      <c r="Q396" s="258">
        <v>0</v>
      </c>
    </row>
    <row r="397" spans="1:17">
      <c r="A397" s="256">
        <v>1</v>
      </c>
      <c r="B397" s="256">
        <v>8830204</v>
      </c>
      <c r="C397" s="256">
        <v>883020406</v>
      </c>
      <c r="D397" s="256" t="s">
        <v>538</v>
      </c>
      <c r="E397" s="256" t="s">
        <v>539</v>
      </c>
      <c r="F397" s="256" t="s">
        <v>810</v>
      </c>
      <c r="G397" s="256" t="s">
        <v>106</v>
      </c>
      <c r="H397" s="256" t="s">
        <v>759</v>
      </c>
      <c r="I397" s="257">
        <v>38358</v>
      </c>
      <c r="J397" s="257">
        <v>0</v>
      </c>
      <c r="K397" s="257">
        <v>0</v>
      </c>
      <c r="L397" s="257">
        <v>0</v>
      </c>
      <c r="M397" s="257">
        <v>0</v>
      </c>
      <c r="N397" s="257">
        <v>0</v>
      </c>
      <c r="O397" s="257">
        <v>38358</v>
      </c>
      <c r="P397" s="257">
        <v>0</v>
      </c>
      <c r="Q397" s="258">
        <v>0</v>
      </c>
    </row>
    <row r="398" spans="1:17">
      <c r="A398" s="256">
        <v>1</v>
      </c>
      <c r="B398" s="256">
        <v>8830204</v>
      </c>
      <c r="C398" s="256">
        <v>883020407</v>
      </c>
      <c r="D398" s="256" t="s">
        <v>538</v>
      </c>
      <c r="E398" s="256" t="s">
        <v>539</v>
      </c>
      <c r="F398" s="256" t="s">
        <v>810</v>
      </c>
      <c r="G398" s="256" t="s">
        <v>106</v>
      </c>
      <c r="H398" s="256" t="s">
        <v>760</v>
      </c>
      <c r="I398" s="257">
        <v>0</v>
      </c>
      <c r="J398" s="257">
        <v>0</v>
      </c>
      <c r="K398" s="257">
        <v>0</v>
      </c>
      <c r="L398" s="257">
        <v>0</v>
      </c>
      <c r="M398" s="257">
        <v>0</v>
      </c>
      <c r="N398" s="257">
        <v>0</v>
      </c>
      <c r="O398" s="257">
        <v>0</v>
      </c>
      <c r="P398" s="257">
        <v>0</v>
      </c>
      <c r="Q398" s="258">
        <v>0</v>
      </c>
    </row>
    <row r="399" spans="1:17">
      <c r="A399" s="256">
        <v>1</v>
      </c>
      <c r="B399" s="256">
        <v>8830204</v>
      </c>
      <c r="C399" s="256">
        <v>883020408</v>
      </c>
      <c r="D399" s="256" t="s">
        <v>538</v>
      </c>
      <c r="E399" s="256" t="s">
        <v>539</v>
      </c>
      <c r="F399" s="256" t="s">
        <v>810</v>
      </c>
      <c r="G399" s="256" t="s">
        <v>106</v>
      </c>
      <c r="H399" s="256" t="s">
        <v>761</v>
      </c>
      <c r="I399" s="257">
        <v>0</v>
      </c>
      <c r="J399" s="257">
        <v>0</v>
      </c>
      <c r="K399" s="257">
        <v>0</v>
      </c>
      <c r="L399" s="257">
        <v>0</v>
      </c>
      <c r="M399" s="257">
        <v>0</v>
      </c>
      <c r="N399" s="257">
        <v>0</v>
      </c>
      <c r="O399" s="257">
        <v>0</v>
      </c>
      <c r="P399" s="257">
        <v>0</v>
      </c>
      <c r="Q399" s="258">
        <v>0</v>
      </c>
    </row>
    <row r="400" spans="1:17">
      <c r="A400" s="256">
        <v>1</v>
      </c>
      <c r="B400" s="256">
        <v>8830204</v>
      </c>
      <c r="C400" s="256">
        <v>883020410</v>
      </c>
      <c r="D400" s="256" t="s">
        <v>538</v>
      </c>
      <c r="E400" s="256" t="s">
        <v>539</v>
      </c>
      <c r="F400" s="256" t="s">
        <v>810</v>
      </c>
      <c r="G400" s="256" t="s">
        <v>106</v>
      </c>
      <c r="H400" s="256" t="s">
        <v>762</v>
      </c>
      <c r="I400" s="257">
        <v>3570122</v>
      </c>
      <c r="J400" s="257">
        <v>0</v>
      </c>
      <c r="K400" s="257">
        <v>0</v>
      </c>
      <c r="L400" s="257">
        <v>0</v>
      </c>
      <c r="M400" s="257">
        <v>0</v>
      </c>
      <c r="N400" s="257">
        <v>0</v>
      </c>
      <c r="O400" s="257">
        <v>3570122</v>
      </c>
      <c r="P400" s="257">
        <v>0</v>
      </c>
      <c r="Q400" s="258">
        <v>0</v>
      </c>
    </row>
    <row r="401" spans="1:17">
      <c r="A401" s="256">
        <v>1</v>
      </c>
      <c r="B401" s="256">
        <v>8830204</v>
      </c>
      <c r="C401" s="256">
        <v>883020411</v>
      </c>
      <c r="D401" s="256" t="s">
        <v>538</v>
      </c>
      <c r="E401" s="256" t="s">
        <v>539</v>
      </c>
      <c r="F401" s="256" t="s">
        <v>810</v>
      </c>
      <c r="G401" s="256" t="s">
        <v>106</v>
      </c>
      <c r="H401" s="256" t="s">
        <v>763</v>
      </c>
      <c r="I401" s="257">
        <v>0</v>
      </c>
      <c r="J401" s="257">
        <v>0</v>
      </c>
      <c r="K401" s="257">
        <v>0</v>
      </c>
      <c r="L401" s="257">
        <v>0</v>
      </c>
      <c r="M401" s="257">
        <v>0</v>
      </c>
      <c r="N401" s="257">
        <v>0</v>
      </c>
      <c r="O401" s="257">
        <v>0</v>
      </c>
      <c r="P401" s="257">
        <v>0</v>
      </c>
      <c r="Q401" s="258">
        <v>0</v>
      </c>
    </row>
    <row r="402" spans="1:17">
      <c r="A402" s="256">
        <v>1</v>
      </c>
      <c r="B402" s="256">
        <v>8830205</v>
      </c>
      <c r="C402" s="256">
        <v>883020500</v>
      </c>
      <c r="D402" s="256" t="s">
        <v>538</v>
      </c>
      <c r="E402" s="256" t="s">
        <v>539</v>
      </c>
      <c r="F402" s="256" t="s">
        <v>810</v>
      </c>
      <c r="G402" s="256" t="s">
        <v>104</v>
      </c>
      <c r="H402" s="256"/>
      <c r="I402" s="257">
        <v>0</v>
      </c>
      <c r="J402" s="257">
        <v>0</v>
      </c>
      <c r="K402" s="257">
        <v>0</v>
      </c>
      <c r="L402" s="257">
        <v>0</v>
      </c>
      <c r="M402" s="257">
        <v>0</v>
      </c>
      <c r="N402" s="257">
        <v>0</v>
      </c>
      <c r="O402" s="257">
        <v>0</v>
      </c>
      <c r="P402" s="257">
        <v>0</v>
      </c>
      <c r="Q402" s="258">
        <v>0</v>
      </c>
    </row>
    <row r="403" spans="1:17">
      <c r="A403" s="256">
        <v>1</v>
      </c>
      <c r="B403" s="256">
        <v>8830207</v>
      </c>
      <c r="C403" s="256">
        <v>883020700</v>
      </c>
      <c r="D403" s="256" t="s">
        <v>538</v>
      </c>
      <c r="E403" s="256" t="s">
        <v>539</v>
      </c>
      <c r="F403" s="256" t="s">
        <v>810</v>
      </c>
      <c r="G403" s="256" t="s">
        <v>102</v>
      </c>
      <c r="H403" s="256"/>
      <c r="I403" s="257">
        <v>0</v>
      </c>
      <c r="J403" s="257">
        <v>0</v>
      </c>
      <c r="K403" s="257">
        <v>0</v>
      </c>
      <c r="L403" s="257">
        <v>0</v>
      </c>
      <c r="M403" s="257">
        <v>0</v>
      </c>
      <c r="N403" s="257">
        <v>0</v>
      </c>
      <c r="O403" s="257">
        <v>0</v>
      </c>
      <c r="P403" s="257">
        <v>0</v>
      </c>
      <c r="Q403" s="258">
        <v>0</v>
      </c>
    </row>
    <row r="404" spans="1:17">
      <c r="A404" s="256">
        <v>1</v>
      </c>
      <c r="B404" s="256">
        <v>8830208</v>
      </c>
      <c r="C404" s="256">
        <v>883020800</v>
      </c>
      <c r="D404" s="256" t="s">
        <v>538</v>
      </c>
      <c r="E404" s="256" t="s">
        <v>539</v>
      </c>
      <c r="F404" s="256" t="s">
        <v>810</v>
      </c>
      <c r="G404" s="256" t="s">
        <v>100</v>
      </c>
      <c r="H404" s="256"/>
      <c r="I404" s="257">
        <v>45200</v>
      </c>
      <c r="J404" s="257">
        <v>0</v>
      </c>
      <c r="K404" s="257">
        <v>0</v>
      </c>
      <c r="L404" s="257">
        <v>0</v>
      </c>
      <c r="M404" s="257">
        <v>0</v>
      </c>
      <c r="N404" s="257">
        <v>45200</v>
      </c>
      <c r="O404" s="257">
        <v>0</v>
      </c>
      <c r="P404" s="257">
        <v>0</v>
      </c>
      <c r="Q404" s="258">
        <v>0</v>
      </c>
    </row>
    <row r="405" spans="1:17">
      <c r="A405" s="256">
        <v>1</v>
      </c>
      <c r="B405" s="256">
        <v>8830210</v>
      </c>
      <c r="C405" s="256">
        <v>883021001</v>
      </c>
      <c r="D405" s="256" t="s">
        <v>538</v>
      </c>
      <c r="E405" s="256" t="s">
        <v>539</v>
      </c>
      <c r="F405" s="256" t="s">
        <v>810</v>
      </c>
      <c r="G405" s="256" t="s">
        <v>764</v>
      </c>
      <c r="H405" s="256" t="s">
        <v>98</v>
      </c>
      <c r="I405" s="257">
        <v>0</v>
      </c>
      <c r="J405" s="257">
        <v>0</v>
      </c>
      <c r="K405" s="257">
        <v>0</v>
      </c>
      <c r="L405" s="257">
        <v>0</v>
      </c>
      <c r="M405" s="257">
        <v>0</v>
      </c>
      <c r="N405" s="257">
        <v>0</v>
      </c>
      <c r="O405" s="257">
        <v>0</v>
      </c>
      <c r="P405" s="257">
        <v>0</v>
      </c>
      <c r="Q405" s="258">
        <v>0</v>
      </c>
    </row>
    <row r="406" spans="1:17">
      <c r="A406" s="256">
        <v>1</v>
      </c>
      <c r="B406" s="256">
        <v>8830210</v>
      </c>
      <c r="C406" s="256">
        <v>883021002</v>
      </c>
      <c r="D406" s="256" t="s">
        <v>538</v>
      </c>
      <c r="E406" s="256" t="s">
        <v>539</v>
      </c>
      <c r="F406" s="256" t="s">
        <v>810</v>
      </c>
      <c r="G406" s="256" t="s">
        <v>764</v>
      </c>
      <c r="H406" s="256" t="s">
        <v>95</v>
      </c>
      <c r="I406" s="257">
        <v>0</v>
      </c>
      <c r="J406" s="257">
        <v>0</v>
      </c>
      <c r="K406" s="257">
        <v>0</v>
      </c>
      <c r="L406" s="257">
        <v>0</v>
      </c>
      <c r="M406" s="257">
        <v>0</v>
      </c>
      <c r="N406" s="257">
        <v>0</v>
      </c>
      <c r="O406" s="257">
        <v>0</v>
      </c>
      <c r="P406" s="257">
        <v>0</v>
      </c>
      <c r="Q406" s="258">
        <v>0</v>
      </c>
    </row>
    <row r="407" spans="1:17">
      <c r="A407" s="236">
        <v>1</v>
      </c>
      <c r="B407" s="236">
        <v>8830210</v>
      </c>
      <c r="C407" s="236">
        <v>883021003</v>
      </c>
      <c r="D407" s="236" t="s">
        <v>538</v>
      </c>
      <c r="E407" s="236" t="s">
        <v>539</v>
      </c>
      <c r="F407" s="236" t="s">
        <v>810</v>
      </c>
      <c r="G407" s="236" t="s">
        <v>764</v>
      </c>
      <c r="H407" s="236" t="s">
        <v>765</v>
      </c>
      <c r="I407" s="257">
        <v>0</v>
      </c>
      <c r="J407" s="257">
        <v>0</v>
      </c>
      <c r="K407" s="257">
        <v>0</v>
      </c>
      <c r="L407" s="257">
        <v>0</v>
      </c>
      <c r="M407" s="257">
        <v>0</v>
      </c>
      <c r="N407" s="257">
        <v>0</v>
      </c>
      <c r="O407" s="257">
        <v>0</v>
      </c>
      <c r="P407" s="257">
        <v>0</v>
      </c>
      <c r="Q407" s="258">
        <v>0</v>
      </c>
    </row>
    <row r="408" spans="1:17">
      <c r="A408" s="256">
        <v>1</v>
      </c>
      <c r="B408" s="256">
        <v>8830213</v>
      </c>
      <c r="C408" s="256">
        <v>883021300</v>
      </c>
      <c r="D408" s="256" t="s">
        <v>538</v>
      </c>
      <c r="E408" s="256" t="s">
        <v>539</v>
      </c>
      <c r="F408" s="256" t="s">
        <v>810</v>
      </c>
      <c r="G408" s="256" t="s">
        <v>93</v>
      </c>
      <c r="H408" s="256"/>
      <c r="I408" s="257">
        <v>2612281</v>
      </c>
      <c r="J408" s="257">
        <v>0</v>
      </c>
      <c r="K408" s="257">
        <v>0</v>
      </c>
      <c r="L408" s="257">
        <v>0</v>
      </c>
      <c r="M408" s="257">
        <v>0</v>
      </c>
      <c r="N408" s="257">
        <v>2612281</v>
      </c>
      <c r="O408" s="257">
        <v>0</v>
      </c>
      <c r="P408" s="257">
        <v>0</v>
      </c>
      <c r="Q408" s="258">
        <v>0</v>
      </c>
    </row>
    <row r="409" spans="1:17">
      <c r="A409" s="256">
        <v>1</v>
      </c>
      <c r="B409" s="256">
        <v>8830214</v>
      </c>
      <c r="C409" s="256">
        <v>883021400</v>
      </c>
      <c r="D409" s="256" t="s">
        <v>538</v>
      </c>
      <c r="E409" s="256" t="s">
        <v>539</v>
      </c>
      <c r="F409" s="256" t="s">
        <v>810</v>
      </c>
      <c r="G409" s="256" t="s">
        <v>91</v>
      </c>
      <c r="H409" s="256"/>
      <c r="I409" s="257">
        <v>474482</v>
      </c>
      <c r="J409" s="257">
        <v>0</v>
      </c>
      <c r="K409" s="257">
        <v>0</v>
      </c>
      <c r="L409" s="257">
        <v>0</v>
      </c>
      <c r="M409" s="257">
        <v>0</v>
      </c>
      <c r="N409" s="257">
        <v>474482</v>
      </c>
      <c r="O409" s="257">
        <v>0</v>
      </c>
      <c r="P409" s="257">
        <v>0</v>
      </c>
      <c r="Q409" s="258">
        <v>0</v>
      </c>
    </row>
    <row r="410" spans="1:17">
      <c r="A410" s="256">
        <v>1</v>
      </c>
      <c r="B410" s="256">
        <v>8830215</v>
      </c>
      <c r="C410" s="256">
        <v>883021500</v>
      </c>
      <c r="D410" s="256" t="s">
        <v>538</v>
      </c>
      <c r="E410" s="256" t="s">
        <v>539</v>
      </c>
      <c r="F410" s="256" t="s">
        <v>810</v>
      </c>
      <c r="G410" s="256" t="s">
        <v>89</v>
      </c>
      <c r="H410" s="256"/>
      <c r="I410" s="257">
        <v>0</v>
      </c>
      <c r="J410" s="257">
        <v>0</v>
      </c>
      <c r="K410" s="257">
        <v>0</v>
      </c>
      <c r="L410" s="257">
        <v>0</v>
      </c>
      <c r="M410" s="257">
        <v>0</v>
      </c>
      <c r="N410" s="257">
        <v>0</v>
      </c>
      <c r="O410" s="257">
        <v>0</v>
      </c>
      <c r="P410" s="257">
        <v>0</v>
      </c>
      <c r="Q410" s="258">
        <v>0</v>
      </c>
    </row>
    <row r="411" spans="1:17">
      <c r="A411" s="256">
        <v>1</v>
      </c>
      <c r="B411" s="256">
        <v>8830217</v>
      </c>
      <c r="C411" s="256">
        <v>883021700</v>
      </c>
      <c r="D411" s="256" t="s">
        <v>538</v>
      </c>
      <c r="E411" s="256" t="s">
        <v>539</v>
      </c>
      <c r="F411" s="256" t="s">
        <v>810</v>
      </c>
      <c r="G411" s="256" t="s">
        <v>87</v>
      </c>
      <c r="H411" s="256"/>
      <c r="I411" s="257">
        <v>650162</v>
      </c>
      <c r="J411" s="257">
        <v>0</v>
      </c>
      <c r="K411" s="257">
        <v>0</v>
      </c>
      <c r="L411" s="257">
        <v>0</v>
      </c>
      <c r="M411" s="257">
        <v>0</v>
      </c>
      <c r="N411" s="257">
        <v>650162</v>
      </c>
      <c r="O411" s="257">
        <v>0</v>
      </c>
      <c r="P411" s="257">
        <v>0</v>
      </c>
      <c r="Q411" s="258">
        <v>0</v>
      </c>
    </row>
    <row r="412" spans="1:17">
      <c r="A412" s="256">
        <v>1</v>
      </c>
      <c r="B412" s="256">
        <v>8830219</v>
      </c>
      <c r="C412" s="256">
        <v>883021900</v>
      </c>
      <c r="D412" s="256" t="s">
        <v>538</v>
      </c>
      <c r="E412" s="256" t="s">
        <v>539</v>
      </c>
      <c r="F412" s="256" t="s">
        <v>810</v>
      </c>
      <c r="G412" s="256" t="s">
        <v>85</v>
      </c>
      <c r="H412" s="256"/>
      <c r="I412" s="257">
        <v>19480</v>
      </c>
      <c r="J412" s="257">
        <v>0</v>
      </c>
      <c r="K412" s="257">
        <v>0</v>
      </c>
      <c r="L412" s="257">
        <v>0</v>
      </c>
      <c r="M412" s="257">
        <v>0</v>
      </c>
      <c r="N412" s="257">
        <v>11880</v>
      </c>
      <c r="O412" s="257">
        <v>7600</v>
      </c>
      <c r="P412" s="257">
        <v>0</v>
      </c>
      <c r="Q412" s="258">
        <v>0</v>
      </c>
    </row>
    <row r="413" spans="1:17">
      <c r="A413" s="256">
        <v>1</v>
      </c>
      <c r="B413" s="256">
        <v>8830220</v>
      </c>
      <c r="C413" s="256">
        <v>883022000</v>
      </c>
      <c r="D413" s="256" t="s">
        <v>538</v>
      </c>
      <c r="E413" s="256" t="s">
        <v>539</v>
      </c>
      <c r="F413" s="256" t="s">
        <v>810</v>
      </c>
      <c r="G413" s="256" t="s">
        <v>83</v>
      </c>
      <c r="H413" s="256"/>
      <c r="I413" s="257">
        <v>6446706</v>
      </c>
      <c r="J413" s="257">
        <v>0</v>
      </c>
      <c r="K413" s="257">
        <v>0</v>
      </c>
      <c r="L413" s="257">
        <v>678402</v>
      </c>
      <c r="M413" s="257">
        <v>0</v>
      </c>
      <c r="N413" s="257">
        <v>114697</v>
      </c>
      <c r="O413" s="257">
        <v>5653607</v>
      </c>
      <c r="P413" s="257">
        <v>0</v>
      </c>
      <c r="Q413" s="258">
        <v>0</v>
      </c>
    </row>
    <row r="414" spans="1:17">
      <c r="A414" s="256">
        <v>1</v>
      </c>
      <c r="B414" s="256">
        <v>8830221</v>
      </c>
      <c r="C414" s="256">
        <v>883022100</v>
      </c>
      <c r="D414" s="256" t="s">
        <v>538</v>
      </c>
      <c r="E414" s="256" t="s">
        <v>539</v>
      </c>
      <c r="F414" s="256" t="s">
        <v>810</v>
      </c>
      <c r="G414" s="256" t="s">
        <v>81</v>
      </c>
      <c r="H414" s="256"/>
      <c r="I414" s="257">
        <v>163512706</v>
      </c>
      <c r="J414" s="257">
        <v>0</v>
      </c>
      <c r="K414" s="257">
        <v>0</v>
      </c>
      <c r="L414" s="257">
        <v>0</v>
      </c>
      <c r="M414" s="257">
        <v>0</v>
      </c>
      <c r="N414" s="257">
        <v>163512706</v>
      </c>
      <c r="O414" s="257">
        <v>0</v>
      </c>
      <c r="P414" s="257">
        <v>0</v>
      </c>
      <c r="Q414" s="258">
        <v>0</v>
      </c>
    </row>
    <row r="415" spans="1:17">
      <c r="A415" s="256">
        <v>1</v>
      </c>
      <c r="B415" s="256">
        <v>8830223</v>
      </c>
      <c r="C415" s="256">
        <v>883022300</v>
      </c>
      <c r="D415" s="256" t="s">
        <v>538</v>
      </c>
      <c r="E415" s="256" t="s">
        <v>539</v>
      </c>
      <c r="F415" s="256" t="s">
        <v>810</v>
      </c>
      <c r="G415" s="256" t="s">
        <v>79</v>
      </c>
      <c r="H415" s="256"/>
      <c r="I415" s="257">
        <v>12499689</v>
      </c>
      <c r="J415" s="257">
        <v>0</v>
      </c>
      <c r="K415" s="257">
        <v>0</v>
      </c>
      <c r="L415" s="257">
        <v>0</v>
      </c>
      <c r="M415" s="257">
        <v>0</v>
      </c>
      <c r="N415" s="257">
        <v>12499689</v>
      </c>
      <c r="O415" s="257">
        <v>0</v>
      </c>
      <c r="P415" s="257">
        <v>0</v>
      </c>
      <c r="Q415" s="258">
        <v>0</v>
      </c>
    </row>
    <row r="416" spans="1:17">
      <c r="A416" s="256">
        <v>1</v>
      </c>
      <c r="B416" s="256">
        <v>8830224</v>
      </c>
      <c r="C416" s="256">
        <v>883022400</v>
      </c>
      <c r="D416" s="256" t="s">
        <v>538</v>
      </c>
      <c r="E416" s="256" t="s">
        <v>539</v>
      </c>
      <c r="F416" s="256" t="s">
        <v>810</v>
      </c>
      <c r="G416" s="256" t="s">
        <v>77</v>
      </c>
      <c r="H416" s="256"/>
      <c r="I416" s="257">
        <v>2121075</v>
      </c>
      <c r="J416" s="257">
        <v>0</v>
      </c>
      <c r="K416" s="257">
        <v>0</v>
      </c>
      <c r="L416" s="257">
        <v>0</v>
      </c>
      <c r="M416" s="257">
        <v>0</v>
      </c>
      <c r="N416" s="257">
        <v>2121075</v>
      </c>
      <c r="O416" s="257">
        <v>0</v>
      </c>
      <c r="P416" s="257">
        <v>0</v>
      </c>
      <c r="Q416" s="258">
        <v>0</v>
      </c>
    </row>
    <row r="417" spans="1:17">
      <c r="A417" s="256">
        <v>1</v>
      </c>
      <c r="B417" s="256">
        <v>8830225</v>
      </c>
      <c r="C417" s="256">
        <v>883022500</v>
      </c>
      <c r="D417" s="256" t="s">
        <v>538</v>
      </c>
      <c r="E417" s="256" t="s">
        <v>539</v>
      </c>
      <c r="F417" s="256" t="s">
        <v>810</v>
      </c>
      <c r="G417" s="256" t="s">
        <v>75</v>
      </c>
      <c r="H417" s="256"/>
      <c r="I417" s="257">
        <v>299926084</v>
      </c>
      <c r="J417" s="257">
        <v>0</v>
      </c>
      <c r="K417" s="257">
        <v>0</v>
      </c>
      <c r="L417" s="257">
        <v>0</v>
      </c>
      <c r="M417" s="257">
        <v>0</v>
      </c>
      <c r="N417" s="257">
        <v>299926084</v>
      </c>
      <c r="O417" s="257">
        <v>0</v>
      </c>
      <c r="P417" s="257">
        <v>0</v>
      </c>
      <c r="Q417" s="258">
        <v>0</v>
      </c>
    </row>
    <row r="418" spans="1:17">
      <c r="A418" s="256">
        <v>1</v>
      </c>
      <c r="B418" s="256">
        <v>8830226</v>
      </c>
      <c r="C418" s="256">
        <v>883022600</v>
      </c>
      <c r="D418" s="256" t="s">
        <v>538</v>
      </c>
      <c r="E418" s="256" t="s">
        <v>539</v>
      </c>
      <c r="F418" s="256" t="s">
        <v>810</v>
      </c>
      <c r="G418" s="256" t="s">
        <v>73</v>
      </c>
      <c r="H418" s="256"/>
      <c r="I418" s="257">
        <v>3840</v>
      </c>
      <c r="J418" s="257">
        <v>0</v>
      </c>
      <c r="K418" s="257">
        <v>0</v>
      </c>
      <c r="L418" s="257">
        <v>0</v>
      </c>
      <c r="M418" s="257">
        <v>0</v>
      </c>
      <c r="N418" s="257">
        <v>0</v>
      </c>
      <c r="O418" s="257">
        <v>3840</v>
      </c>
      <c r="P418" s="257">
        <v>0</v>
      </c>
      <c r="Q418" s="258">
        <v>0</v>
      </c>
    </row>
    <row r="419" spans="1:17">
      <c r="A419" s="256">
        <v>1</v>
      </c>
      <c r="B419" s="256">
        <v>8830228</v>
      </c>
      <c r="C419" s="256">
        <v>883022866</v>
      </c>
      <c r="D419" s="256" t="s">
        <v>538</v>
      </c>
      <c r="E419" s="256" t="s">
        <v>539</v>
      </c>
      <c r="F419" s="256" t="s">
        <v>810</v>
      </c>
      <c r="G419" s="256" t="s">
        <v>811</v>
      </c>
      <c r="H419" s="256" t="s">
        <v>812</v>
      </c>
      <c r="I419" s="257">
        <v>1471468</v>
      </c>
      <c r="J419" s="257">
        <v>0</v>
      </c>
      <c r="K419" s="257">
        <v>0</v>
      </c>
      <c r="L419" s="257">
        <v>0</v>
      </c>
      <c r="M419" s="257">
        <v>0</v>
      </c>
      <c r="N419" s="257">
        <v>1471468</v>
      </c>
      <c r="O419" s="257">
        <v>0</v>
      </c>
      <c r="P419" s="257">
        <v>0</v>
      </c>
      <c r="Q419" s="258">
        <v>0</v>
      </c>
    </row>
    <row r="420" spans="1:17">
      <c r="A420" s="256">
        <v>1</v>
      </c>
      <c r="B420" s="256">
        <v>8830228</v>
      </c>
      <c r="C420" s="256">
        <v>883022867</v>
      </c>
      <c r="D420" s="256" t="s">
        <v>538</v>
      </c>
      <c r="E420" s="256" t="s">
        <v>539</v>
      </c>
      <c r="F420" s="256" t="s">
        <v>810</v>
      </c>
      <c r="G420" s="256" t="s">
        <v>811</v>
      </c>
      <c r="H420" s="256" t="s">
        <v>813</v>
      </c>
      <c r="I420" s="257">
        <v>0</v>
      </c>
      <c r="J420" s="257">
        <v>0</v>
      </c>
      <c r="K420" s="257">
        <v>0</v>
      </c>
      <c r="L420" s="257">
        <v>0</v>
      </c>
      <c r="M420" s="257">
        <v>0</v>
      </c>
      <c r="N420" s="257">
        <v>0</v>
      </c>
      <c r="O420" s="257">
        <v>0</v>
      </c>
      <c r="P420" s="257">
        <v>0</v>
      </c>
      <c r="Q420" s="258">
        <v>0</v>
      </c>
    </row>
    <row r="421" spans="1:17">
      <c r="A421" s="256">
        <v>1</v>
      </c>
      <c r="B421" s="256">
        <v>8830229</v>
      </c>
      <c r="C421" s="256">
        <v>883022900</v>
      </c>
      <c r="D421" s="256" t="s">
        <v>538</v>
      </c>
      <c r="E421" s="256" t="s">
        <v>539</v>
      </c>
      <c r="F421" s="256" t="s">
        <v>810</v>
      </c>
      <c r="G421" s="256" t="s">
        <v>66</v>
      </c>
      <c r="H421" s="256"/>
      <c r="I421" s="257">
        <v>0</v>
      </c>
      <c r="J421" s="257">
        <v>0</v>
      </c>
      <c r="K421" s="257">
        <v>0</v>
      </c>
      <c r="L421" s="257">
        <v>0</v>
      </c>
      <c r="M421" s="257">
        <v>0</v>
      </c>
      <c r="N421" s="257">
        <v>0</v>
      </c>
      <c r="O421" s="257">
        <v>0</v>
      </c>
      <c r="P421" s="257">
        <v>0</v>
      </c>
      <c r="Q421" s="258">
        <v>0</v>
      </c>
    </row>
    <row r="422" spans="1:17">
      <c r="A422" s="256">
        <v>1</v>
      </c>
      <c r="B422" s="256">
        <v>8830230</v>
      </c>
      <c r="C422" s="256">
        <v>883023000</v>
      </c>
      <c r="D422" s="256" t="s">
        <v>538</v>
      </c>
      <c r="E422" s="256" t="s">
        <v>539</v>
      </c>
      <c r="F422" s="256" t="s">
        <v>810</v>
      </c>
      <c r="G422" s="256" t="s">
        <v>64</v>
      </c>
      <c r="H422" s="256"/>
      <c r="I422" s="257">
        <v>693759</v>
      </c>
      <c r="J422" s="257">
        <v>0</v>
      </c>
      <c r="K422" s="257">
        <v>0</v>
      </c>
      <c r="L422" s="257">
        <v>0</v>
      </c>
      <c r="M422" s="257">
        <v>0</v>
      </c>
      <c r="N422" s="257">
        <v>0</v>
      </c>
      <c r="O422" s="257">
        <v>0</v>
      </c>
      <c r="P422" s="257">
        <v>693759</v>
      </c>
      <c r="Q422" s="258">
        <v>0</v>
      </c>
    </row>
    <row r="423" spans="1:17">
      <c r="A423" s="256">
        <v>1</v>
      </c>
      <c r="B423" s="256">
        <v>8830231</v>
      </c>
      <c r="C423" s="256">
        <v>883023100</v>
      </c>
      <c r="D423" s="256" t="s">
        <v>538</v>
      </c>
      <c r="E423" s="256" t="s">
        <v>539</v>
      </c>
      <c r="F423" s="256" t="s">
        <v>810</v>
      </c>
      <c r="G423" s="256" t="s">
        <v>62</v>
      </c>
      <c r="H423" s="256"/>
      <c r="I423" s="257">
        <v>34481445</v>
      </c>
      <c r="J423" s="257">
        <v>0</v>
      </c>
      <c r="K423" s="257">
        <v>0</v>
      </c>
      <c r="L423" s="257">
        <v>0</v>
      </c>
      <c r="M423" s="257">
        <v>0</v>
      </c>
      <c r="N423" s="257">
        <v>33599086</v>
      </c>
      <c r="O423" s="257">
        <v>882359</v>
      </c>
      <c r="P423" s="257">
        <v>0</v>
      </c>
      <c r="Q423" s="258">
        <v>0</v>
      </c>
    </row>
    <row r="424" spans="1:17">
      <c r="A424" s="256">
        <v>1</v>
      </c>
      <c r="B424" s="256">
        <v>8830237</v>
      </c>
      <c r="C424" s="256">
        <v>883023700</v>
      </c>
      <c r="D424" s="256" t="s">
        <v>538</v>
      </c>
      <c r="E424" s="256" t="s">
        <v>539</v>
      </c>
      <c r="F424" s="256" t="s">
        <v>810</v>
      </c>
      <c r="G424" s="256" t="s">
        <v>60</v>
      </c>
      <c r="H424" s="256"/>
      <c r="I424" s="257">
        <v>0</v>
      </c>
      <c r="J424" s="257">
        <v>0</v>
      </c>
      <c r="K424" s="257">
        <v>0</v>
      </c>
      <c r="L424" s="257">
        <v>0</v>
      </c>
      <c r="M424" s="257">
        <v>0</v>
      </c>
      <c r="N424" s="257">
        <v>0</v>
      </c>
      <c r="O424" s="257">
        <v>0</v>
      </c>
      <c r="P424" s="257">
        <v>0</v>
      </c>
      <c r="Q424" s="258">
        <v>0</v>
      </c>
    </row>
    <row r="425" spans="1:17">
      <c r="A425" s="256">
        <v>1</v>
      </c>
      <c r="B425" s="256">
        <v>8830239</v>
      </c>
      <c r="C425" s="256">
        <v>883023900</v>
      </c>
      <c r="D425" s="256" t="s">
        <v>538</v>
      </c>
      <c r="E425" s="256" t="s">
        <v>539</v>
      </c>
      <c r="F425" s="256" t="s">
        <v>810</v>
      </c>
      <c r="G425" s="256" t="s">
        <v>58</v>
      </c>
      <c r="H425" s="256"/>
      <c r="I425" s="257">
        <v>134822</v>
      </c>
      <c r="J425" s="257">
        <v>0</v>
      </c>
      <c r="K425" s="257">
        <v>0</v>
      </c>
      <c r="L425" s="257">
        <v>0</v>
      </c>
      <c r="M425" s="257">
        <v>0</v>
      </c>
      <c r="N425" s="257">
        <v>0</v>
      </c>
      <c r="O425" s="257">
        <v>134822</v>
      </c>
      <c r="P425" s="257">
        <v>0</v>
      </c>
      <c r="Q425" s="258">
        <v>0</v>
      </c>
    </row>
    <row r="426" spans="1:17">
      <c r="A426" s="256">
        <v>1</v>
      </c>
      <c r="B426" s="256">
        <v>8830240</v>
      </c>
      <c r="C426" s="256">
        <v>883024000</v>
      </c>
      <c r="D426" s="256" t="s">
        <v>538</v>
      </c>
      <c r="E426" s="256" t="s">
        <v>539</v>
      </c>
      <c r="F426" s="256" t="s">
        <v>810</v>
      </c>
      <c r="G426" s="256" t="s">
        <v>56</v>
      </c>
      <c r="H426" s="256"/>
      <c r="I426" s="257">
        <v>24800</v>
      </c>
      <c r="J426" s="257">
        <v>0</v>
      </c>
      <c r="K426" s="257">
        <v>0</v>
      </c>
      <c r="L426" s="257">
        <v>0</v>
      </c>
      <c r="M426" s="257">
        <v>0</v>
      </c>
      <c r="N426" s="257">
        <v>0</v>
      </c>
      <c r="O426" s="257">
        <v>0</v>
      </c>
      <c r="P426" s="257">
        <v>24800</v>
      </c>
      <c r="Q426" s="258">
        <v>0</v>
      </c>
    </row>
    <row r="427" spans="1:17">
      <c r="A427" s="256">
        <v>1</v>
      </c>
      <c r="B427" s="256">
        <v>8830241</v>
      </c>
      <c r="C427" s="256">
        <v>883024100</v>
      </c>
      <c r="D427" s="256" t="s">
        <v>538</v>
      </c>
      <c r="E427" s="256" t="s">
        <v>539</v>
      </c>
      <c r="F427" s="256" t="s">
        <v>810</v>
      </c>
      <c r="G427" s="256" t="s">
        <v>55</v>
      </c>
      <c r="H427" s="256"/>
      <c r="I427" s="257">
        <v>0</v>
      </c>
      <c r="J427" s="257">
        <v>0</v>
      </c>
      <c r="K427" s="257">
        <v>0</v>
      </c>
      <c r="L427" s="257">
        <v>0</v>
      </c>
      <c r="M427" s="257">
        <v>0</v>
      </c>
      <c r="N427" s="257">
        <v>0</v>
      </c>
      <c r="O427" s="257">
        <v>0</v>
      </c>
      <c r="P427" s="257">
        <v>0</v>
      </c>
      <c r="Q427" s="258">
        <v>0</v>
      </c>
    </row>
    <row r="428" spans="1:17">
      <c r="A428" s="256">
        <v>1</v>
      </c>
      <c r="B428" s="256">
        <v>8830242</v>
      </c>
      <c r="C428" s="256">
        <v>883024201</v>
      </c>
      <c r="D428" s="256" t="s">
        <v>538</v>
      </c>
      <c r="E428" s="256" t="s">
        <v>539</v>
      </c>
      <c r="F428" s="256" t="s">
        <v>810</v>
      </c>
      <c r="G428" s="256" t="s">
        <v>53</v>
      </c>
      <c r="H428" s="256" t="s">
        <v>108</v>
      </c>
      <c r="I428" s="257">
        <v>3913000</v>
      </c>
      <c r="J428" s="257">
        <v>0</v>
      </c>
      <c r="K428" s="257">
        <v>0</v>
      </c>
      <c r="L428" s="257">
        <v>0</v>
      </c>
      <c r="M428" s="257">
        <v>0</v>
      </c>
      <c r="N428" s="257">
        <v>0</v>
      </c>
      <c r="O428" s="257">
        <v>0</v>
      </c>
      <c r="P428" s="257">
        <v>3913000</v>
      </c>
      <c r="Q428" s="258">
        <v>0</v>
      </c>
    </row>
    <row r="429" spans="1:17">
      <c r="A429" s="256">
        <v>1</v>
      </c>
      <c r="B429" s="256">
        <v>8830242</v>
      </c>
      <c r="C429" s="256">
        <v>883024202</v>
      </c>
      <c r="D429" s="256" t="s">
        <v>538</v>
      </c>
      <c r="E429" s="256" t="s">
        <v>539</v>
      </c>
      <c r="F429" s="256" t="s">
        <v>810</v>
      </c>
      <c r="G429" s="256" t="s">
        <v>53</v>
      </c>
      <c r="H429" s="256" t="s">
        <v>106</v>
      </c>
      <c r="I429" s="257">
        <v>788000</v>
      </c>
      <c r="J429" s="257">
        <v>0</v>
      </c>
      <c r="K429" s="257">
        <v>0</v>
      </c>
      <c r="L429" s="257">
        <v>0</v>
      </c>
      <c r="M429" s="257">
        <v>0</v>
      </c>
      <c r="N429" s="257">
        <v>0</v>
      </c>
      <c r="O429" s="257">
        <v>0</v>
      </c>
      <c r="P429" s="257">
        <v>788000</v>
      </c>
      <c r="Q429" s="258">
        <v>0</v>
      </c>
    </row>
    <row r="430" spans="1:17">
      <c r="A430" s="256">
        <v>1</v>
      </c>
      <c r="B430" s="256">
        <v>8830401</v>
      </c>
      <c r="C430" s="256">
        <v>883040102</v>
      </c>
      <c r="D430" s="256" t="s">
        <v>538</v>
      </c>
      <c r="E430" s="256" t="s">
        <v>539</v>
      </c>
      <c r="F430" s="256" t="s">
        <v>814</v>
      </c>
      <c r="G430" s="256" t="s">
        <v>112</v>
      </c>
      <c r="H430" s="256" t="s">
        <v>737</v>
      </c>
      <c r="I430" s="257">
        <v>0</v>
      </c>
      <c r="J430" s="257">
        <v>0</v>
      </c>
      <c r="K430" s="257">
        <v>0</v>
      </c>
      <c r="L430" s="257">
        <v>0</v>
      </c>
      <c r="M430" s="257">
        <v>0</v>
      </c>
      <c r="N430" s="257">
        <v>0</v>
      </c>
      <c r="O430" s="257">
        <v>0</v>
      </c>
      <c r="P430" s="257">
        <v>0</v>
      </c>
      <c r="Q430" s="258">
        <v>0</v>
      </c>
    </row>
    <row r="431" spans="1:17">
      <c r="A431" s="256">
        <v>1</v>
      </c>
      <c r="B431" s="256">
        <v>8830401</v>
      </c>
      <c r="C431" s="256">
        <v>883040103</v>
      </c>
      <c r="D431" s="256" t="s">
        <v>538</v>
      </c>
      <c r="E431" s="256" t="s">
        <v>539</v>
      </c>
      <c r="F431" s="256" t="s">
        <v>814</v>
      </c>
      <c r="G431" s="256" t="s">
        <v>112</v>
      </c>
      <c r="H431" s="256" t="s">
        <v>738</v>
      </c>
      <c r="I431" s="257">
        <v>0</v>
      </c>
      <c r="J431" s="257">
        <v>0</v>
      </c>
      <c r="K431" s="257">
        <v>0</v>
      </c>
      <c r="L431" s="257">
        <v>0</v>
      </c>
      <c r="M431" s="257">
        <v>0</v>
      </c>
      <c r="N431" s="257">
        <v>0</v>
      </c>
      <c r="O431" s="257">
        <v>0</v>
      </c>
      <c r="P431" s="257">
        <v>0</v>
      </c>
      <c r="Q431" s="258">
        <v>0</v>
      </c>
    </row>
    <row r="432" spans="1:17">
      <c r="A432" s="256">
        <v>1</v>
      </c>
      <c r="B432" s="256">
        <v>8830401</v>
      </c>
      <c r="C432" s="256">
        <v>883040104</v>
      </c>
      <c r="D432" s="256" t="s">
        <v>538</v>
      </c>
      <c r="E432" s="256" t="s">
        <v>539</v>
      </c>
      <c r="F432" s="256" t="s">
        <v>814</v>
      </c>
      <c r="G432" s="256" t="s">
        <v>112</v>
      </c>
      <c r="H432" s="256" t="s">
        <v>739</v>
      </c>
      <c r="I432" s="257">
        <v>0</v>
      </c>
      <c r="J432" s="257">
        <v>0</v>
      </c>
      <c r="K432" s="257">
        <v>0</v>
      </c>
      <c r="L432" s="257">
        <v>0</v>
      </c>
      <c r="M432" s="257">
        <v>0</v>
      </c>
      <c r="N432" s="257">
        <v>0</v>
      </c>
      <c r="O432" s="257">
        <v>0</v>
      </c>
      <c r="P432" s="257">
        <v>0</v>
      </c>
      <c r="Q432" s="258">
        <v>0</v>
      </c>
    </row>
    <row r="433" spans="1:17">
      <c r="A433" s="236">
        <v>1</v>
      </c>
      <c r="B433" s="236">
        <v>8830401</v>
      </c>
      <c r="C433" s="236">
        <v>883040105</v>
      </c>
      <c r="D433" s="236" t="s">
        <v>538</v>
      </c>
      <c r="E433" s="236" t="s">
        <v>539</v>
      </c>
      <c r="F433" s="236" t="s">
        <v>814</v>
      </c>
      <c r="G433" s="236" t="s">
        <v>112</v>
      </c>
      <c r="H433" s="236" t="s">
        <v>740</v>
      </c>
      <c r="I433" s="257">
        <v>115000</v>
      </c>
      <c r="J433" s="257">
        <v>0</v>
      </c>
      <c r="K433" s="257">
        <v>0</v>
      </c>
      <c r="L433" s="257">
        <v>0</v>
      </c>
      <c r="M433" s="257">
        <v>0</v>
      </c>
      <c r="N433" s="257">
        <v>0</v>
      </c>
      <c r="O433" s="257">
        <v>0</v>
      </c>
      <c r="P433" s="257">
        <v>115000</v>
      </c>
      <c r="Q433" s="258">
        <v>0</v>
      </c>
    </row>
    <row r="434" spans="1:17">
      <c r="A434" s="256">
        <v>1</v>
      </c>
      <c r="B434" s="256">
        <v>8830402</v>
      </c>
      <c r="C434" s="256">
        <v>883040202</v>
      </c>
      <c r="D434" s="256" t="s">
        <v>538</v>
      </c>
      <c r="E434" s="256" t="s">
        <v>539</v>
      </c>
      <c r="F434" s="256" t="s">
        <v>814</v>
      </c>
      <c r="G434" s="256" t="s">
        <v>110</v>
      </c>
      <c r="H434" s="256" t="s">
        <v>741</v>
      </c>
      <c r="I434" s="257">
        <v>19311700</v>
      </c>
      <c r="J434" s="257">
        <v>0</v>
      </c>
      <c r="K434" s="257">
        <v>0</v>
      </c>
      <c r="L434" s="257">
        <v>0</v>
      </c>
      <c r="M434" s="257">
        <v>0</v>
      </c>
      <c r="N434" s="257">
        <v>0</v>
      </c>
      <c r="O434" s="257">
        <v>0</v>
      </c>
      <c r="P434" s="257">
        <v>19311700</v>
      </c>
      <c r="Q434" s="258">
        <v>0</v>
      </c>
    </row>
    <row r="435" spans="1:17">
      <c r="A435" s="256">
        <v>1</v>
      </c>
      <c r="B435" s="256">
        <v>8830403</v>
      </c>
      <c r="C435" s="256">
        <v>883040301</v>
      </c>
      <c r="D435" s="256" t="s">
        <v>538</v>
      </c>
      <c r="E435" s="256" t="s">
        <v>539</v>
      </c>
      <c r="F435" s="256" t="s">
        <v>814</v>
      </c>
      <c r="G435" s="256" t="s">
        <v>108</v>
      </c>
      <c r="H435" s="256" t="s">
        <v>742</v>
      </c>
      <c r="I435" s="257">
        <v>2059170</v>
      </c>
      <c r="J435" s="257">
        <v>0</v>
      </c>
      <c r="K435" s="257">
        <v>0</v>
      </c>
      <c r="L435" s="257">
        <v>0</v>
      </c>
      <c r="M435" s="257">
        <v>0</v>
      </c>
      <c r="N435" s="257">
        <v>0</v>
      </c>
      <c r="O435" s="257">
        <v>0</v>
      </c>
      <c r="P435" s="257">
        <v>2059170</v>
      </c>
      <c r="Q435" s="258">
        <v>0</v>
      </c>
    </row>
    <row r="436" spans="1:17">
      <c r="A436" s="256">
        <v>1</v>
      </c>
      <c r="B436" s="256">
        <v>8830403</v>
      </c>
      <c r="C436" s="256">
        <v>883040302</v>
      </c>
      <c r="D436" s="256" t="s">
        <v>538</v>
      </c>
      <c r="E436" s="256" t="s">
        <v>539</v>
      </c>
      <c r="F436" s="256" t="s">
        <v>814</v>
      </c>
      <c r="G436" s="256" t="s">
        <v>108</v>
      </c>
      <c r="H436" s="256" t="s">
        <v>743</v>
      </c>
      <c r="I436" s="257">
        <v>444800</v>
      </c>
      <c r="J436" s="257">
        <v>0</v>
      </c>
      <c r="K436" s="257">
        <v>0</v>
      </c>
      <c r="L436" s="257">
        <v>0</v>
      </c>
      <c r="M436" s="257">
        <v>0</v>
      </c>
      <c r="N436" s="257">
        <v>0</v>
      </c>
      <c r="O436" s="257">
        <v>0</v>
      </c>
      <c r="P436" s="257">
        <v>444800</v>
      </c>
      <c r="Q436" s="258">
        <v>0</v>
      </c>
    </row>
    <row r="437" spans="1:17">
      <c r="A437" s="256">
        <v>1</v>
      </c>
      <c r="B437" s="256">
        <v>8830403</v>
      </c>
      <c r="C437" s="256">
        <v>883040303</v>
      </c>
      <c r="D437" s="256" t="s">
        <v>538</v>
      </c>
      <c r="E437" s="256" t="s">
        <v>539</v>
      </c>
      <c r="F437" s="256" t="s">
        <v>814</v>
      </c>
      <c r="G437" s="256" t="s">
        <v>108</v>
      </c>
      <c r="H437" s="256" t="s">
        <v>744</v>
      </c>
      <c r="I437" s="257">
        <v>7338328</v>
      </c>
      <c r="J437" s="257">
        <v>0</v>
      </c>
      <c r="K437" s="257">
        <v>0</v>
      </c>
      <c r="L437" s="257">
        <v>0</v>
      </c>
      <c r="M437" s="257">
        <v>0</v>
      </c>
      <c r="N437" s="257">
        <v>0</v>
      </c>
      <c r="O437" s="257">
        <v>0</v>
      </c>
      <c r="P437" s="257">
        <v>7338328</v>
      </c>
      <c r="Q437" s="258">
        <v>0</v>
      </c>
    </row>
    <row r="438" spans="1:17">
      <c r="A438" s="256">
        <v>1</v>
      </c>
      <c r="B438" s="256">
        <v>8830403</v>
      </c>
      <c r="C438" s="256">
        <v>883040304</v>
      </c>
      <c r="D438" s="256" t="s">
        <v>538</v>
      </c>
      <c r="E438" s="256" t="s">
        <v>539</v>
      </c>
      <c r="F438" s="256" t="s">
        <v>814</v>
      </c>
      <c r="G438" s="256" t="s">
        <v>108</v>
      </c>
      <c r="H438" s="256" t="s">
        <v>745</v>
      </c>
      <c r="I438" s="257">
        <v>371190</v>
      </c>
      <c r="J438" s="257">
        <v>0</v>
      </c>
      <c r="K438" s="257">
        <v>0</v>
      </c>
      <c r="L438" s="257">
        <v>0</v>
      </c>
      <c r="M438" s="257">
        <v>0</v>
      </c>
      <c r="N438" s="257">
        <v>371190</v>
      </c>
      <c r="O438" s="257">
        <v>0</v>
      </c>
      <c r="P438" s="257">
        <v>0</v>
      </c>
      <c r="Q438" s="258">
        <v>0</v>
      </c>
    </row>
    <row r="439" spans="1:17">
      <c r="A439" s="256">
        <v>1</v>
      </c>
      <c r="B439" s="256">
        <v>8830403</v>
      </c>
      <c r="C439" s="256">
        <v>883040305</v>
      </c>
      <c r="D439" s="256" t="s">
        <v>538</v>
      </c>
      <c r="E439" s="256" t="s">
        <v>539</v>
      </c>
      <c r="F439" s="256" t="s">
        <v>814</v>
      </c>
      <c r="G439" s="256" t="s">
        <v>108</v>
      </c>
      <c r="H439" s="256" t="s">
        <v>746</v>
      </c>
      <c r="I439" s="257">
        <v>835200</v>
      </c>
      <c r="J439" s="257">
        <v>0</v>
      </c>
      <c r="K439" s="257">
        <v>0</v>
      </c>
      <c r="L439" s="257">
        <v>0</v>
      </c>
      <c r="M439" s="257">
        <v>0</v>
      </c>
      <c r="N439" s="257">
        <v>0</v>
      </c>
      <c r="O439" s="257">
        <v>0</v>
      </c>
      <c r="P439" s="257">
        <v>835200</v>
      </c>
      <c r="Q439" s="258">
        <v>0</v>
      </c>
    </row>
    <row r="440" spans="1:17">
      <c r="A440" s="256">
        <v>1</v>
      </c>
      <c r="B440" s="256">
        <v>8830403</v>
      </c>
      <c r="C440" s="256">
        <v>883040306</v>
      </c>
      <c r="D440" s="256" t="s">
        <v>538</v>
      </c>
      <c r="E440" s="256" t="s">
        <v>539</v>
      </c>
      <c r="F440" s="256" t="s">
        <v>814</v>
      </c>
      <c r="G440" s="256" t="s">
        <v>108</v>
      </c>
      <c r="H440" s="256" t="s">
        <v>747</v>
      </c>
      <c r="I440" s="257">
        <v>0</v>
      </c>
      <c r="J440" s="257">
        <v>0</v>
      </c>
      <c r="K440" s="257">
        <v>0</v>
      </c>
      <c r="L440" s="257">
        <v>0</v>
      </c>
      <c r="M440" s="257">
        <v>0</v>
      </c>
      <c r="N440" s="257">
        <v>0</v>
      </c>
      <c r="O440" s="257">
        <v>0</v>
      </c>
      <c r="P440" s="257">
        <v>0</v>
      </c>
      <c r="Q440" s="258">
        <v>0</v>
      </c>
    </row>
    <row r="441" spans="1:17">
      <c r="A441" s="256">
        <v>1</v>
      </c>
      <c r="B441" s="256">
        <v>8830403</v>
      </c>
      <c r="C441" s="256">
        <v>883040307</v>
      </c>
      <c r="D441" s="256" t="s">
        <v>538</v>
      </c>
      <c r="E441" s="256" t="s">
        <v>539</v>
      </c>
      <c r="F441" s="256" t="s">
        <v>814</v>
      </c>
      <c r="G441" s="256" t="s">
        <v>108</v>
      </c>
      <c r="H441" s="256" t="s">
        <v>748</v>
      </c>
      <c r="I441" s="257">
        <v>216624</v>
      </c>
      <c r="J441" s="257">
        <v>0</v>
      </c>
      <c r="K441" s="257">
        <v>0</v>
      </c>
      <c r="L441" s="257">
        <v>0</v>
      </c>
      <c r="M441" s="257">
        <v>0</v>
      </c>
      <c r="N441" s="257">
        <v>0</v>
      </c>
      <c r="O441" s="257">
        <v>0</v>
      </c>
      <c r="P441" s="257">
        <v>216624</v>
      </c>
      <c r="Q441" s="258">
        <v>0</v>
      </c>
    </row>
    <row r="442" spans="1:17">
      <c r="A442" s="256">
        <v>1</v>
      </c>
      <c r="B442" s="256">
        <v>8830403</v>
      </c>
      <c r="C442" s="256">
        <v>883040310</v>
      </c>
      <c r="D442" s="256" t="s">
        <v>538</v>
      </c>
      <c r="E442" s="256" t="s">
        <v>539</v>
      </c>
      <c r="F442" s="256" t="s">
        <v>814</v>
      </c>
      <c r="G442" s="256" t="s">
        <v>108</v>
      </c>
      <c r="H442" s="256" t="s">
        <v>749</v>
      </c>
      <c r="I442" s="257">
        <v>525743</v>
      </c>
      <c r="J442" s="257">
        <v>0</v>
      </c>
      <c r="K442" s="257">
        <v>0</v>
      </c>
      <c r="L442" s="257">
        <v>0</v>
      </c>
      <c r="M442" s="257">
        <v>0</v>
      </c>
      <c r="N442" s="257">
        <v>0</v>
      </c>
      <c r="O442" s="257">
        <v>0</v>
      </c>
      <c r="P442" s="257">
        <v>525743</v>
      </c>
      <c r="Q442" s="258">
        <v>0</v>
      </c>
    </row>
    <row r="443" spans="1:17">
      <c r="A443" s="256">
        <v>1</v>
      </c>
      <c r="B443" s="256">
        <v>8830403</v>
      </c>
      <c r="C443" s="256">
        <v>883040311</v>
      </c>
      <c r="D443" s="256" t="s">
        <v>538</v>
      </c>
      <c r="E443" s="256" t="s">
        <v>539</v>
      </c>
      <c r="F443" s="256" t="s">
        <v>814</v>
      </c>
      <c r="G443" s="256" t="s">
        <v>108</v>
      </c>
      <c r="H443" s="256" t="s">
        <v>750</v>
      </c>
      <c r="I443" s="257">
        <v>0</v>
      </c>
      <c r="J443" s="257">
        <v>0</v>
      </c>
      <c r="K443" s="257">
        <v>0</v>
      </c>
      <c r="L443" s="257">
        <v>0</v>
      </c>
      <c r="M443" s="257">
        <v>0</v>
      </c>
      <c r="N443" s="257">
        <v>0</v>
      </c>
      <c r="O443" s="257">
        <v>0</v>
      </c>
      <c r="P443" s="257">
        <v>0</v>
      </c>
      <c r="Q443" s="258">
        <v>0</v>
      </c>
    </row>
    <row r="444" spans="1:17">
      <c r="A444" s="256">
        <v>1</v>
      </c>
      <c r="B444" s="256">
        <v>8830403</v>
      </c>
      <c r="C444" s="256">
        <v>883040314</v>
      </c>
      <c r="D444" s="256" t="s">
        <v>538</v>
      </c>
      <c r="E444" s="256" t="s">
        <v>539</v>
      </c>
      <c r="F444" s="256" t="s">
        <v>814</v>
      </c>
      <c r="G444" s="256" t="s">
        <v>108</v>
      </c>
      <c r="H444" s="256" t="s">
        <v>751</v>
      </c>
      <c r="I444" s="257">
        <v>324000</v>
      </c>
      <c r="J444" s="257">
        <v>0</v>
      </c>
      <c r="K444" s="257">
        <v>0</v>
      </c>
      <c r="L444" s="257">
        <v>0</v>
      </c>
      <c r="M444" s="257">
        <v>0</v>
      </c>
      <c r="N444" s="257">
        <v>0</v>
      </c>
      <c r="O444" s="257">
        <v>0</v>
      </c>
      <c r="P444" s="257">
        <v>324000</v>
      </c>
      <c r="Q444" s="258">
        <v>0</v>
      </c>
    </row>
    <row r="445" spans="1:17">
      <c r="A445" s="256">
        <v>1</v>
      </c>
      <c r="B445" s="256">
        <v>8830403</v>
      </c>
      <c r="C445" s="256">
        <v>883040315</v>
      </c>
      <c r="D445" s="256" t="s">
        <v>538</v>
      </c>
      <c r="E445" s="256" t="s">
        <v>539</v>
      </c>
      <c r="F445" s="256" t="s">
        <v>814</v>
      </c>
      <c r="G445" s="256" t="s">
        <v>108</v>
      </c>
      <c r="H445" s="256" t="s">
        <v>752</v>
      </c>
      <c r="I445" s="257">
        <v>105000</v>
      </c>
      <c r="J445" s="257">
        <v>0</v>
      </c>
      <c r="K445" s="257">
        <v>0</v>
      </c>
      <c r="L445" s="257">
        <v>0</v>
      </c>
      <c r="M445" s="257">
        <v>0</v>
      </c>
      <c r="N445" s="257">
        <v>0</v>
      </c>
      <c r="O445" s="257">
        <v>0</v>
      </c>
      <c r="P445" s="257">
        <v>105000</v>
      </c>
      <c r="Q445" s="258">
        <v>0</v>
      </c>
    </row>
    <row r="446" spans="1:17">
      <c r="A446" s="256">
        <v>1</v>
      </c>
      <c r="B446" s="256">
        <v>8830404</v>
      </c>
      <c r="C446" s="256">
        <v>883040401</v>
      </c>
      <c r="D446" s="256" t="s">
        <v>538</v>
      </c>
      <c r="E446" s="256" t="s">
        <v>539</v>
      </c>
      <c r="F446" s="256" t="s">
        <v>814</v>
      </c>
      <c r="G446" s="256" t="s">
        <v>106</v>
      </c>
      <c r="H446" s="256" t="s">
        <v>755</v>
      </c>
      <c r="I446" s="257">
        <v>4551856</v>
      </c>
      <c r="J446" s="257">
        <v>0</v>
      </c>
      <c r="K446" s="257">
        <v>0</v>
      </c>
      <c r="L446" s="257">
        <v>0</v>
      </c>
      <c r="M446" s="257">
        <v>0</v>
      </c>
      <c r="N446" s="257">
        <v>0</v>
      </c>
      <c r="O446" s="257">
        <v>4551856</v>
      </c>
      <c r="P446" s="257">
        <v>0</v>
      </c>
      <c r="Q446" s="258">
        <v>0</v>
      </c>
    </row>
    <row r="447" spans="1:17">
      <c r="A447" s="256">
        <v>1</v>
      </c>
      <c r="B447" s="256">
        <v>8830404</v>
      </c>
      <c r="C447" s="256">
        <v>883040402</v>
      </c>
      <c r="D447" s="256" t="s">
        <v>538</v>
      </c>
      <c r="E447" s="256" t="s">
        <v>539</v>
      </c>
      <c r="F447" s="256" t="s">
        <v>814</v>
      </c>
      <c r="G447" s="256" t="s">
        <v>106</v>
      </c>
      <c r="H447" s="256" t="s">
        <v>756</v>
      </c>
      <c r="I447" s="257">
        <v>29424</v>
      </c>
      <c r="J447" s="257">
        <v>0</v>
      </c>
      <c r="K447" s="257">
        <v>0</v>
      </c>
      <c r="L447" s="257">
        <v>0</v>
      </c>
      <c r="M447" s="257">
        <v>0</v>
      </c>
      <c r="N447" s="257">
        <v>0</v>
      </c>
      <c r="O447" s="257">
        <v>0</v>
      </c>
      <c r="P447" s="257">
        <v>29424</v>
      </c>
      <c r="Q447" s="258">
        <v>0</v>
      </c>
    </row>
    <row r="448" spans="1:17">
      <c r="A448" s="256">
        <v>1</v>
      </c>
      <c r="B448" s="256">
        <v>8830404</v>
      </c>
      <c r="C448" s="256">
        <v>883040403</v>
      </c>
      <c r="D448" s="256" t="s">
        <v>538</v>
      </c>
      <c r="E448" s="256" t="s">
        <v>539</v>
      </c>
      <c r="F448" s="256" t="s">
        <v>814</v>
      </c>
      <c r="G448" s="256" t="s">
        <v>106</v>
      </c>
      <c r="H448" s="256" t="s">
        <v>757</v>
      </c>
      <c r="I448" s="257">
        <v>0</v>
      </c>
      <c r="J448" s="257">
        <v>0</v>
      </c>
      <c r="K448" s="257">
        <v>0</v>
      </c>
      <c r="L448" s="257">
        <v>0</v>
      </c>
      <c r="M448" s="257">
        <v>0</v>
      </c>
      <c r="N448" s="257">
        <v>0</v>
      </c>
      <c r="O448" s="257">
        <v>0</v>
      </c>
      <c r="P448" s="257">
        <v>0</v>
      </c>
      <c r="Q448" s="258">
        <v>0</v>
      </c>
    </row>
    <row r="449" spans="1:17">
      <c r="A449" s="256">
        <v>1</v>
      </c>
      <c r="B449" s="256">
        <v>8830404</v>
      </c>
      <c r="C449" s="256">
        <v>883040405</v>
      </c>
      <c r="D449" s="256" t="s">
        <v>538</v>
      </c>
      <c r="E449" s="256" t="s">
        <v>539</v>
      </c>
      <c r="F449" s="256" t="s">
        <v>814</v>
      </c>
      <c r="G449" s="256" t="s">
        <v>106</v>
      </c>
      <c r="H449" s="256" t="s">
        <v>758</v>
      </c>
      <c r="I449" s="257">
        <v>0</v>
      </c>
      <c r="J449" s="257">
        <v>0</v>
      </c>
      <c r="K449" s="257">
        <v>0</v>
      </c>
      <c r="L449" s="257">
        <v>0</v>
      </c>
      <c r="M449" s="257">
        <v>0</v>
      </c>
      <c r="N449" s="257">
        <v>0</v>
      </c>
      <c r="O449" s="257">
        <v>0</v>
      </c>
      <c r="P449" s="257">
        <v>0</v>
      </c>
      <c r="Q449" s="258">
        <v>0</v>
      </c>
    </row>
    <row r="450" spans="1:17">
      <c r="A450" s="256">
        <v>1</v>
      </c>
      <c r="B450" s="256">
        <v>8830404</v>
      </c>
      <c r="C450" s="256">
        <v>883040406</v>
      </c>
      <c r="D450" s="256" t="s">
        <v>538</v>
      </c>
      <c r="E450" s="256" t="s">
        <v>539</v>
      </c>
      <c r="F450" s="256" t="s">
        <v>814</v>
      </c>
      <c r="G450" s="256" t="s">
        <v>106</v>
      </c>
      <c r="H450" s="256" t="s">
        <v>759</v>
      </c>
      <c r="I450" s="257">
        <v>0</v>
      </c>
      <c r="J450" s="257">
        <v>0</v>
      </c>
      <c r="K450" s="257">
        <v>0</v>
      </c>
      <c r="L450" s="257">
        <v>0</v>
      </c>
      <c r="M450" s="257">
        <v>0</v>
      </c>
      <c r="N450" s="257">
        <v>0</v>
      </c>
      <c r="O450" s="257">
        <v>0</v>
      </c>
      <c r="P450" s="257">
        <v>0</v>
      </c>
      <c r="Q450" s="258">
        <v>0</v>
      </c>
    </row>
    <row r="451" spans="1:17">
      <c r="A451" s="256">
        <v>1</v>
      </c>
      <c r="B451" s="256">
        <v>8830404</v>
      </c>
      <c r="C451" s="256">
        <v>883040407</v>
      </c>
      <c r="D451" s="256" t="s">
        <v>538</v>
      </c>
      <c r="E451" s="256" t="s">
        <v>539</v>
      </c>
      <c r="F451" s="256" t="s">
        <v>814</v>
      </c>
      <c r="G451" s="256" t="s">
        <v>106</v>
      </c>
      <c r="H451" s="256" t="s">
        <v>760</v>
      </c>
      <c r="I451" s="257">
        <v>0</v>
      </c>
      <c r="J451" s="257">
        <v>0</v>
      </c>
      <c r="K451" s="257">
        <v>0</v>
      </c>
      <c r="L451" s="257">
        <v>0</v>
      </c>
      <c r="M451" s="257">
        <v>0</v>
      </c>
      <c r="N451" s="257">
        <v>0</v>
      </c>
      <c r="O451" s="257">
        <v>0</v>
      </c>
      <c r="P451" s="257">
        <v>0</v>
      </c>
      <c r="Q451" s="258">
        <v>0</v>
      </c>
    </row>
    <row r="452" spans="1:17">
      <c r="A452" s="256">
        <v>1</v>
      </c>
      <c r="B452" s="256">
        <v>8830404</v>
      </c>
      <c r="C452" s="256">
        <v>883040408</v>
      </c>
      <c r="D452" s="256" t="s">
        <v>538</v>
      </c>
      <c r="E452" s="256" t="s">
        <v>539</v>
      </c>
      <c r="F452" s="256" t="s">
        <v>814</v>
      </c>
      <c r="G452" s="256" t="s">
        <v>106</v>
      </c>
      <c r="H452" s="256" t="s">
        <v>761</v>
      </c>
      <c r="I452" s="257">
        <v>0</v>
      </c>
      <c r="J452" s="257">
        <v>0</v>
      </c>
      <c r="K452" s="257">
        <v>0</v>
      </c>
      <c r="L452" s="257">
        <v>0</v>
      </c>
      <c r="M452" s="257">
        <v>0</v>
      </c>
      <c r="N452" s="257">
        <v>0</v>
      </c>
      <c r="O452" s="257">
        <v>0</v>
      </c>
      <c r="P452" s="257">
        <v>0</v>
      </c>
      <c r="Q452" s="258">
        <v>0</v>
      </c>
    </row>
    <row r="453" spans="1:17">
      <c r="A453" s="256">
        <v>1</v>
      </c>
      <c r="B453" s="256">
        <v>8830404</v>
      </c>
      <c r="C453" s="256">
        <v>883040410</v>
      </c>
      <c r="D453" s="256" t="s">
        <v>538</v>
      </c>
      <c r="E453" s="256" t="s">
        <v>539</v>
      </c>
      <c r="F453" s="256" t="s">
        <v>814</v>
      </c>
      <c r="G453" s="256" t="s">
        <v>106</v>
      </c>
      <c r="H453" s="256" t="s">
        <v>762</v>
      </c>
      <c r="I453" s="257">
        <v>1624261</v>
      </c>
      <c r="J453" s="257">
        <v>0</v>
      </c>
      <c r="K453" s="257">
        <v>0</v>
      </c>
      <c r="L453" s="257">
        <v>0</v>
      </c>
      <c r="M453" s="257">
        <v>0</v>
      </c>
      <c r="N453" s="257">
        <v>0</v>
      </c>
      <c r="O453" s="257">
        <v>1624261</v>
      </c>
      <c r="P453" s="257">
        <v>0</v>
      </c>
      <c r="Q453" s="258">
        <v>0</v>
      </c>
    </row>
    <row r="454" spans="1:17">
      <c r="A454" s="256">
        <v>1</v>
      </c>
      <c r="B454" s="256">
        <v>8830404</v>
      </c>
      <c r="C454" s="256">
        <v>883040411</v>
      </c>
      <c r="D454" s="256" t="s">
        <v>538</v>
      </c>
      <c r="E454" s="256" t="s">
        <v>539</v>
      </c>
      <c r="F454" s="256" t="s">
        <v>814</v>
      </c>
      <c r="G454" s="256" t="s">
        <v>106</v>
      </c>
      <c r="H454" s="256" t="s">
        <v>763</v>
      </c>
      <c r="I454" s="257">
        <v>366</v>
      </c>
      <c r="J454" s="257">
        <v>0</v>
      </c>
      <c r="K454" s="257">
        <v>0</v>
      </c>
      <c r="L454" s="257">
        <v>0</v>
      </c>
      <c r="M454" s="257">
        <v>0</v>
      </c>
      <c r="N454" s="257">
        <v>0</v>
      </c>
      <c r="O454" s="257">
        <v>366</v>
      </c>
      <c r="P454" s="257">
        <v>0</v>
      </c>
      <c r="Q454" s="258">
        <v>0</v>
      </c>
    </row>
    <row r="455" spans="1:17">
      <c r="A455" s="256">
        <v>1</v>
      </c>
      <c r="B455" s="256">
        <v>8830405</v>
      </c>
      <c r="C455" s="256">
        <v>883040500</v>
      </c>
      <c r="D455" s="256" t="s">
        <v>538</v>
      </c>
      <c r="E455" s="256" t="s">
        <v>539</v>
      </c>
      <c r="F455" s="256" t="s">
        <v>814</v>
      </c>
      <c r="G455" s="256" t="s">
        <v>104</v>
      </c>
      <c r="H455" s="256"/>
      <c r="I455" s="257">
        <v>0</v>
      </c>
      <c r="J455" s="257">
        <v>0</v>
      </c>
      <c r="K455" s="257">
        <v>0</v>
      </c>
      <c r="L455" s="257">
        <v>0</v>
      </c>
      <c r="M455" s="257">
        <v>0</v>
      </c>
      <c r="N455" s="257">
        <v>0</v>
      </c>
      <c r="O455" s="257">
        <v>0</v>
      </c>
      <c r="P455" s="257">
        <v>0</v>
      </c>
      <c r="Q455" s="258">
        <v>0</v>
      </c>
    </row>
    <row r="456" spans="1:17">
      <c r="A456" s="256">
        <v>1</v>
      </c>
      <c r="B456" s="256">
        <v>8830407</v>
      </c>
      <c r="C456" s="256">
        <v>883040700</v>
      </c>
      <c r="D456" s="256" t="s">
        <v>538</v>
      </c>
      <c r="E456" s="256" t="s">
        <v>539</v>
      </c>
      <c r="F456" s="256" t="s">
        <v>814</v>
      </c>
      <c r="G456" s="256" t="s">
        <v>102</v>
      </c>
      <c r="H456" s="256"/>
      <c r="I456" s="257">
        <v>0</v>
      </c>
      <c r="J456" s="257">
        <v>0</v>
      </c>
      <c r="K456" s="257">
        <v>0</v>
      </c>
      <c r="L456" s="257">
        <v>0</v>
      </c>
      <c r="M456" s="257">
        <v>0</v>
      </c>
      <c r="N456" s="257">
        <v>0</v>
      </c>
      <c r="O456" s="257">
        <v>0</v>
      </c>
      <c r="P456" s="257">
        <v>0</v>
      </c>
      <c r="Q456" s="258">
        <v>0</v>
      </c>
    </row>
    <row r="457" spans="1:17">
      <c r="A457" s="256">
        <v>1</v>
      </c>
      <c r="B457" s="256">
        <v>8830408</v>
      </c>
      <c r="C457" s="256">
        <v>883040800</v>
      </c>
      <c r="D457" s="256" t="s">
        <v>538</v>
      </c>
      <c r="E457" s="256" t="s">
        <v>539</v>
      </c>
      <c r="F457" s="256" t="s">
        <v>814</v>
      </c>
      <c r="G457" s="256" t="s">
        <v>100</v>
      </c>
      <c r="H457" s="256"/>
      <c r="I457" s="257">
        <v>0</v>
      </c>
      <c r="J457" s="257">
        <v>0</v>
      </c>
      <c r="K457" s="257">
        <v>0</v>
      </c>
      <c r="L457" s="257">
        <v>0</v>
      </c>
      <c r="M457" s="257">
        <v>0</v>
      </c>
      <c r="N457" s="257">
        <v>0</v>
      </c>
      <c r="O457" s="257">
        <v>0</v>
      </c>
      <c r="P457" s="257">
        <v>0</v>
      </c>
      <c r="Q457" s="258">
        <v>0</v>
      </c>
    </row>
    <row r="458" spans="1:17">
      <c r="A458" s="256">
        <v>1</v>
      </c>
      <c r="B458" s="256">
        <v>8830410</v>
      </c>
      <c r="C458" s="256">
        <v>883041001</v>
      </c>
      <c r="D458" s="256" t="s">
        <v>538</v>
      </c>
      <c r="E458" s="256" t="s">
        <v>539</v>
      </c>
      <c r="F458" s="256" t="s">
        <v>814</v>
      </c>
      <c r="G458" s="256" t="s">
        <v>764</v>
      </c>
      <c r="H458" s="256" t="s">
        <v>98</v>
      </c>
      <c r="I458" s="257">
        <v>0</v>
      </c>
      <c r="J458" s="257">
        <v>0</v>
      </c>
      <c r="K458" s="257">
        <v>0</v>
      </c>
      <c r="L458" s="257">
        <v>0</v>
      </c>
      <c r="M458" s="257">
        <v>0</v>
      </c>
      <c r="N458" s="257">
        <v>0</v>
      </c>
      <c r="O458" s="257">
        <v>0</v>
      </c>
      <c r="P458" s="257">
        <v>0</v>
      </c>
      <c r="Q458" s="258">
        <v>0</v>
      </c>
    </row>
    <row r="459" spans="1:17">
      <c r="A459" s="256">
        <v>1</v>
      </c>
      <c r="B459" s="256">
        <v>8830410</v>
      </c>
      <c r="C459" s="256">
        <v>883041002</v>
      </c>
      <c r="D459" s="256" t="s">
        <v>538</v>
      </c>
      <c r="E459" s="256" t="s">
        <v>539</v>
      </c>
      <c r="F459" s="256" t="s">
        <v>814</v>
      </c>
      <c r="G459" s="256" t="s">
        <v>764</v>
      </c>
      <c r="H459" s="256" t="s">
        <v>95</v>
      </c>
      <c r="I459" s="257">
        <v>0</v>
      </c>
      <c r="J459" s="257">
        <v>0</v>
      </c>
      <c r="K459" s="257">
        <v>0</v>
      </c>
      <c r="L459" s="257">
        <v>0</v>
      </c>
      <c r="M459" s="257">
        <v>0</v>
      </c>
      <c r="N459" s="257">
        <v>0</v>
      </c>
      <c r="O459" s="257">
        <v>0</v>
      </c>
      <c r="P459" s="257">
        <v>0</v>
      </c>
      <c r="Q459" s="258">
        <v>0</v>
      </c>
    </row>
    <row r="460" spans="1:17">
      <c r="A460" s="236">
        <v>1</v>
      </c>
      <c r="B460" s="236">
        <v>8830410</v>
      </c>
      <c r="C460" s="236">
        <v>883041003</v>
      </c>
      <c r="D460" s="236" t="s">
        <v>538</v>
      </c>
      <c r="E460" s="236" t="s">
        <v>539</v>
      </c>
      <c r="F460" s="236" t="s">
        <v>814</v>
      </c>
      <c r="G460" s="236" t="s">
        <v>764</v>
      </c>
      <c r="H460" s="236" t="s">
        <v>765</v>
      </c>
      <c r="I460" s="257">
        <v>7400</v>
      </c>
      <c r="J460" s="257">
        <v>0</v>
      </c>
      <c r="K460" s="257">
        <v>0</v>
      </c>
      <c r="L460" s="257">
        <v>0</v>
      </c>
      <c r="M460" s="257">
        <v>0</v>
      </c>
      <c r="N460" s="257">
        <v>7400</v>
      </c>
      <c r="O460" s="257">
        <v>0</v>
      </c>
      <c r="P460" s="257">
        <v>0</v>
      </c>
      <c r="Q460" s="258">
        <v>0</v>
      </c>
    </row>
    <row r="461" spans="1:17">
      <c r="A461" s="256">
        <v>1</v>
      </c>
      <c r="B461" s="256">
        <v>8830413</v>
      </c>
      <c r="C461" s="256">
        <v>883041300</v>
      </c>
      <c r="D461" s="256" t="s">
        <v>538</v>
      </c>
      <c r="E461" s="256" t="s">
        <v>539</v>
      </c>
      <c r="F461" s="256" t="s">
        <v>814</v>
      </c>
      <c r="G461" s="256" t="s">
        <v>93</v>
      </c>
      <c r="H461" s="256"/>
      <c r="I461" s="257">
        <v>123964</v>
      </c>
      <c r="J461" s="257">
        <v>0</v>
      </c>
      <c r="K461" s="257">
        <v>0</v>
      </c>
      <c r="L461" s="257">
        <v>0</v>
      </c>
      <c r="M461" s="257">
        <v>0</v>
      </c>
      <c r="N461" s="257">
        <v>123964</v>
      </c>
      <c r="O461" s="257">
        <v>0</v>
      </c>
      <c r="P461" s="257">
        <v>0</v>
      </c>
      <c r="Q461" s="258">
        <v>0</v>
      </c>
    </row>
    <row r="462" spans="1:17">
      <c r="A462" s="256">
        <v>1</v>
      </c>
      <c r="B462" s="256">
        <v>8830414</v>
      </c>
      <c r="C462" s="256">
        <v>883041400</v>
      </c>
      <c r="D462" s="256" t="s">
        <v>538</v>
      </c>
      <c r="E462" s="256" t="s">
        <v>539</v>
      </c>
      <c r="F462" s="256" t="s">
        <v>814</v>
      </c>
      <c r="G462" s="256" t="s">
        <v>91</v>
      </c>
      <c r="H462" s="256"/>
      <c r="I462" s="257">
        <v>67172</v>
      </c>
      <c r="J462" s="257">
        <v>0</v>
      </c>
      <c r="K462" s="257">
        <v>0</v>
      </c>
      <c r="L462" s="257">
        <v>0</v>
      </c>
      <c r="M462" s="257">
        <v>0</v>
      </c>
      <c r="N462" s="257">
        <v>67172</v>
      </c>
      <c r="O462" s="257">
        <v>0</v>
      </c>
      <c r="P462" s="257">
        <v>0</v>
      </c>
      <c r="Q462" s="258">
        <v>0</v>
      </c>
    </row>
    <row r="463" spans="1:17">
      <c r="A463" s="256">
        <v>1</v>
      </c>
      <c r="B463" s="256">
        <v>8830415</v>
      </c>
      <c r="C463" s="256">
        <v>883041500</v>
      </c>
      <c r="D463" s="256" t="s">
        <v>538</v>
      </c>
      <c r="E463" s="256" t="s">
        <v>539</v>
      </c>
      <c r="F463" s="256" t="s">
        <v>814</v>
      </c>
      <c r="G463" s="256" t="s">
        <v>89</v>
      </c>
      <c r="H463" s="256"/>
      <c r="I463" s="257">
        <v>0</v>
      </c>
      <c r="J463" s="257">
        <v>0</v>
      </c>
      <c r="K463" s="257">
        <v>0</v>
      </c>
      <c r="L463" s="257">
        <v>0</v>
      </c>
      <c r="M463" s="257">
        <v>0</v>
      </c>
      <c r="N463" s="257">
        <v>0</v>
      </c>
      <c r="O463" s="257">
        <v>0</v>
      </c>
      <c r="P463" s="257">
        <v>0</v>
      </c>
      <c r="Q463" s="258">
        <v>0</v>
      </c>
    </row>
    <row r="464" spans="1:17">
      <c r="A464" s="256">
        <v>1</v>
      </c>
      <c r="B464" s="256">
        <v>8830417</v>
      </c>
      <c r="C464" s="256">
        <v>883041700</v>
      </c>
      <c r="D464" s="256" t="s">
        <v>538</v>
      </c>
      <c r="E464" s="256" t="s">
        <v>539</v>
      </c>
      <c r="F464" s="256" t="s">
        <v>814</v>
      </c>
      <c r="G464" s="256" t="s">
        <v>87</v>
      </c>
      <c r="H464" s="256"/>
      <c r="I464" s="257">
        <v>87858</v>
      </c>
      <c r="J464" s="257">
        <v>0</v>
      </c>
      <c r="K464" s="257">
        <v>0</v>
      </c>
      <c r="L464" s="257">
        <v>0</v>
      </c>
      <c r="M464" s="257">
        <v>0</v>
      </c>
      <c r="N464" s="257">
        <v>87858</v>
      </c>
      <c r="O464" s="257">
        <v>0</v>
      </c>
      <c r="P464" s="257">
        <v>0</v>
      </c>
      <c r="Q464" s="258">
        <v>0</v>
      </c>
    </row>
    <row r="465" spans="1:17">
      <c r="A465" s="256">
        <v>1</v>
      </c>
      <c r="B465" s="256">
        <v>8830419</v>
      </c>
      <c r="C465" s="256">
        <v>883041900</v>
      </c>
      <c r="D465" s="256" t="s">
        <v>538</v>
      </c>
      <c r="E465" s="256" t="s">
        <v>539</v>
      </c>
      <c r="F465" s="256" t="s">
        <v>814</v>
      </c>
      <c r="G465" s="256" t="s">
        <v>85</v>
      </c>
      <c r="H465" s="256"/>
      <c r="I465" s="257">
        <v>0</v>
      </c>
      <c r="J465" s="257">
        <v>0</v>
      </c>
      <c r="K465" s="257">
        <v>0</v>
      </c>
      <c r="L465" s="257">
        <v>0</v>
      </c>
      <c r="M465" s="257">
        <v>0</v>
      </c>
      <c r="N465" s="257">
        <v>0</v>
      </c>
      <c r="O465" s="257">
        <v>0</v>
      </c>
      <c r="P465" s="257">
        <v>0</v>
      </c>
      <c r="Q465" s="258">
        <v>0</v>
      </c>
    </row>
    <row r="466" spans="1:17">
      <c r="A466" s="256">
        <v>1</v>
      </c>
      <c r="B466" s="256">
        <v>8830420</v>
      </c>
      <c r="C466" s="256">
        <v>883042000</v>
      </c>
      <c r="D466" s="256" t="s">
        <v>538</v>
      </c>
      <c r="E466" s="256" t="s">
        <v>539</v>
      </c>
      <c r="F466" s="256" t="s">
        <v>814</v>
      </c>
      <c r="G466" s="256" t="s">
        <v>83</v>
      </c>
      <c r="H466" s="256"/>
      <c r="I466" s="257">
        <v>1820</v>
      </c>
      <c r="J466" s="257">
        <v>0</v>
      </c>
      <c r="K466" s="257">
        <v>0</v>
      </c>
      <c r="L466" s="257">
        <v>0</v>
      </c>
      <c r="M466" s="257">
        <v>0</v>
      </c>
      <c r="N466" s="257">
        <v>1820</v>
      </c>
      <c r="O466" s="257">
        <v>0</v>
      </c>
      <c r="P466" s="257">
        <v>0</v>
      </c>
      <c r="Q466" s="258">
        <v>0</v>
      </c>
    </row>
    <row r="467" spans="1:17">
      <c r="A467" s="256">
        <v>1</v>
      </c>
      <c r="B467" s="256">
        <v>8830421</v>
      </c>
      <c r="C467" s="256">
        <v>883042100</v>
      </c>
      <c r="D467" s="256" t="s">
        <v>538</v>
      </c>
      <c r="E467" s="256" t="s">
        <v>539</v>
      </c>
      <c r="F467" s="256" t="s">
        <v>814</v>
      </c>
      <c r="G467" s="256" t="s">
        <v>81</v>
      </c>
      <c r="H467" s="256"/>
      <c r="I467" s="257">
        <v>11727105</v>
      </c>
      <c r="J467" s="257">
        <v>0</v>
      </c>
      <c r="K467" s="257">
        <v>0</v>
      </c>
      <c r="L467" s="257">
        <v>0</v>
      </c>
      <c r="M467" s="257">
        <v>0</v>
      </c>
      <c r="N467" s="257">
        <v>11727105</v>
      </c>
      <c r="O467" s="257">
        <v>0</v>
      </c>
      <c r="P467" s="257">
        <v>0</v>
      </c>
      <c r="Q467" s="258">
        <v>0</v>
      </c>
    </row>
    <row r="468" spans="1:17">
      <c r="A468" s="256">
        <v>1</v>
      </c>
      <c r="B468" s="256">
        <v>8830423</v>
      </c>
      <c r="C468" s="256">
        <v>883042300</v>
      </c>
      <c r="D468" s="256" t="s">
        <v>538</v>
      </c>
      <c r="E468" s="256" t="s">
        <v>539</v>
      </c>
      <c r="F468" s="256" t="s">
        <v>814</v>
      </c>
      <c r="G468" s="256" t="s">
        <v>79</v>
      </c>
      <c r="H468" s="256"/>
      <c r="I468" s="257">
        <v>49808</v>
      </c>
      <c r="J468" s="257">
        <v>0</v>
      </c>
      <c r="K468" s="257">
        <v>0</v>
      </c>
      <c r="L468" s="257">
        <v>0</v>
      </c>
      <c r="M468" s="257">
        <v>0</v>
      </c>
      <c r="N468" s="257">
        <v>49808</v>
      </c>
      <c r="O468" s="257">
        <v>0</v>
      </c>
      <c r="P468" s="257">
        <v>0</v>
      </c>
      <c r="Q468" s="258">
        <v>0</v>
      </c>
    </row>
    <row r="469" spans="1:17">
      <c r="A469" s="256">
        <v>1</v>
      </c>
      <c r="B469" s="256">
        <v>8830424</v>
      </c>
      <c r="C469" s="256">
        <v>883042400</v>
      </c>
      <c r="D469" s="256" t="s">
        <v>538</v>
      </c>
      <c r="E469" s="256" t="s">
        <v>539</v>
      </c>
      <c r="F469" s="256" t="s">
        <v>814</v>
      </c>
      <c r="G469" s="256" t="s">
        <v>77</v>
      </c>
      <c r="H469" s="256"/>
      <c r="I469" s="257">
        <v>0</v>
      </c>
      <c r="J469" s="257">
        <v>0</v>
      </c>
      <c r="K469" s="257">
        <v>0</v>
      </c>
      <c r="L469" s="257">
        <v>0</v>
      </c>
      <c r="M469" s="257">
        <v>0</v>
      </c>
      <c r="N469" s="257">
        <v>0</v>
      </c>
      <c r="O469" s="257">
        <v>0</v>
      </c>
      <c r="P469" s="257">
        <v>0</v>
      </c>
      <c r="Q469" s="258">
        <v>0</v>
      </c>
    </row>
    <row r="470" spans="1:17">
      <c r="A470" s="256">
        <v>1</v>
      </c>
      <c r="B470" s="256">
        <v>8830425</v>
      </c>
      <c r="C470" s="256">
        <v>883042500</v>
      </c>
      <c r="D470" s="256" t="s">
        <v>538</v>
      </c>
      <c r="E470" s="256" t="s">
        <v>539</v>
      </c>
      <c r="F470" s="256" t="s">
        <v>814</v>
      </c>
      <c r="G470" s="256" t="s">
        <v>75</v>
      </c>
      <c r="H470" s="256"/>
      <c r="I470" s="257">
        <v>0</v>
      </c>
      <c r="J470" s="257">
        <v>0</v>
      </c>
      <c r="K470" s="257">
        <v>0</v>
      </c>
      <c r="L470" s="257">
        <v>0</v>
      </c>
      <c r="M470" s="257">
        <v>0</v>
      </c>
      <c r="N470" s="257">
        <v>0</v>
      </c>
      <c r="O470" s="257">
        <v>0</v>
      </c>
      <c r="P470" s="257">
        <v>0</v>
      </c>
      <c r="Q470" s="258">
        <v>0</v>
      </c>
    </row>
    <row r="471" spans="1:17">
      <c r="A471" s="256">
        <v>1</v>
      </c>
      <c r="B471" s="256">
        <v>8830428</v>
      </c>
      <c r="C471" s="256">
        <v>883042866</v>
      </c>
      <c r="D471" s="256" t="s">
        <v>538</v>
      </c>
      <c r="E471" s="256" t="s">
        <v>539</v>
      </c>
      <c r="F471" s="256" t="s">
        <v>814</v>
      </c>
      <c r="G471" s="256" t="s">
        <v>811</v>
      </c>
      <c r="H471" s="256" t="s">
        <v>812</v>
      </c>
      <c r="I471" s="257">
        <v>0</v>
      </c>
      <c r="J471" s="257">
        <v>0</v>
      </c>
      <c r="K471" s="257">
        <v>0</v>
      </c>
      <c r="L471" s="257">
        <v>0</v>
      </c>
      <c r="M471" s="257">
        <v>0</v>
      </c>
      <c r="N471" s="257">
        <v>0</v>
      </c>
      <c r="O471" s="257">
        <v>0</v>
      </c>
      <c r="P471" s="257">
        <v>0</v>
      </c>
      <c r="Q471" s="258">
        <v>0</v>
      </c>
    </row>
    <row r="472" spans="1:17">
      <c r="A472" s="256">
        <v>1</v>
      </c>
      <c r="B472" s="256">
        <v>8830428</v>
      </c>
      <c r="C472" s="256">
        <v>883042867</v>
      </c>
      <c r="D472" s="256" t="s">
        <v>538</v>
      </c>
      <c r="E472" s="256" t="s">
        <v>539</v>
      </c>
      <c r="F472" s="256" t="s">
        <v>814</v>
      </c>
      <c r="G472" s="256" t="s">
        <v>811</v>
      </c>
      <c r="H472" s="256" t="s">
        <v>813</v>
      </c>
      <c r="I472" s="257">
        <v>0</v>
      </c>
      <c r="J472" s="257">
        <v>0</v>
      </c>
      <c r="K472" s="257">
        <v>0</v>
      </c>
      <c r="L472" s="257">
        <v>0</v>
      </c>
      <c r="M472" s="257">
        <v>0</v>
      </c>
      <c r="N472" s="257">
        <v>0</v>
      </c>
      <c r="O472" s="257">
        <v>0</v>
      </c>
      <c r="P472" s="257">
        <v>0</v>
      </c>
      <c r="Q472" s="258">
        <v>0</v>
      </c>
    </row>
    <row r="473" spans="1:17">
      <c r="A473" s="256">
        <v>1</v>
      </c>
      <c r="B473" s="256">
        <v>8830429</v>
      </c>
      <c r="C473" s="256">
        <v>883042900</v>
      </c>
      <c r="D473" s="256" t="s">
        <v>538</v>
      </c>
      <c r="E473" s="256" t="s">
        <v>539</v>
      </c>
      <c r="F473" s="256" t="s">
        <v>814</v>
      </c>
      <c r="G473" s="256" t="s">
        <v>66</v>
      </c>
      <c r="H473" s="256"/>
      <c r="I473" s="257">
        <v>0</v>
      </c>
      <c r="J473" s="257">
        <v>0</v>
      </c>
      <c r="K473" s="257">
        <v>0</v>
      </c>
      <c r="L473" s="257">
        <v>0</v>
      </c>
      <c r="M473" s="257">
        <v>0</v>
      </c>
      <c r="N473" s="257">
        <v>0</v>
      </c>
      <c r="O473" s="257">
        <v>0</v>
      </c>
      <c r="P473" s="257">
        <v>0</v>
      </c>
      <c r="Q473" s="258">
        <v>0</v>
      </c>
    </row>
    <row r="474" spans="1:17">
      <c r="A474" s="256">
        <v>1</v>
      </c>
      <c r="B474" s="256">
        <v>8830430</v>
      </c>
      <c r="C474" s="256">
        <v>883043000</v>
      </c>
      <c r="D474" s="256" t="s">
        <v>538</v>
      </c>
      <c r="E474" s="256" t="s">
        <v>539</v>
      </c>
      <c r="F474" s="256" t="s">
        <v>814</v>
      </c>
      <c r="G474" s="256" t="s">
        <v>64</v>
      </c>
      <c r="H474" s="256"/>
      <c r="I474" s="257">
        <v>0</v>
      </c>
      <c r="J474" s="257">
        <v>0</v>
      </c>
      <c r="K474" s="257">
        <v>0</v>
      </c>
      <c r="L474" s="257">
        <v>0</v>
      </c>
      <c r="M474" s="257">
        <v>0</v>
      </c>
      <c r="N474" s="257">
        <v>0</v>
      </c>
      <c r="O474" s="257">
        <v>0</v>
      </c>
      <c r="P474" s="257">
        <v>0</v>
      </c>
      <c r="Q474" s="258">
        <v>0</v>
      </c>
    </row>
    <row r="475" spans="1:17">
      <c r="A475" s="256">
        <v>1</v>
      </c>
      <c r="B475" s="256">
        <v>8830431</v>
      </c>
      <c r="C475" s="256">
        <v>883043100</v>
      </c>
      <c r="D475" s="256" t="s">
        <v>538</v>
      </c>
      <c r="E475" s="256" t="s">
        <v>539</v>
      </c>
      <c r="F475" s="256" t="s">
        <v>814</v>
      </c>
      <c r="G475" s="256" t="s">
        <v>62</v>
      </c>
      <c r="H475" s="256"/>
      <c r="I475" s="257">
        <v>0</v>
      </c>
      <c r="J475" s="257">
        <v>0</v>
      </c>
      <c r="K475" s="257">
        <v>0</v>
      </c>
      <c r="L475" s="257">
        <v>0</v>
      </c>
      <c r="M475" s="257">
        <v>0</v>
      </c>
      <c r="N475" s="257">
        <v>0</v>
      </c>
      <c r="O475" s="257">
        <v>0</v>
      </c>
      <c r="P475" s="257">
        <v>0</v>
      </c>
      <c r="Q475" s="258">
        <v>0</v>
      </c>
    </row>
    <row r="476" spans="1:17">
      <c r="A476" s="256">
        <v>1</v>
      </c>
      <c r="B476" s="256">
        <v>8830437</v>
      </c>
      <c r="C476" s="256">
        <v>883043700</v>
      </c>
      <c r="D476" s="256" t="s">
        <v>538</v>
      </c>
      <c r="E476" s="256" t="s">
        <v>539</v>
      </c>
      <c r="F476" s="256" t="s">
        <v>814</v>
      </c>
      <c r="G476" s="256" t="s">
        <v>60</v>
      </c>
      <c r="H476" s="256"/>
      <c r="I476" s="257">
        <v>0</v>
      </c>
      <c r="J476" s="257">
        <v>0</v>
      </c>
      <c r="K476" s="257">
        <v>0</v>
      </c>
      <c r="L476" s="257">
        <v>0</v>
      </c>
      <c r="M476" s="257">
        <v>0</v>
      </c>
      <c r="N476" s="257">
        <v>0</v>
      </c>
      <c r="O476" s="257">
        <v>0</v>
      </c>
      <c r="P476" s="257">
        <v>0</v>
      </c>
      <c r="Q476" s="258">
        <v>0</v>
      </c>
    </row>
    <row r="477" spans="1:17">
      <c r="A477" s="256">
        <v>1</v>
      </c>
      <c r="B477" s="256">
        <v>8830439</v>
      </c>
      <c r="C477" s="256">
        <v>883043900</v>
      </c>
      <c r="D477" s="256" t="s">
        <v>538</v>
      </c>
      <c r="E477" s="256" t="s">
        <v>539</v>
      </c>
      <c r="F477" s="256" t="s">
        <v>814</v>
      </c>
      <c r="G477" s="256" t="s">
        <v>58</v>
      </c>
      <c r="H477" s="256"/>
      <c r="I477" s="257">
        <v>21080</v>
      </c>
      <c r="J477" s="257">
        <v>0</v>
      </c>
      <c r="K477" s="257">
        <v>0</v>
      </c>
      <c r="L477" s="257">
        <v>0</v>
      </c>
      <c r="M477" s="257">
        <v>0</v>
      </c>
      <c r="N477" s="257">
        <v>0</v>
      </c>
      <c r="O477" s="257">
        <v>21080</v>
      </c>
      <c r="P477" s="257">
        <v>0</v>
      </c>
      <c r="Q477" s="258">
        <v>0</v>
      </c>
    </row>
    <row r="478" spans="1:17">
      <c r="A478" s="256">
        <v>1</v>
      </c>
      <c r="B478" s="256">
        <v>8830440</v>
      </c>
      <c r="C478" s="256">
        <v>883044000</v>
      </c>
      <c r="D478" s="256" t="s">
        <v>538</v>
      </c>
      <c r="E478" s="256" t="s">
        <v>539</v>
      </c>
      <c r="F478" s="256" t="s">
        <v>814</v>
      </c>
      <c r="G478" s="256" t="s">
        <v>56</v>
      </c>
      <c r="H478" s="256"/>
      <c r="I478" s="257">
        <v>0</v>
      </c>
      <c r="J478" s="257">
        <v>0</v>
      </c>
      <c r="K478" s="257">
        <v>0</v>
      </c>
      <c r="L478" s="257">
        <v>0</v>
      </c>
      <c r="M478" s="257">
        <v>0</v>
      </c>
      <c r="N478" s="257">
        <v>0</v>
      </c>
      <c r="O478" s="257">
        <v>0</v>
      </c>
      <c r="P478" s="257">
        <v>0</v>
      </c>
      <c r="Q478" s="258">
        <v>0</v>
      </c>
    </row>
    <row r="479" spans="1:17">
      <c r="A479" s="256">
        <v>1</v>
      </c>
      <c r="B479" s="256">
        <v>8830441</v>
      </c>
      <c r="C479" s="256">
        <v>883044100</v>
      </c>
      <c r="D479" s="256" t="s">
        <v>538</v>
      </c>
      <c r="E479" s="256" t="s">
        <v>539</v>
      </c>
      <c r="F479" s="256" t="s">
        <v>814</v>
      </c>
      <c r="G479" s="256" t="s">
        <v>55</v>
      </c>
      <c r="H479" s="256"/>
      <c r="I479" s="257">
        <v>0</v>
      </c>
      <c r="J479" s="257">
        <v>0</v>
      </c>
      <c r="K479" s="257">
        <v>0</v>
      </c>
      <c r="L479" s="257">
        <v>0</v>
      </c>
      <c r="M479" s="257">
        <v>0</v>
      </c>
      <c r="N479" s="257">
        <v>0</v>
      </c>
      <c r="O479" s="257">
        <v>0</v>
      </c>
      <c r="P479" s="257">
        <v>0</v>
      </c>
      <c r="Q479" s="258">
        <v>0</v>
      </c>
    </row>
    <row r="480" spans="1:17">
      <c r="A480" s="256">
        <v>1</v>
      </c>
      <c r="B480" s="256">
        <v>8830442</v>
      </c>
      <c r="C480" s="256">
        <v>883044201</v>
      </c>
      <c r="D480" s="256" t="s">
        <v>538</v>
      </c>
      <c r="E480" s="256" t="s">
        <v>539</v>
      </c>
      <c r="F480" s="256" t="s">
        <v>814</v>
      </c>
      <c r="G480" s="256" t="s">
        <v>53</v>
      </c>
      <c r="H480" s="256" t="s">
        <v>108</v>
      </c>
      <c r="I480" s="257">
        <v>2082000</v>
      </c>
      <c r="J480" s="257">
        <v>0</v>
      </c>
      <c r="K480" s="257">
        <v>0</v>
      </c>
      <c r="L480" s="257">
        <v>0</v>
      </c>
      <c r="M480" s="257">
        <v>0</v>
      </c>
      <c r="N480" s="257">
        <v>0</v>
      </c>
      <c r="O480" s="257">
        <v>0</v>
      </c>
      <c r="P480" s="257">
        <v>2082000</v>
      </c>
      <c r="Q480" s="258">
        <v>0</v>
      </c>
    </row>
    <row r="481" spans="1:17">
      <c r="A481" s="256">
        <v>1</v>
      </c>
      <c r="B481" s="256">
        <v>8830442</v>
      </c>
      <c r="C481" s="256">
        <v>883044202</v>
      </c>
      <c r="D481" s="256" t="s">
        <v>538</v>
      </c>
      <c r="E481" s="256" t="s">
        <v>539</v>
      </c>
      <c r="F481" s="256" t="s">
        <v>814</v>
      </c>
      <c r="G481" s="256" t="s">
        <v>53</v>
      </c>
      <c r="H481" s="256" t="s">
        <v>106</v>
      </c>
      <c r="I481" s="257">
        <v>423000</v>
      </c>
      <c r="J481" s="257">
        <v>0</v>
      </c>
      <c r="K481" s="257">
        <v>0</v>
      </c>
      <c r="L481" s="257">
        <v>0</v>
      </c>
      <c r="M481" s="257">
        <v>0</v>
      </c>
      <c r="N481" s="257">
        <v>0</v>
      </c>
      <c r="O481" s="257">
        <v>0</v>
      </c>
      <c r="P481" s="257">
        <v>423000</v>
      </c>
      <c r="Q481" s="258">
        <v>0</v>
      </c>
    </row>
    <row r="482" spans="1:17">
      <c r="A482" s="256">
        <v>1</v>
      </c>
      <c r="B482" s="256">
        <v>8830601</v>
      </c>
      <c r="C482" s="256">
        <v>883060102</v>
      </c>
      <c r="D482" s="256" t="s">
        <v>538</v>
      </c>
      <c r="E482" s="256" t="s">
        <v>539</v>
      </c>
      <c r="F482" s="256" t="s">
        <v>815</v>
      </c>
      <c r="G482" s="256" t="s">
        <v>112</v>
      </c>
      <c r="H482" s="256" t="s">
        <v>737</v>
      </c>
      <c r="I482" s="257">
        <v>0</v>
      </c>
      <c r="J482" s="257">
        <v>0</v>
      </c>
      <c r="K482" s="257">
        <v>0</v>
      </c>
      <c r="L482" s="257">
        <v>0</v>
      </c>
      <c r="M482" s="257">
        <v>0</v>
      </c>
      <c r="N482" s="257">
        <v>0</v>
      </c>
      <c r="O482" s="257">
        <v>0</v>
      </c>
      <c r="P482" s="257">
        <v>0</v>
      </c>
      <c r="Q482" s="258">
        <v>0</v>
      </c>
    </row>
    <row r="483" spans="1:17">
      <c r="A483" s="256">
        <v>1</v>
      </c>
      <c r="B483" s="256">
        <v>8830601</v>
      </c>
      <c r="C483" s="256">
        <v>883060103</v>
      </c>
      <c r="D483" s="256" t="s">
        <v>538</v>
      </c>
      <c r="E483" s="256" t="s">
        <v>539</v>
      </c>
      <c r="F483" s="256" t="s">
        <v>815</v>
      </c>
      <c r="G483" s="256" t="s">
        <v>112</v>
      </c>
      <c r="H483" s="256" t="s">
        <v>738</v>
      </c>
      <c r="I483" s="257">
        <v>0</v>
      </c>
      <c r="J483" s="257">
        <v>0</v>
      </c>
      <c r="K483" s="257">
        <v>0</v>
      </c>
      <c r="L483" s="257">
        <v>0</v>
      </c>
      <c r="M483" s="257">
        <v>0</v>
      </c>
      <c r="N483" s="257">
        <v>0</v>
      </c>
      <c r="O483" s="257">
        <v>0</v>
      </c>
      <c r="P483" s="257">
        <v>0</v>
      </c>
      <c r="Q483" s="258">
        <v>0</v>
      </c>
    </row>
    <row r="484" spans="1:17">
      <c r="A484" s="256">
        <v>1</v>
      </c>
      <c r="B484" s="256">
        <v>8830601</v>
      </c>
      <c r="C484" s="256">
        <v>883060104</v>
      </c>
      <c r="D484" s="256" t="s">
        <v>538</v>
      </c>
      <c r="E484" s="256" t="s">
        <v>539</v>
      </c>
      <c r="F484" s="256" t="s">
        <v>815</v>
      </c>
      <c r="G484" s="256" t="s">
        <v>112</v>
      </c>
      <c r="H484" s="256" t="s">
        <v>739</v>
      </c>
      <c r="I484" s="257">
        <v>0</v>
      </c>
      <c r="J484" s="257">
        <v>0</v>
      </c>
      <c r="K484" s="257">
        <v>0</v>
      </c>
      <c r="L484" s="257">
        <v>0</v>
      </c>
      <c r="M484" s="257">
        <v>0</v>
      </c>
      <c r="N484" s="257">
        <v>0</v>
      </c>
      <c r="O484" s="257">
        <v>0</v>
      </c>
      <c r="P484" s="257">
        <v>0</v>
      </c>
      <c r="Q484" s="258">
        <v>0</v>
      </c>
    </row>
    <row r="485" spans="1:17">
      <c r="A485" s="236">
        <v>1</v>
      </c>
      <c r="B485" s="236">
        <v>8830601</v>
      </c>
      <c r="C485" s="236">
        <v>883060105</v>
      </c>
      <c r="D485" s="236" t="s">
        <v>538</v>
      </c>
      <c r="E485" s="236" t="s">
        <v>539</v>
      </c>
      <c r="F485" s="236" t="s">
        <v>815</v>
      </c>
      <c r="G485" s="236" t="s">
        <v>112</v>
      </c>
      <c r="H485" s="236" t="s">
        <v>740</v>
      </c>
      <c r="I485" s="257">
        <v>2110500</v>
      </c>
      <c r="J485" s="257">
        <v>0</v>
      </c>
      <c r="K485" s="257">
        <v>0</v>
      </c>
      <c r="L485" s="257">
        <v>0</v>
      </c>
      <c r="M485" s="257">
        <v>0</v>
      </c>
      <c r="N485" s="257">
        <v>0</v>
      </c>
      <c r="O485" s="257">
        <v>0</v>
      </c>
      <c r="P485" s="257">
        <v>2110500</v>
      </c>
      <c r="Q485" s="258">
        <v>0</v>
      </c>
    </row>
    <row r="486" spans="1:17">
      <c r="A486" s="256">
        <v>1</v>
      </c>
      <c r="B486" s="256">
        <v>8830602</v>
      </c>
      <c r="C486" s="256">
        <v>883060202</v>
      </c>
      <c r="D486" s="256" t="s">
        <v>538</v>
      </c>
      <c r="E486" s="256" t="s">
        <v>539</v>
      </c>
      <c r="F486" s="256" t="s">
        <v>815</v>
      </c>
      <c r="G486" s="256" t="s">
        <v>110</v>
      </c>
      <c r="H486" s="256" t="s">
        <v>741</v>
      </c>
      <c r="I486" s="257">
        <v>517574247</v>
      </c>
      <c r="J486" s="257">
        <v>0</v>
      </c>
      <c r="K486" s="257">
        <v>0</v>
      </c>
      <c r="L486" s="257">
        <v>0</v>
      </c>
      <c r="M486" s="257">
        <v>0</v>
      </c>
      <c r="N486" s="257">
        <v>0</v>
      </c>
      <c r="O486" s="257">
        <v>0</v>
      </c>
      <c r="P486" s="257">
        <v>517574247</v>
      </c>
      <c r="Q486" s="258">
        <v>0</v>
      </c>
    </row>
    <row r="487" spans="1:17">
      <c r="A487" s="256">
        <v>1</v>
      </c>
      <c r="B487" s="256">
        <v>8830603</v>
      </c>
      <c r="C487" s="256">
        <v>883060301</v>
      </c>
      <c r="D487" s="256" t="s">
        <v>538</v>
      </c>
      <c r="E487" s="256" t="s">
        <v>539</v>
      </c>
      <c r="F487" s="256" t="s">
        <v>815</v>
      </c>
      <c r="G487" s="256" t="s">
        <v>108</v>
      </c>
      <c r="H487" s="256" t="s">
        <v>742</v>
      </c>
      <c r="I487" s="257">
        <v>54000739</v>
      </c>
      <c r="J487" s="257">
        <v>0</v>
      </c>
      <c r="K487" s="257">
        <v>0</v>
      </c>
      <c r="L487" s="257">
        <v>0</v>
      </c>
      <c r="M487" s="257">
        <v>0</v>
      </c>
      <c r="N487" s="257">
        <v>0</v>
      </c>
      <c r="O487" s="257">
        <v>0</v>
      </c>
      <c r="P487" s="257">
        <v>54000739</v>
      </c>
      <c r="Q487" s="258">
        <v>0</v>
      </c>
    </row>
    <row r="488" spans="1:17">
      <c r="A488" s="256">
        <v>1</v>
      </c>
      <c r="B488" s="256">
        <v>8830603</v>
      </c>
      <c r="C488" s="256">
        <v>883060302</v>
      </c>
      <c r="D488" s="256" t="s">
        <v>538</v>
      </c>
      <c r="E488" s="256" t="s">
        <v>539</v>
      </c>
      <c r="F488" s="256" t="s">
        <v>815</v>
      </c>
      <c r="G488" s="256" t="s">
        <v>108</v>
      </c>
      <c r="H488" s="256" t="s">
        <v>743</v>
      </c>
      <c r="I488" s="257">
        <v>22464300</v>
      </c>
      <c r="J488" s="257">
        <v>0</v>
      </c>
      <c r="K488" s="257">
        <v>0</v>
      </c>
      <c r="L488" s="257">
        <v>0</v>
      </c>
      <c r="M488" s="257">
        <v>0</v>
      </c>
      <c r="N488" s="257">
        <v>0</v>
      </c>
      <c r="O488" s="257">
        <v>0</v>
      </c>
      <c r="P488" s="257">
        <v>22464300</v>
      </c>
      <c r="Q488" s="258">
        <v>0</v>
      </c>
    </row>
    <row r="489" spans="1:17">
      <c r="A489" s="256">
        <v>1</v>
      </c>
      <c r="B489" s="256">
        <v>8830603</v>
      </c>
      <c r="C489" s="256">
        <v>883060303</v>
      </c>
      <c r="D489" s="256" t="s">
        <v>538</v>
      </c>
      <c r="E489" s="256" t="s">
        <v>539</v>
      </c>
      <c r="F489" s="256" t="s">
        <v>815</v>
      </c>
      <c r="G489" s="256" t="s">
        <v>108</v>
      </c>
      <c r="H489" s="256" t="s">
        <v>744</v>
      </c>
      <c r="I489" s="257">
        <v>180977648</v>
      </c>
      <c r="J489" s="257">
        <v>0</v>
      </c>
      <c r="K489" s="257">
        <v>0</v>
      </c>
      <c r="L489" s="257">
        <v>0</v>
      </c>
      <c r="M489" s="257">
        <v>0</v>
      </c>
      <c r="N489" s="257">
        <v>0</v>
      </c>
      <c r="O489" s="257">
        <v>0</v>
      </c>
      <c r="P489" s="257">
        <v>180977648</v>
      </c>
      <c r="Q489" s="258">
        <v>0</v>
      </c>
    </row>
    <row r="490" spans="1:17">
      <c r="A490" s="256">
        <v>1</v>
      </c>
      <c r="B490" s="256">
        <v>8830603</v>
      </c>
      <c r="C490" s="256">
        <v>883060304</v>
      </c>
      <c r="D490" s="256" t="s">
        <v>538</v>
      </c>
      <c r="E490" s="256" t="s">
        <v>539</v>
      </c>
      <c r="F490" s="256" t="s">
        <v>815</v>
      </c>
      <c r="G490" s="256" t="s">
        <v>108</v>
      </c>
      <c r="H490" s="256" t="s">
        <v>745</v>
      </c>
      <c r="I490" s="257">
        <v>11930100</v>
      </c>
      <c r="J490" s="257">
        <v>0</v>
      </c>
      <c r="K490" s="257">
        <v>0</v>
      </c>
      <c r="L490" s="257">
        <v>0</v>
      </c>
      <c r="M490" s="257">
        <v>0</v>
      </c>
      <c r="N490" s="257">
        <v>11930100</v>
      </c>
      <c r="O490" s="257">
        <v>0</v>
      </c>
      <c r="P490" s="257">
        <v>0</v>
      </c>
      <c r="Q490" s="258">
        <v>0</v>
      </c>
    </row>
    <row r="491" spans="1:17">
      <c r="A491" s="256">
        <v>1</v>
      </c>
      <c r="B491" s="256">
        <v>8830603</v>
      </c>
      <c r="C491" s="256">
        <v>883060305</v>
      </c>
      <c r="D491" s="256" t="s">
        <v>538</v>
      </c>
      <c r="E491" s="256" t="s">
        <v>539</v>
      </c>
      <c r="F491" s="256" t="s">
        <v>815</v>
      </c>
      <c r="G491" s="256" t="s">
        <v>108</v>
      </c>
      <c r="H491" s="256" t="s">
        <v>746</v>
      </c>
      <c r="I491" s="257">
        <v>0</v>
      </c>
      <c r="J491" s="257">
        <v>0</v>
      </c>
      <c r="K491" s="257">
        <v>0</v>
      </c>
      <c r="L491" s="257">
        <v>0</v>
      </c>
      <c r="M491" s="257">
        <v>0</v>
      </c>
      <c r="N491" s="257">
        <v>0</v>
      </c>
      <c r="O491" s="257">
        <v>0</v>
      </c>
      <c r="P491" s="257">
        <v>0</v>
      </c>
      <c r="Q491" s="258">
        <v>0</v>
      </c>
    </row>
    <row r="492" spans="1:17">
      <c r="A492" s="256">
        <v>1</v>
      </c>
      <c r="B492" s="256">
        <v>8830603</v>
      </c>
      <c r="C492" s="256">
        <v>883060306</v>
      </c>
      <c r="D492" s="256" t="s">
        <v>538</v>
      </c>
      <c r="E492" s="256" t="s">
        <v>539</v>
      </c>
      <c r="F492" s="256" t="s">
        <v>815</v>
      </c>
      <c r="G492" s="256" t="s">
        <v>108</v>
      </c>
      <c r="H492" s="256" t="s">
        <v>747</v>
      </c>
      <c r="I492" s="257">
        <v>0</v>
      </c>
      <c r="J492" s="257">
        <v>0</v>
      </c>
      <c r="K492" s="257">
        <v>0</v>
      </c>
      <c r="L492" s="257">
        <v>0</v>
      </c>
      <c r="M492" s="257">
        <v>0</v>
      </c>
      <c r="N492" s="257">
        <v>0</v>
      </c>
      <c r="O492" s="257">
        <v>0</v>
      </c>
      <c r="P492" s="257">
        <v>0</v>
      </c>
      <c r="Q492" s="258">
        <v>0</v>
      </c>
    </row>
    <row r="493" spans="1:17">
      <c r="A493" s="256">
        <v>1</v>
      </c>
      <c r="B493" s="256">
        <v>8830603</v>
      </c>
      <c r="C493" s="256">
        <v>883060307</v>
      </c>
      <c r="D493" s="256" t="s">
        <v>538</v>
      </c>
      <c r="E493" s="256" t="s">
        <v>539</v>
      </c>
      <c r="F493" s="256" t="s">
        <v>815</v>
      </c>
      <c r="G493" s="256" t="s">
        <v>108</v>
      </c>
      <c r="H493" s="256" t="s">
        <v>748</v>
      </c>
      <c r="I493" s="257">
        <v>39833893</v>
      </c>
      <c r="J493" s="257">
        <v>0</v>
      </c>
      <c r="K493" s="257">
        <v>0</v>
      </c>
      <c r="L493" s="257">
        <v>0</v>
      </c>
      <c r="M493" s="257">
        <v>0</v>
      </c>
      <c r="N493" s="257">
        <v>0</v>
      </c>
      <c r="O493" s="257">
        <v>0</v>
      </c>
      <c r="P493" s="257">
        <v>39833893</v>
      </c>
      <c r="Q493" s="258">
        <v>0</v>
      </c>
    </row>
    <row r="494" spans="1:17">
      <c r="A494" s="256">
        <v>1</v>
      </c>
      <c r="B494" s="256">
        <v>8830603</v>
      </c>
      <c r="C494" s="256">
        <v>883060310</v>
      </c>
      <c r="D494" s="256" t="s">
        <v>538</v>
      </c>
      <c r="E494" s="256" t="s">
        <v>539</v>
      </c>
      <c r="F494" s="256" t="s">
        <v>815</v>
      </c>
      <c r="G494" s="256" t="s">
        <v>108</v>
      </c>
      <c r="H494" s="256" t="s">
        <v>749</v>
      </c>
      <c r="I494" s="257">
        <v>108226437</v>
      </c>
      <c r="J494" s="257">
        <v>0</v>
      </c>
      <c r="K494" s="257">
        <v>0</v>
      </c>
      <c r="L494" s="257">
        <v>0</v>
      </c>
      <c r="M494" s="257">
        <v>0</v>
      </c>
      <c r="N494" s="257">
        <v>0</v>
      </c>
      <c r="O494" s="257">
        <v>0</v>
      </c>
      <c r="P494" s="257">
        <v>108226437</v>
      </c>
      <c r="Q494" s="258">
        <v>0</v>
      </c>
    </row>
    <row r="495" spans="1:17">
      <c r="A495" s="256">
        <v>1</v>
      </c>
      <c r="B495" s="256">
        <v>8830603</v>
      </c>
      <c r="C495" s="256">
        <v>883060311</v>
      </c>
      <c r="D495" s="256" t="s">
        <v>538</v>
      </c>
      <c r="E495" s="256" t="s">
        <v>539</v>
      </c>
      <c r="F495" s="256" t="s">
        <v>815</v>
      </c>
      <c r="G495" s="256" t="s">
        <v>108</v>
      </c>
      <c r="H495" s="256" t="s">
        <v>750</v>
      </c>
      <c r="I495" s="257">
        <v>9099292</v>
      </c>
      <c r="J495" s="257">
        <v>0</v>
      </c>
      <c r="K495" s="257">
        <v>0</v>
      </c>
      <c r="L495" s="257">
        <v>0</v>
      </c>
      <c r="M495" s="257">
        <v>0</v>
      </c>
      <c r="N495" s="257">
        <v>0</v>
      </c>
      <c r="O495" s="257">
        <v>0</v>
      </c>
      <c r="P495" s="257">
        <v>9099292</v>
      </c>
      <c r="Q495" s="258">
        <v>0</v>
      </c>
    </row>
    <row r="496" spans="1:17">
      <c r="A496" s="256">
        <v>1</v>
      </c>
      <c r="B496" s="256">
        <v>8830603</v>
      </c>
      <c r="C496" s="256">
        <v>883060312</v>
      </c>
      <c r="D496" s="256" t="s">
        <v>538</v>
      </c>
      <c r="E496" s="256" t="s">
        <v>539</v>
      </c>
      <c r="F496" s="256" t="s">
        <v>815</v>
      </c>
      <c r="G496" s="256" t="s">
        <v>108</v>
      </c>
      <c r="H496" s="256" t="s">
        <v>816</v>
      </c>
      <c r="I496" s="257">
        <v>0</v>
      </c>
      <c r="J496" s="257">
        <v>0</v>
      </c>
      <c r="K496" s="257">
        <v>0</v>
      </c>
      <c r="L496" s="257">
        <v>0</v>
      </c>
      <c r="M496" s="257">
        <v>0</v>
      </c>
      <c r="N496" s="257">
        <v>0</v>
      </c>
      <c r="O496" s="257">
        <v>0</v>
      </c>
      <c r="P496" s="257">
        <v>0</v>
      </c>
      <c r="Q496" s="258">
        <v>0</v>
      </c>
    </row>
    <row r="497" spans="1:17">
      <c r="A497" s="256">
        <v>1</v>
      </c>
      <c r="B497" s="256">
        <v>8830603</v>
      </c>
      <c r="C497" s="256">
        <v>883060314</v>
      </c>
      <c r="D497" s="256" t="s">
        <v>538</v>
      </c>
      <c r="E497" s="256" t="s">
        <v>539</v>
      </c>
      <c r="F497" s="256" t="s">
        <v>815</v>
      </c>
      <c r="G497" s="256" t="s">
        <v>108</v>
      </c>
      <c r="H497" s="256" t="s">
        <v>751</v>
      </c>
      <c r="I497" s="257">
        <v>6768371</v>
      </c>
      <c r="J497" s="257">
        <v>0</v>
      </c>
      <c r="K497" s="257">
        <v>0</v>
      </c>
      <c r="L497" s="257">
        <v>0</v>
      </c>
      <c r="M497" s="257">
        <v>0</v>
      </c>
      <c r="N497" s="257">
        <v>0</v>
      </c>
      <c r="O497" s="257">
        <v>0</v>
      </c>
      <c r="P497" s="257">
        <v>6768371</v>
      </c>
      <c r="Q497" s="258">
        <v>0</v>
      </c>
    </row>
    <row r="498" spans="1:17">
      <c r="A498" s="256">
        <v>1</v>
      </c>
      <c r="B498" s="256">
        <v>8830603</v>
      </c>
      <c r="C498" s="256">
        <v>883060315</v>
      </c>
      <c r="D498" s="256" t="s">
        <v>538</v>
      </c>
      <c r="E498" s="256" t="s">
        <v>539</v>
      </c>
      <c r="F498" s="256" t="s">
        <v>815</v>
      </c>
      <c r="G498" s="256" t="s">
        <v>108</v>
      </c>
      <c r="H498" s="256" t="s">
        <v>752</v>
      </c>
      <c r="I498" s="257">
        <v>11890000</v>
      </c>
      <c r="J498" s="257">
        <v>0</v>
      </c>
      <c r="K498" s="257">
        <v>0</v>
      </c>
      <c r="L498" s="257">
        <v>0</v>
      </c>
      <c r="M498" s="257">
        <v>0</v>
      </c>
      <c r="N498" s="257">
        <v>0</v>
      </c>
      <c r="O498" s="257">
        <v>0</v>
      </c>
      <c r="P498" s="257">
        <v>11890000</v>
      </c>
      <c r="Q498" s="258">
        <v>0</v>
      </c>
    </row>
    <row r="499" spans="1:17">
      <c r="A499" s="256">
        <v>1</v>
      </c>
      <c r="B499" s="256">
        <v>8830604</v>
      </c>
      <c r="C499" s="256">
        <v>883060401</v>
      </c>
      <c r="D499" s="256" t="s">
        <v>538</v>
      </c>
      <c r="E499" s="256" t="s">
        <v>539</v>
      </c>
      <c r="F499" s="256" t="s">
        <v>815</v>
      </c>
      <c r="G499" s="256" t="s">
        <v>106</v>
      </c>
      <c r="H499" s="256" t="s">
        <v>755</v>
      </c>
      <c r="I499" s="257">
        <v>134361225</v>
      </c>
      <c r="J499" s="257">
        <v>0</v>
      </c>
      <c r="K499" s="257">
        <v>0</v>
      </c>
      <c r="L499" s="257">
        <v>0</v>
      </c>
      <c r="M499" s="257">
        <v>0</v>
      </c>
      <c r="N499" s="257">
        <v>0</v>
      </c>
      <c r="O499" s="257">
        <v>134361225</v>
      </c>
      <c r="P499" s="257">
        <v>0</v>
      </c>
      <c r="Q499" s="258">
        <v>0</v>
      </c>
    </row>
    <row r="500" spans="1:17">
      <c r="A500" s="256">
        <v>1</v>
      </c>
      <c r="B500" s="256">
        <v>8830604</v>
      </c>
      <c r="C500" s="256">
        <v>883060402</v>
      </c>
      <c r="D500" s="256" t="s">
        <v>538</v>
      </c>
      <c r="E500" s="256" t="s">
        <v>539</v>
      </c>
      <c r="F500" s="256" t="s">
        <v>815</v>
      </c>
      <c r="G500" s="256" t="s">
        <v>106</v>
      </c>
      <c r="H500" s="256" t="s">
        <v>756</v>
      </c>
      <c r="I500" s="257">
        <v>780657</v>
      </c>
      <c r="J500" s="257">
        <v>0</v>
      </c>
      <c r="K500" s="257">
        <v>0</v>
      </c>
      <c r="L500" s="257">
        <v>0</v>
      </c>
      <c r="M500" s="257">
        <v>0</v>
      </c>
      <c r="N500" s="257">
        <v>0</v>
      </c>
      <c r="O500" s="257">
        <v>0</v>
      </c>
      <c r="P500" s="257">
        <v>780657</v>
      </c>
      <c r="Q500" s="258">
        <v>0</v>
      </c>
    </row>
    <row r="501" spans="1:17">
      <c r="A501" s="256">
        <v>1</v>
      </c>
      <c r="B501" s="256">
        <v>8830604</v>
      </c>
      <c r="C501" s="256">
        <v>883060403</v>
      </c>
      <c r="D501" s="256" t="s">
        <v>538</v>
      </c>
      <c r="E501" s="256" t="s">
        <v>539</v>
      </c>
      <c r="F501" s="256" t="s">
        <v>815</v>
      </c>
      <c r="G501" s="256" t="s">
        <v>106</v>
      </c>
      <c r="H501" s="256" t="s">
        <v>757</v>
      </c>
      <c r="I501" s="257">
        <v>0</v>
      </c>
      <c r="J501" s="257">
        <v>0</v>
      </c>
      <c r="K501" s="257">
        <v>0</v>
      </c>
      <c r="L501" s="257">
        <v>0</v>
      </c>
      <c r="M501" s="257">
        <v>0</v>
      </c>
      <c r="N501" s="257">
        <v>0</v>
      </c>
      <c r="O501" s="257">
        <v>0</v>
      </c>
      <c r="P501" s="257">
        <v>0</v>
      </c>
      <c r="Q501" s="258">
        <v>0</v>
      </c>
    </row>
    <row r="502" spans="1:17">
      <c r="A502" s="256">
        <v>1</v>
      </c>
      <c r="B502" s="256">
        <v>8830604</v>
      </c>
      <c r="C502" s="256">
        <v>883060405</v>
      </c>
      <c r="D502" s="256" t="s">
        <v>538</v>
      </c>
      <c r="E502" s="256" t="s">
        <v>539</v>
      </c>
      <c r="F502" s="256" t="s">
        <v>815</v>
      </c>
      <c r="G502" s="256" t="s">
        <v>106</v>
      </c>
      <c r="H502" s="256" t="s">
        <v>758</v>
      </c>
      <c r="I502" s="257">
        <v>0</v>
      </c>
      <c r="J502" s="257">
        <v>0</v>
      </c>
      <c r="K502" s="257">
        <v>0</v>
      </c>
      <c r="L502" s="257">
        <v>0</v>
      </c>
      <c r="M502" s="257">
        <v>0</v>
      </c>
      <c r="N502" s="257">
        <v>0</v>
      </c>
      <c r="O502" s="257">
        <v>0</v>
      </c>
      <c r="P502" s="257">
        <v>0</v>
      </c>
      <c r="Q502" s="258">
        <v>0</v>
      </c>
    </row>
    <row r="503" spans="1:17">
      <c r="A503" s="256">
        <v>1</v>
      </c>
      <c r="B503" s="256">
        <v>8830604</v>
      </c>
      <c r="C503" s="256">
        <v>883060406</v>
      </c>
      <c r="D503" s="256" t="s">
        <v>538</v>
      </c>
      <c r="E503" s="256" t="s">
        <v>539</v>
      </c>
      <c r="F503" s="256" t="s">
        <v>815</v>
      </c>
      <c r="G503" s="256" t="s">
        <v>106</v>
      </c>
      <c r="H503" s="256" t="s">
        <v>759</v>
      </c>
      <c r="I503" s="257">
        <v>466434</v>
      </c>
      <c r="J503" s="257">
        <v>0</v>
      </c>
      <c r="K503" s="257">
        <v>0</v>
      </c>
      <c r="L503" s="257">
        <v>0</v>
      </c>
      <c r="M503" s="257">
        <v>0</v>
      </c>
      <c r="N503" s="257">
        <v>0</v>
      </c>
      <c r="O503" s="257">
        <v>466434</v>
      </c>
      <c r="P503" s="257">
        <v>0</v>
      </c>
      <c r="Q503" s="258">
        <v>0</v>
      </c>
    </row>
    <row r="504" spans="1:17">
      <c r="A504" s="256">
        <v>1</v>
      </c>
      <c r="B504" s="256">
        <v>8830604</v>
      </c>
      <c r="C504" s="256">
        <v>883060407</v>
      </c>
      <c r="D504" s="256" t="s">
        <v>538</v>
      </c>
      <c r="E504" s="256" t="s">
        <v>539</v>
      </c>
      <c r="F504" s="256" t="s">
        <v>815</v>
      </c>
      <c r="G504" s="256" t="s">
        <v>106</v>
      </c>
      <c r="H504" s="256" t="s">
        <v>760</v>
      </c>
      <c r="I504" s="257">
        <v>1626549</v>
      </c>
      <c r="J504" s="257">
        <v>0</v>
      </c>
      <c r="K504" s="257">
        <v>0</v>
      </c>
      <c r="L504" s="257">
        <v>0</v>
      </c>
      <c r="M504" s="257">
        <v>0</v>
      </c>
      <c r="N504" s="257">
        <v>0</v>
      </c>
      <c r="O504" s="257">
        <v>1626549</v>
      </c>
      <c r="P504" s="257">
        <v>0</v>
      </c>
      <c r="Q504" s="258">
        <v>0</v>
      </c>
    </row>
    <row r="505" spans="1:17">
      <c r="A505" s="256">
        <v>1</v>
      </c>
      <c r="B505" s="256">
        <v>8830604</v>
      </c>
      <c r="C505" s="256">
        <v>883060408</v>
      </c>
      <c r="D505" s="256" t="s">
        <v>538</v>
      </c>
      <c r="E505" s="256" t="s">
        <v>539</v>
      </c>
      <c r="F505" s="256" t="s">
        <v>815</v>
      </c>
      <c r="G505" s="256" t="s">
        <v>106</v>
      </c>
      <c r="H505" s="256" t="s">
        <v>761</v>
      </c>
      <c r="I505" s="257">
        <v>63882</v>
      </c>
      <c r="J505" s="257">
        <v>0</v>
      </c>
      <c r="K505" s="257">
        <v>0</v>
      </c>
      <c r="L505" s="257">
        <v>0</v>
      </c>
      <c r="M505" s="257">
        <v>0</v>
      </c>
      <c r="N505" s="257">
        <v>0</v>
      </c>
      <c r="O505" s="257">
        <v>63882</v>
      </c>
      <c r="P505" s="257">
        <v>0</v>
      </c>
      <c r="Q505" s="258">
        <v>0</v>
      </c>
    </row>
    <row r="506" spans="1:17">
      <c r="A506" s="256">
        <v>1</v>
      </c>
      <c r="B506" s="256">
        <v>8830604</v>
      </c>
      <c r="C506" s="256">
        <v>883060410</v>
      </c>
      <c r="D506" s="256" t="s">
        <v>538</v>
      </c>
      <c r="E506" s="256" t="s">
        <v>539</v>
      </c>
      <c r="F506" s="256" t="s">
        <v>815</v>
      </c>
      <c r="G506" s="256" t="s">
        <v>106</v>
      </c>
      <c r="H506" s="256" t="s">
        <v>762</v>
      </c>
      <c r="I506" s="257">
        <v>50675356</v>
      </c>
      <c r="J506" s="257">
        <v>0</v>
      </c>
      <c r="K506" s="257">
        <v>0</v>
      </c>
      <c r="L506" s="257">
        <v>0</v>
      </c>
      <c r="M506" s="257">
        <v>0</v>
      </c>
      <c r="N506" s="257">
        <v>0</v>
      </c>
      <c r="O506" s="257">
        <v>50675356</v>
      </c>
      <c r="P506" s="257">
        <v>0</v>
      </c>
      <c r="Q506" s="258">
        <v>0</v>
      </c>
    </row>
    <row r="507" spans="1:17">
      <c r="A507" s="256">
        <v>1</v>
      </c>
      <c r="B507" s="256">
        <v>8830604</v>
      </c>
      <c r="C507" s="256">
        <v>883060411</v>
      </c>
      <c r="D507" s="256" t="s">
        <v>538</v>
      </c>
      <c r="E507" s="256" t="s">
        <v>539</v>
      </c>
      <c r="F507" s="256" t="s">
        <v>815</v>
      </c>
      <c r="G507" s="256" t="s">
        <v>106</v>
      </c>
      <c r="H507" s="256" t="s">
        <v>763</v>
      </c>
      <c r="I507" s="257">
        <v>14667</v>
      </c>
      <c r="J507" s="257">
        <v>0</v>
      </c>
      <c r="K507" s="257">
        <v>0</v>
      </c>
      <c r="L507" s="257">
        <v>0</v>
      </c>
      <c r="M507" s="257">
        <v>0</v>
      </c>
      <c r="N507" s="257">
        <v>0</v>
      </c>
      <c r="O507" s="257">
        <v>14667</v>
      </c>
      <c r="P507" s="257">
        <v>0</v>
      </c>
      <c r="Q507" s="258">
        <v>0</v>
      </c>
    </row>
    <row r="508" spans="1:17">
      <c r="A508" s="256">
        <v>1</v>
      </c>
      <c r="B508" s="256">
        <v>8830605</v>
      </c>
      <c r="C508" s="256">
        <v>883060500</v>
      </c>
      <c r="D508" s="256" t="s">
        <v>538</v>
      </c>
      <c r="E508" s="256" t="s">
        <v>539</v>
      </c>
      <c r="F508" s="256" t="s">
        <v>815</v>
      </c>
      <c r="G508" s="256" t="s">
        <v>104</v>
      </c>
      <c r="H508" s="256"/>
      <c r="I508" s="257">
        <v>0</v>
      </c>
      <c r="J508" s="257">
        <v>0</v>
      </c>
      <c r="K508" s="257">
        <v>0</v>
      </c>
      <c r="L508" s="257">
        <v>0</v>
      </c>
      <c r="M508" s="257">
        <v>0</v>
      </c>
      <c r="N508" s="257">
        <v>0</v>
      </c>
      <c r="O508" s="257">
        <v>0</v>
      </c>
      <c r="P508" s="257">
        <v>0</v>
      </c>
      <c r="Q508" s="258">
        <v>0</v>
      </c>
    </row>
    <row r="509" spans="1:17">
      <c r="A509" s="256">
        <v>1</v>
      </c>
      <c r="B509" s="256">
        <v>8830607</v>
      </c>
      <c r="C509" s="256">
        <v>883060700</v>
      </c>
      <c r="D509" s="256" t="s">
        <v>538</v>
      </c>
      <c r="E509" s="256" t="s">
        <v>539</v>
      </c>
      <c r="F509" s="256" t="s">
        <v>815</v>
      </c>
      <c r="G509" s="256" t="s">
        <v>102</v>
      </c>
      <c r="H509" s="256"/>
      <c r="I509" s="257">
        <v>0</v>
      </c>
      <c r="J509" s="257">
        <v>0</v>
      </c>
      <c r="K509" s="257">
        <v>0</v>
      </c>
      <c r="L509" s="257">
        <v>0</v>
      </c>
      <c r="M509" s="257">
        <v>0</v>
      </c>
      <c r="N509" s="257">
        <v>0</v>
      </c>
      <c r="O509" s="257">
        <v>0</v>
      </c>
      <c r="P509" s="257">
        <v>0</v>
      </c>
      <c r="Q509" s="258">
        <v>0</v>
      </c>
    </row>
    <row r="510" spans="1:17">
      <c r="A510" s="256">
        <v>1</v>
      </c>
      <c r="B510" s="256">
        <v>8830608</v>
      </c>
      <c r="C510" s="256">
        <v>883060800</v>
      </c>
      <c r="D510" s="256" t="s">
        <v>538</v>
      </c>
      <c r="E510" s="256" t="s">
        <v>539</v>
      </c>
      <c r="F510" s="256" t="s">
        <v>815</v>
      </c>
      <c r="G510" s="256" t="s">
        <v>100</v>
      </c>
      <c r="H510" s="256"/>
      <c r="I510" s="257">
        <v>0</v>
      </c>
      <c r="J510" s="257">
        <v>0</v>
      </c>
      <c r="K510" s="257">
        <v>0</v>
      </c>
      <c r="L510" s="257">
        <v>0</v>
      </c>
      <c r="M510" s="257">
        <v>0</v>
      </c>
      <c r="N510" s="257">
        <v>0</v>
      </c>
      <c r="O510" s="257">
        <v>0</v>
      </c>
      <c r="P510" s="257">
        <v>0</v>
      </c>
      <c r="Q510" s="258">
        <v>0</v>
      </c>
    </row>
    <row r="511" spans="1:17">
      <c r="A511" s="256">
        <v>1</v>
      </c>
      <c r="B511" s="256">
        <v>8830610</v>
      </c>
      <c r="C511" s="256">
        <v>883061001</v>
      </c>
      <c r="D511" s="256" t="s">
        <v>538</v>
      </c>
      <c r="E511" s="256" t="s">
        <v>539</v>
      </c>
      <c r="F511" s="256" t="s">
        <v>815</v>
      </c>
      <c r="G511" s="256" t="s">
        <v>764</v>
      </c>
      <c r="H511" s="256" t="s">
        <v>98</v>
      </c>
      <c r="I511" s="257">
        <v>225020</v>
      </c>
      <c r="J511" s="257">
        <v>0</v>
      </c>
      <c r="K511" s="257">
        <v>0</v>
      </c>
      <c r="L511" s="257">
        <v>0</v>
      </c>
      <c r="M511" s="257">
        <v>0</v>
      </c>
      <c r="N511" s="257">
        <v>225020</v>
      </c>
      <c r="O511" s="257">
        <v>0</v>
      </c>
      <c r="P511" s="257">
        <v>0</v>
      </c>
      <c r="Q511" s="258">
        <v>0</v>
      </c>
    </row>
    <row r="512" spans="1:17">
      <c r="A512" s="256">
        <v>1</v>
      </c>
      <c r="B512" s="256">
        <v>8830610</v>
      </c>
      <c r="C512" s="256">
        <v>883061002</v>
      </c>
      <c r="D512" s="256" t="s">
        <v>538</v>
      </c>
      <c r="E512" s="256" t="s">
        <v>539</v>
      </c>
      <c r="F512" s="256" t="s">
        <v>815</v>
      </c>
      <c r="G512" s="256" t="s">
        <v>764</v>
      </c>
      <c r="H512" s="256" t="s">
        <v>95</v>
      </c>
      <c r="I512" s="257">
        <v>0</v>
      </c>
      <c r="J512" s="257">
        <v>0</v>
      </c>
      <c r="K512" s="257">
        <v>0</v>
      </c>
      <c r="L512" s="257">
        <v>0</v>
      </c>
      <c r="M512" s="257">
        <v>0</v>
      </c>
      <c r="N512" s="257">
        <v>0</v>
      </c>
      <c r="O512" s="257">
        <v>0</v>
      </c>
      <c r="P512" s="257">
        <v>0</v>
      </c>
      <c r="Q512" s="258">
        <v>0</v>
      </c>
    </row>
    <row r="513" spans="1:17">
      <c r="A513" s="236">
        <v>1</v>
      </c>
      <c r="B513" s="236">
        <v>8830610</v>
      </c>
      <c r="C513" s="236">
        <v>883061003</v>
      </c>
      <c r="D513" s="236" t="s">
        <v>538</v>
      </c>
      <c r="E513" s="236" t="s">
        <v>539</v>
      </c>
      <c r="F513" s="236" t="s">
        <v>815</v>
      </c>
      <c r="G513" s="236" t="s">
        <v>764</v>
      </c>
      <c r="H513" s="236" t="s">
        <v>765</v>
      </c>
      <c r="I513" s="257">
        <v>153600</v>
      </c>
      <c r="J513" s="257">
        <v>0</v>
      </c>
      <c r="K513" s="257">
        <v>0</v>
      </c>
      <c r="L513" s="257">
        <v>0</v>
      </c>
      <c r="M513" s="257">
        <v>0</v>
      </c>
      <c r="N513" s="257">
        <v>153600</v>
      </c>
      <c r="O513" s="257">
        <v>0</v>
      </c>
      <c r="P513" s="257">
        <v>0</v>
      </c>
      <c r="Q513" s="258">
        <v>0</v>
      </c>
    </row>
    <row r="514" spans="1:17">
      <c r="A514" s="256">
        <v>1</v>
      </c>
      <c r="B514" s="256">
        <v>8830613</v>
      </c>
      <c r="C514" s="256">
        <v>883061300</v>
      </c>
      <c r="D514" s="256" t="s">
        <v>538</v>
      </c>
      <c r="E514" s="256" t="s">
        <v>539</v>
      </c>
      <c r="F514" s="256" t="s">
        <v>815</v>
      </c>
      <c r="G514" s="256" t="s">
        <v>93</v>
      </c>
      <c r="H514" s="256"/>
      <c r="I514" s="257">
        <v>11013390</v>
      </c>
      <c r="J514" s="257">
        <v>0</v>
      </c>
      <c r="K514" s="257">
        <v>0</v>
      </c>
      <c r="L514" s="257">
        <v>0</v>
      </c>
      <c r="M514" s="257">
        <v>30357</v>
      </c>
      <c r="N514" s="257">
        <v>10983033</v>
      </c>
      <c r="O514" s="257">
        <v>0</v>
      </c>
      <c r="P514" s="257">
        <v>0</v>
      </c>
      <c r="Q514" s="258">
        <v>0</v>
      </c>
    </row>
    <row r="515" spans="1:17">
      <c r="A515" s="256">
        <v>1</v>
      </c>
      <c r="B515" s="256">
        <v>8830614</v>
      </c>
      <c r="C515" s="256">
        <v>883061400</v>
      </c>
      <c r="D515" s="256" t="s">
        <v>538</v>
      </c>
      <c r="E515" s="256" t="s">
        <v>539</v>
      </c>
      <c r="F515" s="256" t="s">
        <v>815</v>
      </c>
      <c r="G515" s="256" t="s">
        <v>91</v>
      </c>
      <c r="H515" s="256"/>
      <c r="I515" s="257">
        <v>2213663</v>
      </c>
      <c r="J515" s="257">
        <v>0</v>
      </c>
      <c r="K515" s="257">
        <v>0</v>
      </c>
      <c r="L515" s="257">
        <v>0</v>
      </c>
      <c r="M515" s="257">
        <v>0</v>
      </c>
      <c r="N515" s="257">
        <v>2213663</v>
      </c>
      <c r="O515" s="257">
        <v>0</v>
      </c>
      <c r="P515" s="257">
        <v>0</v>
      </c>
      <c r="Q515" s="258">
        <v>0</v>
      </c>
    </row>
    <row r="516" spans="1:17">
      <c r="A516" s="256">
        <v>1</v>
      </c>
      <c r="B516" s="256">
        <v>8830615</v>
      </c>
      <c r="C516" s="256">
        <v>883061500</v>
      </c>
      <c r="D516" s="256" t="s">
        <v>538</v>
      </c>
      <c r="E516" s="256" t="s">
        <v>539</v>
      </c>
      <c r="F516" s="256" t="s">
        <v>815</v>
      </c>
      <c r="G516" s="256" t="s">
        <v>89</v>
      </c>
      <c r="H516" s="256"/>
      <c r="I516" s="257">
        <v>16902233</v>
      </c>
      <c r="J516" s="257">
        <v>0</v>
      </c>
      <c r="K516" s="257">
        <v>0</v>
      </c>
      <c r="L516" s="257">
        <v>0</v>
      </c>
      <c r="M516" s="257">
        <v>0</v>
      </c>
      <c r="N516" s="257">
        <v>16902233</v>
      </c>
      <c r="O516" s="257">
        <v>0</v>
      </c>
      <c r="P516" s="257">
        <v>0</v>
      </c>
      <c r="Q516" s="258">
        <v>0</v>
      </c>
    </row>
    <row r="517" spans="1:17">
      <c r="A517" s="256">
        <v>1</v>
      </c>
      <c r="B517" s="256">
        <v>8830617</v>
      </c>
      <c r="C517" s="256">
        <v>883061700</v>
      </c>
      <c r="D517" s="256" t="s">
        <v>538</v>
      </c>
      <c r="E517" s="256" t="s">
        <v>539</v>
      </c>
      <c r="F517" s="256" t="s">
        <v>815</v>
      </c>
      <c r="G517" s="256" t="s">
        <v>87</v>
      </c>
      <c r="H517" s="256"/>
      <c r="I517" s="257">
        <v>12573953</v>
      </c>
      <c r="J517" s="257">
        <v>0</v>
      </c>
      <c r="K517" s="257">
        <v>0</v>
      </c>
      <c r="L517" s="257">
        <v>0</v>
      </c>
      <c r="M517" s="257">
        <v>0</v>
      </c>
      <c r="N517" s="257">
        <v>12573953</v>
      </c>
      <c r="O517" s="257">
        <v>0</v>
      </c>
      <c r="P517" s="257">
        <v>0</v>
      </c>
      <c r="Q517" s="258">
        <v>0</v>
      </c>
    </row>
    <row r="518" spans="1:17">
      <c r="A518" s="256">
        <v>1</v>
      </c>
      <c r="B518" s="256">
        <v>8830619</v>
      </c>
      <c r="C518" s="256">
        <v>883061900</v>
      </c>
      <c r="D518" s="256" t="s">
        <v>538</v>
      </c>
      <c r="E518" s="256" t="s">
        <v>539</v>
      </c>
      <c r="F518" s="256" t="s">
        <v>815</v>
      </c>
      <c r="G518" s="256" t="s">
        <v>85</v>
      </c>
      <c r="H518" s="256"/>
      <c r="I518" s="257">
        <v>155875</v>
      </c>
      <c r="J518" s="257">
        <v>0</v>
      </c>
      <c r="K518" s="257">
        <v>0</v>
      </c>
      <c r="L518" s="257">
        <v>0</v>
      </c>
      <c r="M518" s="257">
        <v>0</v>
      </c>
      <c r="N518" s="257">
        <v>97165</v>
      </c>
      <c r="O518" s="257">
        <v>49050</v>
      </c>
      <c r="P518" s="257">
        <v>9660</v>
      </c>
      <c r="Q518" s="258">
        <v>0</v>
      </c>
    </row>
    <row r="519" spans="1:17">
      <c r="A519" s="256">
        <v>1</v>
      </c>
      <c r="B519" s="256">
        <v>8830620</v>
      </c>
      <c r="C519" s="256">
        <v>883062000</v>
      </c>
      <c r="D519" s="256" t="s">
        <v>538</v>
      </c>
      <c r="E519" s="256" t="s">
        <v>539</v>
      </c>
      <c r="F519" s="256" t="s">
        <v>815</v>
      </c>
      <c r="G519" s="256" t="s">
        <v>83</v>
      </c>
      <c r="H519" s="256"/>
      <c r="I519" s="257">
        <v>1295496</v>
      </c>
      <c r="J519" s="257">
        <v>0</v>
      </c>
      <c r="K519" s="257">
        <v>0</v>
      </c>
      <c r="L519" s="257">
        <v>0</v>
      </c>
      <c r="M519" s="257">
        <v>0</v>
      </c>
      <c r="N519" s="257">
        <v>786510</v>
      </c>
      <c r="O519" s="257">
        <v>508986</v>
      </c>
      <c r="P519" s="257">
        <v>0</v>
      </c>
      <c r="Q519" s="258">
        <v>0</v>
      </c>
    </row>
    <row r="520" spans="1:17">
      <c r="A520" s="256">
        <v>1</v>
      </c>
      <c r="B520" s="256">
        <v>8830621</v>
      </c>
      <c r="C520" s="256">
        <v>883062100</v>
      </c>
      <c r="D520" s="256" t="s">
        <v>538</v>
      </c>
      <c r="E520" s="256" t="s">
        <v>539</v>
      </c>
      <c r="F520" s="256" t="s">
        <v>815</v>
      </c>
      <c r="G520" s="256" t="s">
        <v>81</v>
      </c>
      <c r="H520" s="256"/>
      <c r="I520" s="257">
        <v>428095489</v>
      </c>
      <c r="J520" s="257">
        <v>0</v>
      </c>
      <c r="K520" s="257">
        <v>0</v>
      </c>
      <c r="L520" s="257">
        <v>0</v>
      </c>
      <c r="M520" s="257">
        <v>0</v>
      </c>
      <c r="N520" s="257">
        <v>428095489</v>
      </c>
      <c r="O520" s="257">
        <v>0</v>
      </c>
      <c r="P520" s="257">
        <v>0</v>
      </c>
      <c r="Q520" s="258">
        <v>0</v>
      </c>
    </row>
    <row r="521" spans="1:17">
      <c r="A521" s="256">
        <v>1</v>
      </c>
      <c r="B521" s="256">
        <v>8830623</v>
      </c>
      <c r="C521" s="256">
        <v>883062300</v>
      </c>
      <c r="D521" s="256" t="s">
        <v>538</v>
      </c>
      <c r="E521" s="256" t="s">
        <v>539</v>
      </c>
      <c r="F521" s="256" t="s">
        <v>815</v>
      </c>
      <c r="G521" s="256" t="s">
        <v>79</v>
      </c>
      <c r="H521" s="256"/>
      <c r="I521" s="257">
        <v>166478038</v>
      </c>
      <c r="J521" s="257">
        <v>0</v>
      </c>
      <c r="K521" s="257">
        <v>0</v>
      </c>
      <c r="L521" s="257">
        <v>0</v>
      </c>
      <c r="M521" s="257">
        <v>0</v>
      </c>
      <c r="N521" s="257">
        <v>166478038</v>
      </c>
      <c r="O521" s="257">
        <v>0</v>
      </c>
      <c r="P521" s="257">
        <v>0</v>
      </c>
      <c r="Q521" s="258">
        <v>0</v>
      </c>
    </row>
    <row r="522" spans="1:17">
      <c r="A522" s="256">
        <v>1</v>
      </c>
      <c r="B522" s="256">
        <v>8830624</v>
      </c>
      <c r="C522" s="256">
        <v>883062400</v>
      </c>
      <c r="D522" s="256" t="s">
        <v>538</v>
      </c>
      <c r="E522" s="256" t="s">
        <v>539</v>
      </c>
      <c r="F522" s="256" t="s">
        <v>815</v>
      </c>
      <c r="G522" s="256" t="s">
        <v>77</v>
      </c>
      <c r="H522" s="256"/>
      <c r="I522" s="257">
        <v>50100458</v>
      </c>
      <c r="J522" s="257">
        <v>0</v>
      </c>
      <c r="K522" s="257">
        <v>0</v>
      </c>
      <c r="L522" s="257">
        <v>0</v>
      </c>
      <c r="M522" s="257">
        <v>0</v>
      </c>
      <c r="N522" s="257">
        <v>50100458</v>
      </c>
      <c r="O522" s="257">
        <v>0</v>
      </c>
      <c r="P522" s="257">
        <v>0</v>
      </c>
      <c r="Q522" s="258">
        <v>0</v>
      </c>
    </row>
    <row r="523" spans="1:17">
      <c r="A523" s="256">
        <v>1</v>
      </c>
      <c r="B523" s="256">
        <v>8830625</v>
      </c>
      <c r="C523" s="256">
        <v>883062500</v>
      </c>
      <c r="D523" s="256" t="s">
        <v>538</v>
      </c>
      <c r="E523" s="256" t="s">
        <v>539</v>
      </c>
      <c r="F523" s="256" t="s">
        <v>815</v>
      </c>
      <c r="G523" s="256" t="s">
        <v>75</v>
      </c>
      <c r="H523" s="256"/>
      <c r="I523" s="257">
        <v>25190000</v>
      </c>
      <c r="J523" s="257">
        <v>0</v>
      </c>
      <c r="K523" s="257">
        <v>0</v>
      </c>
      <c r="L523" s="257">
        <v>0</v>
      </c>
      <c r="M523" s="257">
        <v>0</v>
      </c>
      <c r="N523" s="257">
        <v>25190000</v>
      </c>
      <c r="O523" s="257">
        <v>0</v>
      </c>
      <c r="P523" s="257">
        <v>0</v>
      </c>
      <c r="Q523" s="258">
        <v>0</v>
      </c>
    </row>
    <row r="524" spans="1:17">
      <c r="A524" s="256">
        <v>1</v>
      </c>
      <c r="B524" s="256">
        <v>8830626</v>
      </c>
      <c r="C524" s="256">
        <v>883062600</v>
      </c>
      <c r="D524" s="256" t="s">
        <v>538</v>
      </c>
      <c r="E524" s="256" t="s">
        <v>539</v>
      </c>
      <c r="F524" s="256" t="s">
        <v>815</v>
      </c>
      <c r="G524" s="256" t="s">
        <v>73</v>
      </c>
      <c r="H524" s="256"/>
      <c r="I524" s="257">
        <v>0</v>
      </c>
      <c r="J524" s="257">
        <v>0</v>
      </c>
      <c r="K524" s="257">
        <v>0</v>
      </c>
      <c r="L524" s="257">
        <v>0</v>
      </c>
      <c r="M524" s="257">
        <v>0</v>
      </c>
      <c r="N524" s="257">
        <v>0</v>
      </c>
      <c r="O524" s="257">
        <v>0</v>
      </c>
      <c r="P524" s="257">
        <v>0</v>
      </c>
      <c r="Q524" s="258">
        <v>0</v>
      </c>
    </row>
    <row r="525" spans="1:17">
      <c r="A525" s="256">
        <v>1</v>
      </c>
      <c r="B525" s="256">
        <v>8830628</v>
      </c>
      <c r="C525" s="256">
        <v>883062866</v>
      </c>
      <c r="D525" s="256" t="s">
        <v>538</v>
      </c>
      <c r="E525" s="256" t="s">
        <v>539</v>
      </c>
      <c r="F525" s="256" t="s">
        <v>815</v>
      </c>
      <c r="G525" s="256" t="s">
        <v>811</v>
      </c>
      <c r="H525" s="256" t="s">
        <v>812</v>
      </c>
      <c r="I525" s="257">
        <v>383761300</v>
      </c>
      <c r="J525" s="257">
        <v>0</v>
      </c>
      <c r="K525" s="257">
        <v>0</v>
      </c>
      <c r="L525" s="257">
        <v>0</v>
      </c>
      <c r="M525" s="257">
        <v>0</v>
      </c>
      <c r="N525" s="257">
        <v>383761300</v>
      </c>
      <c r="O525" s="257">
        <v>0</v>
      </c>
      <c r="P525" s="257">
        <v>0</v>
      </c>
      <c r="Q525" s="258">
        <v>0</v>
      </c>
    </row>
    <row r="526" spans="1:17">
      <c r="A526" s="256">
        <v>1</v>
      </c>
      <c r="B526" s="256">
        <v>8830628</v>
      </c>
      <c r="C526" s="256">
        <v>883062867</v>
      </c>
      <c r="D526" s="256" t="s">
        <v>538</v>
      </c>
      <c r="E526" s="256" t="s">
        <v>539</v>
      </c>
      <c r="F526" s="256" t="s">
        <v>815</v>
      </c>
      <c r="G526" s="256" t="s">
        <v>811</v>
      </c>
      <c r="H526" s="256" t="s">
        <v>813</v>
      </c>
      <c r="I526" s="257">
        <v>28445230</v>
      </c>
      <c r="J526" s="257">
        <v>0</v>
      </c>
      <c r="K526" s="257">
        <v>0</v>
      </c>
      <c r="L526" s="257">
        <v>0</v>
      </c>
      <c r="M526" s="257">
        <v>0</v>
      </c>
      <c r="N526" s="257">
        <v>28445230</v>
      </c>
      <c r="O526" s="257">
        <v>0</v>
      </c>
      <c r="P526" s="257">
        <v>0</v>
      </c>
      <c r="Q526" s="258">
        <v>0</v>
      </c>
    </row>
    <row r="527" spans="1:17">
      <c r="A527" s="256">
        <v>1</v>
      </c>
      <c r="B527" s="256">
        <v>8830629</v>
      </c>
      <c r="C527" s="256">
        <v>883062900</v>
      </c>
      <c r="D527" s="256" t="s">
        <v>538</v>
      </c>
      <c r="E527" s="256" t="s">
        <v>539</v>
      </c>
      <c r="F527" s="256" t="s">
        <v>815</v>
      </c>
      <c r="G527" s="256" t="s">
        <v>66</v>
      </c>
      <c r="H527" s="256"/>
      <c r="I527" s="257">
        <v>42735</v>
      </c>
      <c r="J527" s="257">
        <v>0</v>
      </c>
      <c r="K527" s="257">
        <v>0</v>
      </c>
      <c r="L527" s="257">
        <v>0</v>
      </c>
      <c r="M527" s="257">
        <v>0</v>
      </c>
      <c r="N527" s="257">
        <v>42735</v>
      </c>
      <c r="O527" s="257">
        <v>0</v>
      </c>
      <c r="P527" s="257">
        <v>0</v>
      </c>
      <c r="Q527" s="258">
        <v>0</v>
      </c>
    </row>
    <row r="528" spans="1:17">
      <c r="A528" s="256">
        <v>1</v>
      </c>
      <c r="B528" s="256">
        <v>8830630</v>
      </c>
      <c r="C528" s="256">
        <v>883063000</v>
      </c>
      <c r="D528" s="256" t="s">
        <v>538</v>
      </c>
      <c r="E528" s="256" t="s">
        <v>539</v>
      </c>
      <c r="F528" s="256" t="s">
        <v>815</v>
      </c>
      <c r="G528" s="256" t="s">
        <v>64</v>
      </c>
      <c r="H528" s="256"/>
      <c r="I528" s="257">
        <v>0</v>
      </c>
      <c r="J528" s="257">
        <v>0</v>
      </c>
      <c r="K528" s="257">
        <v>0</v>
      </c>
      <c r="L528" s="257">
        <v>0</v>
      </c>
      <c r="M528" s="257">
        <v>0</v>
      </c>
      <c r="N528" s="257">
        <v>0</v>
      </c>
      <c r="O528" s="257">
        <v>0</v>
      </c>
      <c r="P528" s="257">
        <v>0</v>
      </c>
      <c r="Q528" s="258">
        <v>0</v>
      </c>
    </row>
    <row r="529" spans="1:17">
      <c r="A529" s="256">
        <v>1</v>
      </c>
      <c r="B529" s="256">
        <v>8830631</v>
      </c>
      <c r="C529" s="256">
        <v>883063100</v>
      </c>
      <c r="D529" s="256" t="s">
        <v>538</v>
      </c>
      <c r="E529" s="256" t="s">
        <v>539</v>
      </c>
      <c r="F529" s="256" t="s">
        <v>815</v>
      </c>
      <c r="G529" s="256" t="s">
        <v>62</v>
      </c>
      <c r="H529" s="256"/>
      <c r="I529" s="257">
        <v>12205239</v>
      </c>
      <c r="J529" s="257">
        <v>0</v>
      </c>
      <c r="K529" s="257">
        <v>0</v>
      </c>
      <c r="L529" s="257">
        <v>0</v>
      </c>
      <c r="M529" s="257">
        <v>0</v>
      </c>
      <c r="N529" s="257">
        <v>10201576</v>
      </c>
      <c r="O529" s="257">
        <v>0</v>
      </c>
      <c r="P529" s="257">
        <v>2003663</v>
      </c>
      <c r="Q529" s="258">
        <v>0</v>
      </c>
    </row>
    <row r="530" spans="1:17">
      <c r="A530" s="256">
        <v>1</v>
      </c>
      <c r="B530" s="256">
        <v>8830637</v>
      </c>
      <c r="C530" s="256">
        <v>883063700</v>
      </c>
      <c r="D530" s="256" t="s">
        <v>538</v>
      </c>
      <c r="E530" s="256" t="s">
        <v>539</v>
      </c>
      <c r="F530" s="256" t="s">
        <v>815</v>
      </c>
      <c r="G530" s="256" t="s">
        <v>60</v>
      </c>
      <c r="H530" s="256"/>
      <c r="I530" s="257">
        <v>0</v>
      </c>
      <c r="J530" s="257">
        <v>0</v>
      </c>
      <c r="K530" s="257">
        <v>0</v>
      </c>
      <c r="L530" s="257">
        <v>0</v>
      </c>
      <c r="M530" s="257">
        <v>0</v>
      </c>
      <c r="N530" s="257">
        <v>0</v>
      </c>
      <c r="O530" s="257">
        <v>0</v>
      </c>
      <c r="P530" s="257">
        <v>0</v>
      </c>
      <c r="Q530" s="258">
        <v>0</v>
      </c>
    </row>
    <row r="531" spans="1:17">
      <c r="A531" s="256">
        <v>1</v>
      </c>
      <c r="B531" s="256">
        <v>8830639</v>
      </c>
      <c r="C531" s="256">
        <v>883063900</v>
      </c>
      <c r="D531" s="256" t="s">
        <v>538</v>
      </c>
      <c r="E531" s="256" t="s">
        <v>539</v>
      </c>
      <c r="F531" s="256" t="s">
        <v>815</v>
      </c>
      <c r="G531" s="256" t="s">
        <v>58</v>
      </c>
      <c r="H531" s="256"/>
      <c r="I531" s="257">
        <v>819427</v>
      </c>
      <c r="J531" s="257">
        <v>0</v>
      </c>
      <c r="K531" s="257">
        <v>0</v>
      </c>
      <c r="L531" s="257">
        <v>0</v>
      </c>
      <c r="M531" s="257">
        <v>0</v>
      </c>
      <c r="N531" s="257">
        <v>0</v>
      </c>
      <c r="O531" s="257">
        <v>819427</v>
      </c>
      <c r="P531" s="257">
        <v>0</v>
      </c>
      <c r="Q531" s="258">
        <v>0</v>
      </c>
    </row>
    <row r="532" spans="1:17">
      <c r="A532" s="256">
        <v>1</v>
      </c>
      <c r="B532" s="256">
        <v>8830640</v>
      </c>
      <c r="C532" s="256">
        <v>883064000</v>
      </c>
      <c r="D532" s="256" t="s">
        <v>538</v>
      </c>
      <c r="E532" s="256" t="s">
        <v>539</v>
      </c>
      <c r="F532" s="256" t="s">
        <v>815</v>
      </c>
      <c r="G532" s="256" t="s">
        <v>56</v>
      </c>
      <c r="H532" s="256"/>
      <c r="I532" s="257">
        <v>311782</v>
      </c>
      <c r="J532" s="257">
        <v>0</v>
      </c>
      <c r="K532" s="257">
        <v>0</v>
      </c>
      <c r="L532" s="257">
        <v>0</v>
      </c>
      <c r="M532" s="257">
        <v>0</v>
      </c>
      <c r="N532" s="257">
        <v>0</v>
      </c>
      <c r="O532" s="257">
        <v>0</v>
      </c>
      <c r="P532" s="257">
        <v>311782</v>
      </c>
      <c r="Q532" s="258">
        <v>0</v>
      </c>
    </row>
    <row r="533" spans="1:17">
      <c r="A533" s="256">
        <v>1</v>
      </c>
      <c r="B533" s="256">
        <v>8830641</v>
      </c>
      <c r="C533" s="256">
        <v>883064100</v>
      </c>
      <c r="D533" s="256" t="s">
        <v>538</v>
      </c>
      <c r="E533" s="256" t="s">
        <v>539</v>
      </c>
      <c r="F533" s="256" t="s">
        <v>815</v>
      </c>
      <c r="G533" s="256" t="s">
        <v>55</v>
      </c>
      <c r="H533" s="256"/>
      <c r="I533" s="257">
        <v>0</v>
      </c>
      <c r="J533" s="257">
        <v>0</v>
      </c>
      <c r="K533" s="257">
        <v>0</v>
      </c>
      <c r="L533" s="257">
        <v>0</v>
      </c>
      <c r="M533" s="257">
        <v>0</v>
      </c>
      <c r="N533" s="257">
        <v>0</v>
      </c>
      <c r="O533" s="257">
        <v>0</v>
      </c>
      <c r="P533" s="257">
        <v>0</v>
      </c>
      <c r="Q533" s="258">
        <v>0</v>
      </c>
    </row>
    <row r="534" spans="1:17">
      <c r="A534" s="256">
        <v>1</v>
      </c>
      <c r="B534" s="256">
        <v>8830642</v>
      </c>
      <c r="C534" s="256">
        <v>883064201</v>
      </c>
      <c r="D534" s="256" t="s">
        <v>538</v>
      </c>
      <c r="E534" s="256" t="s">
        <v>539</v>
      </c>
      <c r="F534" s="256" t="s">
        <v>815</v>
      </c>
      <c r="G534" s="256" t="s">
        <v>53</v>
      </c>
      <c r="H534" s="256" t="s">
        <v>108</v>
      </c>
      <c r="I534" s="257">
        <v>52591000</v>
      </c>
      <c r="J534" s="257">
        <v>0</v>
      </c>
      <c r="K534" s="257">
        <v>0</v>
      </c>
      <c r="L534" s="257">
        <v>0</v>
      </c>
      <c r="M534" s="257">
        <v>0</v>
      </c>
      <c r="N534" s="257">
        <v>0</v>
      </c>
      <c r="O534" s="257">
        <v>0</v>
      </c>
      <c r="P534" s="257">
        <v>52591000</v>
      </c>
      <c r="Q534" s="258">
        <v>0</v>
      </c>
    </row>
    <row r="535" spans="1:17">
      <c r="A535" s="256">
        <v>1</v>
      </c>
      <c r="B535" s="256">
        <v>8830642</v>
      </c>
      <c r="C535" s="256">
        <v>883064202</v>
      </c>
      <c r="D535" s="256" t="s">
        <v>538</v>
      </c>
      <c r="E535" s="256" t="s">
        <v>539</v>
      </c>
      <c r="F535" s="256" t="s">
        <v>815</v>
      </c>
      <c r="G535" s="256" t="s">
        <v>53</v>
      </c>
      <c r="H535" s="256" t="s">
        <v>106</v>
      </c>
      <c r="I535" s="257">
        <v>10602000</v>
      </c>
      <c r="J535" s="257">
        <v>0</v>
      </c>
      <c r="K535" s="257">
        <v>0</v>
      </c>
      <c r="L535" s="257">
        <v>0</v>
      </c>
      <c r="M535" s="257">
        <v>0</v>
      </c>
      <c r="N535" s="257">
        <v>0</v>
      </c>
      <c r="O535" s="257">
        <v>0</v>
      </c>
      <c r="P535" s="257">
        <v>10602000</v>
      </c>
      <c r="Q535" s="258">
        <v>0</v>
      </c>
    </row>
    <row r="536" spans="1:17">
      <c r="A536" s="256">
        <v>1</v>
      </c>
      <c r="B536" s="256">
        <v>8830801</v>
      </c>
      <c r="C536" s="256">
        <v>883080102</v>
      </c>
      <c r="D536" s="256" t="s">
        <v>538</v>
      </c>
      <c r="E536" s="256" t="s">
        <v>539</v>
      </c>
      <c r="F536" s="256" t="s">
        <v>817</v>
      </c>
      <c r="G536" s="256" t="s">
        <v>112</v>
      </c>
      <c r="H536" s="256" t="s">
        <v>737</v>
      </c>
      <c r="I536" s="257">
        <v>0</v>
      </c>
      <c r="J536" s="257">
        <v>0</v>
      </c>
      <c r="K536" s="257">
        <v>0</v>
      </c>
      <c r="L536" s="257">
        <v>0</v>
      </c>
      <c r="M536" s="257">
        <v>0</v>
      </c>
      <c r="N536" s="257">
        <v>0</v>
      </c>
      <c r="O536" s="257">
        <v>0</v>
      </c>
      <c r="P536" s="257">
        <v>0</v>
      </c>
      <c r="Q536" s="258">
        <v>0</v>
      </c>
    </row>
    <row r="537" spans="1:17">
      <c r="A537" s="256">
        <v>1</v>
      </c>
      <c r="B537" s="256">
        <v>8830801</v>
      </c>
      <c r="C537" s="256">
        <v>883080103</v>
      </c>
      <c r="D537" s="256" t="s">
        <v>538</v>
      </c>
      <c r="E537" s="256" t="s">
        <v>539</v>
      </c>
      <c r="F537" s="256" t="s">
        <v>817</v>
      </c>
      <c r="G537" s="256" t="s">
        <v>112</v>
      </c>
      <c r="H537" s="256" t="s">
        <v>738</v>
      </c>
      <c r="I537" s="257">
        <v>0</v>
      </c>
      <c r="J537" s="257">
        <v>0</v>
      </c>
      <c r="K537" s="257">
        <v>0</v>
      </c>
      <c r="L537" s="257">
        <v>0</v>
      </c>
      <c r="M537" s="257">
        <v>0</v>
      </c>
      <c r="N537" s="257">
        <v>0</v>
      </c>
      <c r="O537" s="257">
        <v>0</v>
      </c>
      <c r="P537" s="257">
        <v>0</v>
      </c>
      <c r="Q537" s="258">
        <v>0</v>
      </c>
    </row>
    <row r="538" spans="1:17">
      <c r="A538" s="256">
        <v>1</v>
      </c>
      <c r="B538" s="256">
        <v>8830801</v>
      </c>
      <c r="C538" s="256">
        <v>883080104</v>
      </c>
      <c r="D538" s="256" t="s">
        <v>538</v>
      </c>
      <c r="E538" s="256" t="s">
        <v>539</v>
      </c>
      <c r="F538" s="256" t="s">
        <v>817</v>
      </c>
      <c r="G538" s="256" t="s">
        <v>112</v>
      </c>
      <c r="H538" s="256" t="s">
        <v>739</v>
      </c>
      <c r="I538" s="257">
        <v>0</v>
      </c>
      <c r="J538" s="257">
        <v>0</v>
      </c>
      <c r="K538" s="257">
        <v>0</v>
      </c>
      <c r="L538" s="257">
        <v>0</v>
      </c>
      <c r="M538" s="257">
        <v>0</v>
      </c>
      <c r="N538" s="257">
        <v>0</v>
      </c>
      <c r="O538" s="257">
        <v>0</v>
      </c>
      <c r="P538" s="257">
        <v>0</v>
      </c>
      <c r="Q538" s="258">
        <v>0</v>
      </c>
    </row>
    <row r="539" spans="1:17">
      <c r="A539" s="236">
        <v>1</v>
      </c>
      <c r="B539" s="236">
        <v>8830801</v>
      </c>
      <c r="C539" s="236">
        <v>883080105</v>
      </c>
      <c r="D539" s="236" t="s">
        <v>538</v>
      </c>
      <c r="E539" s="236" t="s">
        <v>539</v>
      </c>
      <c r="F539" s="236" t="s">
        <v>817</v>
      </c>
      <c r="G539" s="236" t="s">
        <v>112</v>
      </c>
      <c r="H539" s="236" t="s">
        <v>740</v>
      </c>
      <c r="I539" s="257">
        <v>1115544</v>
      </c>
      <c r="J539" s="257">
        <v>0</v>
      </c>
      <c r="K539" s="257">
        <v>0</v>
      </c>
      <c r="L539" s="257">
        <v>0</v>
      </c>
      <c r="M539" s="257">
        <v>0</v>
      </c>
      <c r="N539" s="257">
        <v>0</v>
      </c>
      <c r="O539" s="257">
        <v>0</v>
      </c>
      <c r="P539" s="257">
        <v>1115544</v>
      </c>
      <c r="Q539" s="258">
        <v>0</v>
      </c>
    </row>
    <row r="540" spans="1:17">
      <c r="A540" s="256">
        <v>1</v>
      </c>
      <c r="B540" s="256">
        <v>8830802</v>
      </c>
      <c r="C540" s="256">
        <v>883080202</v>
      </c>
      <c r="D540" s="256" t="s">
        <v>538</v>
      </c>
      <c r="E540" s="256" t="s">
        <v>539</v>
      </c>
      <c r="F540" s="256" t="s">
        <v>817</v>
      </c>
      <c r="G540" s="256" t="s">
        <v>110</v>
      </c>
      <c r="H540" s="256" t="s">
        <v>741</v>
      </c>
      <c r="I540" s="257">
        <v>370587446</v>
      </c>
      <c r="J540" s="257">
        <v>0</v>
      </c>
      <c r="K540" s="257">
        <v>0</v>
      </c>
      <c r="L540" s="257">
        <v>0</v>
      </c>
      <c r="M540" s="257">
        <v>0</v>
      </c>
      <c r="N540" s="257">
        <v>0</v>
      </c>
      <c r="O540" s="257">
        <v>0</v>
      </c>
      <c r="P540" s="257">
        <v>370587446</v>
      </c>
      <c r="Q540" s="258">
        <v>0</v>
      </c>
    </row>
    <row r="541" spans="1:17">
      <c r="A541" s="256">
        <v>1</v>
      </c>
      <c r="B541" s="256">
        <v>8830803</v>
      </c>
      <c r="C541" s="256">
        <v>883080301</v>
      </c>
      <c r="D541" s="256" t="s">
        <v>538</v>
      </c>
      <c r="E541" s="256" t="s">
        <v>539</v>
      </c>
      <c r="F541" s="256" t="s">
        <v>817</v>
      </c>
      <c r="G541" s="256" t="s">
        <v>108</v>
      </c>
      <c r="H541" s="256" t="s">
        <v>742</v>
      </c>
      <c r="I541" s="257">
        <v>38801422</v>
      </c>
      <c r="J541" s="257">
        <v>0</v>
      </c>
      <c r="K541" s="257">
        <v>0</v>
      </c>
      <c r="L541" s="257">
        <v>0</v>
      </c>
      <c r="M541" s="257">
        <v>0</v>
      </c>
      <c r="N541" s="257">
        <v>0</v>
      </c>
      <c r="O541" s="257">
        <v>0</v>
      </c>
      <c r="P541" s="257">
        <v>38801422</v>
      </c>
      <c r="Q541" s="258">
        <v>0</v>
      </c>
    </row>
    <row r="542" spans="1:17">
      <c r="A542" s="256">
        <v>1</v>
      </c>
      <c r="B542" s="256">
        <v>8830803</v>
      </c>
      <c r="C542" s="256">
        <v>883080302</v>
      </c>
      <c r="D542" s="256" t="s">
        <v>538</v>
      </c>
      <c r="E542" s="256" t="s">
        <v>539</v>
      </c>
      <c r="F542" s="256" t="s">
        <v>817</v>
      </c>
      <c r="G542" s="256" t="s">
        <v>108</v>
      </c>
      <c r="H542" s="256" t="s">
        <v>743</v>
      </c>
      <c r="I542" s="257">
        <v>14085987</v>
      </c>
      <c r="J542" s="257">
        <v>0</v>
      </c>
      <c r="K542" s="257">
        <v>0</v>
      </c>
      <c r="L542" s="257">
        <v>0</v>
      </c>
      <c r="M542" s="257">
        <v>0</v>
      </c>
      <c r="N542" s="257">
        <v>0</v>
      </c>
      <c r="O542" s="257">
        <v>0</v>
      </c>
      <c r="P542" s="257">
        <v>14085987</v>
      </c>
      <c r="Q542" s="258">
        <v>0</v>
      </c>
    </row>
    <row r="543" spans="1:17">
      <c r="A543" s="256">
        <v>1</v>
      </c>
      <c r="B543" s="256">
        <v>8830803</v>
      </c>
      <c r="C543" s="256">
        <v>883080303</v>
      </c>
      <c r="D543" s="256" t="s">
        <v>538</v>
      </c>
      <c r="E543" s="256" t="s">
        <v>539</v>
      </c>
      <c r="F543" s="256" t="s">
        <v>817</v>
      </c>
      <c r="G543" s="256" t="s">
        <v>108</v>
      </c>
      <c r="H543" s="256" t="s">
        <v>744</v>
      </c>
      <c r="I543" s="257">
        <v>130536625</v>
      </c>
      <c r="J543" s="257">
        <v>0</v>
      </c>
      <c r="K543" s="257">
        <v>0</v>
      </c>
      <c r="L543" s="257">
        <v>0</v>
      </c>
      <c r="M543" s="257">
        <v>0</v>
      </c>
      <c r="N543" s="257">
        <v>0</v>
      </c>
      <c r="O543" s="257">
        <v>0</v>
      </c>
      <c r="P543" s="257">
        <v>130536625</v>
      </c>
      <c r="Q543" s="258">
        <v>0</v>
      </c>
    </row>
    <row r="544" spans="1:17">
      <c r="A544" s="256">
        <v>1</v>
      </c>
      <c r="B544" s="256">
        <v>8830803</v>
      </c>
      <c r="C544" s="256">
        <v>883080304</v>
      </c>
      <c r="D544" s="256" t="s">
        <v>538</v>
      </c>
      <c r="E544" s="256" t="s">
        <v>539</v>
      </c>
      <c r="F544" s="256" t="s">
        <v>817</v>
      </c>
      <c r="G544" s="256" t="s">
        <v>108</v>
      </c>
      <c r="H544" s="256" t="s">
        <v>745</v>
      </c>
      <c r="I544" s="257">
        <v>7777220</v>
      </c>
      <c r="J544" s="257">
        <v>0</v>
      </c>
      <c r="K544" s="257">
        <v>0</v>
      </c>
      <c r="L544" s="257">
        <v>0</v>
      </c>
      <c r="M544" s="257">
        <v>0</v>
      </c>
      <c r="N544" s="257">
        <v>7777220</v>
      </c>
      <c r="O544" s="257">
        <v>0</v>
      </c>
      <c r="P544" s="257">
        <v>0</v>
      </c>
      <c r="Q544" s="258">
        <v>0</v>
      </c>
    </row>
    <row r="545" spans="1:17">
      <c r="A545" s="256">
        <v>1</v>
      </c>
      <c r="B545" s="256">
        <v>8830803</v>
      </c>
      <c r="C545" s="256">
        <v>883080305</v>
      </c>
      <c r="D545" s="256" t="s">
        <v>538</v>
      </c>
      <c r="E545" s="256" t="s">
        <v>539</v>
      </c>
      <c r="F545" s="256" t="s">
        <v>817</v>
      </c>
      <c r="G545" s="256" t="s">
        <v>108</v>
      </c>
      <c r="H545" s="256" t="s">
        <v>746</v>
      </c>
      <c r="I545" s="257">
        <v>3340800</v>
      </c>
      <c r="J545" s="257">
        <v>0</v>
      </c>
      <c r="K545" s="257">
        <v>0</v>
      </c>
      <c r="L545" s="257">
        <v>0</v>
      </c>
      <c r="M545" s="257">
        <v>0</v>
      </c>
      <c r="N545" s="257">
        <v>0</v>
      </c>
      <c r="O545" s="257">
        <v>0</v>
      </c>
      <c r="P545" s="257">
        <v>3340800</v>
      </c>
      <c r="Q545" s="258">
        <v>0</v>
      </c>
    </row>
    <row r="546" spans="1:17">
      <c r="A546" s="256">
        <v>1</v>
      </c>
      <c r="B546" s="256">
        <v>8830803</v>
      </c>
      <c r="C546" s="256">
        <v>883080306</v>
      </c>
      <c r="D546" s="256" t="s">
        <v>538</v>
      </c>
      <c r="E546" s="256" t="s">
        <v>539</v>
      </c>
      <c r="F546" s="256" t="s">
        <v>817</v>
      </c>
      <c r="G546" s="256" t="s">
        <v>108</v>
      </c>
      <c r="H546" s="256" t="s">
        <v>747</v>
      </c>
      <c r="I546" s="257">
        <v>0</v>
      </c>
      <c r="J546" s="257">
        <v>0</v>
      </c>
      <c r="K546" s="257">
        <v>0</v>
      </c>
      <c r="L546" s="257">
        <v>0</v>
      </c>
      <c r="M546" s="257">
        <v>0</v>
      </c>
      <c r="N546" s="257">
        <v>0</v>
      </c>
      <c r="O546" s="257">
        <v>0</v>
      </c>
      <c r="P546" s="257">
        <v>0</v>
      </c>
      <c r="Q546" s="258">
        <v>0</v>
      </c>
    </row>
    <row r="547" spans="1:17">
      <c r="A547" s="256">
        <v>1</v>
      </c>
      <c r="B547" s="256">
        <v>8830803</v>
      </c>
      <c r="C547" s="256">
        <v>883080307</v>
      </c>
      <c r="D547" s="256" t="s">
        <v>538</v>
      </c>
      <c r="E547" s="256" t="s">
        <v>539</v>
      </c>
      <c r="F547" s="256" t="s">
        <v>817</v>
      </c>
      <c r="G547" s="256" t="s">
        <v>108</v>
      </c>
      <c r="H547" s="256" t="s">
        <v>748</v>
      </c>
      <c r="I547" s="257">
        <v>23053067</v>
      </c>
      <c r="J547" s="257">
        <v>0</v>
      </c>
      <c r="K547" s="257">
        <v>0</v>
      </c>
      <c r="L547" s="257">
        <v>0</v>
      </c>
      <c r="M547" s="257">
        <v>0</v>
      </c>
      <c r="N547" s="257">
        <v>0</v>
      </c>
      <c r="O547" s="257">
        <v>0</v>
      </c>
      <c r="P547" s="257">
        <v>23053067</v>
      </c>
      <c r="Q547" s="258">
        <v>0</v>
      </c>
    </row>
    <row r="548" spans="1:17">
      <c r="A548" s="256">
        <v>1</v>
      </c>
      <c r="B548" s="256">
        <v>8830803</v>
      </c>
      <c r="C548" s="256">
        <v>883080310</v>
      </c>
      <c r="D548" s="256" t="s">
        <v>538</v>
      </c>
      <c r="E548" s="256" t="s">
        <v>539</v>
      </c>
      <c r="F548" s="256" t="s">
        <v>817</v>
      </c>
      <c r="G548" s="256" t="s">
        <v>108</v>
      </c>
      <c r="H548" s="256" t="s">
        <v>749</v>
      </c>
      <c r="I548" s="257">
        <v>56494805</v>
      </c>
      <c r="J548" s="257">
        <v>0</v>
      </c>
      <c r="K548" s="257">
        <v>0</v>
      </c>
      <c r="L548" s="257">
        <v>0</v>
      </c>
      <c r="M548" s="257">
        <v>0</v>
      </c>
      <c r="N548" s="257">
        <v>0</v>
      </c>
      <c r="O548" s="257">
        <v>0</v>
      </c>
      <c r="P548" s="257">
        <v>56494805</v>
      </c>
      <c r="Q548" s="258">
        <v>0</v>
      </c>
    </row>
    <row r="549" spans="1:17">
      <c r="A549" s="256">
        <v>1</v>
      </c>
      <c r="B549" s="256">
        <v>8830803</v>
      </c>
      <c r="C549" s="256">
        <v>883080311</v>
      </c>
      <c r="D549" s="256" t="s">
        <v>538</v>
      </c>
      <c r="E549" s="256" t="s">
        <v>539</v>
      </c>
      <c r="F549" s="256" t="s">
        <v>817</v>
      </c>
      <c r="G549" s="256" t="s">
        <v>108</v>
      </c>
      <c r="H549" s="256" t="s">
        <v>750</v>
      </c>
      <c r="I549" s="257">
        <v>9377739</v>
      </c>
      <c r="J549" s="257">
        <v>0</v>
      </c>
      <c r="K549" s="257">
        <v>0</v>
      </c>
      <c r="L549" s="257">
        <v>0</v>
      </c>
      <c r="M549" s="257">
        <v>0</v>
      </c>
      <c r="N549" s="257">
        <v>0</v>
      </c>
      <c r="O549" s="257">
        <v>0</v>
      </c>
      <c r="P549" s="257">
        <v>9377739</v>
      </c>
      <c r="Q549" s="258">
        <v>0</v>
      </c>
    </row>
    <row r="550" spans="1:17">
      <c r="A550" s="256">
        <v>1</v>
      </c>
      <c r="B550" s="256">
        <v>8830803</v>
      </c>
      <c r="C550" s="256">
        <v>883080312</v>
      </c>
      <c r="D550" s="256" t="s">
        <v>538</v>
      </c>
      <c r="E550" s="256" t="s">
        <v>539</v>
      </c>
      <c r="F550" s="256" t="s">
        <v>817</v>
      </c>
      <c r="G550" s="256" t="s">
        <v>108</v>
      </c>
      <c r="H550" s="256" t="s">
        <v>816</v>
      </c>
      <c r="I550" s="257">
        <v>0</v>
      </c>
      <c r="J550" s="257">
        <v>0</v>
      </c>
      <c r="K550" s="257">
        <v>0</v>
      </c>
      <c r="L550" s="257">
        <v>0</v>
      </c>
      <c r="M550" s="257">
        <v>0</v>
      </c>
      <c r="N550" s="257">
        <v>0</v>
      </c>
      <c r="O550" s="257">
        <v>0</v>
      </c>
      <c r="P550" s="257">
        <v>0</v>
      </c>
      <c r="Q550" s="258">
        <v>0</v>
      </c>
    </row>
    <row r="551" spans="1:17">
      <c r="A551" s="256">
        <v>1</v>
      </c>
      <c r="B551" s="256">
        <v>8830803</v>
      </c>
      <c r="C551" s="256">
        <v>883080314</v>
      </c>
      <c r="D551" s="256" t="s">
        <v>538</v>
      </c>
      <c r="E551" s="256" t="s">
        <v>539</v>
      </c>
      <c r="F551" s="256" t="s">
        <v>817</v>
      </c>
      <c r="G551" s="256" t="s">
        <v>108</v>
      </c>
      <c r="H551" s="256" t="s">
        <v>751</v>
      </c>
      <c r="I551" s="257">
        <v>5765537</v>
      </c>
      <c r="J551" s="257">
        <v>0</v>
      </c>
      <c r="K551" s="257">
        <v>0</v>
      </c>
      <c r="L551" s="257">
        <v>0</v>
      </c>
      <c r="M551" s="257">
        <v>0</v>
      </c>
      <c r="N551" s="257">
        <v>0</v>
      </c>
      <c r="O551" s="257">
        <v>0</v>
      </c>
      <c r="P551" s="257">
        <v>5765537</v>
      </c>
      <c r="Q551" s="258">
        <v>0</v>
      </c>
    </row>
    <row r="552" spans="1:17">
      <c r="A552" s="256">
        <v>1</v>
      </c>
      <c r="B552" s="256">
        <v>8830803</v>
      </c>
      <c r="C552" s="256">
        <v>883080315</v>
      </c>
      <c r="D552" s="256" t="s">
        <v>538</v>
      </c>
      <c r="E552" s="256" t="s">
        <v>539</v>
      </c>
      <c r="F552" s="256" t="s">
        <v>817</v>
      </c>
      <c r="G552" s="256" t="s">
        <v>108</v>
      </c>
      <c r="H552" s="256" t="s">
        <v>752</v>
      </c>
      <c r="I552" s="257">
        <v>5450000</v>
      </c>
      <c r="J552" s="257">
        <v>0</v>
      </c>
      <c r="K552" s="257">
        <v>0</v>
      </c>
      <c r="L552" s="257">
        <v>0</v>
      </c>
      <c r="M552" s="257">
        <v>0</v>
      </c>
      <c r="N552" s="257">
        <v>0</v>
      </c>
      <c r="O552" s="257">
        <v>0</v>
      </c>
      <c r="P552" s="257">
        <v>5450000</v>
      </c>
      <c r="Q552" s="258">
        <v>0</v>
      </c>
    </row>
    <row r="553" spans="1:17">
      <c r="A553" s="256">
        <v>1</v>
      </c>
      <c r="B553" s="256">
        <v>8830803</v>
      </c>
      <c r="C553" s="256">
        <v>883080316</v>
      </c>
      <c r="D553" s="256" t="s">
        <v>538</v>
      </c>
      <c r="E553" s="256" t="s">
        <v>539</v>
      </c>
      <c r="F553" s="256" t="s">
        <v>817</v>
      </c>
      <c r="G553" s="256" t="s">
        <v>108</v>
      </c>
      <c r="H553" s="256" t="s">
        <v>753</v>
      </c>
      <c r="I553" s="257">
        <v>0</v>
      </c>
      <c r="J553" s="257">
        <v>0</v>
      </c>
      <c r="K553" s="257">
        <v>0</v>
      </c>
      <c r="L553" s="257">
        <v>0</v>
      </c>
      <c r="M553" s="257">
        <v>0</v>
      </c>
      <c r="N553" s="257">
        <v>0</v>
      </c>
      <c r="O553" s="257">
        <v>0</v>
      </c>
      <c r="P553" s="257">
        <v>0</v>
      </c>
      <c r="Q553" s="258">
        <v>0</v>
      </c>
    </row>
    <row r="554" spans="1:17">
      <c r="A554" s="256">
        <v>1</v>
      </c>
      <c r="B554" s="256">
        <v>8830804</v>
      </c>
      <c r="C554" s="256">
        <v>883080401</v>
      </c>
      <c r="D554" s="256" t="s">
        <v>538</v>
      </c>
      <c r="E554" s="256" t="s">
        <v>539</v>
      </c>
      <c r="F554" s="256" t="s">
        <v>817</v>
      </c>
      <c r="G554" s="256" t="s">
        <v>106</v>
      </c>
      <c r="H554" s="256" t="s">
        <v>755</v>
      </c>
      <c r="I554" s="257">
        <v>94575574</v>
      </c>
      <c r="J554" s="257">
        <v>0</v>
      </c>
      <c r="K554" s="257">
        <v>0</v>
      </c>
      <c r="L554" s="257">
        <v>0</v>
      </c>
      <c r="M554" s="257">
        <v>0</v>
      </c>
      <c r="N554" s="257">
        <v>0</v>
      </c>
      <c r="O554" s="257">
        <v>94575574</v>
      </c>
      <c r="P554" s="257">
        <v>0</v>
      </c>
      <c r="Q554" s="258">
        <v>0</v>
      </c>
    </row>
    <row r="555" spans="1:17">
      <c r="A555" s="256">
        <v>1</v>
      </c>
      <c r="B555" s="256">
        <v>8830804</v>
      </c>
      <c r="C555" s="256">
        <v>883080402</v>
      </c>
      <c r="D555" s="256" t="s">
        <v>538</v>
      </c>
      <c r="E555" s="256" t="s">
        <v>539</v>
      </c>
      <c r="F555" s="256" t="s">
        <v>817</v>
      </c>
      <c r="G555" s="256" t="s">
        <v>106</v>
      </c>
      <c r="H555" s="256" t="s">
        <v>756</v>
      </c>
      <c r="I555" s="257">
        <v>561704</v>
      </c>
      <c r="J555" s="257">
        <v>0</v>
      </c>
      <c r="K555" s="257">
        <v>0</v>
      </c>
      <c r="L555" s="257">
        <v>0</v>
      </c>
      <c r="M555" s="257">
        <v>0</v>
      </c>
      <c r="N555" s="257">
        <v>0</v>
      </c>
      <c r="O555" s="257">
        <v>0</v>
      </c>
      <c r="P555" s="257">
        <v>561704</v>
      </c>
      <c r="Q555" s="258">
        <v>0</v>
      </c>
    </row>
    <row r="556" spans="1:17">
      <c r="A556" s="256">
        <v>1</v>
      </c>
      <c r="B556" s="256">
        <v>8830804</v>
      </c>
      <c r="C556" s="256">
        <v>883080403</v>
      </c>
      <c r="D556" s="256" t="s">
        <v>538</v>
      </c>
      <c r="E556" s="256" t="s">
        <v>539</v>
      </c>
      <c r="F556" s="256" t="s">
        <v>817</v>
      </c>
      <c r="G556" s="256" t="s">
        <v>106</v>
      </c>
      <c r="H556" s="256" t="s">
        <v>757</v>
      </c>
      <c r="I556" s="257">
        <v>0</v>
      </c>
      <c r="J556" s="257">
        <v>0</v>
      </c>
      <c r="K556" s="257">
        <v>0</v>
      </c>
      <c r="L556" s="257">
        <v>0</v>
      </c>
      <c r="M556" s="257">
        <v>0</v>
      </c>
      <c r="N556" s="257">
        <v>0</v>
      </c>
      <c r="O556" s="257">
        <v>0</v>
      </c>
      <c r="P556" s="257">
        <v>0</v>
      </c>
      <c r="Q556" s="258">
        <v>0</v>
      </c>
    </row>
    <row r="557" spans="1:17">
      <c r="A557" s="256">
        <v>1</v>
      </c>
      <c r="B557" s="256">
        <v>8830804</v>
      </c>
      <c r="C557" s="256">
        <v>883080405</v>
      </c>
      <c r="D557" s="256" t="s">
        <v>538</v>
      </c>
      <c r="E557" s="256" t="s">
        <v>539</v>
      </c>
      <c r="F557" s="256" t="s">
        <v>817</v>
      </c>
      <c r="G557" s="256" t="s">
        <v>106</v>
      </c>
      <c r="H557" s="256" t="s">
        <v>758</v>
      </c>
      <c r="I557" s="257">
        <v>0</v>
      </c>
      <c r="J557" s="257">
        <v>0</v>
      </c>
      <c r="K557" s="257">
        <v>0</v>
      </c>
      <c r="L557" s="257">
        <v>0</v>
      </c>
      <c r="M557" s="257">
        <v>0</v>
      </c>
      <c r="N557" s="257">
        <v>0</v>
      </c>
      <c r="O557" s="257">
        <v>0</v>
      </c>
      <c r="P557" s="257">
        <v>0</v>
      </c>
      <c r="Q557" s="258">
        <v>0</v>
      </c>
    </row>
    <row r="558" spans="1:17">
      <c r="A558" s="256">
        <v>1</v>
      </c>
      <c r="B558" s="256">
        <v>8830804</v>
      </c>
      <c r="C558" s="256">
        <v>883080406</v>
      </c>
      <c r="D558" s="256" t="s">
        <v>538</v>
      </c>
      <c r="E558" s="256" t="s">
        <v>539</v>
      </c>
      <c r="F558" s="256" t="s">
        <v>817</v>
      </c>
      <c r="G558" s="256" t="s">
        <v>106</v>
      </c>
      <c r="H558" s="256" t="s">
        <v>759</v>
      </c>
      <c r="I558" s="257">
        <v>231109</v>
      </c>
      <c r="J558" s="257">
        <v>0</v>
      </c>
      <c r="K558" s="257">
        <v>0</v>
      </c>
      <c r="L558" s="257">
        <v>0</v>
      </c>
      <c r="M558" s="257">
        <v>0</v>
      </c>
      <c r="N558" s="257">
        <v>0</v>
      </c>
      <c r="O558" s="257">
        <v>231109</v>
      </c>
      <c r="P558" s="257">
        <v>0</v>
      </c>
      <c r="Q558" s="258">
        <v>0</v>
      </c>
    </row>
    <row r="559" spans="1:17">
      <c r="A559" s="256">
        <v>1</v>
      </c>
      <c r="B559" s="256">
        <v>8830804</v>
      </c>
      <c r="C559" s="256">
        <v>883080407</v>
      </c>
      <c r="D559" s="256" t="s">
        <v>538</v>
      </c>
      <c r="E559" s="256" t="s">
        <v>539</v>
      </c>
      <c r="F559" s="256" t="s">
        <v>817</v>
      </c>
      <c r="G559" s="256" t="s">
        <v>106</v>
      </c>
      <c r="H559" s="256" t="s">
        <v>760</v>
      </c>
      <c r="I559" s="257">
        <v>0</v>
      </c>
      <c r="J559" s="257">
        <v>0</v>
      </c>
      <c r="K559" s="257">
        <v>0</v>
      </c>
      <c r="L559" s="257">
        <v>0</v>
      </c>
      <c r="M559" s="257">
        <v>0</v>
      </c>
      <c r="N559" s="257">
        <v>0</v>
      </c>
      <c r="O559" s="257">
        <v>0</v>
      </c>
      <c r="P559" s="257">
        <v>0</v>
      </c>
      <c r="Q559" s="258">
        <v>0</v>
      </c>
    </row>
    <row r="560" spans="1:17">
      <c r="A560" s="256">
        <v>1</v>
      </c>
      <c r="B560" s="256">
        <v>8830804</v>
      </c>
      <c r="C560" s="256">
        <v>883080408</v>
      </c>
      <c r="D560" s="256" t="s">
        <v>538</v>
      </c>
      <c r="E560" s="256" t="s">
        <v>539</v>
      </c>
      <c r="F560" s="256" t="s">
        <v>817</v>
      </c>
      <c r="G560" s="256" t="s">
        <v>106</v>
      </c>
      <c r="H560" s="256" t="s">
        <v>761</v>
      </c>
      <c r="I560" s="257">
        <v>0</v>
      </c>
      <c r="J560" s="257">
        <v>0</v>
      </c>
      <c r="K560" s="257">
        <v>0</v>
      </c>
      <c r="L560" s="257">
        <v>0</v>
      </c>
      <c r="M560" s="257">
        <v>0</v>
      </c>
      <c r="N560" s="257">
        <v>0</v>
      </c>
      <c r="O560" s="257">
        <v>0</v>
      </c>
      <c r="P560" s="257">
        <v>0</v>
      </c>
      <c r="Q560" s="258">
        <v>0</v>
      </c>
    </row>
    <row r="561" spans="1:17">
      <c r="A561" s="256">
        <v>1</v>
      </c>
      <c r="B561" s="256">
        <v>8830804</v>
      </c>
      <c r="C561" s="256">
        <v>883080410</v>
      </c>
      <c r="D561" s="256" t="s">
        <v>538</v>
      </c>
      <c r="E561" s="256" t="s">
        <v>539</v>
      </c>
      <c r="F561" s="256" t="s">
        <v>817</v>
      </c>
      <c r="G561" s="256" t="s">
        <v>106</v>
      </c>
      <c r="H561" s="256" t="s">
        <v>762</v>
      </c>
      <c r="I561" s="257">
        <v>35707068</v>
      </c>
      <c r="J561" s="257">
        <v>0</v>
      </c>
      <c r="K561" s="257">
        <v>0</v>
      </c>
      <c r="L561" s="257">
        <v>0</v>
      </c>
      <c r="M561" s="257">
        <v>0</v>
      </c>
      <c r="N561" s="257">
        <v>0</v>
      </c>
      <c r="O561" s="257">
        <v>35707068</v>
      </c>
      <c r="P561" s="257">
        <v>0</v>
      </c>
      <c r="Q561" s="258">
        <v>0</v>
      </c>
    </row>
    <row r="562" spans="1:17">
      <c r="A562" s="256">
        <v>1</v>
      </c>
      <c r="B562" s="256">
        <v>8830804</v>
      </c>
      <c r="C562" s="256">
        <v>883080411</v>
      </c>
      <c r="D562" s="256" t="s">
        <v>538</v>
      </c>
      <c r="E562" s="256" t="s">
        <v>539</v>
      </c>
      <c r="F562" s="256" t="s">
        <v>817</v>
      </c>
      <c r="G562" s="256" t="s">
        <v>106</v>
      </c>
      <c r="H562" s="256" t="s">
        <v>763</v>
      </c>
      <c r="I562" s="257">
        <v>4026</v>
      </c>
      <c r="J562" s="257">
        <v>0</v>
      </c>
      <c r="K562" s="257">
        <v>0</v>
      </c>
      <c r="L562" s="257">
        <v>0</v>
      </c>
      <c r="M562" s="257">
        <v>0</v>
      </c>
      <c r="N562" s="257">
        <v>0</v>
      </c>
      <c r="O562" s="257">
        <v>4026</v>
      </c>
      <c r="P562" s="257">
        <v>0</v>
      </c>
      <c r="Q562" s="258">
        <v>0</v>
      </c>
    </row>
    <row r="563" spans="1:17">
      <c r="A563" s="256">
        <v>1</v>
      </c>
      <c r="B563" s="256">
        <v>8830805</v>
      </c>
      <c r="C563" s="256">
        <v>883080500</v>
      </c>
      <c r="D563" s="256" t="s">
        <v>538</v>
      </c>
      <c r="E563" s="256" t="s">
        <v>539</v>
      </c>
      <c r="F563" s="256" t="s">
        <v>817</v>
      </c>
      <c r="G563" s="256" t="s">
        <v>104</v>
      </c>
      <c r="H563" s="256"/>
      <c r="I563" s="257">
        <v>0</v>
      </c>
      <c r="J563" s="257">
        <v>0</v>
      </c>
      <c r="K563" s="257">
        <v>0</v>
      </c>
      <c r="L563" s="257">
        <v>0</v>
      </c>
      <c r="M563" s="257">
        <v>0</v>
      </c>
      <c r="N563" s="257">
        <v>0</v>
      </c>
      <c r="O563" s="257">
        <v>0</v>
      </c>
      <c r="P563" s="257">
        <v>0</v>
      </c>
      <c r="Q563" s="258">
        <v>0</v>
      </c>
    </row>
    <row r="564" spans="1:17">
      <c r="A564" s="256">
        <v>1</v>
      </c>
      <c r="B564" s="256">
        <v>8830807</v>
      </c>
      <c r="C564" s="256">
        <v>883080700</v>
      </c>
      <c r="D564" s="256" t="s">
        <v>538</v>
      </c>
      <c r="E564" s="256" t="s">
        <v>539</v>
      </c>
      <c r="F564" s="256" t="s">
        <v>817</v>
      </c>
      <c r="G564" s="256" t="s">
        <v>102</v>
      </c>
      <c r="H564" s="256"/>
      <c r="I564" s="257">
        <v>0</v>
      </c>
      <c r="J564" s="257">
        <v>0</v>
      </c>
      <c r="K564" s="257">
        <v>0</v>
      </c>
      <c r="L564" s="257">
        <v>0</v>
      </c>
      <c r="M564" s="257">
        <v>0</v>
      </c>
      <c r="N564" s="257">
        <v>0</v>
      </c>
      <c r="O564" s="257">
        <v>0</v>
      </c>
      <c r="P564" s="257">
        <v>0</v>
      </c>
      <c r="Q564" s="258">
        <v>0</v>
      </c>
    </row>
    <row r="565" spans="1:17">
      <c r="A565" s="256">
        <v>1</v>
      </c>
      <c r="B565" s="256">
        <v>8830808</v>
      </c>
      <c r="C565" s="256">
        <v>883080800</v>
      </c>
      <c r="D565" s="256" t="s">
        <v>538</v>
      </c>
      <c r="E565" s="256" t="s">
        <v>539</v>
      </c>
      <c r="F565" s="256" t="s">
        <v>817</v>
      </c>
      <c r="G565" s="256" t="s">
        <v>100</v>
      </c>
      <c r="H565" s="256"/>
      <c r="I565" s="257">
        <v>45200</v>
      </c>
      <c r="J565" s="257">
        <v>0</v>
      </c>
      <c r="K565" s="257">
        <v>0</v>
      </c>
      <c r="L565" s="257">
        <v>0</v>
      </c>
      <c r="M565" s="257">
        <v>0</v>
      </c>
      <c r="N565" s="257">
        <v>45200</v>
      </c>
      <c r="O565" s="257">
        <v>0</v>
      </c>
      <c r="P565" s="257">
        <v>0</v>
      </c>
      <c r="Q565" s="258">
        <v>0</v>
      </c>
    </row>
    <row r="566" spans="1:17">
      <c r="A566" s="256">
        <v>1</v>
      </c>
      <c r="B566" s="256">
        <v>8830810</v>
      </c>
      <c r="C566" s="256">
        <v>883081001</v>
      </c>
      <c r="D566" s="256" t="s">
        <v>538</v>
      </c>
      <c r="E566" s="256" t="s">
        <v>539</v>
      </c>
      <c r="F566" s="256" t="s">
        <v>817</v>
      </c>
      <c r="G566" s="256" t="s">
        <v>764</v>
      </c>
      <c r="H566" s="256" t="s">
        <v>98</v>
      </c>
      <c r="I566" s="257">
        <v>6600</v>
      </c>
      <c r="J566" s="257">
        <v>0</v>
      </c>
      <c r="K566" s="257">
        <v>0</v>
      </c>
      <c r="L566" s="257">
        <v>0</v>
      </c>
      <c r="M566" s="257">
        <v>0</v>
      </c>
      <c r="N566" s="257">
        <v>6600</v>
      </c>
      <c r="O566" s="257">
        <v>0</v>
      </c>
      <c r="P566" s="257">
        <v>0</v>
      </c>
      <c r="Q566" s="258">
        <v>0</v>
      </c>
    </row>
    <row r="567" spans="1:17">
      <c r="A567" s="256">
        <v>1</v>
      </c>
      <c r="B567" s="256">
        <v>8830810</v>
      </c>
      <c r="C567" s="256">
        <v>883081002</v>
      </c>
      <c r="D567" s="256" t="s">
        <v>538</v>
      </c>
      <c r="E567" s="256" t="s">
        <v>539</v>
      </c>
      <c r="F567" s="256" t="s">
        <v>817</v>
      </c>
      <c r="G567" s="256" t="s">
        <v>764</v>
      </c>
      <c r="H567" s="256" t="s">
        <v>95</v>
      </c>
      <c r="I567" s="257">
        <v>0</v>
      </c>
      <c r="J567" s="257">
        <v>0</v>
      </c>
      <c r="K567" s="257">
        <v>0</v>
      </c>
      <c r="L567" s="257">
        <v>0</v>
      </c>
      <c r="M567" s="257">
        <v>0</v>
      </c>
      <c r="N567" s="257">
        <v>0</v>
      </c>
      <c r="O567" s="257">
        <v>0</v>
      </c>
      <c r="P567" s="257">
        <v>0</v>
      </c>
      <c r="Q567" s="258">
        <v>0</v>
      </c>
    </row>
    <row r="568" spans="1:17">
      <c r="A568" s="236">
        <v>1</v>
      </c>
      <c r="B568" s="236">
        <v>8830810</v>
      </c>
      <c r="C568" s="236">
        <v>883081003</v>
      </c>
      <c r="D568" s="236" t="s">
        <v>538</v>
      </c>
      <c r="E568" s="236" t="s">
        <v>539</v>
      </c>
      <c r="F568" s="236" t="s">
        <v>817</v>
      </c>
      <c r="G568" s="236" t="s">
        <v>764</v>
      </c>
      <c r="H568" s="236" t="s">
        <v>765</v>
      </c>
      <c r="I568" s="257">
        <v>24960</v>
      </c>
      <c r="J568" s="257">
        <v>0</v>
      </c>
      <c r="K568" s="257">
        <v>0</v>
      </c>
      <c r="L568" s="257">
        <v>0</v>
      </c>
      <c r="M568" s="257">
        <v>0</v>
      </c>
      <c r="N568" s="257">
        <v>24960</v>
      </c>
      <c r="O568" s="257">
        <v>0</v>
      </c>
      <c r="P568" s="257">
        <v>0</v>
      </c>
      <c r="Q568" s="258">
        <v>0</v>
      </c>
    </row>
    <row r="569" spans="1:17">
      <c r="A569" s="256">
        <v>1</v>
      </c>
      <c r="B569" s="256">
        <v>8830813</v>
      </c>
      <c r="C569" s="256">
        <v>883081300</v>
      </c>
      <c r="D569" s="256" t="s">
        <v>538</v>
      </c>
      <c r="E569" s="256" t="s">
        <v>539</v>
      </c>
      <c r="F569" s="256" t="s">
        <v>817</v>
      </c>
      <c r="G569" s="256" t="s">
        <v>93</v>
      </c>
      <c r="H569" s="256"/>
      <c r="I569" s="257">
        <v>14320191</v>
      </c>
      <c r="J569" s="257">
        <v>0</v>
      </c>
      <c r="K569" s="257">
        <v>0</v>
      </c>
      <c r="L569" s="257">
        <v>0</v>
      </c>
      <c r="M569" s="257">
        <v>144600</v>
      </c>
      <c r="N569" s="257">
        <v>14175591</v>
      </c>
      <c r="O569" s="257">
        <v>0</v>
      </c>
      <c r="P569" s="257">
        <v>0</v>
      </c>
      <c r="Q569" s="258">
        <v>0</v>
      </c>
    </row>
    <row r="570" spans="1:17">
      <c r="A570" s="256">
        <v>1</v>
      </c>
      <c r="B570" s="256">
        <v>8830814</v>
      </c>
      <c r="C570" s="256">
        <v>883081400</v>
      </c>
      <c r="D570" s="256" t="s">
        <v>538</v>
      </c>
      <c r="E570" s="256" t="s">
        <v>539</v>
      </c>
      <c r="F570" s="256" t="s">
        <v>817</v>
      </c>
      <c r="G570" s="256" t="s">
        <v>91</v>
      </c>
      <c r="H570" s="256"/>
      <c r="I570" s="257">
        <v>333066</v>
      </c>
      <c r="J570" s="257">
        <v>0</v>
      </c>
      <c r="K570" s="257">
        <v>0</v>
      </c>
      <c r="L570" s="257">
        <v>0</v>
      </c>
      <c r="M570" s="257">
        <v>0</v>
      </c>
      <c r="N570" s="257">
        <v>333066</v>
      </c>
      <c r="O570" s="257">
        <v>0</v>
      </c>
      <c r="P570" s="257">
        <v>0</v>
      </c>
      <c r="Q570" s="258">
        <v>0</v>
      </c>
    </row>
    <row r="571" spans="1:17">
      <c r="A571" s="256">
        <v>1</v>
      </c>
      <c r="B571" s="256">
        <v>8830815</v>
      </c>
      <c r="C571" s="256">
        <v>883081500</v>
      </c>
      <c r="D571" s="256" t="s">
        <v>538</v>
      </c>
      <c r="E571" s="256" t="s">
        <v>539</v>
      </c>
      <c r="F571" s="256" t="s">
        <v>817</v>
      </c>
      <c r="G571" s="256" t="s">
        <v>89</v>
      </c>
      <c r="H571" s="256"/>
      <c r="I571" s="257">
        <v>12953428</v>
      </c>
      <c r="J571" s="257">
        <v>0</v>
      </c>
      <c r="K571" s="257">
        <v>0</v>
      </c>
      <c r="L571" s="257">
        <v>0</v>
      </c>
      <c r="M571" s="257">
        <v>0</v>
      </c>
      <c r="N571" s="257">
        <v>12953428</v>
      </c>
      <c r="O571" s="257">
        <v>0</v>
      </c>
      <c r="P571" s="257">
        <v>0</v>
      </c>
      <c r="Q571" s="258">
        <v>0</v>
      </c>
    </row>
    <row r="572" spans="1:17">
      <c r="A572" s="256">
        <v>1</v>
      </c>
      <c r="B572" s="256">
        <v>8830817</v>
      </c>
      <c r="C572" s="256">
        <v>883081700</v>
      </c>
      <c r="D572" s="256" t="s">
        <v>538</v>
      </c>
      <c r="E572" s="256" t="s">
        <v>539</v>
      </c>
      <c r="F572" s="256" t="s">
        <v>817</v>
      </c>
      <c r="G572" s="256" t="s">
        <v>87</v>
      </c>
      <c r="H572" s="256"/>
      <c r="I572" s="257">
        <v>2514300</v>
      </c>
      <c r="J572" s="257">
        <v>0</v>
      </c>
      <c r="K572" s="257">
        <v>0</v>
      </c>
      <c r="L572" s="257">
        <v>0</v>
      </c>
      <c r="M572" s="257">
        <v>0</v>
      </c>
      <c r="N572" s="257">
        <v>2514300</v>
      </c>
      <c r="O572" s="257">
        <v>0</v>
      </c>
      <c r="P572" s="257">
        <v>0</v>
      </c>
      <c r="Q572" s="258">
        <v>0</v>
      </c>
    </row>
    <row r="573" spans="1:17">
      <c r="A573" s="256">
        <v>1</v>
      </c>
      <c r="B573" s="256">
        <v>8830819</v>
      </c>
      <c r="C573" s="256">
        <v>883081900</v>
      </c>
      <c r="D573" s="256" t="s">
        <v>538</v>
      </c>
      <c r="E573" s="256" t="s">
        <v>539</v>
      </c>
      <c r="F573" s="256" t="s">
        <v>817</v>
      </c>
      <c r="G573" s="256" t="s">
        <v>85</v>
      </c>
      <c r="H573" s="256"/>
      <c r="I573" s="257">
        <v>268755</v>
      </c>
      <c r="J573" s="257">
        <v>0</v>
      </c>
      <c r="K573" s="257">
        <v>0</v>
      </c>
      <c r="L573" s="257">
        <v>0</v>
      </c>
      <c r="M573" s="257">
        <v>0</v>
      </c>
      <c r="N573" s="257">
        <v>256855</v>
      </c>
      <c r="O573" s="257">
        <v>11900</v>
      </c>
      <c r="P573" s="257">
        <v>0</v>
      </c>
      <c r="Q573" s="258">
        <v>0</v>
      </c>
    </row>
    <row r="574" spans="1:17">
      <c r="A574" s="256">
        <v>1</v>
      </c>
      <c r="B574" s="256">
        <v>8830820</v>
      </c>
      <c r="C574" s="256">
        <v>883082000</v>
      </c>
      <c r="D574" s="256" t="s">
        <v>538</v>
      </c>
      <c r="E574" s="256" t="s">
        <v>539</v>
      </c>
      <c r="F574" s="256" t="s">
        <v>817</v>
      </c>
      <c r="G574" s="256" t="s">
        <v>83</v>
      </c>
      <c r="H574" s="256"/>
      <c r="I574" s="257">
        <v>1481824</v>
      </c>
      <c r="J574" s="257">
        <v>0</v>
      </c>
      <c r="K574" s="257">
        <v>0</v>
      </c>
      <c r="L574" s="257">
        <v>518400</v>
      </c>
      <c r="M574" s="257">
        <v>0</v>
      </c>
      <c r="N574" s="257">
        <v>963424</v>
      </c>
      <c r="O574" s="257">
        <v>0</v>
      </c>
      <c r="P574" s="257">
        <v>0</v>
      </c>
      <c r="Q574" s="258">
        <v>0</v>
      </c>
    </row>
    <row r="575" spans="1:17">
      <c r="A575" s="256">
        <v>1</v>
      </c>
      <c r="B575" s="256">
        <v>8830821</v>
      </c>
      <c r="C575" s="256">
        <v>883082100</v>
      </c>
      <c r="D575" s="256" t="s">
        <v>538</v>
      </c>
      <c r="E575" s="256" t="s">
        <v>539</v>
      </c>
      <c r="F575" s="256" t="s">
        <v>817</v>
      </c>
      <c r="G575" s="256" t="s">
        <v>81</v>
      </c>
      <c r="H575" s="256"/>
      <c r="I575" s="257">
        <v>3225357455</v>
      </c>
      <c r="J575" s="257">
        <v>0</v>
      </c>
      <c r="K575" s="257">
        <v>0</v>
      </c>
      <c r="L575" s="257">
        <v>0</v>
      </c>
      <c r="M575" s="257">
        <v>0</v>
      </c>
      <c r="N575" s="257">
        <v>3225357455</v>
      </c>
      <c r="O575" s="257">
        <v>0</v>
      </c>
      <c r="P575" s="257">
        <v>0</v>
      </c>
      <c r="Q575" s="258">
        <v>0</v>
      </c>
    </row>
    <row r="576" spans="1:17">
      <c r="A576" s="256">
        <v>1</v>
      </c>
      <c r="B576" s="256">
        <v>8830823</v>
      </c>
      <c r="C576" s="256">
        <v>883082300</v>
      </c>
      <c r="D576" s="256" t="s">
        <v>538</v>
      </c>
      <c r="E576" s="256" t="s">
        <v>539</v>
      </c>
      <c r="F576" s="256" t="s">
        <v>817</v>
      </c>
      <c r="G576" s="256" t="s">
        <v>79</v>
      </c>
      <c r="H576" s="256"/>
      <c r="I576" s="257">
        <v>216228011</v>
      </c>
      <c r="J576" s="257">
        <v>0</v>
      </c>
      <c r="K576" s="257">
        <v>0</v>
      </c>
      <c r="L576" s="257">
        <v>0</v>
      </c>
      <c r="M576" s="257">
        <v>0</v>
      </c>
      <c r="N576" s="257">
        <v>216228011</v>
      </c>
      <c r="O576" s="257">
        <v>0</v>
      </c>
      <c r="P576" s="257">
        <v>0</v>
      </c>
      <c r="Q576" s="258">
        <v>0</v>
      </c>
    </row>
    <row r="577" spans="1:17">
      <c r="A577" s="256">
        <v>1</v>
      </c>
      <c r="B577" s="256">
        <v>8830824</v>
      </c>
      <c r="C577" s="256">
        <v>883082400</v>
      </c>
      <c r="D577" s="256" t="s">
        <v>538</v>
      </c>
      <c r="E577" s="256" t="s">
        <v>539</v>
      </c>
      <c r="F577" s="256" t="s">
        <v>817</v>
      </c>
      <c r="G577" s="256" t="s">
        <v>77</v>
      </c>
      <c r="H577" s="256"/>
      <c r="I577" s="257">
        <v>44165778</v>
      </c>
      <c r="J577" s="257">
        <v>0</v>
      </c>
      <c r="K577" s="257">
        <v>0</v>
      </c>
      <c r="L577" s="257">
        <v>0</v>
      </c>
      <c r="M577" s="257">
        <v>0</v>
      </c>
      <c r="N577" s="257">
        <v>44165778</v>
      </c>
      <c r="O577" s="257">
        <v>0</v>
      </c>
      <c r="P577" s="257">
        <v>0</v>
      </c>
      <c r="Q577" s="258">
        <v>0</v>
      </c>
    </row>
    <row r="578" spans="1:17">
      <c r="A578" s="256">
        <v>1</v>
      </c>
      <c r="B578" s="256">
        <v>8830825</v>
      </c>
      <c r="C578" s="256">
        <v>883082500</v>
      </c>
      <c r="D578" s="256" t="s">
        <v>538</v>
      </c>
      <c r="E578" s="256" t="s">
        <v>539</v>
      </c>
      <c r="F578" s="256" t="s">
        <v>817</v>
      </c>
      <c r="G578" s="256" t="s">
        <v>75</v>
      </c>
      <c r="H578" s="256"/>
      <c r="I578" s="257">
        <v>0</v>
      </c>
      <c r="J578" s="257">
        <v>0</v>
      </c>
      <c r="K578" s="257">
        <v>0</v>
      </c>
      <c r="L578" s="257">
        <v>0</v>
      </c>
      <c r="M578" s="257">
        <v>0</v>
      </c>
      <c r="N578" s="257">
        <v>0</v>
      </c>
      <c r="O578" s="257">
        <v>0</v>
      </c>
      <c r="P578" s="257">
        <v>0</v>
      </c>
      <c r="Q578" s="258">
        <v>0</v>
      </c>
    </row>
    <row r="579" spans="1:17">
      <c r="A579" s="256">
        <v>1</v>
      </c>
      <c r="B579" s="256">
        <v>8830826</v>
      </c>
      <c r="C579" s="256">
        <v>883082600</v>
      </c>
      <c r="D579" s="256" t="s">
        <v>538</v>
      </c>
      <c r="E579" s="256" t="s">
        <v>539</v>
      </c>
      <c r="F579" s="256" t="s">
        <v>817</v>
      </c>
      <c r="G579" s="256" t="s">
        <v>73</v>
      </c>
      <c r="H579" s="256"/>
      <c r="I579" s="257">
        <v>0</v>
      </c>
      <c r="J579" s="257">
        <v>0</v>
      </c>
      <c r="K579" s="257">
        <v>0</v>
      </c>
      <c r="L579" s="257">
        <v>0</v>
      </c>
      <c r="M579" s="257">
        <v>0</v>
      </c>
      <c r="N579" s="257">
        <v>0</v>
      </c>
      <c r="O579" s="257">
        <v>0</v>
      </c>
      <c r="P579" s="257">
        <v>0</v>
      </c>
      <c r="Q579" s="258">
        <v>0</v>
      </c>
    </row>
    <row r="580" spans="1:17">
      <c r="A580" s="256">
        <v>1</v>
      </c>
      <c r="B580" s="256">
        <v>8830828</v>
      </c>
      <c r="C580" s="256">
        <v>883082866</v>
      </c>
      <c r="D580" s="256" t="s">
        <v>538</v>
      </c>
      <c r="E580" s="256" t="s">
        <v>539</v>
      </c>
      <c r="F580" s="256" t="s">
        <v>817</v>
      </c>
      <c r="G580" s="256" t="s">
        <v>811</v>
      </c>
      <c r="H580" s="256" t="s">
        <v>812</v>
      </c>
      <c r="I580" s="257">
        <v>514598231</v>
      </c>
      <c r="J580" s="257">
        <v>0</v>
      </c>
      <c r="K580" s="257">
        <v>0</v>
      </c>
      <c r="L580" s="257">
        <v>0</v>
      </c>
      <c r="M580" s="257">
        <v>0</v>
      </c>
      <c r="N580" s="257">
        <v>514598231</v>
      </c>
      <c r="O580" s="257">
        <v>0</v>
      </c>
      <c r="P580" s="257">
        <v>0</v>
      </c>
      <c r="Q580" s="258">
        <v>0</v>
      </c>
    </row>
    <row r="581" spans="1:17">
      <c r="A581" s="256">
        <v>1</v>
      </c>
      <c r="B581" s="256">
        <v>8830828</v>
      </c>
      <c r="C581" s="256">
        <v>883082867</v>
      </c>
      <c r="D581" s="256" t="s">
        <v>538</v>
      </c>
      <c r="E581" s="256" t="s">
        <v>539</v>
      </c>
      <c r="F581" s="256" t="s">
        <v>817</v>
      </c>
      <c r="G581" s="256" t="s">
        <v>811</v>
      </c>
      <c r="H581" s="256" t="s">
        <v>813</v>
      </c>
      <c r="I581" s="257">
        <v>270270</v>
      </c>
      <c r="J581" s="257">
        <v>0</v>
      </c>
      <c r="K581" s="257">
        <v>0</v>
      </c>
      <c r="L581" s="257">
        <v>0</v>
      </c>
      <c r="M581" s="257">
        <v>0</v>
      </c>
      <c r="N581" s="257">
        <v>270270</v>
      </c>
      <c r="O581" s="257">
        <v>0</v>
      </c>
      <c r="P581" s="257">
        <v>0</v>
      </c>
      <c r="Q581" s="258">
        <v>0</v>
      </c>
    </row>
    <row r="582" spans="1:17">
      <c r="A582" s="256">
        <v>1</v>
      </c>
      <c r="B582" s="256">
        <v>8830829</v>
      </c>
      <c r="C582" s="256">
        <v>883082900</v>
      </c>
      <c r="D582" s="256" t="s">
        <v>538</v>
      </c>
      <c r="E582" s="256" t="s">
        <v>539</v>
      </c>
      <c r="F582" s="256" t="s">
        <v>817</v>
      </c>
      <c r="G582" s="256" t="s">
        <v>66</v>
      </c>
      <c r="H582" s="256"/>
      <c r="I582" s="257">
        <v>82462216</v>
      </c>
      <c r="J582" s="257">
        <v>0</v>
      </c>
      <c r="K582" s="257">
        <v>0</v>
      </c>
      <c r="L582" s="257">
        <v>0</v>
      </c>
      <c r="M582" s="257">
        <v>0</v>
      </c>
      <c r="N582" s="257">
        <v>82462216</v>
      </c>
      <c r="O582" s="257">
        <v>0</v>
      </c>
      <c r="P582" s="257">
        <v>0</v>
      </c>
      <c r="Q582" s="258">
        <v>0</v>
      </c>
    </row>
    <row r="583" spans="1:17">
      <c r="A583" s="256">
        <v>1</v>
      </c>
      <c r="B583" s="256">
        <v>8830830</v>
      </c>
      <c r="C583" s="256">
        <v>883083000</v>
      </c>
      <c r="D583" s="256" t="s">
        <v>538</v>
      </c>
      <c r="E583" s="256" t="s">
        <v>539</v>
      </c>
      <c r="F583" s="256" t="s">
        <v>817</v>
      </c>
      <c r="G583" s="256" t="s">
        <v>64</v>
      </c>
      <c r="H583" s="256"/>
      <c r="I583" s="257">
        <v>0</v>
      </c>
      <c r="J583" s="257">
        <v>0</v>
      </c>
      <c r="K583" s="257">
        <v>0</v>
      </c>
      <c r="L583" s="257">
        <v>0</v>
      </c>
      <c r="M583" s="257">
        <v>0</v>
      </c>
      <c r="N583" s="257">
        <v>0</v>
      </c>
      <c r="O583" s="257">
        <v>0</v>
      </c>
      <c r="P583" s="257">
        <v>0</v>
      </c>
      <c r="Q583" s="258">
        <v>0</v>
      </c>
    </row>
    <row r="584" spans="1:17">
      <c r="A584" s="256">
        <v>1</v>
      </c>
      <c r="B584" s="256">
        <v>8830831</v>
      </c>
      <c r="C584" s="256">
        <v>883083100</v>
      </c>
      <c r="D584" s="256" t="s">
        <v>538</v>
      </c>
      <c r="E584" s="256" t="s">
        <v>539</v>
      </c>
      <c r="F584" s="256" t="s">
        <v>817</v>
      </c>
      <c r="G584" s="256" t="s">
        <v>62</v>
      </c>
      <c r="H584" s="256"/>
      <c r="I584" s="257">
        <v>1598889696</v>
      </c>
      <c r="J584" s="257">
        <v>0</v>
      </c>
      <c r="K584" s="257">
        <v>0</v>
      </c>
      <c r="L584" s="257">
        <v>0</v>
      </c>
      <c r="M584" s="257">
        <v>0</v>
      </c>
      <c r="N584" s="257">
        <v>1596158815</v>
      </c>
      <c r="O584" s="257">
        <v>15600</v>
      </c>
      <c r="P584" s="257">
        <v>2715281</v>
      </c>
      <c r="Q584" s="258">
        <v>0</v>
      </c>
    </row>
    <row r="585" spans="1:17">
      <c r="A585" s="256">
        <v>1</v>
      </c>
      <c r="B585" s="256">
        <v>8830837</v>
      </c>
      <c r="C585" s="256">
        <v>883083700</v>
      </c>
      <c r="D585" s="256" t="s">
        <v>538</v>
      </c>
      <c r="E585" s="256" t="s">
        <v>539</v>
      </c>
      <c r="F585" s="256" t="s">
        <v>817</v>
      </c>
      <c r="G585" s="256" t="s">
        <v>60</v>
      </c>
      <c r="H585" s="256"/>
      <c r="I585" s="257">
        <v>0</v>
      </c>
      <c r="J585" s="257">
        <v>0</v>
      </c>
      <c r="K585" s="257">
        <v>0</v>
      </c>
      <c r="L585" s="257">
        <v>0</v>
      </c>
      <c r="M585" s="257">
        <v>0</v>
      </c>
      <c r="N585" s="257">
        <v>0</v>
      </c>
      <c r="O585" s="257">
        <v>0</v>
      </c>
      <c r="P585" s="257">
        <v>0</v>
      </c>
      <c r="Q585" s="258">
        <v>0</v>
      </c>
    </row>
    <row r="586" spans="1:17">
      <c r="A586" s="256">
        <v>1</v>
      </c>
      <c r="B586" s="256">
        <v>8830839</v>
      </c>
      <c r="C586" s="256">
        <v>883083900</v>
      </c>
      <c r="D586" s="256" t="s">
        <v>538</v>
      </c>
      <c r="E586" s="256" t="s">
        <v>539</v>
      </c>
      <c r="F586" s="256" t="s">
        <v>817</v>
      </c>
      <c r="G586" s="256" t="s">
        <v>58</v>
      </c>
      <c r="H586" s="256"/>
      <c r="I586" s="257">
        <v>123910</v>
      </c>
      <c r="J586" s="257">
        <v>0</v>
      </c>
      <c r="K586" s="257">
        <v>0</v>
      </c>
      <c r="L586" s="257">
        <v>0</v>
      </c>
      <c r="M586" s="257">
        <v>0</v>
      </c>
      <c r="N586" s="257">
        <v>0</v>
      </c>
      <c r="O586" s="257">
        <v>123910</v>
      </c>
      <c r="P586" s="257">
        <v>0</v>
      </c>
      <c r="Q586" s="258">
        <v>0</v>
      </c>
    </row>
    <row r="587" spans="1:17">
      <c r="A587" s="256">
        <v>1</v>
      </c>
      <c r="B587" s="256">
        <v>8830840</v>
      </c>
      <c r="C587" s="256">
        <v>883084000</v>
      </c>
      <c r="D587" s="256" t="s">
        <v>538</v>
      </c>
      <c r="E587" s="256" t="s">
        <v>539</v>
      </c>
      <c r="F587" s="256" t="s">
        <v>817</v>
      </c>
      <c r="G587" s="256" t="s">
        <v>56</v>
      </c>
      <c r="H587" s="256"/>
      <c r="I587" s="257">
        <v>31300</v>
      </c>
      <c r="J587" s="257">
        <v>0</v>
      </c>
      <c r="K587" s="257">
        <v>0</v>
      </c>
      <c r="L587" s="257">
        <v>0</v>
      </c>
      <c r="M587" s="257">
        <v>0</v>
      </c>
      <c r="N587" s="257">
        <v>0</v>
      </c>
      <c r="O587" s="257">
        <v>0</v>
      </c>
      <c r="P587" s="257">
        <v>31300</v>
      </c>
      <c r="Q587" s="258">
        <v>0</v>
      </c>
    </row>
    <row r="588" spans="1:17">
      <c r="A588" s="256">
        <v>1</v>
      </c>
      <c r="B588" s="256">
        <v>8830841</v>
      </c>
      <c r="C588" s="256">
        <v>883084100</v>
      </c>
      <c r="D588" s="256" t="s">
        <v>538</v>
      </c>
      <c r="E588" s="256" t="s">
        <v>539</v>
      </c>
      <c r="F588" s="256" t="s">
        <v>817</v>
      </c>
      <c r="G588" s="256" t="s">
        <v>55</v>
      </c>
      <c r="H588" s="256"/>
      <c r="I588" s="257">
        <v>0</v>
      </c>
      <c r="J588" s="257">
        <v>0</v>
      </c>
      <c r="K588" s="257">
        <v>0</v>
      </c>
      <c r="L588" s="257">
        <v>0</v>
      </c>
      <c r="M588" s="257">
        <v>0</v>
      </c>
      <c r="N588" s="257">
        <v>0</v>
      </c>
      <c r="O588" s="257">
        <v>0</v>
      </c>
      <c r="P588" s="257">
        <v>0</v>
      </c>
      <c r="Q588" s="258">
        <v>0</v>
      </c>
    </row>
    <row r="589" spans="1:17">
      <c r="A589" s="256">
        <v>1</v>
      </c>
      <c r="B589" s="256">
        <v>8830842</v>
      </c>
      <c r="C589" s="256">
        <v>883084201</v>
      </c>
      <c r="D589" s="256" t="s">
        <v>538</v>
      </c>
      <c r="E589" s="256" t="s">
        <v>539</v>
      </c>
      <c r="F589" s="256" t="s">
        <v>817</v>
      </c>
      <c r="G589" s="256" t="s">
        <v>53</v>
      </c>
      <c r="H589" s="256" t="s">
        <v>108</v>
      </c>
      <c r="I589" s="257">
        <v>38404000</v>
      </c>
      <c r="J589" s="257">
        <v>0</v>
      </c>
      <c r="K589" s="257">
        <v>0</v>
      </c>
      <c r="L589" s="257">
        <v>0</v>
      </c>
      <c r="M589" s="257">
        <v>0</v>
      </c>
      <c r="N589" s="257">
        <v>0</v>
      </c>
      <c r="O589" s="257">
        <v>0</v>
      </c>
      <c r="P589" s="257">
        <v>38404000</v>
      </c>
      <c r="Q589" s="258">
        <v>0</v>
      </c>
    </row>
    <row r="590" spans="1:17">
      <c r="A590" s="256">
        <v>1</v>
      </c>
      <c r="B590" s="256">
        <v>8830842</v>
      </c>
      <c r="C590" s="256">
        <v>883084202</v>
      </c>
      <c r="D590" s="256" t="s">
        <v>538</v>
      </c>
      <c r="E590" s="256" t="s">
        <v>539</v>
      </c>
      <c r="F590" s="256" t="s">
        <v>817</v>
      </c>
      <c r="G590" s="256" t="s">
        <v>53</v>
      </c>
      <c r="H590" s="256" t="s">
        <v>106</v>
      </c>
      <c r="I590" s="257">
        <v>7759000</v>
      </c>
      <c r="J590" s="257">
        <v>0</v>
      </c>
      <c r="K590" s="257">
        <v>0</v>
      </c>
      <c r="L590" s="257">
        <v>0</v>
      </c>
      <c r="M590" s="257">
        <v>0</v>
      </c>
      <c r="N590" s="257">
        <v>0</v>
      </c>
      <c r="O590" s="257">
        <v>0</v>
      </c>
      <c r="P590" s="257">
        <v>7759000</v>
      </c>
      <c r="Q590" s="258">
        <v>0</v>
      </c>
    </row>
    <row r="591" spans="1:17">
      <c r="A591" s="256">
        <v>1</v>
      </c>
      <c r="B591" s="256">
        <v>8831001</v>
      </c>
      <c r="C591" s="256">
        <v>883100102</v>
      </c>
      <c r="D591" s="256" t="s">
        <v>538</v>
      </c>
      <c r="E591" s="256" t="s">
        <v>539</v>
      </c>
      <c r="F591" s="256" t="s">
        <v>818</v>
      </c>
      <c r="G591" s="256" t="s">
        <v>112</v>
      </c>
      <c r="H591" s="256" t="s">
        <v>737</v>
      </c>
      <c r="I591" s="257">
        <v>0</v>
      </c>
      <c r="J591" s="257">
        <v>0</v>
      </c>
      <c r="K591" s="257">
        <v>0</v>
      </c>
      <c r="L591" s="257">
        <v>0</v>
      </c>
      <c r="M591" s="257">
        <v>0</v>
      </c>
      <c r="N591" s="257">
        <v>0</v>
      </c>
      <c r="O591" s="257">
        <v>0</v>
      </c>
      <c r="P591" s="257">
        <v>0</v>
      </c>
      <c r="Q591" s="258">
        <v>0</v>
      </c>
    </row>
    <row r="592" spans="1:17">
      <c r="A592" s="256">
        <v>1</v>
      </c>
      <c r="B592" s="256">
        <v>8831001</v>
      </c>
      <c r="C592" s="256">
        <v>883100103</v>
      </c>
      <c r="D592" s="256" t="s">
        <v>538</v>
      </c>
      <c r="E592" s="256" t="s">
        <v>539</v>
      </c>
      <c r="F592" s="256" t="s">
        <v>818</v>
      </c>
      <c r="G592" s="256" t="s">
        <v>112</v>
      </c>
      <c r="H592" s="256" t="s">
        <v>738</v>
      </c>
      <c r="I592" s="257">
        <v>0</v>
      </c>
      <c r="J592" s="257">
        <v>0</v>
      </c>
      <c r="K592" s="257">
        <v>0</v>
      </c>
      <c r="L592" s="257">
        <v>0</v>
      </c>
      <c r="M592" s="257">
        <v>0</v>
      </c>
      <c r="N592" s="257">
        <v>0</v>
      </c>
      <c r="O592" s="257">
        <v>0</v>
      </c>
      <c r="P592" s="257">
        <v>0</v>
      </c>
      <c r="Q592" s="258">
        <v>0</v>
      </c>
    </row>
    <row r="593" spans="1:17">
      <c r="A593" s="256">
        <v>1</v>
      </c>
      <c r="B593" s="256">
        <v>8831001</v>
      </c>
      <c r="C593" s="256">
        <v>883100104</v>
      </c>
      <c r="D593" s="256" t="s">
        <v>538</v>
      </c>
      <c r="E593" s="256" t="s">
        <v>539</v>
      </c>
      <c r="F593" s="256" t="s">
        <v>818</v>
      </c>
      <c r="G593" s="256" t="s">
        <v>112</v>
      </c>
      <c r="H593" s="256" t="s">
        <v>739</v>
      </c>
      <c r="I593" s="257">
        <v>0</v>
      </c>
      <c r="J593" s="257">
        <v>0</v>
      </c>
      <c r="K593" s="257">
        <v>0</v>
      </c>
      <c r="L593" s="257">
        <v>0</v>
      </c>
      <c r="M593" s="257">
        <v>0</v>
      </c>
      <c r="N593" s="257">
        <v>0</v>
      </c>
      <c r="O593" s="257">
        <v>0</v>
      </c>
      <c r="P593" s="257">
        <v>0</v>
      </c>
      <c r="Q593" s="258">
        <v>0</v>
      </c>
    </row>
    <row r="594" spans="1:17">
      <c r="A594" s="236">
        <v>1</v>
      </c>
      <c r="B594" s="236">
        <v>8831001</v>
      </c>
      <c r="C594" s="236">
        <v>883100105</v>
      </c>
      <c r="D594" s="236" t="s">
        <v>538</v>
      </c>
      <c r="E594" s="236" t="s">
        <v>539</v>
      </c>
      <c r="F594" s="236" t="s">
        <v>818</v>
      </c>
      <c r="G594" s="236" t="s">
        <v>112</v>
      </c>
      <c r="H594" s="236" t="s">
        <v>740</v>
      </c>
      <c r="I594" s="257">
        <v>0</v>
      </c>
      <c r="J594" s="257">
        <v>0</v>
      </c>
      <c r="K594" s="257">
        <v>0</v>
      </c>
      <c r="L594" s="257">
        <v>0</v>
      </c>
      <c r="M594" s="257">
        <v>0</v>
      </c>
      <c r="N594" s="257">
        <v>0</v>
      </c>
      <c r="O594" s="257">
        <v>0</v>
      </c>
      <c r="P594" s="257">
        <v>0</v>
      </c>
      <c r="Q594" s="258">
        <v>0</v>
      </c>
    </row>
    <row r="595" spans="1:17">
      <c r="A595" s="256">
        <v>1</v>
      </c>
      <c r="B595" s="256">
        <v>8831002</v>
      </c>
      <c r="C595" s="256">
        <v>883100202</v>
      </c>
      <c r="D595" s="256" t="s">
        <v>538</v>
      </c>
      <c r="E595" s="256" t="s">
        <v>539</v>
      </c>
      <c r="F595" s="256" t="s">
        <v>818</v>
      </c>
      <c r="G595" s="256" t="s">
        <v>110</v>
      </c>
      <c r="H595" s="256" t="s">
        <v>741</v>
      </c>
      <c r="I595" s="257">
        <v>0</v>
      </c>
      <c r="J595" s="257">
        <v>0</v>
      </c>
      <c r="K595" s="257">
        <v>0</v>
      </c>
      <c r="L595" s="257">
        <v>0</v>
      </c>
      <c r="M595" s="257">
        <v>0</v>
      </c>
      <c r="N595" s="257">
        <v>0</v>
      </c>
      <c r="O595" s="257">
        <v>0</v>
      </c>
      <c r="P595" s="257">
        <v>0</v>
      </c>
      <c r="Q595" s="258">
        <v>0</v>
      </c>
    </row>
    <row r="596" spans="1:17">
      <c r="A596" s="256">
        <v>1</v>
      </c>
      <c r="B596" s="256">
        <v>8831003</v>
      </c>
      <c r="C596" s="256">
        <v>883100301</v>
      </c>
      <c r="D596" s="256" t="s">
        <v>538</v>
      </c>
      <c r="E596" s="256" t="s">
        <v>539</v>
      </c>
      <c r="F596" s="256" t="s">
        <v>818</v>
      </c>
      <c r="G596" s="256" t="s">
        <v>108</v>
      </c>
      <c r="H596" s="256" t="s">
        <v>742</v>
      </c>
      <c r="I596" s="257">
        <v>0</v>
      </c>
      <c r="J596" s="257">
        <v>0</v>
      </c>
      <c r="K596" s="257">
        <v>0</v>
      </c>
      <c r="L596" s="257">
        <v>0</v>
      </c>
      <c r="M596" s="257">
        <v>0</v>
      </c>
      <c r="N596" s="257">
        <v>0</v>
      </c>
      <c r="O596" s="257">
        <v>0</v>
      </c>
      <c r="P596" s="257">
        <v>0</v>
      </c>
      <c r="Q596" s="258">
        <v>0</v>
      </c>
    </row>
    <row r="597" spans="1:17">
      <c r="A597" s="256">
        <v>1</v>
      </c>
      <c r="B597" s="256">
        <v>8831003</v>
      </c>
      <c r="C597" s="256">
        <v>883100302</v>
      </c>
      <c r="D597" s="256" t="s">
        <v>538</v>
      </c>
      <c r="E597" s="256" t="s">
        <v>539</v>
      </c>
      <c r="F597" s="256" t="s">
        <v>818</v>
      </c>
      <c r="G597" s="256" t="s">
        <v>108</v>
      </c>
      <c r="H597" s="256" t="s">
        <v>743</v>
      </c>
      <c r="I597" s="257">
        <v>0</v>
      </c>
      <c r="J597" s="257">
        <v>0</v>
      </c>
      <c r="K597" s="257">
        <v>0</v>
      </c>
      <c r="L597" s="257">
        <v>0</v>
      </c>
      <c r="M597" s="257">
        <v>0</v>
      </c>
      <c r="N597" s="257">
        <v>0</v>
      </c>
      <c r="O597" s="257">
        <v>0</v>
      </c>
      <c r="P597" s="257">
        <v>0</v>
      </c>
      <c r="Q597" s="258">
        <v>0</v>
      </c>
    </row>
    <row r="598" spans="1:17">
      <c r="A598" s="256">
        <v>1</v>
      </c>
      <c r="B598" s="256">
        <v>8831003</v>
      </c>
      <c r="C598" s="256">
        <v>883100303</v>
      </c>
      <c r="D598" s="256" t="s">
        <v>538</v>
      </c>
      <c r="E598" s="256" t="s">
        <v>539</v>
      </c>
      <c r="F598" s="256" t="s">
        <v>818</v>
      </c>
      <c r="G598" s="256" t="s">
        <v>108</v>
      </c>
      <c r="H598" s="256" t="s">
        <v>744</v>
      </c>
      <c r="I598" s="257">
        <v>0</v>
      </c>
      <c r="J598" s="257">
        <v>0</v>
      </c>
      <c r="K598" s="257">
        <v>0</v>
      </c>
      <c r="L598" s="257">
        <v>0</v>
      </c>
      <c r="M598" s="257">
        <v>0</v>
      </c>
      <c r="N598" s="257">
        <v>0</v>
      </c>
      <c r="O598" s="257">
        <v>0</v>
      </c>
      <c r="P598" s="257">
        <v>0</v>
      </c>
      <c r="Q598" s="258">
        <v>0</v>
      </c>
    </row>
    <row r="599" spans="1:17">
      <c r="A599" s="256">
        <v>1</v>
      </c>
      <c r="B599" s="256">
        <v>8831003</v>
      </c>
      <c r="C599" s="256">
        <v>883100304</v>
      </c>
      <c r="D599" s="256" t="s">
        <v>538</v>
      </c>
      <c r="E599" s="256" t="s">
        <v>539</v>
      </c>
      <c r="F599" s="256" t="s">
        <v>818</v>
      </c>
      <c r="G599" s="256" t="s">
        <v>108</v>
      </c>
      <c r="H599" s="256" t="s">
        <v>745</v>
      </c>
      <c r="I599" s="257">
        <v>0</v>
      </c>
      <c r="J599" s="257">
        <v>0</v>
      </c>
      <c r="K599" s="257">
        <v>0</v>
      </c>
      <c r="L599" s="257">
        <v>0</v>
      </c>
      <c r="M599" s="257">
        <v>0</v>
      </c>
      <c r="N599" s="257">
        <v>0</v>
      </c>
      <c r="O599" s="257">
        <v>0</v>
      </c>
      <c r="P599" s="257">
        <v>0</v>
      </c>
      <c r="Q599" s="258">
        <v>0</v>
      </c>
    </row>
    <row r="600" spans="1:17">
      <c r="A600" s="256">
        <v>1</v>
      </c>
      <c r="B600" s="256">
        <v>8831003</v>
      </c>
      <c r="C600" s="256">
        <v>883100305</v>
      </c>
      <c r="D600" s="256" t="s">
        <v>538</v>
      </c>
      <c r="E600" s="256" t="s">
        <v>539</v>
      </c>
      <c r="F600" s="256" t="s">
        <v>818</v>
      </c>
      <c r="G600" s="256" t="s">
        <v>108</v>
      </c>
      <c r="H600" s="256" t="s">
        <v>746</v>
      </c>
      <c r="I600" s="257">
        <v>0</v>
      </c>
      <c r="J600" s="257">
        <v>0</v>
      </c>
      <c r="K600" s="257">
        <v>0</v>
      </c>
      <c r="L600" s="257">
        <v>0</v>
      </c>
      <c r="M600" s="257">
        <v>0</v>
      </c>
      <c r="N600" s="257">
        <v>0</v>
      </c>
      <c r="O600" s="257">
        <v>0</v>
      </c>
      <c r="P600" s="257">
        <v>0</v>
      </c>
      <c r="Q600" s="258">
        <v>0</v>
      </c>
    </row>
    <row r="601" spans="1:17">
      <c r="A601" s="256">
        <v>1</v>
      </c>
      <c r="B601" s="256">
        <v>8831003</v>
      </c>
      <c r="C601" s="256">
        <v>883100306</v>
      </c>
      <c r="D601" s="256" t="s">
        <v>538</v>
      </c>
      <c r="E601" s="256" t="s">
        <v>539</v>
      </c>
      <c r="F601" s="256" t="s">
        <v>818</v>
      </c>
      <c r="G601" s="256" t="s">
        <v>108</v>
      </c>
      <c r="H601" s="256" t="s">
        <v>747</v>
      </c>
      <c r="I601" s="257">
        <v>0</v>
      </c>
      <c r="J601" s="257">
        <v>0</v>
      </c>
      <c r="K601" s="257">
        <v>0</v>
      </c>
      <c r="L601" s="257">
        <v>0</v>
      </c>
      <c r="M601" s="257">
        <v>0</v>
      </c>
      <c r="N601" s="257">
        <v>0</v>
      </c>
      <c r="O601" s="257">
        <v>0</v>
      </c>
      <c r="P601" s="257">
        <v>0</v>
      </c>
      <c r="Q601" s="258">
        <v>0</v>
      </c>
    </row>
    <row r="602" spans="1:17">
      <c r="A602" s="256">
        <v>1</v>
      </c>
      <c r="B602" s="256">
        <v>8831003</v>
      </c>
      <c r="C602" s="256">
        <v>883100307</v>
      </c>
      <c r="D602" s="256" t="s">
        <v>538</v>
      </c>
      <c r="E602" s="256" t="s">
        <v>539</v>
      </c>
      <c r="F602" s="256" t="s">
        <v>818</v>
      </c>
      <c r="G602" s="256" t="s">
        <v>108</v>
      </c>
      <c r="H602" s="256" t="s">
        <v>748</v>
      </c>
      <c r="I602" s="257">
        <v>0</v>
      </c>
      <c r="J602" s="257">
        <v>0</v>
      </c>
      <c r="K602" s="257">
        <v>0</v>
      </c>
      <c r="L602" s="257">
        <v>0</v>
      </c>
      <c r="M602" s="257">
        <v>0</v>
      </c>
      <c r="N602" s="257">
        <v>0</v>
      </c>
      <c r="O602" s="257">
        <v>0</v>
      </c>
      <c r="P602" s="257">
        <v>0</v>
      </c>
      <c r="Q602" s="258">
        <v>0</v>
      </c>
    </row>
    <row r="603" spans="1:17">
      <c r="A603" s="256">
        <v>1</v>
      </c>
      <c r="B603" s="256">
        <v>8831003</v>
      </c>
      <c r="C603" s="256">
        <v>883100310</v>
      </c>
      <c r="D603" s="256" t="s">
        <v>538</v>
      </c>
      <c r="E603" s="256" t="s">
        <v>539</v>
      </c>
      <c r="F603" s="256" t="s">
        <v>818</v>
      </c>
      <c r="G603" s="256" t="s">
        <v>108</v>
      </c>
      <c r="H603" s="256" t="s">
        <v>749</v>
      </c>
      <c r="I603" s="257">
        <v>0</v>
      </c>
      <c r="J603" s="257">
        <v>0</v>
      </c>
      <c r="K603" s="257">
        <v>0</v>
      </c>
      <c r="L603" s="257">
        <v>0</v>
      </c>
      <c r="M603" s="257">
        <v>0</v>
      </c>
      <c r="N603" s="257">
        <v>0</v>
      </c>
      <c r="O603" s="257">
        <v>0</v>
      </c>
      <c r="P603" s="257">
        <v>0</v>
      </c>
      <c r="Q603" s="258">
        <v>0</v>
      </c>
    </row>
    <row r="604" spans="1:17">
      <c r="A604" s="256">
        <v>1</v>
      </c>
      <c r="B604" s="256">
        <v>8831003</v>
      </c>
      <c r="C604" s="256">
        <v>883100311</v>
      </c>
      <c r="D604" s="256" t="s">
        <v>538</v>
      </c>
      <c r="E604" s="256" t="s">
        <v>539</v>
      </c>
      <c r="F604" s="256" t="s">
        <v>818</v>
      </c>
      <c r="G604" s="256" t="s">
        <v>108</v>
      </c>
      <c r="H604" s="256" t="s">
        <v>750</v>
      </c>
      <c r="I604" s="257">
        <v>0</v>
      </c>
      <c r="J604" s="257">
        <v>0</v>
      </c>
      <c r="K604" s="257">
        <v>0</v>
      </c>
      <c r="L604" s="257">
        <v>0</v>
      </c>
      <c r="M604" s="257">
        <v>0</v>
      </c>
      <c r="N604" s="257">
        <v>0</v>
      </c>
      <c r="O604" s="257">
        <v>0</v>
      </c>
      <c r="P604" s="257">
        <v>0</v>
      </c>
      <c r="Q604" s="258">
        <v>0</v>
      </c>
    </row>
    <row r="605" spans="1:17">
      <c r="A605" s="256">
        <v>1</v>
      </c>
      <c r="B605" s="256">
        <v>8831003</v>
      </c>
      <c r="C605" s="256">
        <v>883100314</v>
      </c>
      <c r="D605" s="256" t="s">
        <v>538</v>
      </c>
      <c r="E605" s="256" t="s">
        <v>539</v>
      </c>
      <c r="F605" s="256" t="s">
        <v>818</v>
      </c>
      <c r="G605" s="256" t="s">
        <v>108</v>
      </c>
      <c r="H605" s="256" t="s">
        <v>751</v>
      </c>
      <c r="I605" s="257">
        <v>0</v>
      </c>
      <c r="J605" s="257">
        <v>0</v>
      </c>
      <c r="K605" s="257">
        <v>0</v>
      </c>
      <c r="L605" s="257">
        <v>0</v>
      </c>
      <c r="M605" s="257">
        <v>0</v>
      </c>
      <c r="N605" s="257">
        <v>0</v>
      </c>
      <c r="O605" s="257">
        <v>0</v>
      </c>
      <c r="P605" s="257">
        <v>0</v>
      </c>
      <c r="Q605" s="258">
        <v>0</v>
      </c>
    </row>
    <row r="606" spans="1:17">
      <c r="A606" s="256">
        <v>1</v>
      </c>
      <c r="B606" s="256">
        <v>8831003</v>
      </c>
      <c r="C606" s="256">
        <v>883100315</v>
      </c>
      <c r="D606" s="256" t="s">
        <v>538</v>
      </c>
      <c r="E606" s="256" t="s">
        <v>539</v>
      </c>
      <c r="F606" s="256" t="s">
        <v>818</v>
      </c>
      <c r="G606" s="256" t="s">
        <v>108</v>
      </c>
      <c r="H606" s="256" t="s">
        <v>752</v>
      </c>
      <c r="I606" s="257">
        <v>0</v>
      </c>
      <c r="J606" s="257">
        <v>0</v>
      </c>
      <c r="K606" s="257">
        <v>0</v>
      </c>
      <c r="L606" s="257">
        <v>0</v>
      </c>
      <c r="M606" s="257">
        <v>0</v>
      </c>
      <c r="N606" s="257">
        <v>0</v>
      </c>
      <c r="O606" s="257">
        <v>0</v>
      </c>
      <c r="P606" s="257">
        <v>0</v>
      </c>
      <c r="Q606" s="258">
        <v>0</v>
      </c>
    </row>
    <row r="607" spans="1:17">
      <c r="A607" s="256">
        <v>1</v>
      </c>
      <c r="B607" s="256">
        <v>8831004</v>
      </c>
      <c r="C607" s="256">
        <v>883100401</v>
      </c>
      <c r="D607" s="256" t="s">
        <v>538</v>
      </c>
      <c r="E607" s="256" t="s">
        <v>539</v>
      </c>
      <c r="F607" s="256" t="s">
        <v>818</v>
      </c>
      <c r="G607" s="256" t="s">
        <v>106</v>
      </c>
      <c r="H607" s="256" t="s">
        <v>755</v>
      </c>
      <c r="I607" s="257">
        <v>0</v>
      </c>
      <c r="J607" s="257">
        <v>0</v>
      </c>
      <c r="K607" s="257">
        <v>0</v>
      </c>
      <c r="L607" s="257">
        <v>0</v>
      </c>
      <c r="M607" s="257">
        <v>0</v>
      </c>
      <c r="N607" s="257">
        <v>0</v>
      </c>
      <c r="O607" s="257">
        <v>0</v>
      </c>
      <c r="P607" s="257">
        <v>0</v>
      </c>
      <c r="Q607" s="258">
        <v>0</v>
      </c>
    </row>
    <row r="608" spans="1:17">
      <c r="A608" s="256">
        <v>1</v>
      </c>
      <c r="B608" s="256">
        <v>8831004</v>
      </c>
      <c r="C608" s="256">
        <v>883100402</v>
      </c>
      <c r="D608" s="256" t="s">
        <v>538</v>
      </c>
      <c r="E608" s="256" t="s">
        <v>539</v>
      </c>
      <c r="F608" s="256" t="s">
        <v>818</v>
      </c>
      <c r="G608" s="256" t="s">
        <v>106</v>
      </c>
      <c r="H608" s="256" t="s">
        <v>756</v>
      </c>
      <c r="I608" s="257">
        <v>0</v>
      </c>
      <c r="J608" s="257">
        <v>0</v>
      </c>
      <c r="K608" s="257">
        <v>0</v>
      </c>
      <c r="L608" s="257">
        <v>0</v>
      </c>
      <c r="M608" s="257">
        <v>0</v>
      </c>
      <c r="N608" s="257">
        <v>0</v>
      </c>
      <c r="O608" s="257">
        <v>0</v>
      </c>
      <c r="P608" s="257">
        <v>0</v>
      </c>
      <c r="Q608" s="258">
        <v>0</v>
      </c>
    </row>
    <row r="609" spans="1:17">
      <c r="A609" s="256">
        <v>1</v>
      </c>
      <c r="B609" s="256">
        <v>8831004</v>
      </c>
      <c r="C609" s="256">
        <v>883100403</v>
      </c>
      <c r="D609" s="256" t="s">
        <v>538</v>
      </c>
      <c r="E609" s="256" t="s">
        <v>539</v>
      </c>
      <c r="F609" s="256" t="s">
        <v>818</v>
      </c>
      <c r="G609" s="256" t="s">
        <v>106</v>
      </c>
      <c r="H609" s="256" t="s">
        <v>757</v>
      </c>
      <c r="I609" s="257">
        <v>0</v>
      </c>
      <c r="J609" s="257">
        <v>0</v>
      </c>
      <c r="K609" s="257">
        <v>0</v>
      </c>
      <c r="L609" s="257">
        <v>0</v>
      </c>
      <c r="M609" s="257">
        <v>0</v>
      </c>
      <c r="N609" s="257">
        <v>0</v>
      </c>
      <c r="O609" s="257">
        <v>0</v>
      </c>
      <c r="P609" s="257">
        <v>0</v>
      </c>
      <c r="Q609" s="258">
        <v>0</v>
      </c>
    </row>
    <row r="610" spans="1:17">
      <c r="A610" s="256">
        <v>1</v>
      </c>
      <c r="B610" s="256">
        <v>8831004</v>
      </c>
      <c r="C610" s="256">
        <v>883100405</v>
      </c>
      <c r="D610" s="256" t="s">
        <v>538</v>
      </c>
      <c r="E610" s="256" t="s">
        <v>539</v>
      </c>
      <c r="F610" s="256" t="s">
        <v>818</v>
      </c>
      <c r="G610" s="256" t="s">
        <v>106</v>
      </c>
      <c r="H610" s="256" t="s">
        <v>758</v>
      </c>
      <c r="I610" s="257">
        <v>0</v>
      </c>
      <c r="J610" s="257">
        <v>0</v>
      </c>
      <c r="K610" s="257">
        <v>0</v>
      </c>
      <c r="L610" s="257">
        <v>0</v>
      </c>
      <c r="M610" s="257">
        <v>0</v>
      </c>
      <c r="N610" s="257">
        <v>0</v>
      </c>
      <c r="O610" s="257">
        <v>0</v>
      </c>
      <c r="P610" s="257">
        <v>0</v>
      </c>
      <c r="Q610" s="258">
        <v>0</v>
      </c>
    </row>
    <row r="611" spans="1:17">
      <c r="A611" s="256">
        <v>1</v>
      </c>
      <c r="B611" s="256">
        <v>8831004</v>
      </c>
      <c r="C611" s="256">
        <v>883100406</v>
      </c>
      <c r="D611" s="256" t="s">
        <v>538</v>
      </c>
      <c r="E611" s="256" t="s">
        <v>539</v>
      </c>
      <c r="F611" s="256" t="s">
        <v>818</v>
      </c>
      <c r="G611" s="256" t="s">
        <v>106</v>
      </c>
      <c r="H611" s="256" t="s">
        <v>759</v>
      </c>
      <c r="I611" s="257">
        <v>0</v>
      </c>
      <c r="J611" s="257">
        <v>0</v>
      </c>
      <c r="K611" s="257">
        <v>0</v>
      </c>
      <c r="L611" s="257">
        <v>0</v>
      </c>
      <c r="M611" s="257">
        <v>0</v>
      </c>
      <c r="N611" s="257">
        <v>0</v>
      </c>
      <c r="O611" s="257">
        <v>0</v>
      </c>
      <c r="P611" s="257">
        <v>0</v>
      </c>
      <c r="Q611" s="258">
        <v>0</v>
      </c>
    </row>
    <row r="612" spans="1:17">
      <c r="A612" s="256">
        <v>1</v>
      </c>
      <c r="B612" s="256">
        <v>8831004</v>
      </c>
      <c r="C612" s="256">
        <v>883100407</v>
      </c>
      <c r="D612" s="256" t="s">
        <v>538</v>
      </c>
      <c r="E612" s="256" t="s">
        <v>539</v>
      </c>
      <c r="F612" s="256" t="s">
        <v>818</v>
      </c>
      <c r="G612" s="256" t="s">
        <v>106</v>
      </c>
      <c r="H612" s="256" t="s">
        <v>760</v>
      </c>
      <c r="I612" s="257">
        <v>0</v>
      </c>
      <c r="J612" s="257">
        <v>0</v>
      </c>
      <c r="K612" s="257">
        <v>0</v>
      </c>
      <c r="L612" s="257">
        <v>0</v>
      </c>
      <c r="M612" s="257">
        <v>0</v>
      </c>
      <c r="N612" s="257">
        <v>0</v>
      </c>
      <c r="O612" s="257">
        <v>0</v>
      </c>
      <c r="P612" s="257">
        <v>0</v>
      </c>
      <c r="Q612" s="258">
        <v>0</v>
      </c>
    </row>
    <row r="613" spans="1:17">
      <c r="A613" s="256">
        <v>1</v>
      </c>
      <c r="B613" s="256">
        <v>8831004</v>
      </c>
      <c r="C613" s="256">
        <v>883100408</v>
      </c>
      <c r="D613" s="256" t="s">
        <v>538</v>
      </c>
      <c r="E613" s="256" t="s">
        <v>539</v>
      </c>
      <c r="F613" s="256" t="s">
        <v>818</v>
      </c>
      <c r="G613" s="256" t="s">
        <v>106</v>
      </c>
      <c r="H613" s="256" t="s">
        <v>761</v>
      </c>
      <c r="I613" s="257">
        <v>0</v>
      </c>
      <c r="J613" s="257">
        <v>0</v>
      </c>
      <c r="K613" s="257">
        <v>0</v>
      </c>
      <c r="L613" s="257">
        <v>0</v>
      </c>
      <c r="M613" s="257">
        <v>0</v>
      </c>
      <c r="N613" s="257">
        <v>0</v>
      </c>
      <c r="O613" s="257">
        <v>0</v>
      </c>
      <c r="P613" s="257">
        <v>0</v>
      </c>
      <c r="Q613" s="258">
        <v>0</v>
      </c>
    </row>
    <row r="614" spans="1:17">
      <c r="A614" s="256">
        <v>1</v>
      </c>
      <c r="B614" s="256">
        <v>8831004</v>
      </c>
      <c r="C614" s="256">
        <v>883100410</v>
      </c>
      <c r="D614" s="256" t="s">
        <v>538</v>
      </c>
      <c r="E614" s="256" t="s">
        <v>539</v>
      </c>
      <c r="F614" s="256" t="s">
        <v>818</v>
      </c>
      <c r="G614" s="256" t="s">
        <v>106</v>
      </c>
      <c r="H614" s="256" t="s">
        <v>762</v>
      </c>
      <c r="I614" s="257">
        <v>0</v>
      </c>
      <c r="J614" s="257">
        <v>0</v>
      </c>
      <c r="K614" s="257">
        <v>0</v>
      </c>
      <c r="L614" s="257">
        <v>0</v>
      </c>
      <c r="M614" s="257">
        <v>0</v>
      </c>
      <c r="N614" s="257">
        <v>0</v>
      </c>
      <c r="O614" s="257">
        <v>0</v>
      </c>
      <c r="P614" s="257">
        <v>0</v>
      </c>
      <c r="Q614" s="258">
        <v>0</v>
      </c>
    </row>
    <row r="615" spans="1:17">
      <c r="A615" s="256">
        <v>1</v>
      </c>
      <c r="B615" s="256">
        <v>8831005</v>
      </c>
      <c r="C615" s="256">
        <v>883100500</v>
      </c>
      <c r="D615" s="256" t="s">
        <v>538</v>
      </c>
      <c r="E615" s="256" t="s">
        <v>539</v>
      </c>
      <c r="F615" s="256" t="s">
        <v>818</v>
      </c>
      <c r="G615" s="256" t="s">
        <v>104</v>
      </c>
      <c r="H615" s="256"/>
      <c r="I615" s="257">
        <v>0</v>
      </c>
      <c r="J615" s="257">
        <v>0</v>
      </c>
      <c r="K615" s="257">
        <v>0</v>
      </c>
      <c r="L615" s="257">
        <v>0</v>
      </c>
      <c r="M615" s="257">
        <v>0</v>
      </c>
      <c r="N615" s="257">
        <v>0</v>
      </c>
      <c r="O615" s="257">
        <v>0</v>
      </c>
      <c r="P615" s="257">
        <v>0</v>
      </c>
      <c r="Q615" s="258">
        <v>0</v>
      </c>
    </row>
    <row r="616" spans="1:17">
      <c r="A616" s="256">
        <v>1</v>
      </c>
      <c r="B616" s="256">
        <v>8831007</v>
      </c>
      <c r="C616" s="256">
        <v>883100700</v>
      </c>
      <c r="D616" s="256" t="s">
        <v>538</v>
      </c>
      <c r="E616" s="256" t="s">
        <v>539</v>
      </c>
      <c r="F616" s="256" t="s">
        <v>818</v>
      </c>
      <c r="G616" s="256" t="s">
        <v>102</v>
      </c>
      <c r="H616" s="256"/>
      <c r="I616" s="257">
        <v>0</v>
      </c>
      <c r="J616" s="257">
        <v>0</v>
      </c>
      <c r="K616" s="257">
        <v>0</v>
      </c>
      <c r="L616" s="257">
        <v>0</v>
      </c>
      <c r="M616" s="257">
        <v>0</v>
      </c>
      <c r="N616" s="257">
        <v>0</v>
      </c>
      <c r="O616" s="257">
        <v>0</v>
      </c>
      <c r="P616" s="257">
        <v>0</v>
      </c>
      <c r="Q616" s="258">
        <v>0</v>
      </c>
    </row>
    <row r="617" spans="1:17">
      <c r="A617" s="256">
        <v>1</v>
      </c>
      <c r="B617" s="256">
        <v>8831008</v>
      </c>
      <c r="C617" s="256">
        <v>883100800</v>
      </c>
      <c r="D617" s="256" t="s">
        <v>538</v>
      </c>
      <c r="E617" s="256" t="s">
        <v>539</v>
      </c>
      <c r="F617" s="256" t="s">
        <v>818</v>
      </c>
      <c r="G617" s="256" t="s">
        <v>100</v>
      </c>
      <c r="H617" s="256"/>
      <c r="I617" s="257">
        <v>0</v>
      </c>
      <c r="J617" s="257">
        <v>0</v>
      </c>
      <c r="K617" s="257">
        <v>0</v>
      </c>
      <c r="L617" s="257">
        <v>0</v>
      </c>
      <c r="M617" s="257">
        <v>0</v>
      </c>
      <c r="N617" s="257">
        <v>0</v>
      </c>
      <c r="O617" s="257">
        <v>0</v>
      </c>
      <c r="P617" s="257">
        <v>0</v>
      </c>
      <c r="Q617" s="258">
        <v>0</v>
      </c>
    </row>
    <row r="618" spans="1:17">
      <c r="A618" s="256">
        <v>1</v>
      </c>
      <c r="B618" s="256">
        <v>8831010</v>
      </c>
      <c r="C618" s="256">
        <v>883101001</v>
      </c>
      <c r="D618" s="256" t="s">
        <v>538</v>
      </c>
      <c r="E618" s="256" t="s">
        <v>539</v>
      </c>
      <c r="F618" s="256" t="s">
        <v>818</v>
      </c>
      <c r="G618" s="256" t="s">
        <v>764</v>
      </c>
      <c r="H618" s="256" t="s">
        <v>98</v>
      </c>
      <c r="I618" s="257">
        <v>0</v>
      </c>
      <c r="J618" s="257">
        <v>0</v>
      </c>
      <c r="K618" s="257">
        <v>0</v>
      </c>
      <c r="L618" s="257">
        <v>0</v>
      </c>
      <c r="M618" s="257">
        <v>0</v>
      </c>
      <c r="N618" s="257">
        <v>0</v>
      </c>
      <c r="O618" s="257">
        <v>0</v>
      </c>
      <c r="P618" s="257">
        <v>0</v>
      </c>
      <c r="Q618" s="258">
        <v>0</v>
      </c>
    </row>
    <row r="619" spans="1:17">
      <c r="A619" s="256">
        <v>1</v>
      </c>
      <c r="B619" s="256">
        <v>8831010</v>
      </c>
      <c r="C619" s="256">
        <v>883101002</v>
      </c>
      <c r="D619" s="256" t="s">
        <v>538</v>
      </c>
      <c r="E619" s="256" t="s">
        <v>539</v>
      </c>
      <c r="F619" s="256" t="s">
        <v>818</v>
      </c>
      <c r="G619" s="256" t="s">
        <v>764</v>
      </c>
      <c r="H619" s="256" t="s">
        <v>95</v>
      </c>
      <c r="I619" s="257">
        <v>0</v>
      </c>
      <c r="J619" s="257">
        <v>0</v>
      </c>
      <c r="K619" s="257">
        <v>0</v>
      </c>
      <c r="L619" s="257">
        <v>0</v>
      </c>
      <c r="M619" s="257">
        <v>0</v>
      </c>
      <c r="N619" s="257">
        <v>0</v>
      </c>
      <c r="O619" s="257">
        <v>0</v>
      </c>
      <c r="P619" s="257">
        <v>0</v>
      </c>
      <c r="Q619" s="258">
        <v>0</v>
      </c>
    </row>
    <row r="620" spans="1:17">
      <c r="A620" s="236">
        <v>1</v>
      </c>
      <c r="B620" s="236">
        <v>8831010</v>
      </c>
      <c r="C620" s="236">
        <v>883101003</v>
      </c>
      <c r="D620" s="236" t="s">
        <v>538</v>
      </c>
      <c r="E620" s="236" t="s">
        <v>539</v>
      </c>
      <c r="F620" s="236" t="s">
        <v>818</v>
      </c>
      <c r="G620" s="236" t="s">
        <v>764</v>
      </c>
      <c r="H620" s="236" t="s">
        <v>765</v>
      </c>
      <c r="I620" s="257">
        <v>0</v>
      </c>
      <c r="J620" s="257">
        <v>0</v>
      </c>
      <c r="K620" s="257">
        <v>0</v>
      </c>
      <c r="L620" s="257">
        <v>0</v>
      </c>
      <c r="M620" s="257">
        <v>0</v>
      </c>
      <c r="N620" s="257">
        <v>0</v>
      </c>
      <c r="O620" s="257">
        <v>0</v>
      </c>
      <c r="P620" s="257">
        <v>0</v>
      </c>
      <c r="Q620" s="258">
        <v>0</v>
      </c>
    </row>
    <row r="621" spans="1:17">
      <c r="A621" s="256">
        <v>1</v>
      </c>
      <c r="B621" s="256">
        <v>8831013</v>
      </c>
      <c r="C621" s="256">
        <v>883101300</v>
      </c>
      <c r="D621" s="256" t="s">
        <v>538</v>
      </c>
      <c r="E621" s="256" t="s">
        <v>539</v>
      </c>
      <c r="F621" s="256" t="s">
        <v>818</v>
      </c>
      <c r="G621" s="256" t="s">
        <v>93</v>
      </c>
      <c r="H621" s="256"/>
      <c r="I621" s="257">
        <v>0</v>
      </c>
      <c r="J621" s="257">
        <v>0</v>
      </c>
      <c r="K621" s="257">
        <v>0</v>
      </c>
      <c r="L621" s="257">
        <v>0</v>
      </c>
      <c r="M621" s="257">
        <v>0</v>
      </c>
      <c r="N621" s="257">
        <v>0</v>
      </c>
      <c r="O621" s="257">
        <v>0</v>
      </c>
      <c r="P621" s="257">
        <v>0</v>
      </c>
      <c r="Q621" s="258">
        <v>0</v>
      </c>
    </row>
    <row r="622" spans="1:17">
      <c r="A622" s="256">
        <v>1</v>
      </c>
      <c r="B622" s="256">
        <v>8831014</v>
      </c>
      <c r="C622" s="256">
        <v>883101400</v>
      </c>
      <c r="D622" s="256" t="s">
        <v>538</v>
      </c>
      <c r="E622" s="256" t="s">
        <v>539</v>
      </c>
      <c r="F622" s="256" t="s">
        <v>818</v>
      </c>
      <c r="G622" s="256" t="s">
        <v>91</v>
      </c>
      <c r="H622" s="256"/>
      <c r="I622" s="257">
        <v>0</v>
      </c>
      <c r="J622" s="257">
        <v>0</v>
      </c>
      <c r="K622" s="257">
        <v>0</v>
      </c>
      <c r="L622" s="257">
        <v>0</v>
      </c>
      <c r="M622" s="257">
        <v>0</v>
      </c>
      <c r="N622" s="257">
        <v>0</v>
      </c>
      <c r="O622" s="257">
        <v>0</v>
      </c>
      <c r="P622" s="257">
        <v>0</v>
      </c>
      <c r="Q622" s="258">
        <v>0</v>
      </c>
    </row>
    <row r="623" spans="1:17">
      <c r="A623" s="256">
        <v>1</v>
      </c>
      <c r="B623" s="256">
        <v>8831015</v>
      </c>
      <c r="C623" s="256">
        <v>883101500</v>
      </c>
      <c r="D623" s="256" t="s">
        <v>538</v>
      </c>
      <c r="E623" s="256" t="s">
        <v>539</v>
      </c>
      <c r="F623" s="256" t="s">
        <v>818</v>
      </c>
      <c r="G623" s="256" t="s">
        <v>89</v>
      </c>
      <c r="H623" s="256"/>
      <c r="I623" s="257">
        <v>0</v>
      </c>
      <c r="J623" s="257">
        <v>0</v>
      </c>
      <c r="K623" s="257">
        <v>0</v>
      </c>
      <c r="L623" s="257">
        <v>0</v>
      </c>
      <c r="M623" s="257">
        <v>0</v>
      </c>
      <c r="N623" s="257">
        <v>0</v>
      </c>
      <c r="O623" s="257">
        <v>0</v>
      </c>
      <c r="P623" s="257">
        <v>0</v>
      </c>
      <c r="Q623" s="258">
        <v>0</v>
      </c>
    </row>
    <row r="624" spans="1:17">
      <c r="A624" s="256">
        <v>1</v>
      </c>
      <c r="B624" s="256">
        <v>8831017</v>
      </c>
      <c r="C624" s="256">
        <v>883101700</v>
      </c>
      <c r="D624" s="256" t="s">
        <v>538</v>
      </c>
      <c r="E624" s="256" t="s">
        <v>539</v>
      </c>
      <c r="F624" s="256" t="s">
        <v>818</v>
      </c>
      <c r="G624" s="256" t="s">
        <v>87</v>
      </c>
      <c r="H624" s="256"/>
      <c r="I624" s="257">
        <v>0</v>
      </c>
      <c r="J624" s="257">
        <v>0</v>
      </c>
      <c r="K624" s="257">
        <v>0</v>
      </c>
      <c r="L624" s="257">
        <v>0</v>
      </c>
      <c r="M624" s="257">
        <v>0</v>
      </c>
      <c r="N624" s="257">
        <v>0</v>
      </c>
      <c r="O624" s="257">
        <v>0</v>
      </c>
      <c r="P624" s="257">
        <v>0</v>
      </c>
      <c r="Q624" s="258">
        <v>0</v>
      </c>
    </row>
    <row r="625" spans="1:17">
      <c r="A625" s="256">
        <v>1</v>
      </c>
      <c r="B625" s="256">
        <v>8831019</v>
      </c>
      <c r="C625" s="256">
        <v>883101900</v>
      </c>
      <c r="D625" s="256" t="s">
        <v>538</v>
      </c>
      <c r="E625" s="256" t="s">
        <v>539</v>
      </c>
      <c r="F625" s="256" t="s">
        <v>818</v>
      </c>
      <c r="G625" s="256" t="s">
        <v>85</v>
      </c>
      <c r="H625" s="256"/>
      <c r="I625" s="257">
        <v>0</v>
      </c>
      <c r="J625" s="257">
        <v>0</v>
      </c>
      <c r="K625" s="257">
        <v>0</v>
      </c>
      <c r="L625" s="257">
        <v>0</v>
      </c>
      <c r="M625" s="257">
        <v>0</v>
      </c>
      <c r="N625" s="257">
        <v>0</v>
      </c>
      <c r="O625" s="257">
        <v>0</v>
      </c>
      <c r="P625" s="257">
        <v>0</v>
      </c>
      <c r="Q625" s="258">
        <v>0</v>
      </c>
    </row>
    <row r="626" spans="1:17">
      <c r="A626" s="256">
        <v>1</v>
      </c>
      <c r="B626" s="256">
        <v>8831020</v>
      </c>
      <c r="C626" s="256">
        <v>883102000</v>
      </c>
      <c r="D626" s="256" t="s">
        <v>538</v>
      </c>
      <c r="E626" s="256" t="s">
        <v>539</v>
      </c>
      <c r="F626" s="256" t="s">
        <v>818</v>
      </c>
      <c r="G626" s="256" t="s">
        <v>83</v>
      </c>
      <c r="H626" s="256"/>
      <c r="I626" s="257">
        <v>0</v>
      </c>
      <c r="J626" s="257">
        <v>0</v>
      </c>
      <c r="K626" s="257">
        <v>0</v>
      </c>
      <c r="L626" s="257">
        <v>0</v>
      </c>
      <c r="M626" s="257">
        <v>0</v>
      </c>
      <c r="N626" s="257">
        <v>0</v>
      </c>
      <c r="O626" s="257">
        <v>0</v>
      </c>
      <c r="P626" s="257">
        <v>0</v>
      </c>
      <c r="Q626" s="258">
        <v>0</v>
      </c>
    </row>
    <row r="627" spans="1:17">
      <c r="A627" s="256">
        <v>1</v>
      </c>
      <c r="B627" s="256">
        <v>8831021</v>
      </c>
      <c r="C627" s="256">
        <v>883102100</v>
      </c>
      <c r="D627" s="256" t="s">
        <v>538</v>
      </c>
      <c r="E627" s="256" t="s">
        <v>539</v>
      </c>
      <c r="F627" s="256" t="s">
        <v>818</v>
      </c>
      <c r="G627" s="256" t="s">
        <v>81</v>
      </c>
      <c r="H627" s="256"/>
      <c r="I627" s="257">
        <v>0</v>
      </c>
      <c r="J627" s="257">
        <v>0</v>
      </c>
      <c r="K627" s="257">
        <v>0</v>
      </c>
      <c r="L627" s="257">
        <v>0</v>
      </c>
      <c r="M627" s="257">
        <v>0</v>
      </c>
      <c r="N627" s="257">
        <v>0</v>
      </c>
      <c r="O627" s="257">
        <v>0</v>
      </c>
      <c r="P627" s="257">
        <v>0</v>
      </c>
      <c r="Q627" s="258">
        <v>0</v>
      </c>
    </row>
    <row r="628" spans="1:17">
      <c r="A628" s="256">
        <v>1</v>
      </c>
      <c r="B628" s="256">
        <v>8831023</v>
      </c>
      <c r="C628" s="256">
        <v>883102300</v>
      </c>
      <c r="D628" s="256" t="s">
        <v>538</v>
      </c>
      <c r="E628" s="256" t="s">
        <v>539</v>
      </c>
      <c r="F628" s="256" t="s">
        <v>818</v>
      </c>
      <c r="G628" s="256" t="s">
        <v>79</v>
      </c>
      <c r="H628" s="256"/>
      <c r="I628" s="257">
        <v>0</v>
      </c>
      <c r="J628" s="257">
        <v>0</v>
      </c>
      <c r="K628" s="257">
        <v>0</v>
      </c>
      <c r="L628" s="257">
        <v>0</v>
      </c>
      <c r="M628" s="257">
        <v>0</v>
      </c>
      <c r="N628" s="257">
        <v>0</v>
      </c>
      <c r="O628" s="257">
        <v>0</v>
      </c>
      <c r="P628" s="257">
        <v>0</v>
      </c>
      <c r="Q628" s="258">
        <v>0</v>
      </c>
    </row>
    <row r="629" spans="1:17">
      <c r="A629" s="256">
        <v>1</v>
      </c>
      <c r="B629" s="256">
        <v>8831024</v>
      </c>
      <c r="C629" s="256">
        <v>883102400</v>
      </c>
      <c r="D629" s="256" t="s">
        <v>538</v>
      </c>
      <c r="E629" s="256" t="s">
        <v>539</v>
      </c>
      <c r="F629" s="256" t="s">
        <v>818</v>
      </c>
      <c r="G629" s="256" t="s">
        <v>77</v>
      </c>
      <c r="H629" s="256"/>
      <c r="I629" s="257">
        <v>0</v>
      </c>
      <c r="J629" s="257">
        <v>0</v>
      </c>
      <c r="K629" s="257">
        <v>0</v>
      </c>
      <c r="L629" s="257">
        <v>0</v>
      </c>
      <c r="M629" s="257">
        <v>0</v>
      </c>
      <c r="N629" s="257">
        <v>0</v>
      </c>
      <c r="O629" s="257">
        <v>0</v>
      </c>
      <c r="P629" s="257">
        <v>0</v>
      </c>
      <c r="Q629" s="258">
        <v>0</v>
      </c>
    </row>
    <row r="630" spans="1:17">
      <c r="A630" s="256">
        <v>1</v>
      </c>
      <c r="B630" s="256">
        <v>8831025</v>
      </c>
      <c r="C630" s="256">
        <v>883102500</v>
      </c>
      <c r="D630" s="256" t="s">
        <v>538</v>
      </c>
      <c r="E630" s="256" t="s">
        <v>539</v>
      </c>
      <c r="F630" s="256" t="s">
        <v>818</v>
      </c>
      <c r="G630" s="256" t="s">
        <v>75</v>
      </c>
      <c r="H630" s="256"/>
      <c r="I630" s="257">
        <v>0</v>
      </c>
      <c r="J630" s="257">
        <v>0</v>
      </c>
      <c r="K630" s="257">
        <v>0</v>
      </c>
      <c r="L630" s="257">
        <v>0</v>
      </c>
      <c r="M630" s="257">
        <v>0</v>
      </c>
      <c r="N630" s="257">
        <v>0</v>
      </c>
      <c r="O630" s="257">
        <v>0</v>
      </c>
      <c r="P630" s="257">
        <v>0</v>
      </c>
      <c r="Q630" s="258">
        <v>0</v>
      </c>
    </row>
    <row r="631" spans="1:17">
      <c r="A631" s="256">
        <v>1</v>
      </c>
      <c r="B631" s="256">
        <v>8831026</v>
      </c>
      <c r="C631" s="256">
        <v>883102600</v>
      </c>
      <c r="D631" s="256" t="s">
        <v>538</v>
      </c>
      <c r="E631" s="256" t="s">
        <v>539</v>
      </c>
      <c r="F631" s="256" t="s">
        <v>818</v>
      </c>
      <c r="G631" s="256" t="s">
        <v>73</v>
      </c>
      <c r="H631" s="256"/>
      <c r="I631" s="257">
        <v>0</v>
      </c>
      <c r="J631" s="257">
        <v>0</v>
      </c>
      <c r="K631" s="257">
        <v>0</v>
      </c>
      <c r="L631" s="257">
        <v>0</v>
      </c>
      <c r="M631" s="257">
        <v>0</v>
      </c>
      <c r="N631" s="257">
        <v>0</v>
      </c>
      <c r="O631" s="257">
        <v>0</v>
      </c>
      <c r="P631" s="257">
        <v>0</v>
      </c>
      <c r="Q631" s="258">
        <v>0</v>
      </c>
    </row>
    <row r="632" spans="1:17">
      <c r="A632" s="256">
        <v>1</v>
      </c>
      <c r="B632" s="256">
        <v>8831028</v>
      </c>
      <c r="C632" s="256">
        <v>883102866</v>
      </c>
      <c r="D632" s="256" t="s">
        <v>538</v>
      </c>
      <c r="E632" s="256" t="s">
        <v>539</v>
      </c>
      <c r="F632" s="256" t="s">
        <v>818</v>
      </c>
      <c r="G632" s="256" t="s">
        <v>811</v>
      </c>
      <c r="H632" s="256" t="s">
        <v>812</v>
      </c>
      <c r="I632" s="257">
        <v>0</v>
      </c>
      <c r="J632" s="257">
        <v>0</v>
      </c>
      <c r="K632" s="257">
        <v>0</v>
      </c>
      <c r="L632" s="257">
        <v>0</v>
      </c>
      <c r="M632" s="257">
        <v>0</v>
      </c>
      <c r="N632" s="257">
        <v>0</v>
      </c>
      <c r="O632" s="257">
        <v>0</v>
      </c>
      <c r="P632" s="257">
        <v>0</v>
      </c>
      <c r="Q632" s="258">
        <v>0</v>
      </c>
    </row>
    <row r="633" spans="1:17">
      <c r="A633" s="256">
        <v>1</v>
      </c>
      <c r="B633" s="256">
        <v>8831028</v>
      </c>
      <c r="C633" s="256">
        <v>883102867</v>
      </c>
      <c r="D633" s="256" t="s">
        <v>538</v>
      </c>
      <c r="E633" s="256" t="s">
        <v>539</v>
      </c>
      <c r="F633" s="256" t="s">
        <v>818</v>
      </c>
      <c r="G633" s="256" t="s">
        <v>811</v>
      </c>
      <c r="H633" s="256" t="s">
        <v>813</v>
      </c>
      <c r="I633" s="257">
        <v>0</v>
      </c>
      <c r="J633" s="257">
        <v>0</v>
      </c>
      <c r="K633" s="257">
        <v>0</v>
      </c>
      <c r="L633" s="257">
        <v>0</v>
      </c>
      <c r="M633" s="257">
        <v>0</v>
      </c>
      <c r="N633" s="257">
        <v>0</v>
      </c>
      <c r="O633" s="257">
        <v>0</v>
      </c>
      <c r="P633" s="257">
        <v>0</v>
      </c>
      <c r="Q633" s="258">
        <v>0</v>
      </c>
    </row>
    <row r="634" spans="1:17">
      <c r="A634" s="256">
        <v>1</v>
      </c>
      <c r="B634" s="256">
        <v>8831029</v>
      </c>
      <c r="C634" s="256">
        <v>883102900</v>
      </c>
      <c r="D634" s="256" t="s">
        <v>538</v>
      </c>
      <c r="E634" s="256" t="s">
        <v>539</v>
      </c>
      <c r="F634" s="256" t="s">
        <v>818</v>
      </c>
      <c r="G634" s="256" t="s">
        <v>66</v>
      </c>
      <c r="H634" s="256"/>
      <c r="I634" s="257">
        <v>0</v>
      </c>
      <c r="J634" s="257">
        <v>0</v>
      </c>
      <c r="K634" s="257">
        <v>0</v>
      </c>
      <c r="L634" s="257">
        <v>0</v>
      </c>
      <c r="M634" s="257">
        <v>0</v>
      </c>
      <c r="N634" s="257">
        <v>0</v>
      </c>
      <c r="O634" s="257">
        <v>0</v>
      </c>
      <c r="P634" s="257">
        <v>0</v>
      </c>
      <c r="Q634" s="258">
        <v>0</v>
      </c>
    </row>
    <row r="635" spans="1:17">
      <c r="A635" s="256">
        <v>1</v>
      </c>
      <c r="B635" s="256">
        <v>8831030</v>
      </c>
      <c r="C635" s="256">
        <v>883103000</v>
      </c>
      <c r="D635" s="256" t="s">
        <v>538</v>
      </c>
      <c r="E635" s="256" t="s">
        <v>539</v>
      </c>
      <c r="F635" s="256" t="s">
        <v>818</v>
      </c>
      <c r="G635" s="256" t="s">
        <v>64</v>
      </c>
      <c r="H635" s="256"/>
      <c r="I635" s="257">
        <v>0</v>
      </c>
      <c r="J635" s="257">
        <v>0</v>
      </c>
      <c r="K635" s="257">
        <v>0</v>
      </c>
      <c r="L635" s="257">
        <v>0</v>
      </c>
      <c r="M635" s="257">
        <v>0</v>
      </c>
      <c r="N635" s="257">
        <v>0</v>
      </c>
      <c r="O635" s="257">
        <v>0</v>
      </c>
      <c r="P635" s="257">
        <v>0</v>
      </c>
      <c r="Q635" s="258">
        <v>0</v>
      </c>
    </row>
    <row r="636" spans="1:17">
      <c r="A636" s="256">
        <v>1</v>
      </c>
      <c r="B636" s="256">
        <v>8831031</v>
      </c>
      <c r="C636" s="256">
        <v>883103100</v>
      </c>
      <c r="D636" s="256" t="s">
        <v>538</v>
      </c>
      <c r="E636" s="256" t="s">
        <v>539</v>
      </c>
      <c r="F636" s="256" t="s">
        <v>818</v>
      </c>
      <c r="G636" s="256" t="s">
        <v>62</v>
      </c>
      <c r="H636" s="256"/>
      <c r="I636" s="257">
        <v>0</v>
      </c>
      <c r="J636" s="257">
        <v>0</v>
      </c>
      <c r="K636" s="257">
        <v>0</v>
      </c>
      <c r="L636" s="257">
        <v>0</v>
      </c>
      <c r="M636" s="257">
        <v>0</v>
      </c>
      <c r="N636" s="257">
        <v>0</v>
      </c>
      <c r="O636" s="257">
        <v>0</v>
      </c>
      <c r="P636" s="257">
        <v>0</v>
      </c>
      <c r="Q636" s="258">
        <v>0</v>
      </c>
    </row>
    <row r="637" spans="1:17">
      <c r="A637" s="256">
        <v>1</v>
      </c>
      <c r="B637" s="256">
        <v>8831037</v>
      </c>
      <c r="C637" s="256">
        <v>883103700</v>
      </c>
      <c r="D637" s="256" t="s">
        <v>538</v>
      </c>
      <c r="E637" s="256" t="s">
        <v>539</v>
      </c>
      <c r="F637" s="256" t="s">
        <v>818</v>
      </c>
      <c r="G637" s="256" t="s">
        <v>60</v>
      </c>
      <c r="H637" s="256"/>
      <c r="I637" s="257">
        <v>0</v>
      </c>
      <c r="J637" s="257">
        <v>0</v>
      </c>
      <c r="K637" s="257">
        <v>0</v>
      </c>
      <c r="L637" s="257">
        <v>0</v>
      </c>
      <c r="M637" s="257">
        <v>0</v>
      </c>
      <c r="N637" s="257">
        <v>0</v>
      </c>
      <c r="O637" s="257">
        <v>0</v>
      </c>
      <c r="P637" s="257">
        <v>0</v>
      </c>
      <c r="Q637" s="258">
        <v>0</v>
      </c>
    </row>
    <row r="638" spans="1:17">
      <c r="A638" s="256">
        <v>1</v>
      </c>
      <c r="B638" s="256">
        <v>8831039</v>
      </c>
      <c r="C638" s="256">
        <v>883103900</v>
      </c>
      <c r="D638" s="256" t="s">
        <v>538</v>
      </c>
      <c r="E638" s="256" t="s">
        <v>539</v>
      </c>
      <c r="F638" s="256" t="s">
        <v>818</v>
      </c>
      <c r="G638" s="256" t="s">
        <v>58</v>
      </c>
      <c r="H638" s="256"/>
      <c r="I638" s="257">
        <v>0</v>
      </c>
      <c r="J638" s="257">
        <v>0</v>
      </c>
      <c r="K638" s="257">
        <v>0</v>
      </c>
      <c r="L638" s="257">
        <v>0</v>
      </c>
      <c r="M638" s="257">
        <v>0</v>
      </c>
      <c r="N638" s="257">
        <v>0</v>
      </c>
      <c r="O638" s="257">
        <v>0</v>
      </c>
      <c r="P638" s="257">
        <v>0</v>
      </c>
      <c r="Q638" s="258">
        <v>0</v>
      </c>
    </row>
    <row r="639" spans="1:17">
      <c r="A639" s="256">
        <v>1</v>
      </c>
      <c r="B639" s="256">
        <v>8831040</v>
      </c>
      <c r="C639" s="256">
        <v>883104000</v>
      </c>
      <c r="D639" s="256" t="s">
        <v>538</v>
      </c>
      <c r="E639" s="256" t="s">
        <v>539</v>
      </c>
      <c r="F639" s="256" t="s">
        <v>818</v>
      </c>
      <c r="G639" s="256" t="s">
        <v>56</v>
      </c>
      <c r="H639" s="256"/>
      <c r="I639" s="257">
        <v>0</v>
      </c>
      <c r="J639" s="257">
        <v>0</v>
      </c>
      <c r="K639" s="257">
        <v>0</v>
      </c>
      <c r="L639" s="257">
        <v>0</v>
      </c>
      <c r="M639" s="257">
        <v>0</v>
      </c>
      <c r="N639" s="257">
        <v>0</v>
      </c>
      <c r="O639" s="257">
        <v>0</v>
      </c>
      <c r="P639" s="257">
        <v>0</v>
      </c>
      <c r="Q639" s="258">
        <v>0</v>
      </c>
    </row>
    <row r="640" spans="1:17">
      <c r="A640" s="256">
        <v>1</v>
      </c>
      <c r="B640" s="256">
        <v>8831041</v>
      </c>
      <c r="C640" s="256">
        <v>883104100</v>
      </c>
      <c r="D640" s="256" t="s">
        <v>538</v>
      </c>
      <c r="E640" s="256" t="s">
        <v>539</v>
      </c>
      <c r="F640" s="256" t="s">
        <v>818</v>
      </c>
      <c r="G640" s="256" t="s">
        <v>55</v>
      </c>
      <c r="H640" s="256"/>
      <c r="I640" s="257">
        <v>0</v>
      </c>
      <c r="J640" s="257">
        <v>0</v>
      </c>
      <c r="K640" s="257">
        <v>0</v>
      </c>
      <c r="L640" s="257">
        <v>0</v>
      </c>
      <c r="M640" s="257">
        <v>0</v>
      </c>
      <c r="N640" s="257">
        <v>0</v>
      </c>
      <c r="O640" s="257">
        <v>0</v>
      </c>
      <c r="P640" s="257">
        <v>0</v>
      </c>
      <c r="Q640" s="258">
        <v>0</v>
      </c>
    </row>
    <row r="641" spans="1:17">
      <c r="A641" s="256">
        <v>1</v>
      </c>
      <c r="B641" s="256">
        <v>8831201</v>
      </c>
      <c r="C641" s="256">
        <v>883120102</v>
      </c>
      <c r="D641" s="256" t="s">
        <v>538</v>
      </c>
      <c r="E641" s="256" t="s">
        <v>539</v>
      </c>
      <c r="F641" s="256" t="s">
        <v>819</v>
      </c>
      <c r="G641" s="256" t="s">
        <v>112</v>
      </c>
      <c r="H641" s="256" t="s">
        <v>737</v>
      </c>
      <c r="I641" s="257">
        <v>0</v>
      </c>
      <c r="J641" s="257">
        <v>0</v>
      </c>
      <c r="K641" s="257">
        <v>0</v>
      </c>
      <c r="L641" s="257">
        <v>0</v>
      </c>
      <c r="M641" s="257">
        <v>0</v>
      </c>
      <c r="N641" s="257">
        <v>0</v>
      </c>
      <c r="O641" s="257">
        <v>0</v>
      </c>
      <c r="P641" s="257">
        <v>0</v>
      </c>
      <c r="Q641" s="258">
        <v>0</v>
      </c>
    </row>
    <row r="642" spans="1:17">
      <c r="A642" s="256">
        <v>1</v>
      </c>
      <c r="B642" s="256">
        <v>8831201</v>
      </c>
      <c r="C642" s="256">
        <v>883120103</v>
      </c>
      <c r="D642" s="256" t="s">
        <v>538</v>
      </c>
      <c r="E642" s="256" t="s">
        <v>539</v>
      </c>
      <c r="F642" s="256" t="s">
        <v>819</v>
      </c>
      <c r="G642" s="256" t="s">
        <v>112</v>
      </c>
      <c r="H642" s="256" t="s">
        <v>738</v>
      </c>
      <c r="I642" s="257">
        <v>0</v>
      </c>
      <c r="J642" s="257">
        <v>0</v>
      </c>
      <c r="K642" s="257">
        <v>0</v>
      </c>
      <c r="L642" s="257">
        <v>0</v>
      </c>
      <c r="M642" s="257">
        <v>0</v>
      </c>
      <c r="N642" s="257">
        <v>0</v>
      </c>
      <c r="O642" s="257">
        <v>0</v>
      </c>
      <c r="P642" s="257">
        <v>0</v>
      </c>
      <c r="Q642" s="258">
        <v>0</v>
      </c>
    </row>
    <row r="643" spans="1:17">
      <c r="A643" s="256">
        <v>1</v>
      </c>
      <c r="B643" s="256">
        <v>8831201</v>
      </c>
      <c r="C643" s="256">
        <v>883120104</v>
      </c>
      <c r="D643" s="256" t="s">
        <v>538</v>
      </c>
      <c r="E643" s="256" t="s">
        <v>539</v>
      </c>
      <c r="F643" s="256" t="s">
        <v>819</v>
      </c>
      <c r="G643" s="256" t="s">
        <v>112</v>
      </c>
      <c r="H643" s="256" t="s">
        <v>739</v>
      </c>
      <c r="I643" s="257">
        <v>0</v>
      </c>
      <c r="J643" s="257">
        <v>0</v>
      </c>
      <c r="K643" s="257">
        <v>0</v>
      </c>
      <c r="L643" s="257">
        <v>0</v>
      </c>
      <c r="M643" s="257">
        <v>0</v>
      </c>
      <c r="N643" s="257">
        <v>0</v>
      </c>
      <c r="O643" s="257">
        <v>0</v>
      </c>
      <c r="P643" s="257">
        <v>0</v>
      </c>
      <c r="Q643" s="258">
        <v>0</v>
      </c>
    </row>
    <row r="644" spans="1:17">
      <c r="A644" s="236">
        <v>1</v>
      </c>
      <c r="B644" s="236">
        <v>8831201</v>
      </c>
      <c r="C644" s="236">
        <v>883120105</v>
      </c>
      <c r="D644" s="236" t="s">
        <v>538</v>
      </c>
      <c r="E644" s="236" t="s">
        <v>539</v>
      </c>
      <c r="F644" s="236" t="s">
        <v>819</v>
      </c>
      <c r="G644" s="236" t="s">
        <v>112</v>
      </c>
      <c r="H644" s="236" t="s">
        <v>740</v>
      </c>
      <c r="I644" s="257">
        <v>19274556</v>
      </c>
      <c r="J644" s="257">
        <v>0</v>
      </c>
      <c r="K644" s="257">
        <v>0</v>
      </c>
      <c r="L644" s="257">
        <v>0</v>
      </c>
      <c r="M644" s="257">
        <v>0</v>
      </c>
      <c r="N644" s="257">
        <v>0</v>
      </c>
      <c r="O644" s="257">
        <v>0</v>
      </c>
      <c r="P644" s="257">
        <v>19274556</v>
      </c>
      <c r="Q644" s="258">
        <v>0</v>
      </c>
    </row>
    <row r="645" spans="1:17">
      <c r="A645" s="256">
        <v>1</v>
      </c>
      <c r="B645" s="256">
        <v>8831202</v>
      </c>
      <c r="C645" s="256">
        <v>883120202</v>
      </c>
      <c r="D645" s="256" t="s">
        <v>538</v>
      </c>
      <c r="E645" s="256" t="s">
        <v>539</v>
      </c>
      <c r="F645" s="256" t="s">
        <v>819</v>
      </c>
      <c r="G645" s="256" t="s">
        <v>110</v>
      </c>
      <c r="H645" s="256" t="s">
        <v>741</v>
      </c>
      <c r="I645" s="257">
        <v>22985320</v>
      </c>
      <c r="J645" s="257">
        <v>0</v>
      </c>
      <c r="K645" s="257">
        <v>0</v>
      </c>
      <c r="L645" s="257">
        <v>0</v>
      </c>
      <c r="M645" s="257">
        <v>0</v>
      </c>
      <c r="N645" s="257">
        <v>0</v>
      </c>
      <c r="O645" s="257">
        <v>0</v>
      </c>
      <c r="P645" s="257">
        <v>22985320</v>
      </c>
      <c r="Q645" s="258">
        <v>0</v>
      </c>
    </row>
    <row r="646" spans="1:17">
      <c r="A646" s="256">
        <v>1</v>
      </c>
      <c r="B646" s="256">
        <v>8831203</v>
      </c>
      <c r="C646" s="256">
        <v>883120301</v>
      </c>
      <c r="D646" s="256" t="s">
        <v>538</v>
      </c>
      <c r="E646" s="256" t="s">
        <v>539</v>
      </c>
      <c r="F646" s="256" t="s">
        <v>819</v>
      </c>
      <c r="G646" s="256" t="s">
        <v>108</v>
      </c>
      <c r="H646" s="256" t="s">
        <v>742</v>
      </c>
      <c r="I646" s="257">
        <v>2305456</v>
      </c>
      <c r="J646" s="257">
        <v>0</v>
      </c>
      <c r="K646" s="257">
        <v>0</v>
      </c>
      <c r="L646" s="257">
        <v>0</v>
      </c>
      <c r="M646" s="257">
        <v>0</v>
      </c>
      <c r="N646" s="257">
        <v>0</v>
      </c>
      <c r="O646" s="257">
        <v>0</v>
      </c>
      <c r="P646" s="257">
        <v>2305456</v>
      </c>
      <c r="Q646" s="258">
        <v>0</v>
      </c>
    </row>
    <row r="647" spans="1:17">
      <c r="A647" s="256">
        <v>1</v>
      </c>
      <c r="B647" s="256">
        <v>8831203</v>
      </c>
      <c r="C647" s="256">
        <v>883120302</v>
      </c>
      <c r="D647" s="256" t="s">
        <v>538</v>
      </c>
      <c r="E647" s="256" t="s">
        <v>539</v>
      </c>
      <c r="F647" s="256" t="s">
        <v>819</v>
      </c>
      <c r="G647" s="256" t="s">
        <v>108</v>
      </c>
      <c r="H647" s="256" t="s">
        <v>743</v>
      </c>
      <c r="I647" s="257">
        <v>0</v>
      </c>
      <c r="J647" s="257">
        <v>0</v>
      </c>
      <c r="K647" s="257">
        <v>0</v>
      </c>
      <c r="L647" s="257">
        <v>0</v>
      </c>
      <c r="M647" s="257">
        <v>0</v>
      </c>
      <c r="N647" s="257">
        <v>0</v>
      </c>
      <c r="O647" s="257">
        <v>0</v>
      </c>
      <c r="P647" s="257">
        <v>0</v>
      </c>
      <c r="Q647" s="258">
        <v>0</v>
      </c>
    </row>
    <row r="648" spans="1:17">
      <c r="A648" s="256">
        <v>1</v>
      </c>
      <c r="B648" s="256">
        <v>8831203</v>
      </c>
      <c r="C648" s="256">
        <v>883120303</v>
      </c>
      <c r="D648" s="256" t="s">
        <v>538</v>
      </c>
      <c r="E648" s="256" t="s">
        <v>539</v>
      </c>
      <c r="F648" s="256" t="s">
        <v>819</v>
      </c>
      <c r="G648" s="256" t="s">
        <v>108</v>
      </c>
      <c r="H648" s="256" t="s">
        <v>744</v>
      </c>
      <c r="I648" s="257">
        <v>9621019</v>
      </c>
      <c r="J648" s="257">
        <v>0</v>
      </c>
      <c r="K648" s="257">
        <v>0</v>
      </c>
      <c r="L648" s="257">
        <v>0</v>
      </c>
      <c r="M648" s="257">
        <v>0</v>
      </c>
      <c r="N648" s="257">
        <v>0</v>
      </c>
      <c r="O648" s="257">
        <v>0</v>
      </c>
      <c r="P648" s="257">
        <v>9621019</v>
      </c>
      <c r="Q648" s="258">
        <v>0</v>
      </c>
    </row>
    <row r="649" spans="1:17">
      <c r="A649" s="256">
        <v>1</v>
      </c>
      <c r="B649" s="256">
        <v>8831203</v>
      </c>
      <c r="C649" s="256">
        <v>883120304</v>
      </c>
      <c r="D649" s="256" t="s">
        <v>538</v>
      </c>
      <c r="E649" s="256" t="s">
        <v>539</v>
      </c>
      <c r="F649" s="256" t="s">
        <v>819</v>
      </c>
      <c r="G649" s="256" t="s">
        <v>108</v>
      </c>
      <c r="H649" s="256" t="s">
        <v>745</v>
      </c>
      <c r="I649" s="257">
        <v>517080</v>
      </c>
      <c r="J649" s="257">
        <v>0</v>
      </c>
      <c r="K649" s="257">
        <v>0</v>
      </c>
      <c r="L649" s="257">
        <v>0</v>
      </c>
      <c r="M649" s="257">
        <v>0</v>
      </c>
      <c r="N649" s="257">
        <v>517080</v>
      </c>
      <c r="O649" s="257">
        <v>0</v>
      </c>
      <c r="P649" s="257">
        <v>0</v>
      </c>
      <c r="Q649" s="258">
        <v>0</v>
      </c>
    </row>
    <row r="650" spans="1:17">
      <c r="A650" s="256">
        <v>1</v>
      </c>
      <c r="B650" s="256">
        <v>8831203</v>
      </c>
      <c r="C650" s="256">
        <v>883120305</v>
      </c>
      <c r="D650" s="256" t="s">
        <v>538</v>
      </c>
      <c r="E650" s="256" t="s">
        <v>539</v>
      </c>
      <c r="F650" s="256" t="s">
        <v>819</v>
      </c>
      <c r="G650" s="256" t="s">
        <v>108</v>
      </c>
      <c r="H650" s="256" t="s">
        <v>746</v>
      </c>
      <c r="I650" s="257">
        <v>69600</v>
      </c>
      <c r="J650" s="257">
        <v>0</v>
      </c>
      <c r="K650" s="257">
        <v>0</v>
      </c>
      <c r="L650" s="257">
        <v>0</v>
      </c>
      <c r="M650" s="257">
        <v>0</v>
      </c>
      <c r="N650" s="257">
        <v>0</v>
      </c>
      <c r="O650" s="257">
        <v>0</v>
      </c>
      <c r="P650" s="257">
        <v>69600</v>
      </c>
      <c r="Q650" s="258">
        <v>0</v>
      </c>
    </row>
    <row r="651" spans="1:17">
      <c r="A651" s="256">
        <v>1</v>
      </c>
      <c r="B651" s="256">
        <v>8831203</v>
      </c>
      <c r="C651" s="256">
        <v>883120306</v>
      </c>
      <c r="D651" s="256" t="s">
        <v>538</v>
      </c>
      <c r="E651" s="256" t="s">
        <v>539</v>
      </c>
      <c r="F651" s="256" t="s">
        <v>819</v>
      </c>
      <c r="G651" s="256" t="s">
        <v>108</v>
      </c>
      <c r="H651" s="256" t="s">
        <v>747</v>
      </c>
      <c r="I651" s="257">
        <v>0</v>
      </c>
      <c r="J651" s="257">
        <v>0</v>
      </c>
      <c r="K651" s="257">
        <v>0</v>
      </c>
      <c r="L651" s="257">
        <v>0</v>
      </c>
      <c r="M651" s="257">
        <v>0</v>
      </c>
      <c r="N651" s="257">
        <v>0</v>
      </c>
      <c r="O651" s="257">
        <v>0</v>
      </c>
      <c r="P651" s="257">
        <v>0</v>
      </c>
      <c r="Q651" s="258">
        <v>0</v>
      </c>
    </row>
    <row r="652" spans="1:17">
      <c r="A652" s="256">
        <v>1</v>
      </c>
      <c r="B652" s="256">
        <v>8831203</v>
      </c>
      <c r="C652" s="256">
        <v>883120307</v>
      </c>
      <c r="D652" s="256" t="s">
        <v>538</v>
      </c>
      <c r="E652" s="256" t="s">
        <v>539</v>
      </c>
      <c r="F652" s="256" t="s">
        <v>819</v>
      </c>
      <c r="G652" s="256" t="s">
        <v>108</v>
      </c>
      <c r="H652" s="256" t="s">
        <v>748</v>
      </c>
      <c r="I652" s="257">
        <v>383622</v>
      </c>
      <c r="J652" s="257">
        <v>0</v>
      </c>
      <c r="K652" s="257">
        <v>0</v>
      </c>
      <c r="L652" s="257">
        <v>0</v>
      </c>
      <c r="M652" s="257">
        <v>0</v>
      </c>
      <c r="N652" s="257">
        <v>0</v>
      </c>
      <c r="O652" s="257">
        <v>0</v>
      </c>
      <c r="P652" s="257">
        <v>383622</v>
      </c>
      <c r="Q652" s="258">
        <v>0</v>
      </c>
    </row>
    <row r="653" spans="1:17">
      <c r="A653" s="256">
        <v>1</v>
      </c>
      <c r="B653" s="256">
        <v>8831203</v>
      </c>
      <c r="C653" s="256">
        <v>883120310</v>
      </c>
      <c r="D653" s="256" t="s">
        <v>538</v>
      </c>
      <c r="E653" s="256" t="s">
        <v>539</v>
      </c>
      <c r="F653" s="256" t="s">
        <v>819</v>
      </c>
      <c r="G653" s="256" t="s">
        <v>108</v>
      </c>
      <c r="H653" s="256" t="s">
        <v>749</v>
      </c>
      <c r="I653" s="257">
        <v>1478667</v>
      </c>
      <c r="J653" s="257">
        <v>0</v>
      </c>
      <c r="K653" s="257">
        <v>0</v>
      </c>
      <c r="L653" s="257">
        <v>0</v>
      </c>
      <c r="M653" s="257">
        <v>0</v>
      </c>
      <c r="N653" s="257">
        <v>0</v>
      </c>
      <c r="O653" s="257">
        <v>0</v>
      </c>
      <c r="P653" s="257">
        <v>1478667</v>
      </c>
      <c r="Q653" s="258">
        <v>0</v>
      </c>
    </row>
    <row r="654" spans="1:17">
      <c r="A654" s="256">
        <v>1</v>
      </c>
      <c r="B654" s="256">
        <v>8831203</v>
      </c>
      <c r="C654" s="256">
        <v>883120311</v>
      </c>
      <c r="D654" s="256" t="s">
        <v>538</v>
      </c>
      <c r="E654" s="256" t="s">
        <v>539</v>
      </c>
      <c r="F654" s="256" t="s">
        <v>819</v>
      </c>
      <c r="G654" s="256" t="s">
        <v>108</v>
      </c>
      <c r="H654" s="256" t="s">
        <v>750</v>
      </c>
      <c r="I654" s="257">
        <v>0</v>
      </c>
      <c r="J654" s="257">
        <v>0</v>
      </c>
      <c r="K654" s="257">
        <v>0</v>
      </c>
      <c r="L654" s="257">
        <v>0</v>
      </c>
      <c r="M654" s="257">
        <v>0</v>
      </c>
      <c r="N654" s="257">
        <v>0</v>
      </c>
      <c r="O654" s="257">
        <v>0</v>
      </c>
      <c r="P654" s="257">
        <v>0</v>
      </c>
      <c r="Q654" s="258">
        <v>0</v>
      </c>
    </row>
    <row r="655" spans="1:17">
      <c r="A655" s="256">
        <v>1</v>
      </c>
      <c r="B655" s="256">
        <v>8831203</v>
      </c>
      <c r="C655" s="256">
        <v>883120314</v>
      </c>
      <c r="D655" s="256" t="s">
        <v>538</v>
      </c>
      <c r="E655" s="256" t="s">
        <v>539</v>
      </c>
      <c r="F655" s="256" t="s">
        <v>819</v>
      </c>
      <c r="G655" s="256" t="s">
        <v>108</v>
      </c>
      <c r="H655" s="256" t="s">
        <v>751</v>
      </c>
      <c r="I655" s="257">
        <v>324000</v>
      </c>
      <c r="J655" s="257">
        <v>0</v>
      </c>
      <c r="K655" s="257">
        <v>0</v>
      </c>
      <c r="L655" s="257">
        <v>0</v>
      </c>
      <c r="M655" s="257">
        <v>0</v>
      </c>
      <c r="N655" s="257">
        <v>0</v>
      </c>
      <c r="O655" s="257">
        <v>0</v>
      </c>
      <c r="P655" s="257">
        <v>324000</v>
      </c>
      <c r="Q655" s="258">
        <v>0</v>
      </c>
    </row>
    <row r="656" spans="1:17">
      <c r="A656" s="256">
        <v>1</v>
      </c>
      <c r="B656" s="256">
        <v>8831203</v>
      </c>
      <c r="C656" s="256">
        <v>883120315</v>
      </c>
      <c r="D656" s="256" t="s">
        <v>538</v>
      </c>
      <c r="E656" s="256" t="s">
        <v>539</v>
      </c>
      <c r="F656" s="256" t="s">
        <v>819</v>
      </c>
      <c r="G656" s="256" t="s">
        <v>108</v>
      </c>
      <c r="H656" s="256" t="s">
        <v>752</v>
      </c>
      <c r="I656" s="257">
        <v>0</v>
      </c>
      <c r="J656" s="257">
        <v>0</v>
      </c>
      <c r="K656" s="257">
        <v>0</v>
      </c>
      <c r="L656" s="257">
        <v>0</v>
      </c>
      <c r="M656" s="257">
        <v>0</v>
      </c>
      <c r="N656" s="257">
        <v>0</v>
      </c>
      <c r="O656" s="257">
        <v>0</v>
      </c>
      <c r="P656" s="257">
        <v>0</v>
      </c>
      <c r="Q656" s="258">
        <v>0</v>
      </c>
    </row>
    <row r="657" spans="1:17">
      <c r="A657" s="256">
        <v>1</v>
      </c>
      <c r="B657" s="256">
        <v>8831204</v>
      </c>
      <c r="C657" s="256">
        <v>883120401</v>
      </c>
      <c r="D657" s="256" t="s">
        <v>538</v>
      </c>
      <c r="E657" s="256" t="s">
        <v>539</v>
      </c>
      <c r="F657" s="256" t="s">
        <v>819</v>
      </c>
      <c r="G657" s="256" t="s">
        <v>106</v>
      </c>
      <c r="H657" s="256" t="s">
        <v>755</v>
      </c>
      <c r="I657" s="257">
        <v>2319119</v>
      </c>
      <c r="J657" s="257">
        <v>0</v>
      </c>
      <c r="K657" s="257">
        <v>0</v>
      </c>
      <c r="L657" s="257">
        <v>0</v>
      </c>
      <c r="M657" s="257">
        <v>0</v>
      </c>
      <c r="N657" s="257">
        <v>0</v>
      </c>
      <c r="O657" s="257">
        <v>2319119</v>
      </c>
      <c r="P657" s="257">
        <v>0</v>
      </c>
      <c r="Q657" s="258">
        <v>0</v>
      </c>
    </row>
    <row r="658" spans="1:17">
      <c r="A658" s="256">
        <v>1</v>
      </c>
      <c r="B658" s="256">
        <v>8831204</v>
      </c>
      <c r="C658" s="256">
        <v>883120402</v>
      </c>
      <c r="D658" s="256" t="s">
        <v>538</v>
      </c>
      <c r="E658" s="256" t="s">
        <v>539</v>
      </c>
      <c r="F658" s="256" t="s">
        <v>819</v>
      </c>
      <c r="G658" s="256" t="s">
        <v>106</v>
      </c>
      <c r="H658" s="256" t="s">
        <v>756</v>
      </c>
      <c r="I658" s="257">
        <v>60748</v>
      </c>
      <c r="J658" s="257">
        <v>0</v>
      </c>
      <c r="K658" s="257">
        <v>0</v>
      </c>
      <c r="L658" s="257">
        <v>0</v>
      </c>
      <c r="M658" s="257">
        <v>0</v>
      </c>
      <c r="N658" s="257">
        <v>0</v>
      </c>
      <c r="O658" s="257">
        <v>0</v>
      </c>
      <c r="P658" s="257">
        <v>60748</v>
      </c>
      <c r="Q658" s="258">
        <v>0</v>
      </c>
    </row>
    <row r="659" spans="1:17">
      <c r="A659" s="256">
        <v>1</v>
      </c>
      <c r="B659" s="256">
        <v>8831204</v>
      </c>
      <c r="C659" s="256">
        <v>883120403</v>
      </c>
      <c r="D659" s="256" t="s">
        <v>538</v>
      </c>
      <c r="E659" s="256" t="s">
        <v>539</v>
      </c>
      <c r="F659" s="256" t="s">
        <v>819</v>
      </c>
      <c r="G659" s="256" t="s">
        <v>106</v>
      </c>
      <c r="H659" s="256" t="s">
        <v>757</v>
      </c>
      <c r="I659" s="257">
        <v>0</v>
      </c>
      <c r="J659" s="257">
        <v>0</v>
      </c>
      <c r="K659" s="257">
        <v>0</v>
      </c>
      <c r="L659" s="257">
        <v>0</v>
      </c>
      <c r="M659" s="257">
        <v>0</v>
      </c>
      <c r="N659" s="257">
        <v>0</v>
      </c>
      <c r="O659" s="257">
        <v>0</v>
      </c>
      <c r="P659" s="257">
        <v>0</v>
      </c>
      <c r="Q659" s="258">
        <v>0</v>
      </c>
    </row>
    <row r="660" spans="1:17">
      <c r="A660" s="256">
        <v>1</v>
      </c>
      <c r="B660" s="256">
        <v>8831204</v>
      </c>
      <c r="C660" s="256">
        <v>883120405</v>
      </c>
      <c r="D660" s="256" t="s">
        <v>538</v>
      </c>
      <c r="E660" s="256" t="s">
        <v>539</v>
      </c>
      <c r="F660" s="256" t="s">
        <v>819</v>
      </c>
      <c r="G660" s="256" t="s">
        <v>106</v>
      </c>
      <c r="H660" s="256" t="s">
        <v>758</v>
      </c>
      <c r="I660" s="257">
        <v>0</v>
      </c>
      <c r="J660" s="257">
        <v>0</v>
      </c>
      <c r="K660" s="257">
        <v>0</v>
      </c>
      <c r="L660" s="257">
        <v>0</v>
      </c>
      <c r="M660" s="257">
        <v>0</v>
      </c>
      <c r="N660" s="257">
        <v>0</v>
      </c>
      <c r="O660" s="257">
        <v>0</v>
      </c>
      <c r="P660" s="257">
        <v>0</v>
      </c>
      <c r="Q660" s="258">
        <v>0</v>
      </c>
    </row>
    <row r="661" spans="1:17">
      <c r="A661" s="256">
        <v>1</v>
      </c>
      <c r="B661" s="256">
        <v>8831204</v>
      </c>
      <c r="C661" s="256">
        <v>883120406</v>
      </c>
      <c r="D661" s="256" t="s">
        <v>538</v>
      </c>
      <c r="E661" s="256" t="s">
        <v>539</v>
      </c>
      <c r="F661" s="256" t="s">
        <v>819</v>
      </c>
      <c r="G661" s="256" t="s">
        <v>106</v>
      </c>
      <c r="H661" s="256" t="s">
        <v>759</v>
      </c>
      <c r="I661" s="257">
        <v>405632</v>
      </c>
      <c r="J661" s="257">
        <v>0</v>
      </c>
      <c r="K661" s="257">
        <v>0</v>
      </c>
      <c r="L661" s="257">
        <v>0</v>
      </c>
      <c r="M661" s="257">
        <v>0</v>
      </c>
      <c r="N661" s="257">
        <v>0</v>
      </c>
      <c r="O661" s="257">
        <v>405632</v>
      </c>
      <c r="P661" s="257">
        <v>0</v>
      </c>
      <c r="Q661" s="258">
        <v>0</v>
      </c>
    </row>
    <row r="662" spans="1:17">
      <c r="A662" s="256">
        <v>1</v>
      </c>
      <c r="B662" s="256">
        <v>8831204</v>
      </c>
      <c r="C662" s="256">
        <v>883120407</v>
      </c>
      <c r="D662" s="256" t="s">
        <v>538</v>
      </c>
      <c r="E662" s="256" t="s">
        <v>539</v>
      </c>
      <c r="F662" s="256" t="s">
        <v>819</v>
      </c>
      <c r="G662" s="256" t="s">
        <v>106</v>
      </c>
      <c r="H662" s="256" t="s">
        <v>760</v>
      </c>
      <c r="I662" s="257">
        <v>3606933</v>
      </c>
      <c r="J662" s="257">
        <v>0</v>
      </c>
      <c r="K662" s="257">
        <v>0</v>
      </c>
      <c r="L662" s="257">
        <v>0</v>
      </c>
      <c r="M662" s="257">
        <v>0</v>
      </c>
      <c r="N662" s="257">
        <v>0</v>
      </c>
      <c r="O662" s="257">
        <v>3606933</v>
      </c>
      <c r="P662" s="257">
        <v>0</v>
      </c>
      <c r="Q662" s="258">
        <v>0</v>
      </c>
    </row>
    <row r="663" spans="1:17">
      <c r="A663" s="256">
        <v>1</v>
      </c>
      <c r="B663" s="256">
        <v>8831204</v>
      </c>
      <c r="C663" s="256">
        <v>883120408</v>
      </c>
      <c r="D663" s="256" t="s">
        <v>538</v>
      </c>
      <c r="E663" s="256" t="s">
        <v>539</v>
      </c>
      <c r="F663" s="256" t="s">
        <v>819</v>
      </c>
      <c r="G663" s="256" t="s">
        <v>106</v>
      </c>
      <c r="H663" s="256" t="s">
        <v>761</v>
      </c>
      <c r="I663" s="257">
        <v>142269</v>
      </c>
      <c r="J663" s="257">
        <v>0</v>
      </c>
      <c r="K663" s="257">
        <v>0</v>
      </c>
      <c r="L663" s="257">
        <v>0</v>
      </c>
      <c r="M663" s="257">
        <v>0</v>
      </c>
      <c r="N663" s="257">
        <v>0</v>
      </c>
      <c r="O663" s="257">
        <v>142269</v>
      </c>
      <c r="P663" s="257">
        <v>0</v>
      </c>
      <c r="Q663" s="258">
        <v>0</v>
      </c>
    </row>
    <row r="664" spans="1:17">
      <c r="A664" s="256">
        <v>1</v>
      </c>
      <c r="B664" s="256">
        <v>8831204</v>
      </c>
      <c r="C664" s="256">
        <v>883120410</v>
      </c>
      <c r="D664" s="256" t="s">
        <v>538</v>
      </c>
      <c r="E664" s="256" t="s">
        <v>539</v>
      </c>
      <c r="F664" s="256" t="s">
        <v>819</v>
      </c>
      <c r="G664" s="256" t="s">
        <v>106</v>
      </c>
      <c r="H664" s="256" t="s">
        <v>762</v>
      </c>
      <c r="I664" s="257">
        <v>2984624</v>
      </c>
      <c r="J664" s="257">
        <v>0</v>
      </c>
      <c r="K664" s="257">
        <v>0</v>
      </c>
      <c r="L664" s="257">
        <v>0</v>
      </c>
      <c r="M664" s="257">
        <v>0</v>
      </c>
      <c r="N664" s="257">
        <v>0</v>
      </c>
      <c r="O664" s="257">
        <v>2984624</v>
      </c>
      <c r="P664" s="257">
        <v>0</v>
      </c>
      <c r="Q664" s="258">
        <v>0</v>
      </c>
    </row>
    <row r="665" spans="1:17">
      <c r="A665" s="256">
        <v>1</v>
      </c>
      <c r="B665" s="256">
        <v>8831204</v>
      </c>
      <c r="C665" s="256">
        <v>883120411</v>
      </c>
      <c r="D665" s="256" t="s">
        <v>538</v>
      </c>
      <c r="E665" s="256" t="s">
        <v>539</v>
      </c>
      <c r="F665" s="256" t="s">
        <v>819</v>
      </c>
      <c r="G665" s="256" t="s">
        <v>106</v>
      </c>
      <c r="H665" s="256" t="s">
        <v>763</v>
      </c>
      <c r="I665" s="257">
        <v>73529</v>
      </c>
      <c r="J665" s="257">
        <v>0</v>
      </c>
      <c r="K665" s="257">
        <v>0</v>
      </c>
      <c r="L665" s="257">
        <v>0</v>
      </c>
      <c r="M665" s="257">
        <v>0</v>
      </c>
      <c r="N665" s="257">
        <v>0</v>
      </c>
      <c r="O665" s="257">
        <v>73529</v>
      </c>
      <c r="P665" s="257">
        <v>0</v>
      </c>
      <c r="Q665" s="258">
        <v>0</v>
      </c>
    </row>
    <row r="666" spans="1:17">
      <c r="A666" s="256">
        <v>1</v>
      </c>
      <c r="B666" s="256">
        <v>8831205</v>
      </c>
      <c r="C666" s="256">
        <v>883120500</v>
      </c>
      <c r="D666" s="256" t="s">
        <v>538</v>
      </c>
      <c r="E666" s="256" t="s">
        <v>539</v>
      </c>
      <c r="F666" s="256" t="s">
        <v>819</v>
      </c>
      <c r="G666" s="256" t="s">
        <v>104</v>
      </c>
      <c r="H666" s="256"/>
      <c r="I666" s="257">
        <v>0</v>
      </c>
      <c r="J666" s="257">
        <v>0</v>
      </c>
      <c r="K666" s="257">
        <v>0</v>
      </c>
      <c r="L666" s="257">
        <v>0</v>
      </c>
      <c r="M666" s="257">
        <v>0</v>
      </c>
      <c r="N666" s="257">
        <v>0</v>
      </c>
      <c r="O666" s="257">
        <v>0</v>
      </c>
      <c r="P666" s="257">
        <v>0</v>
      </c>
      <c r="Q666" s="258">
        <v>0</v>
      </c>
    </row>
    <row r="667" spans="1:17">
      <c r="A667" s="256">
        <v>1</v>
      </c>
      <c r="B667" s="256">
        <v>8831207</v>
      </c>
      <c r="C667" s="256">
        <v>883120700</v>
      </c>
      <c r="D667" s="256" t="s">
        <v>538</v>
      </c>
      <c r="E667" s="256" t="s">
        <v>539</v>
      </c>
      <c r="F667" s="256" t="s">
        <v>819</v>
      </c>
      <c r="G667" s="256" t="s">
        <v>102</v>
      </c>
      <c r="H667" s="256"/>
      <c r="I667" s="257">
        <v>0</v>
      </c>
      <c r="J667" s="257">
        <v>0</v>
      </c>
      <c r="K667" s="257">
        <v>0</v>
      </c>
      <c r="L667" s="257">
        <v>0</v>
      </c>
      <c r="M667" s="257">
        <v>0</v>
      </c>
      <c r="N667" s="257">
        <v>0</v>
      </c>
      <c r="O667" s="257">
        <v>0</v>
      </c>
      <c r="P667" s="257">
        <v>0</v>
      </c>
      <c r="Q667" s="258">
        <v>0</v>
      </c>
    </row>
    <row r="668" spans="1:17">
      <c r="A668" s="256">
        <v>1</v>
      </c>
      <c r="B668" s="256">
        <v>8831208</v>
      </c>
      <c r="C668" s="256">
        <v>883120800</v>
      </c>
      <c r="D668" s="256" t="s">
        <v>538</v>
      </c>
      <c r="E668" s="256" t="s">
        <v>539</v>
      </c>
      <c r="F668" s="256" t="s">
        <v>819</v>
      </c>
      <c r="G668" s="256" t="s">
        <v>100</v>
      </c>
      <c r="H668" s="256"/>
      <c r="I668" s="257">
        <v>0</v>
      </c>
      <c r="J668" s="257">
        <v>0</v>
      </c>
      <c r="K668" s="257">
        <v>0</v>
      </c>
      <c r="L668" s="257">
        <v>0</v>
      </c>
      <c r="M668" s="257">
        <v>0</v>
      </c>
      <c r="N668" s="257">
        <v>0</v>
      </c>
      <c r="O668" s="257">
        <v>0</v>
      </c>
      <c r="P668" s="257">
        <v>0</v>
      </c>
      <c r="Q668" s="258">
        <v>0</v>
      </c>
    </row>
    <row r="669" spans="1:17">
      <c r="A669" s="256">
        <v>1</v>
      </c>
      <c r="B669" s="256">
        <v>8831210</v>
      </c>
      <c r="C669" s="256">
        <v>883121001</v>
      </c>
      <c r="D669" s="256" t="s">
        <v>538</v>
      </c>
      <c r="E669" s="256" t="s">
        <v>539</v>
      </c>
      <c r="F669" s="256" t="s">
        <v>819</v>
      </c>
      <c r="G669" s="256" t="s">
        <v>764</v>
      </c>
      <c r="H669" s="256" t="s">
        <v>98</v>
      </c>
      <c r="I669" s="257">
        <v>0</v>
      </c>
      <c r="J669" s="257">
        <v>0</v>
      </c>
      <c r="K669" s="257">
        <v>0</v>
      </c>
      <c r="L669" s="257">
        <v>0</v>
      </c>
      <c r="M669" s="257">
        <v>0</v>
      </c>
      <c r="N669" s="257">
        <v>0</v>
      </c>
      <c r="O669" s="257">
        <v>0</v>
      </c>
      <c r="P669" s="257">
        <v>0</v>
      </c>
      <c r="Q669" s="258">
        <v>0</v>
      </c>
    </row>
    <row r="670" spans="1:17">
      <c r="A670" s="256">
        <v>1</v>
      </c>
      <c r="B670" s="256">
        <v>8831210</v>
      </c>
      <c r="C670" s="256">
        <v>883121002</v>
      </c>
      <c r="D670" s="256" t="s">
        <v>538</v>
      </c>
      <c r="E670" s="256" t="s">
        <v>539</v>
      </c>
      <c r="F670" s="256" t="s">
        <v>819</v>
      </c>
      <c r="G670" s="256" t="s">
        <v>764</v>
      </c>
      <c r="H670" s="256" t="s">
        <v>95</v>
      </c>
      <c r="I670" s="257">
        <v>0</v>
      </c>
      <c r="J670" s="257">
        <v>0</v>
      </c>
      <c r="K670" s="257">
        <v>0</v>
      </c>
      <c r="L670" s="257">
        <v>0</v>
      </c>
      <c r="M670" s="257">
        <v>0</v>
      </c>
      <c r="N670" s="257">
        <v>0</v>
      </c>
      <c r="O670" s="257">
        <v>0</v>
      </c>
      <c r="P670" s="257">
        <v>0</v>
      </c>
      <c r="Q670" s="258">
        <v>0</v>
      </c>
    </row>
    <row r="671" spans="1:17">
      <c r="A671" s="236">
        <v>1</v>
      </c>
      <c r="B671" s="236">
        <v>8831210</v>
      </c>
      <c r="C671" s="236">
        <v>883121003</v>
      </c>
      <c r="D671" s="236" t="s">
        <v>538</v>
      </c>
      <c r="E671" s="236" t="s">
        <v>539</v>
      </c>
      <c r="F671" s="236" t="s">
        <v>819</v>
      </c>
      <c r="G671" s="236" t="s">
        <v>764</v>
      </c>
      <c r="H671" s="236" t="s">
        <v>765</v>
      </c>
      <c r="I671" s="257">
        <v>957480</v>
      </c>
      <c r="J671" s="257">
        <v>0</v>
      </c>
      <c r="K671" s="257">
        <v>0</v>
      </c>
      <c r="L671" s="257">
        <v>0</v>
      </c>
      <c r="M671" s="257">
        <v>0</v>
      </c>
      <c r="N671" s="257">
        <v>957480</v>
      </c>
      <c r="O671" s="257">
        <v>0</v>
      </c>
      <c r="P671" s="257">
        <v>0</v>
      </c>
      <c r="Q671" s="258">
        <v>0</v>
      </c>
    </row>
    <row r="672" spans="1:17">
      <c r="A672" s="256">
        <v>1</v>
      </c>
      <c r="B672" s="256">
        <v>8831213</v>
      </c>
      <c r="C672" s="256">
        <v>883121300</v>
      </c>
      <c r="D672" s="256" t="s">
        <v>538</v>
      </c>
      <c r="E672" s="256" t="s">
        <v>539</v>
      </c>
      <c r="F672" s="256" t="s">
        <v>819</v>
      </c>
      <c r="G672" s="256" t="s">
        <v>93</v>
      </c>
      <c r="H672" s="256"/>
      <c r="I672" s="257">
        <v>524214</v>
      </c>
      <c r="J672" s="257">
        <v>0</v>
      </c>
      <c r="K672" s="257">
        <v>0</v>
      </c>
      <c r="L672" s="257">
        <v>0</v>
      </c>
      <c r="M672" s="257">
        <v>0</v>
      </c>
      <c r="N672" s="257">
        <v>524214</v>
      </c>
      <c r="O672" s="257">
        <v>0</v>
      </c>
      <c r="P672" s="257">
        <v>0</v>
      </c>
      <c r="Q672" s="258">
        <v>0</v>
      </c>
    </row>
    <row r="673" spans="1:17">
      <c r="A673" s="256">
        <v>1</v>
      </c>
      <c r="B673" s="256">
        <v>8831214</v>
      </c>
      <c r="C673" s="256">
        <v>883121400</v>
      </c>
      <c r="D673" s="256" t="s">
        <v>538</v>
      </c>
      <c r="E673" s="256" t="s">
        <v>539</v>
      </c>
      <c r="F673" s="256" t="s">
        <v>819</v>
      </c>
      <c r="G673" s="256" t="s">
        <v>91</v>
      </c>
      <c r="H673" s="256"/>
      <c r="I673" s="257">
        <v>14678</v>
      </c>
      <c r="J673" s="257">
        <v>0</v>
      </c>
      <c r="K673" s="257">
        <v>0</v>
      </c>
      <c r="L673" s="257">
        <v>0</v>
      </c>
      <c r="M673" s="257">
        <v>0</v>
      </c>
      <c r="N673" s="257">
        <v>14678</v>
      </c>
      <c r="O673" s="257">
        <v>0</v>
      </c>
      <c r="P673" s="257">
        <v>0</v>
      </c>
      <c r="Q673" s="258">
        <v>0</v>
      </c>
    </row>
    <row r="674" spans="1:17">
      <c r="A674" s="256">
        <v>1</v>
      </c>
      <c r="B674" s="256">
        <v>8831215</v>
      </c>
      <c r="C674" s="256">
        <v>883121500</v>
      </c>
      <c r="D674" s="256" t="s">
        <v>538</v>
      </c>
      <c r="E674" s="256" t="s">
        <v>539</v>
      </c>
      <c r="F674" s="256" t="s">
        <v>819</v>
      </c>
      <c r="G674" s="256" t="s">
        <v>89</v>
      </c>
      <c r="H674" s="256"/>
      <c r="I674" s="257">
        <v>0</v>
      </c>
      <c r="J674" s="257">
        <v>0</v>
      </c>
      <c r="K674" s="257">
        <v>0</v>
      </c>
      <c r="L674" s="257">
        <v>0</v>
      </c>
      <c r="M674" s="257">
        <v>0</v>
      </c>
      <c r="N674" s="257">
        <v>0</v>
      </c>
      <c r="O674" s="257">
        <v>0</v>
      </c>
      <c r="P674" s="257">
        <v>0</v>
      </c>
      <c r="Q674" s="258">
        <v>0</v>
      </c>
    </row>
    <row r="675" spans="1:17">
      <c r="A675" s="256">
        <v>1</v>
      </c>
      <c r="B675" s="256">
        <v>8831217</v>
      </c>
      <c r="C675" s="256">
        <v>883121700</v>
      </c>
      <c r="D675" s="256" t="s">
        <v>538</v>
      </c>
      <c r="E675" s="256" t="s">
        <v>539</v>
      </c>
      <c r="F675" s="256" t="s">
        <v>819</v>
      </c>
      <c r="G675" s="256" t="s">
        <v>87</v>
      </c>
      <c r="H675" s="256"/>
      <c r="I675" s="257">
        <v>265731</v>
      </c>
      <c r="J675" s="257">
        <v>0</v>
      </c>
      <c r="K675" s="257">
        <v>0</v>
      </c>
      <c r="L675" s="257">
        <v>0</v>
      </c>
      <c r="M675" s="257">
        <v>0</v>
      </c>
      <c r="N675" s="257">
        <v>265731</v>
      </c>
      <c r="O675" s="257">
        <v>0</v>
      </c>
      <c r="P675" s="257">
        <v>0</v>
      </c>
      <c r="Q675" s="258">
        <v>0</v>
      </c>
    </row>
    <row r="676" spans="1:17">
      <c r="A676" s="256">
        <v>1</v>
      </c>
      <c r="B676" s="256">
        <v>8831219</v>
      </c>
      <c r="C676" s="256">
        <v>883121900</v>
      </c>
      <c r="D676" s="256" t="s">
        <v>538</v>
      </c>
      <c r="E676" s="256" t="s">
        <v>539</v>
      </c>
      <c r="F676" s="256" t="s">
        <v>819</v>
      </c>
      <c r="G676" s="256" t="s">
        <v>85</v>
      </c>
      <c r="H676" s="256"/>
      <c r="I676" s="257">
        <v>0</v>
      </c>
      <c r="J676" s="257">
        <v>0</v>
      </c>
      <c r="K676" s="257">
        <v>0</v>
      </c>
      <c r="L676" s="257">
        <v>0</v>
      </c>
      <c r="M676" s="257">
        <v>0</v>
      </c>
      <c r="N676" s="257">
        <v>0</v>
      </c>
      <c r="O676" s="257">
        <v>0</v>
      </c>
      <c r="P676" s="257">
        <v>0</v>
      </c>
      <c r="Q676" s="258">
        <v>0</v>
      </c>
    </row>
    <row r="677" spans="1:17">
      <c r="A677" s="256">
        <v>1</v>
      </c>
      <c r="B677" s="256">
        <v>8831220</v>
      </c>
      <c r="C677" s="256">
        <v>883122000</v>
      </c>
      <c r="D677" s="256" t="s">
        <v>538</v>
      </c>
      <c r="E677" s="256" t="s">
        <v>539</v>
      </c>
      <c r="F677" s="256" t="s">
        <v>819</v>
      </c>
      <c r="G677" s="256" t="s">
        <v>83</v>
      </c>
      <c r="H677" s="256"/>
      <c r="I677" s="257">
        <v>0</v>
      </c>
      <c r="J677" s="257">
        <v>0</v>
      </c>
      <c r="K677" s="257">
        <v>0</v>
      </c>
      <c r="L677" s="257">
        <v>0</v>
      </c>
      <c r="M677" s="257">
        <v>0</v>
      </c>
      <c r="N677" s="257">
        <v>0</v>
      </c>
      <c r="O677" s="257">
        <v>0</v>
      </c>
      <c r="P677" s="257">
        <v>0</v>
      </c>
      <c r="Q677" s="258">
        <v>0</v>
      </c>
    </row>
    <row r="678" spans="1:17">
      <c r="A678" s="256">
        <v>1</v>
      </c>
      <c r="B678" s="256">
        <v>8831221</v>
      </c>
      <c r="C678" s="256">
        <v>883122100</v>
      </c>
      <c r="D678" s="256" t="s">
        <v>538</v>
      </c>
      <c r="E678" s="256" t="s">
        <v>539</v>
      </c>
      <c r="F678" s="256" t="s">
        <v>819</v>
      </c>
      <c r="G678" s="256" t="s">
        <v>81</v>
      </c>
      <c r="H678" s="256"/>
      <c r="I678" s="257">
        <v>16474337</v>
      </c>
      <c r="J678" s="257">
        <v>0</v>
      </c>
      <c r="K678" s="257">
        <v>0</v>
      </c>
      <c r="L678" s="257">
        <v>0</v>
      </c>
      <c r="M678" s="257">
        <v>0</v>
      </c>
      <c r="N678" s="257">
        <v>16474337</v>
      </c>
      <c r="O678" s="257">
        <v>0</v>
      </c>
      <c r="P678" s="257">
        <v>0</v>
      </c>
      <c r="Q678" s="258">
        <v>0</v>
      </c>
    </row>
    <row r="679" spans="1:17">
      <c r="A679" s="256">
        <v>1</v>
      </c>
      <c r="B679" s="256">
        <v>8831223</v>
      </c>
      <c r="C679" s="256">
        <v>883122300</v>
      </c>
      <c r="D679" s="256" t="s">
        <v>538</v>
      </c>
      <c r="E679" s="256" t="s">
        <v>539</v>
      </c>
      <c r="F679" s="256" t="s">
        <v>819</v>
      </c>
      <c r="G679" s="256" t="s">
        <v>79</v>
      </c>
      <c r="H679" s="256"/>
      <c r="I679" s="257">
        <v>116949</v>
      </c>
      <c r="J679" s="257">
        <v>0</v>
      </c>
      <c r="K679" s="257">
        <v>0</v>
      </c>
      <c r="L679" s="257">
        <v>0</v>
      </c>
      <c r="M679" s="257">
        <v>0</v>
      </c>
      <c r="N679" s="257">
        <v>116949</v>
      </c>
      <c r="O679" s="257">
        <v>0</v>
      </c>
      <c r="P679" s="257">
        <v>0</v>
      </c>
      <c r="Q679" s="258">
        <v>0</v>
      </c>
    </row>
    <row r="680" spans="1:17">
      <c r="A680" s="256">
        <v>1</v>
      </c>
      <c r="B680" s="256">
        <v>8831224</v>
      </c>
      <c r="C680" s="256">
        <v>883122400</v>
      </c>
      <c r="D680" s="256" t="s">
        <v>538</v>
      </c>
      <c r="E680" s="256" t="s">
        <v>539</v>
      </c>
      <c r="F680" s="256" t="s">
        <v>819</v>
      </c>
      <c r="G680" s="256" t="s">
        <v>77</v>
      </c>
      <c r="H680" s="256"/>
      <c r="I680" s="257">
        <v>0</v>
      </c>
      <c r="J680" s="257">
        <v>0</v>
      </c>
      <c r="K680" s="257">
        <v>0</v>
      </c>
      <c r="L680" s="257">
        <v>0</v>
      </c>
      <c r="M680" s="257">
        <v>0</v>
      </c>
      <c r="N680" s="257">
        <v>0</v>
      </c>
      <c r="O680" s="257">
        <v>0</v>
      </c>
      <c r="P680" s="257">
        <v>0</v>
      </c>
      <c r="Q680" s="258">
        <v>0</v>
      </c>
    </row>
    <row r="681" spans="1:17">
      <c r="A681" s="256">
        <v>1</v>
      </c>
      <c r="B681" s="256">
        <v>8831225</v>
      </c>
      <c r="C681" s="256">
        <v>883122500</v>
      </c>
      <c r="D681" s="256" t="s">
        <v>538</v>
      </c>
      <c r="E681" s="256" t="s">
        <v>539</v>
      </c>
      <c r="F681" s="256" t="s">
        <v>819</v>
      </c>
      <c r="G681" s="256" t="s">
        <v>75</v>
      </c>
      <c r="H681" s="256"/>
      <c r="I681" s="257">
        <v>0</v>
      </c>
      <c r="J681" s="257">
        <v>0</v>
      </c>
      <c r="K681" s="257">
        <v>0</v>
      </c>
      <c r="L681" s="257">
        <v>0</v>
      </c>
      <c r="M681" s="257">
        <v>0</v>
      </c>
      <c r="N681" s="257">
        <v>0</v>
      </c>
      <c r="O681" s="257">
        <v>0</v>
      </c>
      <c r="P681" s="257">
        <v>0</v>
      </c>
      <c r="Q681" s="258">
        <v>0</v>
      </c>
    </row>
    <row r="682" spans="1:17">
      <c r="A682" s="256">
        <v>1</v>
      </c>
      <c r="B682" s="256">
        <v>8831228</v>
      </c>
      <c r="C682" s="256">
        <v>883122866</v>
      </c>
      <c r="D682" s="256" t="s">
        <v>538</v>
      </c>
      <c r="E682" s="256" t="s">
        <v>539</v>
      </c>
      <c r="F682" s="256" t="s">
        <v>819</v>
      </c>
      <c r="G682" s="256" t="s">
        <v>811</v>
      </c>
      <c r="H682" s="256" t="s">
        <v>812</v>
      </c>
      <c r="I682" s="257">
        <v>0</v>
      </c>
      <c r="J682" s="257">
        <v>0</v>
      </c>
      <c r="K682" s="257">
        <v>0</v>
      </c>
      <c r="L682" s="257">
        <v>0</v>
      </c>
      <c r="M682" s="257">
        <v>0</v>
      </c>
      <c r="N682" s="257">
        <v>0</v>
      </c>
      <c r="O682" s="257">
        <v>0</v>
      </c>
      <c r="P682" s="257">
        <v>0</v>
      </c>
      <c r="Q682" s="258">
        <v>0</v>
      </c>
    </row>
    <row r="683" spans="1:17">
      <c r="A683" s="256">
        <v>1</v>
      </c>
      <c r="B683" s="256">
        <v>8831228</v>
      </c>
      <c r="C683" s="256">
        <v>883122867</v>
      </c>
      <c r="D683" s="256" t="s">
        <v>538</v>
      </c>
      <c r="E683" s="256" t="s">
        <v>539</v>
      </c>
      <c r="F683" s="256" t="s">
        <v>819</v>
      </c>
      <c r="G683" s="256" t="s">
        <v>811</v>
      </c>
      <c r="H683" s="256" t="s">
        <v>813</v>
      </c>
      <c r="I683" s="257">
        <v>0</v>
      </c>
      <c r="J683" s="257">
        <v>0</v>
      </c>
      <c r="K683" s="257">
        <v>0</v>
      </c>
      <c r="L683" s="257">
        <v>0</v>
      </c>
      <c r="M683" s="257">
        <v>0</v>
      </c>
      <c r="N683" s="257">
        <v>0</v>
      </c>
      <c r="O683" s="257">
        <v>0</v>
      </c>
      <c r="P683" s="257">
        <v>0</v>
      </c>
      <c r="Q683" s="258">
        <v>0</v>
      </c>
    </row>
    <row r="684" spans="1:17">
      <c r="A684" s="256">
        <v>1</v>
      </c>
      <c r="B684" s="256">
        <v>8831229</v>
      </c>
      <c r="C684" s="256">
        <v>883122900</v>
      </c>
      <c r="D684" s="256" t="s">
        <v>538</v>
      </c>
      <c r="E684" s="256" t="s">
        <v>539</v>
      </c>
      <c r="F684" s="256" t="s">
        <v>819</v>
      </c>
      <c r="G684" s="256" t="s">
        <v>66</v>
      </c>
      <c r="H684" s="256"/>
      <c r="I684" s="257">
        <v>0</v>
      </c>
      <c r="J684" s="257">
        <v>0</v>
      </c>
      <c r="K684" s="257">
        <v>0</v>
      </c>
      <c r="L684" s="257">
        <v>0</v>
      </c>
      <c r="M684" s="257">
        <v>0</v>
      </c>
      <c r="N684" s="257">
        <v>0</v>
      </c>
      <c r="O684" s="257">
        <v>0</v>
      </c>
      <c r="P684" s="257">
        <v>0</v>
      </c>
      <c r="Q684" s="258">
        <v>0</v>
      </c>
    </row>
    <row r="685" spans="1:17">
      <c r="A685" s="256">
        <v>1</v>
      </c>
      <c r="B685" s="256">
        <v>8831230</v>
      </c>
      <c r="C685" s="256">
        <v>883123000</v>
      </c>
      <c r="D685" s="256" t="s">
        <v>538</v>
      </c>
      <c r="E685" s="256" t="s">
        <v>539</v>
      </c>
      <c r="F685" s="256" t="s">
        <v>819</v>
      </c>
      <c r="G685" s="256" t="s">
        <v>64</v>
      </c>
      <c r="H685" s="256"/>
      <c r="I685" s="257">
        <v>0</v>
      </c>
      <c r="J685" s="257">
        <v>0</v>
      </c>
      <c r="K685" s="257">
        <v>0</v>
      </c>
      <c r="L685" s="257">
        <v>0</v>
      </c>
      <c r="M685" s="257">
        <v>0</v>
      </c>
      <c r="N685" s="257">
        <v>0</v>
      </c>
      <c r="O685" s="257">
        <v>0</v>
      </c>
      <c r="P685" s="257">
        <v>0</v>
      </c>
      <c r="Q685" s="258">
        <v>0</v>
      </c>
    </row>
    <row r="686" spans="1:17">
      <c r="A686" s="256">
        <v>1</v>
      </c>
      <c r="B686" s="256">
        <v>8831231</v>
      </c>
      <c r="C686" s="256">
        <v>883123100</v>
      </c>
      <c r="D686" s="256" t="s">
        <v>538</v>
      </c>
      <c r="E686" s="256" t="s">
        <v>539</v>
      </c>
      <c r="F686" s="256" t="s">
        <v>819</v>
      </c>
      <c r="G686" s="256" t="s">
        <v>62</v>
      </c>
      <c r="H686" s="256"/>
      <c r="I686" s="257">
        <v>0</v>
      </c>
      <c r="J686" s="257">
        <v>0</v>
      </c>
      <c r="K686" s="257">
        <v>0</v>
      </c>
      <c r="L686" s="257">
        <v>0</v>
      </c>
      <c r="M686" s="257">
        <v>0</v>
      </c>
      <c r="N686" s="257">
        <v>0</v>
      </c>
      <c r="O686" s="257">
        <v>0</v>
      </c>
      <c r="P686" s="257">
        <v>0</v>
      </c>
      <c r="Q686" s="258">
        <v>0</v>
      </c>
    </row>
    <row r="687" spans="1:17">
      <c r="A687" s="256">
        <v>1</v>
      </c>
      <c r="B687" s="256">
        <v>8831237</v>
      </c>
      <c r="C687" s="256">
        <v>883123700</v>
      </c>
      <c r="D687" s="256" t="s">
        <v>538</v>
      </c>
      <c r="E687" s="256" t="s">
        <v>539</v>
      </c>
      <c r="F687" s="256" t="s">
        <v>819</v>
      </c>
      <c r="G687" s="256" t="s">
        <v>60</v>
      </c>
      <c r="H687" s="256"/>
      <c r="I687" s="257">
        <v>0</v>
      </c>
      <c r="J687" s="257">
        <v>0</v>
      </c>
      <c r="K687" s="257">
        <v>0</v>
      </c>
      <c r="L687" s="257">
        <v>0</v>
      </c>
      <c r="M687" s="257">
        <v>0</v>
      </c>
      <c r="N687" s="257">
        <v>0</v>
      </c>
      <c r="O687" s="257">
        <v>0</v>
      </c>
      <c r="P687" s="257">
        <v>0</v>
      </c>
      <c r="Q687" s="258">
        <v>0</v>
      </c>
    </row>
    <row r="688" spans="1:17">
      <c r="A688" s="256">
        <v>1</v>
      </c>
      <c r="B688" s="256">
        <v>8831239</v>
      </c>
      <c r="C688" s="256">
        <v>883123900</v>
      </c>
      <c r="D688" s="256" t="s">
        <v>538</v>
      </c>
      <c r="E688" s="256" t="s">
        <v>539</v>
      </c>
      <c r="F688" s="256" t="s">
        <v>819</v>
      </c>
      <c r="G688" s="256" t="s">
        <v>58</v>
      </c>
      <c r="H688" s="256"/>
      <c r="I688" s="257">
        <v>81986</v>
      </c>
      <c r="J688" s="257">
        <v>0</v>
      </c>
      <c r="K688" s="257">
        <v>0</v>
      </c>
      <c r="L688" s="257">
        <v>0</v>
      </c>
      <c r="M688" s="257">
        <v>0</v>
      </c>
      <c r="N688" s="257">
        <v>0</v>
      </c>
      <c r="O688" s="257">
        <v>81986</v>
      </c>
      <c r="P688" s="257">
        <v>0</v>
      </c>
      <c r="Q688" s="258">
        <v>0</v>
      </c>
    </row>
    <row r="689" spans="1:17">
      <c r="A689" s="256">
        <v>1</v>
      </c>
      <c r="B689" s="256">
        <v>8831240</v>
      </c>
      <c r="C689" s="256">
        <v>883124000</v>
      </c>
      <c r="D689" s="256" t="s">
        <v>538</v>
      </c>
      <c r="E689" s="256" t="s">
        <v>539</v>
      </c>
      <c r="F689" s="256" t="s">
        <v>819</v>
      </c>
      <c r="G689" s="256" t="s">
        <v>56</v>
      </c>
      <c r="H689" s="256"/>
      <c r="I689" s="257">
        <v>0</v>
      </c>
      <c r="J689" s="257">
        <v>0</v>
      </c>
      <c r="K689" s="257">
        <v>0</v>
      </c>
      <c r="L689" s="257">
        <v>0</v>
      </c>
      <c r="M689" s="257">
        <v>0</v>
      </c>
      <c r="N689" s="257">
        <v>0</v>
      </c>
      <c r="O689" s="257">
        <v>0</v>
      </c>
      <c r="P689" s="257">
        <v>0</v>
      </c>
      <c r="Q689" s="258">
        <v>0</v>
      </c>
    </row>
    <row r="690" spans="1:17">
      <c r="A690" s="256">
        <v>1</v>
      </c>
      <c r="B690" s="256">
        <v>8831241</v>
      </c>
      <c r="C690" s="256">
        <v>883124100</v>
      </c>
      <c r="D690" s="256" t="s">
        <v>538</v>
      </c>
      <c r="E690" s="256" t="s">
        <v>539</v>
      </c>
      <c r="F690" s="256" t="s">
        <v>819</v>
      </c>
      <c r="G690" s="256" t="s">
        <v>55</v>
      </c>
      <c r="H690" s="256"/>
      <c r="I690" s="257">
        <v>0</v>
      </c>
      <c r="J690" s="257">
        <v>0</v>
      </c>
      <c r="K690" s="257">
        <v>0</v>
      </c>
      <c r="L690" s="257">
        <v>0</v>
      </c>
      <c r="M690" s="257">
        <v>0</v>
      </c>
      <c r="N690" s="257">
        <v>0</v>
      </c>
      <c r="O690" s="257">
        <v>0</v>
      </c>
      <c r="P690" s="257">
        <v>0</v>
      </c>
      <c r="Q690" s="258">
        <v>0</v>
      </c>
    </row>
    <row r="691" spans="1:17">
      <c r="A691" s="256">
        <v>1</v>
      </c>
      <c r="B691" s="256">
        <v>8831242</v>
      </c>
      <c r="C691" s="256">
        <v>883124201</v>
      </c>
      <c r="D691" s="256" t="s">
        <v>538</v>
      </c>
      <c r="E691" s="256" t="s">
        <v>539</v>
      </c>
      <c r="F691" s="256" t="s">
        <v>819</v>
      </c>
      <c r="G691" s="256" t="s">
        <v>53</v>
      </c>
      <c r="H691" s="256" t="s">
        <v>108</v>
      </c>
      <c r="I691" s="257">
        <v>3295000</v>
      </c>
      <c r="J691" s="257">
        <v>0</v>
      </c>
      <c r="K691" s="257">
        <v>0</v>
      </c>
      <c r="L691" s="257">
        <v>0</v>
      </c>
      <c r="M691" s="257">
        <v>0</v>
      </c>
      <c r="N691" s="257">
        <v>0</v>
      </c>
      <c r="O691" s="257">
        <v>0</v>
      </c>
      <c r="P691" s="257">
        <v>3295000</v>
      </c>
      <c r="Q691" s="258">
        <v>0</v>
      </c>
    </row>
    <row r="692" spans="1:17">
      <c r="A692" s="256">
        <v>1</v>
      </c>
      <c r="B692" s="256">
        <v>8831242</v>
      </c>
      <c r="C692" s="256">
        <v>883124202</v>
      </c>
      <c r="D692" s="256" t="s">
        <v>538</v>
      </c>
      <c r="E692" s="256" t="s">
        <v>539</v>
      </c>
      <c r="F692" s="256" t="s">
        <v>819</v>
      </c>
      <c r="G692" s="256" t="s">
        <v>53</v>
      </c>
      <c r="H692" s="256" t="s">
        <v>106</v>
      </c>
      <c r="I692" s="257">
        <v>567000</v>
      </c>
      <c r="J692" s="257">
        <v>0</v>
      </c>
      <c r="K692" s="257">
        <v>0</v>
      </c>
      <c r="L692" s="257">
        <v>0</v>
      </c>
      <c r="M692" s="257">
        <v>0</v>
      </c>
      <c r="N692" s="257">
        <v>0</v>
      </c>
      <c r="O692" s="257">
        <v>0</v>
      </c>
      <c r="P692" s="257">
        <v>567000</v>
      </c>
      <c r="Q692" s="258">
        <v>0</v>
      </c>
    </row>
    <row r="693" spans="1:17">
      <c r="A693" s="256">
        <v>1</v>
      </c>
      <c r="B693" s="256">
        <v>8831301</v>
      </c>
      <c r="C693" s="256">
        <v>883130102</v>
      </c>
      <c r="D693" s="256" t="s">
        <v>538</v>
      </c>
      <c r="E693" s="256" t="s">
        <v>539</v>
      </c>
      <c r="F693" s="256" t="s">
        <v>792</v>
      </c>
      <c r="G693" s="256" t="s">
        <v>112</v>
      </c>
      <c r="H693" s="256" t="s">
        <v>737</v>
      </c>
      <c r="I693" s="257">
        <v>0</v>
      </c>
      <c r="J693" s="257">
        <v>0</v>
      </c>
      <c r="K693" s="257">
        <v>0</v>
      </c>
      <c r="L693" s="257">
        <v>0</v>
      </c>
      <c r="M693" s="257">
        <v>0</v>
      </c>
      <c r="N693" s="257">
        <v>0</v>
      </c>
      <c r="O693" s="257">
        <v>0</v>
      </c>
      <c r="P693" s="257">
        <v>0</v>
      </c>
      <c r="Q693" s="258">
        <v>0</v>
      </c>
    </row>
    <row r="694" spans="1:17">
      <c r="A694" s="256">
        <v>1</v>
      </c>
      <c r="B694" s="256">
        <v>8831301</v>
      </c>
      <c r="C694" s="256">
        <v>883130103</v>
      </c>
      <c r="D694" s="256" t="s">
        <v>538</v>
      </c>
      <c r="E694" s="256" t="s">
        <v>539</v>
      </c>
      <c r="F694" s="256" t="s">
        <v>792</v>
      </c>
      <c r="G694" s="256" t="s">
        <v>112</v>
      </c>
      <c r="H694" s="256" t="s">
        <v>738</v>
      </c>
      <c r="I694" s="257">
        <v>0</v>
      </c>
      <c r="J694" s="257">
        <v>0</v>
      </c>
      <c r="K694" s="257">
        <v>0</v>
      </c>
      <c r="L694" s="257">
        <v>0</v>
      </c>
      <c r="M694" s="257">
        <v>0</v>
      </c>
      <c r="N694" s="257">
        <v>0</v>
      </c>
      <c r="O694" s="257">
        <v>0</v>
      </c>
      <c r="P694" s="257">
        <v>0</v>
      </c>
      <c r="Q694" s="258">
        <v>0</v>
      </c>
    </row>
    <row r="695" spans="1:17">
      <c r="A695" s="256">
        <v>1</v>
      </c>
      <c r="B695" s="256">
        <v>8831301</v>
      </c>
      <c r="C695" s="256">
        <v>883130104</v>
      </c>
      <c r="D695" s="256" t="s">
        <v>538</v>
      </c>
      <c r="E695" s="256" t="s">
        <v>539</v>
      </c>
      <c r="F695" s="256" t="s">
        <v>792</v>
      </c>
      <c r="G695" s="256" t="s">
        <v>112</v>
      </c>
      <c r="H695" s="256" t="s">
        <v>739</v>
      </c>
      <c r="I695" s="257">
        <v>0</v>
      </c>
      <c r="J695" s="257">
        <v>0</v>
      </c>
      <c r="K695" s="257">
        <v>0</v>
      </c>
      <c r="L695" s="257">
        <v>0</v>
      </c>
      <c r="M695" s="257">
        <v>0</v>
      </c>
      <c r="N695" s="257">
        <v>0</v>
      </c>
      <c r="O695" s="257">
        <v>0</v>
      </c>
      <c r="P695" s="257">
        <v>0</v>
      </c>
      <c r="Q695" s="258">
        <v>0</v>
      </c>
    </row>
    <row r="696" spans="1:17">
      <c r="A696" s="236">
        <v>1</v>
      </c>
      <c r="B696" s="236">
        <v>8831301</v>
      </c>
      <c r="C696" s="236">
        <v>883130105</v>
      </c>
      <c r="D696" s="236" t="s">
        <v>538</v>
      </c>
      <c r="E696" s="236" t="s">
        <v>539</v>
      </c>
      <c r="F696" s="236" t="s">
        <v>792</v>
      </c>
      <c r="G696" s="236" t="s">
        <v>112</v>
      </c>
      <c r="H696" s="236" t="s">
        <v>740</v>
      </c>
      <c r="I696" s="257">
        <v>0</v>
      </c>
      <c r="J696" s="257">
        <v>0</v>
      </c>
      <c r="K696" s="257">
        <v>0</v>
      </c>
      <c r="L696" s="257">
        <v>0</v>
      </c>
      <c r="M696" s="257">
        <v>0</v>
      </c>
      <c r="N696" s="257">
        <v>0</v>
      </c>
      <c r="O696" s="257">
        <v>0</v>
      </c>
      <c r="P696" s="257">
        <v>0</v>
      </c>
      <c r="Q696" s="258">
        <v>0</v>
      </c>
    </row>
    <row r="697" spans="1:17">
      <c r="A697" s="256">
        <v>1</v>
      </c>
      <c r="B697" s="256">
        <v>8831302</v>
      </c>
      <c r="C697" s="256">
        <v>883130202</v>
      </c>
      <c r="D697" s="256" t="s">
        <v>538</v>
      </c>
      <c r="E697" s="256" t="s">
        <v>539</v>
      </c>
      <c r="F697" s="256" t="s">
        <v>792</v>
      </c>
      <c r="G697" s="256" t="s">
        <v>110</v>
      </c>
      <c r="H697" s="256" t="s">
        <v>741</v>
      </c>
      <c r="I697" s="257">
        <v>4418400</v>
      </c>
      <c r="J697" s="257">
        <v>0</v>
      </c>
      <c r="K697" s="257">
        <v>0</v>
      </c>
      <c r="L697" s="257">
        <v>0</v>
      </c>
      <c r="M697" s="257">
        <v>0</v>
      </c>
      <c r="N697" s="257">
        <v>0</v>
      </c>
      <c r="O697" s="257">
        <v>0</v>
      </c>
      <c r="P697" s="257">
        <v>4418400</v>
      </c>
      <c r="Q697" s="258">
        <v>0</v>
      </c>
    </row>
    <row r="698" spans="1:17">
      <c r="A698" s="256">
        <v>1</v>
      </c>
      <c r="B698" s="256">
        <v>8831303</v>
      </c>
      <c r="C698" s="256">
        <v>883130301</v>
      </c>
      <c r="D698" s="256" t="s">
        <v>538</v>
      </c>
      <c r="E698" s="256" t="s">
        <v>539</v>
      </c>
      <c r="F698" s="256" t="s">
        <v>792</v>
      </c>
      <c r="G698" s="256" t="s">
        <v>108</v>
      </c>
      <c r="H698" s="256" t="s">
        <v>742</v>
      </c>
      <c r="I698" s="257">
        <v>460080</v>
      </c>
      <c r="J698" s="257">
        <v>0</v>
      </c>
      <c r="K698" s="257">
        <v>0</v>
      </c>
      <c r="L698" s="257">
        <v>0</v>
      </c>
      <c r="M698" s="257">
        <v>0</v>
      </c>
      <c r="N698" s="257">
        <v>0</v>
      </c>
      <c r="O698" s="257">
        <v>0</v>
      </c>
      <c r="P698" s="257">
        <v>460080</v>
      </c>
      <c r="Q698" s="258">
        <v>0</v>
      </c>
    </row>
    <row r="699" spans="1:17">
      <c r="A699" s="256">
        <v>1</v>
      </c>
      <c r="B699" s="256">
        <v>8831303</v>
      </c>
      <c r="C699" s="256">
        <v>883130302</v>
      </c>
      <c r="D699" s="256" t="s">
        <v>538</v>
      </c>
      <c r="E699" s="256" t="s">
        <v>539</v>
      </c>
      <c r="F699" s="256" t="s">
        <v>792</v>
      </c>
      <c r="G699" s="256" t="s">
        <v>108</v>
      </c>
      <c r="H699" s="256" t="s">
        <v>743</v>
      </c>
      <c r="I699" s="257">
        <v>182400</v>
      </c>
      <c r="J699" s="257">
        <v>0</v>
      </c>
      <c r="K699" s="257">
        <v>0</v>
      </c>
      <c r="L699" s="257">
        <v>0</v>
      </c>
      <c r="M699" s="257">
        <v>0</v>
      </c>
      <c r="N699" s="257">
        <v>0</v>
      </c>
      <c r="O699" s="257">
        <v>0</v>
      </c>
      <c r="P699" s="257">
        <v>182400</v>
      </c>
      <c r="Q699" s="258">
        <v>0</v>
      </c>
    </row>
    <row r="700" spans="1:17">
      <c r="A700" s="256">
        <v>1</v>
      </c>
      <c r="B700" s="256">
        <v>8831303</v>
      </c>
      <c r="C700" s="256">
        <v>883130303</v>
      </c>
      <c r="D700" s="256" t="s">
        <v>538</v>
      </c>
      <c r="E700" s="256" t="s">
        <v>539</v>
      </c>
      <c r="F700" s="256" t="s">
        <v>792</v>
      </c>
      <c r="G700" s="256" t="s">
        <v>108</v>
      </c>
      <c r="H700" s="256" t="s">
        <v>744</v>
      </c>
      <c r="I700" s="257">
        <v>1581823</v>
      </c>
      <c r="J700" s="257">
        <v>0</v>
      </c>
      <c r="K700" s="257">
        <v>0</v>
      </c>
      <c r="L700" s="257">
        <v>0</v>
      </c>
      <c r="M700" s="257">
        <v>0</v>
      </c>
      <c r="N700" s="257">
        <v>0</v>
      </c>
      <c r="O700" s="257">
        <v>0</v>
      </c>
      <c r="P700" s="257">
        <v>1581823</v>
      </c>
      <c r="Q700" s="258">
        <v>0</v>
      </c>
    </row>
    <row r="701" spans="1:17">
      <c r="A701" s="256">
        <v>1</v>
      </c>
      <c r="B701" s="256">
        <v>8831303</v>
      </c>
      <c r="C701" s="256">
        <v>883130304</v>
      </c>
      <c r="D701" s="256" t="s">
        <v>538</v>
      </c>
      <c r="E701" s="256" t="s">
        <v>539</v>
      </c>
      <c r="F701" s="256" t="s">
        <v>792</v>
      </c>
      <c r="G701" s="256" t="s">
        <v>108</v>
      </c>
      <c r="H701" s="256" t="s">
        <v>745</v>
      </c>
      <c r="I701" s="257">
        <v>0</v>
      </c>
      <c r="J701" s="257">
        <v>0</v>
      </c>
      <c r="K701" s="257">
        <v>0</v>
      </c>
      <c r="L701" s="257">
        <v>0</v>
      </c>
      <c r="M701" s="257">
        <v>0</v>
      </c>
      <c r="N701" s="257">
        <v>0</v>
      </c>
      <c r="O701" s="257">
        <v>0</v>
      </c>
      <c r="P701" s="257">
        <v>0</v>
      </c>
      <c r="Q701" s="258">
        <v>0</v>
      </c>
    </row>
    <row r="702" spans="1:17">
      <c r="A702" s="256">
        <v>1</v>
      </c>
      <c r="B702" s="256">
        <v>8831303</v>
      </c>
      <c r="C702" s="256">
        <v>883130305</v>
      </c>
      <c r="D702" s="256" t="s">
        <v>538</v>
      </c>
      <c r="E702" s="256" t="s">
        <v>539</v>
      </c>
      <c r="F702" s="256" t="s">
        <v>792</v>
      </c>
      <c r="G702" s="256" t="s">
        <v>108</v>
      </c>
      <c r="H702" s="256" t="s">
        <v>746</v>
      </c>
      <c r="I702" s="257">
        <v>0</v>
      </c>
      <c r="J702" s="257">
        <v>0</v>
      </c>
      <c r="K702" s="257">
        <v>0</v>
      </c>
      <c r="L702" s="257">
        <v>0</v>
      </c>
      <c r="M702" s="257">
        <v>0</v>
      </c>
      <c r="N702" s="257">
        <v>0</v>
      </c>
      <c r="O702" s="257">
        <v>0</v>
      </c>
      <c r="P702" s="257">
        <v>0</v>
      </c>
      <c r="Q702" s="258">
        <v>0</v>
      </c>
    </row>
    <row r="703" spans="1:17">
      <c r="A703" s="256">
        <v>1</v>
      </c>
      <c r="B703" s="256">
        <v>8831303</v>
      </c>
      <c r="C703" s="256">
        <v>883130306</v>
      </c>
      <c r="D703" s="256" t="s">
        <v>538</v>
      </c>
      <c r="E703" s="256" t="s">
        <v>539</v>
      </c>
      <c r="F703" s="256" t="s">
        <v>792</v>
      </c>
      <c r="G703" s="256" t="s">
        <v>108</v>
      </c>
      <c r="H703" s="256" t="s">
        <v>747</v>
      </c>
      <c r="I703" s="257">
        <v>0</v>
      </c>
      <c r="J703" s="257">
        <v>0</v>
      </c>
      <c r="K703" s="257">
        <v>0</v>
      </c>
      <c r="L703" s="257">
        <v>0</v>
      </c>
      <c r="M703" s="257">
        <v>0</v>
      </c>
      <c r="N703" s="257">
        <v>0</v>
      </c>
      <c r="O703" s="257">
        <v>0</v>
      </c>
      <c r="P703" s="257">
        <v>0</v>
      </c>
      <c r="Q703" s="258">
        <v>0</v>
      </c>
    </row>
    <row r="704" spans="1:17">
      <c r="A704" s="256">
        <v>1</v>
      </c>
      <c r="B704" s="256">
        <v>8831303</v>
      </c>
      <c r="C704" s="256">
        <v>883130307</v>
      </c>
      <c r="D704" s="256" t="s">
        <v>538</v>
      </c>
      <c r="E704" s="256" t="s">
        <v>539</v>
      </c>
      <c r="F704" s="256" t="s">
        <v>792</v>
      </c>
      <c r="G704" s="256" t="s">
        <v>108</v>
      </c>
      <c r="H704" s="256" t="s">
        <v>748</v>
      </c>
      <c r="I704" s="257">
        <v>0</v>
      </c>
      <c r="J704" s="257">
        <v>0</v>
      </c>
      <c r="K704" s="257">
        <v>0</v>
      </c>
      <c r="L704" s="257">
        <v>0</v>
      </c>
      <c r="M704" s="257">
        <v>0</v>
      </c>
      <c r="N704" s="257">
        <v>0</v>
      </c>
      <c r="O704" s="257">
        <v>0</v>
      </c>
      <c r="P704" s="257">
        <v>0</v>
      </c>
      <c r="Q704" s="258">
        <v>0</v>
      </c>
    </row>
    <row r="705" spans="1:17">
      <c r="A705" s="256">
        <v>1</v>
      </c>
      <c r="B705" s="256">
        <v>8831303</v>
      </c>
      <c r="C705" s="256">
        <v>883130310</v>
      </c>
      <c r="D705" s="256" t="s">
        <v>538</v>
      </c>
      <c r="E705" s="256" t="s">
        <v>539</v>
      </c>
      <c r="F705" s="256" t="s">
        <v>792</v>
      </c>
      <c r="G705" s="256" t="s">
        <v>108</v>
      </c>
      <c r="H705" s="256" t="s">
        <v>749</v>
      </c>
      <c r="I705" s="257">
        <v>611004</v>
      </c>
      <c r="J705" s="257">
        <v>0</v>
      </c>
      <c r="K705" s="257">
        <v>0</v>
      </c>
      <c r="L705" s="257">
        <v>0</v>
      </c>
      <c r="M705" s="257">
        <v>0</v>
      </c>
      <c r="N705" s="257">
        <v>0</v>
      </c>
      <c r="O705" s="257">
        <v>0</v>
      </c>
      <c r="P705" s="257">
        <v>611004</v>
      </c>
      <c r="Q705" s="258">
        <v>0</v>
      </c>
    </row>
    <row r="706" spans="1:17">
      <c r="A706" s="256">
        <v>1</v>
      </c>
      <c r="B706" s="256">
        <v>8831303</v>
      </c>
      <c r="C706" s="256">
        <v>883130311</v>
      </c>
      <c r="D706" s="256" t="s">
        <v>538</v>
      </c>
      <c r="E706" s="256" t="s">
        <v>539</v>
      </c>
      <c r="F706" s="256" t="s">
        <v>792</v>
      </c>
      <c r="G706" s="256" t="s">
        <v>108</v>
      </c>
      <c r="H706" s="256" t="s">
        <v>750</v>
      </c>
      <c r="I706" s="257">
        <v>0</v>
      </c>
      <c r="J706" s="257">
        <v>0</v>
      </c>
      <c r="K706" s="257">
        <v>0</v>
      </c>
      <c r="L706" s="257">
        <v>0</v>
      </c>
      <c r="M706" s="257">
        <v>0</v>
      </c>
      <c r="N706" s="257">
        <v>0</v>
      </c>
      <c r="O706" s="257">
        <v>0</v>
      </c>
      <c r="P706" s="257">
        <v>0</v>
      </c>
      <c r="Q706" s="258">
        <v>0</v>
      </c>
    </row>
    <row r="707" spans="1:17">
      <c r="A707" s="256">
        <v>1</v>
      </c>
      <c r="B707" s="256">
        <v>8831303</v>
      </c>
      <c r="C707" s="256">
        <v>883130314</v>
      </c>
      <c r="D707" s="256" t="s">
        <v>538</v>
      </c>
      <c r="E707" s="256" t="s">
        <v>539</v>
      </c>
      <c r="F707" s="256" t="s">
        <v>792</v>
      </c>
      <c r="G707" s="256" t="s">
        <v>108</v>
      </c>
      <c r="H707" s="256" t="s">
        <v>751</v>
      </c>
      <c r="I707" s="257">
        <v>0</v>
      </c>
      <c r="J707" s="257">
        <v>0</v>
      </c>
      <c r="K707" s="257">
        <v>0</v>
      </c>
      <c r="L707" s="257">
        <v>0</v>
      </c>
      <c r="M707" s="257">
        <v>0</v>
      </c>
      <c r="N707" s="257">
        <v>0</v>
      </c>
      <c r="O707" s="257">
        <v>0</v>
      </c>
      <c r="P707" s="257">
        <v>0</v>
      </c>
      <c r="Q707" s="258">
        <v>0</v>
      </c>
    </row>
    <row r="708" spans="1:17">
      <c r="A708" s="256">
        <v>1</v>
      </c>
      <c r="B708" s="256">
        <v>8831303</v>
      </c>
      <c r="C708" s="256">
        <v>883130315</v>
      </c>
      <c r="D708" s="256" t="s">
        <v>538</v>
      </c>
      <c r="E708" s="256" t="s">
        <v>539</v>
      </c>
      <c r="F708" s="256" t="s">
        <v>792</v>
      </c>
      <c r="G708" s="256" t="s">
        <v>108</v>
      </c>
      <c r="H708" s="256" t="s">
        <v>752</v>
      </c>
      <c r="I708" s="257">
        <v>0</v>
      </c>
      <c r="J708" s="257">
        <v>0</v>
      </c>
      <c r="K708" s="257">
        <v>0</v>
      </c>
      <c r="L708" s="257">
        <v>0</v>
      </c>
      <c r="M708" s="257">
        <v>0</v>
      </c>
      <c r="N708" s="257">
        <v>0</v>
      </c>
      <c r="O708" s="257">
        <v>0</v>
      </c>
      <c r="P708" s="257">
        <v>0</v>
      </c>
      <c r="Q708" s="258">
        <v>0</v>
      </c>
    </row>
    <row r="709" spans="1:17">
      <c r="A709" s="256">
        <v>1</v>
      </c>
      <c r="B709" s="256">
        <v>8831304</v>
      </c>
      <c r="C709" s="256">
        <v>883130401</v>
      </c>
      <c r="D709" s="256" t="s">
        <v>538</v>
      </c>
      <c r="E709" s="256" t="s">
        <v>539</v>
      </c>
      <c r="F709" s="256" t="s">
        <v>792</v>
      </c>
      <c r="G709" s="256" t="s">
        <v>106</v>
      </c>
      <c r="H709" s="256" t="s">
        <v>755</v>
      </c>
      <c r="I709" s="257">
        <v>1126810</v>
      </c>
      <c r="J709" s="257">
        <v>0</v>
      </c>
      <c r="K709" s="257">
        <v>0</v>
      </c>
      <c r="L709" s="257">
        <v>0</v>
      </c>
      <c r="M709" s="257">
        <v>0</v>
      </c>
      <c r="N709" s="257">
        <v>0</v>
      </c>
      <c r="O709" s="257">
        <v>1126810</v>
      </c>
      <c r="P709" s="257">
        <v>0</v>
      </c>
      <c r="Q709" s="258">
        <v>0</v>
      </c>
    </row>
    <row r="710" spans="1:17">
      <c r="A710" s="256">
        <v>1</v>
      </c>
      <c r="B710" s="256">
        <v>8831304</v>
      </c>
      <c r="C710" s="256">
        <v>883130402</v>
      </c>
      <c r="D710" s="256" t="s">
        <v>538</v>
      </c>
      <c r="E710" s="256" t="s">
        <v>539</v>
      </c>
      <c r="F710" s="256" t="s">
        <v>792</v>
      </c>
      <c r="G710" s="256" t="s">
        <v>106</v>
      </c>
      <c r="H710" s="256" t="s">
        <v>756</v>
      </c>
      <c r="I710" s="257">
        <v>6624</v>
      </c>
      <c r="J710" s="257">
        <v>0</v>
      </c>
      <c r="K710" s="257">
        <v>0</v>
      </c>
      <c r="L710" s="257">
        <v>0</v>
      </c>
      <c r="M710" s="257">
        <v>0</v>
      </c>
      <c r="N710" s="257">
        <v>0</v>
      </c>
      <c r="O710" s="257">
        <v>0</v>
      </c>
      <c r="P710" s="257">
        <v>6624</v>
      </c>
      <c r="Q710" s="258">
        <v>0</v>
      </c>
    </row>
    <row r="711" spans="1:17">
      <c r="A711" s="256">
        <v>1</v>
      </c>
      <c r="B711" s="256">
        <v>8831304</v>
      </c>
      <c r="C711" s="256">
        <v>883130403</v>
      </c>
      <c r="D711" s="256" t="s">
        <v>538</v>
      </c>
      <c r="E711" s="256" t="s">
        <v>539</v>
      </c>
      <c r="F711" s="256" t="s">
        <v>792</v>
      </c>
      <c r="G711" s="256" t="s">
        <v>106</v>
      </c>
      <c r="H711" s="256" t="s">
        <v>757</v>
      </c>
      <c r="I711" s="257">
        <v>0</v>
      </c>
      <c r="J711" s="257">
        <v>0</v>
      </c>
      <c r="K711" s="257">
        <v>0</v>
      </c>
      <c r="L711" s="257">
        <v>0</v>
      </c>
      <c r="M711" s="257">
        <v>0</v>
      </c>
      <c r="N711" s="257">
        <v>0</v>
      </c>
      <c r="O711" s="257">
        <v>0</v>
      </c>
      <c r="P711" s="257">
        <v>0</v>
      </c>
      <c r="Q711" s="258">
        <v>0</v>
      </c>
    </row>
    <row r="712" spans="1:17">
      <c r="A712" s="256">
        <v>1</v>
      </c>
      <c r="B712" s="256">
        <v>8831304</v>
      </c>
      <c r="C712" s="256">
        <v>883130405</v>
      </c>
      <c r="D712" s="256" t="s">
        <v>538</v>
      </c>
      <c r="E712" s="256" t="s">
        <v>539</v>
      </c>
      <c r="F712" s="256" t="s">
        <v>792</v>
      </c>
      <c r="G712" s="256" t="s">
        <v>106</v>
      </c>
      <c r="H712" s="256" t="s">
        <v>758</v>
      </c>
      <c r="I712" s="257">
        <v>0</v>
      </c>
      <c r="J712" s="257">
        <v>0</v>
      </c>
      <c r="K712" s="257">
        <v>0</v>
      </c>
      <c r="L712" s="257">
        <v>0</v>
      </c>
      <c r="M712" s="257">
        <v>0</v>
      </c>
      <c r="N712" s="257">
        <v>0</v>
      </c>
      <c r="O712" s="257">
        <v>0</v>
      </c>
      <c r="P712" s="257">
        <v>0</v>
      </c>
      <c r="Q712" s="258">
        <v>0</v>
      </c>
    </row>
    <row r="713" spans="1:17">
      <c r="A713" s="256">
        <v>1</v>
      </c>
      <c r="B713" s="256">
        <v>8831304</v>
      </c>
      <c r="C713" s="256">
        <v>883130406</v>
      </c>
      <c r="D713" s="256" t="s">
        <v>538</v>
      </c>
      <c r="E713" s="256" t="s">
        <v>539</v>
      </c>
      <c r="F713" s="256" t="s">
        <v>792</v>
      </c>
      <c r="G713" s="256" t="s">
        <v>106</v>
      </c>
      <c r="H713" s="256" t="s">
        <v>759</v>
      </c>
      <c r="I713" s="257">
        <v>0</v>
      </c>
      <c r="J713" s="257">
        <v>0</v>
      </c>
      <c r="K713" s="257">
        <v>0</v>
      </c>
      <c r="L713" s="257">
        <v>0</v>
      </c>
      <c r="M713" s="257">
        <v>0</v>
      </c>
      <c r="N713" s="257">
        <v>0</v>
      </c>
      <c r="O713" s="257">
        <v>0</v>
      </c>
      <c r="P713" s="257">
        <v>0</v>
      </c>
      <c r="Q713" s="258">
        <v>0</v>
      </c>
    </row>
    <row r="714" spans="1:17">
      <c r="A714" s="256">
        <v>1</v>
      </c>
      <c r="B714" s="256">
        <v>8831304</v>
      </c>
      <c r="C714" s="256">
        <v>883130407</v>
      </c>
      <c r="D714" s="256" t="s">
        <v>538</v>
      </c>
      <c r="E714" s="256" t="s">
        <v>539</v>
      </c>
      <c r="F714" s="256" t="s">
        <v>792</v>
      </c>
      <c r="G714" s="256" t="s">
        <v>106</v>
      </c>
      <c r="H714" s="256" t="s">
        <v>760</v>
      </c>
      <c r="I714" s="257">
        <v>0</v>
      </c>
      <c r="J714" s="257">
        <v>0</v>
      </c>
      <c r="K714" s="257">
        <v>0</v>
      </c>
      <c r="L714" s="257">
        <v>0</v>
      </c>
      <c r="M714" s="257">
        <v>0</v>
      </c>
      <c r="N714" s="257">
        <v>0</v>
      </c>
      <c r="O714" s="257">
        <v>0</v>
      </c>
      <c r="P714" s="257">
        <v>0</v>
      </c>
      <c r="Q714" s="258">
        <v>0</v>
      </c>
    </row>
    <row r="715" spans="1:17">
      <c r="A715" s="256">
        <v>1</v>
      </c>
      <c r="B715" s="256">
        <v>8831304</v>
      </c>
      <c r="C715" s="256">
        <v>883130408</v>
      </c>
      <c r="D715" s="256" t="s">
        <v>538</v>
      </c>
      <c r="E715" s="256" t="s">
        <v>539</v>
      </c>
      <c r="F715" s="256" t="s">
        <v>792</v>
      </c>
      <c r="G715" s="256" t="s">
        <v>106</v>
      </c>
      <c r="H715" s="256" t="s">
        <v>761</v>
      </c>
      <c r="I715" s="257">
        <v>0</v>
      </c>
      <c r="J715" s="257">
        <v>0</v>
      </c>
      <c r="K715" s="257">
        <v>0</v>
      </c>
      <c r="L715" s="257">
        <v>0</v>
      </c>
      <c r="M715" s="257">
        <v>0</v>
      </c>
      <c r="N715" s="257">
        <v>0</v>
      </c>
      <c r="O715" s="257">
        <v>0</v>
      </c>
      <c r="P715" s="257">
        <v>0</v>
      </c>
      <c r="Q715" s="258">
        <v>0</v>
      </c>
    </row>
    <row r="716" spans="1:17">
      <c r="A716" s="256">
        <v>1</v>
      </c>
      <c r="B716" s="256">
        <v>8831304</v>
      </c>
      <c r="C716" s="256">
        <v>883130410</v>
      </c>
      <c r="D716" s="256" t="s">
        <v>538</v>
      </c>
      <c r="E716" s="256" t="s">
        <v>539</v>
      </c>
      <c r="F716" s="256" t="s">
        <v>792</v>
      </c>
      <c r="G716" s="256" t="s">
        <v>106</v>
      </c>
      <c r="H716" s="256" t="s">
        <v>762</v>
      </c>
      <c r="I716" s="257">
        <v>435839</v>
      </c>
      <c r="J716" s="257">
        <v>0</v>
      </c>
      <c r="K716" s="257">
        <v>0</v>
      </c>
      <c r="L716" s="257">
        <v>0</v>
      </c>
      <c r="M716" s="257">
        <v>0</v>
      </c>
      <c r="N716" s="257">
        <v>0</v>
      </c>
      <c r="O716" s="257">
        <v>435839</v>
      </c>
      <c r="P716" s="257">
        <v>0</v>
      </c>
      <c r="Q716" s="258">
        <v>0</v>
      </c>
    </row>
    <row r="717" spans="1:17">
      <c r="A717" s="256">
        <v>1</v>
      </c>
      <c r="B717" s="256">
        <v>8831304</v>
      </c>
      <c r="C717" s="256">
        <v>883130411</v>
      </c>
      <c r="D717" s="256" t="s">
        <v>538</v>
      </c>
      <c r="E717" s="256" t="s">
        <v>539</v>
      </c>
      <c r="F717" s="256" t="s">
        <v>792</v>
      </c>
      <c r="G717" s="256" t="s">
        <v>106</v>
      </c>
      <c r="H717" s="256" t="s">
        <v>763</v>
      </c>
      <c r="I717" s="257">
        <v>0</v>
      </c>
      <c r="J717" s="257">
        <v>0</v>
      </c>
      <c r="K717" s="257">
        <v>0</v>
      </c>
      <c r="L717" s="257">
        <v>0</v>
      </c>
      <c r="M717" s="257">
        <v>0</v>
      </c>
      <c r="N717" s="257">
        <v>0</v>
      </c>
      <c r="O717" s="257">
        <v>0</v>
      </c>
      <c r="P717" s="257">
        <v>0</v>
      </c>
      <c r="Q717" s="258">
        <v>0</v>
      </c>
    </row>
    <row r="718" spans="1:17">
      <c r="A718" s="256">
        <v>1</v>
      </c>
      <c r="B718" s="256">
        <v>8831305</v>
      </c>
      <c r="C718" s="256">
        <v>883130500</v>
      </c>
      <c r="D718" s="256" t="s">
        <v>538</v>
      </c>
      <c r="E718" s="256" t="s">
        <v>539</v>
      </c>
      <c r="F718" s="256" t="s">
        <v>792</v>
      </c>
      <c r="G718" s="256" t="s">
        <v>104</v>
      </c>
      <c r="H718" s="256"/>
      <c r="I718" s="257">
        <v>0</v>
      </c>
      <c r="J718" s="257">
        <v>0</v>
      </c>
      <c r="K718" s="257">
        <v>0</v>
      </c>
      <c r="L718" s="257">
        <v>0</v>
      </c>
      <c r="M718" s="257">
        <v>0</v>
      </c>
      <c r="N718" s="257">
        <v>0</v>
      </c>
      <c r="O718" s="257">
        <v>0</v>
      </c>
      <c r="P718" s="257">
        <v>0</v>
      </c>
      <c r="Q718" s="258">
        <v>0</v>
      </c>
    </row>
    <row r="719" spans="1:17">
      <c r="A719" s="256">
        <v>1</v>
      </c>
      <c r="B719" s="256">
        <v>8831307</v>
      </c>
      <c r="C719" s="256">
        <v>883130700</v>
      </c>
      <c r="D719" s="256" t="s">
        <v>538</v>
      </c>
      <c r="E719" s="256" t="s">
        <v>539</v>
      </c>
      <c r="F719" s="256" t="s">
        <v>792</v>
      </c>
      <c r="G719" s="256" t="s">
        <v>102</v>
      </c>
      <c r="H719" s="256"/>
      <c r="I719" s="257">
        <v>0</v>
      </c>
      <c r="J719" s="257">
        <v>0</v>
      </c>
      <c r="K719" s="257">
        <v>0</v>
      </c>
      <c r="L719" s="257">
        <v>0</v>
      </c>
      <c r="M719" s="257">
        <v>0</v>
      </c>
      <c r="N719" s="257">
        <v>0</v>
      </c>
      <c r="O719" s="257">
        <v>0</v>
      </c>
      <c r="P719" s="257">
        <v>0</v>
      </c>
      <c r="Q719" s="258">
        <v>0</v>
      </c>
    </row>
    <row r="720" spans="1:17">
      <c r="A720" s="256">
        <v>1</v>
      </c>
      <c r="B720" s="256">
        <v>8831308</v>
      </c>
      <c r="C720" s="256">
        <v>883130800</v>
      </c>
      <c r="D720" s="256" t="s">
        <v>538</v>
      </c>
      <c r="E720" s="256" t="s">
        <v>539</v>
      </c>
      <c r="F720" s="256" t="s">
        <v>792</v>
      </c>
      <c r="G720" s="256" t="s">
        <v>100</v>
      </c>
      <c r="H720" s="256"/>
      <c r="I720" s="257">
        <v>0</v>
      </c>
      <c r="J720" s="257">
        <v>0</v>
      </c>
      <c r="K720" s="257">
        <v>0</v>
      </c>
      <c r="L720" s="257">
        <v>0</v>
      </c>
      <c r="M720" s="257">
        <v>0</v>
      </c>
      <c r="N720" s="257">
        <v>0</v>
      </c>
      <c r="O720" s="257">
        <v>0</v>
      </c>
      <c r="P720" s="257">
        <v>0</v>
      </c>
      <c r="Q720" s="258">
        <v>0</v>
      </c>
    </row>
    <row r="721" spans="1:17">
      <c r="A721" s="256">
        <v>1</v>
      </c>
      <c r="B721" s="256">
        <v>8831310</v>
      </c>
      <c r="C721" s="256">
        <v>883131001</v>
      </c>
      <c r="D721" s="256" t="s">
        <v>538</v>
      </c>
      <c r="E721" s="256" t="s">
        <v>539</v>
      </c>
      <c r="F721" s="256" t="s">
        <v>792</v>
      </c>
      <c r="G721" s="256" t="s">
        <v>764</v>
      </c>
      <c r="H721" s="256" t="s">
        <v>98</v>
      </c>
      <c r="I721" s="257">
        <v>0</v>
      </c>
      <c r="J721" s="257">
        <v>0</v>
      </c>
      <c r="K721" s="257">
        <v>0</v>
      </c>
      <c r="L721" s="257">
        <v>0</v>
      </c>
      <c r="M721" s="257">
        <v>0</v>
      </c>
      <c r="N721" s="257">
        <v>0</v>
      </c>
      <c r="O721" s="257">
        <v>0</v>
      </c>
      <c r="P721" s="257">
        <v>0</v>
      </c>
      <c r="Q721" s="258">
        <v>0</v>
      </c>
    </row>
    <row r="722" spans="1:17">
      <c r="A722" s="256">
        <v>1</v>
      </c>
      <c r="B722" s="256">
        <v>8831310</v>
      </c>
      <c r="C722" s="256">
        <v>883131002</v>
      </c>
      <c r="D722" s="256" t="s">
        <v>538</v>
      </c>
      <c r="E722" s="256" t="s">
        <v>539</v>
      </c>
      <c r="F722" s="256" t="s">
        <v>792</v>
      </c>
      <c r="G722" s="256" t="s">
        <v>764</v>
      </c>
      <c r="H722" s="256" t="s">
        <v>95</v>
      </c>
      <c r="I722" s="257">
        <v>0</v>
      </c>
      <c r="J722" s="257">
        <v>0</v>
      </c>
      <c r="K722" s="257">
        <v>0</v>
      </c>
      <c r="L722" s="257">
        <v>0</v>
      </c>
      <c r="M722" s="257">
        <v>0</v>
      </c>
      <c r="N722" s="257">
        <v>0</v>
      </c>
      <c r="O722" s="257">
        <v>0</v>
      </c>
      <c r="P722" s="257">
        <v>0</v>
      </c>
      <c r="Q722" s="258">
        <v>0</v>
      </c>
    </row>
    <row r="723" spans="1:17">
      <c r="A723" s="236">
        <v>1</v>
      </c>
      <c r="B723" s="236">
        <v>8831310</v>
      </c>
      <c r="C723" s="236">
        <v>883131003</v>
      </c>
      <c r="D723" s="236" t="s">
        <v>538</v>
      </c>
      <c r="E723" s="236" t="s">
        <v>539</v>
      </c>
      <c r="F723" s="236" t="s">
        <v>792</v>
      </c>
      <c r="G723" s="236" t="s">
        <v>764</v>
      </c>
      <c r="H723" s="236" t="s">
        <v>765</v>
      </c>
      <c r="I723" s="257">
        <v>0</v>
      </c>
      <c r="J723" s="257">
        <v>0</v>
      </c>
      <c r="K723" s="257">
        <v>0</v>
      </c>
      <c r="L723" s="257">
        <v>0</v>
      </c>
      <c r="M723" s="257">
        <v>0</v>
      </c>
      <c r="N723" s="257">
        <v>0</v>
      </c>
      <c r="O723" s="257">
        <v>0</v>
      </c>
      <c r="P723" s="257">
        <v>0</v>
      </c>
      <c r="Q723" s="258">
        <v>0</v>
      </c>
    </row>
    <row r="724" spans="1:17">
      <c r="A724" s="256">
        <v>1</v>
      </c>
      <c r="B724" s="256">
        <v>8831313</v>
      </c>
      <c r="C724" s="256">
        <v>883131300</v>
      </c>
      <c r="D724" s="256" t="s">
        <v>538</v>
      </c>
      <c r="E724" s="256" t="s">
        <v>539</v>
      </c>
      <c r="F724" s="256" t="s">
        <v>792</v>
      </c>
      <c r="G724" s="256" t="s">
        <v>93</v>
      </c>
      <c r="H724" s="256"/>
      <c r="I724" s="257">
        <v>314753</v>
      </c>
      <c r="J724" s="257">
        <v>0</v>
      </c>
      <c r="K724" s="257">
        <v>0</v>
      </c>
      <c r="L724" s="257">
        <v>0</v>
      </c>
      <c r="M724" s="257">
        <v>0</v>
      </c>
      <c r="N724" s="257">
        <v>314753</v>
      </c>
      <c r="O724" s="257">
        <v>0</v>
      </c>
      <c r="P724" s="257">
        <v>0</v>
      </c>
      <c r="Q724" s="258">
        <v>0</v>
      </c>
    </row>
    <row r="725" spans="1:17">
      <c r="A725" s="256">
        <v>1</v>
      </c>
      <c r="B725" s="256">
        <v>8831314</v>
      </c>
      <c r="C725" s="256">
        <v>883131400</v>
      </c>
      <c r="D725" s="256" t="s">
        <v>538</v>
      </c>
      <c r="E725" s="256" t="s">
        <v>539</v>
      </c>
      <c r="F725" s="256" t="s">
        <v>792</v>
      </c>
      <c r="G725" s="256" t="s">
        <v>91</v>
      </c>
      <c r="H725" s="256"/>
      <c r="I725" s="257">
        <v>205816</v>
      </c>
      <c r="J725" s="257">
        <v>0</v>
      </c>
      <c r="K725" s="257">
        <v>0</v>
      </c>
      <c r="L725" s="257">
        <v>0</v>
      </c>
      <c r="M725" s="257">
        <v>0</v>
      </c>
      <c r="N725" s="257">
        <v>205816</v>
      </c>
      <c r="O725" s="257">
        <v>0</v>
      </c>
      <c r="P725" s="257">
        <v>0</v>
      </c>
      <c r="Q725" s="258">
        <v>0</v>
      </c>
    </row>
    <row r="726" spans="1:17">
      <c r="A726" s="256">
        <v>1</v>
      </c>
      <c r="B726" s="256">
        <v>8831315</v>
      </c>
      <c r="C726" s="256">
        <v>883131500</v>
      </c>
      <c r="D726" s="256" t="s">
        <v>538</v>
      </c>
      <c r="E726" s="256" t="s">
        <v>539</v>
      </c>
      <c r="F726" s="256" t="s">
        <v>792</v>
      </c>
      <c r="G726" s="256" t="s">
        <v>89</v>
      </c>
      <c r="H726" s="256"/>
      <c r="I726" s="257">
        <v>0</v>
      </c>
      <c r="J726" s="257">
        <v>0</v>
      </c>
      <c r="K726" s="257">
        <v>0</v>
      </c>
      <c r="L726" s="257">
        <v>0</v>
      </c>
      <c r="M726" s="257">
        <v>0</v>
      </c>
      <c r="N726" s="257">
        <v>0</v>
      </c>
      <c r="O726" s="257">
        <v>0</v>
      </c>
      <c r="P726" s="257">
        <v>0</v>
      </c>
      <c r="Q726" s="258">
        <v>0</v>
      </c>
    </row>
    <row r="727" spans="1:17">
      <c r="A727" s="256">
        <v>1</v>
      </c>
      <c r="B727" s="256">
        <v>8831317</v>
      </c>
      <c r="C727" s="256">
        <v>883131700</v>
      </c>
      <c r="D727" s="256" t="s">
        <v>538</v>
      </c>
      <c r="E727" s="256" t="s">
        <v>539</v>
      </c>
      <c r="F727" s="256" t="s">
        <v>792</v>
      </c>
      <c r="G727" s="256" t="s">
        <v>87</v>
      </c>
      <c r="H727" s="256"/>
      <c r="I727" s="257">
        <v>25200</v>
      </c>
      <c r="J727" s="257">
        <v>0</v>
      </c>
      <c r="K727" s="257">
        <v>0</v>
      </c>
      <c r="L727" s="257">
        <v>0</v>
      </c>
      <c r="M727" s="257">
        <v>0</v>
      </c>
      <c r="N727" s="257">
        <v>25200</v>
      </c>
      <c r="O727" s="257">
        <v>0</v>
      </c>
      <c r="P727" s="257">
        <v>0</v>
      </c>
      <c r="Q727" s="258">
        <v>0</v>
      </c>
    </row>
    <row r="728" spans="1:17">
      <c r="A728" s="256">
        <v>1</v>
      </c>
      <c r="B728" s="256">
        <v>8831319</v>
      </c>
      <c r="C728" s="256">
        <v>883131900</v>
      </c>
      <c r="D728" s="256" t="s">
        <v>538</v>
      </c>
      <c r="E728" s="256" t="s">
        <v>539</v>
      </c>
      <c r="F728" s="256" t="s">
        <v>792</v>
      </c>
      <c r="G728" s="256" t="s">
        <v>85</v>
      </c>
      <c r="H728" s="256"/>
      <c r="I728" s="257">
        <v>31159</v>
      </c>
      <c r="J728" s="257">
        <v>0</v>
      </c>
      <c r="K728" s="257">
        <v>0</v>
      </c>
      <c r="L728" s="257">
        <v>0</v>
      </c>
      <c r="M728" s="257">
        <v>0</v>
      </c>
      <c r="N728" s="257">
        <v>3839</v>
      </c>
      <c r="O728" s="257">
        <v>12900</v>
      </c>
      <c r="P728" s="257">
        <v>14420</v>
      </c>
      <c r="Q728" s="258">
        <v>0</v>
      </c>
    </row>
    <row r="729" spans="1:17">
      <c r="A729" s="256">
        <v>1</v>
      </c>
      <c r="B729" s="256">
        <v>8831320</v>
      </c>
      <c r="C729" s="256">
        <v>883132000</v>
      </c>
      <c r="D729" s="256" t="s">
        <v>538</v>
      </c>
      <c r="E729" s="256" t="s">
        <v>539</v>
      </c>
      <c r="F729" s="256" t="s">
        <v>792</v>
      </c>
      <c r="G729" s="256" t="s">
        <v>83</v>
      </c>
      <c r="H729" s="256"/>
      <c r="I729" s="257">
        <v>0</v>
      </c>
      <c r="J729" s="257">
        <v>0</v>
      </c>
      <c r="K729" s="257">
        <v>0</v>
      </c>
      <c r="L729" s="257">
        <v>0</v>
      </c>
      <c r="M729" s="257">
        <v>0</v>
      </c>
      <c r="N729" s="257">
        <v>0</v>
      </c>
      <c r="O729" s="257">
        <v>0</v>
      </c>
      <c r="P729" s="257">
        <v>0</v>
      </c>
      <c r="Q729" s="258">
        <v>0</v>
      </c>
    </row>
    <row r="730" spans="1:17">
      <c r="A730" s="256">
        <v>1</v>
      </c>
      <c r="B730" s="256">
        <v>8831321</v>
      </c>
      <c r="C730" s="256">
        <v>883132100</v>
      </c>
      <c r="D730" s="256" t="s">
        <v>538</v>
      </c>
      <c r="E730" s="256" t="s">
        <v>539</v>
      </c>
      <c r="F730" s="256" t="s">
        <v>792</v>
      </c>
      <c r="G730" s="256" t="s">
        <v>81</v>
      </c>
      <c r="H730" s="256"/>
      <c r="I730" s="257">
        <v>223630</v>
      </c>
      <c r="J730" s="257">
        <v>0</v>
      </c>
      <c r="K730" s="257">
        <v>0</v>
      </c>
      <c r="L730" s="257">
        <v>0</v>
      </c>
      <c r="M730" s="257">
        <v>0</v>
      </c>
      <c r="N730" s="257">
        <v>223630</v>
      </c>
      <c r="O730" s="257">
        <v>0</v>
      </c>
      <c r="P730" s="257">
        <v>0</v>
      </c>
      <c r="Q730" s="258">
        <v>0</v>
      </c>
    </row>
    <row r="731" spans="1:17">
      <c r="A731" s="256">
        <v>1</v>
      </c>
      <c r="B731" s="256">
        <v>8831323</v>
      </c>
      <c r="C731" s="256">
        <v>883132300</v>
      </c>
      <c r="D731" s="256" t="s">
        <v>538</v>
      </c>
      <c r="E731" s="256" t="s">
        <v>539</v>
      </c>
      <c r="F731" s="256" t="s">
        <v>792</v>
      </c>
      <c r="G731" s="256" t="s">
        <v>79</v>
      </c>
      <c r="H731" s="256"/>
      <c r="I731" s="257">
        <v>190247</v>
      </c>
      <c r="J731" s="257">
        <v>0</v>
      </c>
      <c r="K731" s="257">
        <v>0</v>
      </c>
      <c r="L731" s="257">
        <v>0</v>
      </c>
      <c r="M731" s="257">
        <v>0</v>
      </c>
      <c r="N731" s="257">
        <v>190247</v>
      </c>
      <c r="O731" s="257">
        <v>0</v>
      </c>
      <c r="P731" s="257">
        <v>0</v>
      </c>
      <c r="Q731" s="258">
        <v>0</v>
      </c>
    </row>
    <row r="732" spans="1:17">
      <c r="A732" s="256">
        <v>1</v>
      </c>
      <c r="B732" s="256">
        <v>8831324</v>
      </c>
      <c r="C732" s="256">
        <v>883132400</v>
      </c>
      <c r="D732" s="256" t="s">
        <v>538</v>
      </c>
      <c r="E732" s="256" t="s">
        <v>539</v>
      </c>
      <c r="F732" s="256" t="s">
        <v>792</v>
      </c>
      <c r="G732" s="256" t="s">
        <v>77</v>
      </c>
      <c r="H732" s="256"/>
      <c r="I732" s="257">
        <v>0</v>
      </c>
      <c r="J732" s="257">
        <v>0</v>
      </c>
      <c r="K732" s="257">
        <v>0</v>
      </c>
      <c r="L732" s="257">
        <v>0</v>
      </c>
      <c r="M732" s="257">
        <v>0</v>
      </c>
      <c r="N732" s="257">
        <v>0</v>
      </c>
      <c r="O732" s="257">
        <v>0</v>
      </c>
      <c r="P732" s="257">
        <v>0</v>
      </c>
      <c r="Q732" s="258">
        <v>0</v>
      </c>
    </row>
    <row r="733" spans="1:17">
      <c r="A733" s="256">
        <v>1</v>
      </c>
      <c r="B733" s="256">
        <v>8831325</v>
      </c>
      <c r="C733" s="256">
        <v>883132500</v>
      </c>
      <c r="D733" s="256" t="s">
        <v>538</v>
      </c>
      <c r="E733" s="256" t="s">
        <v>539</v>
      </c>
      <c r="F733" s="256" t="s">
        <v>792</v>
      </c>
      <c r="G733" s="256" t="s">
        <v>75</v>
      </c>
      <c r="H733" s="256"/>
      <c r="I733" s="257">
        <v>0</v>
      </c>
      <c r="J733" s="257">
        <v>0</v>
      </c>
      <c r="K733" s="257">
        <v>0</v>
      </c>
      <c r="L733" s="257">
        <v>0</v>
      </c>
      <c r="M733" s="257">
        <v>0</v>
      </c>
      <c r="N733" s="257">
        <v>0</v>
      </c>
      <c r="O733" s="257">
        <v>0</v>
      </c>
      <c r="P733" s="257">
        <v>0</v>
      </c>
      <c r="Q733" s="258">
        <v>0</v>
      </c>
    </row>
    <row r="734" spans="1:17">
      <c r="A734" s="256">
        <v>1</v>
      </c>
      <c r="B734" s="256">
        <v>8831328</v>
      </c>
      <c r="C734" s="256">
        <v>883132866</v>
      </c>
      <c r="D734" s="256" t="s">
        <v>538</v>
      </c>
      <c r="E734" s="256" t="s">
        <v>539</v>
      </c>
      <c r="F734" s="256" t="s">
        <v>792</v>
      </c>
      <c r="G734" s="256" t="s">
        <v>811</v>
      </c>
      <c r="H734" s="256" t="s">
        <v>812</v>
      </c>
      <c r="I734" s="257">
        <v>0</v>
      </c>
      <c r="J734" s="257">
        <v>0</v>
      </c>
      <c r="K734" s="257">
        <v>0</v>
      </c>
      <c r="L734" s="257">
        <v>0</v>
      </c>
      <c r="M734" s="257">
        <v>0</v>
      </c>
      <c r="N734" s="257">
        <v>0</v>
      </c>
      <c r="O734" s="257">
        <v>0</v>
      </c>
      <c r="P734" s="257">
        <v>0</v>
      </c>
      <c r="Q734" s="258">
        <v>0</v>
      </c>
    </row>
    <row r="735" spans="1:17">
      <c r="A735" s="256">
        <v>1</v>
      </c>
      <c r="B735" s="256">
        <v>8831328</v>
      </c>
      <c r="C735" s="256">
        <v>883132867</v>
      </c>
      <c r="D735" s="256" t="s">
        <v>538</v>
      </c>
      <c r="E735" s="256" t="s">
        <v>539</v>
      </c>
      <c r="F735" s="256" t="s">
        <v>792</v>
      </c>
      <c r="G735" s="256" t="s">
        <v>811</v>
      </c>
      <c r="H735" s="256" t="s">
        <v>813</v>
      </c>
      <c r="I735" s="257">
        <v>0</v>
      </c>
      <c r="J735" s="257">
        <v>0</v>
      </c>
      <c r="K735" s="257">
        <v>0</v>
      </c>
      <c r="L735" s="257">
        <v>0</v>
      </c>
      <c r="M735" s="257">
        <v>0</v>
      </c>
      <c r="N735" s="257">
        <v>0</v>
      </c>
      <c r="O735" s="257">
        <v>0</v>
      </c>
      <c r="P735" s="257">
        <v>0</v>
      </c>
      <c r="Q735" s="258">
        <v>0</v>
      </c>
    </row>
    <row r="736" spans="1:17">
      <c r="A736" s="256">
        <v>1</v>
      </c>
      <c r="B736" s="256">
        <v>8831329</v>
      </c>
      <c r="C736" s="256">
        <v>883132900</v>
      </c>
      <c r="D736" s="256" t="s">
        <v>538</v>
      </c>
      <c r="E736" s="256" t="s">
        <v>539</v>
      </c>
      <c r="F736" s="256" t="s">
        <v>792</v>
      </c>
      <c r="G736" s="256" t="s">
        <v>66</v>
      </c>
      <c r="H736" s="256"/>
      <c r="I736" s="257">
        <v>0</v>
      </c>
      <c r="J736" s="257">
        <v>0</v>
      </c>
      <c r="K736" s="257">
        <v>0</v>
      </c>
      <c r="L736" s="257">
        <v>0</v>
      </c>
      <c r="M736" s="257">
        <v>0</v>
      </c>
      <c r="N736" s="257">
        <v>0</v>
      </c>
      <c r="O736" s="257">
        <v>0</v>
      </c>
      <c r="P736" s="257">
        <v>0</v>
      </c>
      <c r="Q736" s="258">
        <v>0</v>
      </c>
    </row>
    <row r="737" spans="1:17">
      <c r="A737" s="256">
        <v>1</v>
      </c>
      <c r="B737" s="256">
        <v>8831330</v>
      </c>
      <c r="C737" s="256">
        <v>883133000</v>
      </c>
      <c r="D737" s="256" t="s">
        <v>538</v>
      </c>
      <c r="E737" s="256" t="s">
        <v>539</v>
      </c>
      <c r="F737" s="256" t="s">
        <v>792</v>
      </c>
      <c r="G737" s="256" t="s">
        <v>64</v>
      </c>
      <c r="H737" s="256"/>
      <c r="I737" s="257">
        <v>0</v>
      </c>
      <c r="J737" s="257">
        <v>0</v>
      </c>
      <c r="K737" s="257">
        <v>0</v>
      </c>
      <c r="L737" s="257">
        <v>0</v>
      </c>
      <c r="M737" s="257">
        <v>0</v>
      </c>
      <c r="N737" s="257">
        <v>0</v>
      </c>
      <c r="O737" s="257">
        <v>0</v>
      </c>
      <c r="P737" s="257">
        <v>0</v>
      </c>
      <c r="Q737" s="258">
        <v>0</v>
      </c>
    </row>
    <row r="738" spans="1:17">
      <c r="A738" s="256">
        <v>1</v>
      </c>
      <c r="B738" s="256">
        <v>8831331</v>
      </c>
      <c r="C738" s="256">
        <v>883133100</v>
      </c>
      <c r="D738" s="256" t="s">
        <v>538</v>
      </c>
      <c r="E738" s="256" t="s">
        <v>539</v>
      </c>
      <c r="F738" s="256" t="s">
        <v>792</v>
      </c>
      <c r="G738" s="256" t="s">
        <v>62</v>
      </c>
      <c r="H738" s="256"/>
      <c r="I738" s="257">
        <v>0</v>
      </c>
      <c r="J738" s="257">
        <v>0</v>
      </c>
      <c r="K738" s="257">
        <v>0</v>
      </c>
      <c r="L738" s="257">
        <v>0</v>
      </c>
      <c r="M738" s="257">
        <v>0</v>
      </c>
      <c r="N738" s="257">
        <v>0</v>
      </c>
      <c r="O738" s="257">
        <v>0</v>
      </c>
      <c r="P738" s="257">
        <v>0</v>
      </c>
      <c r="Q738" s="258">
        <v>0</v>
      </c>
    </row>
    <row r="739" spans="1:17">
      <c r="A739" s="256">
        <v>1</v>
      </c>
      <c r="B739" s="256">
        <v>8831337</v>
      </c>
      <c r="C739" s="256">
        <v>883133700</v>
      </c>
      <c r="D739" s="256" t="s">
        <v>538</v>
      </c>
      <c r="E739" s="256" t="s">
        <v>539</v>
      </c>
      <c r="F739" s="256" t="s">
        <v>792</v>
      </c>
      <c r="G739" s="256" t="s">
        <v>60</v>
      </c>
      <c r="H739" s="256"/>
      <c r="I739" s="257">
        <v>0</v>
      </c>
      <c r="J739" s="257">
        <v>0</v>
      </c>
      <c r="K739" s="257">
        <v>0</v>
      </c>
      <c r="L739" s="257">
        <v>0</v>
      </c>
      <c r="M739" s="257">
        <v>0</v>
      </c>
      <c r="N739" s="257">
        <v>0</v>
      </c>
      <c r="O739" s="257">
        <v>0</v>
      </c>
      <c r="P739" s="257">
        <v>0</v>
      </c>
      <c r="Q739" s="258">
        <v>0</v>
      </c>
    </row>
    <row r="740" spans="1:17">
      <c r="A740" s="256">
        <v>1</v>
      </c>
      <c r="B740" s="256">
        <v>8831339</v>
      </c>
      <c r="C740" s="256">
        <v>883133900</v>
      </c>
      <c r="D740" s="256" t="s">
        <v>538</v>
      </c>
      <c r="E740" s="256" t="s">
        <v>539</v>
      </c>
      <c r="F740" s="256" t="s">
        <v>792</v>
      </c>
      <c r="G740" s="256" t="s">
        <v>58</v>
      </c>
      <c r="H740" s="256"/>
      <c r="I740" s="257">
        <v>97074</v>
      </c>
      <c r="J740" s="257">
        <v>0</v>
      </c>
      <c r="K740" s="257">
        <v>0</v>
      </c>
      <c r="L740" s="257">
        <v>0</v>
      </c>
      <c r="M740" s="257">
        <v>0</v>
      </c>
      <c r="N740" s="257">
        <v>0</v>
      </c>
      <c r="O740" s="257">
        <v>97074</v>
      </c>
      <c r="P740" s="257">
        <v>0</v>
      </c>
      <c r="Q740" s="258">
        <v>0</v>
      </c>
    </row>
    <row r="741" spans="1:17">
      <c r="A741" s="256">
        <v>1</v>
      </c>
      <c r="B741" s="256">
        <v>8831340</v>
      </c>
      <c r="C741" s="256">
        <v>883134000</v>
      </c>
      <c r="D741" s="256" t="s">
        <v>538</v>
      </c>
      <c r="E741" s="256" t="s">
        <v>539</v>
      </c>
      <c r="F741" s="256" t="s">
        <v>792</v>
      </c>
      <c r="G741" s="256" t="s">
        <v>56</v>
      </c>
      <c r="H741" s="256"/>
      <c r="I741" s="257">
        <v>0</v>
      </c>
      <c r="J741" s="257">
        <v>0</v>
      </c>
      <c r="K741" s="257">
        <v>0</v>
      </c>
      <c r="L741" s="257">
        <v>0</v>
      </c>
      <c r="M741" s="257">
        <v>0</v>
      </c>
      <c r="N741" s="257">
        <v>0</v>
      </c>
      <c r="O741" s="257">
        <v>0</v>
      </c>
      <c r="P741" s="257">
        <v>0</v>
      </c>
      <c r="Q741" s="258">
        <v>0</v>
      </c>
    </row>
    <row r="742" spans="1:17">
      <c r="A742" s="256">
        <v>1</v>
      </c>
      <c r="B742" s="256">
        <v>8831341</v>
      </c>
      <c r="C742" s="256">
        <v>883134100</v>
      </c>
      <c r="D742" s="256" t="s">
        <v>538</v>
      </c>
      <c r="E742" s="256" t="s">
        <v>539</v>
      </c>
      <c r="F742" s="256" t="s">
        <v>792</v>
      </c>
      <c r="G742" s="256" t="s">
        <v>55</v>
      </c>
      <c r="H742" s="256"/>
      <c r="I742" s="257">
        <v>0</v>
      </c>
      <c r="J742" s="257">
        <v>0</v>
      </c>
      <c r="K742" s="257">
        <v>0</v>
      </c>
      <c r="L742" s="257">
        <v>0</v>
      </c>
      <c r="M742" s="257">
        <v>0</v>
      </c>
      <c r="N742" s="257">
        <v>0</v>
      </c>
      <c r="O742" s="257">
        <v>0</v>
      </c>
      <c r="P742" s="257">
        <v>0</v>
      </c>
      <c r="Q742" s="258">
        <v>0</v>
      </c>
    </row>
    <row r="743" spans="1:17">
      <c r="A743" s="256">
        <v>1</v>
      </c>
      <c r="B743" s="256">
        <v>8831342</v>
      </c>
      <c r="C743" s="256">
        <v>883134201</v>
      </c>
      <c r="D743" s="256" t="s">
        <v>538</v>
      </c>
      <c r="E743" s="256" t="s">
        <v>539</v>
      </c>
      <c r="F743" s="256" t="s">
        <v>792</v>
      </c>
      <c r="G743" s="256" t="s">
        <v>53</v>
      </c>
      <c r="H743" s="256" t="s">
        <v>108</v>
      </c>
      <c r="I743" s="257">
        <v>476000</v>
      </c>
      <c r="J743" s="257">
        <v>0</v>
      </c>
      <c r="K743" s="257">
        <v>0</v>
      </c>
      <c r="L743" s="257">
        <v>0</v>
      </c>
      <c r="M743" s="257">
        <v>0</v>
      </c>
      <c r="N743" s="257">
        <v>0</v>
      </c>
      <c r="O743" s="257">
        <v>0</v>
      </c>
      <c r="P743" s="257">
        <v>476000</v>
      </c>
      <c r="Q743" s="258">
        <v>0</v>
      </c>
    </row>
    <row r="744" spans="1:17">
      <c r="A744" s="256">
        <v>1</v>
      </c>
      <c r="B744" s="256">
        <v>8831342</v>
      </c>
      <c r="C744" s="256">
        <v>883134202</v>
      </c>
      <c r="D744" s="256" t="s">
        <v>538</v>
      </c>
      <c r="E744" s="256" t="s">
        <v>539</v>
      </c>
      <c r="F744" s="256" t="s">
        <v>792</v>
      </c>
      <c r="G744" s="256" t="s">
        <v>53</v>
      </c>
      <c r="H744" s="256" t="s">
        <v>106</v>
      </c>
      <c r="I744" s="257">
        <v>97000</v>
      </c>
      <c r="J744" s="257">
        <v>0</v>
      </c>
      <c r="K744" s="257">
        <v>0</v>
      </c>
      <c r="L744" s="257">
        <v>0</v>
      </c>
      <c r="M744" s="257">
        <v>0</v>
      </c>
      <c r="N744" s="257">
        <v>0</v>
      </c>
      <c r="O744" s="257">
        <v>0</v>
      </c>
      <c r="P744" s="257">
        <v>97000</v>
      </c>
      <c r="Q744" s="258">
        <v>0</v>
      </c>
    </row>
    <row r="745" spans="1:17">
      <c r="A745" s="256">
        <v>1</v>
      </c>
      <c r="B745" s="256">
        <v>8831401</v>
      </c>
      <c r="C745" s="256">
        <v>883140102</v>
      </c>
      <c r="D745" s="256" t="s">
        <v>538</v>
      </c>
      <c r="E745" s="256" t="s">
        <v>539</v>
      </c>
      <c r="F745" s="256" t="s">
        <v>820</v>
      </c>
      <c r="G745" s="256" t="s">
        <v>112</v>
      </c>
      <c r="H745" s="256" t="s">
        <v>737</v>
      </c>
      <c r="I745" s="257">
        <v>0</v>
      </c>
      <c r="J745" s="257">
        <v>0</v>
      </c>
      <c r="K745" s="257">
        <v>0</v>
      </c>
      <c r="L745" s="257">
        <v>0</v>
      </c>
      <c r="M745" s="257">
        <v>0</v>
      </c>
      <c r="N745" s="257">
        <v>0</v>
      </c>
      <c r="O745" s="257">
        <v>0</v>
      </c>
      <c r="P745" s="257">
        <v>0</v>
      </c>
      <c r="Q745" s="258">
        <v>0</v>
      </c>
    </row>
    <row r="746" spans="1:17">
      <c r="A746" s="256">
        <v>1</v>
      </c>
      <c r="B746" s="256">
        <v>8831401</v>
      </c>
      <c r="C746" s="256">
        <v>883140103</v>
      </c>
      <c r="D746" s="256" t="s">
        <v>538</v>
      </c>
      <c r="E746" s="256" t="s">
        <v>539</v>
      </c>
      <c r="F746" s="256" t="s">
        <v>820</v>
      </c>
      <c r="G746" s="256" t="s">
        <v>112</v>
      </c>
      <c r="H746" s="256" t="s">
        <v>738</v>
      </c>
      <c r="I746" s="257">
        <v>0</v>
      </c>
      <c r="J746" s="257">
        <v>0</v>
      </c>
      <c r="K746" s="257">
        <v>0</v>
      </c>
      <c r="L746" s="257">
        <v>0</v>
      </c>
      <c r="M746" s="257">
        <v>0</v>
      </c>
      <c r="N746" s="257">
        <v>0</v>
      </c>
      <c r="O746" s="257">
        <v>0</v>
      </c>
      <c r="P746" s="257">
        <v>0</v>
      </c>
      <c r="Q746" s="258">
        <v>0</v>
      </c>
    </row>
    <row r="747" spans="1:17">
      <c r="A747" s="256">
        <v>1</v>
      </c>
      <c r="B747" s="256">
        <v>8831401</v>
      </c>
      <c r="C747" s="256">
        <v>883140104</v>
      </c>
      <c r="D747" s="256" t="s">
        <v>538</v>
      </c>
      <c r="E747" s="256" t="s">
        <v>539</v>
      </c>
      <c r="F747" s="256" t="s">
        <v>820</v>
      </c>
      <c r="G747" s="256" t="s">
        <v>112</v>
      </c>
      <c r="H747" s="256" t="s">
        <v>739</v>
      </c>
      <c r="I747" s="257">
        <v>0</v>
      </c>
      <c r="J747" s="257">
        <v>0</v>
      </c>
      <c r="K747" s="257">
        <v>0</v>
      </c>
      <c r="L747" s="257">
        <v>0</v>
      </c>
      <c r="M747" s="257">
        <v>0</v>
      </c>
      <c r="N747" s="257">
        <v>0</v>
      </c>
      <c r="O747" s="257">
        <v>0</v>
      </c>
      <c r="P747" s="257">
        <v>0</v>
      </c>
      <c r="Q747" s="258">
        <v>0</v>
      </c>
    </row>
    <row r="748" spans="1:17">
      <c r="A748" s="236">
        <v>1</v>
      </c>
      <c r="B748" s="236">
        <v>8831401</v>
      </c>
      <c r="C748" s="236">
        <v>883140105</v>
      </c>
      <c r="D748" s="236" t="s">
        <v>538</v>
      </c>
      <c r="E748" s="236" t="s">
        <v>539</v>
      </c>
      <c r="F748" s="236" t="s">
        <v>820</v>
      </c>
      <c r="G748" s="236" t="s">
        <v>112</v>
      </c>
      <c r="H748" s="236" t="s">
        <v>740</v>
      </c>
      <c r="I748" s="257">
        <v>2132308</v>
      </c>
      <c r="J748" s="257">
        <v>0</v>
      </c>
      <c r="K748" s="257">
        <v>0</v>
      </c>
      <c r="L748" s="257">
        <v>0</v>
      </c>
      <c r="M748" s="257">
        <v>0</v>
      </c>
      <c r="N748" s="257">
        <v>0</v>
      </c>
      <c r="O748" s="257">
        <v>0</v>
      </c>
      <c r="P748" s="257">
        <v>2132308</v>
      </c>
      <c r="Q748" s="258">
        <v>0</v>
      </c>
    </row>
    <row r="749" spans="1:17">
      <c r="A749" s="256">
        <v>1</v>
      </c>
      <c r="B749" s="256">
        <v>8831402</v>
      </c>
      <c r="C749" s="256">
        <v>883140202</v>
      </c>
      <c r="D749" s="256" t="s">
        <v>538</v>
      </c>
      <c r="E749" s="256" t="s">
        <v>539</v>
      </c>
      <c r="F749" s="256" t="s">
        <v>820</v>
      </c>
      <c r="G749" s="256" t="s">
        <v>110</v>
      </c>
      <c r="H749" s="256" t="s">
        <v>741</v>
      </c>
      <c r="I749" s="257">
        <v>12502020</v>
      </c>
      <c r="J749" s="257">
        <v>0</v>
      </c>
      <c r="K749" s="257">
        <v>0</v>
      </c>
      <c r="L749" s="257">
        <v>0</v>
      </c>
      <c r="M749" s="257">
        <v>0</v>
      </c>
      <c r="N749" s="257">
        <v>0</v>
      </c>
      <c r="O749" s="257">
        <v>0</v>
      </c>
      <c r="P749" s="257">
        <v>12502020</v>
      </c>
      <c r="Q749" s="258">
        <v>0</v>
      </c>
    </row>
    <row r="750" spans="1:17">
      <c r="A750" s="256">
        <v>1</v>
      </c>
      <c r="B750" s="256">
        <v>8831403</v>
      </c>
      <c r="C750" s="256">
        <v>883140301</v>
      </c>
      <c r="D750" s="256" t="s">
        <v>538</v>
      </c>
      <c r="E750" s="256" t="s">
        <v>539</v>
      </c>
      <c r="F750" s="256" t="s">
        <v>820</v>
      </c>
      <c r="G750" s="256" t="s">
        <v>108</v>
      </c>
      <c r="H750" s="256" t="s">
        <v>742</v>
      </c>
      <c r="I750" s="257">
        <v>1257996</v>
      </c>
      <c r="J750" s="257">
        <v>0</v>
      </c>
      <c r="K750" s="257">
        <v>0</v>
      </c>
      <c r="L750" s="257">
        <v>0</v>
      </c>
      <c r="M750" s="257">
        <v>0</v>
      </c>
      <c r="N750" s="257">
        <v>0</v>
      </c>
      <c r="O750" s="257">
        <v>0</v>
      </c>
      <c r="P750" s="257">
        <v>1257996</v>
      </c>
      <c r="Q750" s="258">
        <v>0</v>
      </c>
    </row>
    <row r="751" spans="1:17">
      <c r="A751" s="256">
        <v>1</v>
      </c>
      <c r="B751" s="256">
        <v>8831403</v>
      </c>
      <c r="C751" s="256">
        <v>883140302</v>
      </c>
      <c r="D751" s="256" t="s">
        <v>538</v>
      </c>
      <c r="E751" s="256" t="s">
        <v>539</v>
      </c>
      <c r="F751" s="256" t="s">
        <v>820</v>
      </c>
      <c r="G751" s="256" t="s">
        <v>108</v>
      </c>
      <c r="H751" s="256" t="s">
        <v>743</v>
      </c>
      <c r="I751" s="257">
        <v>78000</v>
      </c>
      <c r="J751" s="257">
        <v>0</v>
      </c>
      <c r="K751" s="257">
        <v>0</v>
      </c>
      <c r="L751" s="257">
        <v>0</v>
      </c>
      <c r="M751" s="257">
        <v>0</v>
      </c>
      <c r="N751" s="257">
        <v>0</v>
      </c>
      <c r="O751" s="257">
        <v>0</v>
      </c>
      <c r="P751" s="257">
        <v>78000</v>
      </c>
      <c r="Q751" s="258">
        <v>0</v>
      </c>
    </row>
    <row r="752" spans="1:17">
      <c r="A752" s="256">
        <v>1</v>
      </c>
      <c r="B752" s="256">
        <v>8831403</v>
      </c>
      <c r="C752" s="256">
        <v>883140303</v>
      </c>
      <c r="D752" s="256" t="s">
        <v>538</v>
      </c>
      <c r="E752" s="256" t="s">
        <v>539</v>
      </c>
      <c r="F752" s="256" t="s">
        <v>820</v>
      </c>
      <c r="G752" s="256" t="s">
        <v>108</v>
      </c>
      <c r="H752" s="256" t="s">
        <v>744</v>
      </c>
      <c r="I752" s="257">
        <v>3550567</v>
      </c>
      <c r="J752" s="257">
        <v>0</v>
      </c>
      <c r="K752" s="257">
        <v>0</v>
      </c>
      <c r="L752" s="257">
        <v>0</v>
      </c>
      <c r="M752" s="257">
        <v>0</v>
      </c>
      <c r="N752" s="257">
        <v>0</v>
      </c>
      <c r="O752" s="257">
        <v>0</v>
      </c>
      <c r="P752" s="257">
        <v>3550567</v>
      </c>
      <c r="Q752" s="258">
        <v>0</v>
      </c>
    </row>
    <row r="753" spans="1:17">
      <c r="A753" s="256">
        <v>1</v>
      </c>
      <c r="B753" s="256">
        <v>8831403</v>
      </c>
      <c r="C753" s="256">
        <v>883140304</v>
      </c>
      <c r="D753" s="256" t="s">
        <v>538</v>
      </c>
      <c r="E753" s="256" t="s">
        <v>539</v>
      </c>
      <c r="F753" s="256" t="s">
        <v>820</v>
      </c>
      <c r="G753" s="256" t="s">
        <v>108</v>
      </c>
      <c r="H753" s="256" t="s">
        <v>745</v>
      </c>
      <c r="I753" s="257">
        <v>587260</v>
      </c>
      <c r="J753" s="257">
        <v>0</v>
      </c>
      <c r="K753" s="257">
        <v>0</v>
      </c>
      <c r="L753" s="257">
        <v>0</v>
      </c>
      <c r="M753" s="257">
        <v>0</v>
      </c>
      <c r="N753" s="257">
        <v>587260</v>
      </c>
      <c r="O753" s="257">
        <v>0</v>
      </c>
      <c r="P753" s="257">
        <v>0</v>
      </c>
      <c r="Q753" s="258">
        <v>0</v>
      </c>
    </row>
    <row r="754" spans="1:17">
      <c r="A754" s="256">
        <v>1</v>
      </c>
      <c r="B754" s="256">
        <v>8831403</v>
      </c>
      <c r="C754" s="256">
        <v>883140305</v>
      </c>
      <c r="D754" s="256" t="s">
        <v>538</v>
      </c>
      <c r="E754" s="256" t="s">
        <v>539</v>
      </c>
      <c r="F754" s="256" t="s">
        <v>820</v>
      </c>
      <c r="G754" s="256" t="s">
        <v>108</v>
      </c>
      <c r="H754" s="256" t="s">
        <v>746</v>
      </c>
      <c r="I754" s="257">
        <v>0</v>
      </c>
      <c r="J754" s="257">
        <v>0</v>
      </c>
      <c r="K754" s="257">
        <v>0</v>
      </c>
      <c r="L754" s="257">
        <v>0</v>
      </c>
      <c r="M754" s="257">
        <v>0</v>
      </c>
      <c r="N754" s="257">
        <v>0</v>
      </c>
      <c r="O754" s="257">
        <v>0</v>
      </c>
      <c r="P754" s="257">
        <v>0</v>
      </c>
      <c r="Q754" s="258">
        <v>0</v>
      </c>
    </row>
    <row r="755" spans="1:17">
      <c r="A755" s="256">
        <v>1</v>
      </c>
      <c r="B755" s="256">
        <v>8831403</v>
      </c>
      <c r="C755" s="256">
        <v>883140306</v>
      </c>
      <c r="D755" s="256" t="s">
        <v>538</v>
      </c>
      <c r="E755" s="256" t="s">
        <v>539</v>
      </c>
      <c r="F755" s="256" t="s">
        <v>820</v>
      </c>
      <c r="G755" s="256" t="s">
        <v>108</v>
      </c>
      <c r="H755" s="256" t="s">
        <v>747</v>
      </c>
      <c r="I755" s="257">
        <v>0</v>
      </c>
      <c r="J755" s="257">
        <v>0</v>
      </c>
      <c r="K755" s="257">
        <v>0</v>
      </c>
      <c r="L755" s="257">
        <v>0</v>
      </c>
      <c r="M755" s="257">
        <v>0</v>
      </c>
      <c r="N755" s="257">
        <v>0</v>
      </c>
      <c r="O755" s="257">
        <v>0</v>
      </c>
      <c r="P755" s="257">
        <v>0</v>
      </c>
      <c r="Q755" s="258">
        <v>0</v>
      </c>
    </row>
    <row r="756" spans="1:17">
      <c r="A756" s="256">
        <v>1</v>
      </c>
      <c r="B756" s="256">
        <v>8831403</v>
      </c>
      <c r="C756" s="256">
        <v>883140307</v>
      </c>
      <c r="D756" s="256" t="s">
        <v>538</v>
      </c>
      <c r="E756" s="256" t="s">
        <v>539</v>
      </c>
      <c r="F756" s="256" t="s">
        <v>820</v>
      </c>
      <c r="G756" s="256" t="s">
        <v>108</v>
      </c>
      <c r="H756" s="256" t="s">
        <v>748</v>
      </c>
      <c r="I756" s="257">
        <v>0</v>
      </c>
      <c r="J756" s="257">
        <v>0</v>
      </c>
      <c r="K756" s="257">
        <v>0</v>
      </c>
      <c r="L756" s="257">
        <v>0</v>
      </c>
      <c r="M756" s="257">
        <v>0</v>
      </c>
      <c r="N756" s="257">
        <v>0</v>
      </c>
      <c r="O756" s="257">
        <v>0</v>
      </c>
      <c r="P756" s="257">
        <v>0</v>
      </c>
      <c r="Q756" s="258">
        <v>0</v>
      </c>
    </row>
    <row r="757" spans="1:17">
      <c r="A757" s="256">
        <v>1</v>
      </c>
      <c r="B757" s="256">
        <v>8831403</v>
      </c>
      <c r="C757" s="256">
        <v>883140310</v>
      </c>
      <c r="D757" s="256" t="s">
        <v>538</v>
      </c>
      <c r="E757" s="256" t="s">
        <v>539</v>
      </c>
      <c r="F757" s="256" t="s">
        <v>820</v>
      </c>
      <c r="G757" s="256" t="s">
        <v>108</v>
      </c>
      <c r="H757" s="256" t="s">
        <v>749</v>
      </c>
      <c r="I757" s="257">
        <v>1597508</v>
      </c>
      <c r="J757" s="257">
        <v>0</v>
      </c>
      <c r="K757" s="257">
        <v>0</v>
      </c>
      <c r="L757" s="257">
        <v>0</v>
      </c>
      <c r="M757" s="257">
        <v>0</v>
      </c>
      <c r="N757" s="257">
        <v>0</v>
      </c>
      <c r="O757" s="257">
        <v>0</v>
      </c>
      <c r="P757" s="257">
        <v>1597508</v>
      </c>
      <c r="Q757" s="258">
        <v>0</v>
      </c>
    </row>
    <row r="758" spans="1:17">
      <c r="A758" s="256">
        <v>1</v>
      </c>
      <c r="B758" s="256">
        <v>8831403</v>
      </c>
      <c r="C758" s="256">
        <v>883140311</v>
      </c>
      <c r="D758" s="256" t="s">
        <v>538</v>
      </c>
      <c r="E758" s="256" t="s">
        <v>539</v>
      </c>
      <c r="F758" s="256" t="s">
        <v>820</v>
      </c>
      <c r="G758" s="256" t="s">
        <v>108</v>
      </c>
      <c r="H758" s="256" t="s">
        <v>750</v>
      </c>
      <c r="I758" s="257">
        <v>0</v>
      </c>
      <c r="J758" s="257">
        <v>0</v>
      </c>
      <c r="K758" s="257">
        <v>0</v>
      </c>
      <c r="L758" s="257">
        <v>0</v>
      </c>
      <c r="M758" s="257">
        <v>0</v>
      </c>
      <c r="N758" s="257">
        <v>0</v>
      </c>
      <c r="O758" s="257">
        <v>0</v>
      </c>
      <c r="P758" s="257">
        <v>0</v>
      </c>
      <c r="Q758" s="258">
        <v>0</v>
      </c>
    </row>
    <row r="759" spans="1:17">
      <c r="A759" s="256">
        <v>1</v>
      </c>
      <c r="B759" s="256">
        <v>8831403</v>
      </c>
      <c r="C759" s="256">
        <v>883140314</v>
      </c>
      <c r="D759" s="256" t="s">
        <v>538</v>
      </c>
      <c r="E759" s="256" t="s">
        <v>539</v>
      </c>
      <c r="F759" s="256" t="s">
        <v>820</v>
      </c>
      <c r="G759" s="256" t="s">
        <v>108</v>
      </c>
      <c r="H759" s="256" t="s">
        <v>751</v>
      </c>
      <c r="I759" s="257">
        <v>324000</v>
      </c>
      <c r="J759" s="257">
        <v>0</v>
      </c>
      <c r="K759" s="257">
        <v>0</v>
      </c>
      <c r="L759" s="257">
        <v>0</v>
      </c>
      <c r="M759" s="257">
        <v>0</v>
      </c>
      <c r="N759" s="257">
        <v>0</v>
      </c>
      <c r="O759" s="257">
        <v>0</v>
      </c>
      <c r="P759" s="257">
        <v>324000</v>
      </c>
      <c r="Q759" s="258">
        <v>0</v>
      </c>
    </row>
    <row r="760" spans="1:17">
      <c r="A760" s="256">
        <v>1</v>
      </c>
      <c r="B760" s="256">
        <v>8831403</v>
      </c>
      <c r="C760" s="256">
        <v>883140315</v>
      </c>
      <c r="D760" s="256" t="s">
        <v>538</v>
      </c>
      <c r="E760" s="256" t="s">
        <v>539</v>
      </c>
      <c r="F760" s="256" t="s">
        <v>820</v>
      </c>
      <c r="G760" s="256" t="s">
        <v>108</v>
      </c>
      <c r="H760" s="256" t="s">
        <v>752</v>
      </c>
      <c r="I760" s="257">
        <v>0</v>
      </c>
      <c r="J760" s="257">
        <v>0</v>
      </c>
      <c r="K760" s="257">
        <v>0</v>
      </c>
      <c r="L760" s="257">
        <v>0</v>
      </c>
      <c r="M760" s="257">
        <v>0</v>
      </c>
      <c r="N760" s="257">
        <v>0</v>
      </c>
      <c r="O760" s="257">
        <v>0</v>
      </c>
      <c r="P760" s="257">
        <v>0</v>
      </c>
      <c r="Q760" s="258">
        <v>0</v>
      </c>
    </row>
    <row r="761" spans="1:17">
      <c r="A761" s="256">
        <v>1</v>
      </c>
      <c r="B761" s="256">
        <v>8831404</v>
      </c>
      <c r="C761" s="256">
        <v>883140401</v>
      </c>
      <c r="D761" s="256" t="s">
        <v>538</v>
      </c>
      <c r="E761" s="256" t="s">
        <v>539</v>
      </c>
      <c r="F761" s="256" t="s">
        <v>820</v>
      </c>
      <c r="G761" s="256" t="s">
        <v>106</v>
      </c>
      <c r="H761" s="256" t="s">
        <v>755</v>
      </c>
      <c r="I761" s="257">
        <v>2441526</v>
      </c>
      <c r="J761" s="257">
        <v>0</v>
      </c>
      <c r="K761" s="257">
        <v>0</v>
      </c>
      <c r="L761" s="257">
        <v>0</v>
      </c>
      <c r="M761" s="257">
        <v>0</v>
      </c>
      <c r="N761" s="257">
        <v>0</v>
      </c>
      <c r="O761" s="257">
        <v>2441526</v>
      </c>
      <c r="P761" s="257">
        <v>0</v>
      </c>
      <c r="Q761" s="258">
        <v>0</v>
      </c>
    </row>
    <row r="762" spans="1:17">
      <c r="A762" s="256">
        <v>1</v>
      </c>
      <c r="B762" s="256">
        <v>8831404</v>
      </c>
      <c r="C762" s="256">
        <v>883140402</v>
      </c>
      <c r="D762" s="256" t="s">
        <v>538</v>
      </c>
      <c r="E762" s="256" t="s">
        <v>539</v>
      </c>
      <c r="F762" s="256" t="s">
        <v>820</v>
      </c>
      <c r="G762" s="256" t="s">
        <v>106</v>
      </c>
      <c r="H762" s="256" t="s">
        <v>756</v>
      </c>
      <c r="I762" s="257">
        <v>20796</v>
      </c>
      <c r="J762" s="257">
        <v>0</v>
      </c>
      <c r="K762" s="257">
        <v>0</v>
      </c>
      <c r="L762" s="257">
        <v>0</v>
      </c>
      <c r="M762" s="257">
        <v>0</v>
      </c>
      <c r="N762" s="257">
        <v>0</v>
      </c>
      <c r="O762" s="257">
        <v>0</v>
      </c>
      <c r="P762" s="257">
        <v>20796</v>
      </c>
      <c r="Q762" s="258">
        <v>0</v>
      </c>
    </row>
    <row r="763" spans="1:17">
      <c r="A763" s="256">
        <v>1</v>
      </c>
      <c r="B763" s="256">
        <v>8831404</v>
      </c>
      <c r="C763" s="256">
        <v>883140403</v>
      </c>
      <c r="D763" s="256" t="s">
        <v>538</v>
      </c>
      <c r="E763" s="256" t="s">
        <v>539</v>
      </c>
      <c r="F763" s="256" t="s">
        <v>820</v>
      </c>
      <c r="G763" s="256" t="s">
        <v>106</v>
      </c>
      <c r="H763" s="256" t="s">
        <v>757</v>
      </c>
      <c r="I763" s="257">
        <v>0</v>
      </c>
      <c r="J763" s="257">
        <v>0</v>
      </c>
      <c r="K763" s="257">
        <v>0</v>
      </c>
      <c r="L763" s="257">
        <v>0</v>
      </c>
      <c r="M763" s="257">
        <v>0</v>
      </c>
      <c r="N763" s="257">
        <v>0</v>
      </c>
      <c r="O763" s="257">
        <v>0</v>
      </c>
      <c r="P763" s="257">
        <v>0</v>
      </c>
      <c r="Q763" s="258">
        <v>0</v>
      </c>
    </row>
    <row r="764" spans="1:17">
      <c r="A764" s="256">
        <v>1</v>
      </c>
      <c r="B764" s="256">
        <v>8831404</v>
      </c>
      <c r="C764" s="256">
        <v>883140405</v>
      </c>
      <c r="D764" s="256" t="s">
        <v>538</v>
      </c>
      <c r="E764" s="256" t="s">
        <v>539</v>
      </c>
      <c r="F764" s="256" t="s">
        <v>820</v>
      </c>
      <c r="G764" s="256" t="s">
        <v>106</v>
      </c>
      <c r="H764" s="256" t="s">
        <v>758</v>
      </c>
      <c r="I764" s="257">
        <v>0</v>
      </c>
      <c r="J764" s="257">
        <v>0</v>
      </c>
      <c r="K764" s="257">
        <v>0</v>
      </c>
      <c r="L764" s="257">
        <v>0</v>
      </c>
      <c r="M764" s="257">
        <v>0</v>
      </c>
      <c r="N764" s="257">
        <v>0</v>
      </c>
      <c r="O764" s="257">
        <v>0</v>
      </c>
      <c r="P764" s="257">
        <v>0</v>
      </c>
      <c r="Q764" s="258">
        <v>0</v>
      </c>
    </row>
    <row r="765" spans="1:17">
      <c r="A765" s="256">
        <v>1</v>
      </c>
      <c r="B765" s="256">
        <v>8831404</v>
      </c>
      <c r="C765" s="256">
        <v>883140406</v>
      </c>
      <c r="D765" s="256" t="s">
        <v>538</v>
      </c>
      <c r="E765" s="256" t="s">
        <v>539</v>
      </c>
      <c r="F765" s="256" t="s">
        <v>820</v>
      </c>
      <c r="G765" s="256" t="s">
        <v>106</v>
      </c>
      <c r="H765" s="256" t="s">
        <v>759</v>
      </c>
      <c r="I765" s="257">
        <v>56524</v>
      </c>
      <c r="J765" s="257">
        <v>0</v>
      </c>
      <c r="K765" s="257">
        <v>0</v>
      </c>
      <c r="L765" s="257">
        <v>0</v>
      </c>
      <c r="M765" s="257">
        <v>0</v>
      </c>
      <c r="N765" s="257">
        <v>0</v>
      </c>
      <c r="O765" s="257">
        <v>56524</v>
      </c>
      <c r="P765" s="257">
        <v>0</v>
      </c>
      <c r="Q765" s="258">
        <v>0</v>
      </c>
    </row>
    <row r="766" spans="1:17">
      <c r="A766" s="256">
        <v>1</v>
      </c>
      <c r="B766" s="256">
        <v>8831404</v>
      </c>
      <c r="C766" s="256">
        <v>883140407</v>
      </c>
      <c r="D766" s="256" t="s">
        <v>538</v>
      </c>
      <c r="E766" s="256" t="s">
        <v>539</v>
      </c>
      <c r="F766" s="256" t="s">
        <v>820</v>
      </c>
      <c r="G766" s="256" t="s">
        <v>106</v>
      </c>
      <c r="H766" s="256" t="s">
        <v>760</v>
      </c>
      <c r="I766" s="257">
        <v>506636</v>
      </c>
      <c r="J766" s="257">
        <v>0</v>
      </c>
      <c r="K766" s="257">
        <v>0</v>
      </c>
      <c r="L766" s="257">
        <v>0</v>
      </c>
      <c r="M766" s="257">
        <v>0</v>
      </c>
      <c r="N766" s="257">
        <v>0</v>
      </c>
      <c r="O766" s="257">
        <v>506636</v>
      </c>
      <c r="P766" s="257">
        <v>0</v>
      </c>
      <c r="Q766" s="258">
        <v>0</v>
      </c>
    </row>
    <row r="767" spans="1:17">
      <c r="A767" s="256">
        <v>1</v>
      </c>
      <c r="B767" s="256">
        <v>8831404</v>
      </c>
      <c r="C767" s="256">
        <v>883140408</v>
      </c>
      <c r="D767" s="256" t="s">
        <v>538</v>
      </c>
      <c r="E767" s="256" t="s">
        <v>539</v>
      </c>
      <c r="F767" s="256" t="s">
        <v>820</v>
      </c>
      <c r="G767" s="256" t="s">
        <v>106</v>
      </c>
      <c r="H767" s="256" t="s">
        <v>761</v>
      </c>
      <c r="I767" s="257">
        <v>20477</v>
      </c>
      <c r="J767" s="257">
        <v>0</v>
      </c>
      <c r="K767" s="257">
        <v>0</v>
      </c>
      <c r="L767" s="257">
        <v>0</v>
      </c>
      <c r="M767" s="257">
        <v>0</v>
      </c>
      <c r="N767" s="257">
        <v>0</v>
      </c>
      <c r="O767" s="257">
        <v>20477</v>
      </c>
      <c r="P767" s="257">
        <v>0</v>
      </c>
      <c r="Q767" s="258">
        <v>0</v>
      </c>
    </row>
    <row r="768" spans="1:17">
      <c r="A768" s="256">
        <v>1</v>
      </c>
      <c r="B768" s="256">
        <v>8831404</v>
      </c>
      <c r="C768" s="256">
        <v>883140410</v>
      </c>
      <c r="D768" s="256" t="s">
        <v>538</v>
      </c>
      <c r="E768" s="256" t="s">
        <v>539</v>
      </c>
      <c r="F768" s="256" t="s">
        <v>820</v>
      </c>
      <c r="G768" s="256" t="s">
        <v>106</v>
      </c>
      <c r="H768" s="256" t="s">
        <v>762</v>
      </c>
      <c r="I768" s="257">
        <v>1151322</v>
      </c>
      <c r="J768" s="257">
        <v>0</v>
      </c>
      <c r="K768" s="257">
        <v>0</v>
      </c>
      <c r="L768" s="257">
        <v>0</v>
      </c>
      <c r="M768" s="257">
        <v>0</v>
      </c>
      <c r="N768" s="257">
        <v>0</v>
      </c>
      <c r="O768" s="257">
        <v>1151322</v>
      </c>
      <c r="P768" s="257">
        <v>0</v>
      </c>
      <c r="Q768" s="258">
        <v>0</v>
      </c>
    </row>
    <row r="769" spans="1:17">
      <c r="A769" s="256">
        <v>1</v>
      </c>
      <c r="B769" s="256">
        <v>8831404</v>
      </c>
      <c r="C769" s="256">
        <v>883140411</v>
      </c>
      <c r="D769" s="256" t="s">
        <v>538</v>
      </c>
      <c r="E769" s="256" t="s">
        <v>539</v>
      </c>
      <c r="F769" s="256" t="s">
        <v>820</v>
      </c>
      <c r="G769" s="256" t="s">
        <v>106</v>
      </c>
      <c r="H769" s="256" t="s">
        <v>763</v>
      </c>
      <c r="I769" s="257">
        <v>8208</v>
      </c>
      <c r="J769" s="257">
        <v>0</v>
      </c>
      <c r="K769" s="257">
        <v>0</v>
      </c>
      <c r="L769" s="257">
        <v>0</v>
      </c>
      <c r="M769" s="257">
        <v>0</v>
      </c>
      <c r="N769" s="257">
        <v>0</v>
      </c>
      <c r="O769" s="257">
        <v>8208</v>
      </c>
      <c r="P769" s="257">
        <v>0</v>
      </c>
      <c r="Q769" s="258">
        <v>0</v>
      </c>
    </row>
    <row r="770" spans="1:17">
      <c r="A770" s="256">
        <v>1</v>
      </c>
      <c r="B770" s="256">
        <v>8831405</v>
      </c>
      <c r="C770" s="256">
        <v>883140500</v>
      </c>
      <c r="D770" s="256" t="s">
        <v>538</v>
      </c>
      <c r="E770" s="256" t="s">
        <v>539</v>
      </c>
      <c r="F770" s="256" t="s">
        <v>820</v>
      </c>
      <c r="G770" s="256" t="s">
        <v>104</v>
      </c>
      <c r="H770" s="256"/>
      <c r="I770" s="257">
        <v>0</v>
      </c>
      <c r="J770" s="257">
        <v>0</v>
      </c>
      <c r="K770" s="257">
        <v>0</v>
      </c>
      <c r="L770" s="257">
        <v>0</v>
      </c>
      <c r="M770" s="257">
        <v>0</v>
      </c>
      <c r="N770" s="257">
        <v>0</v>
      </c>
      <c r="O770" s="257">
        <v>0</v>
      </c>
      <c r="P770" s="257">
        <v>0</v>
      </c>
      <c r="Q770" s="258">
        <v>0</v>
      </c>
    </row>
    <row r="771" spans="1:17">
      <c r="A771" s="256">
        <v>1</v>
      </c>
      <c r="B771" s="256">
        <v>8831407</v>
      </c>
      <c r="C771" s="256">
        <v>883140700</v>
      </c>
      <c r="D771" s="256" t="s">
        <v>538</v>
      </c>
      <c r="E771" s="256" t="s">
        <v>539</v>
      </c>
      <c r="F771" s="256" t="s">
        <v>820</v>
      </c>
      <c r="G771" s="256" t="s">
        <v>102</v>
      </c>
      <c r="H771" s="256"/>
      <c r="I771" s="257">
        <v>0</v>
      </c>
      <c r="J771" s="257">
        <v>0</v>
      </c>
      <c r="K771" s="257">
        <v>0</v>
      </c>
      <c r="L771" s="257">
        <v>0</v>
      </c>
      <c r="M771" s="257">
        <v>0</v>
      </c>
      <c r="N771" s="257">
        <v>0</v>
      </c>
      <c r="O771" s="257">
        <v>0</v>
      </c>
      <c r="P771" s="257">
        <v>0</v>
      </c>
      <c r="Q771" s="258">
        <v>0</v>
      </c>
    </row>
    <row r="772" spans="1:17">
      <c r="A772" s="256">
        <v>1</v>
      </c>
      <c r="B772" s="256">
        <v>8831408</v>
      </c>
      <c r="C772" s="256">
        <v>883140800</v>
      </c>
      <c r="D772" s="256" t="s">
        <v>538</v>
      </c>
      <c r="E772" s="256" t="s">
        <v>539</v>
      </c>
      <c r="F772" s="256" t="s">
        <v>820</v>
      </c>
      <c r="G772" s="256" t="s">
        <v>100</v>
      </c>
      <c r="H772" s="256"/>
      <c r="I772" s="257">
        <v>0</v>
      </c>
      <c r="J772" s="257">
        <v>0</v>
      </c>
      <c r="K772" s="257">
        <v>0</v>
      </c>
      <c r="L772" s="257">
        <v>0</v>
      </c>
      <c r="M772" s="257">
        <v>0</v>
      </c>
      <c r="N772" s="257">
        <v>0</v>
      </c>
      <c r="O772" s="257">
        <v>0</v>
      </c>
      <c r="P772" s="257">
        <v>0</v>
      </c>
      <c r="Q772" s="258">
        <v>0</v>
      </c>
    </row>
    <row r="773" spans="1:17">
      <c r="A773" s="256">
        <v>1</v>
      </c>
      <c r="B773" s="256">
        <v>8831410</v>
      </c>
      <c r="C773" s="256">
        <v>883141001</v>
      </c>
      <c r="D773" s="256" t="s">
        <v>538</v>
      </c>
      <c r="E773" s="256" t="s">
        <v>539</v>
      </c>
      <c r="F773" s="256" t="s">
        <v>820</v>
      </c>
      <c r="G773" s="256" t="s">
        <v>764</v>
      </c>
      <c r="H773" s="256" t="s">
        <v>98</v>
      </c>
      <c r="I773" s="257">
        <v>0</v>
      </c>
      <c r="J773" s="257">
        <v>0</v>
      </c>
      <c r="K773" s="257">
        <v>0</v>
      </c>
      <c r="L773" s="257">
        <v>0</v>
      </c>
      <c r="M773" s="257">
        <v>0</v>
      </c>
      <c r="N773" s="257">
        <v>0</v>
      </c>
      <c r="O773" s="257">
        <v>0</v>
      </c>
      <c r="P773" s="257">
        <v>0</v>
      </c>
      <c r="Q773" s="258">
        <v>0</v>
      </c>
    </row>
    <row r="774" spans="1:17">
      <c r="A774" s="256">
        <v>1</v>
      </c>
      <c r="B774" s="256">
        <v>8831410</v>
      </c>
      <c r="C774" s="256">
        <v>883141002</v>
      </c>
      <c r="D774" s="256" t="s">
        <v>538</v>
      </c>
      <c r="E774" s="256" t="s">
        <v>539</v>
      </c>
      <c r="F774" s="256" t="s">
        <v>820</v>
      </c>
      <c r="G774" s="256" t="s">
        <v>764</v>
      </c>
      <c r="H774" s="256" t="s">
        <v>95</v>
      </c>
      <c r="I774" s="257">
        <v>0</v>
      </c>
      <c r="J774" s="257">
        <v>0</v>
      </c>
      <c r="K774" s="257">
        <v>0</v>
      </c>
      <c r="L774" s="257">
        <v>0</v>
      </c>
      <c r="M774" s="257">
        <v>0</v>
      </c>
      <c r="N774" s="257">
        <v>0</v>
      </c>
      <c r="O774" s="257">
        <v>0</v>
      </c>
      <c r="P774" s="257">
        <v>0</v>
      </c>
      <c r="Q774" s="258">
        <v>0</v>
      </c>
    </row>
    <row r="775" spans="1:17">
      <c r="A775" s="236">
        <v>1</v>
      </c>
      <c r="B775" s="236">
        <v>8831410</v>
      </c>
      <c r="C775" s="236">
        <v>883141003</v>
      </c>
      <c r="D775" s="236" t="s">
        <v>538</v>
      </c>
      <c r="E775" s="236" t="s">
        <v>539</v>
      </c>
      <c r="F775" s="236" t="s">
        <v>820</v>
      </c>
      <c r="G775" s="236" t="s">
        <v>764</v>
      </c>
      <c r="H775" s="236" t="s">
        <v>765</v>
      </c>
      <c r="I775" s="257">
        <v>258110</v>
      </c>
      <c r="J775" s="257">
        <v>0</v>
      </c>
      <c r="K775" s="257">
        <v>0</v>
      </c>
      <c r="L775" s="257">
        <v>0</v>
      </c>
      <c r="M775" s="257">
        <v>0</v>
      </c>
      <c r="N775" s="257">
        <v>258110</v>
      </c>
      <c r="O775" s="257">
        <v>0</v>
      </c>
      <c r="P775" s="257">
        <v>0</v>
      </c>
      <c r="Q775" s="258">
        <v>0</v>
      </c>
    </row>
    <row r="776" spans="1:17">
      <c r="A776" s="256">
        <v>1</v>
      </c>
      <c r="B776" s="256">
        <v>8831413</v>
      </c>
      <c r="C776" s="256">
        <v>883141300</v>
      </c>
      <c r="D776" s="256" t="s">
        <v>538</v>
      </c>
      <c r="E776" s="256" t="s">
        <v>539</v>
      </c>
      <c r="F776" s="256" t="s">
        <v>820</v>
      </c>
      <c r="G776" s="256" t="s">
        <v>93</v>
      </c>
      <c r="H776" s="256"/>
      <c r="I776" s="257">
        <v>127781</v>
      </c>
      <c r="J776" s="257">
        <v>0</v>
      </c>
      <c r="K776" s="257">
        <v>0</v>
      </c>
      <c r="L776" s="257">
        <v>0</v>
      </c>
      <c r="M776" s="257">
        <v>0</v>
      </c>
      <c r="N776" s="257">
        <v>127781</v>
      </c>
      <c r="O776" s="257">
        <v>0</v>
      </c>
      <c r="P776" s="257">
        <v>0</v>
      </c>
      <c r="Q776" s="258">
        <v>0</v>
      </c>
    </row>
    <row r="777" spans="1:17">
      <c r="A777" s="256">
        <v>1</v>
      </c>
      <c r="B777" s="256">
        <v>8831414</v>
      </c>
      <c r="C777" s="256">
        <v>883141400</v>
      </c>
      <c r="D777" s="256" t="s">
        <v>538</v>
      </c>
      <c r="E777" s="256" t="s">
        <v>539</v>
      </c>
      <c r="F777" s="256" t="s">
        <v>820</v>
      </c>
      <c r="G777" s="256" t="s">
        <v>91</v>
      </c>
      <c r="H777" s="256"/>
      <c r="I777" s="257">
        <v>31107</v>
      </c>
      <c r="J777" s="257">
        <v>0</v>
      </c>
      <c r="K777" s="257">
        <v>0</v>
      </c>
      <c r="L777" s="257">
        <v>0</v>
      </c>
      <c r="M777" s="257">
        <v>0</v>
      </c>
      <c r="N777" s="257">
        <v>31107</v>
      </c>
      <c r="O777" s="257">
        <v>0</v>
      </c>
      <c r="P777" s="257">
        <v>0</v>
      </c>
      <c r="Q777" s="258">
        <v>0</v>
      </c>
    </row>
    <row r="778" spans="1:17">
      <c r="A778" s="256">
        <v>1</v>
      </c>
      <c r="B778" s="256">
        <v>8831415</v>
      </c>
      <c r="C778" s="256">
        <v>883141500</v>
      </c>
      <c r="D778" s="256" t="s">
        <v>538</v>
      </c>
      <c r="E778" s="256" t="s">
        <v>539</v>
      </c>
      <c r="F778" s="256" t="s">
        <v>820</v>
      </c>
      <c r="G778" s="256" t="s">
        <v>89</v>
      </c>
      <c r="H778" s="256"/>
      <c r="I778" s="257">
        <v>0</v>
      </c>
      <c r="J778" s="257">
        <v>0</v>
      </c>
      <c r="K778" s="257">
        <v>0</v>
      </c>
      <c r="L778" s="257">
        <v>0</v>
      </c>
      <c r="M778" s="257">
        <v>0</v>
      </c>
      <c r="N778" s="257">
        <v>0</v>
      </c>
      <c r="O778" s="257">
        <v>0</v>
      </c>
      <c r="P778" s="257">
        <v>0</v>
      </c>
      <c r="Q778" s="258">
        <v>0</v>
      </c>
    </row>
    <row r="779" spans="1:17">
      <c r="A779" s="256">
        <v>1</v>
      </c>
      <c r="B779" s="256">
        <v>8831417</v>
      </c>
      <c r="C779" s="256">
        <v>883141700</v>
      </c>
      <c r="D779" s="256" t="s">
        <v>538</v>
      </c>
      <c r="E779" s="256" t="s">
        <v>539</v>
      </c>
      <c r="F779" s="256" t="s">
        <v>820</v>
      </c>
      <c r="G779" s="256" t="s">
        <v>87</v>
      </c>
      <c r="H779" s="256"/>
      <c r="I779" s="257">
        <v>615774</v>
      </c>
      <c r="J779" s="257">
        <v>0</v>
      </c>
      <c r="K779" s="257">
        <v>0</v>
      </c>
      <c r="L779" s="257">
        <v>0</v>
      </c>
      <c r="M779" s="257">
        <v>0</v>
      </c>
      <c r="N779" s="257">
        <v>615774</v>
      </c>
      <c r="O779" s="257">
        <v>0</v>
      </c>
      <c r="P779" s="257">
        <v>0</v>
      </c>
      <c r="Q779" s="258">
        <v>0</v>
      </c>
    </row>
    <row r="780" spans="1:17">
      <c r="A780" s="256">
        <v>1</v>
      </c>
      <c r="B780" s="256">
        <v>8831419</v>
      </c>
      <c r="C780" s="256">
        <v>883141900</v>
      </c>
      <c r="D780" s="256" t="s">
        <v>538</v>
      </c>
      <c r="E780" s="256" t="s">
        <v>539</v>
      </c>
      <c r="F780" s="256" t="s">
        <v>820</v>
      </c>
      <c r="G780" s="256" t="s">
        <v>85</v>
      </c>
      <c r="H780" s="256"/>
      <c r="I780" s="257">
        <v>1406</v>
      </c>
      <c r="J780" s="257">
        <v>0</v>
      </c>
      <c r="K780" s="257">
        <v>0</v>
      </c>
      <c r="L780" s="257">
        <v>0</v>
      </c>
      <c r="M780" s="257">
        <v>0</v>
      </c>
      <c r="N780" s="257">
        <v>1406</v>
      </c>
      <c r="O780" s="257">
        <v>0</v>
      </c>
      <c r="P780" s="257">
        <v>0</v>
      </c>
      <c r="Q780" s="258">
        <v>0</v>
      </c>
    </row>
    <row r="781" spans="1:17">
      <c r="A781" s="256">
        <v>1</v>
      </c>
      <c r="B781" s="256">
        <v>8831420</v>
      </c>
      <c r="C781" s="256">
        <v>883142000</v>
      </c>
      <c r="D781" s="256" t="s">
        <v>538</v>
      </c>
      <c r="E781" s="256" t="s">
        <v>539</v>
      </c>
      <c r="F781" s="256" t="s">
        <v>820</v>
      </c>
      <c r="G781" s="256" t="s">
        <v>83</v>
      </c>
      <c r="H781" s="256"/>
      <c r="I781" s="257">
        <v>0</v>
      </c>
      <c r="J781" s="257">
        <v>0</v>
      </c>
      <c r="K781" s="257">
        <v>0</v>
      </c>
      <c r="L781" s="257">
        <v>0</v>
      </c>
      <c r="M781" s="257">
        <v>0</v>
      </c>
      <c r="N781" s="257">
        <v>0</v>
      </c>
      <c r="O781" s="257">
        <v>0</v>
      </c>
      <c r="P781" s="257">
        <v>0</v>
      </c>
      <c r="Q781" s="258">
        <v>0</v>
      </c>
    </row>
    <row r="782" spans="1:17">
      <c r="A782" s="256">
        <v>1</v>
      </c>
      <c r="B782" s="256">
        <v>8831421</v>
      </c>
      <c r="C782" s="256">
        <v>883142100</v>
      </c>
      <c r="D782" s="256" t="s">
        <v>538</v>
      </c>
      <c r="E782" s="256" t="s">
        <v>539</v>
      </c>
      <c r="F782" s="256" t="s">
        <v>820</v>
      </c>
      <c r="G782" s="256" t="s">
        <v>81</v>
      </c>
      <c r="H782" s="256"/>
      <c r="I782" s="257">
        <v>991166277</v>
      </c>
      <c r="J782" s="257">
        <v>0</v>
      </c>
      <c r="K782" s="257">
        <v>0</v>
      </c>
      <c r="L782" s="257">
        <v>0</v>
      </c>
      <c r="M782" s="257">
        <v>0</v>
      </c>
      <c r="N782" s="257">
        <v>991166277</v>
      </c>
      <c r="O782" s="257">
        <v>0</v>
      </c>
      <c r="P782" s="257">
        <v>0</v>
      </c>
      <c r="Q782" s="258">
        <v>0</v>
      </c>
    </row>
    <row r="783" spans="1:17">
      <c r="A783" s="256">
        <v>1</v>
      </c>
      <c r="B783" s="256">
        <v>8831423</v>
      </c>
      <c r="C783" s="256">
        <v>883142300</v>
      </c>
      <c r="D783" s="256" t="s">
        <v>538</v>
      </c>
      <c r="E783" s="256" t="s">
        <v>539</v>
      </c>
      <c r="F783" s="256" t="s">
        <v>820</v>
      </c>
      <c r="G783" s="256" t="s">
        <v>79</v>
      </c>
      <c r="H783" s="256"/>
      <c r="I783" s="257">
        <v>0</v>
      </c>
      <c r="J783" s="257">
        <v>0</v>
      </c>
      <c r="K783" s="257">
        <v>0</v>
      </c>
      <c r="L783" s="257">
        <v>0</v>
      </c>
      <c r="M783" s="257">
        <v>0</v>
      </c>
      <c r="N783" s="257">
        <v>0</v>
      </c>
      <c r="O783" s="257">
        <v>0</v>
      </c>
      <c r="P783" s="257">
        <v>0</v>
      </c>
      <c r="Q783" s="258">
        <v>0</v>
      </c>
    </row>
    <row r="784" spans="1:17">
      <c r="A784" s="256">
        <v>1</v>
      </c>
      <c r="B784" s="256">
        <v>8831424</v>
      </c>
      <c r="C784" s="256">
        <v>883142400</v>
      </c>
      <c r="D784" s="256" t="s">
        <v>538</v>
      </c>
      <c r="E784" s="256" t="s">
        <v>539</v>
      </c>
      <c r="F784" s="256" t="s">
        <v>820</v>
      </c>
      <c r="G784" s="256" t="s">
        <v>77</v>
      </c>
      <c r="H784" s="256"/>
      <c r="I784" s="257">
        <v>0</v>
      </c>
      <c r="J784" s="257">
        <v>0</v>
      </c>
      <c r="K784" s="257">
        <v>0</v>
      </c>
      <c r="L784" s="257">
        <v>0</v>
      </c>
      <c r="M784" s="257">
        <v>0</v>
      </c>
      <c r="N784" s="257">
        <v>0</v>
      </c>
      <c r="O784" s="257">
        <v>0</v>
      </c>
      <c r="P784" s="257">
        <v>0</v>
      </c>
      <c r="Q784" s="258">
        <v>0</v>
      </c>
    </row>
    <row r="785" spans="1:17">
      <c r="A785" s="256">
        <v>1</v>
      </c>
      <c r="B785" s="256">
        <v>8831425</v>
      </c>
      <c r="C785" s="256">
        <v>883142500</v>
      </c>
      <c r="D785" s="256" t="s">
        <v>538</v>
      </c>
      <c r="E785" s="256" t="s">
        <v>539</v>
      </c>
      <c r="F785" s="256" t="s">
        <v>820</v>
      </c>
      <c r="G785" s="256" t="s">
        <v>75</v>
      </c>
      <c r="H785" s="256"/>
      <c r="I785" s="257">
        <v>0</v>
      </c>
      <c r="J785" s="257">
        <v>0</v>
      </c>
      <c r="K785" s="257">
        <v>0</v>
      </c>
      <c r="L785" s="257">
        <v>0</v>
      </c>
      <c r="M785" s="257">
        <v>0</v>
      </c>
      <c r="N785" s="257">
        <v>0</v>
      </c>
      <c r="O785" s="257">
        <v>0</v>
      </c>
      <c r="P785" s="257">
        <v>0</v>
      </c>
      <c r="Q785" s="258">
        <v>0</v>
      </c>
    </row>
    <row r="786" spans="1:17">
      <c r="A786" s="256">
        <v>1</v>
      </c>
      <c r="B786" s="256">
        <v>8831428</v>
      </c>
      <c r="C786" s="256">
        <v>883142866</v>
      </c>
      <c r="D786" s="256" t="s">
        <v>538</v>
      </c>
      <c r="E786" s="256" t="s">
        <v>539</v>
      </c>
      <c r="F786" s="256" t="s">
        <v>820</v>
      </c>
      <c r="G786" s="256" t="s">
        <v>811</v>
      </c>
      <c r="H786" s="256" t="s">
        <v>812</v>
      </c>
      <c r="I786" s="257">
        <v>0</v>
      </c>
      <c r="J786" s="257">
        <v>0</v>
      </c>
      <c r="K786" s="257">
        <v>0</v>
      </c>
      <c r="L786" s="257">
        <v>0</v>
      </c>
      <c r="M786" s="257">
        <v>0</v>
      </c>
      <c r="N786" s="257">
        <v>0</v>
      </c>
      <c r="O786" s="257">
        <v>0</v>
      </c>
      <c r="P786" s="257">
        <v>0</v>
      </c>
      <c r="Q786" s="258">
        <v>0</v>
      </c>
    </row>
    <row r="787" spans="1:17">
      <c r="A787" s="256">
        <v>1</v>
      </c>
      <c r="B787" s="256">
        <v>8831428</v>
      </c>
      <c r="C787" s="256">
        <v>883142867</v>
      </c>
      <c r="D787" s="256" t="s">
        <v>538</v>
      </c>
      <c r="E787" s="256" t="s">
        <v>539</v>
      </c>
      <c r="F787" s="256" t="s">
        <v>820</v>
      </c>
      <c r="G787" s="256" t="s">
        <v>811</v>
      </c>
      <c r="H787" s="256" t="s">
        <v>813</v>
      </c>
      <c r="I787" s="257">
        <v>0</v>
      </c>
      <c r="J787" s="257">
        <v>0</v>
      </c>
      <c r="K787" s="257">
        <v>0</v>
      </c>
      <c r="L787" s="257">
        <v>0</v>
      </c>
      <c r="M787" s="257">
        <v>0</v>
      </c>
      <c r="N787" s="257">
        <v>0</v>
      </c>
      <c r="O787" s="257">
        <v>0</v>
      </c>
      <c r="P787" s="257">
        <v>0</v>
      </c>
      <c r="Q787" s="258">
        <v>0</v>
      </c>
    </row>
    <row r="788" spans="1:17">
      <c r="A788" s="256">
        <v>1</v>
      </c>
      <c r="B788" s="256">
        <v>8831429</v>
      </c>
      <c r="C788" s="256">
        <v>883142900</v>
      </c>
      <c r="D788" s="256" t="s">
        <v>538</v>
      </c>
      <c r="E788" s="256" t="s">
        <v>539</v>
      </c>
      <c r="F788" s="256" t="s">
        <v>820</v>
      </c>
      <c r="G788" s="256" t="s">
        <v>66</v>
      </c>
      <c r="H788" s="256"/>
      <c r="I788" s="257">
        <v>0</v>
      </c>
      <c r="J788" s="257">
        <v>0</v>
      </c>
      <c r="K788" s="257">
        <v>0</v>
      </c>
      <c r="L788" s="257">
        <v>0</v>
      </c>
      <c r="M788" s="257">
        <v>0</v>
      </c>
      <c r="N788" s="257">
        <v>0</v>
      </c>
      <c r="O788" s="257">
        <v>0</v>
      </c>
      <c r="P788" s="257">
        <v>0</v>
      </c>
      <c r="Q788" s="258">
        <v>0</v>
      </c>
    </row>
    <row r="789" spans="1:17">
      <c r="A789" s="256">
        <v>1</v>
      </c>
      <c r="B789" s="256">
        <v>8831430</v>
      </c>
      <c r="C789" s="256">
        <v>883143000</v>
      </c>
      <c r="D789" s="256" t="s">
        <v>538</v>
      </c>
      <c r="E789" s="256" t="s">
        <v>539</v>
      </c>
      <c r="F789" s="256" t="s">
        <v>820</v>
      </c>
      <c r="G789" s="256" t="s">
        <v>64</v>
      </c>
      <c r="H789" s="256"/>
      <c r="I789" s="257">
        <v>0</v>
      </c>
      <c r="J789" s="257">
        <v>0</v>
      </c>
      <c r="K789" s="257">
        <v>0</v>
      </c>
      <c r="L789" s="257">
        <v>0</v>
      </c>
      <c r="M789" s="257">
        <v>0</v>
      </c>
      <c r="N789" s="257">
        <v>0</v>
      </c>
      <c r="O789" s="257">
        <v>0</v>
      </c>
      <c r="P789" s="257">
        <v>0</v>
      </c>
      <c r="Q789" s="258">
        <v>0</v>
      </c>
    </row>
    <row r="790" spans="1:17">
      <c r="A790" s="256">
        <v>1</v>
      </c>
      <c r="B790" s="256">
        <v>8831431</v>
      </c>
      <c r="C790" s="256">
        <v>883143100</v>
      </c>
      <c r="D790" s="256" t="s">
        <v>538</v>
      </c>
      <c r="E790" s="256" t="s">
        <v>539</v>
      </c>
      <c r="F790" s="256" t="s">
        <v>820</v>
      </c>
      <c r="G790" s="256" t="s">
        <v>62</v>
      </c>
      <c r="H790" s="256"/>
      <c r="I790" s="257">
        <v>0</v>
      </c>
      <c r="J790" s="257">
        <v>0</v>
      </c>
      <c r="K790" s="257">
        <v>0</v>
      </c>
      <c r="L790" s="257">
        <v>0</v>
      </c>
      <c r="M790" s="257">
        <v>0</v>
      </c>
      <c r="N790" s="257">
        <v>0</v>
      </c>
      <c r="O790" s="257">
        <v>0</v>
      </c>
      <c r="P790" s="257">
        <v>0</v>
      </c>
      <c r="Q790" s="258">
        <v>0</v>
      </c>
    </row>
    <row r="791" spans="1:17">
      <c r="A791" s="256">
        <v>1</v>
      </c>
      <c r="B791" s="256">
        <v>8831437</v>
      </c>
      <c r="C791" s="256">
        <v>883143700</v>
      </c>
      <c r="D791" s="256" t="s">
        <v>538</v>
      </c>
      <c r="E791" s="256" t="s">
        <v>539</v>
      </c>
      <c r="F791" s="256" t="s">
        <v>820</v>
      </c>
      <c r="G791" s="256" t="s">
        <v>60</v>
      </c>
      <c r="H791" s="256"/>
      <c r="I791" s="257">
        <v>0</v>
      </c>
      <c r="J791" s="257">
        <v>0</v>
      </c>
      <c r="K791" s="257">
        <v>0</v>
      </c>
      <c r="L791" s="257">
        <v>0</v>
      </c>
      <c r="M791" s="257">
        <v>0</v>
      </c>
      <c r="N791" s="257">
        <v>0</v>
      </c>
      <c r="O791" s="257">
        <v>0</v>
      </c>
      <c r="P791" s="257">
        <v>0</v>
      </c>
      <c r="Q791" s="258">
        <v>0</v>
      </c>
    </row>
    <row r="792" spans="1:17">
      <c r="A792" s="256">
        <v>1</v>
      </c>
      <c r="B792" s="256">
        <v>8831439</v>
      </c>
      <c r="C792" s="256">
        <v>883143900</v>
      </c>
      <c r="D792" s="256" t="s">
        <v>538</v>
      </c>
      <c r="E792" s="256" t="s">
        <v>539</v>
      </c>
      <c r="F792" s="256" t="s">
        <v>820</v>
      </c>
      <c r="G792" s="256" t="s">
        <v>58</v>
      </c>
      <c r="H792" s="256"/>
      <c r="I792" s="257">
        <v>10540</v>
      </c>
      <c r="J792" s="257">
        <v>0</v>
      </c>
      <c r="K792" s="257">
        <v>0</v>
      </c>
      <c r="L792" s="257">
        <v>0</v>
      </c>
      <c r="M792" s="257">
        <v>0</v>
      </c>
      <c r="N792" s="257">
        <v>0</v>
      </c>
      <c r="O792" s="257">
        <v>10540</v>
      </c>
      <c r="P792" s="257">
        <v>0</v>
      </c>
      <c r="Q792" s="258">
        <v>0</v>
      </c>
    </row>
    <row r="793" spans="1:17">
      <c r="A793" s="256">
        <v>1</v>
      </c>
      <c r="B793" s="256">
        <v>8831440</v>
      </c>
      <c r="C793" s="256">
        <v>883144000</v>
      </c>
      <c r="D793" s="256" t="s">
        <v>538</v>
      </c>
      <c r="E793" s="256" t="s">
        <v>539</v>
      </c>
      <c r="F793" s="256" t="s">
        <v>820</v>
      </c>
      <c r="G793" s="256" t="s">
        <v>56</v>
      </c>
      <c r="H793" s="256"/>
      <c r="I793" s="257">
        <v>0</v>
      </c>
      <c r="J793" s="257">
        <v>0</v>
      </c>
      <c r="K793" s="257">
        <v>0</v>
      </c>
      <c r="L793" s="257">
        <v>0</v>
      </c>
      <c r="M793" s="257">
        <v>0</v>
      </c>
      <c r="N793" s="257">
        <v>0</v>
      </c>
      <c r="O793" s="257">
        <v>0</v>
      </c>
      <c r="P793" s="257">
        <v>0</v>
      </c>
      <c r="Q793" s="258">
        <v>0</v>
      </c>
    </row>
    <row r="794" spans="1:17">
      <c r="A794" s="256">
        <v>1</v>
      </c>
      <c r="B794" s="256">
        <v>8831441</v>
      </c>
      <c r="C794" s="256">
        <v>883144100</v>
      </c>
      <c r="D794" s="256" t="s">
        <v>538</v>
      </c>
      <c r="E794" s="256" t="s">
        <v>539</v>
      </c>
      <c r="F794" s="256" t="s">
        <v>820</v>
      </c>
      <c r="G794" s="256" t="s">
        <v>55</v>
      </c>
      <c r="H794" s="256"/>
      <c r="I794" s="257">
        <v>0</v>
      </c>
      <c r="J794" s="257">
        <v>0</v>
      </c>
      <c r="K794" s="257">
        <v>0</v>
      </c>
      <c r="L794" s="257">
        <v>0</v>
      </c>
      <c r="M794" s="257">
        <v>0</v>
      </c>
      <c r="N794" s="257">
        <v>0</v>
      </c>
      <c r="O794" s="257">
        <v>0</v>
      </c>
      <c r="P794" s="257">
        <v>0</v>
      </c>
      <c r="Q794" s="258">
        <v>0</v>
      </c>
    </row>
    <row r="795" spans="1:17">
      <c r="A795" s="256">
        <v>1</v>
      </c>
      <c r="B795" s="256">
        <v>8831442</v>
      </c>
      <c r="C795" s="256">
        <v>883144201</v>
      </c>
      <c r="D795" s="256" t="s">
        <v>538</v>
      </c>
      <c r="E795" s="256" t="s">
        <v>539</v>
      </c>
      <c r="F795" s="256" t="s">
        <v>820</v>
      </c>
      <c r="G795" s="256" t="s">
        <v>53</v>
      </c>
      <c r="H795" s="256" t="s">
        <v>108</v>
      </c>
      <c r="I795" s="257">
        <v>1256000</v>
      </c>
      <c r="J795" s="257">
        <v>0</v>
      </c>
      <c r="K795" s="257">
        <v>0</v>
      </c>
      <c r="L795" s="257">
        <v>0</v>
      </c>
      <c r="M795" s="257">
        <v>0</v>
      </c>
      <c r="N795" s="257">
        <v>0</v>
      </c>
      <c r="O795" s="257">
        <v>0</v>
      </c>
      <c r="P795" s="257">
        <v>1256000</v>
      </c>
      <c r="Q795" s="258">
        <v>0</v>
      </c>
    </row>
    <row r="796" spans="1:17">
      <c r="A796" s="256">
        <v>1</v>
      </c>
      <c r="B796" s="256">
        <v>8831442</v>
      </c>
      <c r="C796" s="256">
        <v>883144202</v>
      </c>
      <c r="D796" s="256" t="s">
        <v>538</v>
      </c>
      <c r="E796" s="256" t="s">
        <v>539</v>
      </c>
      <c r="F796" s="256" t="s">
        <v>820</v>
      </c>
      <c r="G796" s="256" t="s">
        <v>53</v>
      </c>
      <c r="H796" s="256" t="s">
        <v>106</v>
      </c>
      <c r="I796" s="257">
        <v>243000</v>
      </c>
      <c r="J796" s="257">
        <v>0</v>
      </c>
      <c r="K796" s="257">
        <v>0</v>
      </c>
      <c r="L796" s="257">
        <v>0</v>
      </c>
      <c r="M796" s="257">
        <v>0</v>
      </c>
      <c r="N796" s="257">
        <v>0</v>
      </c>
      <c r="O796" s="257">
        <v>0</v>
      </c>
      <c r="P796" s="257">
        <v>243000</v>
      </c>
      <c r="Q796" s="258">
        <v>0</v>
      </c>
    </row>
    <row r="797" spans="1:17">
      <c r="A797" s="256">
        <v>1</v>
      </c>
      <c r="B797" s="256">
        <v>8831601</v>
      </c>
      <c r="C797" s="256">
        <v>883160102</v>
      </c>
      <c r="D797" s="256" t="s">
        <v>538</v>
      </c>
      <c r="E797" s="256" t="s">
        <v>539</v>
      </c>
      <c r="F797" s="256" t="s">
        <v>821</v>
      </c>
      <c r="G797" s="256" t="s">
        <v>112</v>
      </c>
      <c r="H797" s="256" t="s">
        <v>737</v>
      </c>
      <c r="I797" s="257">
        <v>0</v>
      </c>
      <c r="J797" s="257">
        <v>0</v>
      </c>
      <c r="K797" s="257">
        <v>0</v>
      </c>
      <c r="L797" s="257">
        <v>0</v>
      </c>
      <c r="M797" s="257">
        <v>0</v>
      </c>
      <c r="N797" s="257">
        <v>0</v>
      </c>
      <c r="O797" s="257">
        <v>0</v>
      </c>
      <c r="P797" s="257">
        <v>0</v>
      </c>
      <c r="Q797" s="258">
        <v>0</v>
      </c>
    </row>
    <row r="798" spans="1:17">
      <c r="A798" s="256">
        <v>1</v>
      </c>
      <c r="B798" s="256">
        <v>8831601</v>
      </c>
      <c r="C798" s="256">
        <v>883160103</v>
      </c>
      <c r="D798" s="256" t="s">
        <v>538</v>
      </c>
      <c r="E798" s="256" t="s">
        <v>539</v>
      </c>
      <c r="F798" s="256" t="s">
        <v>821</v>
      </c>
      <c r="G798" s="256" t="s">
        <v>112</v>
      </c>
      <c r="H798" s="256" t="s">
        <v>738</v>
      </c>
      <c r="I798" s="257">
        <v>0</v>
      </c>
      <c r="J798" s="257">
        <v>0</v>
      </c>
      <c r="K798" s="257">
        <v>0</v>
      </c>
      <c r="L798" s="257">
        <v>0</v>
      </c>
      <c r="M798" s="257">
        <v>0</v>
      </c>
      <c r="N798" s="257">
        <v>0</v>
      </c>
      <c r="O798" s="257">
        <v>0</v>
      </c>
      <c r="P798" s="257">
        <v>0</v>
      </c>
      <c r="Q798" s="258">
        <v>0</v>
      </c>
    </row>
    <row r="799" spans="1:17">
      <c r="A799" s="256">
        <v>1</v>
      </c>
      <c r="B799" s="256">
        <v>8831601</v>
      </c>
      <c r="C799" s="256">
        <v>883160104</v>
      </c>
      <c r="D799" s="256" t="s">
        <v>538</v>
      </c>
      <c r="E799" s="256" t="s">
        <v>539</v>
      </c>
      <c r="F799" s="256" t="s">
        <v>821</v>
      </c>
      <c r="G799" s="256" t="s">
        <v>112</v>
      </c>
      <c r="H799" s="256" t="s">
        <v>739</v>
      </c>
      <c r="I799" s="257">
        <v>0</v>
      </c>
      <c r="J799" s="257">
        <v>0</v>
      </c>
      <c r="K799" s="257">
        <v>0</v>
      </c>
      <c r="L799" s="257">
        <v>0</v>
      </c>
      <c r="M799" s="257">
        <v>0</v>
      </c>
      <c r="N799" s="257">
        <v>0</v>
      </c>
      <c r="O799" s="257">
        <v>0</v>
      </c>
      <c r="P799" s="257">
        <v>0</v>
      </c>
      <c r="Q799" s="258">
        <v>0</v>
      </c>
    </row>
    <row r="800" spans="1:17">
      <c r="A800" s="236">
        <v>1</v>
      </c>
      <c r="B800" s="236">
        <v>8831601</v>
      </c>
      <c r="C800" s="236">
        <v>883160105</v>
      </c>
      <c r="D800" s="236" t="s">
        <v>538</v>
      </c>
      <c r="E800" s="236" t="s">
        <v>539</v>
      </c>
      <c r="F800" s="236" t="s">
        <v>821</v>
      </c>
      <c r="G800" s="236" t="s">
        <v>112</v>
      </c>
      <c r="H800" s="236" t="s">
        <v>740</v>
      </c>
      <c r="I800" s="257">
        <v>8388763</v>
      </c>
      <c r="J800" s="257">
        <v>0</v>
      </c>
      <c r="K800" s="257">
        <v>0</v>
      </c>
      <c r="L800" s="257">
        <v>0</v>
      </c>
      <c r="M800" s="257">
        <v>0</v>
      </c>
      <c r="N800" s="257">
        <v>0</v>
      </c>
      <c r="O800" s="257">
        <v>0</v>
      </c>
      <c r="P800" s="257">
        <v>8388763</v>
      </c>
      <c r="Q800" s="258">
        <v>0</v>
      </c>
    </row>
    <row r="801" spans="1:17">
      <c r="A801" s="256">
        <v>1</v>
      </c>
      <c r="B801" s="256">
        <v>8831602</v>
      </c>
      <c r="C801" s="256">
        <v>883160202</v>
      </c>
      <c r="D801" s="256" t="s">
        <v>538</v>
      </c>
      <c r="E801" s="256" t="s">
        <v>539</v>
      </c>
      <c r="F801" s="256" t="s">
        <v>821</v>
      </c>
      <c r="G801" s="256" t="s">
        <v>110</v>
      </c>
      <c r="H801" s="256" t="s">
        <v>741</v>
      </c>
      <c r="I801" s="257">
        <v>118729200</v>
      </c>
      <c r="J801" s="257">
        <v>0</v>
      </c>
      <c r="K801" s="257">
        <v>0</v>
      </c>
      <c r="L801" s="257">
        <v>0</v>
      </c>
      <c r="M801" s="257">
        <v>0</v>
      </c>
      <c r="N801" s="257">
        <v>0</v>
      </c>
      <c r="O801" s="257">
        <v>0</v>
      </c>
      <c r="P801" s="257">
        <v>118729200</v>
      </c>
      <c r="Q801" s="258">
        <v>0</v>
      </c>
    </row>
    <row r="802" spans="1:17">
      <c r="A802" s="256">
        <v>1</v>
      </c>
      <c r="B802" s="256">
        <v>8831603</v>
      </c>
      <c r="C802" s="256">
        <v>883160301</v>
      </c>
      <c r="D802" s="256" t="s">
        <v>538</v>
      </c>
      <c r="E802" s="256" t="s">
        <v>539</v>
      </c>
      <c r="F802" s="256" t="s">
        <v>821</v>
      </c>
      <c r="G802" s="256" t="s">
        <v>108</v>
      </c>
      <c r="H802" s="256" t="s">
        <v>742</v>
      </c>
      <c r="I802" s="257">
        <v>12811200</v>
      </c>
      <c r="J802" s="257">
        <v>0</v>
      </c>
      <c r="K802" s="257">
        <v>0</v>
      </c>
      <c r="L802" s="257">
        <v>0</v>
      </c>
      <c r="M802" s="257">
        <v>0</v>
      </c>
      <c r="N802" s="257">
        <v>0</v>
      </c>
      <c r="O802" s="257">
        <v>0</v>
      </c>
      <c r="P802" s="257">
        <v>12811200</v>
      </c>
      <c r="Q802" s="258">
        <v>0</v>
      </c>
    </row>
    <row r="803" spans="1:17">
      <c r="A803" s="256">
        <v>1</v>
      </c>
      <c r="B803" s="256">
        <v>8831603</v>
      </c>
      <c r="C803" s="256">
        <v>883160302</v>
      </c>
      <c r="D803" s="256" t="s">
        <v>538</v>
      </c>
      <c r="E803" s="256" t="s">
        <v>539</v>
      </c>
      <c r="F803" s="256" t="s">
        <v>821</v>
      </c>
      <c r="G803" s="256" t="s">
        <v>108</v>
      </c>
      <c r="H803" s="256" t="s">
        <v>743</v>
      </c>
      <c r="I803" s="257">
        <v>3372000</v>
      </c>
      <c r="J803" s="257">
        <v>0</v>
      </c>
      <c r="K803" s="257">
        <v>0</v>
      </c>
      <c r="L803" s="257">
        <v>0</v>
      </c>
      <c r="M803" s="257">
        <v>0</v>
      </c>
      <c r="N803" s="257">
        <v>0</v>
      </c>
      <c r="O803" s="257">
        <v>0</v>
      </c>
      <c r="P803" s="257">
        <v>3372000</v>
      </c>
      <c r="Q803" s="258">
        <v>0</v>
      </c>
    </row>
    <row r="804" spans="1:17">
      <c r="A804" s="256">
        <v>1</v>
      </c>
      <c r="B804" s="256">
        <v>8831603</v>
      </c>
      <c r="C804" s="256">
        <v>883160303</v>
      </c>
      <c r="D804" s="256" t="s">
        <v>538</v>
      </c>
      <c r="E804" s="256" t="s">
        <v>539</v>
      </c>
      <c r="F804" s="256" t="s">
        <v>821</v>
      </c>
      <c r="G804" s="256" t="s">
        <v>108</v>
      </c>
      <c r="H804" s="256" t="s">
        <v>744</v>
      </c>
      <c r="I804" s="257">
        <v>45165067</v>
      </c>
      <c r="J804" s="257">
        <v>0</v>
      </c>
      <c r="K804" s="257">
        <v>0</v>
      </c>
      <c r="L804" s="257">
        <v>0</v>
      </c>
      <c r="M804" s="257">
        <v>0</v>
      </c>
      <c r="N804" s="257">
        <v>0</v>
      </c>
      <c r="O804" s="257">
        <v>0</v>
      </c>
      <c r="P804" s="257">
        <v>45165067</v>
      </c>
      <c r="Q804" s="258">
        <v>0</v>
      </c>
    </row>
    <row r="805" spans="1:17">
      <c r="A805" s="256">
        <v>1</v>
      </c>
      <c r="B805" s="256">
        <v>8831603</v>
      </c>
      <c r="C805" s="256">
        <v>883160304</v>
      </c>
      <c r="D805" s="256" t="s">
        <v>538</v>
      </c>
      <c r="E805" s="256" t="s">
        <v>539</v>
      </c>
      <c r="F805" s="256" t="s">
        <v>821</v>
      </c>
      <c r="G805" s="256" t="s">
        <v>108</v>
      </c>
      <c r="H805" s="256" t="s">
        <v>745</v>
      </c>
      <c r="I805" s="257">
        <v>2558640</v>
      </c>
      <c r="J805" s="257">
        <v>0</v>
      </c>
      <c r="K805" s="257">
        <v>0</v>
      </c>
      <c r="L805" s="257">
        <v>0</v>
      </c>
      <c r="M805" s="257">
        <v>0</v>
      </c>
      <c r="N805" s="257">
        <v>2558640</v>
      </c>
      <c r="O805" s="257">
        <v>0</v>
      </c>
      <c r="P805" s="257">
        <v>0</v>
      </c>
      <c r="Q805" s="258">
        <v>0</v>
      </c>
    </row>
    <row r="806" spans="1:17">
      <c r="A806" s="256">
        <v>1</v>
      </c>
      <c r="B806" s="256">
        <v>8831603</v>
      </c>
      <c r="C806" s="256">
        <v>883160305</v>
      </c>
      <c r="D806" s="256" t="s">
        <v>538</v>
      </c>
      <c r="E806" s="256" t="s">
        <v>539</v>
      </c>
      <c r="F806" s="256" t="s">
        <v>821</v>
      </c>
      <c r="G806" s="256" t="s">
        <v>108</v>
      </c>
      <c r="H806" s="256" t="s">
        <v>746</v>
      </c>
      <c r="I806" s="257">
        <v>6010800</v>
      </c>
      <c r="J806" s="257">
        <v>0</v>
      </c>
      <c r="K806" s="257">
        <v>0</v>
      </c>
      <c r="L806" s="257">
        <v>0</v>
      </c>
      <c r="M806" s="257">
        <v>0</v>
      </c>
      <c r="N806" s="257">
        <v>0</v>
      </c>
      <c r="O806" s="257">
        <v>0</v>
      </c>
      <c r="P806" s="257">
        <v>6010800</v>
      </c>
      <c r="Q806" s="258">
        <v>0</v>
      </c>
    </row>
    <row r="807" spans="1:17">
      <c r="A807" s="256">
        <v>1</v>
      </c>
      <c r="B807" s="256">
        <v>8831603</v>
      </c>
      <c r="C807" s="256">
        <v>883160306</v>
      </c>
      <c r="D807" s="256" t="s">
        <v>538</v>
      </c>
      <c r="E807" s="256" t="s">
        <v>539</v>
      </c>
      <c r="F807" s="256" t="s">
        <v>821</v>
      </c>
      <c r="G807" s="256" t="s">
        <v>108</v>
      </c>
      <c r="H807" s="256" t="s">
        <v>747</v>
      </c>
      <c r="I807" s="257">
        <v>0</v>
      </c>
      <c r="J807" s="257">
        <v>0</v>
      </c>
      <c r="K807" s="257">
        <v>0</v>
      </c>
      <c r="L807" s="257">
        <v>0</v>
      </c>
      <c r="M807" s="257">
        <v>0</v>
      </c>
      <c r="N807" s="257">
        <v>0</v>
      </c>
      <c r="O807" s="257">
        <v>0</v>
      </c>
      <c r="P807" s="257">
        <v>0</v>
      </c>
      <c r="Q807" s="258">
        <v>0</v>
      </c>
    </row>
    <row r="808" spans="1:17">
      <c r="A808" s="256">
        <v>1</v>
      </c>
      <c r="B808" s="256">
        <v>8831603</v>
      </c>
      <c r="C808" s="256">
        <v>883160307</v>
      </c>
      <c r="D808" s="256" t="s">
        <v>538</v>
      </c>
      <c r="E808" s="256" t="s">
        <v>539</v>
      </c>
      <c r="F808" s="256" t="s">
        <v>821</v>
      </c>
      <c r="G808" s="256" t="s">
        <v>108</v>
      </c>
      <c r="H808" s="256" t="s">
        <v>748</v>
      </c>
      <c r="I808" s="257">
        <v>123888</v>
      </c>
      <c r="J808" s="257">
        <v>0</v>
      </c>
      <c r="K808" s="257">
        <v>0</v>
      </c>
      <c r="L808" s="257">
        <v>0</v>
      </c>
      <c r="M808" s="257">
        <v>0</v>
      </c>
      <c r="N808" s="257">
        <v>0</v>
      </c>
      <c r="O808" s="257">
        <v>0</v>
      </c>
      <c r="P808" s="257">
        <v>123888</v>
      </c>
      <c r="Q808" s="258">
        <v>0</v>
      </c>
    </row>
    <row r="809" spans="1:17">
      <c r="A809" s="256">
        <v>1</v>
      </c>
      <c r="B809" s="256">
        <v>8831603</v>
      </c>
      <c r="C809" s="256">
        <v>883160310</v>
      </c>
      <c r="D809" s="256" t="s">
        <v>538</v>
      </c>
      <c r="E809" s="256" t="s">
        <v>539</v>
      </c>
      <c r="F809" s="256" t="s">
        <v>821</v>
      </c>
      <c r="G809" s="256" t="s">
        <v>108</v>
      </c>
      <c r="H809" s="256" t="s">
        <v>749</v>
      </c>
      <c r="I809" s="257">
        <v>15845828</v>
      </c>
      <c r="J809" s="257">
        <v>0</v>
      </c>
      <c r="K809" s="257">
        <v>0</v>
      </c>
      <c r="L809" s="257">
        <v>0</v>
      </c>
      <c r="M809" s="257">
        <v>0</v>
      </c>
      <c r="N809" s="257">
        <v>0</v>
      </c>
      <c r="O809" s="257">
        <v>0</v>
      </c>
      <c r="P809" s="257">
        <v>15845828</v>
      </c>
      <c r="Q809" s="258">
        <v>0</v>
      </c>
    </row>
    <row r="810" spans="1:17">
      <c r="A810" s="256">
        <v>1</v>
      </c>
      <c r="B810" s="256">
        <v>8831603</v>
      </c>
      <c r="C810" s="256">
        <v>883160311</v>
      </c>
      <c r="D810" s="256" t="s">
        <v>538</v>
      </c>
      <c r="E810" s="256" t="s">
        <v>539</v>
      </c>
      <c r="F810" s="256" t="s">
        <v>821</v>
      </c>
      <c r="G810" s="256" t="s">
        <v>108</v>
      </c>
      <c r="H810" s="256" t="s">
        <v>750</v>
      </c>
      <c r="I810" s="257">
        <v>0</v>
      </c>
      <c r="J810" s="257">
        <v>0</v>
      </c>
      <c r="K810" s="257">
        <v>0</v>
      </c>
      <c r="L810" s="257">
        <v>0</v>
      </c>
      <c r="M810" s="257">
        <v>0</v>
      </c>
      <c r="N810" s="257">
        <v>0</v>
      </c>
      <c r="O810" s="257">
        <v>0</v>
      </c>
      <c r="P810" s="257">
        <v>0</v>
      </c>
      <c r="Q810" s="258">
        <v>0</v>
      </c>
    </row>
    <row r="811" spans="1:17">
      <c r="A811" s="256">
        <v>1</v>
      </c>
      <c r="B811" s="256">
        <v>8831603</v>
      </c>
      <c r="C811" s="256">
        <v>883160314</v>
      </c>
      <c r="D811" s="256" t="s">
        <v>538</v>
      </c>
      <c r="E811" s="256" t="s">
        <v>539</v>
      </c>
      <c r="F811" s="256" t="s">
        <v>821</v>
      </c>
      <c r="G811" s="256" t="s">
        <v>108</v>
      </c>
      <c r="H811" s="256" t="s">
        <v>751</v>
      </c>
      <c r="I811" s="257">
        <v>2847600</v>
      </c>
      <c r="J811" s="257">
        <v>0</v>
      </c>
      <c r="K811" s="257">
        <v>0</v>
      </c>
      <c r="L811" s="257">
        <v>0</v>
      </c>
      <c r="M811" s="257">
        <v>0</v>
      </c>
      <c r="N811" s="257">
        <v>0</v>
      </c>
      <c r="O811" s="257">
        <v>0</v>
      </c>
      <c r="P811" s="257">
        <v>2847600</v>
      </c>
      <c r="Q811" s="258">
        <v>0</v>
      </c>
    </row>
    <row r="812" spans="1:17">
      <c r="A812" s="256">
        <v>1</v>
      </c>
      <c r="B812" s="256">
        <v>8831603</v>
      </c>
      <c r="C812" s="256">
        <v>883160315</v>
      </c>
      <c r="D812" s="256" t="s">
        <v>538</v>
      </c>
      <c r="E812" s="256" t="s">
        <v>539</v>
      </c>
      <c r="F812" s="256" t="s">
        <v>821</v>
      </c>
      <c r="G812" s="256" t="s">
        <v>108</v>
      </c>
      <c r="H812" s="256" t="s">
        <v>752</v>
      </c>
      <c r="I812" s="257">
        <v>1660000</v>
      </c>
      <c r="J812" s="257">
        <v>0</v>
      </c>
      <c r="K812" s="257">
        <v>0</v>
      </c>
      <c r="L812" s="257">
        <v>0</v>
      </c>
      <c r="M812" s="257">
        <v>0</v>
      </c>
      <c r="N812" s="257">
        <v>0</v>
      </c>
      <c r="O812" s="257">
        <v>0</v>
      </c>
      <c r="P812" s="257">
        <v>1660000</v>
      </c>
      <c r="Q812" s="258">
        <v>0</v>
      </c>
    </row>
    <row r="813" spans="1:17">
      <c r="A813" s="256">
        <v>1</v>
      </c>
      <c r="B813" s="256">
        <v>8831603</v>
      </c>
      <c r="C813" s="256">
        <v>883160316</v>
      </c>
      <c r="D813" s="256" t="s">
        <v>538</v>
      </c>
      <c r="E813" s="256" t="s">
        <v>539</v>
      </c>
      <c r="F813" s="256" t="s">
        <v>821</v>
      </c>
      <c r="G813" s="256" t="s">
        <v>108</v>
      </c>
      <c r="H813" s="256" t="s">
        <v>753</v>
      </c>
      <c r="I813" s="257">
        <v>0</v>
      </c>
      <c r="J813" s="257">
        <v>0</v>
      </c>
      <c r="K813" s="257">
        <v>0</v>
      </c>
      <c r="L813" s="257">
        <v>0</v>
      </c>
      <c r="M813" s="257">
        <v>0</v>
      </c>
      <c r="N813" s="257">
        <v>0</v>
      </c>
      <c r="O813" s="257">
        <v>0</v>
      </c>
      <c r="P813" s="257">
        <v>0</v>
      </c>
      <c r="Q813" s="258">
        <v>0</v>
      </c>
    </row>
    <row r="814" spans="1:17">
      <c r="A814" s="256">
        <v>1</v>
      </c>
      <c r="B814" s="256">
        <v>8831604</v>
      </c>
      <c r="C814" s="256">
        <v>883160401</v>
      </c>
      <c r="D814" s="256" t="s">
        <v>538</v>
      </c>
      <c r="E814" s="256" t="s">
        <v>539</v>
      </c>
      <c r="F814" s="256" t="s">
        <v>821</v>
      </c>
      <c r="G814" s="256" t="s">
        <v>106</v>
      </c>
      <c r="H814" s="256" t="s">
        <v>755</v>
      </c>
      <c r="I814" s="257">
        <v>29133707</v>
      </c>
      <c r="J814" s="257">
        <v>0</v>
      </c>
      <c r="K814" s="257">
        <v>0</v>
      </c>
      <c r="L814" s="257">
        <v>0</v>
      </c>
      <c r="M814" s="257">
        <v>0</v>
      </c>
      <c r="N814" s="257">
        <v>0</v>
      </c>
      <c r="O814" s="257">
        <v>29133707</v>
      </c>
      <c r="P814" s="257">
        <v>0</v>
      </c>
      <c r="Q814" s="258">
        <v>0</v>
      </c>
    </row>
    <row r="815" spans="1:17">
      <c r="A815" s="256">
        <v>1</v>
      </c>
      <c r="B815" s="256">
        <v>8831604</v>
      </c>
      <c r="C815" s="256">
        <v>883160402</v>
      </c>
      <c r="D815" s="256" t="s">
        <v>538</v>
      </c>
      <c r="E815" s="256" t="s">
        <v>539</v>
      </c>
      <c r="F815" s="256" t="s">
        <v>821</v>
      </c>
      <c r="G815" s="256" t="s">
        <v>106</v>
      </c>
      <c r="H815" s="256" t="s">
        <v>756</v>
      </c>
      <c r="I815" s="257">
        <v>189534</v>
      </c>
      <c r="J815" s="257">
        <v>0</v>
      </c>
      <c r="K815" s="257">
        <v>0</v>
      </c>
      <c r="L815" s="257">
        <v>0</v>
      </c>
      <c r="M815" s="257">
        <v>0</v>
      </c>
      <c r="N815" s="257">
        <v>0</v>
      </c>
      <c r="O815" s="257">
        <v>0</v>
      </c>
      <c r="P815" s="257">
        <v>189534</v>
      </c>
      <c r="Q815" s="258">
        <v>0</v>
      </c>
    </row>
    <row r="816" spans="1:17">
      <c r="A816" s="256">
        <v>1</v>
      </c>
      <c r="B816" s="256">
        <v>8831604</v>
      </c>
      <c r="C816" s="256">
        <v>883160403</v>
      </c>
      <c r="D816" s="256" t="s">
        <v>538</v>
      </c>
      <c r="E816" s="256" t="s">
        <v>539</v>
      </c>
      <c r="F816" s="256" t="s">
        <v>821</v>
      </c>
      <c r="G816" s="256" t="s">
        <v>106</v>
      </c>
      <c r="H816" s="256" t="s">
        <v>757</v>
      </c>
      <c r="I816" s="257">
        <v>0</v>
      </c>
      <c r="J816" s="257">
        <v>0</v>
      </c>
      <c r="K816" s="257">
        <v>0</v>
      </c>
      <c r="L816" s="257">
        <v>0</v>
      </c>
      <c r="M816" s="257">
        <v>0</v>
      </c>
      <c r="N816" s="257">
        <v>0</v>
      </c>
      <c r="O816" s="257">
        <v>0</v>
      </c>
      <c r="P816" s="257">
        <v>0</v>
      </c>
      <c r="Q816" s="258">
        <v>0</v>
      </c>
    </row>
    <row r="817" spans="1:17">
      <c r="A817" s="256">
        <v>1</v>
      </c>
      <c r="B817" s="256">
        <v>8831604</v>
      </c>
      <c r="C817" s="256">
        <v>883160405</v>
      </c>
      <c r="D817" s="256" t="s">
        <v>538</v>
      </c>
      <c r="E817" s="256" t="s">
        <v>539</v>
      </c>
      <c r="F817" s="256" t="s">
        <v>821</v>
      </c>
      <c r="G817" s="256" t="s">
        <v>106</v>
      </c>
      <c r="H817" s="256" t="s">
        <v>758</v>
      </c>
      <c r="I817" s="257">
        <v>5731086</v>
      </c>
      <c r="J817" s="257">
        <v>0</v>
      </c>
      <c r="K817" s="257">
        <v>0</v>
      </c>
      <c r="L817" s="257">
        <v>0</v>
      </c>
      <c r="M817" s="257">
        <v>0</v>
      </c>
      <c r="N817" s="257">
        <v>0</v>
      </c>
      <c r="O817" s="257">
        <v>5731086</v>
      </c>
      <c r="P817" s="257">
        <v>0</v>
      </c>
      <c r="Q817" s="258">
        <v>0</v>
      </c>
    </row>
    <row r="818" spans="1:17">
      <c r="A818" s="256">
        <v>1</v>
      </c>
      <c r="B818" s="256">
        <v>8831604</v>
      </c>
      <c r="C818" s="256">
        <v>883160406</v>
      </c>
      <c r="D818" s="256" t="s">
        <v>538</v>
      </c>
      <c r="E818" s="256" t="s">
        <v>539</v>
      </c>
      <c r="F818" s="256" t="s">
        <v>821</v>
      </c>
      <c r="G818" s="256" t="s">
        <v>106</v>
      </c>
      <c r="H818" s="256" t="s">
        <v>759</v>
      </c>
      <c r="I818" s="257">
        <v>99826</v>
      </c>
      <c r="J818" s="257">
        <v>0</v>
      </c>
      <c r="K818" s="257">
        <v>0</v>
      </c>
      <c r="L818" s="257">
        <v>0</v>
      </c>
      <c r="M818" s="257">
        <v>0</v>
      </c>
      <c r="N818" s="257">
        <v>0</v>
      </c>
      <c r="O818" s="257">
        <v>99826</v>
      </c>
      <c r="P818" s="257">
        <v>0</v>
      </c>
      <c r="Q818" s="258">
        <v>0</v>
      </c>
    </row>
    <row r="819" spans="1:17">
      <c r="A819" s="256">
        <v>1</v>
      </c>
      <c r="B819" s="256">
        <v>8831604</v>
      </c>
      <c r="C819" s="256">
        <v>883160407</v>
      </c>
      <c r="D819" s="256" t="s">
        <v>538</v>
      </c>
      <c r="E819" s="256" t="s">
        <v>539</v>
      </c>
      <c r="F819" s="256" t="s">
        <v>821</v>
      </c>
      <c r="G819" s="256" t="s">
        <v>106</v>
      </c>
      <c r="H819" s="256" t="s">
        <v>760</v>
      </c>
      <c r="I819" s="257">
        <v>884598</v>
      </c>
      <c r="J819" s="257">
        <v>0</v>
      </c>
      <c r="K819" s="257">
        <v>0</v>
      </c>
      <c r="L819" s="257">
        <v>0</v>
      </c>
      <c r="M819" s="257">
        <v>0</v>
      </c>
      <c r="N819" s="257">
        <v>0</v>
      </c>
      <c r="O819" s="257">
        <v>884598</v>
      </c>
      <c r="P819" s="257">
        <v>0</v>
      </c>
      <c r="Q819" s="258">
        <v>0</v>
      </c>
    </row>
    <row r="820" spans="1:17">
      <c r="A820" s="256">
        <v>1</v>
      </c>
      <c r="B820" s="256">
        <v>8831604</v>
      </c>
      <c r="C820" s="256">
        <v>883160408</v>
      </c>
      <c r="D820" s="256" t="s">
        <v>538</v>
      </c>
      <c r="E820" s="256" t="s">
        <v>539</v>
      </c>
      <c r="F820" s="256" t="s">
        <v>821</v>
      </c>
      <c r="G820" s="256" t="s">
        <v>106</v>
      </c>
      <c r="H820" s="256" t="s">
        <v>761</v>
      </c>
      <c r="I820" s="257">
        <v>35189</v>
      </c>
      <c r="J820" s="257">
        <v>0</v>
      </c>
      <c r="K820" s="257">
        <v>0</v>
      </c>
      <c r="L820" s="257">
        <v>0</v>
      </c>
      <c r="M820" s="257">
        <v>0</v>
      </c>
      <c r="N820" s="257">
        <v>0</v>
      </c>
      <c r="O820" s="257">
        <v>35189</v>
      </c>
      <c r="P820" s="257">
        <v>0</v>
      </c>
      <c r="Q820" s="258">
        <v>0</v>
      </c>
    </row>
    <row r="821" spans="1:17">
      <c r="A821" s="256">
        <v>1</v>
      </c>
      <c r="B821" s="256">
        <v>8831604</v>
      </c>
      <c r="C821" s="256">
        <v>883160410</v>
      </c>
      <c r="D821" s="256" t="s">
        <v>538</v>
      </c>
      <c r="E821" s="256" t="s">
        <v>539</v>
      </c>
      <c r="F821" s="256" t="s">
        <v>821</v>
      </c>
      <c r="G821" s="256" t="s">
        <v>106</v>
      </c>
      <c r="H821" s="256" t="s">
        <v>762</v>
      </c>
      <c r="I821" s="257">
        <v>11048228</v>
      </c>
      <c r="J821" s="257">
        <v>0</v>
      </c>
      <c r="K821" s="257">
        <v>0</v>
      </c>
      <c r="L821" s="257">
        <v>0</v>
      </c>
      <c r="M821" s="257">
        <v>0</v>
      </c>
      <c r="N821" s="257">
        <v>0</v>
      </c>
      <c r="O821" s="257">
        <v>11048228</v>
      </c>
      <c r="P821" s="257">
        <v>0</v>
      </c>
      <c r="Q821" s="258">
        <v>0</v>
      </c>
    </row>
    <row r="822" spans="1:17">
      <c r="A822" s="256">
        <v>1</v>
      </c>
      <c r="B822" s="256">
        <v>8831604</v>
      </c>
      <c r="C822" s="256">
        <v>883160411</v>
      </c>
      <c r="D822" s="256" t="s">
        <v>538</v>
      </c>
      <c r="E822" s="256" t="s">
        <v>539</v>
      </c>
      <c r="F822" s="256" t="s">
        <v>821</v>
      </c>
      <c r="G822" s="256" t="s">
        <v>106</v>
      </c>
      <c r="H822" s="256" t="s">
        <v>763</v>
      </c>
      <c r="I822" s="257">
        <v>5907</v>
      </c>
      <c r="J822" s="257">
        <v>0</v>
      </c>
      <c r="K822" s="257">
        <v>0</v>
      </c>
      <c r="L822" s="257">
        <v>0</v>
      </c>
      <c r="M822" s="257">
        <v>0</v>
      </c>
      <c r="N822" s="257">
        <v>0</v>
      </c>
      <c r="O822" s="257">
        <v>5907</v>
      </c>
      <c r="P822" s="257">
        <v>0</v>
      </c>
      <c r="Q822" s="258">
        <v>0</v>
      </c>
    </row>
    <row r="823" spans="1:17">
      <c r="A823" s="256">
        <v>1</v>
      </c>
      <c r="B823" s="256">
        <v>8831605</v>
      </c>
      <c r="C823" s="256">
        <v>883160500</v>
      </c>
      <c r="D823" s="256" t="s">
        <v>538</v>
      </c>
      <c r="E823" s="256" t="s">
        <v>539</v>
      </c>
      <c r="F823" s="256" t="s">
        <v>821</v>
      </c>
      <c r="G823" s="256" t="s">
        <v>104</v>
      </c>
      <c r="H823" s="256"/>
      <c r="I823" s="257">
        <v>183360</v>
      </c>
      <c r="J823" s="257">
        <v>0</v>
      </c>
      <c r="K823" s="257">
        <v>0</v>
      </c>
      <c r="L823" s="257">
        <v>0</v>
      </c>
      <c r="M823" s="257">
        <v>0</v>
      </c>
      <c r="N823" s="257">
        <v>0</v>
      </c>
      <c r="O823" s="257">
        <v>0</v>
      </c>
      <c r="P823" s="257">
        <v>183360</v>
      </c>
      <c r="Q823" s="258">
        <v>0</v>
      </c>
    </row>
    <row r="824" spans="1:17">
      <c r="A824" s="256">
        <v>1</v>
      </c>
      <c r="B824" s="256">
        <v>8831607</v>
      </c>
      <c r="C824" s="256">
        <v>883160700</v>
      </c>
      <c r="D824" s="256" t="s">
        <v>538</v>
      </c>
      <c r="E824" s="256" t="s">
        <v>539</v>
      </c>
      <c r="F824" s="256" t="s">
        <v>821</v>
      </c>
      <c r="G824" s="256" t="s">
        <v>102</v>
      </c>
      <c r="H824" s="256"/>
      <c r="I824" s="257">
        <v>0</v>
      </c>
      <c r="J824" s="257">
        <v>0</v>
      </c>
      <c r="K824" s="257">
        <v>0</v>
      </c>
      <c r="L824" s="257">
        <v>0</v>
      </c>
      <c r="M824" s="257">
        <v>0</v>
      </c>
      <c r="N824" s="257">
        <v>0</v>
      </c>
      <c r="O824" s="257">
        <v>0</v>
      </c>
      <c r="P824" s="257">
        <v>0</v>
      </c>
      <c r="Q824" s="258">
        <v>0</v>
      </c>
    </row>
    <row r="825" spans="1:17">
      <c r="A825" s="256">
        <v>1</v>
      </c>
      <c r="B825" s="256">
        <v>8831608</v>
      </c>
      <c r="C825" s="256">
        <v>883160800</v>
      </c>
      <c r="D825" s="256" t="s">
        <v>538</v>
      </c>
      <c r="E825" s="256" t="s">
        <v>539</v>
      </c>
      <c r="F825" s="256" t="s">
        <v>821</v>
      </c>
      <c r="G825" s="256" t="s">
        <v>100</v>
      </c>
      <c r="H825" s="256"/>
      <c r="I825" s="257">
        <v>0</v>
      </c>
      <c r="J825" s="257">
        <v>0</v>
      </c>
      <c r="K825" s="257">
        <v>0</v>
      </c>
      <c r="L825" s="257">
        <v>0</v>
      </c>
      <c r="M825" s="257">
        <v>0</v>
      </c>
      <c r="N825" s="257">
        <v>0</v>
      </c>
      <c r="O825" s="257">
        <v>0</v>
      </c>
      <c r="P825" s="257">
        <v>0</v>
      </c>
      <c r="Q825" s="258">
        <v>0</v>
      </c>
    </row>
    <row r="826" spans="1:17">
      <c r="A826" s="256">
        <v>1</v>
      </c>
      <c r="B826" s="256">
        <v>8831610</v>
      </c>
      <c r="C826" s="256">
        <v>883161001</v>
      </c>
      <c r="D826" s="256" t="s">
        <v>538</v>
      </c>
      <c r="E826" s="256" t="s">
        <v>539</v>
      </c>
      <c r="F826" s="256" t="s">
        <v>821</v>
      </c>
      <c r="G826" s="256" t="s">
        <v>764</v>
      </c>
      <c r="H826" s="256" t="s">
        <v>98</v>
      </c>
      <c r="I826" s="257">
        <v>3310372</v>
      </c>
      <c r="J826" s="257">
        <v>0</v>
      </c>
      <c r="K826" s="257">
        <v>0</v>
      </c>
      <c r="L826" s="257">
        <v>0</v>
      </c>
      <c r="M826" s="257">
        <v>0</v>
      </c>
      <c r="N826" s="257">
        <v>3284472</v>
      </c>
      <c r="O826" s="257">
        <v>0</v>
      </c>
      <c r="P826" s="257">
        <v>25900</v>
      </c>
      <c r="Q826" s="258">
        <v>0</v>
      </c>
    </row>
    <row r="827" spans="1:17">
      <c r="A827" s="256">
        <v>1</v>
      </c>
      <c r="B827" s="256">
        <v>8831610</v>
      </c>
      <c r="C827" s="256">
        <v>883161002</v>
      </c>
      <c r="D827" s="256" t="s">
        <v>538</v>
      </c>
      <c r="E827" s="256" t="s">
        <v>539</v>
      </c>
      <c r="F827" s="256" t="s">
        <v>821</v>
      </c>
      <c r="G827" s="256" t="s">
        <v>764</v>
      </c>
      <c r="H827" s="256" t="s">
        <v>95</v>
      </c>
      <c r="I827" s="257">
        <v>0</v>
      </c>
      <c r="J827" s="257">
        <v>0</v>
      </c>
      <c r="K827" s="257">
        <v>0</v>
      </c>
      <c r="L827" s="257">
        <v>0</v>
      </c>
      <c r="M827" s="257">
        <v>0</v>
      </c>
      <c r="N827" s="257">
        <v>0</v>
      </c>
      <c r="O827" s="257">
        <v>0</v>
      </c>
      <c r="P827" s="257">
        <v>0</v>
      </c>
      <c r="Q827" s="258">
        <v>0</v>
      </c>
    </row>
    <row r="828" spans="1:17">
      <c r="A828" s="236">
        <v>1</v>
      </c>
      <c r="B828" s="236">
        <v>8831610</v>
      </c>
      <c r="C828" s="236">
        <v>883161003</v>
      </c>
      <c r="D828" s="236" t="s">
        <v>538</v>
      </c>
      <c r="E828" s="236" t="s">
        <v>539</v>
      </c>
      <c r="F828" s="236" t="s">
        <v>821</v>
      </c>
      <c r="G828" s="236" t="s">
        <v>764</v>
      </c>
      <c r="H828" s="236" t="s">
        <v>765</v>
      </c>
      <c r="I828" s="257">
        <v>422700</v>
      </c>
      <c r="J828" s="257">
        <v>0</v>
      </c>
      <c r="K828" s="257">
        <v>0</v>
      </c>
      <c r="L828" s="257">
        <v>0</v>
      </c>
      <c r="M828" s="257">
        <v>0</v>
      </c>
      <c r="N828" s="257">
        <v>422700</v>
      </c>
      <c r="O828" s="257">
        <v>0</v>
      </c>
      <c r="P828" s="257">
        <v>0</v>
      </c>
      <c r="Q828" s="258">
        <v>0</v>
      </c>
    </row>
    <row r="829" spans="1:17">
      <c r="A829" s="256">
        <v>1</v>
      </c>
      <c r="B829" s="256">
        <v>8831613</v>
      </c>
      <c r="C829" s="256">
        <v>883161300</v>
      </c>
      <c r="D829" s="256" t="s">
        <v>538</v>
      </c>
      <c r="E829" s="256" t="s">
        <v>539</v>
      </c>
      <c r="F829" s="256" t="s">
        <v>821</v>
      </c>
      <c r="G829" s="256" t="s">
        <v>93</v>
      </c>
      <c r="H829" s="256"/>
      <c r="I829" s="257">
        <v>6713734</v>
      </c>
      <c r="J829" s="257">
        <v>0</v>
      </c>
      <c r="K829" s="257">
        <v>0</v>
      </c>
      <c r="L829" s="257">
        <v>0</v>
      </c>
      <c r="M829" s="257">
        <v>317198</v>
      </c>
      <c r="N829" s="257">
        <v>6396536</v>
      </c>
      <c r="O829" s="257">
        <v>0</v>
      </c>
      <c r="P829" s="257">
        <v>0</v>
      </c>
      <c r="Q829" s="258">
        <v>0</v>
      </c>
    </row>
    <row r="830" spans="1:17">
      <c r="A830" s="256">
        <v>1</v>
      </c>
      <c r="B830" s="256">
        <v>8831614</v>
      </c>
      <c r="C830" s="256">
        <v>883161400</v>
      </c>
      <c r="D830" s="256" t="s">
        <v>538</v>
      </c>
      <c r="E830" s="256" t="s">
        <v>539</v>
      </c>
      <c r="F830" s="256" t="s">
        <v>821</v>
      </c>
      <c r="G830" s="256" t="s">
        <v>91</v>
      </c>
      <c r="H830" s="256"/>
      <c r="I830" s="257">
        <v>256877</v>
      </c>
      <c r="J830" s="257">
        <v>0</v>
      </c>
      <c r="K830" s="257">
        <v>0</v>
      </c>
      <c r="L830" s="257">
        <v>0</v>
      </c>
      <c r="M830" s="257">
        <v>0</v>
      </c>
      <c r="N830" s="257">
        <v>256877</v>
      </c>
      <c r="O830" s="257">
        <v>0</v>
      </c>
      <c r="P830" s="257">
        <v>0</v>
      </c>
      <c r="Q830" s="258">
        <v>0</v>
      </c>
    </row>
    <row r="831" spans="1:17">
      <c r="A831" s="256">
        <v>1</v>
      </c>
      <c r="B831" s="256">
        <v>8831615</v>
      </c>
      <c r="C831" s="256">
        <v>883161500</v>
      </c>
      <c r="D831" s="256" t="s">
        <v>538</v>
      </c>
      <c r="E831" s="256" t="s">
        <v>539</v>
      </c>
      <c r="F831" s="256" t="s">
        <v>821</v>
      </c>
      <c r="G831" s="256" t="s">
        <v>89</v>
      </c>
      <c r="H831" s="256"/>
      <c r="I831" s="257">
        <v>42836</v>
      </c>
      <c r="J831" s="257">
        <v>0</v>
      </c>
      <c r="K831" s="257">
        <v>0</v>
      </c>
      <c r="L831" s="257">
        <v>0</v>
      </c>
      <c r="M831" s="257">
        <v>0</v>
      </c>
      <c r="N831" s="257">
        <v>42836</v>
      </c>
      <c r="O831" s="257">
        <v>0</v>
      </c>
      <c r="P831" s="257">
        <v>0</v>
      </c>
      <c r="Q831" s="258">
        <v>0</v>
      </c>
    </row>
    <row r="832" spans="1:17">
      <c r="A832" s="256">
        <v>1</v>
      </c>
      <c r="B832" s="256">
        <v>8831617</v>
      </c>
      <c r="C832" s="256">
        <v>883161700</v>
      </c>
      <c r="D832" s="256" t="s">
        <v>538</v>
      </c>
      <c r="E832" s="256" t="s">
        <v>539</v>
      </c>
      <c r="F832" s="256" t="s">
        <v>821</v>
      </c>
      <c r="G832" s="256" t="s">
        <v>87</v>
      </c>
      <c r="H832" s="256"/>
      <c r="I832" s="257">
        <v>1404435</v>
      </c>
      <c r="J832" s="257">
        <v>0</v>
      </c>
      <c r="K832" s="257">
        <v>0</v>
      </c>
      <c r="L832" s="257">
        <v>0</v>
      </c>
      <c r="M832" s="257">
        <v>0</v>
      </c>
      <c r="N832" s="257">
        <v>1404435</v>
      </c>
      <c r="O832" s="257">
        <v>0</v>
      </c>
      <c r="P832" s="257">
        <v>0</v>
      </c>
      <c r="Q832" s="258">
        <v>0</v>
      </c>
    </row>
    <row r="833" spans="1:17">
      <c r="A833" s="256">
        <v>1</v>
      </c>
      <c r="B833" s="256">
        <v>8831619</v>
      </c>
      <c r="C833" s="256">
        <v>883161900</v>
      </c>
      <c r="D833" s="256" t="s">
        <v>538</v>
      </c>
      <c r="E833" s="256" t="s">
        <v>539</v>
      </c>
      <c r="F833" s="256" t="s">
        <v>821</v>
      </c>
      <c r="G833" s="256" t="s">
        <v>85</v>
      </c>
      <c r="H833" s="256"/>
      <c r="I833" s="257">
        <v>190945</v>
      </c>
      <c r="J833" s="257">
        <v>0</v>
      </c>
      <c r="K833" s="257">
        <v>0</v>
      </c>
      <c r="L833" s="257">
        <v>0</v>
      </c>
      <c r="M833" s="257">
        <v>0</v>
      </c>
      <c r="N833" s="257">
        <v>136081</v>
      </c>
      <c r="O833" s="257">
        <v>54864</v>
      </c>
      <c r="P833" s="257">
        <v>0</v>
      </c>
      <c r="Q833" s="258">
        <v>0</v>
      </c>
    </row>
    <row r="834" spans="1:17">
      <c r="A834" s="256">
        <v>1</v>
      </c>
      <c r="B834" s="256">
        <v>8831620</v>
      </c>
      <c r="C834" s="256">
        <v>883162000</v>
      </c>
      <c r="D834" s="256" t="s">
        <v>538</v>
      </c>
      <c r="E834" s="256" t="s">
        <v>539</v>
      </c>
      <c r="F834" s="256" t="s">
        <v>821</v>
      </c>
      <c r="G834" s="256" t="s">
        <v>83</v>
      </c>
      <c r="H834" s="256"/>
      <c r="I834" s="257">
        <v>32908077</v>
      </c>
      <c r="J834" s="257">
        <v>0</v>
      </c>
      <c r="K834" s="257">
        <v>0</v>
      </c>
      <c r="L834" s="257">
        <v>0</v>
      </c>
      <c r="M834" s="257">
        <v>0</v>
      </c>
      <c r="N834" s="257">
        <v>32908077</v>
      </c>
      <c r="O834" s="257">
        <v>0</v>
      </c>
      <c r="P834" s="257">
        <v>0</v>
      </c>
      <c r="Q834" s="258">
        <v>0</v>
      </c>
    </row>
    <row r="835" spans="1:17">
      <c r="A835" s="256">
        <v>1</v>
      </c>
      <c r="B835" s="256">
        <v>8831621</v>
      </c>
      <c r="C835" s="256">
        <v>883162100</v>
      </c>
      <c r="D835" s="256" t="s">
        <v>538</v>
      </c>
      <c r="E835" s="256" t="s">
        <v>539</v>
      </c>
      <c r="F835" s="256" t="s">
        <v>821</v>
      </c>
      <c r="G835" s="256" t="s">
        <v>81</v>
      </c>
      <c r="H835" s="256"/>
      <c r="I835" s="257">
        <v>38947557</v>
      </c>
      <c r="J835" s="257">
        <v>0</v>
      </c>
      <c r="K835" s="257">
        <v>0</v>
      </c>
      <c r="L835" s="257">
        <v>0</v>
      </c>
      <c r="M835" s="257">
        <v>0</v>
      </c>
      <c r="N835" s="257">
        <v>38947557</v>
      </c>
      <c r="O835" s="257">
        <v>0</v>
      </c>
      <c r="P835" s="257">
        <v>0</v>
      </c>
      <c r="Q835" s="258">
        <v>0</v>
      </c>
    </row>
    <row r="836" spans="1:17">
      <c r="A836" s="256">
        <v>1</v>
      </c>
      <c r="B836" s="256">
        <v>8831623</v>
      </c>
      <c r="C836" s="256">
        <v>883162300</v>
      </c>
      <c r="D836" s="256" t="s">
        <v>538</v>
      </c>
      <c r="E836" s="256" t="s">
        <v>539</v>
      </c>
      <c r="F836" s="256" t="s">
        <v>821</v>
      </c>
      <c r="G836" s="256" t="s">
        <v>79</v>
      </c>
      <c r="H836" s="256"/>
      <c r="I836" s="257">
        <v>1396111</v>
      </c>
      <c r="J836" s="257">
        <v>0</v>
      </c>
      <c r="K836" s="257">
        <v>0</v>
      </c>
      <c r="L836" s="257">
        <v>0</v>
      </c>
      <c r="M836" s="257">
        <v>0</v>
      </c>
      <c r="N836" s="257">
        <v>1396111</v>
      </c>
      <c r="O836" s="257">
        <v>0</v>
      </c>
      <c r="P836" s="257">
        <v>0</v>
      </c>
      <c r="Q836" s="258">
        <v>0</v>
      </c>
    </row>
    <row r="837" spans="1:17">
      <c r="A837" s="256">
        <v>1</v>
      </c>
      <c r="B837" s="256">
        <v>8831624</v>
      </c>
      <c r="C837" s="256">
        <v>883162400</v>
      </c>
      <c r="D837" s="256" t="s">
        <v>538</v>
      </c>
      <c r="E837" s="256" t="s">
        <v>539</v>
      </c>
      <c r="F837" s="256" t="s">
        <v>821</v>
      </c>
      <c r="G837" s="256" t="s">
        <v>77</v>
      </c>
      <c r="H837" s="256"/>
      <c r="I837" s="257">
        <v>0</v>
      </c>
      <c r="J837" s="257">
        <v>0</v>
      </c>
      <c r="K837" s="257">
        <v>0</v>
      </c>
      <c r="L837" s="257">
        <v>0</v>
      </c>
      <c r="M837" s="257">
        <v>0</v>
      </c>
      <c r="N837" s="257">
        <v>0</v>
      </c>
      <c r="O837" s="257">
        <v>0</v>
      </c>
      <c r="P837" s="257">
        <v>0</v>
      </c>
      <c r="Q837" s="258">
        <v>0</v>
      </c>
    </row>
    <row r="838" spans="1:17">
      <c r="A838" s="256">
        <v>1</v>
      </c>
      <c r="B838" s="256">
        <v>8831625</v>
      </c>
      <c r="C838" s="256">
        <v>883162500</v>
      </c>
      <c r="D838" s="256" t="s">
        <v>538</v>
      </c>
      <c r="E838" s="256" t="s">
        <v>539</v>
      </c>
      <c r="F838" s="256" t="s">
        <v>821</v>
      </c>
      <c r="G838" s="256" t="s">
        <v>75</v>
      </c>
      <c r="H838" s="256"/>
      <c r="I838" s="257">
        <v>0</v>
      </c>
      <c r="J838" s="257">
        <v>0</v>
      </c>
      <c r="K838" s="257">
        <v>0</v>
      </c>
      <c r="L838" s="257">
        <v>0</v>
      </c>
      <c r="M838" s="257">
        <v>0</v>
      </c>
      <c r="N838" s="257">
        <v>0</v>
      </c>
      <c r="O838" s="257">
        <v>0</v>
      </c>
      <c r="P838" s="257">
        <v>0</v>
      </c>
      <c r="Q838" s="258">
        <v>0</v>
      </c>
    </row>
    <row r="839" spans="1:17">
      <c r="A839" s="256">
        <v>1</v>
      </c>
      <c r="B839" s="256">
        <v>8831628</v>
      </c>
      <c r="C839" s="256">
        <v>883162866</v>
      </c>
      <c r="D839" s="256" t="s">
        <v>538</v>
      </c>
      <c r="E839" s="256" t="s">
        <v>539</v>
      </c>
      <c r="F839" s="256" t="s">
        <v>821</v>
      </c>
      <c r="G839" s="256" t="s">
        <v>811</v>
      </c>
      <c r="H839" s="256" t="s">
        <v>812</v>
      </c>
      <c r="I839" s="257">
        <v>0</v>
      </c>
      <c r="J839" s="257">
        <v>0</v>
      </c>
      <c r="K839" s="257">
        <v>0</v>
      </c>
      <c r="L839" s="257">
        <v>0</v>
      </c>
      <c r="M839" s="257">
        <v>0</v>
      </c>
      <c r="N839" s="257">
        <v>0</v>
      </c>
      <c r="O839" s="257">
        <v>0</v>
      </c>
      <c r="P839" s="257">
        <v>0</v>
      </c>
      <c r="Q839" s="258">
        <v>0</v>
      </c>
    </row>
    <row r="840" spans="1:17">
      <c r="A840" s="256">
        <v>1</v>
      </c>
      <c r="B840" s="256">
        <v>8831628</v>
      </c>
      <c r="C840" s="256">
        <v>883162867</v>
      </c>
      <c r="D840" s="256" t="s">
        <v>538</v>
      </c>
      <c r="E840" s="256" t="s">
        <v>539</v>
      </c>
      <c r="F840" s="256" t="s">
        <v>821</v>
      </c>
      <c r="G840" s="256" t="s">
        <v>811</v>
      </c>
      <c r="H840" s="256" t="s">
        <v>813</v>
      </c>
      <c r="I840" s="257">
        <v>0</v>
      </c>
      <c r="J840" s="257">
        <v>0</v>
      </c>
      <c r="K840" s="257">
        <v>0</v>
      </c>
      <c r="L840" s="257">
        <v>0</v>
      </c>
      <c r="M840" s="257">
        <v>0</v>
      </c>
      <c r="N840" s="257">
        <v>0</v>
      </c>
      <c r="O840" s="257">
        <v>0</v>
      </c>
      <c r="P840" s="257">
        <v>0</v>
      </c>
      <c r="Q840" s="258">
        <v>0</v>
      </c>
    </row>
    <row r="841" spans="1:17">
      <c r="A841" s="256">
        <v>1</v>
      </c>
      <c r="B841" s="256">
        <v>8831629</v>
      </c>
      <c r="C841" s="256">
        <v>883162900</v>
      </c>
      <c r="D841" s="256" t="s">
        <v>538</v>
      </c>
      <c r="E841" s="256" t="s">
        <v>539</v>
      </c>
      <c r="F841" s="256" t="s">
        <v>821</v>
      </c>
      <c r="G841" s="256" t="s">
        <v>66</v>
      </c>
      <c r="H841" s="256"/>
      <c r="I841" s="257">
        <v>0</v>
      </c>
      <c r="J841" s="257">
        <v>0</v>
      </c>
      <c r="K841" s="257">
        <v>0</v>
      </c>
      <c r="L841" s="257">
        <v>0</v>
      </c>
      <c r="M841" s="257">
        <v>0</v>
      </c>
      <c r="N841" s="257">
        <v>0</v>
      </c>
      <c r="O841" s="257">
        <v>0</v>
      </c>
      <c r="P841" s="257">
        <v>0</v>
      </c>
      <c r="Q841" s="258">
        <v>0</v>
      </c>
    </row>
    <row r="842" spans="1:17">
      <c r="A842" s="256">
        <v>1</v>
      </c>
      <c r="B842" s="256">
        <v>8831630</v>
      </c>
      <c r="C842" s="256">
        <v>883163000</v>
      </c>
      <c r="D842" s="256" t="s">
        <v>538</v>
      </c>
      <c r="E842" s="256" t="s">
        <v>539</v>
      </c>
      <c r="F842" s="256" t="s">
        <v>821</v>
      </c>
      <c r="G842" s="256" t="s">
        <v>64</v>
      </c>
      <c r="H842" s="256"/>
      <c r="I842" s="257">
        <v>0</v>
      </c>
      <c r="J842" s="257">
        <v>0</v>
      </c>
      <c r="K842" s="257">
        <v>0</v>
      </c>
      <c r="L842" s="257">
        <v>0</v>
      </c>
      <c r="M842" s="257">
        <v>0</v>
      </c>
      <c r="N842" s="257">
        <v>0</v>
      </c>
      <c r="O842" s="257">
        <v>0</v>
      </c>
      <c r="P842" s="257">
        <v>0</v>
      </c>
      <c r="Q842" s="258">
        <v>0</v>
      </c>
    </row>
    <row r="843" spans="1:17">
      <c r="A843" s="256">
        <v>1</v>
      </c>
      <c r="B843" s="256">
        <v>8831631</v>
      </c>
      <c r="C843" s="256">
        <v>883163100</v>
      </c>
      <c r="D843" s="256" t="s">
        <v>538</v>
      </c>
      <c r="E843" s="256" t="s">
        <v>539</v>
      </c>
      <c r="F843" s="256" t="s">
        <v>821</v>
      </c>
      <c r="G843" s="256" t="s">
        <v>62</v>
      </c>
      <c r="H843" s="256"/>
      <c r="I843" s="257">
        <v>111850504</v>
      </c>
      <c r="J843" s="257">
        <v>0</v>
      </c>
      <c r="K843" s="257">
        <v>0</v>
      </c>
      <c r="L843" s="257">
        <v>0</v>
      </c>
      <c r="M843" s="257">
        <v>0</v>
      </c>
      <c r="N843" s="257">
        <v>106451181</v>
      </c>
      <c r="O843" s="257">
        <v>0</v>
      </c>
      <c r="P843" s="257">
        <v>5399323</v>
      </c>
      <c r="Q843" s="258">
        <v>0</v>
      </c>
    </row>
    <row r="844" spans="1:17">
      <c r="A844" s="256">
        <v>1</v>
      </c>
      <c r="B844" s="256">
        <v>8831633</v>
      </c>
      <c r="C844" s="256">
        <v>883163300</v>
      </c>
      <c r="D844" s="256" t="s">
        <v>538</v>
      </c>
      <c r="E844" s="256" t="s">
        <v>539</v>
      </c>
      <c r="F844" s="256" t="s">
        <v>821</v>
      </c>
      <c r="G844" s="256" t="s">
        <v>822</v>
      </c>
      <c r="H844" s="256"/>
      <c r="I844" s="257">
        <v>0</v>
      </c>
      <c r="J844" s="257">
        <v>0</v>
      </c>
      <c r="K844" s="257">
        <v>0</v>
      </c>
      <c r="L844" s="257">
        <v>0</v>
      </c>
      <c r="M844" s="257">
        <v>0</v>
      </c>
      <c r="N844" s="257">
        <v>0</v>
      </c>
      <c r="O844" s="257">
        <v>0</v>
      </c>
      <c r="P844" s="257">
        <v>0</v>
      </c>
      <c r="Q844" s="258">
        <v>0</v>
      </c>
    </row>
    <row r="845" spans="1:17">
      <c r="A845" s="256">
        <v>1</v>
      </c>
      <c r="B845" s="256">
        <v>8831636</v>
      </c>
      <c r="C845" s="256">
        <v>883163600</v>
      </c>
      <c r="D845" s="256" t="s">
        <v>538</v>
      </c>
      <c r="E845" s="256" t="s">
        <v>539</v>
      </c>
      <c r="F845" s="256" t="s">
        <v>821</v>
      </c>
      <c r="G845" s="256" t="s">
        <v>823</v>
      </c>
      <c r="H845" s="256"/>
      <c r="I845" s="257">
        <v>2892</v>
      </c>
      <c r="J845" s="257">
        <v>0</v>
      </c>
      <c r="K845" s="257">
        <v>0</v>
      </c>
      <c r="L845" s="257">
        <v>0</v>
      </c>
      <c r="M845" s="257">
        <v>0</v>
      </c>
      <c r="N845" s="257">
        <v>2892</v>
      </c>
      <c r="O845" s="257">
        <v>0</v>
      </c>
      <c r="P845" s="257">
        <v>0</v>
      </c>
      <c r="Q845" s="258">
        <v>0</v>
      </c>
    </row>
    <row r="846" spans="1:17">
      <c r="A846" s="256">
        <v>1</v>
      </c>
      <c r="B846" s="256">
        <v>8831637</v>
      </c>
      <c r="C846" s="256">
        <v>883163700</v>
      </c>
      <c r="D846" s="256" t="s">
        <v>538</v>
      </c>
      <c r="E846" s="256" t="s">
        <v>539</v>
      </c>
      <c r="F846" s="256" t="s">
        <v>821</v>
      </c>
      <c r="G846" s="256" t="s">
        <v>60</v>
      </c>
      <c r="H846" s="256"/>
      <c r="I846" s="257">
        <v>0</v>
      </c>
      <c r="J846" s="257">
        <v>0</v>
      </c>
      <c r="K846" s="257">
        <v>0</v>
      </c>
      <c r="L846" s="257">
        <v>0</v>
      </c>
      <c r="M846" s="257">
        <v>0</v>
      </c>
      <c r="N846" s="257">
        <v>0</v>
      </c>
      <c r="O846" s="257">
        <v>0</v>
      </c>
      <c r="P846" s="257">
        <v>0</v>
      </c>
      <c r="Q846" s="258">
        <v>0</v>
      </c>
    </row>
    <row r="847" spans="1:17">
      <c r="A847" s="256">
        <v>1</v>
      </c>
      <c r="B847" s="256">
        <v>8831639</v>
      </c>
      <c r="C847" s="256">
        <v>883163900</v>
      </c>
      <c r="D847" s="256" t="s">
        <v>538</v>
      </c>
      <c r="E847" s="256" t="s">
        <v>539</v>
      </c>
      <c r="F847" s="256" t="s">
        <v>821</v>
      </c>
      <c r="G847" s="256" t="s">
        <v>58</v>
      </c>
      <c r="H847" s="256"/>
      <c r="I847" s="257">
        <v>3828947</v>
      </c>
      <c r="J847" s="257">
        <v>0</v>
      </c>
      <c r="K847" s="257">
        <v>0</v>
      </c>
      <c r="L847" s="257">
        <v>0</v>
      </c>
      <c r="M847" s="257">
        <v>0</v>
      </c>
      <c r="N847" s="257">
        <v>0</v>
      </c>
      <c r="O847" s="257">
        <v>3828947</v>
      </c>
      <c r="P847" s="257">
        <v>0</v>
      </c>
      <c r="Q847" s="258">
        <v>0</v>
      </c>
    </row>
    <row r="848" spans="1:17">
      <c r="A848" s="256">
        <v>1</v>
      </c>
      <c r="B848" s="256">
        <v>8831640</v>
      </c>
      <c r="C848" s="256">
        <v>883164000</v>
      </c>
      <c r="D848" s="256" t="s">
        <v>538</v>
      </c>
      <c r="E848" s="256" t="s">
        <v>539</v>
      </c>
      <c r="F848" s="256" t="s">
        <v>821</v>
      </c>
      <c r="G848" s="256" t="s">
        <v>56</v>
      </c>
      <c r="H848" s="256"/>
      <c r="I848" s="257">
        <v>16361</v>
      </c>
      <c r="J848" s="257">
        <v>0</v>
      </c>
      <c r="K848" s="257">
        <v>0</v>
      </c>
      <c r="L848" s="257">
        <v>0</v>
      </c>
      <c r="M848" s="257">
        <v>0</v>
      </c>
      <c r="N848" s="257">
        <v>0</v>
      </c>
      <c r="O848" s="257">
        <v>5000</v>
      </c>
      <c r="P848" s="257">
        <v>11361</v>
      </c>
      <c r="Q848" s="258">
        <v>0</v>
      </c>
    </row>
    <row r="849" spans="1:17">
      <c r="A849" s="256">
        <v>1</v>
      </c>
      <c r="B849" s="256">
        <v>8831641</v>
      </c>
      <c r="C849" s="256">
        <v>883164100</v>
      </c>
      <c r="D849" s="256" t="s">
        <v>538</v>
      </c>
      <c r="E849" s="256" t="s">
        <v>539</v>
      </c>
      <c r="F849" s="256" t="s">
        <v>821</v>
      </c>
      <c r="G849" s="256" t="s">
        <v>55</v>
      </c>
      <c r="H849" s="256"/>
      <c r="I849" s="257">
        <v>0</v>
      </c>
      <c r="J849" s="257">
        <v>0</v>
      </c>
      <c r="K849" s="257">
        <v>0</v>
      </c>
      <c r="L849" s="257">
        <v>0</v>
      </c>
      <c r="M849" s="257">
        <v>0</v>
      </c>
      <c r="N849" s="257">
        <v>0</v>
      </c>
      <c r="O849" s="257">
        <v>0</v>
      </c>
      <c r="P849" s="257">
        <v>0</v>
      </c>
      <c r="Q849" s="258">
        <v>0</v>
      </c>
    </row>
    <row r="850" spans="1:17">
      <c r="A850" s="256">
        <v>1</v>
      </c>
      <c r="B850" s="256">
        <v>8831642</v>
      </c>
      <c r="C850" s="256">
        <v>883164201</v>
      </c>
      <c r="D850" s="256" t="s">
        <v>538</v>
      </c>
      <c r="E850" s="256" t="s">
        <v>539</v>
      </c>
      <c r="F850" s="256" t="s">
        <v>821</v>
      </c>
      <c r="G850" s="256" t="s">
        <v>53</v>
      </c>
      <c r="H850" s="256" t="s">
        <v>108</v>
      </c>
      <c r="I850" s="257">
        <v>13469000</v>
      </c>
      <c r="J850" s="257">
        <v>0</v>
      </c>
      <c r="K850" s="257">
        <v>0</v>
      </c>
      <c r="L850" s="257">
        <v>0</v>
      </c>
      <c r="M850" s="257">
        <v>0</v>
      </c>
      <c r="N850" s="257">
        <v>0</v>
      </c>
      <c r="O850" s="257">
        <v>0</v>
      </c>
      <c r="P850" s="257">
        <v>13469000</v>
      </c>
      <c r="Q850" s="258">
        <v>0</v>
      </c>
    </row>
    <row r="851" spans="1:17">
      <c r="A851" s="256">
        <v>1</v>
      </c>
      <c r="B851" s="256">
        <v>8831642</v>
      </c>
      <c r="C851" s="256">
        <v>883164202</v>
      </c>
      <c r="D851" s="256" t="s">
        <v>538</v>
      </c>
      <c r="E851" s="256" t="s">
        <v>539</v>
      </c>
      <c r="F851" s="256" t="s">
        <v>821</v>
      </c>
      <c r="G851" s="256" t="s">
        <v>53</v>
      </c>
      <c r="H851" s="256" t="s">
        <v>106</v>
      </c>
      <c r="I851" s="257">
        <v>2703000</v>
      </c>
      <c r="J851" s="257">
        <v>0</v>
      </c>
      <c r="K851" s="257">
        <v>0</v>
      </c>
      <c r="L851" s="257">
        <v>0</v>
      </c>
      <c r="M851" s="257">
        <v>0</v>
      </c>
      <c r="N851" s="257">
        <v>0</v>
      </c>
      <c r="O851" s="257">
        <v>0</v>
      </c>
      <c r="P851" s="257">
        <v>2703000</v>
      </c>
      <c r="Q851" s="258">
        <v>0</v>
      </c>
    </row>
    <row r="852" spans="1:17">
      <c r="A852" s="256">
        <v>1</v>
      </c>
      <c r="B852" s="256">
        <v>8831643</v>
      </c>
      <c r="C852" s="256">
        <v>883164301</v>
      </c>
      <c r="D852" s="256" t="s">
        <v>538</v>
      </c>
      <c r="E852" s="256" t="s">
        <v>539</v>
      </c>
      <c r="F852" s="256" t="s">
        <v>821</v>
      </c>
      <c r="G852" s="256" t="s">
        <v>824</v>
      </c>
      <c r="H852" s="256" t="s">
        <v>688</v>
      </c>
      <c r="I852" s="257">
        <v>0</v>
      </c>
      <c r="J852" s="257">
        <v>0</v>
      </c>
      <c r="K852" s="257">
        <v>0</v>
      </c>
      <c r="L852" s="257">
        <v>0</v>
      </c>
      <c r="M852" s="257">
        <v>0</v>
      </c>
      <c r="N852" s="257">
        <v>0</v>
      </c>
      <c r="O852" s="257">
        <v>0</v>
      </c>
      <c r="P852" s="257">
        <v>0</v>
      </c>
      <c r="Q852" s="258">
        <v>0</v>
      </c>
    </row>
    <row r="853" spans="1:17">
      <c r="A853" s="256">
        <v>1</v>
      </c>
      <c r="B853" s="256">
        <v>8831643</v>
      </c>
      <c r="C853" s="256">
        <v>883164302</v>
      </c>
      <c r="D853" s="256" t="s">
        <v>538</v>
      </c>
      <c r="E853" s="256" t="s">
        <v>539</v>
      </c>
      <c r="F853" s="256" t="s">
        <v>821</v>
      </c>
      <c r="G853" s="256" t="s">
        <v>824</v>
      </c>
      <c r="H853" s="256" t="s">
        <v>664</v>
      </c>
      <c r="I853" s="257">
        <v>257863</v>
      </c>
      <c r="J853" s="257">
        <v>0</v>
      </c>
      <c r="K853" s="257">
        <v>0</v>
      </c>
      <c r="L853" s="257">
        <v>0</v>
      </c>
      <c r="M853" s="257">
        <v>0</v>
      </c>
      <c r="N853" s="257">
        <v>0</v>
      </c>
      <c r="O853" s="257">
        <v>0</v>
      </c>
      <c r="P853" s="257">
        <v>257863</v>
      </c>
      <c r="Q853" s="258">
        <v>0</v>
      </c>
    </row>
    <row r="854" spans="1:17">
      <c r="A854" s="256">
        <v>1</v>
      </c>
      <c r="B854" s="256">
        <v>8831643</v>
      </c>
      <c r="C854" s="256">
        <v>883164304</v>
      </c>
      <c r="D854" s="256" t="s">
        <v>538</v>
      </c>
      <c r="E854" s="256" t="s">
        <v>539</v>
      </c>
      <c r="F854" s="256" t="s">
        <v>821</v>
      </c>
      <c r="G854" s="256" t="s">
        <v>824</v>
      </c>
      <c r="H854" s="256" t="s">
        <v>675</v>
      </c>
      <c r="I854" s="257">
        <v>145321</v>
      </c>
      <c r="J854" s="257">
        <v>0</v>
      </c>
      <c r="K854" s="257">
        <v>0</v>
      </c>
      <c r="L854" s="257">
        <v>0</v>
      </c>
      <c r="M854" s="257">
        <v>0</v>
      </c>
      <c r="N854" s="257">
        <v>0</v>
      </c>
      <c r="O854" s="257">
        <v>0</v>
      </c>
      <c r="P854" s="257">
        <v>145321</v>
      </c>
      <c r="Q854" s="258">
        <v>0</v>
      </c>
    </row>
    <row r="855" spans="1:17">
      <c r="A855" s="256">
        <v>1</v>
      </c>
      <c r="B855" s="256">
        <v>8831643</v>
      </c>
      <c r="C855" s="256">
        <v>883164305</v>
      </c>
      <c r="D855" s="256" t="s">
        <v>538</v>
      </c>
      <c r="E855" s="256" t="s">
        <v>539</v>
      </c>
      <c r="F855" s="256" t="s">
        <v>821</v>
      </c>
      <c r="G855" s="256" t="s">
        <v>824</v>
      </c>
      <c r="H855" s="256" t="s">
        <v>676</v>
      </c>
      <c r="I855" s="257">
        <v>0</v>
      </c>
      <c r="J855" s="257">
        <v>0</v>
      </c>
      <c r="K855" s="257">
        <v>0</v>
      </c>
      <c r="L855" s="257">
        <v>0</v>
      </c>
      <c r="M855" s="257">
        <v>0</v>
      </c>
      <c r="N855" s="257">
        <v>0</v>
      </c>
      <c r="O855" s="257">
        <v>0</v>
      </c>
      <c r="P855" s="257">
        <v>0</v>
      </c>
      <c r="Q855" s="258">
        <v>0</v>
      </c>
    </row>
    <row r="856" spans="1:17">
      <c r="A856" s="236">
        <v>1</v>
      </c>
      <c r="B856" s="236">
        <v>8831643</v>
      </c>
      <c r="C856" s="289" t="s">
        <v>825</v>
      </c>
      <c r="D856" s="236" t="s">
        <v>538</v>
      </c>
      <c r="E856" s="236" t="s">
        <v>539</v>
      </c>
      <c r="F856" s="236" t="s">
        <v>821</v>
      </c>
      <c r="G856" s="236" t="s">
        <v>824</v>
      </c>
      <c r="H856" s="236" t="s">
        <v>676</v>
      </c>
      <c r="I856" s="257">
        <v>94500</v>
      </c>
      <c r="J856" s="257">
        <v>0</v>
      </c>
      <c r="K856" s="257">
        <v>0</v>
      </c>
      <c r="L856" s="257">
        <v>0</v>
      </c>
      <c r="M856" s="257">
        <v>0</v>
      </c>
      <c r="N856" s="257">
        <v>0</v>
      </c>
      <c r="O856" s="257">
        <v>0</v>
      </c>
      <c r="P856" s="257">
        <v>94500</v>
      </c>
      <c r="Q856" s="258">
        <v>0</v>
      </c>
    </row>
    <row r="857" spans="1:17">
      <c r="A857" s="256">
        <v>1</v>
      </c>
      <c r="B857" s="256">
        <v>8832043</v>
      </c>
      <c r="C857" s="256">
        <v>883204370</v>
      </c>
      <c r="D857" s="256" t="s">
        <v>538</v>
      </c>
      <c r="E857" s="256" t="s">
        <v>539</v>
      </c>
      <c r="F857" s="256" t="s">
        <v>826</v>
      </c>
      <c r="G857" s="256" t="s">
        <v>827</v>
      </c>
      <c r="H857" s="256" t="s">
        <v>492</v>
      </c>
      <c r="I857" s="257">
        <v>736845633</v>
      </c>
      <c r="J857" s="257">
        <v>0</v>
      </c>
      <c r="K857" s="257">
        <v>0</v>
      </c>
      <c r="L857" s="257">
        <v>0</v>
      </c>
      <c r="M857" s="257">
        <v>0</v>
      </c>
      <c r="N857" s="257">
        <v>0</v>
      </c>
      <c r="O857" s="257">
        <v>0</v>
      </c>
      <c r="P857" s="257">
        <v>736845633</v>
      </c>
      <c r="Q857" s="258">
        <v>0</v>
      </c>
    </row>
    <row r="858" spans="1:17">
      <c r="A858" s="256">
        <v>1</v>
      </c>
      <c r="B858" s="256">
        <v>8832043</v>
      </c>
      <c r="C858" s="256">
        <v>883204371</v>
      </c>
      <c r="D858" s="256" t="s">
        <v>538</v>
      </c>
      <c r="E858" s="256" t="s">
        <v>539</v>
      </c>
      <c r="F858" s="256" t="s">
        <v>826</v>
      </c>
      <c r="G858" s="256" t="s">
        <v>827</v>
      </c>
      <c r="H858" s="256" t="s">
        <v>491</v>
      </c>
      <c r="I858" s="257">
        <v>20069115278</v>
      </c>
      <c r="J858" s="257">
        <v>0</v>
      </c>
      <c r="K858" s="257">
        <v>0</v>
      </c>
      <c r="L858" s="257">
        <v>0</v>
      </c>
      <c r="M858" s="257">
        <v>0</v>
      </c>
      <c r="N858" s="257">
        <v>0</v>
      </c>
      <c r="O858" s="257">
        <v>0</v>
      </c>
      <c r="P858" s="257">
        <v>20069115278</v>
      </c>
      <c r="Q858" s="258">
        <v>0</v>
      </c>
    </row>
    <row r="859" spans="1:17">
      <c r="A859" s="256">
        <v>1</v>
      </c>
      <c r="B859" s="256">
        <v>8832043</v>
      </c>
      <c r="C859" s="256">
        <v>883204372</v>
      </c>
      <c r="D859" s="256" t="s">
        <v>538</v>
      </c>
      <c r="E859" s="256" t="s">
        <v>539</v>
      </c>
      <c r="F859" s="256" t="s">
        <v>826</v>
      </c>
      <c r="G859" s="256" t="s">
        <v>827</v>
      </c>
      <c r="H859" s="256" t="s">
        <v>490</v>
      </c>
      <c r="I859" s="257">
        <v>4457068757</v>
      </c>
      <c r="J859" s="257">
        <v>0</v>
      </c>
      <c r="K859" s="257">
        <v>0</v>
      </c>
      <c r="L859" s="257">
        <v>0</v>
      </c>
      <c r="M859" s="257">
        <v>0</v>
      </c>
      <c r="N859" s="257">
        <v>0</v>
      </c>
      <c r="O859" s="257">
        <v>0</v>
      </c>
      <c r="P859" s="257">
        <v>4457068757</v>
      </c>
      <c r="Q859" s="258">
        <v>0</v>
      </c>
    </row>
    <row r="860" spans="1:17">
      <c r="A860" s="256">
        <v>1</v>
      </c>
      <c r="B860" s="256">
        <v>8832043</v>
      </c>
      <c r="C860" s="256">
        <v>883204373</v>
      </c>
      <c r="D860" s="256" t="s">
        <v>538</v>
      </c>
      <c r="E860" s="256" t="s">
        <v>539</v>
      </c>
      <c r="F860" s="256" t="s">
        <v>826</v>
      </c>
      <c r="G860" s="256" t="s">
        <v>827</v>
      </c>
      <c r="H860" s="256" t="s">
        <v>489</v>
      </c>
      <c r="I860" s="257">
        <v>4222403</v>
      </c>
      <c r="J860" s="257">
        <v>0</v>
      </c>
      <c r="K860" s="257">
        <v>0</v>
      </c>
      <c r="L860" s="257">
        <v>0</v>
      </c>
      <c r="M860" s="257">
        <v>0</v>
      </c>
      <c r="N860" s="257">
        <v>0</v>
      </c>
      <c r="O860" s="257">
        <v>0</v>
      </c>
      <c r="P860" s="257">
        <v>4222403</v>
      </c>
      <c r="Q860" s="258">
        <v>0</v>
      </c>
    </row>
    <row r="861" spans="1:17">
      <c r="A861" s="256">
        <v>1</v>
      </c>
      <c r="B861" s="256">
        <v>8832043</v>
      </c>
      <c r="C861" s="256">
        <v>883204374</v>
      </c>
      <c r="D861" s="256" t="s">
        <v>538</v>
      </c>
      <c r="E861" s="256" t="s">
        <v>539</v>
      </c>
      <c r="F861" s="256" t="s">
        <v>826</v>
      </c>
      <c r="G861" s="256" t="s">
        <v>827</v>
      </c>
      <c r="H861" s="256" t="s">
        <v>488</v>
      </c>
      <c r="I861" s="257">
        <v>5635044</v>
      </c>
      <c r="J861" s="257">
        <v>0</v>
      </c>
      <c r="K861" s="257">
        <v>0</v>
      </c>
      <c r="L861" s="257">
        <v>0</v>
      </c>
      <c r="M861" s="257">
        <v>0</v>
      </c>
      <c r="N861" s="257">
        <v>0</v>
      </c>
      <c r="O861" s="257">
        <v>0</v>
      </c>
      <c r="P861" s="257">
        <v>5635044</v>
      </c>
      <c r="Q861" s="258">
        <v>0</v>
      </c>
    </row>
    <row r="862" spans="1:17">
      <c r="A862" s="256">
        <v>1</v>
      </c>
      <c r="B862" s="256">
        <v>8832044</v>
      </c>
      <c r="C862" s="256">
        <v>883204475</v>
      </c>
      <c r="D862" s="256" t="s">
        <v>538</v>
      </c>
      <c r="E862" s="256" t="s">
        <v>539</v>
      </c>
      <c r="F862" s="256" t="s">
        <v>826</v>
      </c>
      <c r="G862" s="256" t="s">
        <v>828</v>
      </c>
      <c r="H862" s="256" t="s">
        <v>487</v>
      </c>
      <c r="I862" s="257">
        <v>0</v>
      </c>
      <c r="J862" s="257">
        <v>0</v>
      </c>
      <c r="K862" s="257">
        <v>0</v>
      </c>
      <c r="L862" s="257">
        <v>0</v>
      </c>
      <c r="M862" s="257">
        <v>0</v>
      </c>
      <c r="N862" s="257">
        <v>0</v>
      </c>
      <c r="O862" s="257">
        <v>0</v>
      </c>
      <c r="P862" s="257">
        <v>0</v>
      </c>
      <c r="Q862" s="258">
        <v>0</v>
      </c>
    </row>
    <row r="863" spans="1:17">
      <c r="A863" s="256">
        <v>1</v>
      </c>
      <c r="B863" s="256">
        <v>8832044</v>
      </c>
      <c r="C863" s="256">
        <v>883204476</v>
      </c>
      <c r="D863" s="256" t="s">
        <v>538</v>
      </c>
      <c r="E863" s="256" t="s">
        <v>539</v>
      </c>
      <c r="F863" s="256" t="s">
        <v>826</v>
      </c>
      <c r="G863" s="256" t="s">
        <v>828</v>
      </c>
      <c r="H863" s="256" t="s">
        <v>486</v>
      </c>
      <c r="I863" s="257">
        <v>238105</v>
      </c>
      <c r="J863" s="257">
        <v>0</v>
      </c>
      <c r="K863" s="257">
        <v>0</v>
      </c>
      <c r="L863" s="257">
        <v>0</v>
      </c>
      <c r="M863" s="257">
        <v>0</v>
      </c>
      <c r="N863" s="257">
        <v>0</v>
      </c>
      <c r="O863" s="257">
        <v>0</v>
      </c>
      <c r="P863" s="257">
        <v>238105</v>
      </c>
      <c r="Q863" s="258">
        <v>0</v>
      </c>
    </row>
    <row r="864" spans="1:17">
      <c r="A864" s="256">
        <v>1</v>
      </c>
      <c r="B864" s="256">
        <v>8832044</v>
      </c>
      <c r="C864" s="256">
        <v>883204477</v>
      </c>
      <c r="D864" s="256" t="s">
        <v>538</v>
      </c>
      <c r="E864" s="256" t="s">
        <v>539</v>
      </c>
      <c r="F864" s="256" t="s">
        <v>826</v>
      </c>
      <c r="G864" s="256" t="s">
        <v>828</v>
      </c>
      <c r="H864" s="256" t="s">
        <v>485</v>
      </c>
      <c r="I864" s="257">
        <v>446882476</v>
      </c>
      <c r="J864" s="257">
        <v>0</v>
      </c>
      <c r="K864" s="257">
        <v>0</v>
      </c>
      <c r="L864" s="257">
        <v>0</v>
      </c>
      <c r="M864" s="257">
        <v>0</v>
      </c>
      <c r="N864" s="257">
        <v>0</v>
      </c>
      <c r="O864" s="257">
        <v>0</v>
      </c>
      <c r="P864" s="257">
        <v>446882476</v>
      </c>
      <c r="Q864" s="258">
        <v>0</v>
      </c>
    </row>
    <row r="865" spans="1:17">
      <c r="A865" s="256">
        <v>1</v>
      </c>
      <c r="B865" s="256">
        <v>8832044</v>
      </c>
      <c r="C865" s="256">
        <v>883204478</v>
      </c>
      <c r="D865" s="256" t="s">
        <v>538</v>
      </c>
      <c r="E865" s="256" t="s">
        <v>539</v>
      </c>
      <c r="F865" s="256" t="s">
        <v>826</v>
      </c>
      <c r="G865" s="256" t="s">
        <v>828</v>
      </c>
      <c r="H865" s="256" t="s">
        <v>484</v>
      </c>
      <c r="I865" s="257">
        <v>0</v>
      </c>
      <c r="J865" s="257">
        <v>0</v>
      </c>
      <c r="K865" s="257">
        <v>0</v>
      </c>
      <c r="L865" s="257">
        <v>0</v>
      </c>
      <c r="M865" s="257">
        <v>0</v>
      </c>
      <c r="N865" s="257">
        <v>0</v>
      </c>
      <c r="O865" s="257">
        <v>0</v>
      </c>
      <c r="P865" s="257">
        <v>0</v>
      </c>
      <c r="Q865" s="258">
        <v>0</v>
      </c>
    </row>
    <row r="866" spans="1:17">
      <c r="A866" s="256">
        <v>1</v>
      </c>
      <c r="B866" s="256">
        <v>8832044</v>
      </c>
      <c r="C866" s="256">
        <v>883204479</v>
      </c>
      <c r="D866" s="256" t="s">
        <v>538</v>
      </c>
      <c r="E866" s="256" t="s">
        <v>539</v>
      </c>
      <c r="F866" s="256" t="s">
        <v>826</v>
      </c>
      <c r="G866" s="256" t="s">
        <v>828</v>
      </c>
      <c r="H866" s="256" t="s">
        <v>483</v>
      </c>
      <c r="I866" s="257">
        <v>210372</v>
      </c>
      <c r="J866" s="257">
        <v>0</v>
      </c>
      <c r="K866" s="257">
        <v>0</v>
      </c>
      <c r="L866" s="257">
        <v>0</v>
      </c>
      <c r="M866" s="257">
        <v>0</v>
      </c>
      <c r="N866" s="257">
        <v>0</v>
      </c>
      <c r="O866" s="257">
        <v>0</v>
      </c>
      <c r="P866" s="257">
        <v>210372</v>
      </c>
      <c r="Q866" s="258">
        <v>0</v>
      </c>
    </row>
    <row r="867" spans="1:17">
      <c r="A867" s="256">
        <v>1</v>
      </c>
      <c r="B867" s="256">
        <v>8832246</v>
      </c>
      <c r="C867" s="256">
        <v>883224600</v>
      </c>
      <c r="D867" s="256" t="s">
        <v>538</v>
      </c>
      <c r="E867" s="256" t="s">
        <v>539</v>
      </c>
      <c r="F867" s="256" t="s">
        <v>829</v>
      </c>
      <c r="G867" s="256" t="s">
        <v>495</v>
      </c>
      <c r="H867" s="256"/>
      <c r="I867" s="257">
        <v>495467840</v>
      </c>
      <c r="J867" s="257">
        <v>0</v>
      </c>
      <c r="K867" s="257">
        <v>0</v>
      </c>
      <c r="L867" s="257">
        <v>0</v>
      </c>
      <c r="M867" s="257">
        <v>0</v>
      </c>
      <c r="N867" s="257">
        <v>0</v>
      </c>
      <c r="O867" s="257">
        <v>0</v>
      </c>
      <c r="P867" s="257">
        <v>495467840</v>
      </c>
      <c r="Q867" s="258">
        <v>0</v>
      </c>
    </row>
    <row r="868" spans="1:17">
      <c r="A868" s="256">
        <v>1</v>
      </c>
      <c r="B868" s="256">
        <v>8832247</v>
      </c>
      <c r="C868" s="256">
        <v>883224700</v>
      </c>
      <c r="D868" s="256" t="s">
        <v>538</v>
      </c>
      <c r="E868" s="256" t="s">
        <v>539</v>
      </c>
      <c r="F868" s="256" t="s">
        <v>829</v>
      </c>
      <c r="G868" s="256" t="s">
        <v>494</v>
      </c>
      <c r="H868" s="256"/>
      <c r="I868" s="257">
        <v>0</v>
      </c>
      <c r="J868" s="257">
        <v>0</v>
      </c>
      <c r="K868" s="257">
        <v>0</v>
      </c>
      <c r="L868" s="257">
        <v>0</v>
      </c>
      <c r="M868" s="257">
        <v>0</v>
      </c>
      <c r="N868" s="257">
        <v>0</v>
      </c>
      <c r="O868" s="257">
        <v>0</v>
      </c>
      <c r="P868" s="257">
        <v>0</v>
      </c>
      <c r="Q868" s="258">
        <v>0</v>
      </c>
    </row>
    <row r="869" spans="1:17">
      <c r="A869" s="256">
        <v>1</v>
      </c>
      <c r="B869" s="256">
        <v>8840251</v>
      </c>
      <c r="C869" s="256">
        <v>884025180</v>
      </c>
      <c r="D869" s="256" t="s">
        <v>538</v>
      </c>
      <c r="E869" s="256" t="s">
        <v>8</v>
      </c>
      <c r="F869" s="256" t="s">
        <v>830</v>
      </c>
      <c r="G869" s="256" t="s">
        <v>831</v>
      </c>
      <c r="H869" s="256" t="s">
        <v>633</v>
      </c>
      <c r="I869" s="257">
        <v>3723784121</v>
      </c>
      <c r="J869" s="257">
        <v>0</v>
      </c>
      <c r="K869" s="257">
        <v>0</v>
      </c>
      <c r="L869" s="257">
        <v>0</v>
      </c>
      <c r="M869" s="257">
        <v>0</v>
      </c>
      <c r="N869" s="257">
        <v>0</v>
      </c>
      <c r="O869" s="257">
        <v>3723784121</v>
      </c>
      <c r="P869" s="257">
        <v>0</v>
      </c>
      <c r="Q869" s="258">
        <v>0</v>
      </c>
    </row>
    <row r="870" spans="1:17">
      <c r="A870" s="256">
        <v>1</v>
      </c>
      <c r="B870" s="256">
        <v>8840251</v>
      </c>
      <c r="C870" s="256">
        <v>884025181</v>
      </c>
      <c r="D870" s="256" t="s">
        <v>538</v>
      </c>
      <c r="E870" s="256" t="s">
        <v>8</v>
      </c>
      <c r="F870" s="256" t="s">
        <v>830</v>
      </c>
      <c r="G870" s="256" t="s">
        <v>831</v>
      </c>
      <c r="H870" s="256" t="s">
        <v>832</v>
      </c>
      <c r="I870" s="257">
        <v>0</v>
      </c>
      <c r="J870" s="257">
        <v>0</v>
      </c>
      <c r="K870" s="257">
        <v>0</v>
      </c>
      <c r="L870" s="257">
        <v>0</v>
      </c>
      <c r="M870" s="257">
        <v>0</v>
      </c>
      <c r="N870" s="257">
        <v>0</v>
      </c>
      <c r="O870" s="257">
        <v>0</v>
      </c>
      <c r="P870" s="257">
        <v>0</v>
      </c>
      <c r="Q870" s="258">
        <v>0</v>
      </c>
    </row>
    <row r="871" spans="1:17">
      <c r="A871" s="256">
        <v>1</v>
      </c>
      <c r="B871" s="256">
        <v>8840251</v>
      </c>
      <c r="C871" s="256">
        <v>884025182</v>
      </c>
      <c r="D871" s="256" t="s">
        <v>538</v>
      </c>
      <c r="E871" s="256" t="s">
        <v>8</v>
      </c>
      <c r="F871" s="256" t="s">
        <v>830</v>
      </c>
      <c r="G871" s="256" t="s">
        <v>831</v>
      </c>
      <c r="H871" s="256" t="s">
        <v>501</v>
      </c>
      <c r="I871" s="257">
        <v>0</v>
      </c>
      <c r="J871" s="257">
        <v>0</v>
      </c>
      <c r="K871" s="257">
        <v>0</v>
      </c>
      <c r="L871" s="257">
        <v>0</v>
      </c>
      <c r="M871" s="257">
        <v>0</v>
      </c>
      <c r="N871" s="257">
        <v>0</v>
      </c>
      <c r="O871" s="257">
        <v>0</v>
      </c>
      <c r="P871" s="257">
        <v>0</v>
      </c>
      <c r="Q871" s="258">
        <v>0</v>
      </c>
    </row>
    <row r="872" spans="1:17">
      <c r="A872" s="256">
        <v>1</v>
      </c>
      <c r="B872" s="256">
        <v>8840252</v>
      </c>
      <c r="C872" s="256">
        <v>884025200</v>
      </c>
      <c r="D872" s="256" t="s">
        <v>538</v>
      </c>
      <c r="E872" s="256" t="s">
        <v>8</v>
      </c>
      <c r="F872" s="256" t="s">
        <v>830</v>
      </c>
      <c r="G872" s="256" t="s">
        <v>504</v>
      </c>
      <c r="H872" s="256"/>
      <c r="I872" s="257">
        <v>60965516</v>
      </c>
      <c r="J872" s="257">
        <v>0</v>
      </c>
      <c r="K872" s="257">
        <v>0</v>
      </c>
      <c r="L872" s="257">
        <v>0</v>
      </c>
      <c r="M872" s="257">
        <v>0</v>
      </c>
      <c r="N872" s="257">
        <v>60965516</v>
      </c>
      <c r="O872" s="257">
        <v>0</v>
      </c>
      <c r="P872" s="257">
        <v>0</v>
      </c>
      <c r="Q872" s="258">
        <v>0</v>
      </c>
    </row>
    <row r="873" spans="1:17">
      <c r="A873" s="256">
        <v>1</v>
      </c>
      <c r="B873" s="256">
        <v>8840253</v>
      </c>
      <c r="C873" s="256">
        <v>884025300</v>
      </c>
      <c r="D873" s="256" t="s">
        <v>538</v>
      </c>
      <c r="E873" s="256" t="s">
        <v>8</v>
      </c>
      <c r="F873" s="256" t="s">
        <v>830</v>
      </c>
      <c r="G873" s="256" t="s">
        <v>503</v>
      </c>
      <c r="H873" s="256"/>
      <c r="I873" s="257">
        <v>0</v>
      </c>
      <c r="J873" s="257">
        <v>0</v>
      </c>
      <c r="K873" s="257">
        <v>0</v>
      </c>
      <c r="L873" s="257">
        <v>0</v>
      </c>
      <c r="M873" s="257">
        <v>0</v>
      </c>
      <c r="N873" s="257">
        <v>0</v>
      </c>
      <c r="O873" s="257">
        <v>0</v>
      </c>
      <c r="P873" s="257">
        <v>0</v>
      </c>
      <c r="Q873" s="258">
        <v>0</v>
      </c>
    </row>
    <row r="874" spans="1:17">
      <c r="A874" s="256">
        <v>1</v>
      </c>
      <c r="B874" s="256">
        <v>8840254</v>
      </c>
      <c r="C874" s="256">
        <v>884025400</v>
      </c>
      <c r="D874" s="256" t="s">
        <v>538</v>
      </c>
      <c r="E874" s="256" t="s">
        <v>8</v>
      </c>
      <c r="F874" s="256" t="s">
        <v>830</v>
      </c>
      <c r="G874" s="256" t="s">
        <v>502</v>
      </c>
      <c r="H874" s="256"/>
      <c r="I874" s="257">
        <v>2477</v>
      </c>
      <c r="J874" s="257">
        <v>0</v>
      </c>
      <c r="K874" s="257">
        <v>0</v>
      </c>
      <c r="L874" s="257">
        <v>0</v>
      </c>
      <c r="M874" s="257">
        <v>0</v>
      </c>
      <c r="N874" s="257">
        <v>0</v>
      </c>
      <c r="O874" s="257">
        <v>2477</v>
      </c>
      <c r="P874" s="257">
        <v>0</v>
      </c>
      <c r="Q874" s="258">
        <v>0</v>
      </c>
    </row>
    <row r="875" spans="1:17">
      <c r="A875" s="256">
        <v>1</v>
      </c>
      <c r="B875" s="256">
        <v>8840255</v>
      </c>
      <c r="C875" s="256">
        <v>884025500</v>
      </c>
      <c r="D875" s="256" t="s">
        <v>538</v>
      </c>
      <c r="E875" s="256" t="s">
        <v>8</v>
      </c>
      <c r="F875" s="256" t="s">
        <v>830</v>
      </c>
      <c r="G875" s="256" t="s">
        <v>501</v>
      </c>
      <c r="H875" s="256"/>
      <c r="I875" s="257">
        <v>0</v>
      </c>
      <c r="J875" s="257">
        <v>0</v>
      </c>
      <c r="K875" s="257">
        <v>0</v>
      </c>
      <c r="L875" s="257">
        <v>0</v>
      </c>
      <c r="M875" s="257">
        <v>0</v>
      </c>
      <c r="N875" s="257">
        <v>0</v>
      </c>
      <c r="O875" s="257">
        <v>0</v>
      </c>
      <c r="P875" s="257">
        <v>0</v>
      </c>
      <c r="Q875" s="258">
        <v>0</v>
      </c>
    </row>
    <row r="876" spans="1:17">
      <c r="A876" s="256">
        <v>1</v>
      </c>
      <c r="B876" s="256">
        <v>8840456</v>
      </c>
      <c r="C876" s="256">
        <v>884045600</v>
      </c>
      <c r="D876" s="256" t="s">
        <v>538</v>
      </c>
      <c r="E876" s="256" t="s">
        <v>8</v>
      </c>
      <c r="F876" s="256" t="s">
        <v>833</v>
      </c>
      <c r="G876" s="256" t="s">
        <v>834</v>
      </c>
      <c r="H876" s="256"/>
      <c r="I876" s="257">
        <v>0</v>
      </c>
      <c r="J876" s="257">
        <v>0</v>
      </c>
      <c r="K876" s="257">
        <v>0</v>
      </c>
      <c r="L876" s="257">
        <v>0</v>
      </c>
      <c r="M876" s="257">
        <v>0</v>
      </c>
      <c r="N876" s="257">
        <v>0</v>
      </c>
      <c r="O876" s="257">
        <v>0</v>
      </c>
      <c r="P876" s="257">
        <v>0</v>
      </c>
      <c r="Q876" s="258">
        <v>0</v>
      </c>
    </row>
    <row r="877" spans="1:17">
      <c r="A877" s="256">
        <v>1</v>
      </c>
      <c r="B877" s="256">
        <v>8840457</v>
      </c>
      <c r="C877" s="256">
        <v>884045700</v>
      </c>
      <c r="D877" s="256" t="s">
        <v>538</v>
      </c>
      <c r="E877" s="256" t="s">
        <v>8</v>
      </c>
      <c r="F877" s="256" t="s">
        <v>833</v>
      </c>
      <c r="G877" s="256" t="s">
        <v>835</v>
      </c>
      <c r="H877" s="256"/>
      <c r="I877" s="257">
        <v>0</v>
      </c>
      <c r="J877" s="257">
        <v>0</v>
      </c>
      <c r="K877" s="257">
        <v>0</v>
      </c>
      <c r="L877" s="257">
        <v>0</v>
      </c>
      <c r="M877" s="257">
        <v>0</v>
      </c>
      <c r="N877" s="257">
        <v>0</v>
      </c>
      <c r="O877" s="257">
        <v>0</v>
      </c>
      <c r="P877" s="257">
        <v>0</v>
      </c>
      <c r="Q877" s="258">
        <v>0</v>
      </c>
    </row>
    <row r="878" spans="1:17">
      <c r="A878" s="256">
        <v>1</v>
      </c>
      <c r="B878" s="256">
        <v>8840458</v>
      </c>
      <c r="C878" s="256">
        <v>884045800</v>
      </c>
      <c r="D878" s="256" t="s">
        <v>538</v>
      </c>
      <c r="E878" s="256" t="s">
        <v>8</v>
      </c>
      <c r="F878" s="256" t="s">
        <v>833</v>
      </c>
      <c r="G878" s="256" t="s">
        <v>836</v>
      </c>
      <c r="H878" s="256"/>
      <c r="I878" s="257">
        <v>0</v>
      </c>
      <c r="J878" s="257">
        <v>0</v>
      </c>
      <c r="K878" s="257">
        <v>0</v>
      </c>
      <c r="L878" s="257">
        <v>0</v>
      </c>
      <c r="M878" s="257">
        <v>0</v>
      </c>
      <c r="N878" s="257">
        <v>0</v>
      </c>
      <c r="O878" s="257">
        <v>0</v>
      </c>
      <c r="P878" s="257">
        <v>0</v>
      </c>
      <c r="Q878" s="258">
        <v>0</v>
      </c>
    </row>
    <row r="879" spans="1:17">
      <c r="A879" s="256">
        <v>1</v>
      </c>
      <c r="B879" s="256">
        <v>8840559</v>
      </c>
      <c r="C879" s="256">
        <v>884055900</v>
      </c>
      <c r="D879" s="256" t="s">
        <v>538</v>
      </c>
      <c r="E879" s="256" t="s">
        <v>8</v>
      </c>
      <c r="F879" s="256" t="s">
        <v>837</v>
      </c>
      <c r="G879" s="256" t="s">
        <v>837</v>
      </c>
      <c r="H879" s="256"/>
      <c r="I879" s="257">
        <v>42630200</v>
      </c>
      <c r="J879" s="257">
        <v>0</v>
      </c>
      <c r="K879" s="257">
        <v>0</v>
      </c>
      <c r="L879" s="257">
        <v>0</v>
      </c>
      <c r="M879" s="257">
        <v>0</v>
      </c>
      <c r="N879" s="257">
        <v>0</v>
      </c>
      <c r="O879" s="257">
        <v>0</v>
      </c>
      <c r="P879" s="257">
        <v>42630200</v>
      </c>
      <c r="Q879" s="258">
        <v>0</v>
      </c>
    </row>
    <row r="880" spans="1:17">
      <c r="A880" s="256">
        <v>1</v>
      </c>
      <c r="B880" s="256">
        <v>8840662</v>
      </c>
      <c r="C880" s="256">
        <v>884066200</v>
      </c>
      <c r="D880" s="256" t="s">
        <v>538</v>
      </c>
      <c r="E880" s="256" t="s">
        <v>8</v>
      </c>
      <c r="F880" s="256" t="s">
        <v>838</v>
      </c>
      <c r="G880" s="256" t="s">
        <v>839</v>
      </c>
      <c r="H880" s="256"/>
      <c r="I880" s="257">
        <v>0</v>
      </c>
      <c r="J880" s="257">
        <v>0</v>
      </c>
      <c r="K880" s="257">
        <v>0</v>
      </c>
      <c r="L880" s="257">
        <v>0</v>
      </c>
      <c r="M880" s="257">
        <v>0</v>
      </c>
      <c r="N880" s="257">
        <v>0</v>
      </c>
      <c r="O880" s="257">
        <v>0</v>
      </c>
      <c r="P880" s="257">
        <v>0</v>
      </c>
      <c r="Q880" s="258">
        <v>0</v>
      </c>
    </row>
    <row r="881" spans="1:17">
      <c r="A881" s="256">
        <v>1</v>
      </c>
      <c r="B881" s="256">
        <v>8840663</v>
      </c>
      <c r="C881" s="256">
        <v>884066300</v>
      </c>
      <c r="D881" s="256" t="s">
        <v>538</v>
      </c>
      <c r="E881" s="256" t="s">
        <v>8</v>
      </c>
      <c r="F881" s="256" t="s">
        <v>838</v>
      </c>
      <c r="G881" s="256" t="s">
        <v>840</v>
      </c>
      <c r="H881" s="256"/>
      <c r="I881" s="257">
        <v>9224169</v>
      </c>
      <c r="J881" s="257">
        <v>0</v>
      </c>
      <c r="K881" s="257">
        <v>0</v>
      </c>
      <c r="L881" s="257">
        <v>23932</v>
      </c>
      <c r="M881" s="257">
        <v>0</v>
      </c>
      <c r="N881" s="257">
        <v>5368538</v>
      </c>
      <c r="O881" s="257">
        <v>0</v>
      </c>
      <c r="P881" s="257">
        <v>3831699</v>
      </c>
      <c r="Q881" s="258">
        <v>0</v>
      </c>
    </row>
    <row r="882" spans="1:17">
      <c r="A882" s="256">
        <v>1</v>
      </c>
      <c r="B882" s="256">
        <v>8850202</v>
      </c>
      <c r="C882" s="256">
        <v>885020200</v>
      </c>
      <c r="D882" s="256" t="s">
        <v>538</v>
      </c>
      <c r="E882" s="256" t="s">
        <v>5</v>
      </c>
      <c r="F882" s="256" t="s">
        <v>841</v>
      </c>
      <c r="G882" s="256" t="s">
        <v>841</v>
      </c>
      <c r="H882" s="256"/>
      <c r="I882" s="257">
        <v>10315355</v>
      </c>
      <c r="J882" s="257">
        <v>0</v>
      </c>
      <c r="K882" s="257">
        <v>0</v>
      </c>
      <c r="L882" s="257">
        <v>0</v>
      </c>
      <c r="M882" s="257">
        <v>0</v>
      </c>
      <c r="N882" s="257">
        <v>0</v>
      </c>
      <c r="O882" s="257">
        <v>0</v>
      </c>
      <c r="P882" s="257">
        <v>10315355</v>
      </c>
      <c r="Q882" s="258">
        <v>0</v>
      </c>
    </row>
    <row r="883" spans="1:17">
      <c r="A883" s="256">
        <v>1</v>
      </c>
      <c r="B883" s="256">
        <v>8850404</v>
      </c>
      <c r="C883" s="256">
        <v>885040400</v>
      </c>
      <c r="D883" s="256" t="s">
        <v>538</v>
      </c>
      <c r="E883" s="256" t="s">
        <v>5</v>
      </c>
      <c r="F883" s="256" t="s">
        <v>842</v>
      </c>
      <c r="G883" s="256" t="s">
        <v>842</v>
      </c>
      <c r="H883" s="256"/>
      <c r="I883" s="257">
        <v>0</v>
      </c>
      <c r="J883" s="257">
        <v>0</v>
      </c>
      <c r="K883" s="257">
        <v>0</v>
      </c>
      <c r="L883" s="257">
        <v>0</v>
      </c>
      <c r="M883" s="257">
        <v>0</v>
      </c>
      <c r="N883" s="257">
        <v>0</v>
      </c>
      <c r="O883" s="257">
        <v>0</v>
      </c>
      <c r="P883" s="257">
        <v>0</v>
      </c>
      <c r="Q883" s="258">
        <v>0</v>
      </c>
    </row>
    <row r="884" spans="1:17">
      <c r="A884" s="256">
        <v>1</v>
      </c>
      <c r="B884" s="256">
        <v>8850606</v>
      </c>
      <c r="C884" s="256">
        <v>885060600</v>
      </c>
      <c r="D884" s="256" t="s">
        <v>538</v>
      </c>
      <c r="E884" s="256" t="s">
        <v>5</v>
      </c>
      <c r="F884" s="256" t="s">
        <v>527</v>
      </c>
      <c r="G884" s="256" t="s">
        <v>527</v>
      </c>
      <c r="H884" s="256"/>
      <c r="I884" s="257">
        <v>10484320</v>
      </c>
      <c r="J884" s="257">
        <v>0</v>
      </c>
      <c r="K884" s="257">
        <v>0</v>
      </c>
      <c r="L884" s="257">
        <v>15407</v>
      </c>
      <c r="M884" s="257">
        <v>0</v>
      </c>
      <c r="N884" s="257">
        <v>10444710</v>
      </c>
      <c r="O884" s="257">
        <v>6023</v>
      </c>
      <c r="P884" s="257">
        <v>18180</v>
      </c>
      <c r="Q884" s="258">
        <v>0</v>
      </c>
    </row>
    <row r="885" spans="1:17">
      <c r="A885" s="256">
        <v>1</v>
      </c>
      <c r="B885" s="256">
        <v>8850808</v>
      </c>
      <c r="C885" s="256">
        <v>885080800</v>
      </c>
      <c r="D885" s="256" t="s">
        <v>538</v>
      </c>
      <c r="E885" s="256" t="s">
        <v>5</v>
      </c>
      <c r="F885" s="256" t="s">
        <v>523</v>
      </c>
      <c r="G885" s="256" t="s">
        <v>523</v>
      </c>
      <c r="H885" s="256"/>
      <c r="I885" s="257">
        <v>0</v>
      </c>
      <c r="J885" s="257">
        <v>0</v>
      </c>
      <c r="K885" s="257">
        <v>0</v>
      </c>
      <c r="L885" s="257">
        <v>0</v>
      </c>
      <c r="M885" s="257">
        <v>0</v>
      </c>
      <c r="N885" s="257">
        <v>0</v>
      </c>
      <c r="O885" s="257">
        <v>0</v>
      </c>
      <c r="P885" s="257">
        <v>0</v>
      </c>
      <c r="Q885" s="258">
        <v>0</v>
      </c>
    </row>
    <row r="886" spans="1:17">
      <c r="A886" s="256">
        <v>1</v>
      </c>
      <c r="B886" s="256">
        <v>8851010</v>
      </c>
      <c r="C886" s="256">
        <v>885101000</v>
      </c>
      <c r="D886" s="256" t="s">
        <v>538</v>
      </c>
      <c r="E886" s="256" t="s">
        <v>5</v>
      </c>
      <c r="F886" s="256" t="s">
        <v>843</v>
      </c>
      <c r="G886" s="256" t="s">
        <v>843</v>
      </c>
      <c r="H886" s="256"/>
      <c r="I886" s="257">
        <v>0</v>
      </c>
      <c r="J886" s="257">
        <v>0</v>
      </c>
      <c r="K886" s="257">
        <v>0</v>
      </c>
      <c r="L886" s="257">
        <v>0</v>
      </c>
      <c r="M886" s="257">
        <v>0</v>
      </c>
      <c r="N886" s="257">
        <v>0</v>
      </c>
      <c r="O886" s="257">
        <v>0</v>
      </c>
      <c r="P886" s="257">
        <v>0</v>
      </c>
      <c r="Q886" s="258">
        <v>0</v>
      </c>
    </row>
    <row r="887" spans="1:17">
      <c r="A887" s="256">
        <v>1</v>
      </c>
      <c r="B887" s="256">
        <v>8900101</v>
      </c>
      <c r="C887" s="256">
        <v>890010100</v>
      </c>
      <c r="D887" s="256" t="s">
        <v>538</v>
      </c>
      <c r="E887" s="256" t="s">
        <v>809</v>
      </c>
      <c r="F887" s="256" t="s">
        <v>809</v>
      </c>
      <c r="G887" s="256" t="s">
        <v>809</v>
      </c>
      <c r="H887" s="256"/>
      <c r="I887" s="257">
        <v>0</v>
      </c>
      <c r="J887" s="257">
        <v>0</v>
      </c>
      <c r="K887" s="257">
        <v>0</v>
      </c>
      <c r="L887" s="257">
        <v>0</v>
      </c>
      <c r="M887" s="257">
        <v>0</v>
      </c>
      <c r="N887" s="257">
        <v>0</v>
      </c>
      <c r="O887" s="257">
        <v>0</v>
      </c>
      <c r="P887" s="257">
        <v>0</v>
      </c>
      <c r="Q887" s="258">
        <v>0</v>
      </c>
    </row>
    <row r="888" spans="1:17" customFormat="1">
      <c r="A888" s="224">
        <v>2</v>
      </c>
      <c r="B888" s="224">
        <v>1120110</v>
      </c>
      <c r="C888" s="224">
        <v>112011010</v>
      </c>
      <c r="D888" s="224" t="s">
        <v>631</v>
      </c>
      <c r="E888" s="224" t="s">
        <v>632</v>
      </c>
      <c r="F888" s="224" t="s">
        <v>633</v>
      </c>
      <c r="G888" s="224" t="s">
        <v>634</v>
      </c>
      <c r="H888" s="224" t="s">
        <v>635</v>
      </c>
      <c r="I888" s="229">
        <v>0</v>
      </c>
      <c r="J888" s="229">
        <v>0</v>
      </c>
      <c r="K888" s="229">
        <v>0</v>
      </c>
      <c r="L888" s="229">
        <v>0</v>
      </c>
      <c r="M888" s="229">
        <v>0</v>
      </c>
      <c r="N888" s="229">
        <v>0</v>
      </c>
      <c r="O888" s="229">
        <v>0</v>
      </c>
      <c r="P888" s="229">
        <v>0</v>
      </c>
      <c r="Q888" s="279">
        <v>0</v>
      </c>
    </row>
    <row r="889" spans="1:17" customFormat="1">
      <c r="A889" s="224">
        <v>2</v>
      </c>
      <c r="B889" s="224">
        <v>1120110</v>
      </c>
      <c r="C889" s="224">
        <v>112011011</v>
      </c>
      <c r="D889" s="224" t="s">
        <v>631</v>
      </c>
      <c r="E889" s="224" t="s">
        <v>632</v>
      </c>
      <c r="F889" s="224" t="s">
        <v>633</v>
      </c>
      <c r="G889" s="224" t="s">
        <v>634</v>
      </c>
      <c r="H889" s="224" t="s">
        <v>636</v>
      </c>
      <c r="I889" s="229">
        <v>0</v>
      </c>
      <c r="J889" s="229">
        <v>0</v>
      </c>
      <c r="K889" s="229">
        <v>0</v>
      </c>
      <c r="L889" s="229">
        <v>0</v>
      </c>
      <c r="M889" s="229">
        <v>0</v>
      </c>
      <c r="N889" s="229">
        <v>0</v>
      </c>
      <c r="O889" s="229">
        <v>0</v>
      </c>
      <c r="P889" s="229">
        <v>0</v>
      </c>
      <c r="Q889" s="279">
        <v>0</v>
      </c>
    </row>
    <row r="890" spans="1:17" customFormat="1">
      <c r="A890" s="224">
        <v>2</v>
      </c>
      <c r="B890" s="224">
        <v>1120111</v>
      </c>
      <c r="C890" s="224">
        <v>112011100</v>
      </c>
      <c r="D890" s="224" t="s">
        <v>631</v>
      </c>
      <c r="E890" s="224" t="s">
        <v>632</v>
      </c>
      <c r="F890" s="224" t="s">
        <v>633</v>
      </c>
      <c r="G890" s="224" t="s">
        <v>638</v>
      </c>
      <c r="H890" s="224"/>
      <c r="I890" s="229">
        <v>0</v>
      </c>
      <c r="J890" s="229">
        <v>0</v>
      </c>
      <c r="K890" s="229">
        <v>0</v>
      </c>
      <c r="L890" s="229">
        <v>0</v>
      </c>
      <c r="M890" s="229">
        <v>0</v>
      </c>
      <c r="N890" s="229">
        <v>0</v>
      </c>
      <c r="O890" s="229">
        <v>0</v>
      </c>
      <c r="P890" s="229">
        <v>0</v>
      </c>
      <c r="Q890" s="279">
        <v>0</v>
      </c>
    </row>
    <row r="891" spans="1:17" customFormat="1">
      <c r="A891" s="224">
        <v>2</v>
      </c>
      <c r="B891" s="224">
        <v>1120112</v>
      </c>
      <c r="C891" s="224">
        <v>112011200</v>
      </c>
      <c r="D891" s="224" t="s">
        <v>631</v>
      </c>
      <c r="E891" s="224" t="s">
        <v>632</v>
      </c>
      <c r="F891" s="224" t="s">
        <v>633</v>
      </c>
      <c r="G891" s="224" t="s">
        <v>639</v>
      </c>
      <c r="H891" s="224"/>
      <c r="I891" s="229">
        <v>0</v>
      </c>
      <c r="J891" s="229">
        <v>0</v>
      </c>
      <c r="K891" s="229">
        <v>0</v>
      </c>
      <c r="L891" s="229">
        <v>0</v>
      </c>
      <c r="M891" s="229">
        <v>0</v>
      </c>
      <c r="N891" s="229">
        <v>0</v>
      </c>
      <c r="O891" s="229">
        <v>0</v>
      </c>
      <c r="P891" s="229">
        <v>0</v>
      </c>
      <c r="Q891" s="279">
        <v>0</v>
      </c>
    </row>
    <row r="892" spans="1:17" customFormat="1">
      <c r="A892" s="224">
        <v>2</v>
      </c>
      <c r="B892" s="224">
        <v>1120113</v>
      </c>
      <c r="C892" s="224">
        <v>112011300</v>
      </c>
      <c r="D892" s="224" t="s">
        <v>631</v>
      </c>
      <c r="E892" s="224" t="s">
        <v>632</v>
      </c>
      <c r="F892" s="224" t="s">
        <v>633</v>
      </c>
      <c r="G892" s="224" t="s">
        <v>640</v>
      </c>
      <c r="H892" s="224"/>
      <c r="I892" s="229">
        <v>84000000</v>
      </c>
      <c r="J892" s="229">
        <v>0</v>
      </c>
      <c r="K892" s="229">
        <v>0</v>
      </c>
      <c r="L892" s="229">
        <v>0</v>
      </c>
      <c r="M892" s="229">
        <v>0</v>
      </c>
      <c r="N892" s="229">
        <v>0</v>
      </c>
      <c r="O892" s="229">
        <v>0</v>
      </c>
      <c r="P892" s="229">
        <v>84000000</v>
      </c>
      <c r="Q892" s="279">
        <v>0</v>
      </c>
    </row>
    <row r="893" spans="1:17" customFormat="1">
      <c r="A893" s="224">
        <v>2</v>
      </c>
      <c r="B893" s="224">
        <v>1120114</v>
      </c>
      <c r="C893" s="224">
        <v>112011400</v>
      </c>
      <c r="D893" s="224" t="s">
        <v>631</v>
      </c>
      <c r="E893" s="224" t="s">
        <v>632</v>
      </c>
      <c r="F893" s="224" t="s">
        <v>633</v>
      </c>
      <c r="G893" s="224" t="s">
        <v>641</v>
      </c>
      <c r="H893" s="224"/>
      <c r="I893" s="229">
        <v>0</v>
      </c>
      <c r="J893" s="229">
        <v>0</v>
      </c>
      <c r="K893" s="229">
        <v>0</v>
      </c>
      <c r="L893" s="229">
        <v>0</v>
      </c>
      <c r="M893" s="229">
        <v>0</v>
      </c>
      <c r="N893" s="229">
        <v>0</v>
      </c>
      <c r="O893" s="229">
        <v>0</v>
      </c>
      <c r="P893" s="229">
        <v>0</v>
      </c>
      <c r="Q893" s="279">
        <v>0</v>
      </c>
    </row>
    <row r="894" spans="1:17">
      <c r="A894" s="256">
        <v>2</v>
      </c>
      <c r="B894" s="256">
        <v>1120115</v>
      </c>
      <c r="C894" s="256">
        <v>112011500</v>
      </c>
      <c r="D894" s="256" t="s">
        <v>631</v>
      </c>
      <c r="E894" s="256" t="s">
        <v>632</v>
      </c>
      <c r="F894" s="256" t="s">
        <v>633</v>
      </c>
      <c r="G894" s="256" t="s">
        <v>844</v>
      </c>
      <c r="H894" s="256"/>
      <c r="I894" s="257">
        <v>318900000</v>
      </c>
      <c r="J894" s="257">
        <v>0</v>
      </c>
      <c r="K894" s="257">
        <v>0</v>
      </c>
      <c r="L894" s="257">
        <v>0</v>
      </c>
      <c r="M894" s="257">
        <v>0</v>
      </c>
      <c r="N894" s="257">
        <v>0</v>
      </c>
      <c r="O894" s="257">
        <v>0</v>
      </c>
      <c r="P894" s="257">
        <v>318900000</v>
      </c>
      <c r="Q894" s="258">
        <v>0</v>
      </c>
    </row>
    <row r="895" spans="1:17">
      <c r="A895" s="256">
        <v>2</v>
      </c>
      <c r="B895" s="256">
        <v>1120116</v>
      </c>
      <c r="C895" s="256">
        <v>112011600</v>
      </c>
      <c r="D895" s="256" t="s">
        <v>631</v>
      </c>
      <c r="E895" s="256" t="s">
        <v>632</v>
      </c>
      <c r="F895" s="256" t="s">
        <v>633</v>
      </c>
      <c r="G895" s="256" t="s">
        <v>642</v>
      </c>
      <c r="H895" s="256"/>
      <c r="I895" s="257">
        <v>0</v>
      </c>
      <c r="J895" s="257">
        <v>0</v>
      </c>
      <c r="K895" s="257">
        <v>0</v>
      </c>
      <c r="L895" s="257">
        <v>0</v>
      </c>
      <c r="M895" s="257">
        <v>0</v>
      </c>
      <c r="N895" s="257">
        <v>0</v>
      </c>
      <c r="O895" s="257">
        <v>0</v>
      </c>
      <c r="P895" s="257">
        <v>0</v>
      </c>
      <c r="Q895" s="258">
        <v>0</v>
      </c>
    </row>
    <row r="896" spans="1:17">
      <c r="A896" s="256">
        <v>2</v>
      </c>
      <c r="B896" s="256">
        <v>1120210</v>
      </c>
      <c r="C896" s="256">
        <v>112021000</v>
      </c>
      <c r="D896" s="256" t="s">
        <v>631</v>
      </c>
      <c r="E896" s="256" t="s">
        <v>632</v>
      </c>
      <c r="F896" s="256" t="s">
        <v>643</v>
      </c>
      <c r="G896" s="256" t="s">
        <v>644</v>
      </c>
      <c r="H896" s="256"/>
      <c r="I896" s="257">
        <v>0</v>
      </c>
      <c r="J896" s="257">
        <v>0</v>
      </c>
      <c r="K896" s="257">
        <v>0</v>
      </c>
      <c r="L896" s="257">
        <v>0</v>
      </c>
      <c r="M896" s="257">
        <v>0</v>
      </c>
      <c r="N896" s="257">
        <v>0</v>
      </c>
      <c r="O896" s="257">
        <v>0</v>
      </c>
      <c r="P896" s="257">
        <v>0</v>
      </c>
      <c r="Q896" s="258">
        <v>0</v>
      </c>
    </row>
    <row r="897" spans="1:17">
      <c r="A897" s="256">
        <v>2</v>
      </c>
      <c r="B897" s="256">
        <v>1120220</v>
      </c>
      <c r="C897" s="256">
        <v>112022000</v>
      </c>
      <c r="D897" s="256" t="s">
        <v>631</v>
      </c>
      <c r="E897" s="256" t="s">
        <v>632</v>
      </c>
      <c r="F897" s="256" t="s">
        <v>643</v>
      </c>
      <c r="G897" s="256" t="s">
        <v>645</v>
      </c>
      <c r="H897" s="256"/>
      <c r="I897" s="257">
        <v>0</v>
      </c>
      <c r="J897" s="257">
        <v>0</v>
      </c>
      <c r="K897" s="257">
        <v>0</v>
      </c>
      <c r="L897" s="257">
        <v>0</v>
      </c>
      <c r="M897" s="257">
        <v>0</v>
      </c>
      <c r="N897" s="257">
        <v>0</v>
      </c>
      <c r="O897" s="257">
        <v>0</v>
      </c>
      <c r="P897" s="257">
        <v>0</v>
      </c>
      <c r="Q897" s="258">
        <v>0</v>
      </c>
    </row>
    <row r="898" spans="1:17">
      <c r="A898" s="256">
        <v>2</v>
      </c>
      <c r="B898" s="256">
        <v>1140303</v>
      </c>
      <c r="C898" s="256">
        <v>114030300</v>
      </c>
      <c r="D898" s="256" t="s">
        <v>631</v>
      </c>
      <c r="E898" s="256" t="s">
        <v>650</v>
      </c>
      <c r="F898" s="256" t="s">
        <v>651</v>
      </c>
      <c r="G898" s="256" t="s">
        <v>651</v>
      </c>
      <c r="H898" s="256"/>
      <c r="I898" s="257">
        <v>0</v>
      </c>
      <c r="J898" s="257">
        <v>0</v>
      </c>
      <c r="K898" s="257">
        <v>0</v>
      </c>
      <c r="L898" s="257">
        <v>0</v>
      </c>
      <c r="M898" s="257">
        <v>0</v>
      </c>
      <c r="N898" s="257">
        <v>0</v>
      </c>
      <c r="O898" s="257">
        <v>0</v>
      </c>
      <c r="P898" s="257">
        <v>0</v>
      </c>
      <c r="Q898" s="258">
        <v>0</v>
      </c>
    </row>
    <row r="899" spans="1:17">
      <c r="A899" s="256">
        <v>2</v>
      </c>
      <c r="B899" s="256">
        <v>1160101</v>
      </c>
      <c r="C899" s="256">
        <v>116010100</v>
      </c>
      <c r="D899" s="256" t="s">
        <v>631</v>
      </c>
      <c r="E899" s="256" t="s">
        <v>652</v>
      </c>
      <c r="F899" s="256" t="s">
        <v>653</v>
      </c>
      <c r="G899" s="256" t="s">
        <v>653</v>
      </c>
      <c r="H899" s="256"/>
      <c r="I899" s="257">
        <v>50066000</v>
      </c>
      <c r="J899" s="257">
        <v>0</v>
      </c>
      <c r="K899" s="257">
        <v>0</v>
      </c>
      <c r="L899" s="257">
        <v>0</v>
      </c>
      <c r="M899" s="257">
        <v>0</v>
      </c>
      <c r="N899" s="257">
        <v>0</v>
      </c>
      <c r="O899" s="257">
        <v>0</v>
      </c>
      <c r="P899" s="257">
        <v>50066000</v>
      </c>
      <c r="Q899" s="258">
        <v>0</v>
      </c>
    </row>
    <row r="900" spans="1:17">
      <c r="A900" s="256">
        <v>2</v>
      </c>
      <c r="B900" s="256">
        <v>1160202</v>
      </c>
      <c r="C900" s="256">
        <v>116020200</v>
      </c>
      <c r="D900" s="256" t="s">
        <v>631</v>
      </c>
      <c r="E900" s="256" t="s">
        <v>652</v>
      </c>
      <c r="F900" s="256" t="s">
        <v>654</v>
      </c>
      <c r="G900" s="256" t="s">
        <v>654</v>
      </c>
      <c r="H900" s="256"/>
      <c r="I900" s="257">
        <v>0</v>
      </c>
      <c r="J900" s="257">
        <v>0</v>
      </c>
      <c r="K900" s="257">
        <v>0</v>
      </c>
      <c r="L900" s="257">
        <v>0</v>
      </c>
      <c r="M900" s="257">
        <v>0</v>
      </c>
      <c r="N900" s="257">
        <v>0</v>
      </c>
      <c r="O900" s="257">
        <v>0</v>
      </c>
      <c r="P900" s="257">
        <v>0</v>
      </c>
      <c r="Q900" s="258">
        <v>0</v>
      </c>
    </row>
    <row r="901" spans="1:17">
      <c r="A901" s="256">
        <v>2</v>
      </c>
      <c r="B901" s="256">
        <v>1180401</v>
      </c>
      <c r="C901" s="256">
        <v>118040103</v>
      </c>
      <c r="D901" s="256" t="s">
        <v>631</v>
      </c>
      <c r="E901" s="256" t="s">
        <v>655</v>
      </c>
      <c r="F901" s="256" t="s">
        <v>655</v>
      </c>
      <c r="G901" s="256" t="s">
        <v>656</v>
      </c>
      <c r="H901" s="256" t="s">
        <v>845</v>
      </c>
      <c r="I901" s="257">
        <v>30500000</v>
      </c>
      <c r="J901" s="257">
        <v>0</v>
      </c>
      <c r="K901" s="257">
        <v>0</v>
      </c>
      <c r="L901" s="257">
        <v>0</v>
      </c>
      <c r="M901" s="257">
        <v>0</v>
      </c>
      <c r="N901" s="257">
        <v>0</v>
      </c>
      <c r="O901" s="257">
        <v>0</v>
      </c>
      <c r="P901" s="257">
        <v>30500000</v>
      </c>
      <c r="Q901" s="258">
        <v>0</v>
      </c>
    </row>
    <row r="902" spans="1:17">
      <c r="A902" s="256">
        <v>2</v>
      </c>
      <c r="B902" s="256">
        <v>1180402</v>
      </c>
      <c r="C902" s="256">
        <v>118040200</v>
      </c>
      <c r="D902" s="256" t="s">
        <v>631</v>
      </c>
      <c r="E902" s="256" t="s">
        <v>655</v>
      </c>
      <c r="F902" s="256" t="s">
        <v>655</v>
      </c>
      <c r="G902" s="256" t="s">
        <v>658</v>
      </c>
      <c r="H902" s="256"/>
      <c r="I902" s="257">
        <v>0</v>
      </c>
      <c r="J902" s="257">
        <v>0</v>
      </c>
      <c r="K902" s="257">
        <v>0</v>
      </c>
      <c r="L902" s="257">
        <v>0</v>
      </c>
      <c r="M902" s="257">
        <v>0</v>
      </c>
      <c r="N902" s="257">
        <v>0</v>
      </c>
      <c r="O902" s="257">
        <v>0</v>
      </c>
      <c r="P902" s="257">
        <v>0</v>
      </c>
      <c r="Q902" s="258">
        <v>0</v>
      </c>
    </row>
    <row r="903" spans="1:17">
      <c r="A903" s="256">
        <v>2</v>
      </c>
      <c r="B903" s="256">
        <v>1180403</v>
      </c>
      <c r="C903" s="256">
        <v>118040300</v>
      </c>
      <c r="D903" s="256" t="s">
        <v>631</v>
      </c>
      <c r="E903" s="256" t="s">
        <v>655</v>
      </c>
      <c r="F903" s="256" t="s">
        <v>655</v>
      </c>
      <c r="G903" s="256" t="s">
        <v>846</v>
      </c>
      <c r="H903" s="256"/>
      <c r="I903" s="257">
        <v>0</v>
      </c>
      <c r="J903" s="257">
        <v>0</v>
      </c>
      <c r="K903" s="257">
        <v>0</v>
      </c>
      <c r="L903" s="257">
        <v>0</v>
      </c>
      <c r="M903" s="257">
        <v>0</v>
      </c>
      <c r="N903" s="257">
        <v>0</v>
      </c>
      <c r="O903" s="257">
        <v>0</v>
      </c>
      <c r="P903" s="257">
        <v>0</v>
      </c>
      <c r="Q903" s="258">
        <v>0</v>
      </c>
    </row>
    <row r="904" spans="1:17" customFormat="1">
      <c r="A904" s="236">
        <v>2</v>
      </c>
      <c r="B904" s="236">
        <v>1180404</v>
      </c>
      <c r="C904" s="236">
        <v>118040400</v>
      </c>
      <c r="D904" s="236" t="s">
        <v>631</v>
      </c>
      <c r="E904" s="236" t="s">
        <v>655</v>
      </c>
      <c r="F904" s="236" t="s">
        <v>655</v>
      </c>
      <c r="G904" s="236" t="s">
        <v>878</v>
      </c>
      <c r="H904" s="236"/>
      <c r="I904" s="229">
        <v>0</v>
      </c>
      <c r="J904" s="229">
        <v>0</v>
      </c>
      <c r="K904" s="229">
        <v>0</v>
      </c>
      <c r="L904" s="229">
        <v>0</v>
      </c>
      <c r="M904" s="229">
        <v>0</v>
      </c>
      <c r="N904" s="229">
        <v>0</v>
      </c>
      <c r="O904" s="229">
        <v>0</v>
      </c>
      <c r="P904" s="229">
        <v>0</v>
      </c>
      <c r="Q904" s="279">
        <v>0</v>
      </c>
    </row>
    <row r="905" spans="1:17" customFormat="1">
      <c r="A905" s="224">
        <v>2</v>
      </c>
      <c r="B905" s="224">
        <v>1200630</v>
      </c>
      <c r="C905" s="224">
        <v>120063000</v>
      </c>
      <c r="D905" s="224" t="s">
        <v>631</v>
      </c>
      <c r="E905" s="224" t="s">
        <v>659</v>
      </c>
      <c r="F905" s="224" t="s">
        <v>659</v>
      </c>
      <c r="G905" s="224" t="s">
        <v>659</v>
      </c>
      <c r="H905" s="224"/>
      <c r="I905" s="229">
        <v>0</v>
      </c>
      <c r="J905" s="229">
        <v>0</v>
      </c>
      <c r="K905" s="229">
        <v>0</v>
      </c>
      <c r="L905" s="229">
        <v>0</v>
      </c>
      <c r="M905" s="229">
        <v>0</v>
      </c>
      <c r="N905" s="229">
        <v>0</v>
      </c>
      <c r="O905" s="229">
        <v>0</v>
      </c>
      <c r="P905" s="229">
        <v>0</v>
      </c>
      <c r="Q905" s="279">
        <v>0</v>
      </c>
    </row>
    <row r="906" spans="1:17" customFormat="1">
      <c r="A906" s="224">
        <v>2</v>
      </c>
      <c r="B906" s="224">
        <v>1300831</v>
      </c>
      <c r="C906" s="224">
        <v>130083100</v>
      </c>
      <c r="D906" s="224" t="s">
        <v>631</v>
      </c>
      <c r="E906" s="224" t="s">
        <v>660</v>
      </c>
      <c r="F906" s="224" t="s">
        <v>660</v>
      </c>
      <c r="G906" s="224" t="s">
        <v>660</v>
      </c>
      <c r="H906" s="224"/>
      <c r="I906" s="229">
        <v>0</v>
      </c>
      <c r="J906" s="229">
        <v>0</v>
      </c>
      <c r="K906" s="229">
        <v>0</v>
      </c>
      <c r="L906" s="229">
        <v>0</v>
      </c>
      <c r="M906" s="229">
        <v>0</v>
      </c>
      <c r="N906" s="229">
        <v>0</v>
      </c>
      <c r="O906" s="229">
        <v>0</v>
      </c>
      <c r="P906" s="229">
        <v>0</v>
      </c>
      <c r="Q906" s="279">
        <v>0</v>
      </c>
    </row>
    <row r="907" spans="1:17" customFormat="1">
      <c r="A907" s="224">
        <v>2</v>
      </c>
      <c r="B907" s="224">
        <v>1401010</v>
      </c>
      <c r="C907" s="224">
        <v>140101000</v>
      </c>
      <c r="D907" s="224" t="s">
        <v>631</v>
      </c>
      <c r="E907" s="224" t="s">
        <v>661</v>
      </c>
      <c r="F907" s="224" t="s">
        <v>661</v>
      </c>
      <c r="G907" s="224" t="s">
        <v>661</v>
      </c>
      <c r="H907" s="224"/>
      <c r="I907" s="229">
        <v>0</v>
      </c>
      <c r="J907" s="229">
        <v>0</v>
      </c>
      <c r="K907" s="229">
        <v>0</v>
      </c>
      <c r="L907" s="229">
        <v>0</v>
      </c>
      <c r="M907" s="229">
        <v>0</v>
      </c>
      <c r="N907" s="229">
        <v>0</v>
      </c>
      <c r="O907" s="229">
        <v>0</v>
      </c>
      <c r="P907" s="229">
        <v>0</v>
      </c>
      <c r="Q907" s="279">
        <v>0</v>
      </c>
    </row>
    <row r="908" spans="1:17" customFormat="1">
      <c r="A908" s="224">
        <v>2</v>
      </c>
      <c r="B908" s="224">
        <v>1600101</v>
      </c>
      <c r="C908" s="224">
        <v>160010100</v>
      </c>
      <c r="D908" s="224" t="s">
        <v>631</v>
      </c>
      <c r="E908" s="224" t="s">
        <v>662</v>
      </c>
      <c r="F908" s="224" t="s">
        <v>662</v>
      </c>
      <c r="G908" s="224" t="s">
        <v>662</v>
      </c>
      <c r="H908" s="224"/>
      <c r="I908" s="229">
        <v>0</v>
      </c>
      <c r="J908" s="229">
        <v>0</v>
      </c>
      <c r="K908" s="229">
        <v>0</v>
      </c>
      <c r="L908" s="229">
        <v>0</v>
      </c>
      <c r="M908" s="229">
        <v>0</v>
      </c>
      <c r="N908" s="229">
        <v>0</v>
      </c>
      <c r="O908" s="229">
        <v>0</v>
      </c>
      <c r="P908" s="229">
        <v>0</v>
      </c>
      <c r="Q908" s="279">
        <v>0</v>
      </c>
    </row>
    <row r="909" spans="1:17" customFormat="1">
      <c r="A909" s="224">
        <v>2</v>
      </c>
      <c r="B909" s="224">
        <v>1800707</v>
      </c>
      <c r="C909" s="224">
        <v>180070700</v>
      </c>
      <c r="D909" s="224" t="s">
        <v>631</v>
      </c>
      <c r="E909" s="224" t="s">
        <v>663</v>
      </c>
      <c r="F909" s="224" t="s">
        <v>847</v>
      </c>
      <c r="G909" s="224" t="s">
        <v>847</v>
      </c>
      <c r="H909" s="224"/>
      <c r="I909" s="229">
        <v>17022400</v>
      </c>
      <c r="J909" s="229">
        <v>0</v>
      </c>
      <c r="K909" s="229">
        <v>0</v>
      </c>
      <c r="L909" s="229">
        <v>0</v>
      </c>
      <c r="M909" s="229">
        <v>0</v>
      </c>
      <c r="N909" s="229">
        <v>0</v>
      </c>
      <c r="O909" s="229">
        <v>0</v>
      </c>
      <c r="P909" s="229">
        <v>17022400</v>
      </c>
      <c r="Q909" s="279">
        <v>0</v>
      </c>
    </row>
    <row r="910" spans="1:17" customFormat="1">
      <c r="A910" s="224">
        <v>2</v>
      </c>
      <c r="B910" s="224">
        <v>1800808</v>
      </c>
      <c r="C910" s="224">
        <v>180080800</v>
      </c>
      <c r="D910" s="224" t="s">
        <v>631</v>
      </c>
      <c r="E910" s="224" t="s">
        <v>663</v>
      </c>
      <c r="F910" s="224" t="s">
        <v>665</v>
      </c>
      <c r="G910" s="224" t="s">
        <v>665</v>
      </c>
      <c r="H910" s="224"/>
      <c r="I910" s="229">
        <v>0</v>
      </c>
      <c r="J910" s="229">
        <v>0</v>
      </c>
      <c r="K910" s="229">
        <v>0</v>
      </c>
      <c r="L910" s="229">
        <v>0</v>
      </c>
      <c r="M910" s="229">
        <v>0</v>
      </c>
      <c r="N910" s="229">
        <v>0</v>
      </c>
      <c r="O910" s="229">
        <v>0</v>
      </c>
      <c r="P910" s="229">
        <v>0</v>
      </c>
      <c r="Q910" s="279">
        <v>0</v>
      </c>
    </row>
    <row r="911" spans="1:17" customFormat="1">
      <c r="A911" s="224">
        <v>2</v>
      </c>
      <c r="B911" s="224">
        <v>1820101</v>
      </c>
      <c r="C911" s="224">
        <v>182010100</v>
      </c>
      <c r="D911" s="224" t="s">
        <v>631</v>
      </c>
      <c r="E911" s="224" t="s">
        <v>666</v>
      </c>
      <c r="F911" s="224" t="s">
        <v>667</v>
      </c>
      <c r="G911" s="224" t="s">
        <v>667</v>
      </c>
      <c r="H911" s="224"/>
      <c r="I911" s="229">
        <v>0</v>
      </c>
      <c r="J911" s="229">
        <v>0</v>
      </c>
      <c r="K911" s="229">
        <v>0</v>
      </c>
      <c r="L911" s="229">
        <v>0</v>
      </c>
      <c r="M911" s="229">
        <v>0</v>
      </c>
      <c r="N911" s="229">
        <v>0</v>
      </c>
      <c r="O911" s="229">
        <v>0</v>
      </c>
      <c r="P911" s="229">
        <v>0</v>
      </c>
      <c r="Q911" s="279">
        <v>0</v>
      </c>
    </row>
    <row r="912" spans="1:17" customFormat="1">
      <c r="A912" s="224">
        <v>2</v>
      </c>
      <c r="B912" s="224">
        <v>1840102</v>
      </c>
      <c r="C912" s="224">
        <v>184010200</v>
      </c>
      <c r="D912" s="224" t="s">
        <v>631</v>
      </c>
      <c r="E912" s="224" t="s">
        <v>668</v>
      </c>
      <c r="F912" s="224" t="s">
        <v>669</v>
      </c>
      <c r="G912" s="224" t="s">
        <v>670</v>
      </c>
      <c r="H912" s="224"/>
      <c r="I912" s="229">
        <v>0</v>
      </c>
      <c r="J912" s="229">
        <v>0</v>
      </c>
      <c r="K912" s="229">
        <v>0</v>
      </c>
      <c r="L912" s="229">
        <v>0</v>
      </c>
      <c r="M912" s="229">
        <v>0</v>
      </c>
      <c r="N912" s="229">
        <v>0</v>
      </c>
      <c r="O912" s="229">
        <v>0</v>
      </c>
      <c r="P912" s="229">
        <v>0</v>
      </c>
      <c r="Q912" s="279">
        <v>0</v>
      </c>
    </row>
    <row r="913" spans="1:17" customFormat="1">
      <c r="A913" s="224">
        <v>2</v>
      </c>
      <c r="B913" s="224">
        <v>1840304</v>
      </c>
      <c r="C913" s="224">
        <v>184030400</v>
      </c>
      <c r="D913" s="224" t="s">
        <v>631</v>
      </c>
      <c r="E913" s="224" t="s">
        <v>668</v>
      </c>
      <c r="F913" s="224" t="s">
        <v>651</v>
      </c>
      <c r="G913" s="224" t="s">
        <v>671</v>
      </c>
      <c r="H913" s="224"/>
      <c r="I913" s="229">
        <v>0</v>
      </c>
      <c r="J913" s="229">
        <v>0</v>
      </c>
      <c r="K913" s="229">
        <v>0</v>
      </c>
      <c r="L913" s="229">
        <v>0</v>
      </c>
      <c r="M913" s="229">
        <v>0</v>
      </c>
      <c r="N913" s="229">
        <v>0</v>
      </c>
      <c r="O913" s="229">
        <v>0</v>
      </c>
      <c r="P913" s="229">
        <v>0</v>
      </c>
      <c r="Q913" s="279">
        <v>0</v>
      </c>
    </row>
    <row r="914" spans="1:17" customFormat="1">
      <c r="A914" s="224">
        <v>2</v>
      </c>
      <c r="B914" s="224">
        <v>1840305</v>
      </c>
      <c r="C914" s="224">
        <v>184030500</v>
      </c>
      <c r="D914" s="224" t="s">
        <v>631</v>
      </c>
      <c r="E914" s="224" t="s">
        <v>668</v>
      </c>
      <c r="F914" s="224" t="s">
        <v>651</v>
      </c>
      <c r="G914" s="224" t="s">
        <v>672</v>
      </c>
      <c r="H914" s="224"/>
      <c r="I914" s="229">
        <v>0</v>
      </c>
      <c r="J914" s="229">
        <v>0</v>
      </c>
      <c r="K914" s="229">
        <v>0</v>
      </c>
      <c r="L914" s="229">
        <v>0</v>
      </c>
      <c r="M914" s="229">
        <v>0</v>
      </c>
      <c r="N914" s="229">
        <v>0</v>
      </c>
      <c r="O914" s="229">
        <v>0</v>
      </c>
      <c r="P914" s="229">
        <v>0</v>
      </c>
      <c r="Q914" s="279">
        <v>0</v>
      </c>
    </row>
    <row r="915" spans="1:17" customFormat="1">
      <c r="A915" s="224">
        <v>2</v>
      </c>
      <c r="B915" s="224">
        <v>1840306</v>
      </c>
      <c r="C915" s="224">
        <v>184030600</v>
      </c>
      <c r="D915" s="224" t="s">
        <v>631</v>
      </c>
      <c r="E915" s="224" t="s">
        <v>668</v>
      </c>
      <c r="F915" s="224" t="s">
        <v>651</v>
      </c>
      <c r="G915" s="224" t="s">
        <v>673</v>
      </c>
      <c r="H915" s="224"/>
      <c r="I915" s="229">
        <v>0</v>
      </c>
      <c r="J915" s="229">
        <v>0</v>
      </c>
      <c r="K915" s="229">
        <v>0</v>
      </c>
      <c r="L915" s="229">
        <v>0</v>
      </c>
      <c r="M915" s="229">
        <v>0</v>
      </c>
      <c r="N915" s="229">
        <v>0</v>
      </c>
      <c r="O915" s="229">
        <v>0</v>
      </c>
      <c r="P915" s="229">
        <v>0</v>
      </c>
      <c r="Q915" s="279">
        <v>0</v>
      </c>
    </row>
    <row r="916" spans="1:17" customFormat="1">
      <c r="A916" s="224">
        <v>2</v>
      </c>
      <c r="B916" s="224">
        <v>1840509</v>
      </c>
      <c r="C916" s="224">
        <v>184050900</v>
      </c>
      <c r="D916" s="224" t="s">
        <v>631</v>
      </c>
      <c r="E916" s="224" t="s">
        <v>668</v>
      </c>
      <c r="F916" s="224" t="s">
        <v>674</v>
      </c>
      <c r="G916" s="224" t="s">
        <v>848</v>
      </c>
      <c r="H916" s="224"/>
      <c r="I916" s="229">
        <v>580000</v>
      </c>
      <c r="J916" s="229">
        <v>0</v>
      </c>
      <c r="K916" s="229">
        <v>0</v>
      </c>
      <c r="L916" s="229">
        <v>0</v>
      </c>
      <c r="M916" s="229">
        <v>0</v>
      </c>
      <c r="N916" s="229">
        <v>0</v>
      </c>
      <c r="O916" s="229">
        <v>0</v>
      </c>
      <c r="P916" s="229">
        <v>580000</v>
      </c>
      <c r="Q916" s="279">
        <v>0</v>
      </c>
    </row>
    <row r="917" spans="1:17" customFormat="1">
      <c r="A917" s="224">
        <v>2</v>
      </c>
      <c r="B917" s="224">
        <v>1840510</v>
      </c>
      <c r="C917" s="224">
        <v>184051000</v>
      </c>
      <c r="D917" s="224" t="s">
        <v>631</v>
      </c>
      <c r="E917" s="224" t="s">
        <v>668</v>
      </c>
      <c r="F917" s="224" t="s">
        <v>674</v>
      </c>
      <c r="G917" s="224" t="s">
        <v>849</v>
      </c>
      <c r="H917" s="224"/>
      <c r="I917" s="229">
        <v>440000</v>
      </c>
      <c r="J917" s="229">
        <v>0</v>
      </c>
      <c r="K917" s="229">
        <v>0</v>
      </c>
      <c r="L917" s="229">
        <v>0</v>
      </c>
      <c r="M917" s="229">
        <v>0</v>
      </c>
      <c r="N917" s="229">
        <v>0</v>
      </c>
      <c r="O917" s="229">
        <v>0</v>
      </c>
      <c r="P917" s="229">
        <v>440000</v>
      </c>
      <c r="Q917" s="279">
        <v>0</v>
      </c>
    </row>
    <row r="918" spans="1:17" customFormat="1">
      <c r="A918" s="224">
        <v>2</v>
      </c>
      <c r="B918" s="224">
        <v>1840511</v>
      </c>
      <c r="C918" s="224">
        <v>184051100</v>
      </c>
      <c r="D918" s="224" t="s">
        <v>631</v>
      </c>
      <c r="E918" s="224" t="s">
        <v>668</v>
      </c>
      <c r="F918" s="224" t="s">
        <v>674</v>
      </c>
      <c r="G918" s="224" t="s">
        <v>850</v>
      </c>
      <c r="H918" s="224"/>
      <c r="I918" s="229">
        <v>0</v>
      </c>
      <c r="J918" s="229">
        <v>0</v>
      </c>
      <c r="K918" s="229">
        <v>0</v>
      </c>
      <c r="L918" s="229">
        <v>0</v>
      </c>
      <c r="M918" s="229">
        <v>0</v>
      </c>
      <c r="N918" s="229">
        <v>0</v>
      </c>
      <c r="O918" s="229">
        <v>0</v>
      </c>
      <c r="P918" s="229">
        <v>0</v>
      </c>
      <c r="Q918" s="279">
        <v>0</v>
      </c>
    </row>
    <row r="919" spans="1:17" customFormat="1">
      <c r="A919" s="224">
        <v>2</v>
      </c>
      <c r="B919" s="224">
        <v>1860303</v>
      </c>
      <c r="C919" s="224">
        <v>186030300</v>
      </c>
      <c r="D919" s="224" t="s">
        <v>631</v>
      </c>
      <c r="E919" s="224" t="s">
        <v>678</v>
      </c>
      <c r="F919" s="224" t="s">
        <v>679</v>
      </c>
      <c r="G919" s="224" t="s">
        <v>679</v>
      </c>
      <c r="H919" s="224"/>
      <c r="I919" s="229">
        <v>0</v>
      </c>
      <c r="J919" s="229">
        <v>0</v>
      </c>
      <c r="K919" s="229">
        <v>0</v>
      </c>
      <c r="L919" s="229">
        <v>0</v>
      </c>
      <c r="M919" s="229">
        <v>0</v>
      </c>
      <c r="N919" s="229">
        <v>0</v>
      </c>
      <c r="O919" s="229">
        <v>0</v>
      </c>
      <c r="P919" s="229">
        <v>0</v>
      </c>
      <c r="Q919" s="279">
        <v>0</v>
      </c>
    </row>
    <row r="920" spans="1:17" customFormat="1">
      <c r="A920" s="224">
        <v>2</v>
      </c>
      <c r="B920" s="224">
        <v>1880101</v>
      </c>
      <c r="C920" s="224">
        <v>188010100</v>
      </c>
      <c r="D920" s="224" t="s">
        <v>631</v>
      </c>
      <c r="E920" s="224" t="s">
        <v>680</v>
      </c>
      <c r="F920" s="224" t="s">
        <v>681</v>
      </c>
      <c r="G920" s="224" t="s">
        <v>681</v>
      </c>
      <c r="H920" s="224"/>
      <c r="I920" s="229">
        <v>0</v>
      </c>
      <c r="J920" s="229">
        <v>0</v>
      </c>
      <c r="K920" s="229">
        <v>0</v>
      </c>
      <c r="L920" s="229">
        <v>0</v>
      </c>
      <c r="M920" s="229">
        <v>0</v>
      </c>
      <c r="N920" s="229">
        <v>0</v>
      </c>
      <c r="O920" s="229">
        <v>0</v>
      </c>
      <c r="P920" s="229">
        <v>0</v>
      </c>
      <c r="Q920" s="279">
        <v>0</v>
      </c>
    </row>
    <row r="921" spans="1:17" customFormat="1">
      <c r="A921" s="224">
        <v>2</v>
      </c>
      <c r="B921" s="224">
        <v>1880202</v>
      </c>
      <c r="C921" s="224">
        <v>188020200</v>
      </c>
      <c r="D921" s="224" t="s">
        <v>631</v>
      </c>
      <c r="E921" s="224" t="s">
        <v>680</v>
      </c>
      <c r="F921" s="224" t="s">
        <v>682</v>
      </c>
      <c r="G921" s="224" t="s">
        <v>682</v>
      </c>
      <c r="H921" s="224"/>
      <c r="I921" s="229">
        <v>0</v>
      </c>
      <c r="J921" s="229">
        <v>0</v>
      </c>
      <c r="K921" s="229">
        <v>0</v>
      </c>
      <c r="L921" s="229">
        <v>0</v>
      </c>
      <c r="M921" s="229">
        <v>0</v>
      </c>
      <c r="N921" s="229">
        <v>0</v>
      </c>
      <c r="O921" s="229">
        <v>0</v>
      </c>
      <c r="P921" s="229">
        <v>0</v>
      </c>
      <c r="Q921" s="279">
        <v>0</v>
      </c>
    </row>
    <row r="922" spans="1:17" customFormat="1">
      <c r="A922" s="224">
        <v>2</v>
      </c>
      <c r="B922" s="224">
        <v>1900101</v>
      </c>
      <c r="C922" s="224">
        <v>190010100</v>
      </c>
      <c r="D922" s="224" t="s">
        <v>631</v>
      </c>
      <c r="E922" s="224" t="s">
        <v>683</v>
      </c>
      <c r="F922" s="224" t="s">
        <v>684</v>
      </c>
      <c r="G922" s="224" t="s">
        <v>684</v>
      </c>
      <c r="H922" s="224"/>
      <c r="I922" s="229">
        <v>0</v>
      </c>
      <c r="J922" s="229">
        <v>0</v>
      </c>
      <c r="K922" s="229">
        <v>0</v>
      </c>
      <c r="L922" s="229">
        <v>0</v>
      </c>
      <c r="M922" s="229">
        <v>0</v>
      </c>
      <c r="N922" s="229">
        <v>0</v>
      </c>
      <c r="O922" s="229">
        <v>0</v>
      </c>
      <c r="P922" s="229">
        <v>0</v>
      </c>
      <c r="Q922" s="279">
        <v>0</v>
      </c>
    </row>
    <row r="923" spans="1:17" customFormat="1">
      <c r="A923" s="224">
        <v>2</v>
      </c>
      <c r="B923" s="224">
        <v>1900202</v>
      </c>
      <c r="C923" s="224">
        <v>190020200</v>
      </c>
      <c r="D923" s="224" t="s">
        <v>631</v>
      </c>
      <c r="E923" s="224" t="s">
        <v>683</v>
      </c>
      <c r="F923" s="224" t="s">
        <v>685</v>
      </c>
      <c r="G923" s="224" t="s">
        <v>685</v>
      </c>
      <c r="H923" s="224"/>
      <c r="I923" s="229">
        <v>0</v>
      </c>
      <c r="J923" s="229">
        <v>0</v>
      </c>
      <c r="K923" s="229">
        <v>0</v>
      </c>
      <c r="L923" s="229">
        <v>0</v>
      </c>
      <c r="M923" s="229">
        <v>0</v>
      </c>
      <c r="N923" s="229">
        <v>0</v>
      </c>
      <c r="O923" s="229">
        <v>0</v>
      </c>
      <c r="P923" s="229">
        <v>0</v>
      </c>
      <c r="Q923" s="279">
        <v>0</v>
      </c>
    </row>
    <row r="924" spans="1:17" customFormat="1">
      <c r="A924" s="224">
        <v>2</v>
      </c>
      <c r="B924" s="224">
        <v>1900303</v>
      </c>
      <c r="C924" s="224">
        <v>190030300</v>
      </c>
      <c r="D924" s="224" t="s">
        <v>631</v>
      </c>
      <c r="E924" s="224" t="s">
        <v>683</v>
      </c>
      <c r="F924" s="224" t="s">
        <v>683</v>
      </c>
      <c r="G924" s="224" t="s">
        <v>683</v>
      </c>
      <c r="H924" s="224"/>
      <c r="I924" s="229">
        <v>0</v>
      </c>
      <c r="J924" s="229">
        <v>0</v>
      </c>
      <c r="K924" s="229">
        <v>0</v>
      </c>
      <c r="L924" s="229">
        <v>0</v>
      </c>
      <c r="M924" s="229">
        <v>0</v>
      </c>
      <c r="N924" s="229">
        <v>0</v>
      </c>
      <c r="O924" s="229">
        <v>0</v>
      </c>
      <c r="P924" s="229">
        <v>0</v>
      </c>
      <c r="Q924" s="279">
        <v>0</v>
      </c>
    </row>
    <row r="925" spans="1:17" customFormat="1">
      <c r="A925" s="224">
        <v>2</v>
      </c>
      <c r="B925" s="224">
        <v>4810202</v>
      </c>
      <c r="C925" s="224">
        <v>481020200</v>
      </c>
      <c r="D925" s="224" t="s">
        <v>686</v>
      </c>
      <c r="E925" s="224" t="s">
        <v>687</v>
      </c>
      <c r="F925" s="224" t="s">
        <v>688</v>
      </c>
      <c r="G925" s="224" t="s">
        <v>688</v>
      </c>
      <c r="H925" s="224"/>
      <c r="I925" s="229">
        <v>24480257</v>
      </c>
      <c r="J925" s="229">
        <v>0</v>
      </c>
      <c r="K925" s="229">
        <v>0</v>
      </c>
      <c r="L925" s="229">
        <v>0</v>
      </c>
      <c r="M925" s="229">
        <v>0</v>
      </c>
      <c r="N925" s="229">
        <v>24480257</v>
      </c>
      <c r="O925" s="229">
        <v>0</v>
      </c>
      <c r="P925" s="229">
        <v>0</v>
      </c>
      <c r="Q925" s="279">
        <v>0</v>
      </c>
    </row>
    <row r="926" spans="1:17" customFormat="1">
      <c r="A926" s="224">
        <v>2</v>
      </c>
      <c r="B926" s="224">
        <v>4810404</v>
      </c>
      <c r="C926" s="224">
        <v>481040411</v>
      </c>
      <c r="D926" s="224" t="s">
        <v>686</v>
      </c>
      <c r="E926" s="224" t="s">
        <v>687</v>
      </c>
      <c r="F926" s="224" t="s">
        <v>689</v>
      </c>
      <c r="G926" s="224" t="s">
        <v>690</v>
      </c>
      <c r="H926" s="224" t="s">
        <v>691</v>
      </c>
      <c r="I926" s="229">
        <v>357675000</v>
      </c>
      <c r="J926" s="229">
        <v>0</v>
      </c>
      <c r="K926" s="229">
        <v>0</v>
      </c>
      <c r="L926" s="229">
        <v>0</v>
      </c>
      <c r="M926" s="229">
        <v>0</v>
      </c>
      <c r="N926" s="229">
        <v>0</v>
      </c>
      <c r="O926" s="229">
        <v>0</v>
      </c>
      <c r="P926" s="229">
        <v>357675000</v>
      </c>
      <c r="Q926" s="279">
        <v>0</v>
      </c>
    </row>
    <row r="927" spans="1:17" customFormat="1">
      <c r="A927" s="224">
        <v>2</v>
      </c>
      <c r="B927" s="224">
        <v>4810404</v>
      </c>
      <c r="C927" s="224">
        <v>481040412</v>
      </c>
      <c r="D927" s="224" t="s">
        <v>686</v>
      </c>
      <c r="E927" s="224" t="s">
        <v>687</v>
      </c>
      <c r="F927" s="224" t="s">
        <v>689</v>
      </c>
      <c r="G927" s="224" t="s">
        <v>690</v>
      </c>
      <c r="H927" s="224" t="s">
        <v>692</v>
      </c>
      <c r="I927" s="229">
        <v>0</v>
      </c>
      <c r="J927" s="229">
        <v>0</v>
      </c>
      <c r="K927" s="229">
        <v>0</v>
      </c>
      <c r="L927" s="229">
        <v>0</v>
      </c>
      <c r="M927" s="229">
        <v>0</v>
      </c>
      <c r="N927" s="229">
        <v>0</v>
      </c>
      <c r="O927" s="229">
        <v>0</v>
      </c>
      <c r="P927" s="229">
        <v>0</v>
      </c>
      <c r="Q927" s="279">
        <v>0</v>
      </c>
    </row>
    <row r="928" spans="1:17" customFormat="1">
      <c r="A928" s="224">
        <v>2</v>
      </c>
      <c r="B928" s="224">
        <v>4810404</v>
      </c>
      <c r="C928" s="224">
        <v>481040413</v>
      </c>
      <c r="D928" s="224" t="s">
        <v>686</v>
      </c>
      <c r="E928" s="224" t="s">
        <v>687</v>
      </c>
      <c r="F928" s="224" t="s">
        <v>689</v>
      </c>
      <c r="G928" s="224" t="s">
        <v>690</v>
      </c>
      <c r="H928" s="224" t="s">
        <v>693</v>
      </c>
      <c r="I928" s="229">
        <v>16000</v>
      </c>
      <c r="J928" s="229">
        <v>0</v>
      </c>
      <c r="K928" s="229">
        <v>0</v>
      </c>
      <c r="L928" s="229">
        <v>0</v>
      </c>
      <c r="M928" s="229">
        <v>0</v>
      </c>
      <c r="N928" s="229">
        <v>0</v>
      </c>
      <c r="O928" s="229">
        <v>0</v>
      </c>
      <c r="P928" s="229">
        <v>16000</v>
      </c>
      <c r="Q928" s="279">
        <v>0</v>
      </c>
    </row>
    <row r="929" spans="1:17" customFormat="1">
      <c r="A929" s="224">
        <v>2</v>
      </c>
      <c r="B929" s="224">
        <v>4810404</v>
      </c>
      <c r="C929" s="224">
        <v>481040415</v>
      </c>
      <c r="D929" s="224" t="s">
        <v>686</v>
      </c>
      <c r="E929" s="224" t="s">
        <v>687</v>
      </c>
      <c r="F929" s="224" t="s">
        <v>689</v>
      </c>
      <c r="G929" s="224" t="s">
        <v>690</v>
      </c>
      <c r="H929" s="224" t="s">
        <v>694</v>
      </c>
      <c r="I929" s="229">
        <v>0</v>
      </c>
      <c r="J929" s="229">
        <v>0</v>
      </c>
      <c r="K929" s="229">
        <v>0</v>
      </c>
      <c r="L929" s="229">
        <v>0</v>
      </c>
      <c r="M929" s="229">
        <v>0</v>
      </c>
      <c r="N929" s="229">
        <v>0</v>
      </c>
      <c r="O929" s="229">
        <v>0</v>
      </c>
      <c r="P929" s="229">
        <v>0</v>
      </c>
      <c r="Q929" s="279">
        <v>0</v>
      </c>
    </row>
    <row r="930" spans="1:17" customFormat="1">
      <c r="A930" s="224">
        <v>2</v>
      </c>
      <c r="B930" s="224">
        <v>4810406</v>
      </c>
      <c r="C930" s="224">
        <v>481040600</v>
      </c>
      <c r="D930" s="224" t="s">
        <v>686</v>
      </c>
      <c r="E930" s="224" t="s">
        <v>687</v>
      </c>
      <c r="F930" s="224" t="s">
        <v>689</v>
      </c>
      <c r="G930" s="224" t="s">
        <v>695</v>
      </c>
      <c r="H930" s="224"/>
      <c r="I930" s="229">
        <v>0</v>
      </c>
      <c r="J930" s="229">
        <v>0</v>
      </c>
      <c r="K930" s="229">
        <v>0</v>
      </c>
      <c r="L930" s="229">
        <v>0</v>
      </c>
      <c r="M930" s="229">
        <v>0</v>
      </c>
      <c r="N930" s="229">
        <v>0</v>
      </c>
      <c r="O930" s="229">
        <v>0</v>
      </c>
      <c r="P930" s="229">
        <v>0</v>
      </c>
      <c r="Q930" s="279">
        <v>0</v>
      </c>
    </row>
    <row r="931" spans="1:17" customFormat="1">
      <c r="A931" s="224">
        <v>2</v>
      </c>
      <c r="B931" s="224">
        <v>4810408</v>
      </c>
      <c r="C931" s="224">
        <v>481040800</v>
      </c>
      <c r="D931" s="224" t="s">
        <v>686</v>
      </c>
      <c r="E931" s="224" t="s">
        <v>687</v>
      </c>
      <c r="F931" s="224" t="s">
        <v>689</v>
      </c>
      <c r="G931" s="224" t="s">
        <v>696</v>
      </c>
      <c r="H931" s="224"/>
      <c r="I931" s="229">
        <v>0</v>
      </c>
      <c r="J931" s="229">
        <v>0</v>
      </c>
      <c r="K931" s="229">
        <v>0</v>
      </c>
      <c r="L931" s="229">
        <v>0</v>
      </c>
      <c r="M931" s="229">
        <v>0</v>
      </c>
      <c r="N931" s="229">
        <v>0</v>
      </c>
      <c r="O931" s="229">
        <v>0</v>
      </c>
      <c r="P931" s="229">
        <v>0</v>
      </c>
      <c r="Q931" s="279">
        <v>0</v>
      </c>
    </row>
    <row r="932" spans="1:17" customFormat="1">
      <c r="A932" s="224">
        <v>2</v>
      </c>
      <c r="B932" s="224">
        <v>4810409</v>
      </c>
      <c r="C932" s="224">
        <v>481040900</v>
      </c>
      <c r="D932" s="224" t="s">
        <v>686</v>
      </c>
      <c r="E932" s="224" t="s">
        <v>687</v>
      </c>
      <c r="F932" s="224" t="s">
        <v>689</v>
      </c>
      <c r="G932" s="224" t="s">
        <v>697</v>
      </c>
      <c r="H932" s="224"/>
      <c r="I932" s="229">
        <v>0</v>
      </c>
      <c r="J932" s="229">
        <v>0</v>
      </c>
      <c r="K932" s="229">
        <v>0</v>
      </c>
      <c r="L932" s="229">
        <v>0</v>
      </c>
      <c r="M932" s="229">
        <v>0</v>
      </c>
      <c r="N932" s="229">
        <v>0</v>
      </c>
      <c r="O932" s="229">
        <v>0</v>
      </c>
      <c r="P932" s="229">
        <v>0</v>
      </c>
      <c r="Q932" s="279">
        <v>0</v>
      </c>
    </row>
    <row r="933" spans="1:17" customFormat="1">
      <c r="A933" s="224">
        <v>2</v>
      </c>
      <c r="B933" s="224">
        <v>4811214</v>
      </c>
      <c r="C933" s="224">
        <v>481121400</v>
      </c>
      <c r="D933" s="224" t="s">
        <v>686</v>
      </c>
      <c r="E933" s="224" t="s">
        <v>687</v>
      </c>
      <c r="F933" s="224" t="s">
        <v>699</v>
      </c>
      <c r="G933" s="224" t="s">
        <v>699</v>
      </c>
      <c r="H933" s="224"/>
      <c r="I933" s="229">
        <v>0</v>
      </c>
      <c r="J933" s="229">
        <v>0</v>
      </c>
      <c r="K933" s="229">
        <v>0</v>
      </c>
      <c r="L933" s="229">
        <v>0</v>
      </c>
      <c r="M933" s="229">
        <v>0</v>
      </c>
      <c r="N933" s="229">
        <v>0</v>
      </c>
      <c r="O933" s="229">
        <v>0</v>
      </c>
      <c r="P933" s="229">
        <v>0</v>
      </c>
      <c r="Q933" s="279">
        <v>0</v>
      </c>
    </row>
    <row r="934" spans="1:17" customFormat="1">
      <c r="A934" s="224">
        <v>2</v>
      </c>
      <c r="B934" s="224">
        <v>4811417</v>
      </c>
      <c r="C934" s="224">
        <v>481141700</v>
      </c>
      <c r="D934" s="224" t="s">
        <v>686</v>
      </c>
      <c r="E934" s="224" t="s">
        <v>687</v>
      </c>
      <c r="F934" s="224" t="s">
        <v>700</v>
      </c>
      <c r="G934" s="224" t="s">
        <v>703</v>
      </c>
      <c r="H934" s="224"/>
      <c r="I934" s="229">
        <v>0</v>
      </c>
      <c r="J934" s="229">
        <v>0</v>
      </c>
      <c r="K934" s="229">
        <v>0</v>
      </c>
      <c r="L934" s="229">
        <v>0</v>
      </c>
      <c r="M934" s="229">
        <v>0</v>
      </c>
      <c r="N934" s="229">
        <v>0</v>
      </c>
      <c r="O934" s="229">
        <v>0</v>
      </c>
      <c r="P934" s="229">
        <v>0</v>
      </c>
      <c r="Q934" s="279">
        <v>0</v>
      </c>
    </row>
    <row r="935" spans="1:17" customFormat="1">
      <c r="A935" s="224">
        <v>2</v>
      </c>
      <c r="B935" s="224">
        <v>4811418</v>
      </c>
      <c r="C935" s="224">
        <v>481141800</v>
      </c>
      <c r="D935" s="224" t="s">
        <v>686</v>
      </c>
      <c r="E935" s="224" t="s">
        <v>687</v>
      </c>
      <c r="F935" s="224" t="s">
        <v>700</v>
      </c>
      <c r="G935" s="224" t="s">
        <v>64</v>
      </c>
      <c r="H935" s="224"/>
      <c r="I935" s="229">
        <v>0</v>
      </c>
      <c r="J935" s="229">
        <v>0</v>
      </c>
      <c r="K935" s="229">
        <v>0</v>
      </c>
      <c r="L935" s="229">
        <v>0</v>
      </c>
      <c r="M935" s="229">
        <v>0</v>
      </c>
      <c r="N935" s="229">
        <v>0</v>
      </c>
      <c r="O935" s="229">
        <v>0</v>
      </c>
      <c r="P935" s="229">
        <v>0</v>
      </c>
      <c r="Q935" s="279">
        <v>0</v>
      </c>
    </row>
    <row r="936" spans="1:17" customFormat="1">
      <c r="A936" s="224">
        <v>2</v>
      </c>
      <c r="B936" s="224">
        <v>4811419</v>
      </c>
      <c r="C936" s="224">
        <v>481141915</v>
      </c>
      <c r="D936" s="224" t="s">
        <v>686</v>
      </c>
      <c r="E936" s="224" t="s">
        <v>687</v>
      </c>
      <c r="F936" s="224" t="s">
        <v>700</v>
      </c>
      <c r="G936" s="224" t="s">
        <v>85</v>
      </c>
      <c r="H936" s="224" t="s">
        <v>704</v>
      </c>
      <c r="I936" s="229">
        <v>0</v>
      </c>
      <c r="J936" s="229">
        <v>0</v>
      </c>
      <c r="K936" s="229">
        <v>0</v>
      </c>
      <c r="L936" s="229">
        <v>0</v>
      </c>
      <c r="M936" s="229">
        <v>0</v>
      </c>
      <c r="N936" s="229">
        <v>0</v>
      </c>
      <c r="O936" s="229">
        <v>0</v>
      </c>
      <c r="P936" s="229">
        <v>0</v>
      </c>
      <c r="Q936" s="279">
        <v>0</v>
      </c>
    </row>
    <row r="937" spans="1:17" customFormat="1">
      <c r="A937" s="224">
        <v>2</v>
      </c>
      <c r="B937" s="224">
        <v>4811419</v>
      </c>
      <c r="C937" s="224">
        <v>481141916</v>
      </c>
      <c r="D937" s="224" t="s">
        <v>686</v>
      </c>
      <c r="E937" s="224" t="s">
        <v>687</v>
      </c>
      <c r="F937" s="224" t="s">
        <v>700</v>
      </c>
      <c r="G937" s="224" t="s">
        <v>85</v>
      </c>
      <c r="H937" s="224" t="s">
        <v>705</v>
      </c>
      <c r="I937" s="229">
        <v>0</v>
      </c>
      <c r="J937" s="229">
        <v>0</v>
      </c>
      <c r="K937" s="229">
        <v>0</v>
      </c>
      <c r="L937" s="229">
        <v>0</v>
      </c>
      <c r="M937" s="229">
        <v>0</v>
      </c>
      <c r="N937" s="229">
        <v>0</v>
      </c>
      <c r="O937" s="229">
        <v>0</v>
      </c>
      <c r="P937" s="229">
        <v>0</v>
      </c>
      <c r="Q937" s="279">
        <v>0</v>
      </c>
    </row>
    <row r="938" spans="1:17" customFormat="1">
      <c r="A938" s="224">
        <v>2</v>
      </c>
      <c r="B938" s="224">
        <v>4811419</v>
      </c>
      <c r="C938" s="224">
        <v>481141917</v>
      </c>
      <c r="D938" s="224" t="s">
        <v>686</v>
      </c>
      <c r="E938" s="224" t="s">
        <v>687</v>
      </c>
      <c r="F938" s="224" t="s">
        <v>700</v>
      </c>
      <c r="G938" s="224" t="s">
        <v>85</v>
      </c>
      <c r="H938" s="224" t="s">
        <v>706</v>
      </c>
      <c r="I938" s="229">
        <v>0</v>
      </c>
      <c r="J938" s="229">
        <v>0</v>
      </c>
      <c r="K938" s="229">
        <v>0</v>
      </c>
      <c r="L938" s="229">
        <v>0</v>
      </c>
      <c r="M938" s="229">
        <v>0</v>
      </c>
      <c r="N938" s="229">
        <v>0</v>
      </c>
      <c r="O938" s="229">
        <v>0</v>
      </c>
      <c r="P938" s="229">
        <v>0</v>
      </c>
      <c r="Q938" s="279">
        <v>0</v>
      </c>
    </row>
    <row r="939" spans="1:17" customFormat="1">
      <c r="A939" s="224">
        <v>2</v>
      </c>
      <c r="B939" s="224">
        <v>4811420</v>
      </c>
      <c r="C939" s="224">
        <v>481142000</v>
      </c>
      <c r="D939" s="224" t="s">
        <v>686</v>
      </c>
      <c r="E939" s="224" t="s">
        <v>687</v>
      </c>
      <c r="F939" s="224" t="s">
        <v>700</v>
      </c>
      <c r="G939" s="224" t="s">
        <v>707</v>
      </c>
      <c r="H939" s="224"/>
      <c r="I939" s="229">
        <v>0</v>
      </c>
      <c r="J939" s="229">
        <v>0</v>
      </c>
      <c r="K939" s="229">
        <v>0</v>
      </c>
      <c r="L939" s="229">
        <v>0</v>
      </c>
      <c r="M939" s="229">
        <v>0</v>
      </c>
      <c r="N939" s="229">
        <v>0</v>
      </c>
      <c r="O939" s="229">
        <v>0</v>
      </c>
      <c r="P939" s="229">
        <v>0</v>
      </c>
      <c r="Q939" s="279">
        <v>0</v>
      </c>
    </row>
    <row r="940" spans="1:17" customFormat="1">
      <c r="A940" s="224">
        <v>2</v>
      </c>
      <c r="B940" s="224">
        <v>4820221</v>
      </c>
      <c r="C940" s="224">
        <v>482022100</v>
      </c>
      <c r="D940" s="224" t="s">
        <v>686</v>
      </c>
      <c r="E940" s="224" t="s">
        <v>708</v>
      </c>
      <c r="F940" s="224" t="s">
        <v>709</v>
      </c>
      <c r="G940" s="224" t="s">
        <v>710</v>
      </c>
      <c r="H940" s="224"/>
      <c r="I940" s="229">
        <v>0</v>
      </c>
      <c r="J940" s="229">
        <v>0</v>
      </c>
      <c r="K940" s="229">
        <v>0</v>
      </c>
      <c r="L940" s="229">
        <v>0</v>
      </c>
      <c r="M940" s="229">
        <v>0</v>
      </c>
      <c r="N940" s="229">
        <v>0</v>
      </c>
      <c r="O940" s="229">
        <v>0</v>
      </c>
      <c r="P940" s="229">
        <v>0</v>
      </c>
      <c r="Q940" s="279">
        <v>0</v>
      </c>
    </row>
    <row r="941" spans="1:17" customFormat="1">
      <c r="A941" s="224">
        <v>2</v>
      </c>
      <c r="B941" s="224">
        <v>4820222</v>
      </c>
      <c r="C941" s="224">
        <v>482022200</v>
      </c>
      <c r="D941" s="224" t="s">
        <v>686</v>
      </c>
      <c r="E941" s="224" t="s">
        <v>708</v>
      </c>
      <c r="F941" s="224" t="s">
        <v>709</v>
      </c>
      <c r="G941" s="224" t="s">
        <v>711</v>
      </c>
      <c r="H941" s="224"/>
      <c r="I941" s="229">
        <v>0</v>
      </c>
      <c r="J941" s="229">
        <v>0</v>
      </c>
      <c r="K941" s="229">
        <v>0</v>
      </c>
      <c r="L941" s="229">
        <v>0</v>
      </c>
      <c r="M941" s="229">
        <v>0</v>
      </c>
      <c r="N941" s="229">
        <v>0</v>
      </c>
      <c r="O941" s="229">
        <v>0</v>
      </c>
      <c r="P941" s="229">
        <v>0</v>
      </c>
      <c r="Q941" s="279">
        <v>0</v>
      </c>
    </row>
    <row r="942" spans="1:17" customFormat="1">
      <c r="A942" s="224">
        <v>2</v>
      </c>
      <c r="B942" s="224">
        <v>4820224</v>
      </c>
      <c r="C942" s="224">
        <v>482022400</v>
      </c>
      <c r="D942" s="224" t="s">
        <v>686</v>
      </c>
      <c r="E942" s="224" t="s">
        <v>708</v>
      </c>
      <c r="F942" s="224" t="s">
        <v>709</v>
      </c>
      <c r="G942" s="224" t="s">
        <v>712</v>
      </c>
      <c r="H942" s="224"/>
      <c r="I942" s="229">
        <v>0</v>
      </c>
      <c r="J942" s="229">
        <v>0</v>
      </c>
      <c r="K942" s="229">
        <v>0</v>
      </c>
      <c r="L942" s="229">
        <v>0</v>
      </c>
      <c r="M942" s="229">
        <v>0</v>
      </c>
      <c r="N942" s="229">
        <v>0</v>
      </c>
      <c r="O942" s="229">
        <v>0</v>
      </c>
      <c r="P942" s="229">
        <v>0</v>
      </c>
      <c r="Q942" s="279">
        <v>0</v>
      </c>
    </row>
    <row r="943" spans="1:17" customFormat="1">
      <c r="A943" s="224">
        <v>2</v>
      </c>
      <c r="B943" s="224">
        <v>4820427</v>
      </c>
      <c r="C943" s="224">
        <v>482042700</v>
      </c>
      <c r="D943" s="224" t="s">
        <v>686</v>
      </c>
      <c r="E943" s="224" t="s">
        <v>708</v>
      </c>
      <c r="F943" s="224" t="s">
        <v>655</v>
      </c>
      <c r="G943" s="224" t="s">
        <v>713</v>
      </c>
      <c r="H943" s="224"/>
      <c r="I943" s="229">
        <v>0</v>
      </c>
      <c r="J943" s="229">
        <v>0</v>
      </c>
      <c r="K943" s="229">
        <v>0</v>
      </c>
      <c r="L943" s="229">
        <v>0</v>
      </c>
      <c r="M943" s="229">
        <v>0</v>
      </c>
      <c r="N943" s="229">
        <v>0</v>
      </c>
      <c r="O943" s="229">
        <v>0</v>
      </c>
      <c r="P943" s="229">
        <v>0</v>
      </c>
      <c r="Q943" s="279">
        <v>0</v>
      </c>
    </row>
    <row r="944" spans="1:17">
      <c r="A944" s="256">
        <v>2</v>
      </c>
      <c r="B944" s="256">
        <v>4820428</v>
      </c>
      <c r="C944" s="256">
        <v>482042800</v>
      </c>
      <c r="D944" s="256" t="s">
        <v>686</v>
      </c>
      <c r="E944" s="256" t="s">
        <v>708</v>
      </c>
      <c r="F944" s="256" t="s">
        <v>655</v>
      </c>
      <c r="G944" s="256" t="s">
        <v>714</v>
      </c>
      <c r="H944" s="256"/>
      <c r="I944" s="257">
        <v>0</v>
      </c>
      <c r="J944" s="257">
        <v>0</v>
      </c>
      <c r="K944" s="257">
        <v>0</v>
      </c>
      <c r="L944" s="257">
        <v>0</v>
      </c>
      <c r="M944" s="257">
        <v>0</v>
      </c>
      <c r="N944" s="257">
        <v>0</v>
      </c>
      <c r="O944" s="257">
        <v>0</v>
      </c>
      <c r="P944" s="257">
        <v>0</v>
      </c>
      <c r="Q944" s="258">
        <v>0</v>
      </c>
    </row>
    <row r="945" spans="1:19">
      <c r="A945" s="256">
        <v>2</v>
      </c>
      <c r="B945" s="256">
        <v>4820429</v>
      </c>
      <c r="C945" s="256">
        <v>482042900</v>
      </c>
      <c r="D945" s="256" t="s">
        <v>686</v>
      </c>
      <c r="E945" s="256" t="s">
        <v>708</v>
      </c>
      <c r="F945" s="256" t="s">
        <v>655</v>
      </c>
      <c r="G945" s="256" t="s">
        <v>658</v>
      </c>
      <c r="H945" s="256"/>
      <c r="I945" s="257">
        <v>0</v>
      </c>
      <c r="J945" s="257">
        <v>0</v>
      </c>
      <c r="K945" s="257">
        <v>0</v>
      </c>
      <c r="L945" s="257">
        <v>0</v>
      </c>
      <c r="M945" s="257">
        <v>0</v>
      </c>
      <c r="N945" s="257">
        <v>0</v>
      </c>
      <c r="O945" s="257">
        <v>0</v>
      </c>
      <c r="P945" s="257">
        <v>0</v>
      </c>
      <c r="Q945" s="258">
        <v>0</v>
      </c>
    </row>
    <row r="946" spans="1:19">
      <c r="A946" s="256">
        <v>2</v>
      </c>
      <c r="B946" s="256">
        <v>4820501</v>
      </c>
      <c r="C946" s="256">
        <v>482050100</v>
      </c>
      <c r="D946" s="256" t="s">
        <v>686</v>
      </c>
      <c r="E946" s="256" t="s">
        <v>708</v>
      </c>
      <c r="F946" s="256" t="s">
        <v>715</v>
      </c>
      <c r="G946" s="256" t="s">
        <v>715</v>
      </c>
      <c r="H946" s="256"/>
      <c r="I946" s="257">
        <v>0</v>
      </c>
      <c r="J946" s="257">
        <v>0</v>
      </c>
      <c r="K946" s="257">
        <v>0</v>
      </c>
      <c r="L946" s="257">
        <v>0</v>
      </c>
      <c r="M946" s="257">
        <v>0</v>
      </c>
      <c r="N946" s="257">
        <v>0</v>
      </c>
      <c r="O946" s="257">
        <v>0</v>
      </c>
      <c r="P946" s="257">
        <v>0</v>
      </c>
      <c r="Q946" s="258">
        <v>0</v>
      </c>
    </row>
    <row r="947" spans="1:19">
      <c r="A947" s="256">
        <v>2</v>
      </c>
      <c r="B947" s="256">
        <v>4820630</v>
      </c>
      <c r="C947" s="256">
        <v>482063000</v>
      </c>
      <c r="D947" s="256" t="s">
        <v>686</v>
      </c>
      <c r="E947" s="256" t="s">
        <v>708</v>
      </c>
      <c r="F947" s="256" t="s">
        <v>659</v>
      </c>
      <c r="G947" s="256" t="s">
        <v>659</v>
      </c>
      <c r="H947" s="256"/>
      <c r="I947" s="257">
        <v>0</v>
      </c>
      <c r="J947" s="257">
        <v>0</v>
      </c>
      <c r="K947" s="257">
        <v>0</v>
      </c>
      <c r="L947" s="257">
        <v>0</v>
      </c>
      <c r="M947" s="257">
        <v>0</v>
      </c>
      <c r="N947" s="257">
        <v>0</v>
      </c>
      <c r="O947" s="257">
        <v>0</v>
      </c>
      <c r="P947" s="257">
        <v>0</v>
      </c>
      <c r="Q947" s="258">
        <v>0</v>
      </c>
    </row>
    <row r="948" spans="1:19">
      <c r="A948" s="256">
        <v>2</v>
      </c>
      <c r="B948" s="256">
        <v>4820831</v>
      </c>
      <c r="C948" s="256">
        <v>482083100</v>
      </c>
      <c r="D948" s="256" t="s">
        <v>686</v>
      </c>
      <c r="E948" s="256" t="s">
        <v>708</v>
      </c>
      <c r="F948" s="256" t="s">
        <v>660</v>
      </c>
      <c r="G948" s="256" t="s">
        <v>660</v>
      </c>
      <c r="H948" s="256"/>
      <c r="I948" s="257">
        <v>0</v>
      </c>
      <c r="J948" s="257">
        <v>0</v>
      </c>
      <c r="K948" s="257">
        <v>0</v>
      </c>
      <c r="L948" s="257">
        <v>0</v>
      </c>
      <c r="M948" s="257">
        <v>0</v>
      </c>
      <c r="N948" s="257">
        <v>0</v>
      </c>
      <c r="O948" s="257">
        <v>0</v>
      </c>
      <c r="P948" s="257">
        <v>0</v>
      </c>
      <c r="Q948" s="258">
        <v>0</v>
      </c>
    </row>
    <row r="949" spans="1:19" customFormat="1">
      <c r="A949" s="224">
        <v>2</v>
      </c>
      <c r="B949" s="224">
        <v>4820932</v>
      </c>
      <c r="C949" s="224">
        <v>482093200</v>
      </c>
      <c r="D949" s="224" t="s">
        <v>686</v>
      </c>
      <c r="E949" s="224" t="s">
        <v>708</v>
      </c>
      <c r="F949" s="224" t="s">
        <v>663</v>
      </c>
      <c r="G949" s="224" t="s">
        <v>716</v>
      </c>
      <c r="H949" s="224"/>
      <c r="I949" s="229">
        <v>0</v>
      </c>
      <c r="J949" s="229">
        <v>0</v>
      </c>
      <c r="K949" s="229">
        <v>0</v>
      </c>
      <c r="L949" s="229">
        <v>0</v>
      </c>
      <c r="M949" s="229">
        <v>0</v>
      </c>
      <c r="N949" s="229">
        <v>0</v>
      </c>
      <c r="O949" s="229">
        <v>0</v>
      </c>
      <c r="P949" s="229">
        <v>0</v>
      </c>
      <c r="Q949" s="279">
        <v>0</v>
      </c>
    </row>
    <row r="950" spans="1:19" customFormat="1">
      <c r="A950" s="224">
        <v>2</v>
      </c>
      <c r="B950" s="224">
        <v>4820933</v>
      </c>
      <c r="C950" s="224">
        <v>482093300</v>
      </c>
      <c r="D950" s="224" t="s">
        <v>686</v>
      </c>
      <c r="E950" s="224" t="s">
        <v>708</v>
      </c>
      <c r="F950" s="224" t="s">
        <v>663</v>
      </c>
      <c r="G950" s="224" t="s">
        <v>717</v>
      </c>
      <c r="H950" s="224"/>
      <c r="I950" s="229">
        <v>0</v>
      </c>
      <c r="J950" s="229">
        <v>0</v>
      </c>
      <c r="K950" s="229">
        <v>0</v>
      </c>
      <c r="L950" s="229">
        <v>0</v>
      </c>
      <c r="M950" s="229">
        <v>0</v>
      </c>
      <c r="N950" s="229">
        <v>0</v>
      </c>
      <c r="O950" s="229">
        <v>0</v>
      </c>
      <c r="P950" s="229">
        <v>0</v>
      </c>
      <c r="Q950" s="279">
        <v>0</v>
      </c>
    </row>
    <row r="951" spans="1:19" customFormat="1">
      <c r="A951" s="224">
        <v>2</v>
      </c>
      <c r="B951" s="224">
        <v>4821034</v>
      </c>
      <c r="C951" s="224">
        <v>482103411</v>
      </c>
      <c r="D951" s="224" t="s">
        <v>686</v>
      </c>
      <c r="E951" s="224" t="s">
        <v>708</v>
      </c>
      <c r="F951" s="224" t="s">
        <v>661</v>
      </c>
      <c r="G951" s="224" t="s">
        <v>718</v>
      </c>
      <c r="H951" s="224" t="s">
        <v>691</v>
      </c>
      <c r="I951" s="229">
        <v>0</v>
      </c>
      <c r="J951" s="229">
        <v>0</v>
      </c>
      <c r="K951" s="229">
        <v>0</v>
      </c>
      <c r="L951" s="229">
        <v>0</v>
      </c>
      <c r="M951" s="229">
        <v>0</v>
      </c>
      <c r="N951" s="229">
        <v>0</v>
      </c>
      <c r="O951" s="229">
        <v>0</v>
      </c>
      <c r="P951" s="229">
        <v>0</v>
      </c>
      <c r="Q951" s="279">
        <v>0</v>
      </c>
    </row>
    <row r="952" spans="1:19" customFormat="1">
      <c r="A952" s="224">
        <v>2</v>
      </c>
      <c r="B952" s="224">
        <v>4821034</v>
      </c>
      <c r="C952" s="224">
        <v>482103412</v>
      </c>
      <c r="D952" s="224" t="s">
        <v>686</v>
      </c>
      <c r="E952" s="224" t="s">
        <v>708</v>
      </c>
      <c r="F952" s="224" t="s">
        <v>661</v>
      </c>
      <c r="G952" s="224" t="s">
        <v>718</v>
      </c>
      <c r="H952" s="224" t="s">
        <v>692</v>
      </c>
      <c r="I952" s="229">
        <v>0</v>
      </c>
      <c r="J952" s="229">
        <v>0</v>
      </c>
      <c r="K952" s="229">
        <v>0</v>
      </c>
      <c r="L952" s="229">
        <v>0</v>
      </c>
      <c r="M952" s="229">
        <v>0</v>
      </c>
      <c r="N952" s="229">
        <v>0</v>
      </c>
      <c r="O952" s="229">
        <v>0</v>
      </c>
      <c r="P952" s="229">
        <v>0</v>
      </c>
      <c r="Q952" s="279">
        <v>0</v>
      </c>
    </row>
    <row r="953" spans="1:19" customFormat="1">
      <c r="A953" s="224">
        <v>2</v>
      </c>
      <c r="B953" s="224">
        <v>4821034</v>
      </c>
      <c r="C953" s="224">
        <v>482103413</v>
      </c>
      <c r="D953" s="224" t="s">
        <v>686</v>
      </c>
      <c r="E953" s="224" t="s">
        <v>708</v>
      </c>
      <c r="F953" s="224" t="s">
        <v>661</v>
      </c>
      <c r="G953" s="224" t="s">
        <v>718</v>
      </c>
      <c r="H953" s="224" t="s">
        <v>693</v>
      </c>
      <c r="I953" s="229">
        <v>0</v>
      </c>
      <c r="J953" s="229">
        <v>0</v>
      </c>
      <c r="K953" s="229">
        <v>0</v>
      </c>
      <c r="L953" s="229">
        <v>0</v>
      </c>
      <c r="M953" s="229">
        <v>0</v>
      </c>
      <c r="N953" s="229">
        <v>0</v>
      </c>
      <c r="O953" s="229">
        <v>0</v>
      </c>
      <c r="P953" s="229">
        <v>0</v>
      </c>
      <c r="Q953" s="279">
        <v>0</v>
      </c>
    </row>
    <row r="954" spans="1:19" customFormat="1">
      <c r="A954" s="224">
        <v>2</v>
      </c>
      <c r="B954" s="224">
        <v>4821034</v>
      </c>
      <c r="C954" s="224">
        <v>482103414</v>
      </c>
      <c r="D954" s="224" t="s">
        <v>686</v>
      </c>
      <c r="E954" s="224" t="s">
        <v>708</v>
      </c>
      <c r="F954" s="224" t="s">
        <v>661</v>
      </c>
      <c r="G954" s="224" t="s">
        <v>718</v>
      </c>
      <c r="H954" s="224" t="s">
        <v>719</v>
      </c>
      <c r="I954" s="229">
        <v>0</v>
      </c>
      <c r="J954" s="229">
        <v>0</v>
      </c>
      <c r="K954" s="229">
        <v>0</v>
      </c>
      <c r="L954" s="229">
        <v>0</v>
      </c>
      <c r="M954" s="229">
        <v>0</v>
      </c>
      <c r="N954" s="229">
        <v>0</v>
      </c>
      <c r="O954" s="229">
        <v>0</v>
      </c>
      <c r="P954" s="229">
        <v>0</v>
      </c>
      <c r="Q954" s="279">
        <v>0</v>
      </c>
    </row>
    <row r="955" spans="1:19" customFormat="1">
      <c r="A955" s="224">
        <v>2</v>
      </c>
      <c r="B955" s="224">
        <v>4821035</v>
      </c>
      <c r="C955" s="224">
        <v>482103500</v>
      </c>
      <c r="D955" s="224" t="s">
        <v>686</v>
      </c>
      <c r="E955" s="224" t="s">
        <v>708</v>
      </c>
      <c r="F955" s="224" t="s">
        <v>661</v>
      </c>
      <c r="G955" s="224" t="s">
        <v>720</v>
      </c>
      <c r="H955" s="224"/>
      <c r="I955" s="229">
        <v>0</v>
      </c>
      <c r="J955" s="229">
        <v>0</v>
      </c>
      <c r="K955" s="229">
        <v>0</v>
      </c>
      <c r="L955" s="229">
        <v>0</v>
      </c>
      <c r="M955" s="229">
        <v>0</v>
      </c>
      <c r="N955" s="229">
        <v>0</v>
      </c>
      <c r="O955" s="229">
        <v>0</v>
      </c>
      <c r="P955" s="229">
        <v>0</v>
      </c>
      <c r="Q955" s="279">
        <v>0</v>
      </c>
    </row>
    <row r="956" spans="1:19" customFormat="1">
      <c r="A956" s="224">
        <v>2</v>
      </c>
      <c r="B956" s="224">
        <v>4821137</v>
      </c>
      <c r="C956" s="224">
        <v>482113700</v>
      </c>
      <c r="D956" s="224" t="s">
        <v>686</v>
      </c>
      <c r="E956" s="224" t="s">
        <v>708</v>
      </c>
      <c r="F956" s="224" t="s">
        <v>685</v>
      </c>
      <c r="G956" s="224" t="s">
        <v>685</v>
      </c>
      <c r="H956" s="224"/>
      <c r="I956" s="229">
        <v>0</v>
      </c>
      <c r="J956" s="229">
        <v>0</v>
      </c>
      <c r="K956" s="229">
        <v>0</v>
      </c>
      <c r="L956" s="229">
        <v>0</v>
      </c>
      <c r="M956" s="229">
        <v>0</v>
      </c>
      <c r="N956" s="229">
        <v>0</v>
      </c>
      <c r="O956" s="229">
        <v>0</v>
      </c>
      <c r="P956" s="229">
        <v>0</v>
      </c>
      <c r="Q956" s="279">
        <v>0</v>
      </c>
    </row>
    <row r="957" spans="1:19" customFormat="1">
      <c r="A957" s="224">
        <v>2</v>
      </c>
      <c r="B957" s="224">
        <v>4821236</v>
      </c>
      <c r="C957" s="224">
        <v>482123600</v>
      </c>
      <c r="D957" s="224" t="s">
        <v>686</v>
      </c>
      <c r="E957" s="224" t="s">
        <v>708</v>
      </c>
      <c r="F957" s="224" t="s">
        <v>707</v>
      </c>
      <c r="G957" s="224" t="s">
        <v>722</v>
      </c>
      <c r="H957" s="224"/>
      <c r="I957" s="229">
        <v>0</v>
      </c>
      <c r="J957" s="229">
        <v>0</v>
      </c>
      <c r="K957" s="229">
        <v>0</v>
      </c>
      <c r="L957" s="229">
        <v>0</v>
      </c>
      <c r="M957" s="229">
        <v>0</v>
      </c>
      <c r="N957" s="229">
        <v>0</v>
      </c>
      <c r="O957" s="229">
        <v>0</v>
      </c>
      <c r="P957" s="229">
        <v>0</v>
      </c>
      <c r="Q957" s="279">
        <v>0</v>
      </c>
    </row>
    <row r="958" spans="1:19" customFormat="1">
      <c r="A958" s="224">
        <v>2</v>
      </c>
      <c r="B958" s="224">
        <v>4821240</v>
      </c>
      <c r="C958" s="224">
        <v>482124000</v>
      </c>
      <c r="D958" s="224" t="s">
        <v>686</v>
      </c>
      <c r="E958" s="224" t="s">
        <v>708</v>
      </c>
      <c r="F958" s="224" t="s">
        <v>707</v>
      </c>
      <c r="G958" s="224" t="s">
        <v>723</v>
      </c>
      <c r="H958" s="224"/>
      <c r="I958" s="229">
        <v>42600</v>
      </c>
      <c r="J958" s="229">
        <v>0</v>
      </c>
      <c r="K958" s="229">
        <v>0</v>
      </c>
      <c r="L958" s="229">
        <v>0</v>
      </c>
      <c r="M958" s="229">
        <v>0</v>
      </c>
      <c r="N958" s="229">
        <v>0</v>
      </c>
      <c r="O958" s="229">
        <v>42600</v>
      </c>
      <c r="P958" s="229">
        <v>0</v>
      </c>
      <c r="Q958" s="279">
        <v>0</v>
      </c>
    </row>
    <row r="959" spans="1:19" customFormat="1">
      <c r="A959" s="224">
        <v>2</v>
      </c>
      <c r="B959" s="224">
        <v>4821301</v>
      </c>
      <c r="C959" s="224">
        <v>482130103</v>
      </c>
      <c r="D959" s="224" t="s">
        <v>686</v>
      </c>
      <c r="E959" s="224" t="s">
        <v>708</v>
      </c>
      <c r="F959" s="224" t="s">
        <v>724</v>
      </c>
      <c r="G959" s="224" t="s">
        <v>724</v>
      </c>
      <c r="H959" s="224" t="s">
        <v>725</v>
      </c>
      <c r="I959" s="229">
        <v>852423</v>
      </c>
      <c r="J959" s="229">
        <v>0</v>
      </c>
      <c r="K959" s="229">
        <v>0</v>
      </c>
      <c r="L959" s="229">
        <v>0</v>
      </c>
      <c r="M959" s="229">
        <v>0</v>
      </c>
      <c r="N959" s="229">
        <v>0</v>
      </c>
      <c r="O959" s="229">
        <v>0</v>
      </c>
      <c r="P959" s="229">
        <v>852423</v>
      </c>
      <c r="Q959" s="279">
        <v>0</v>
      </c>
    </row>
    <row r="960" spans="1:19" customFormat="1">
      <c r="A960" s="224">
        <v>2</v>
      </c>
      <c r="B960" s="224">
        <v>4821301</v>
      </c>
      <c r="C960" s="224">
        <v>482130104</v>
      </c>
      <c r="D960" s="224" t="s">
        <v>686</v>
      </c>
      <c r="E960" s="224" t="s">
        <v>708</v>
      </c>
      <c r="F960" s="224" t="s">
        <v>724</v>
      </c>
      <c r="G960" s="224" t="s">
        <v>724</v>
      </c>
      <c r="H960" s="224" t="s">
        <v>655</v>
      </c>
      <c r="I960" s="290">
        <v>49993041</v>
      </c>
      <c r="J960" s="229">
        <v>0</v>
      </c>
      <c r="K960" s="229">
        <v>0</v>
      </c>
      <c r="L960" s="229">
        <v>0</v>
      </c>
      <c r="M960" s="229">
        <v>0</v>
      </c>
      <c r="N960" s="229">
        <v>0</v>
      </c>
      <c r="O960" s="229">
        <v>0</v>
      </c>
      <c r="P960" s="290">
        <v>49993041</v>
      </c>
      <c r="Q960" s="279">
        <v>0</v>
      </c>
      <c r="S960" s="259" t="s">
        <v>876</v>
      </c>
    </row>
    <row r="961" spans="1:17" customFormat="1">
      <c r="A961" s="224">
        <v>2</v>
      </c>
      <c r="B961" s="224">
        <v>4821301</v>
      </c>
      <c r="C961" s="224">
        <v>482130105</v>
      </c>
      <c r="D961" s="224" t="s">
        <v>686</v>
      </c>
      <c r="E961" s="224" t="s">
        <v>708</v>
      </c>
      <c r="F961" s="224" t="s">
        <v>724</v>
      </c>
      <c r="G961" s="224" t="s">
        <v>724</v>
      </c>
      <c r="H961" s="224" t="s">
        <v>715</v>
      </c>
      <c r="I961" s="229">
        <v>46908935</v>
      </c>
      <c r="J961" s="229">
        <v>0</v>
      </c>
      <c r="K961" s="229">
        <v>0</v>
      </c>
      <c r="L961" s="229">
        <v>0</v>
      </c>
      <c r="M961" s="229">
        <v>0</v>
      </c>
      <c r="N961" s="229">
        <v>0</v>
      </c>
      <c r="O961" s="229">
        <v>0</v>
      </c>
      <c r="P961" s="229">
        <v>46908935</v>
      </c>
      <c r="Q961" s="279">
        <v>0</v>
      </c>
    </row>
    <row r="962" spans="1:17" customFormat="1">
      <c r="A962" s="224">
        <v>2</v>
      </c>
      <c r="B962" s="224">
        <v>4821301</v>
      </c>
      <c r="C962" s="224">
        <v>482130107</v>
      </c>
      <c r="D962" s="224" t="s">
        <v>686</v>
      </c>
      <c r="E962" s="224" t="s">
        <v>708</v>
      </c>
      <c r="F962" s="224" t="s">
        <v>724</v>
      </c>
      <c r="G962" s="224" t="s">
        <v>724</v>
      </c>
      <c r="H962" s="224" t="s">
        <v>847</v>
      </c>
      <c r="I962" s="229">
        <v>11072772</v>
      </c>
      <c r="J962" s="229">
        <v>0</v>
      </c>
      <c r="K962" s="229">
        <v>0</v>
      </c>
      <c r="L962" s="229">
        <v>0</v>
      </c>
      <c r="M962" s="229">
        <v>0</v>
      </c>
      <c r="N962" s="229">
        <v>0</v>
      </c>
      <c r="O962" s="229">
        <v>0</v>
      </c>
      <c r="P962" s="229">
        <v>11072772</v>
      </c>
      <c r="Q962" s="279">
        <v>0</v>
      </c>
    </row>
    <row r="963" spans="1:17" customFormat="1">
      <c r="A963" s="224">
        <v>2</v>
      </c>
      <c r="B963" s="224">
        <v>4821301</v>
      </c>
      <c r="C963" s="224">
        <v>482130108</v>
      </c>
      <c r="D963" s="224" t="s">
        <v>686</v>
      </c>
      <c r="E963" s="224" t="s">
        <v>708</v>
      </c>
      <c r="F963" s="224" t="s">
        <v>724</v>
      </c>
      <c r="G963" s="224" t="s">
        <v>724</v>
      </c>
      <c r="H963" s="224" t="s">
        <v>665</v>
      </c>
      <c r="I963" s="229">
        <v>633019</v>
      </c>
      <c r="J963" s="229">
        <v>0</v>
      </c>
      <c r="K963" s="229">
        <v>0</v>
      </c>
      <c r="L963" s="229">
        <v>0</v>
      </c>
      <c r="M963" s="229">
        <v>0</v>
      </c>
      <c r="N963" s="229">
        <v>0</v>
      </c>
      <c r="O963" s="229">
        <v>0</v>
      </c>
      <c r="P963" s="229">
        <v>633019</v>
      </c>
      <c r="Q963" s="279">
        <v>0</v>
      </c>
    </row>
    <row r="964" spans="1:17" customFormat="1">
      <c r="A964" s="224">
        <v>2</v>
      </c>
      <c r="B964" s="224">
        <v>4821301</v>
      </c>
      <c r="C964" s="224">
        <v>482130110</v>
      </c>
      <c r="D964" s="224" t="s">
        <v>686</v>
      </c>
      <c r="E964" s="224" t="s">
        <v>708</v>
      </c>
      <c r="F964" s="224" t="s">
        <v>724</v>
      </c>
      <c r="G964" s="224" t="s">
        <v>724</v>
      </c>
      <c r="H964" s="224" t="s">
        <v>661</v>
      </c>
      <c r="I964" s="229">
        <v>0</v>
      </c>
      <c r="J964" s="229">
        <v>0</v>
      </c>
      <c r="K964" s="229">
        <v>0</v>
      </c>
      <c r="L964" s="229">
        <v>0</v>
      </c>
      <c r="M964" s="229">
        <v>0</v>
      </c>
      <c r="N964" s="229">
        <v>0</v>
      </c>
      <c r="O964" s="229">
        <v>0</v>
      </c>
      <c r="P964" s="229">
        <v>0</v>
      </c>
      <c r="Q964" s="279">
        <v>0</v>
      </c>
    </row>
    <row r="965" spans="1:17" customFormat="1">
      <c r="A965" s="224">
        <v>2</v>
      </c>
      <c r="B965" s="224">
        <v>4821301</v>
      </c>
      <c r="C965" s="224">
        <v>482130120</v>
      </c>
      <c r="D965" s="224" t="s">
        <v>686</v>
      </c>
      <c r="E965" s="224" t="s">
        <v>708</v>
      </c>
      <c r="F965" s="224" t="s">
        <v>724</v>
      </c>
      <c r="G965" s="224" t="s">
        <v>724</v>
      </c>
      <c r="H965" s="224" t="s">
        <v>726</v>
      </c>
      <c r="I965" s="229">
        <v>2787</v>
      </c>
      <c r="J965" s="229">
        <v>0</v>
      </c>
      <c r="K965" s="229">
        <v>0</v>
      </c>
      <c r="L965" s="229">
        <v>0</v>
      </c>
      <c r="M965" s="229">
        <v>0</v>
      </c>
      <c r="N965" s="229">
        <v>0</v>
      </c>
      <c r="O965" s="229">
        <v>0</v>
      </c>
      <c r="P965" s="229">
        <v>2787</v>
      </c>
      <c r="Q965" s="279">
        <v>0</v>
      </c>
    </row>
    <row r="966" spans="1:17" customFormat="1">
      <c r="A966" s="224">
        <v>2</v>
      </c>
      <c r="B966" s="224">
        <v>4830202</v>
      </c>
      <c r="C966" s="224">
        <v>483020200</v>
      </c>
      <c r="D966" s="224" t="s">
        <v>686</v>
      </c>
      <c r="E966" s="224" t="s">
        <v>727</v>
      </c>
      <c r="F966" s="224" t="s">
        <v>728</v>
      </c>
      <c r="G966" s="224" t="s">
        <v>728</v>
      </c>
      <c r="H966" s="224"/>
      <c r="I966" s="229">
        <v>0</v>
      </c>
      <c r="J966" s="229">
        <v>0</v>
      </c>
      <c r="K966" s="229">
        <v>0</v>
      </c>
      <c r="L966" s="229">
        <v>0</v>
      </c>
      <c r="M966" s="229">
        <v>0</v>
      </c>
      <c r="N966" s="229">
        <v>0</v>
      </c>
      <c r="O966" s="229">
        <v>0</v>
      </c>
      <c r="P966" s="229">
        <v>0</v>
      </c>
      <c r="Q966" s="279">
        <v>0</v>
      </c>
    </row>
    <row r="967" spans="1:17" customFormat="1">
      <c r="A967" s="224">
        <v>2</v>
      </c>
      <c r="B967" s="224">
        <v>4830404</v>
      </c>
      <c r="C967" s="224">
        <v>483040400</v>
      </c>
      <c r="D967" s="224" t="s">
        <v>686</v>
      </c>
      <c r="E967" s="224" t="s">
        <v>727</v>
      </c>
      <c r="F967" s="224" t="s">
        <v>729</v>
      </c>
      <c r="G967" s="224" t="s">
        <v>729</v>
      </c>
      <c r="H967" s="224"/>
      <c r="I967" s="229">
        <v>17509</v>
      </c>
      <c r="J967" s="229">
        <v>0</v>
      </c>
      <c r="K967" s="229">
        <v>0</v>
      </c>
      <c r="L967" s="229">
        <v>0</v>
      </c>
      <c r="M967" s="229">
        <v>0</v>
      </c>
      <c r="N967" s="229">
        <v>17509</v>
      </c>
      <c r="O967" s="229">
        <v>0</v>
      </c>
      <c r="P967" s="229">
        <v>0</v>
      </c>
      <c r="Q967" s="279">
        <v>0</v>
      </c>
    </row>
    <row r="968" spans="1:17" customFormat="1">
      <c r="A968" s="224">
        <v>2</v>
      </c>
      <c r="B968" s="224">
        <v>4830606</v>
      </c>
      <c r="C968" s="224">
        <v>483060600</v>
      </c>
      <c r="D968" s="224" t="s">
        <v>686</v>
      </c>
      <c r="E968" s="224" t="s">
        <v>727</v>
      </c>
      <c r="F968" s="224" t="s">
        <v>730</v>
      </c>
      <c r="G968" s="224" t="s">
        <v>730</v>
      </c>
      <c r="H968" s="224"/>
      <c r="I968" s="229">
        <v>0</v>
      </c>
      <c r="J968" s="229">
        <v>0</v>
      </c>
      <c r="K968" s="229">
        <v>0</v>
      </c>
      <c r="L968" s="229">
        <v>0</v>
      </c>
      <c r="M968" s="229">
        <v>0</v>
      </c>
      <c r="N968" s="229">
        <v>0</v>
      </c>
      <c r="O968" s="229">
        <v>0</v>
      </c>
      <c r="P968" s="229">
        <v>0</v>
      </c>
      <c r="Q968" s="279">
        <v>0</v>
      </c>
    </row>
    <row r="969" spans="1:17" customFormat="1">
      <c r="A969" s="224">
        <v>2</v>
      </c>
      <c r="B969" s="224">
        <v>4830607</v>
      </c>
      <c r="C969" s="224">
        <v>483060700</v>
      </c>
      <c r="D969" s="224" t="s">
        <v>686</v>
      </c>
      <c r="E969" s="224" t="s">
        <v>727</v>
      </c>
      <c r="F969" s="224" t="s">
        <v>730</v>
      </c>
      <c r="G969" s="224" t="s">
        <v>731</v>
      </c>
      <c r="H969" s="224"/>
      <c r="I969" s="229">
        <v>0</v>
      </c>
      <c r="J969" s="229">
        <v>0</v>
      </c>
      <c r="K969" s="229">
        <v>0</v>
      </c>
      <c r="L969" s="229">
        <v>0</v>
      </c>
      <c r="M969" s="229">
        <v>0</v>
      </c>
      <c r="N969" s="229">
        <v>0</v>
      </c>
      <c r="O969" s="229">
        <v>0</v>
      </c>
      <c r="P969" s="229">
        <v>0</v>
      </c>
      <c r="Q969" s="279">
        <v>0</v>
      </c>
    </row>
    <row r="970" spans="1:17" customFormat="1">
      <c r="A970" s="224">
        <v>2</v>
      </c>
      <c r="B970" s="224">
        <v>4830608</v>
      </c>
      <c r="C970" s="224">
        <v>483060800</v>
      </c>
      <c r="D970" s="224" t="s">
        <v>686</v>
      </c>
      <c r="E970" s="224" t="s">
        <v>727</v>
      </c>
      <c r="F970" s="224" t="s">
        <v>730</v>
      </c>
      <c r="G970" s="224" t="s">
        <v>732</v>
      </c>
      <c r="H970" s="224"/>
      <c r="I970" s="229">
        <v>0</v>
      </c>
      <c r="J970" s="229">
        <v>0</v>
      </c>
      <c r="K970" s="229">
        <v>0</v>
      </c>
      <c r="L970" s="229">
        <v>0</v>
      </c>
      <c r="M970" s="229">
        <v>0</v>
      </c>
      <c r="N970" s="229">
        <v>0</v>
      </c>
      <c r="O970" s="229">
        <v>0</v>
      </c>
      <c r="P970" s="229">
        <v>0</v>
      </c>
      <c r="Q970" s="279">
        <v>0</v>
      </c>
    </row>
    <row r="971" spans="1:17" customFormat="1">
      <c r="A971" s="224">
        <v>2</v>
      </c>
      <c r="B971" s="224">
        <v>4830808</v>
      </c>
      <c r="C971" s="224">
        <v>483080800</v>
      </c>
      <c r="D971" s="224" t="s">
        <v>686</v>
      </c>
      <c r="E971" s="224" t="s">
        <v>727</v>
      </c>
      <c r="F971" s="224" t="s">
        <v>733</v>
      </c>
      <c r="G971" s="224" t="s">
        <v>733</v>
      </c>
      <c r="H971" s="224"/>
      <c r="I971" s="229">
        <v>0</v>
      </c>
      <c r="J971" s="229">
        <v>0</v>
      </c>
      <c r="K971" s="229">
        <v>0</v>
      </c>
      <c r="L971" s="229">
        <v>0</v>
      </c>
      <c r="M971" s="229">
        <v>0</v>
      </c>
      <c r="N971" s="229">
        <v>0</v>
      </c>
      <c r="O971" s="229">
        <v>0</v>
      </c>
      <c r="P971" s="229">
        <v>0</v>
      </c>
      <c r="Q971" s="279">
        <v>0</v>
      </c>
    </row>
    <row r="972" spans="1:17" customFormat="1">
      <c r="A972" s="224">
        <v>2</v>
      </c>
      <c r="B972" s="224">
        <v>6155075</v>
      </c>
      <c r="C972" s="224">
        <v>615507583</v>
      </c>
      <c r="D972" s="224" t="s">
        <v>734</v>
      </c>
      <c r="E972" s="224" t="s">
        <v>735</v>
      </c>
      <c r="F972" s="224" t="s">
        <v>783</v>
      </c>
      <c r="G972" s="224" t="s">
        <v>773</v>
      </c>
      <c r="H972" s="224" t="s">
        <v>75</v>
      </c>
      <c r="I972" s="229">
        <v>0</v>
      </c>
      <c r="J972" s="229">
        <v>0</v>
      </c>
      <c r="K972" s="229">
        <v>0</v>
      </c>
      <c r="L972" s="229">
        <v>0</v>
      </c>
      <c r="M972" s="229">
        <v>0</v>
      </c>
      <c r="N972" s="229">
        <v>0</v>
      </c>
      <c r="O972" s="229">
        <v>0</v>
      </c>
      <c r="P972" s="229">
        <v>0</v>
      </c>
      <c r="Q972" s="279">
        <v>0</v>
      </c>
    </row>
    <row r="973" spans="1:17" customFormat="1">
      <c r="A973" s="224">
        <v>2</v>
      </c>
      <c r="B973" s="224">
        <v>6155075</v>
      </c>
      <c r="C973" s="224">
        <v>615507585</v>
      </c>
      <c r="D973" s="224" t="s">
        <v>734</v>
      </c>
      <c r="E973" s="224" t="s">
        <v>735</v>
      </c>
      <c r="F973" s="224" t="s">
        <v>783</v>
      </c>
      <c r="G973" s="224" t="s">
        <v>773</v>
      </c>
      <c r="H973" s="224" t="s">
        <v>775</v>
      </c>
      <c r="I973" s="229">
        <v>0</v>
      </c>
      <c r="J973" s="229">
        <v>0</v>
      </c>
      <c r="K973" s="229">
        <v>0</v>
      </c>
      <c r="L973" s="229">
        <v>0</v>
      </c>
      <c r="M973" s="229">
        <v>0</v>
      </c>
      <c r="N973" s="229">
        <v>0</v>
      </c>
      <c r="O973" s="229">
        <v>0</v>
      </c>
      <c r="P973" s="229">
        <v>0</v>
      </c>
      <c r="Q973" s="279">
        <v>0</v>
      </c>
    </row>
    <row r="974" spans="1:17" customFormat="1">
      <c r="A974" s="224">
        <v>2</v>
      </c>
      <c r="B974" s="224">
        <v>6155075</v>
      </c>
      <c r="C974" s="224">
        <v>615507586</v>
      </c>
      <c r="D974" s="224" t="s">
        <v>734</v>
      </c>
      <c r="E974" s="224" t="s">
        <v>735</v>
      </c>
      <c r="F974" s="224" t="s">
        <v>783</v>
      </c>
      <c r="G974" s="224" t="s">
        <v>773</v>
      </c>
      <c r="H974" s="224" t="s">
        <v>776</v>
      </c>
      <c r="I974" s="229">
        <v>0</v>
      </c>
      <c r="J974" s="229">
        <v>0</v>
      </c>
      <c r="K974" s="229">
        <v>0</v>
      </c>
      <c r="L974" s="229">
        <v>0</v>
      </c>
      <c r="M974" s="229">
        <v>0</v>
      </c>
      <c r="N974" s="229">
        <v>0</v>
      </c>
      <c r="O974" s="229">
        <v>0</v>
      </c>
      <c r="P974" s="229">
        <v>0</v>
      </c>
      <c r="Q974" s="279">
        <v>0</v>
      </c>
    </row>
    <row r="975" spans="1:17" customFormat="1">
      <c r="A975" s="224">
        <v>2</v>
      </c>
      <c r="B975" s="224">
        <v>6155113</v>
      </c>
      <c r="C975" s="224">
        <v>615511300</v>
      </c>
      <c r="D975" s="224" t="s">
        <v>734</v>
      </c>
      <c r="E975" s="224" t="s">
        <v>735</v>
      </c>
      <c r="F975" s="224" t="s">
        <v>784</v>
      </c>
      <c r="G975" s="224" t="s">
        <v>93</v>
      </c>
      <c r="H975" s="224"/>
      <c r="I975" s="229">
        <v>0</v>
      </c>
      <c r="J975" s="229">
        <v>0</v>
      </c>
      <c r="K975" s="229">
        <v>0</v>
      </c>
      <c r="L975" s="229">
        <v>0</v>
      </c>
      <c r="M975" s="229">
        <v>0</v>
      </c>
      <c r="N975" s="229">
        <v>0</v>
      </c>
      <c r="O975" s="229">
        <v>0</v>
      </c>
      <c r="P975" s="229">
        <v>0</v>
      </c>
      <c r="Q975" s="279">
        <v>0</v>
      </c>
    </row>
    <row r="976" spans="1:17" customFormat="1">
      <c r="A976" s="224">
        <v>2</v>
      </c>
      <c r="B976" s="224">
        <v>6155175</v>
      </c>
      <c r="C976" s="224">
        <v>615517583</v>
      </c>
      <c r="D976" s="224" t="s">
        <v>734</v>
      </c>
      <c r="E976" s="224" t="s">
        <v>735</v>
      </c>
      <c r="F976" s="224" t="s">
        <v>784</v>
      </c>
      <c r="G976" s="224" t="s">
        <v>773</v>
      </c>
      <c r="H976" s="224" t="s">
        <v>75</v>
      </c>
      <c r="I976" s="229">
        <v>0</v>
      </c>
      <c r="J976" s="229">
        <v>0</v>
      </c>
      <c r="K976" s="229">
        <v>0</v>
      </c>
      <c r="L976" s="229">
        <v>0</v>
      </c>
      <c r="M976" s="229">
        <v>0</v>
      </c>
      <c r="N976" s="229">
        <v>0</v>
      </c>
      <c r="O976" s="229">
        <v>0</v>
      </c>
      <c r="P976" s="229">
        <v>0</v>
      </c>
      <c r="Q976" s="279">
        <v>0</v>
      </c>
    </row>
    <row r="977" spans="1:17" customFormat="1">
      <c r="A977" s="224">
        <v>2</v>
      </c>
      <c r="B977" s="224">
        <v>6155277</v>
      </c>
      <c r="C977" s="224">
        <v>615527700</v>
      </c>
      <c r="D977" s="224" t="s">
        <v>734</v>
      </c>
      <c r="E977" s="224" t="s">
        <v>735</v>
      </c>
      <c r="F977" s="224" t="s">
        <v>785</v>
      </c>
      <c r="G977" s="224" t="s">
        <v>786</v>
      </c>
      <c r="H977" s="224"/>
      <c r="I977" s="229">
        <v>0</v>
      </c>
      <c r="J977" s="229">
        <v>0</v>
      </c>
      <c r="K977" s="229">
        <v>0</v>
      </c>
      <c r="L977" s="229">
        <v>0</v>
      </c>
      <c r="M977" s="229">
        <v>0</v>
      </c>
      <c r="N977" s="229">
        <v>0</v>
      </c>
      <c r="O977" s="229">
        <v>0</v>
      </c>
      <c r="P977" s="229">
        <v>0</v>
      </c>
      <c r="Q977" s="279">
        <v>0</v>
      </c>
    </row>
    <row r="978" spans="1:17" customFormat="1">
      <c r="A978" s="224">
        <v>2</v>
      </c>
      <c r="B978" s="224">
        <v>6155278</v>
      </c>
      <c r="C978" s="224">
        <v>615527800</v>
      </c>
      <c r="D978" s="224" t="s">
        <v>734</v>
      </c>
      <c r="E978" s="224" t="s">
        <v>735</v>
      </c>
      <c r="F978" s="224" t="s">
        <v>785</v>
      </c>
      <c r="G978" s="224" t="s">
        <v>787</v>
      </c>
      <c r="H978" s="224"/>
      <c r="I978" s="229">
        <v>0</v>
      </c>
      <c r="J978" s="229">
        <v>0</v>
      </c>
      <c r="K978" s="229">
        <v>0</v>
      </c>
      <c r="L978" s="229">
        <v>0</v>
      </c>
      <c r="M978" s="229">
        <v>0</v>
      </c>
      <c r="N978" s="229">
        <v>0</v>
      </c>
      <c r="O978" s="229">
        <v>0</v>
      </c>
      <c r="P978" s="229">
        <v>0</v>
      </c>
      <c r="Q978" s="279">
        <v>0</v>
      </c>
    </row>
    <row r="979" spans="1:17" customFormat="1">
      <c r="A979" s="224">
        <v>2</v>
      </c>
      <c r="B979" s="224">
        <v>6155301</v>
      </c>
      <c r="C979" s="224">
        <v>615530102</v>
      </c>
      <c r="D979" s="224" t="s">
        <v>734</v>
      </c>
      <c r="E979" s="224" t="s">
        <v>735</v>
      </c>
      <c r="F979" s="224" t="s">
        <v>851</v>
      </c>
      <c r="G979" s="224" t="s">
        <v>112</v>
      </c>
      <c r="H979" s="224" t="s">
        <v>737</v>
      </c>
      <c r="I979" s="229">
        <v>0</v>
      </c>
      <c r="J979" s="229">
        <v>0</v>
      </c>
      <c r="K979" s="229">
        <v>0</v>
      </c>
      <c r="L979" s="229">
        <v>0</v>
      </c>
      <c r="M979" s="229">
        <v>0</v>
      </c>
      <c r="N979" s="229">
        <v>0</v>
      </c>
      <c r="O979" s="229">
        <v>0</v>
      </c>
      <c r="P979" s="229">
        <v>0</v>
      </c>
      <c r="Q979" s="279">
        <v>0</v>
      </c>
    </row>
    <row r="980" spans="1:17" customFormat="1">
      <c r="A980" s="224">
        <v>2</v>
      </c>
      <c r="B980" s="224">
        <v>6155301</v>
      </c>
      <c r="C980" s="224">
        <v>615530103</v>
      </c>
      <c r="D980" s="224" t="s">
        <v>734</v>
      </c>
      <c r="E980" s="224" t="s">
        <v>735</v>
      </c>
      <c r="F980" s="224" t="s">
        <v>851</v>
      </c>
      <c r="G980" s="224" t="s">
        <v>112</v>
      </c>
      <c r="H980" s="224" t="s">
        <v>738</v>
      </c>
      <c r="I980" s="229">
        <v>0</v>
      </c>
      <c r="J980" s="229">
        <v>0</v>
      </c>
      <c r="K980" s="229">
        <v>0</v>
      </c>
      <c r="L980" s="229">
        <v>0</v>
      </c>
      <c r="M980" s="229">
        <v>0</v>
      </c>
      <c r="N980" s="229">
        <v>0</v>
      </c>
      <c r="O980" s="229">
        <v>0</v>
      </c>
      <c r="P980" s="229">
        <v>0</v>
      </c>
      <c r="Q980" s="279">
        <v>0</v>
      </c>
    </row>
    <row r="981" spans="1:17" customFormat="1">
      <c r="A981" s="224">
        <v>2</v>
      </c>
      <c r="B981" s="224">
        <v>6155301</v>
      </c>
      <c r="C981" s="224">
        <v>615530104</v>
      </c>
      <c r="D981" s="224" t="s">
        <v>734</v>
      </c>
      <c r="E981" s="224" t="s">
        <v>735</v>
      </c>
      <c r="F981" s="224" t="s">
        <v>851</v>
      </c>
      <c r="G981" s="224" t="s">
        <v>112</v>
      </c>
      <c r="H981" s="224" t="s">
        <v>739</v>
      </c>
      <c r="I981" s="229">
        <v>0</v>
      </c>
      <c r="J981" s="229">
        <v>0</v>
      </c>
      <c r="K981" s="229">
        <v>0</v>
      </c>
      <c r="L981" s="229">
        <v>0</v>
      </c>
      <c r="M981" s="229">
        <v>0</v>
      </c>
      <c r="N981" s="229">
        <v>0</v>
      </c>
      <c r="O981" s="229">
        <v>0</v>
      </c>
      <c r="P981" s="229">
        <v>0</v>
      </c>
      <c r="Q981" s="279">
        <v>0</v>
      </c>
    </row>
    <row r="982" spans="1:17" customFormat="1">
      <c r="A982" s="236">
        <v>2</v>
      </c>
      <c r="B982" s="236">
        <v>6155301</v>
      </c>
      <c r="C982" s="236">
        <v>615530105</v>
      </c>
      <c r="D982" s="236" t="s">
        <v>734</v>
      </c>
      <c r="E982" s="236" t="s">
        <v>735</v>
      </c>
      <c r="F982" s="236" t="s">
        <v>851</v>
      </c>
      <c r="G982" s="236" t="s">
        <v>112</v>
      </c>
      <c r="H982" s="236" t="s">
        <v>740</v>
      </c>
      <c r="I982" s="229">
        <v>0</v>
      </c>
      <c r="J982" s="229">
        <v>0</v>
      </c>
      <c r="K982" s="229">
        <v>0</v>
      </c>
      <c r="L982" s="229">
        <v>0</v>
      </c>
      <c r="M982" s="229">
        <v>0</v>
      </c>
      <c r="N982" s="229">
        <v>0</v>
      </c>
      <c r="O982" s="229">
        <v>0</v>
      </c>
      <c r="P982" s="229">
        <v>0</v>
      </c>
      <c r="Q982" s="279">
        <v>0</v>
      </c>
    </row>
    <row r="983" spans="1:17" customFormat="1">
      <c r="A983" s="224">
        <v>2</v>
      </c>
      <c r="B983" s="224">
        <v>6155302</v>
      </c>
      <c r="C983" s="224">
        <v>615530202</v>
      </c>
      <c r="D983" s="224" t="s">
        <v>734</v>
      </c>
      <c r="E983" s="224" t="s">
        <v>735</v>
      </c>
      <c r="F983" s="224" t="s">
        <v>851</v>
      </c>
      <c r="G983" s="224" t="s">
        <v>110</v>
      </c>
      <c r="H983" s="224" t="s">
        <v>741</v>
      </c>
      <c r="I983" s="229">
        <v>3280800</v>
      </c>
      <c r="J983" s="229">
        <v>0</v>
      </c>
      <c r="K983" s="229">
        <v>0</v>
      </c>
      <c r="L983" s="229">
        <v>0</v>
      </c>
      <c r="M983" s="229">
        <v>0</v>
      </c>
      <c r="N983" s="229">
        <v>0</v>
      </c>
      <c r="O983" s="229">
        <v>0</v>
      </c>
      <c r="P983" s="229">
        <v>3280800</v>
      </c>
      <c r="Q983" s="279">
        <v>0</v>
      </c>
    </row>
    <row r="984" spans="1:17" customFormat="1">
      <c r="A984" s="224">
        <v>2</v>
      </c>
      <c r="B984" s="224">
        <v>6155303</v>
      </c>
      <c r="C984" s="224">
        <v>615530301</v>
      </c>
      <c r="D984" s="224" t="s">
        <v>734</v>
      </c>
      <c r="E984" s="224" t="s">
        <v>735</v>
      </c>
      <c r="F984" s="224" t="s">
        <v>851</v>
      </c>
      <c r="G984" s="224" t="s">
        <v>108</v>
      </c>
      <c r="H984" s="224" t="s">
        <v>742</v>
      </c>
      <c r="I984" s="229">
        <v>352080</v>
      </c>
      <c r="J984" s="229">
        <v>0</v>
      </c>
      <c r="K984" s="229">
        <v>0</v>
      </c>
      <c r="L984" s="229">
        <v>0</v>
      </c>
      <c r="M984" s="229">
        <v>0</v>
      </c>
      <c r="N984" s="229">
        <v>0</v>
      </c>
      <c r="O984" s="229">
        <v>0</v>
      </c>
      <c r="P984" s="229">
        <v>352080</v>
      </c>
      <c r="Q984" s="279">
        <v>0</v>
      </c>
    </row>
    <row r="985" spans="1:17" customFormat="1">
      <c r="A985" s="224">
        <v>2</v>
      </c>
      <c r="B985" s="224">
        <v>6155303</v>
      </c>
      <c r="C985" s="224">
        <v>615530302</v>
      </c>
      <c r="D985" s="224" t="s">
        <v>734</v>
      </c>
      <c r="E985" s="224" t="s">
        <v>735</v>
      </c>
      <c r="F985" s="224" t="s">
        <v>851</v>
      </c>
      <c r="G985" s="224" t="s">
        <v>108</v>
      </c>
      <c r="H985" s="224" t="s">
        <v>743</v>
      </c>
      <c r="I985" s="229">
        <v>240000</v>
      </c>
      <c r="J985" s="229">
        <v>0</v>
      </c>
      <c r="K985" s="229">
        <v>0</v>
      </c>
      <c r="L985" s="229">
        <v>0</v>
      </c>
      <c r="M985" s="229">
        <v>0</v>
      </c>
      <c r="N985" s="229">
        <v>0</v>
      </c>
      <c r="O985" s="229">
        <v>0</v>
      </c>
      <c r="P985" s="229">
        <v>240000</v>
      </c>
      <c r="Q985" s="279">
        <v>0</v>
      </c>
    </row>
    <row r="986" spans="1:17" customFormat="1">
      <c r="A986" s="224">
        <v>2</v>
      </c>
      <c r="B986" s="224">
        <v>6155303</v>
      </c>
      <c r="C986" s="224">
        <v>615530303</v>
      </c>
      <c r="D986" s="224" t="s">
        <v>734</v>
      </c>
      <c r="E986" s="224" t="s">
        <v>735</v>
      </c>
      <c r="F986" s="224" t="s">
        <v>851</v>
      </c>
      <c r="G986" s="224" t="s">
        <v>108</v>
      </c>
      <c r="H986" s="224" t="s">
        <v>744</v>
      </c>
      <c r="I986" s="229">
        <v>1452330</v>
      </c>
      <c r="J986" s="229">
        <v>0</v>
      </c>
      <c r="K986" s="229">
        <v>0</v>
      </c>
      <c r="L986" s="229">
        <v>0</v>
      </c>
      <c r="M986" s="229">
        <v>0</v>
      </c>
      <c r="N986" s="229">
        <v>0</v>
      </c>
      <c r="O986" s="229">
        <v>0</v>
      </c>
      <c r="P986" s="229">
        <v>1452330</v>
      </c>
      <c r="Q986" s="279">
        <v>0</v>
      </c>
    </row>
    <row r="987" spans="1:17" customFormat="1">
      <c r="A987" s="224">
        <v>2</v>
      </c>
      <c r="B987" s="224">
        <v>6155303</v>
      </c>
      <c r="C987" s="224">
        <v>615530304</v>
      </c>
      <c r="D987" s="224" t="s">
        <v>734</v>
      </c>
      <c r="E987" s="224" t="s">
        <v>735</v>
      </c>
      <c r="F987" s="224" t="s">
        <v>851</v>
      </c>
      <c r="G987" s="224" t="s">
        <v>108</v>
      </c>
      <c r="H987" s="224" t="s">
        <v>745</v>
      </c>
      <c r="I987" s="229">
        <v>0</v>
      </c>
      <c r="J987" s="229">
        <v>0</v>
      </c>
      <c r="K987" s="229">
        <v>0</v>
      </c>
      <c r="L987" s="229">
        <v>0</v>
      </c>
      <c r="M987" s="229">
        <v>0</v>
      </c>
      <c r="N987" s="229">
        <v>0</v>
      </c>
      <c r="O987" s="229">
        <v>0</v>
      </c>
      <c r="P987" s="229">
        <v>0</v>
      </c>
      <c r="Q987" s="279">
        <v>0</v>
      </c>
    </row>
    <row r="988" spans="1:17" customFormat="1">
      <c r="A988" s="224">
        <v>2</v>
      </c>
      <c r="B988" s="224">
        <v>6155303</v>
      </c>
      <c r="C988" s="224">
        <v>615530305</v>
      </c>
      <c r="D988" s="224" t="s">
        <v>734</v>
      </c>
      <c r="E988" s="224" t="s">
        <v>735</v>
      </c>
      <c r="F988" s="224" t="s">
        <v>851</v>
      </c>
      <c r="G988" s="224" t="s">
        <v>108</v>
      </c>
      <c r="H988" s="224" t="s">
        <v>746</v>
      </c>
      <c r="I988" s="229">
        <v>0</v>
      </c>
      <c r="J988" s="229">
        <v>0</v>
      </c>
      <c r="K988" s="229">
        <v>0</v>
      </c>
      <c r="L988" s="229">
        <v>0</v>
      </c>
      <c r="M988" s="229">
        <v>0</v>
      </c>
      <c r="N988" s="229">
        <v>0</v>
      </c>
      <c r="O988" s="229">
        <v>0</v>
      </c>
      <c r="P988" s="229">
        <v>0</v>
      </c>
      <c r="Q988" s="279">
        <v>0</v>
      </c>
    </row>
    <row r="989" spans="1:17" customFormat="1">
      <c r="A989" s="224">
        <v>2</v>
      </c>
      <c r="B989" s="224">
        <v>6155303</v>
      </c>
      <c r="C989" s="224">
        <v>615530306</v>
      </c>
      <c r="D989" s="224" t="s">
        <v>734</v>
      </c>
      <c r="E989" s="224" t="s">
        <v>735</v>
      </c>
      <c r="F989" s="224" t="s">
        <v>851</v>
      </c>
      <c r="G989" s="224" t="s">
        <v>108</v>
      </c>
      <c r="H989" s="224" t="s">
        <v>747</v>
      </c>
      <c r="I989" s="229">
        <v>0</v>
      </c>
      <c r="J989" s="229">
        <v>0</v>
      </c>
      <c r="K989" s="229">
        <v>0</v>
      </c>
      <c r="L989" s="229">
        <v>0</v>
      </c>
      <c r="M989" s="229">
        <v>0</v>
      </c>
      <c r="N989" s="229">
        <v>0</v>
      </c>
      <c r="O989" s="229">
        <v>0</v>
      </c>
      <c r="P989" s="229">
        <v>0</v>
      </c>
      <c r="Q989" s="279">
        <v>0</v>
      </c>
    </row>
    <row r="990" spans="1:17" customFormat="1">
      <c r="A990" s="224">
        <v>2</v>
      </c>
      <c r="B990" s="224">
        <v>6155303</v>
      </c>
      <c r="C990" s="224">
        <v>615530307</v>
      </c>
      <c r="D990" s="224" t="s">
        <v>734</v>
      </c>
      <c r="E990" s="224" t="s">
        <v>735</v>
      </c>
      <c r="F990" s="224" t="s">
        <v>851</v>
      </c>
      <c r="G990" s="224" t="s">
        <v>108</v>
      </c>
      <c r="H990" s="224" t="s">
        <v>748</v>
      </c>
      <c r="I990" s="229">
        <v>0</v>
      </c>
      <c r="J990" s="229">
        <v>0</v>
      </c>
      <c r="K990" s="229">
        <v>0</v>
      </c>
      <c r="L990" s="229">
        <v>0</v>
      </c>
      <c r="M990" s="229">
        <v>0</v>
      </c>
      <c r="N990" s="229">
        <v>0</v>
      </c>
      <c r="O990" s="229">
        <v>0</v>
      </c>
      <c r="P990" s="229">
        <v>0</v>
      </c>
      <c r="Q990" s="279">
        <v>0</v>
      </c>
    </row>
    <row r="991" spans="1:17" customFormat="1">
      <c r="A991" s="224">
        <v>2</v>
      </c>
      <c r="B991" s="224">
        <v>6155303</v>
      </c>
      <c r="C991" s="224">
        <v>615530310</v>
      </c>
      <c r="D991" s="224" t="s">
        <v>734</v>
      </c>
      <c r="E991" s="224" t="s">
        <v>735</v>
      </c>
      <c r="F991" s="224" t="s">
        <v>851</v>
      </c>
      <c r="G991" s="224" t="s">
        <v>108</v>
      </c>
      <c r="H991" s="224" t="s">
        <v>749</v>
      </c>
      <c r="I991" s="229">
        <v>759099</v>
      </c>
      <c r="J991" s="229">
        <v>0</v>
      </c>
      <c r="K991" s="229">
        <v>0</v>
      </c>
      <c r="L991" s="229">
        <v>0</v>
      </c>
      <c r="M991" s="229">
        <v>0</v>
      </c>
      <c r="N991" s="229">
        <v>0</v>
      </c>
      <c r="O991" s="229">
        <v>0</v>
      </c>
      <c r="P991" s="229">
        <v>759099</v>
      </c>
      <c r="Q991" s="279">
        <v>0</v>
      </c>
    </row>
    <row r="992" spans="1:17" customFormat="1">
      <c r="A992" s="224">
        <v>2</v>
      </c>
      <c r="B992" s="224">
        <v>6155303</v>
      </c>
      <c r="C992" s="224">
        <v>615530311</v>
      </c>
      <c r="D992" s="224" t="s">
        <v>734</v>
      </c>
      <c r="E992" s="224" t="s">
        <v>735</v>
      </c>
      <c r="F992" s="224" t="s">
        <v>851</v>
      </c>
      <c r="G992" s="224" t="s">
        <v>108</v>
      </c>
      <c r="H992" s="224" t="s">
        <v>750</v>
      </c>
      <c r="I992" s="229">
        <v>0</v>
      </c>
      <c r="J992" s="229">
        <v>0</v>
      </c>
      <c r="K992" s="229">
        <v>0</v>
      </c>
      <c r="L992" s="229">
        <v>0</v>
      </c>
      <c r="M992" s="229">
        <v>0</v>
      </c>
      <c r="N992" s="229">
        <v>0</v>
      </c>
      <c r="O992" s="229">
        <v>0</v>
      </c>
      <c r="P992" s="229">
        <v>0</v>
      </c>
      <c r="Q992" s="279">
        <v>0</v>
      </c>
    </row>
    <row r="993" spans="1:17" customFormat="1">
      <c r="A993" s="224">
        <v>2</v>
      </c>
      <c r="B993" s="224">
        <v>6155303</v>
      </c>
      <c r="C993" s="224">
        <v>615530314</v>
      </c>
      <c r="D993" s="224" t="s">
        <v>734</v>
      </c>
      <c r="E993" s="224" t="s">
        <v>735</v>
      </c>
      <c r="F993" s="224" t="s">
        <v>851</v>
      </c>
      <c r="G993" s="224" t="s">
        <v>108</v>
      </c>
      <c r="H993" s="224" t="s">
        <v>751</v>
      </c>
      <c r="I993" s="229">
        <v>0</v>
      </c>
      <c r="J993" s="229">
        <v>0</v>
      </c>
      <c r="K993" s="229">
        <v>0</v>
      </c>
      <c r="L993" s="229">
        <v>0</v>
      </c>
      <c r="M993" s="229">
        <v>0</v>
      </c>
      <c r="N993" s="229">
        <v>0</v>
      </c>
      <c r="O993" s="229">
        <v>0</v>
      </c>
      <c r="P993" s="229">
        <v>0</v>
      </c>
      <c r="Q993" s="279">
        <v>0</v>
      </c>
    </row>
    <row r="994" spans="1:17" customFormat="1">
      <c r="A994" s="224">
        <v>2</v>
      </c>
      <c r="B994" s="224">
        <v>6155303</v>
      </c>
      <c r="C994" s="224">
        <v>615530315</v>
      </c>
      <c r="D994" s="224" t="s">
        <v>734</v>
      </c>
      <c r="E994" s="224" t="s">
        <v>735</v>
      </c>
      <c r="F994" s="224" t="s">
        <v>851</v>
      </c>
      <c r="G994" s="224" t="s">
        <v>108</v>
      </c>
      <c r="H994" s="224" t="s">
        <v>752</v>
      </c>
      <c r="I994" s="229">
        <v>300000</v>
      </c>
      <c r="J994" s="229">
        <v>0</v>
      </c>
      <c r="K994" s="229">
        <v>0</v>
      </c>
      <c r="L994" s="229">
        <v>0</v>
      </c>
      <c r="M994" s="229">
        <v>0</v>
      </c>
      <c r="N994" s="229">
        <v>0</v>
      </c>
      <c r="O994" s="229">
        <v>0</v>
      </c>
      <c r="P994" s="229">
        <v>300000</v>
      </c>
      <c r="Q994" s="279">
        <v>0</v>
      </c>
    </row>
    <row r="995" spans="1:17" customFormat="1">
      <c r="A995" s="224">
        <v>2</v>
      </c>
      <c r="B995" s="224">
        <v>6155303</v>
      </c>
      <c r="C995" s="224">
        <v>615530316</v>
      </c>
      <c r="D995" s="224" t="s">
        <v>734</v>
      </c>
      <c r="E995" s="224" t="s">
        <v>735</v>
      </c>
      <c r="F995" s="224" t="s">
        <v>851</v>
      </c>
      <c r="G995" s="224" t="s">
        <v>108</v>
      </c>
      <c r="H995" s="224" t="s">
        <v>753</v>
      </c>
      <c r="I995" s="229">
        <v>0</v>
      </c>
      <c r="J995" s="229">
        <v>0</v>
      </c>
      <c r="K995" s="229">
        <v>0</v>
      </c>
      <c r="L995" s="229">
        <v>0</v>
      </c>
      <c r="M995" s="229">
        <v>0</v>
      </c>
      <c r="N995" s="229">
        <v>0</v>
      </c>
      <c r="O995" s="229">
        <v>0</v>
      </c>
      <c r="P995" s="229">
        <v>0</v>
      </c>
      <c r="Q995" s="279">
        <v>0</v>
      </c>
    </row>
    <row r="996" spans="1:17" customFormat="1">
      <c r="A996" s="224">
        <v>2</v>
      </c>
      <c r="B996" s="224">
        <v>6155303</v>
      </c>
      <c r="C996" s="224">
        <v>615530319</v>
      </c>
      <c r="D996" s="224" t="s">
        <v>734</v>
      </c>
      <c r="E996" s="224" t="s">
        <v>735</v>
      </c>
      <c r="F996" s="224" t="s">
        <v>851</v>
      </c>
      <c r="G996" s="224" t="s">
        <v>108</v>
      </c>
      <c r="H996" s="224" t="s">
        <v>754</v>
      </c>
      <c r="I996" s="229">
        <v>0</v>
      </c>
      <c r="J996" s="229">
        <v>0</v>
      </c>
      <c r="K996" s="229">
        <v>0</v>
      </c>
      <c r="L996" s="229">
        <v>0</v>
      </c>
      <c r="M996" s="229">
        <v>0</v>
      </c>
      <c r="N996" s="229">
        <v>0</v>
      </c>
      <c r="O996" s="229">
        <v>0</v>
      </c>
      <c r="P996" s="229">
        <v>0</v>
      </c>
      <c r="Q996" s="279">
        <v>0</v>
      </c>
    </row>
    <row r="997" spans="1:17" customFormat="1">
      <c r="A997" s="224">
        <v>2</v>
      </c>
      <c r="B997" s="224">
        <v>6155304</v>
      </c>
      <c r="C997" s="224">
        <v>615530401</v>
      </c>
      <c r="D997" s="224" t="s">
        <v>734</v>
      </c>
      <c r="E997" s="224" t="s">
        <v>735</v>
      </c>
      <c r="F997" s="224" t="s">
        <v>851</v>
      </c>
      <c r="G997" s="224" t="s">
        <v>106</v>
      </c>
      <c r="H997" s="224" t="s">
        <v>755</v>
      </c>
      <c r="I997" s="229">
        <v>878362</v>
      </c>
      <c r="J997" s="229">
        <v>0</v>
      </c>
      <c r="K997" s="229">
        <v>0</v>
      </c>
      <c r="L997" s="229">
        <v>0</v>
      </c>
      <c r="M997" s="229">
        <v>0</v>
      </c>
      <c r="N997" s="229">
        <v>0</v>
      </c>
      <c r="O997" s="229">
        <v>878362</v>
      </c>
      <c r="P997" s="229">
        <v>0</v>
      </c>
      <c r="Q997" s="279">
        <v>0</v>
      </c>
    </row>
    <row r="998" spans="1:17" customFormat="1">
      <c r="A998" s="224">
        <v>2</v>
      </c>
      <c r="B998" s="224">
        <v>6155304</v>
      </c>
      <c r="C998" s="224">
        <v>615530402</v>
      </c>
      <c r="D998" s="224" t="s">
        <v>734</v>
      </c>
      <c r="E998" s="224" t="s">
        <v>735</v>
      </c>
      <c r="F998" s="224" t="s">
        <v>851</v>
      </c>
      <c r="G998" s="224" t="s">
        <v>106</v>
      </c>
      <c r="H998" s="224" t="s">
        <v>756</v>
      </c>
      <c r="I998" s="229">
        <v>4920</v>
      </c>
      <c r="J998" s="229">
        <v>0</v>
      </c>
      <c r="K998" s="229">
        <v>0</v>
      </c>
      <c r="L998" s="229">
        <v>0</v>
      </c>
      <c r="M998" s="229">
        <v>0</v>
      </c>
      <c r="N998" s="229">
        <v>0</v>
      </c>
      <c r="O998" s="229">
        <v>0</v>
      </c>
      <c r="P998" s="229">
        <v>4920</v>
      </c>
      <c r="Q998" s="279">
        <v>0</v>
      </c>
    </row>
    <row r="999" spans="1:17" customFormat="1">
      <c r="A999" s="224">
        <v>2</v>
      </c>
      <c r="B999" s="224">
        <v>6155304</v>
      </c>
      <c r="C999" s="224">
        <v>615530403</v>
      </c>
      <c r="D999" s="224" t="s">
        <v>734</v>
      </c>
      <c r="E999" s="224" t="s">
        <v>735</v>
      </c>
      <c r="F999" s="224" t="s">
        <v>851</v>
      </c>
      <c r="G999" s="224" t="s">
        <v>106</v>
      </c>
      <c r="H999" s="224" t="s">
        <v>757</v>
      </c>
      <c r="I999" s="229">
        <v>0</v>
      </c>
      <c r="J999" s="229">
        <v>0</v>
      </c>
      <c r="K999" s="229">
        <v>0</v>
      </c>
      <c r="L999" s="229">
        <v>0</v>
      </c>
      <c r="M999" s="229">
        <v>0</v>
      </c>
      <c r="N999" s="229">
        <v>0</v>
      </c>
      <c r="O999" s="229">
        <v>0</v>
      </c>
      <c r="P999" s="229">
        <v>0</v>
      </c>
      <c r="Q999" s="279">
        <v>0</v>
      </c>
    </row>
    <row r="1000" spans="1:17" customFormat="1">
      <c r="A1000" s="224">
        <v>2</v>
      </c>
      <c r="B1000" s="224">
        <v>6155304</v>
      </c>
      <c r="C1000" s="224">
        <v>615530405</v>
      </c>
      <c r="D1000" s="224" t="s">
        <v>734</v>
      </c>
      <c r="E1000" s="224" t="s">
        <v>735</v>
      </c>
      <c r="F1000" s="224" t="s">
        <v>851</v>
      </c>
      <c r="G1000" s="224" t="s">
        <v>106</v>
      </c>
      <c r="H1000" s="224" t="s">
        <v>758</v>
      </c>
      <c r="I1000" s="229">
        <v>0</v>
      </c>
      <c r="J1000" s="229">
        <v>0</v>
      </c>
      <c r="K1000" s="229">
        <v>0</v>
      </c>
      <c r="L1000" s="229">
        <v>0</v>
      </c>
      <c r="M1000" s="229">
        <v>0</v>
      </c>
      <c r="N1000" s="229">
        <v>0</v>
      </c>
      <c r="O1000" s="229">
        <v>0</v>
      </c>
      <c r="P1000" s="229">
        <v>0</v>
      </c>
      <c r="Q1000" s="279">
        <v>0</v>
      </c>
    </row>
    <row r="1001" spans="1:17" customFormat="1">
      <c r="A1001" s="224">
        <v>2</v>
      </c>
      <c r="B1001" s="224">
        <v>6155304</v>
      </c>
      <c r="C1001" s="224">
        <v>615530406</v>
      </c>
      <c r="D1001" s="224" t="s">
        <v>734</v>
      </c>
      <c r="E1001" s="224" t="s">
        <v>735</v>
      </c>
      <c r="F1001" s="224" t="s">
        <v>851</v>
      </c>
      <c r="G1001" s="224" t="s">
        <v>106</v>
      </c>
      <c r="H1001" s="224" t="s">
        <v>759</v>
      </c>
      <c r="I1001" s="229">
        <v>0</v>
      </c>
      <c r="J1001" s="229">
        <v>0</v>
      </c>
      <c r="K1001" s="229">
        <v>0</v>
      </c>
      <c r="L1001" s="229">
        <v>0</v>
      </c>
      <c r="M1001" s="229">
        <v>0</v>
      </c>
      <c r="N1001" s="229">
        <v>0</v>
      </c>
      <c r="O1001" s="229">
        <v>0</v>
      </c>
      <c r="P1001" s="229">
        <v>0</v>
      </c>
      <c r="Q1001" s="279">
        <v>0</v>
      </c>
    </row>
    <row r="1002" spans="1:17" customFormat="1">
      <c r="A1002" s="224">
        <v>2</v>
      </c>
      <c r="B1002" s="224">
        <v>6155304</v>
      </c>
      <c r="C1002" s="224">
        <v>615530407</v>
      </c>
      <c r="D1002" s="224" t="s">
        <v>734</v>
      </c>
      <c r="E1002" s="224" t="s">
        <v>735</v>
      </c>
      <c r="F1002" s="224" t="s">
        <v>851</v>
      </c>
      <c r="G1002" s="224" t="s">
        <v>106</v>
      </c>
      <c r="H1002" s="224" t="s">
        <v>760</v>
      </c>
      <c r="I1002" s="229">
        <v>0</v>
      </c>
      <c r="J1002" s="229">
        <v>0</v>
      </c>
      <c r="K1002" s="229">
        <v>0</v>
      </c>
      <c r="L1002" s="229">
        <v>0</v>
      </c>
      <c r="M1002" s="229">
        <v>0</v>
      </c>
      <c r="N1002" s="229">
        <v>0</v>
      </c>
      <c r="O1002" s="229">
        <v>0</v>
      </c>
      <c r="P1002" s="229">
        <v>0</v>
      </c>
      <c r="Q1002" s="279">
        <v>0</v>
      </c>
    </row>
    <row r="1003" spans="1:17" customFormat="1">
      <c r="A1003" s="224">
        <v>2</v>
      </c>
      <c r="B1003" s="224">
        <v>6155304</v>
      </c>
      <c r="C1003" s="224">
        <v>615530408</v>
      </c>
      <c r="D1003" s="224" t="s">
        <v>734</v>
      </c>
      <c r="E1003" s="224" t="s">
        <v>735</v>
      </c>
      <c r="F1003" s="224" t="s">
        <v>851</v>
      </c>
      <c r="G1003" s="224" t="s">
        <v>106</v>
      </c>
      <c r="H1003" s="224" t="s">
        <v>761</v>
      </c>
      <c r="I1003" s="229">
        <v>0</v>
      </c>
      <c r="J1003" s="229">
        <v>0</v>
      </c>
      <c r="K1003" s="229">
        <v>0</v>
      </c>
      <c r="L1003" s="229">
        <v>0</v>
      </c>
      <c r="M1003" s="229">
        <v>0</v>
      </c>
      <c r="N1003" s="229">
        <v>0</v>
      </c>
      <c r="O1003" s="229">
        <v>0</v>
      </c>
      <c r="P1003" s="229">
        <v>0</v>
      </c>
      <c r="Q1003" s="279">
        <v>0</v>
      </c>
    </row>
    <row r="1004" spans="1:17" customFormat="1">
      <c r="A1004" s="224">
        <v>2</v>
      </c>
      <c r="B1004" s="224">
        <v>6155304</v>
      </c>
      <c r="C1004" s="224">
        <v>615530410</v>
      </c>
      <c r="D1004" s="224" t="s">
        <v>734</v>
      </c>
      <c r="E1004" s="224" t="s">
        <v>735</v>
      </c>
      <c r="F1004" s="224" t="s">
        <v>851</v>
      </c>
      <c r="G1004" s="224" t="s">
        <v>106</v>
      </c>
      <c r="H1004" s="224" t="s">
        <v>762</v>
      </c>
      <c r="I1004" s="229">
        <v>279305</v>
      </c>
      <c r="J1004" s="229">
        <v>0</v>
      </c>
      <c r="K1004" s="229">
        <v>0</v>
      </c>
      <c r="L1004" s="229">
        <v>0</v>
      </c>
      <c r="M1004" s="229">
        <v>0</v>
      </c>
      <c r="N1004" s="229">
        <v>0</v>
      </c>
      <c r="O1004" s="229">
        <v>279305</v>
      </c>
      <c r="P1004" s="229">
        <v>0</v>
      </c>
      <c r="Q1004" s="279">
        <v>0</v>
      </c>
    </row>
    <row r="1005" spans="1:17" customFormat="1">
      <c r="A1005" s="224">
        <v>2</v>
      </c>
      <c r="B1005" s="224">
        <v>6155304</v>
      </c>
      <c r="C1005" s="224">
        <v>615530411</v>
      </c>
      <c r="D1005" s="224" t="s">
        <v>734</v>
      </c>
      <c r="E1005" s="224" t="s">
        <v>735</v>
      </c>
      <c r="F1005" s="224" t="s">
        <v>851</v>
      </c>
      <c r="G1005" s="224" t="s">
        <v>106</v>
      </c>
      <c r="H1005" s="224" t="s">
        <v>763</v>
      </c>
      <c r="I1005" s="229">
        <v>0</v>
      </c>
      <c r="J1005" s="229">
        <v>0</v>
      </c>
      <c r="K1005" s="229">
        <v>0</v>
      </c>
      <c r="L1005" s="229">
        <v>0</v>
      </c>
      <c r="M1005" s="229">
        <v>0</v>
      </c>
      <c r="N1005" s="229">
        <v>0</v>
      </c>
      <c r="O1005" s="229">
        <v>0</v>
      </c>
      <c r="P1005" s="229">
        <v>0</v>
      </c>
      <c r="Q1005" s="279">
        <v>0</v>
      </c>
    </row>
    <row r="1006" spans="1:17" customFormat="1">
      <c r="A1006" s="224">
        <v>2</v>
      </c>
      <c r="B1006" s="224">
        <v>6155305</v>
      </c>
      <c r="C1006" s="224">
        <v>615530500</v>
      </c>
      <c r="D1006" s="224" t="s">
        <v>734</v>
      </c>
      <c r="E1006" s="224" t="s">
        <v>735</v>
      </c>
      <c r="F1006" s="224" t="s">
        <v>851</v>
      </c>
      <c r="G1006" s="224" t="s">
        <v>104</v>
      </c>
      <c r="H1006" s="224"/>
      <c r="I1006" s="229">
        <v>0</v>
      </c>
      <c r="J1006" s="229">
        <v>0</v>
      </c>
      <c r="K1006" s="229">
        <v>0</v>
      </c>
      <c r="L1006" s="229">
        <v>0</v>
      </c>
      <c r="M1006" s="229">
        <v>0</v>
      </c>
      <c r="N1006" s="229">
        <v>0</v>
      </c>
      <c r="O1006" s="229">
        <v>0</v>
      </c>
      <c r="P1006" s="229">
        <v>0</v>
      </c>
      <c r="Q1006" s="279">
        <v>0</v>
      </c>
    </row>
    <row r="1007" spans="1:17" customFormat="1">
      <c r="A1007" s="224">
        <v>2</v>
      </c>
      <c r="B1007" s="224">
        <v>6155307</v>
      </c>
      <c r="C1007" s="224">
        <v>615530700</v>
      </c>
      <c r="D1007" s="224" t="s">
        <v>734</v>
      </c>
      <c r="E1007" s="224" t="s">
        <v>735</v>
      </c>
      <c r="F1007" s="224" t="s">
        <v>851</v>
      </c>
      <c r="G1007" s="224" t="s">
        <v>102</v>
      </c>
      <c r="H1007" s="224"/>
      <c r="I1007" s="229">
        <v>0</v>
      </c>
      <c r="J1007" s="229">
        <v>0</v>
      </c>
      <c r="K1007" s="229">
        <v>0</v>
      </c>
      <c r="L1007" s="229">
        <v>0</v>
      </c>
      <c r="M1007" s="229">
        <v>0</v>
      </c>
      <c r="N1007" s="229">
        <v>0</v>
      </c>
      <c r="O1007" s="229">
        <v>0</v>
      </c>
      <c r="P1007" s="229">
        <v>0</v>
      </c>
      <c r="Q1007" s="279">
        <v>0</v>
      </c>
    </row>
    <row r="1008" spans="1:17" customFormat="1">
      <c r="A1008" s="224">
        <v>2</v>
      </c>
      <c r="B1008" s="224">
        <v>6155308</v>
      </c>
      <c r="C1008" s="224">
        <v>615530800</v>
      </c>
      <c r="D1008" s="224" t="s">
        <v>734</v>
      </c>
      <c r="E1008" s="224" t="s">
        <v>735</v>
      </c>
      <c r="F1008" s="224" t="s">
        <v>851</v>
      </c>
      <c r="G1008" s="224" t="s">
        <v>100</v>
      </c>
      <c r="H1008" s="224"/>
      <c r="I1008" s="229">
        <v>918000</v>
      </c>
      <c r="J1008" s="229">
        <v>0</v>
      </c>
      <c r="K1008" s="229">
        <v>0</v>
      </c>
      <c r="L1008" s="229">
        <v>0</v>
      </c>
      <c r="M1008" s="229">
        <v>0</v>
      </c>
      <c r="N1008" s="229">
        <v>0</v>
      </c>
      <c r="O1008" s="229">
        <v>0</v>
      </c>
      <c r="P1008" s="229">
        <v>918000</v>
      </c>
      <c r="Q1008" s="279">
        <v>0</v>
      </c>
    </row>
    <row r="1009" spans="1:17" customFormat="1">
      <c r="A1009" s="224">
        <v>2</v>
      </c>
      <c r="B1009" s="224">
        <v>6155310</v>
      </c>
      <c r="C1009" s="224">
        <v>615531001</v>
      </c>
      <c r="D1009" s="224" t="s">
        <v>734</v>
      </c>
      <c r="E1009" s="224" t="s">
        <v>735</v>
      </c>
      <c r="F1009" s="224" t="s">
        <v>851</v>
      </c>
      <c r="G1009" s="224" t="s">
        <v>764</v>
      </c>
      <c r="H1009" s="224" t="s">
        <v>98</v>
      </c>
      <c r="I1009" s="229">
        <v>0</v>
      </c>
      <c r="J1009" s="229">
        <v>0</v>
      </c>
      <c r="K1009" s="229">
        <v>0</v>
      </c>
      <c r="L1009" s="229">
        <v>0</v>
      </c>
      <c r="M1009" s="229">
        <v>0</v>
      </c>
      <c r="N1009" s="229">
        <v>0</v>
      </c>
      <c r="O1009" s="229">
        <v>0</v>
      </c>
      <c r="P1009" s="229">
        <v>0</v>
      </c>
      <c r="Q1009" s="279">
        <v>0</v>
      </c>
    </row>
    <row r="1010" spans="1:17" customFormat="1">
      <c r="A1010" s="224">
        <v>2</v>
      </c>
      <c r="B1010" s="224">
        <v>6155310</v>
      </c>
      <c r="C1010" s="224">
        <v>615531002</v>
      </c>
      <c r="D1010" s="224" t="s">
        <v>734</v>
      </c>
      <c r="E1010" s="224" t="s">
        <v>735</v>
      </c>
      <c r="F1010" s="224" t="s">
        <v>851</v>
      </c>
      <c r="G1010" s="224" t="s">
        <v>764</v>
      </c>
      <c r="H1010" s="224" t="s">
        <v>95</v>
      </c>
      <c r="I1010" s="229">
        <v>0</v>
      </c>
      <c r="J1010" s="229">
        <v>0</v>
      </c>
      <c r="K1010" s="229">
        <v>0</v>
      </c>
      <c r="L1010" s="229">
        <v>0</v>
      </c>
      <c r="M1010" s="229">
        <v>0</v>
      </c>
      <c r="N1010" s="229">
        <v>0</v>
      </c>
      <c r="O1010" s="229">
        <v>0</v>
      </c>
      <c r="P1010" s="229">
        <v>0</v>
      </c>
      <c r="Q1010" s="279">
        <v>0</v>
      </c>
    </row>
    <row r="1011" spans="1:17" customFormat="1">
      <c r="A1011" s="236">
        <v>2</v>
      </c>
      <c r="B1011" s="236">
        <v>6155310</v>
      </c>
      <c r="C1011" s="236">
        <v>615531003</v>
      </c>
      <c r="D1011" s="236" t="s">
        <v>734</v>
      </c>
      <c r="E1011" s="236" t="s">
        <v>735</v>
      </c>
      <c r="F1011" s="236" t="s">
        <v>851</v>
      </c>
      <c r="G1011" s="236" t="s">
        <v>764</v>
      </c>
      <c r="H1011" s="236" t="s">
        <v>765</v>
      </c>
      <c r="I1011" s="229">
        <v>0</v>
      </c>
      <c r="J1011" s="229">
        <v>0</v>
      </c>
      <c r="K1011" s="229">
        <v>0</v>
      </c>
      <c r="L1011" s="229">
        <v>0</v>
      </c>
      <c r="M1011" s="229">
        <v>0</v>
      </c>
      <c r="N1011" s="229">
        <v>0</v>
      </c>
      <c r="O1011" s="229">
        <v>0</v>
      </c>
      <c r="P1011" s="229">
        <v>0</v>
      </c>
      <c r="Q1011" s="279">
        <v>0</v>
      </c>
    </row>
    <row r="1012" spans="1:17" customFormat="1">
      <c r="A1012" s="224">
        <v>2</v>
      </c>
      <c r="B1012" s="224">
        <v>6155313</v>
      </c>
      <c r="C1012" s="224">
        <v>615531300</v>
      </c>
      <c r="D1012" s="224" t="s">
        <v>734</v>
      </c>
      <c r="E1012" s="224" t="s">
        <v>735</v>
      </c>
      <c r="F1012" s="224" t="s">
        <v>851</v>
      </c>
      <c r="G1012" s="224" t="s">
        <v>93</v>
      </c>
      <c r="H1012" s="224"/>
      <c r="I1012" s="229">
        <v>766743</v>
      </c>
      <c r="J1012" s="229">
        <v>0</v>
      </c>
      <c r="K1012" s="229">
        <v>0</v>
      </c>
      <c r="L1012" s="229">
        <v>0</v>
      </c>
      <c r="M1012" s="229">
        <v>0</v>
      </c>
      <c r="N1012" s="229">
        <v>766743</v>
      </c>
      <c r="O1012" s="229">
        <v>0</v>
      </c>
      <c r="P1012" s="229">
        <v>0</v>
      </c>
      <c r="Q1012" s="279">
        <v>0</v>
      </c>
    </row>
    <row r="1013" spans="1:17" customFormat="1">
      <c r="A1013" s="224">
        <v>2</v>
      </c>
      <c r="B1013" s="224">
        <v>6155314</v>
      </c>
      <c r="C1013" s="224">
        <v>615531400</v>
      </c>
      <c r="D1013" s="224" t="s">
        <v>734</v>
      </c>
      <c r="E1013" s="224" t="s">
        <v>735</v>
      </c>
      <c r="F1013" s="224" t="s">
        <v>851</v>
      </c>
      <c r="G1013" s="224" t="s">
        <v>91</v>
      </c>
      <c r="H1013" s="224"/>
      <c r="I1013" s="229">
        <v>71900</v>
      </c>
      <c r="J1013" s="229">
        <v>0</v>
      </c>
      <c r="K1013" s="229">
        <v>0</v>
      </c>
      <c r="L1013" s="229">
        <v>0</v>
      </c>
      <c r="M1013" s="229">
        <v>0</v>
      </c>
      <c r="N1013" s="229">
        <v>71900</v>
      </c>
      <c r="O1013" s="229">
        <v>0</v>
      </c>
      <c r="P1013" s="229">
        <v>0</v>
      </c>
      <c r="Q1013" s="279">
        <v>0</v>
      </c>
    </row>
    <row r="1014" spans="1:17" customFormat="1">
      <c r="A1014" s="224">
        <v>2</v>
      </c>
      <c r="B1014" s="224">
        <v>6155315</v>
      </c>
      <c r="C1014" s="224">
        <v>615531500</v>
      </c>
      <c r="D1014" s="224" t="s">
        <v>734</v>
      </c>
      <c r="E1014" s="224" t="s">
        <v>735</v>
      </c>
      <c r="F1014" s="224" t="s">
        <v>851</v>
      </c>
      <c r="G1014" s="224" t="s">
        <v>89</v>
      </c>
      <c r="H1014" s="224"/>
      <c r="I1014" s="229">
        <v>0</v>
      </c>
      <c r="J1014" s="229">
        <v>0</v>
      </c>
      <c r="K1014" s="229">
        <v>0</v>
      </c>
      <c r="L1014" s="229">
        <v>0</v>
      </c>
      <c r="M1014" s="229">
        <v>0</v>
      </c>
      <c r="N1014" s="229">
        <v>0</v>
      </c>
      <c r="O1014" s="229">
        <v>0</v>
      </c>
      <c r="P1014" s="229">
        <v>0</v>
      </c>
      <c r="Q1014" s="279">
        <v>0</v>
      </c>
    </row>
    <row r="1015" spans="1:17" customFormat="1">
      <c r="A1015" s="224">
        <v>2</v>
      </c>
      <c r="B1015" s="224">
        <v>6155317</v>
      </c>
      <c r="C1015" s="224">
        <v>615531700</v>
      </c>
      <c r="D1015" s="224" t="s">
        <v>734</v>
      </c>
      <c r="E1015" s="224" t="s">
        <v>735</v>
      </c>
      <c r="F1015" s="224" t="s">
        <v>851</v>
      </c>
      <c r="G1015" s="224" t="s">
        <v>87</v>
      </c>
      <c r="H1015" s="224"/>
      <c r="I1015" s="229">
        <v>35232</v>
      </c>
      <c r="J1015" s="229">
        <v>0</v>
      </c>
      <c r="K1015" s="229">
        <v>0</v>
      </c>
      <c r="L1015" s="229">
        <v>0</v>
      </c>
      <c r="M1015" s="229">
        <v>0</v>
      </c>
      <c r="N1015" s="229">
        <v>35232</v>
      </c>
      <c r="O1015" s="229">
        <v>0</v>
      </c>
      <c r="P1015" s="229">
        <v>0</v>
      </c>
      <c r="Q1015" s="279">
        <v>0</v>
      </c>
    </row>
    <row r="1016" spans="1:17" customFormat="1">
      <c r="A1016" s="224">
        <v>2</v>
      </c>
      <c r="B1016" s="224">
        <v>6155319</v>
      </c>
      <c r="C1016" s="224">
        <v>615531900</v>
      </c>
      <c r="D1016" s="224" t="s">
        <v>734</v>
      </c>
      <c r="E1016" s="224" t="s">
        <v>735</v>
      </c>
      <c r="F1016" s="224" t="s">
        <v>851</v>
      </c>
      <c r="G1016" s="224" t="s">
        <v>85</v>
      </c>
      <c r="H1016" s="224"/>
      <c r="I1016" s="229">
        <v>2241</v>
      </c>
      <c r="J1016" s="229">
        <v>0</v>
      </c>
      <c r="K1016" s="229">
        <v>0</v>
      </c>
      <c r="L1016" s="229">
        <v>0</v>
      </c>
      <c r="M1016" s="229">
        <v>0</v>
      </c>
      <c r="N1016" s="229">
        <v>441</v>
      </c>
      <c r="O1016" s="229">
        <v>1800</v>
      </c>
      <c r="P1016" s="229">
        <v>0</v>
      </c>
      <c r="Q1016" s="279">
        <v>0</v>
      </c>
    </row>
    <row r="1017" spans="1:17" customFormat="1">
      <c r="A1017" s="224">
        <v>2</v>
      </c>
      <c r="B1017" s="224">
        <v>6155320</v>
      </c>
      <c r="C1017" s="224">
        <v>615532000</v>
      </c>
      <c r="D1017" s="224" t="s">
        <v>734</v>
      </c>
      <c r="E1017" s="224" t="s">
        <v>735</v>
      </c>
      <c r="F1017" s="224" t="s">
        <v>851</v>
      </c>
      <c r="G1017" s="224" t="s">
        <v>83</v>
      </c>
      <c r="H1017" s="224"/>
      <c r="I1017" s="229">
        <v>0</v>
      </c>
      <c r="J1017" s="229">
        <v>0</v>
      </c>
      <c r="K1017" s="229">
        <v>0</v>
      </c>
      <c r="L1017" s="229">
        <v>0</v>
      </c>
      <c r="M1017" s="229">
        <v>0</v>
      </c>
      <c r="N1017" s="229">
        <v>0</v>
      </c>
      <c r="O1017" s="229">
        <v>0</v>
      </c>
      <c r="P1017" s="229">
        <v>0</v>
      </c>
      <c r="Q1017" s="279">
        <v>0</v>
      </c>
    </row>
    <row r="1018" spans="1:17" customFormat="1">
      <c r="A1018" s="224">
        <v>2</v>
      </c>
      <c r="B1018" s="224">
        <v>6155321</v>
      </c>
      <c r="C1018" s="224">
        <v>615532100</v>
      </c>
      <c r="D1018" s="224" t="s">
        <v>734</v>
      </c>
      <c r="E1018" s="224" t="s">
        <v>735</v>
      </c>
      <c r="F1018" s="224" t="s">
        <v>851</v>
      </c>
      <c r="G1018" s="224" t="s">
        <v>81</v>
      </c>
      <c r="H1018" s="224"/>
      <c r="I1018" s="229">
        <v>9051</v>
      </c>
      <c r="J1018" s="229">
        <v>0</v>
      </c>
      <c r="K1018" s="229">
        <v>0</v>
      </c>
      <c r="L1018" s="229">
        <v>0</v>
      </c>
      <c r="M1018" s="229">
        <v>0</v>
      </c>
      <c r="N1018" s="229">
        <v>9051</v>
      </c>
      <c r="O1018" s="229">
        <v>0</v>
      </c>
      <c r="P1018" s="229">
        <v>0</v>
      </c>
      <c r="Q1018" s="279">
        <v>0</v>
      </c>
    </row>
    <row r="1019" spans="1:17" customFormat="1">
      <c r="A1019" s="224">
        <v>2</v>
      </c>
      <c r="B1019" s="224">
        <v>6155323</v>
      </c>
      <c r="C1019" s="224">
        <v>615532300</v>
      </c>
      <c r="D1019" s="224" t="s">
        <v>734</v>
      </c>
      <c r="E1019" s="224" t="s">
        <v>735</v>
      </c>
      <c r="F1019" s="224" t="s">
        <v>851</v>
      </c>
      <c r="G1019" s="224" t="s">
        <v>79</v>
      </c>
      <c r="H1019" s="224"/>
      <c r="I1019" s="229">
        <v>166925</v>
      </c>
      <c r="J1019" s="229">
        <v>0</v>
      </c>
      <c r="K1019" s="229">
        <v>0</v>
      </c>
      <c r="L1019" s="229">
        <v>0</v>
      </c>
      <c r="M1019" s="229">
        <v>0</v>
      </c>
      <c r="N1019" s="229">
        <v>166925</v>
      </c>
      <c r="O1019" s="229">
        <v>0</v>
      </c>
      <c r="P1019" s="229">
        <v>0</v>
      </c>
      <c r="Q1019" s="279">
        <v>0</v>
      </c>
    </row>
    <row r="1020" spans="1:17" customFormat="1">
      <c r="A1020" s="224">
        <v>2</v>
      </c>
      <c r="B1020" s="224">
        <v>6155324</v>
      </c>
      <c r="C1020" s="224">
        <v>615532400</v>
      </c>
      <c r="D1020" s="224" t="s">
        <v>734</v>
      </c>
      <c r="E1020" s="224" t="s">
        <v>735</v>
      </c>
      <c r="F1020" s="224" t="s">
        <v>851</v>
      </c>
      <c r="G1020" s="224" t="s">
        <v>77</v>
      </c>
      <c r="H1020" s="224"/>
      <c r="I1020" s="229">
        <v>0</v>
      </c>
      <c r="J1020" s="229">
        <v>0</v>
      </c>
      <c r="K1020" s="229">
        <v>0</v>
      </c>
      <c r="L1020" s="229">
        <v>0</v>
      </c>
      <c r="M1020" s="229">
        <v>0</v>
      </c>
      <c r="N1020" s="229">
        <v>0</v>
      </c>
      <c r="O1020" s="229">
        <v>0</v>
      </c>
      <c r="P1020" s="229">
        <v>0</v>
      </c>
      <c r="Q1020" s="279">
        <v>0</v>
      </c>
    </row>
    <row r="1021" spans="1:17" customFormat="1">
      <c r="A1021" s="224">
        <v>2</v>
      </c>
      <c r="B1021" s="224">
        <v>6155331</v>
      </c>
      <c r="C1021" s="224">
        <v>615533100</v>
      </c>
      <c r="D1021" s="224" t="s">
        <v>734</v>
      </c>
      <c r="E1021" s="224" t="s">
        <v>735</v>
      </c>
      <c r="F1021" s="224" t="s">
        <v>851</v>
      </c>
      <c r="G1021" s="224" t="s">
        <v>62</v>
      </c>
      <c r="H1021" s="224"/>
      <c r="I1021" s="229">
        <v>0</v>
      </c>
      <c r="J1021" s="229">
        <v>0</v>
      </c>
      <c r="K1021" s="229">
        <v>0</v>
      </c>
      <c r="L1021" s="229">
        <v>0</v>
      </c>
      <c r="M1021" s="229">
        <v>0</v>
      </c>
      <c r="N1021" s="229">
        <v>0</v>
      </c>
      <c r="O1021" s="229">
        <v>0</v>
      </c>
      <c r="P1021" s="229">
        <v>0</v>
      </c>
      <c r="Q1021" s="279">
        <v>0</v>
      </c>
    </row>
    <row r="1022" spans="1:17" customFormat="1">
      <c r="A1022" s="224">
        <v>2</v>
      </c>
      <c r="B1022" s="224">
        <v>6155337</v>
      </c>
      <c r="C1022" s="224">
        <v>615533700</v>
      </c>
      <c r="D1022" s="224" t="s">
        <v>734</v>
      </c>
      <c r="E1022" s="224" t="s">
        <v>735</v>
      </c>
      <c r="F1022" s="224" t="s">
        <v>851</v>
      </c>
      <c r="G1022" s="224" t="s">
        <v>60</v>
      </c>
      <c r="H1022" s="224"/>
      <c r="I1022" s="229">
        <v>0</v>
      </c>
      <c r="J1022" s="229">
        <v>0</v>
      </c>
      <c r="K1022" s="229">
        <v>0</v>
      </c>
      <c r="L1022" s="229">
        <v>0</v>
      </c>
      <c r="M1022" s="229">
        <v>0</v>
      </c>
      <c r="N1022" s="229">
        <v>0</v>
      </c>
      <c r="O1022" s="229">
        <v>0</v>
      </c>
      <c r="P1022" s="229">
        <v>0</v>
      </c>
      <c r="Q1022" s="279">
        <v>0</v>
      </c>
    </row>
    <row r="1023" spans="1:17" customFormat="1">
      <c r="A1023" s="224">
        <v>2</v>
      </c>
      <c r="B1023" s="224">
        <v>6155339</v>
      </c>
      <c r="C1023" s="224">
        <v>615533900</v>
      </c>
      <c r="D1023" s="224" t="s">
        <v>734</v>
      </c>
      <c r="E1023" s="224" t="s">
        <v>735</v>
      </c>
      <c r="F1023" s="224" t="s">
        <v>851</v>
      </c>
      <c r="G1023" s="224" t="s">
        <v>58</v>
      </c>
      <c r="H1023" s="224"/>
      <c r="I1023" s="229">
        <v>28080</v>
      </c>
      <c r="J1023" s="229">
        <v>0</v>
      </c>
      <c r="K1023" s="229">
        <v>0</v>
      </c>
      <c r="L1023" s="229">
        <v>0</v>
      </c>
      <c r="M1023" s="229">
        <v>0</v>
      </c>
      <c r="N1023" s="229">
        <v>0</v>
      </c>
      <c r="O1023" s="229">
        <v>28080</v>
      </c>
      <c r="P1023" s="229">
        <v>0</v>
      </c>
      <c r="Q1023" s="279">
        <v>0</v>
      </c>
    </row>
    <row r="1024" spans="1:17" customFormat="1">
      <c r="A1024" s="224">
        <v>2</v>
      </c>
      <c r="B1024" s="224">
        <v>6155340</v>
      </c>
      <c r="C1024" s="224">
        <v>615534000</v>
      </c>
      <c r="D1024" s="224" t="s">
        <v>734</v>
      </c>
      <c r="E1024" s="224" t="s">
        <v>735</v>
      </c>
      <c r="F1024" s="224" t="s">
        <v>851</v>
      </c>
      <c r="G1024" s="224" t="s">
        <v>56</v>
      </c>
      <c r="H1024" s="224"/>
      <c r="I1024" s="229">
        <v>8200</v>
      </c>
      <c r="J1024" s="229">
        <v>0</v>
      </c>
      <c r="K1024" s="229">
        <v>0</v>
      </c>
      <c r="L1024" s="229">
        <v>0</v>
      </c>
      <c r="M1024" s="229">
        <v>0</v>
      </c>
      <c r="N1024" s="229">
        <v>0</v>
      </c>
      <c r="O1024" s="229">
        <v>0</v>
      </c>
      <c r="P1024" s="229">
        <v>8200</v>
      </c>
      <c r="Q1024" s="279">
        <v>0</v>
      </c>
    </row>
    <row r="1025" spans="1:17" customFormat="1">
      <c r="A1025" s="224">
        <v>2</v>
      </c>
      <c r="B1025" s="224">
        <v>6155341</v>
      </c>
      <c r="C1025" s="224">
        <v>615534100</v>
      </c>
      <c r="D1025" s="224" t="s">
        <v>734</v>
      </c>
      <c r="E1025" s="224" t="s">
        <v>735</v>
      </c>
      <c r="F1025" s="224" t="s">
        <v>851</v>
      </c>
      <c r="G1025" s="224" t="s">
        <v>55</v>
      </c>
      <c r="H1025" s="224"/>
      <c r="I1025" s="229">
        <v>0</v>
      </c>
      <c r="J1025" s="229">
        <v>0</v>
      </c>
      <c r="K1025" s="229">
        <v>0</v>
      </c>
      <c r="L1025" s="229">
        <v>0</v>
      </c>
      <c r="M1025" s="229">
        <v>0</v>
      </c>
      <c r="N1025" s="229">
        <v>0</v>
      </c>
      <c r="O1025" s="229">
        <v>0</v>
      </c>
      <c r="P1025" s="229">
        <v>0</v>
      </c>
      <c r="Q1025" s="279">
        <v>0</v>
      </c>
    </row>
    <row r="1026" spans="1:17" customFormat="1">
      <c r="A1026" s="224">
        <v>2</v>
      </c>
      <c r="B1026" s="224">
        <v>6155365</v>
      </c>
      <c r="C1026" s="224">
        <v>615536500</v>
      </c>
      <c r="D1026" s="224" t="s">
        <v>734</v>
      </c>
      <c r="E1026" s="224" t="s">
        <v>735</v>
      </c>
      <c r="F1026" s="224" t="s">
        <v>851</v>
      </c>
      <c r="G1026" s="224" t="s">
        <v>766</v>
      </c>
      <c r="H1026" s="224"/>
      <c r="I1026" s="229">
        <v>0</v>
      </c>
      <c r="J1026" s="229">
        <v>0</v>
      </c>
      <c r="K1026" s="229">
        <v>0</v>
      </c>
      <c r="L1026" s="229">
        <v>0</v>
      </c>
      <c r="M1026" s="229">
        <v>0</v>
      </c>
      <c r="N1026" s="229">
        <v>0</v>
      </c>
      <c r="O1026" s="229">
        <v>0</v>
      </c>
      <c r="P1026" s="229">
        <v>0</v>
      </c>
      <c r="Q1026" s="279">
        <v>0</v>
      </c>
    </row>
    <row r="1027" spans="1:17" customFormat="1">
      <c r="A1027" s="224">
        <v>2</v>
      </c>
      <c r="B1027" s="224">
        <v>6155369</v>
      </c>
      <c r="C1027" s="224">
        <v>615536900</v>
      </c>
      <c r="D1027" s="224" t="s">
        <v>734</v>
      </c>
      <c r="E1027" s="224" t="s">
        <v>735</v>
      </c>
      <c r="F1027" s="224" t="s">
        <v>851</v>
      </c>
      <c r="G1027" s="224" t="s">
        <v>767</v>
      </c>
      <c r="H1027" s="224"/>
      <c r="I1027" s="229">
        <v>0</v>
      </c>
      <c r="J1027" s="229">
        <v>0</v>
      </c>
      <c r="K1027" s="229">
        <v>0</v>
      </c>
      <c r="L1027" s="229">
        <v>0</v>
      </c>
      <c r="M1027" s="229">
        <v>0</v>
      </c>
      <c r="N1027" s="229">
        <v>0</v>
      </c>
      <c r="O1027" s="229">
        <v>0</v>
      </c>
      <c r="P1027" s="229">
        <v>0</v>
      </c>
      <c r="Q1027" s="279">
        <v>0</v>
      </c>
    </row>
    <row r="1028" spans="1:17" customFormat="1">
      <c r="A1028" s="224">
        <v>2</v>
      </c>
      <c r="B1028" s="224">
        <v>6155370</v>
      </c>
      <c r="C1028" s="224">
        <v>615537000</v>
      </c>
      <c r="D1028" s="224" t="s">
        <v>734</v>
      </c>
      <c r="E1028" s="224" t="s">
        <v>735</v>
      </c>
      <c r="F1028" s="224" t="s">
        <v>851</v>
      </c>
      <c r="G1028" s="224" t="s">
        <v>768</v>
      </c>
      <c r="H1028" s="224"/>
      <c r="I1028" s="229">
        <v>0</v>
      </c>
      <c r="J1028" s="229">
        <v>0</v>
      </c>
      <c r="K1028" s="229">
        <v>0</v>
      </c>
      <c r="L1028" s="229">
        <v>0</v>
      </c>
      <c r="M1028" s="229">
        <v>0</v>
      </c>
      <c r="N1028" s="229">
        <v>0</v>
      </c>
      <c r="O1028" s="229">
        <v>0</v>
      </c>
      <c r="P1028" s="229">
        <v>0</v>
      </c>
      <c r="Q1028" s="279">
        <v>0</v>
      </c>
    </row>
    <row r="1029" spans="1:17" customFormat="1">
      <c r="A1029" s="224">
        <v>2</v>
      </c>
      <c r="B1029" s="224">
        <v>6155371</v>
      </c>
      <c r="C1029" s="224">
        <v>615537100</v>
      </c>
      <c r="D1029" s="224" t="s">
        <v>734</v>
      </c>
      <c r="E1029" s="224" t="s">
        <v>735</v>
      </c>
      <c r="F1029" s="224" t="s">
        <v>851</v>
      </c>
      <c r="G1029" s="224" t="s">
        <v>769</v>
      </c>
      <c r="H1029" s="224"/>
      <c r="I1029" s="229">
        <v>0</v>
      </c>
      <c r="J1029" s="229">
        <v>0</v>
      </c>
      <c r="K1029" s="229">
        <v>0</v>
      </c>
      <c r="L1029" s="229">
        <v>0</v>
      </c>
      <c r="M1029" s="229">
        <v>0</v>
      </c>
      <c r="N1029" s="229">
        <v>0</v>
      </c>
      <c r="O1029" s="229">
        <v>0</v>
      </c>
      <c r="P1029" s="229">
        <v>0</v>
      </c>
      <c r="Q1029" s="279">
        <v>0</v>
      </c>
    </row>
    <row r="1030" spans="1:17" customFormat="1">
      <c r="A1030" s="224">
        <v>2</v>
      </c>
      <c r="B1030" s="224">
        <v>6155372</v>
      </c>
      <c r="C1030" s="224">
        <v>615537200</v>
      </c>
      <c r="D1030" s="224" t="s">
        <v>734</v>
      </c>
      <c r="E1030" s="224" t="s">
        <v>735</v>
      </c>
      <c r="F1030" s="224" t="s">
        <v>851</v>
      </c>
      <c r="G1030" s="224" t="s">
        <v>770</v>
      </c>
      <c r="H1030" s="224"/>
      <c r="I1030" s="229">
        <v>0</v>
      </c>
      <c r="J1030" s="229">
        <v>0</v>
      </c>
      <c r="K1030" s="229">
        <v>0</v>
      </c>
      <c r="L1030" s="229">
        <v>0</v>
      </c>
      <c r="M1030" s="229">
        <v>0</v>
      </c>
      <c r="N1030" s="229">
        <v>0</v>
      </c>
      <c r="O1030" s="229">
        <v>0</v>
      </c>
      <c r="P1030" s="229">
        <v>0</v>
      </c>
      <c r="Q1030" s="279">
        <v>0</v>
      </c>
    </row>
    <row r="1031" spans="1:17" customFormat="1">
      <c r="A1031" s="224">
        <v>2</v>
      </c>
      <c r="B1031" s="224">
        <v>6155373</v>
      </c>
      <c r="C1031" s="224">
        <v>615537300</v>
      </c>
      <c r="D1031" s="224" t="s">
        <v>734</v>
      </c>
      <c r="E1031" s="224" t="s">
        <v>735</v>
      </c>
      <c r="F1031" s="224" t="s">
        <v>851</v>
      </c>
      <c r="G1031" s="224" t="s">
        <v>771</v>
      </c>
      <c r="H1031" s="224"/>
      <c r="I1031" s="229">
        <v>0</v>
      </c>
      <c r="J1031" s="229">
        <v>0</v>
      </c>
      <c r="K1031" s="229">
        <v>0</v>
      </c>
      <c r="L1031" s="229">
        <v>0</v>
      </c>
      <c r="M1031" s="229">
        <v>0</v>
      </c>
      <c r="N1031" s="229">
        <v>0</v>
      </c>
      <c r="O1031" s="229">
        <v>0</v>
      </c>
      <c r="P1031" s="229">
        <v>0</v>
      </c>
      <c r="Q1031" s="279">
        <v>0</v>
      </c>
    </row>
    <row r="1032" spans="1:17" customFormat="1">
      <c r="A1032" s="224">
        <v>2</v>
      </c>
      <c r="B1032" s="224">
        <v>6155374</v>
      </c>
      <c r="C1032" s="224">
        <v>615537400</v>
      </c>
      <c r="D1032" s="224" t="s">
        <v>734</v>
      </c>
      <c r="E1032" s="224" t="s">
        <v>735</v>
      </c>
      <c r="F1032" s="224" t="s">
        <v>851</v>
      </c>
      <c r="G1032" s="224" t="s">
        <v>772</v>
      </c>
      <c r="H1032" s="224"/>
      <c r="I1032" s="229">
        <v>0</v>
      </c>
      <c r="J1032" s="229">
        <v>0</v>
      </c>
      <c r="K1032" s="229">
        <v>0</v>
      </c>
      <c r="L1032" s="229">
        <v>0</v>
      </c>
      <c r="M1032" s="229">
        <v>0</v>
      </c>
      <c r="N1032" s="229">
        <v>0</v>
      </c>
      <c r="O1032" s="229">
        <v>0</v>
      </c>
      <c r="P1032" s="229">
        <v>0</v>
      </c>
      <c r="Q1032" s="279">
        <v>0</v>
      </c>
    </row>
    <row r="1033" spans="1:17" customFormat="1">
      <c r="A1033" s="224">
        <v>2</v>
      </c>
      <c r="B1033" s="224">
        <v>6155375</v>
      </c>
      <c r="C1033" s="224">
        <v>615537583</v>
      </c>
      <c r="D1033" s="224" t="s">
        <v>734</v>
      </c>
      <c r="E1033" s="224" t="s">
        <v>735</v>
      </c>
      <c r="F1033" s="224" t="s">
        <v>851</v>
      </c>
      <c r="G1033" s="224" t="s">
        <v>773</v>
      </c>
      <c r="H1033" s="224" t="s">
        <v>75</v>
      </c>
      <c r="I1033" s="229">
        <v>419535338</v>
      </c>
      <c r="J1033" s="229">
        <v>0</v>
      </c>
      <c r="K1033" s="229">
        <v>0</v>
      </c>
      <c r="L1033" s="229">
        <v>0</v>
      </c>
      <c r="M1033" s="229">
        <v>0</v>
      </c>
      <c r="N1033" s="229">
        <v>419535338</v>
      </c>
      <c r="O1033" s="229">
        <v>0</v>
      </c>
      <c r="P1033" s="229">
        <v>0</v>
      </c>
      <c r="Q1033" s="279">
        <v>0</v>
      </c>
    </row>
    <row r="1034" spans="1:17" customFormat="1">
      <c r="A1034" s="224">
        <v>2</v>
      </c>
      <c r="B1034" s="224">
        <v>6155375</v>
      </c>
      <c r="C1034" s="224">
        <v>615537584</v>
      </c>
      <c r="D1034" s="224" t="s">
        <v>734</v>
      </c>
      <c r="E1034" s="224" t="s">
        <v>735</v>
      </c>
      <c r="F1034" s="224" t="s">
        <v>851</v>
      </c>
      <c r="G1034" s="224" t="s">
        <v>773</v>
      </c>
      <c r="H1034" s="224" t="s">
        <v>774</v>
      </c>
      <c r="I1034" s="229">
        <v>4022728</v>
      </c>
      <c r="J1034" s="229">
        <v>0</v>
      </c>
      <c r="K1034" s="229">
        <v>0</v>
      </c>
      <c r="L1034" s="229">
        <v>0</v>
      </c>
      <c r="M1034" s="229">
        <v>0</v>
      </c>
      <c r="N1034" s="229">
        <v>0</v>
      </c>
      <c r="O1034" s="229">
        <v>0</v>
      </c>
      <c r="P1034" s="229">
        <v>4022728</v>
      </c>
      <c r="Q1034" s="279">
        <v>0</v>
      </c>
    </row>
    <row r="1035" spans="1:17" customFormat="1">
      <c r="A1035" s="224">
        <v>2</v>
      </c>
      <c r="B1035" s="224">
        <v>6155375</v>
      </c>
      <c r="C1035" s="224">
        <v>615537585</v>
      </c>
      <c r="D1035" s="224" t="s">
        <v>734</v>
      </c>
      <c r="E1035" s="224" t="s">
        <v>735</v>
      </c>
      <c r="F1035" s="224" t="s">
        <v>851</v>
      </c>
      <c r="G1035" s="224" t="s">
        <v>773</v>
      </c>
      <c r="H1035" s="224" t="s">
        <v>775</v>
      </c>
      <c r="I1035" s="229">
        <v>12423600</v>
      </c>
      <c r="J1035" s="229">
        <v>0</v>
      </c>
      <c r="K1035" s="229">
        <v>0</v>
      </c>
      <c r="L1035" s="229">
        <v>0</v>
      </c>
      <c r="M1035" s="229">
        <v>0</v>
      </c>
      <c r="N1035" s="229">
        <v>12423600</v>
      </c>
      <c r="O1035" s="229">
        <v>0</v>
      </c>
      <c r="P1035" s="229">
        <v>0</v>
      </c>
      <c r="Q1035" s="279">
        <v>0</v>
      </c>
    </row>
    <row r="1036" spans="1:17" customFormat="1">
      <c r="A1036" s="224">
        <v>2</v>
      </c>
      <c r="B1036" s="224">
        <v>6155375</v>
      </c>
      <c r="C1036" s="224">
        <v>615537586</v>
      </c>
      <c r="D1036" s="224" t="s">
        <v>734</v>
      </c>
      <c r="E1036" s="224" t="s">
        <v>735</v>
      </c>
      <c r="F1036" s="224" t="s">
        <v>851</v>
      </c>
      <c r="G1036" s="224" t="s">
        <v>773</v>
      </c>
      <c r="H1036" s="224" t="s">
        <v>776</v>
      </c>
      <c r="I1036" s="229">
        <v>7632900</v>
      </c>
      <c r="J1036" s="229">
        <v>0</v>
      </c>
      <c r="K1036" s="229">
        <v>0</v>
      </c>
      <c r="L1036" s="229">
        <v>0</v>
      </c>
      <c r="M1036" s="229">
        <v>0</v>
      </c>
      <c r="N1036" s="229">
        <v>7632900</v>
      </c>
      <c r="O1036" s="229">
        <v>0</v>
      </c>
      <c r="P1036" s="229">
        <v>0</v>
      </c>
      <c r="Q1036" s="279">
        <v>0</v>
      </c>
    </row>
    <row r="1037" spans="1:17" customFormat="1">
      <c r="A1037" s="224">
        <v>2</v>
      </c>
      <c r="B1037" s="224">
        <v>6155375</v>
      </c>
      <c r="C1037" s="224">
        <v>615537587</v>
      </c>
      <c r="D1037" s="224" t="s">
        <v>734</v>
      </c>
      <c r="E1037" s="224" t="s">
        <v>735</v>
      </c>
      <c r="F1037" s="224" t="s">
        <v>851</v>
      </c>
      <c r="G1037" s="224" t="s">
        <v>773</v>
      </c>
      <c r="H1037" s="224" t="s">
        <v>665</v>
      </c>
      <c r="I1037" s="229">
        <v>45870</v>
      </c>
      <c r="J1037" s="229">
        <v>0</v>
      </c>
      <c r="K1037" s="229">
        <v>0</v>
      </c>
      <c r="L1037" s="229">
        <v>0</v>
      </c>
      <c r="M1037" s="229">
        <v>0</v>
      </c>
      <c r="N1037" s="229">
        <v>45870</v>
      </c>
      <c r="O1037" s="229">
        <v>0</v>
      </c>
      <c r="P1037" s="229">
        <v>0</v>
      </c>
      <c r="Q1037" s="279">
        <v>0</v>
      </c>
    </row>
    <row r="1038" spans="1:17" customFormat="1">
      <c r="A1038" s="224">
        <v>2</v>
      </c>
      <c r="B1038" s="224">
        <v>6155375</v>
      </c>
      <c r="C1038" s="224">
        <v>615537588</v>
      </c>
      <c r="D1038" s="224" t="s">
        <v>734</v>
      </c>
      <c r="E1038" s="224" t="s">
        <v>735</v>
      </c>
      <c r="F1038" s="224" t="s">
        <v>851</v>
      </c>
      <c r="G1038" s="224" t="s">
        <v>773</v>
      </c>
      <c r="H1038" s="224" t="s">
        <v>73</v>
      </c>
      <c r="I1038" s="229">
        <v>525070</v>
      </c>
      <c r="J1038" s="229">
        <v>0</v>
      </c>
      <c r="K1038" s="229">
        <v>0</v>
      </c>
      <c r="L1038" s="229">
        <v>0</v>
      </c>
      <c r="M1038" s="229">
        <v>0</v>
      </c>
      <c r="N1038" s="229">
        <v>0</v>
      </c>
      <c r="O1038" s="229">
        <v>525070</v>
      </c>
      <c r="P1038" s="229">
        <v>0</v>
      </c>
      <c r="Q1038" s="279">
        <v>0</v>
      </c>
    </row>
    <row r="1039" spans="1:17" customFormat="1">
      <c r="A1039" s="224">
        <v>2</v>
      </c>
      <c r="B1039" s="224">
        <v>6160101</v>
      </c>
      <c r="C1039" s="224">
        <v>616010100</v>
      </c>
      <c r="D1039" s="224" t="s">
        <v>734</v>
      </c>
      <c r="E1039" s="224" t="s">
        <v>788</v>
      </c>
      <c r="F1039" s="224" t="s">
        <v>789</v>
      </c>
      <c r="G1039" s="224" t="s">
        <v>789</v>
      </c>
      <c r="H1039" s="224"/>
      <c r="I1039" s="229">
        <v>274954288</v>
      </c>
      <c r="J1039" s="229">
        <v>0</v>
      </c>
      <c r="K1039" s="229">
        <v>0</v>
      </c>
      <c r="L1039" s="229">
        <v>0</v>
      </c>
      <c r="M1039" s="229">
        <v>0</v>
      </c>
      <c r="N1039" s="229">
        <v>0</v>
      </c>
      <c r="O1039" s="229">
        <v>0</v>
      </c>
      <c r="P1039" s="229">
        <v>274954288</v>
      </c>
      <c r="Q1039" s="279">
        <v>0</v>
      </c>
    </row>
    <row r="1040" spans="1:17">
      <c r="A1040" s="236">
        <v>2</v>
      </c>
      <c r="B1040" s="236">
        <v>6160102</v>
      </c>
      <c r="C1040" s="236">
        <v>616010200</v>
      </c>
      <c r="D1040" s="236" t="s">
        <v>734</v>
      </c>
      <c r="E1040" s="236" t="s">
        <v>788</v>
      </c>
      <c r="F1040" s="236" t="s">
        <v>789</v>
      </c>
      <c r="G1040" s="236" t="s">
        <v>877</v>
      </c>
      <c r="H1040" s="236"/>
      <c r="I1040" s="257">
        <v>100000</v>
      </c>
      <c r="J1040" s="257">
        <v>0</v>
      </c>
      <c r="K1040" s="257">
        <v>0</v>
      </c>
      <c r="L1040" s="257">
        <v>0</v>
      </c>
      <c r="M1040" s="257">
        <v>0</v>
      </c>
      <c r="N1040" s="257">
        <v>0</v>
      </c>
      <c r="O1040" s="257">
        <v>0</v>
      </c>
      <c r="P1040" s="257">
        <v>100000</v>
      </c>
      <c r="Q1040" s="258">
        <v>0</v>
      </c>
    </row>
    <row r="1041" spans="1:17" customFormat="1">
      <c r="A1041" s="224">
        <v>2</v>
      </c>
      <c r="B1041" s="224">
        <v>6160303</v>
      </c>
      <c r="C1041" s="224">
        <v>616030300</v>
      </c>
      <c r="D1041" s="224" t="s">
        <v>734</v>
      </c>
      <c r="E1041" s="224" t="s">
        <v>788</v>
      </c>
      <c r="F1041" s="224" t="s">
        <v>791</v>
      </c>
      <c r="G1041" s="224" t="s">
        <v>791</v>
      </c>
      <c r="H1041" s="224"/>
      <c r="I1041" s="229">
        <v>0</v>
      </c>
      <c r="J1041" s="229">
        <v>0</v>
      </c>
      <c r="K1041" s="229">
        <v>0</v>
      </c>
      <c r="L1041" s="229">
        <v>0</v>
      </c>
      <c r="M1041" s="229">
        <v>0</v>
      </c>
      <c r="N1041" s="229">
        <v>0</v>
      </c>
      <c r="O1041" s="229">
        <v>0</v>
      </c>
      <c r="P1041" s="229">
        <v>0</v>
      </c>
      <c r="Q1041" s="279">
        <v>0</v>
      </c>
    </row>
    <row r="1042" spans="1:17" customFormat="1">
      <c r="A1042" s="224">
        <v>2</v>
      </c>
      <c r="B1042" s="224">
        <v>6170208</v>
      </c>
      <c r="C1042" s="224">
        <v>617020800</v>
      </c>
      <c r="D1042" s="224" t="s">
        <v>734</v>
      </c>
      <c r="E1042" s="224" t="s">
        <v>792</v>
      </c>
      <c r="F1042" s="224" t="s">
        <v>793</v>
      </c>
      <c r="G1042" s="224" t="s">
        <v>852</v>
      </c>
      <c r="H1042" s="224"/>
      <c r="I1042" s="229">
        <v>1040000</v>
      </c>
      <c r="J1042" s="229">
        <v>0</v>
      </c>
      <c r="K1042" s="229">
        <v>0</v>
      </c>
      <c r="L1042" s="229">
        <v>0</v>
      </c>
      <c r="M1042" s="229">
        <v>0</v>
      </c>
      <c r="N1042" s="229">
        <v>0</v>
      </c>
      <c r="O1042" s="229">
        <v>0</v>
      </c>
      <c r="P1042" s="229">
        <v>1040000</v>
      </c>
      <c r="Q1042" s="279">
        <v>0</v>
      </c>
    </row>
    <row r="1043" spans="1:17" customFormat="1">
      <c r="A1043" s="224">
        <v>2</v>
      </c>
      <c r="B1043" s="224">
        <v>6170210</v>
      </c>
      <c r="C1043" s="224">
        <v>617021000</v>
      </c>
      <c r="D1043" s="224" t="s">
        <v>734</v>
      </c>
      <c r="E1043" s="224" t="s">
        <v>792</v>
      </c>
      <c r="F1043" s="224" t="s">
        <v>793</v>
      </c>
      <c r="G1043" s="224" t="s">
        <v>853</v>
      </c>
      <c r="H1043" s="224"/>
      <c r="I1043" s="229">
        <v>0</v>
      </c>
      <c r="J1043" s="229">
        <v>0</v>
      </c>
      <c r="K1043" s="229">
        <v>0</v>
      </c>
      <c r="L1043" s="229">
        <v>0</v>
      </c>
      <c r="M1043" s="229">
        <v>0</v>
      </c>
      <c r="N1043" s="229">
        <v>0</v>
      </c>
      <c r="O1043" s="229">
        <v>0</v>
      </c>
      <c r="P1043" s="229">
        <v>0</v>
      </c>
      <c r="Q1043" s="279">
        <v>0</v>
      </c>
    </row>
    <row r="1044" spans="1:17" customFormat="1">
      <c r="A1044" s="224">
        <v>2</v>
      </c>
      <c r="B1044" s="224">
        <v>6170212</v>
      </c>
      <c r="C1044" s="224">
        <v>617021200</v>
      </c>
      <c r="D1044" s="224" t="s">
        <v>734</v>
      </c>
      <c r="E1044" s="224" t="s">
        <v>792</v>
      </c>
      <c r="F1044" s="224" t="s">
        <v>793</v>
      </c>
      <c r="G1044" s="224" t="s">
        <v>854</v>
      </c>
      <c r="H1044" s="224"/>
      <c r="I1044" s="229">
        <v>0</v>
      </c>
      <c r="J1044" s="229">
        <v>0</v>
      </c>
      <c r="K1044" s="229">
        <v>0</v>
      </c>
      <c r="L1044" s="229">
        <v>0</v>
      </c>
      <c r="M1044" s="229">
        <v>0</v>
      </c>
      <c r="N1044" s="229">
        <v>0</v>
      </c>
      <c r="O1044" s="229">
        <v>0</v>
      </c>
      <c r="P1044" s="229">
        <v>0</v>
      </c>
      <c r="Q1044" s="279">
        <v>0</v>
      </c>
    </row>
    <row r="1045" spans="1:17" customFormat="1">
      <c r="A1045" s="224">
        <v>2</v>
      </c>
      <c r="B1045" s="224">
        <v>6170303</v>
      </c>
      <c r="C1045" s="224">
        <v>617030300</v>
      </c>
      <c r="D1045" s="224" t="s">
        <v>734</v>
      </c>
      <c r="E1045" s="224" t="s">
        <v>792</v>
      </c>
      <c r="F1045" s="224" t="s">
        <v>797</v>
      </c>
      <c r="G1045" s="224" t="s">
        <v>797</v>
      </c>
      <c r="H1045" s="224"/>
      <c r="I1045" s="229">
        <v>0</v>
      </c>
      <c r="J1045" s="229">
        <v>0</v>
      </c>
      <c r="K1045" s="229">
        <v>0</v>
      </c>
      <c r="L1045" s="229">
        <v>0</v>
      </c>
      <c r="M1045" s="229">
        <v>0</v>
      </c>
      <c r="N1045" s="229">
        <v>0</v>
      </c>
      <c r="O1045" s="229">
        <v>0</v>
      </c>
      <c r="P1045" s="229">
        <v>0</v>
      </c>
      <c r="Q1045" s="279">
        <v>0</v>
      </c>
    </row>
    <row r="1046" spans="1:17" customFormat="1">
      <c r="A1046" s="224">
        <v>2</v>
      </c>
      <c r="B1046" s="224">
        <v>6170401</v>
      </c>
      <c r="C1046" s="224">
        <v>617040100</v>
      </c>
      <c r="D1046" s="224" t="s">
        <v>734</v>
      </c>
      <c r="E1046" s="224" t="s">
        <v>792</v>
      </c>
      <c r="F1046" s="224" t="s">
        <v>791</v>
      </c>
      <c r="G1046" s="224" t="s">
        <v>798</v>
      </c>
      <c r="H1046" s="224"/>
      <c r="I1046" s="229">
        <v>0</v>
      </c>
      <c r="J1046" s="229">
        <v>0</v>
      </c>
      <c r="K1046" s="229">
        <v>0</v>
      </c>
      <c r="L1046" s="229">
        <v>0</v>
      </c>
      <c r="M1046" s="229">
        <v>0</v>
      </c>
      <c r="N1046" s="229">
        <v>0</v>
      </c>
      <c r="O1046" s="229">
        <v>0</v>
      </c>
      <c r="P1046" s="229">
        <v>0</v>
      </c>
      <c r="Q1046" s="279">
        <v>0</v>
      </c>
    </row>
    <row r="1047" spans="1:17" customFormat="1">
      <c r="A1047" s="224">
        <v>2</v>
      </c>
      <c r="B1047" s="224">
        <v>6170402</v>
      </c>
      <c r="C1047" s="224">
        <v>617040200</v>
      </c>
      <c r="D1047" s="224" t="s">
        <v>734</v>
      </c>
      <c r="E1047" s="224" t="s">
        <v>792</v>
      </c>
      <c r="F1047" s="224" t="s">
        <v>791</v>
      </c>
      <c r="G1047" s="224" t="s">
        <v>799</v>
      </c>
      <c r="H1047" s="224"/>
      <c r="I1047" s="229">
        <v>0</v>
      </c>
      <c r="J1047" s="229">
        <v>0</v>
      </c>
      <c r="K1047" s="229">
        <v>0</v>
      </c>
      <c r="L1047" s="229">
        <v>0</v>
      </c>
      <c r="M1047" s="229">
        <v>0</v>
      </c>
      <c r="N1047" s="229">
        <v>0</v>
      </c>
      <c r="O1047" s="229">
        <v>0</v>
      </c>
      <c r="P1047" s="229">
        <v>0</v>
      </c>
      <c r="Q1047" s="279">
        <v>0</v>
      </c>
    </row>
    <row r="1048" spans="1:17" customFormat="1">
      <c r="A1048" s="224">
        <v>2</v>
      </c>
      <c r="B1048" s="224">
        <v>6170403</v>
      </c>
      <c r="C1048" s="224">
        <v>617040300</v>
      </c>
      <c r="D1048" s="224" t="s">
        <v>734</v>
      </c>
      <c r="E1048" s="224" t="s">
        <v>792</v>
      </c>
      <c r="F1048" s="224" t="s">
        <v>791</v>
      </c>
      <c r="G1048" s="224" t="s">
        <v>800</v>
      </c>
      <c r="H1048" s="224"/>
      <c r="I1048" s="229">
        <v>0</v>
      </c>
      <c r="J1048" s="229">
        <v>0</v>
      </c>
      <c r="K1048" s="229">
        <v>0</v>
      </c>
      <c r="L1048" s="229">
        <v>0</v>
      </c>
      <c r="M1048" s="229">
        <v>0</v>
      </c>
      <c r="N1048" s="229">
        <v>0</v>
      </c>
      <c r="O1048" s="229">
        <v>0</v>
      </c>
      <c r="P1048" s="229">
        <v>0</v>
      </c>
      <c r="Q1048" s="279">
        <v>0</v>
      </c>
    </row>
    <row r="1049" spans="1:17" customFormat="1">
      <c r="A1049" s="224">
        <v>2</v>
      </c>
      <c r="B1049" s="224">
        <v>6181212</v>
      </c>
      <c r="C1049" s="224">
        <v>618121200</v>
      </c>
      <c r="D1049" s="224" t="s">
        <v>734</v>
      </c>
      <c r="E1049" s="224" t="s">
        <v>801</v>
      </c>
      <c r="F1049" s="224" t="s">
        <v>501</v>
      </c>
      <c r="G1049" s="224" t="s">
        <v>501</v>
      </c>
      <c r="H1049" s="224"/>
      <c r="I1049" s="229">
        <v>0</v>
      </c>
      <c r="J1049" s="229">
        <v>0</v>
      </c>
      <c r="K1049" s="229">
        <v>0</v>
      </c>
      <c r="L1049" s="229">
        <v>0</v>
      </c>
      <c r="M1049" s="229">
        <v>0</v>
      </c>
      <c r="N1049" s="229">
        <v>0</v>
      </c>
      <c r="O1049" s="229">
        <v>0</v>
      </c>
      <c r="P1049" s="229">
        <v>0</v>
      </c>
      <c r="Q1049" s="279">
        <v>0</v>
      </c>
    </row>
    <row r="1050" spans="1:17" customFormat="1">
      <c r="A1050" s="224">
        <v>2</v>
      </c>
      <c r="B1050" s="224">
        <v>6181414</v>
      </c>
      <c r="C1050" s="224">
        <v>618141400</v>
      </c>
      <c r="D1050" s="224" t="s">
        <v>734</v>
      </c>
      <c r="E1050" s="224" t="s">
        <v>801</v>
      </c>
      <c r="F1050" s="224" t="s">
        <v>802</v>
      </c>
      <c r="G1050" s="224" t="s">
        <v>802</v>
      </c>
      <c r="H1050" s="224"/>
      <c r="I1050" s="229">
        <v>0</v>
      </c>
      <c r="J1050" s="229">
        <v>0</v>
      </c>
      <c r="K1050" s="229">
        <v>0</v>
      </c>
      <c r="L1050" s="229">
        <v>0</v>
      </c>
      <c r="M1050" s="229">
        <v>0</v>
      </c>
      <c r="N1050" s="229">
        <v>0</v>
      </c>
      <c r="O1050" s="229">
        <v>0</v>
      </c>
      <c r="P1050" s="229">
        <v>0</v>
      </c>
      <c r="Q1050" s="279">
        <v>0</v>
      </c>
    </row>
    <row r="1051" spans="1:17" customFormat="1">
      <c r="A1051" s="224">
        <v>2</v>
      </c>
      <c r="B1051" s="224">
        <v>6182020</v>
      </c>
      <c r="C1051" s="224">
        <v>618202000</v>
      </c>
      <c r="D1051" s="224" t="s">
        <v>734</v>
      </c>
      <c r="E1051" s="224" t="s">
        <v>801</v>
      </c>
      <c r="F1051" s="224" t="s">
        <v>803</v>
      </c>
      <c r="G1051" s="224" t="s">
        <v>803</v>
      </c>
      <c r="H1051" s="224"/>
      <c r="I1051" s="229">
        <v>0</v>
      </c>
      <c r="J1051" s="229">
        <v>0</v>
      </c>
      <c r="K1051" s="229">
        <v>0</v>
      </c>
      <c r="L1051" s="229">
        <v>0</v>
      </c>
      <c r="M1051" s="229">
        <v>0</v>
      </c>
      <c r="N1051" s="229">
        <v>0</v>
      </c>
      <c r="O1051" s="229">
        <v>0</v>
      </c>
      <c r="P1051" s="229">
        <v>0</v>
      </c>
      <c r="Q1051" s="279">
        <v>0</v>
      </c>
    </row>
    <row r="1052" spans="1:17" customFormat="1">
      <c r="A1052" s="224">
        <v>2</v>
      </c>
      <c r="B1052" s="224">
        <v>6190101</v>
      </c>
      <c r="C1052" s="224">
        <v>619010100</v>
      </c>
      <c r="D1052" s="224" t="s">
        <v>734</v>
      </c>
      <c r="E1052" s="224" t="s">
        <v>804</v>
      </c>
      <c r="F1052" s="224" t="s">
        <v>804</v>
      </c>
      <c r="G1052" s="224" t="s">
        <v>804</v>
      </c>
      <c r="H1052" s="224"/>
      <c r="I1052" s="229">
        <v>0</v>
      </c>
      <c r="J1052" s="229">
        <v>0</v>
      </c>
      <c r="K1052" s="229">
        <v>0</v>
      </c>
      <c r="L1052" s="229">
        <v>0</v>
      </c>
      <c r="M1052" s="229">
        <v>0</v>
      </c>
      <c r="N1052" s="229">
        <v>0</v>
      </c>
      <c r="O1052" s="229">
        <v>0</v>
      </c>
      <c r="P1052" s="229">
        <v>0</v>
      </c>
      <c r="Q1052" s="279">
        <v>0</v>
      </c>
    </row>
    <row r="1053" spans="1:17" customFormat="1">
      <c r="A1053" s="224">
        <v>2</v>
      </c>
      <c r="B1053" s="224">
        <v>6200101</v>
      </c>
      <c r="C1053" s="224">
        <v>620010100</v>
      </c>
      <c r="D1053" s="224" t="s">
        <v>734</v>
      </c>
      <c r="E1053" s="224" t="s">
        <v>805</v>
      </c>
      <c r="F1053" s="224" t="s">
        <v>805</v>
      </c>
      <c r="G1053" s="224" t="s">
        <v>805</v>
      </c>
      <c r="H1053" s="224"/>
      <c r="I1053" s="229">
        <v>0</v>
      </c>
      <c r="J1053" s="229">
        <v>0</v>
      </c>
      <c r="K1053" s="229">
        <v>0</v>
      </c>
      <c r="L1053" s="229">
        <v>0</v>
      </c>
      <c r="M1053" s="229">
        <v>0</v>
      </c>
      <c r="N1053" s="229">
        <v>0</v>
      </c>
      <c r="O1053" s="229">
        <v>0</v>
      </c>
      <c r="P1053" s="229">
        <v>0</v>
      </c>
      <c r="Q1053" s="279">
        <v>0</v>
      </c>
    </row>
    <row r="1054" spans="1:17" customFormat="1">
      <c r="A1054" s="224">
        <v>2</v>
      </c>
      <c r="B1054" s="224">
        <v>6210101</v>
      </c>
      <c r="C1054" s="224">
        <v>621010100</v>
      </c>
      <c r="D1054" s="224" t="s">
        <v>734</v>
      </c>
      <c r="E1054" s="224" t="s">
        <v>806</v>
      </c>
      <c r="F1054" s="224" t="s">
        <v>807</v>
      </c>
      <c r="G1054" s="224" t="s">
        <v>807</v>
      </c>
      <c r="H1054" s="224"/>
      <c r="I1054" s="229">
        <v>0</v>
      </c>
      <c r="J1054" s="229">
        <v>0</v>
      </c>
      <c r="K1054" s="229">
        <v>0</v>
      </c>
      <c r="L1054" s="229">
        <v>0</v>
      </c>
      <c r="M1054" s="229">
        <v>0</v>
      </c>
      <c r="N1054" s="229">
        <v>0</v>
      </c>
      <c r="O1054" s="229">
        <v>0</v>
      </c>
      <c r="P1054" s="229">
        <v>0</v>
      </c>
      <c r="Q1054" s="279">
        <v>0</v>
      </c>
    </row>
    <row r="1055" spans="1:17" customFormat="1">
      <c r="A1055" s="224">
        <v>2</v>
      </c>
      <c r="B1055" s="224">
        <v>6900101</v>
      </c>
      <c r="C1055" s="224">
        <v>690010100</v>
      </c>
      <c r="D1055" s="224" t="s">
        <v>734</v>
      </c>
      <c r="E1055" s="224" t="s">
        <v>809</v>
      </c>
      <c r="F1055" s="224" t="s">
        <v>809</v>
      </c>
      <c r="G1055" s="224" t="s">
        <v>809</v>
      </c>
      <c r="H1055" s="224"/>
      <c r="I1055" s="229">
        <v>0</v>
      </c>
      <c r="J1055" s="229">
        <v>0</v>
      </c>
      <c r="K1055" s="229">
        <v>0</v>
      </c>
      <c r="L1055" s="229">
        <v>0</v>
      </c>
      <c r="M1055" s="229">
        <v>0</v>
      </c>
      <c r="N1055" s="229">
        <v>0</v>
      </c>
      <c r="O1055" s="229">
        <v>0</v>
      </c>
      <c r="P1055" s="229">
        <v>0</v>
      </c>
      <c r="Q1055" s="279">
        <v>0</v>
      </c>
    </row>
    <row r="1056" spans="1:17" customFormat="1">
      <c r="A1056" s="224">
        <v>2</v>
      </c>
      <c r="B1056" s="224">
        <v>8830823</v>
      </c>
      <c r="C1056" s="224">
        <v>883082300</v>
      </c>
      <c r="D1056" s="224" t="s">
        <v>538</v>
      </c>
      <c r="E1056" s="224" t="s">
        <v>539</v>
      </c>
      <c r="F1056" s="224" t="s">
        <v>817</v>
      </c>
      <c r="G1056" s="224" t="s">
        <v>79</v>
      </c>
      <c r="H1056" s="224"/>
      <c r="I1056" s="229">
        <v>0</v>
      </c>
      <c r="J1056" s="229">
        <v>0</v>
      </c>
      <c r="K1056" s="229">
        <v>0</v>
      </c>
      <c r="L1056" s="229">
        <v>0</v>
      </c>
      <c r="M1056" s="229">
        <v>0</v>
      </c>
      <c r="N1056" s="229">
        <v>0</v>
      </c>
      <c r="O1056" s="229">
        <v>0</v>
      </c>
      <c r="P1056" s="229">
        <v>0</v>
      </c>
      <c r="Q1056" s="279">
        <v>0</v>
      </c>
    </row>
    <row r="1057" spans="1:17" customFormat="1">
      <c r="A1057" s="224">
        <v>2</v>
      </c>
      <c r="B1057" s="224">
        <v>8831643</v>
      </c>
      <c r="C1057" s="224">
        <v>883164301</v>
      </c>
      <c r="D1057" s="224" t="s">
        <v>538</v>
      </c>
      <c r="E1057" s="224" t="s">
        <v>539</v>
      </c>
      <c r="F1057" s="224" t="s">
        <v>821</v>
      </c>
      <c r="G1057" s="224" t="s">
        <v>824</v>
      </c>
      <c r="H1057" s="224" t="s">
        <v>688</v>
      </c>
      <c r="I1057" s="229">
        <v>6341</v>
      </c>
      <c r="J1057" s="229">
        <v>0</v>
      </c>
      <c r="K1057" s="229">
        <v>0</v>
      </c>
      <c r="L1057" s="229">
        <v>0</v>
      </c>
      <c r="M1057" s="229">
        <v>0</v>
      </c>
      <c r="N1057" s="229">
        <v>0</v>
      </c>
      <c r="O1057" s="229">
        <v>0</v>
      </c>
      <c r="P1057" s="229">
        <v>6341</v>
      </c>
      <c r="Q1057" s="279">
        <v>0</v>
      </c>
    </row>
    <row r="1058" spans="1:17" customFormat="1">
      <c r="A1058" s="224">
        <v>2</v>
      </c>
      <c r="B1058" s="224">
        <v>8831643</v>
      </c>
      <c r="C1058" s="224">
        <v>883164303</v>
      </c>
      <c r="D1058" s="224" t="s">
        <v>538</v>
      </c>
      <c r="E1058" s="224" t="s">
        <v>539</v>
      </c>
      <c r="F1058" s="224" t="s">
        <v>821</v>
      </c>
      <c r="G1058" s="224" t="s">
        <v>824</v>
      </c>
      <c r="H1058" s="224" t="s">
        <v>847</v>
      </c>
      <c r="I1058" s="229">
        <v>533590</v>
      </c>
      <c r="J1058" s="229">
        <v>0</v>
      </c>
      <c r="K1058" s="229">
        <v>0</v>
      </c>
      <c r="L1058" s="229">
        <v>0</v>
      </c>
      <c r="M1058" s="229">
        <v>0</v>
      </c>
      <c r="N1058" s="229">
        <v>0</v>
      </c>
      <c r="O1058" s="229">
        <v>0</v>
      </c>
      <c r="P1058" s="229">
        <v>533590</v>
      </c>
      <c r="Q1058" s="279">
        <v>0</v>
      </c>
    </row>
    <row r="1059" spans="1:17" customFormat="1">
      <c r="A1059" s="224">
        <v>2</v>
      </c>
      <c r="B1059" s="224">
        <v>8831643</v>
      </c>
      <c r="C1059" s="224">
        <v>883164304</v>
      </c>
      <c r="D1059" s="224" t="s">
        <v>538</v>
      </c>
      <c r="E1059" s="224" t="s">
        <v>539</v>
      </c>
      <c r="F1059" s="224" t="s">
        <v>821</v>
      </c>
      <c r="G1059" s="224" t="s">
        <v>824</v>
      </c>
      <c r="H1059" s="224" t="s">
        <v>675</v>
      </c>
      <c r="I1059" s="229">
        <v>0</v>
      </c>
      <c r="J1059" s="229">
        <v>0</v>
      </c>
      <c r="K1059" s="229">
        <v>0</v>
      </c>
      <c r="L1059" s="229">
        <v>0</v>
      </c>
      <c r="M1059" s="229">
        <v>0</v>
      </c>
      <c r="N1059" s="229">
        <v>0</v>
      </c>
      <c r="O1059" s="229">
        <v>0</v>
      </c>
      <c r="P1059" s="229">
        <v>0</v>
      </c>
      <c r="Q1059" s="279">
        <v>0</v>
      </c>
    </row>
    <row r="1060" spans="1:17" customFormat="1">
      <c r="A1060" s="224">
        <v>2</v>
      </c>
      <c r="B1060" s="224">
        <v>8831643</v>
      </c>
      <c r="C1060" s="224">
        <v>883164305</v>
      </c>
      <c r="D1060" s="224" t="s">
        <v>538</v>
      </c>
      <c r="E1060" s="224" t="s">
        <v>539</v>
      </c>
      <c r="F1060" s="224" t="s">
        <v>821</v>
      </c>
      <c r="G1060" s="224" t="s">
        <v>824</v>
      </c>
      <c r="H1060" s="224" t="s">
        <v>676</v>
      </c>
      <c r="I1060" s="229">
        <v>0</v>
      </c>
      <c r="J1060" s="229">
        <v>0</v>
      </c>
      <c r="K1060" s="229">
        <v>0</v>
      </c>
      <c r="L1060" s="229">
        <v>0</v>
      </c>
      <c r="M1060" s="229">
        <v>0</v>
      </c>
      <c r="N1060" s="229">
        <v>0</v>
      </c>
      <c r="O1060" s="229">
        <v>0</v>
      </c>
      <c r="P1060" s="229">
        <v>0</v>
      </c>
      <c r="Q1060" s="279">
        <v>0</v>
      </c>
    </row>
    <row r="1061" spans="1:17" customFormat="1">
      <c r="A1061" s="224">
        <v>2</v>
      </c>
      <c r="B1061" s="224">
        <v>8831701</v>
      </c>
      <c r="C1061" s="224">
        <v>883170102</v>
      </c>
      <c r="D1061" s="224" t="s">
        <v>538</v>
      </c>
      <c r="E1061" s="224" t="s">
        <v>539</v>
      </c>
      <c r="F1061" s="224" t="s">
        <v>540</v>
      </c>
      <c r="G1061" s="224" t="s">
        <v>112</v>
      </c>
      <c r="H1061" s="224" t="s">
        <v>737</v>
      </c>
      <c r="I1061" s="229">
        <v>0</v>
      </c>
      <c r="J1061" s="229">
        <v>0</v>
      </c>
      <c r="K1061" s="229">
        <v>0</v>
      </c>
      <c r="L1061" s="229">
        <v>0</v>
      </c>
      <c r="M1061" s="229">
        <v>0</v>
      </c>
      <c r="N1061" s="229">
        <v>0</v>
      </c>
      <c r="O1061" s="229">
        <v>0</v>
      </c>
      <c r="P1061" s="229">
        <v>0</v>
      </c>
      <c r="Q1061" s="279">
        <v>0</v>
      </c>
    </row>
    <row r="1062" spans="1:17" customFormat="1">
      <c r="A1062" s="224">
        <v>2</v>
      </c>
      <c r="B1062" s="224">
        <v>8831701</v>
      </c>
      <c r="C1062" s="224">
        <v>883170103</v>
      </c>
      <c r="D1062" s="224" t="s">
        <v>538</v>
      </c>
      <c r="E1062" s="224" t="s">
        <v>539</v>
      </c>
      <c r="F1062" s="224" t="s">
        <v>540</v>
      </c>
      <c r="G1062" s="224" t="s">
        <v>112</v>
      </c>
      <c r="H1062" s="224" t="s">
        <v>738</v>
      </c>
      <c r="I1062" s="229">
        <v>0</v>
      </c>
      <c r="J1062" s="229">
        <v>0</v>
      </c>
      <c r="K1062" s="229">
        <v>0</v>
      </c>
      <c r="L1062" s="229">
        <v>0</v>
      </c>
      <c r="M1062" s="229">
        <v>0</v>
      </c>
      <c r="N1062" s="229">
        <v>0</v>
      </c>
      <c r="O1062" s="229">
        <v>0</v>
      </c>
      <c r="P1062" s="229">
        <v>0</v>
      </c>
      <c r="Q1062" s="279">
        <v>0</v>
      </c>
    </row>
    <row r="1063" spans="1:17" customFormat="1">
      <c r="A1063" s="224">
        <v>2</v>
      </c>
      <c r="B1063" s="224">
        <v>8831701</v>
      </c>
      <c r="C1063" s="224">
        <v>883170104</v>
      </c>
      <c r="D1063" s="224" t="s">
        <v>538</v>
      </c>
      <c r="E1063" s="224" t="s">
        <v>539</v>
      </c>
      <c r="F1063" s="224" t="s">
        <v>540</v>
      </c>
      <c r="G1063" s="224" t="s">
        <v>112</v>
      </c>
      <c r="H1063" s="224" t="s">
        <v>739</v>
      </c>
      <c r="I1063" s="229">
        <v>0</v>
      </c>
      <c r="J1063" s="229">
        <v>0</v>
      </c>
      <c r="K1063" s="229">
        <v>0</v>
      </c>
      <c r="L1063" s="229">
        <v>0</v>
      </c>
      <c r="M1063" s="229">
        <v>0</v>
      </c>
      <c r="N1063" s="229">
        <v>0</v>
      </c>
      <c r="O1063" s="229">
        <v>0</v>
      </c>
      <c r="P1063" s="229">
        <v>0</v>
      </c>
      <c r="Q1063" s="279">
        <v>0</v>
      </c>
    </row>
    <row r="1064" spans="1:17" customFormat="1">
      <c r="A1064" s="236">
        <v>2</v>
      </c>
      <c r="B1064" s="236">
        <v>8831701</v>
      </c>
      <c r="C1064" s="236">
        <v>883170105</v>
      </c>
      <c r="D1064" s="236" t="s">
        <v>538</v>
      </c>
      <c r="E1064" s="236" t="s">
        <v>539</v>
      </c>
      <c r="F1064" s="236" t="s">
        <v>540</v>
      </c>
      <c r="G1064" s="236" t="s">
        <v>112</v>
      </c>
      <c r="H1064" s="236" t="s">
        <v>740</v>
      </c>
      <c r="I1064" s="229">
        <v>0</v>
      </c>
      <c r="J1064" s="229">
        <v>0</v>
      </c>
      <c r="K1064" s="229">
        <v>0</v>
      </c>
      <c r="L1064" s="229">
        <v>0</v>
      </c>
      <c r="M1064" s="229">
        <v>0</v>
      </c>
      <c r="N1064" s="229">
        <v>0</v>
      </c>
      <c r="O1064" s="229">
        <v>0</v>
      </c>
      <c r="P1064" s="229">
        <v>0</v>
      </c>
      <c r="Q1064" s="279">
        <v>0</v>
      </c>
    </row>
    <row r="1065" spans="1:17" customFormat="1">
      <c r="A1065" s="224">
        <v>2</v>
      </c>
      <c r="B1065" s="224">
        <v>8831702</v>
      </c>
      <c r="C1065" s="224">
        <v>883170202</v>
      </c>
      <c r="D1065" s="224" t="s">
        <v>538</v>
      </c>
      <c r="E1065" s="224" t="s">
        <v>539</v>
      </c>
      <c r="F1065" s="224" t="s">
        <v>540</v>
      </c>
      <c r="G1065" s="224" t="s">
        <v>110</v>
      </c>
      <c r="H1065" s="224" t="s">
        <v>741</v>
      </c>
      <c r="I1065" s="229">
        <v>0</v>
      </c>
      <c r="J1065" s="229">
        <v>0</v>
      </c>
      <c r="K1065" s="229">
        <v>0</v>
      </c>
      <c r="L1065" s="229">
        <v>0</v>
      </c>
      <c r="M1065" s="229">
        <v>0</v>
      </c>
      <c r="N1065" s="229">
        <v>0</v>
      </c>
      <c r="O1065" s="229">
        <v>0</v>
      </c>
      <c r="P1065" s="229">
        <v>0</v>
      </c>
      <c r="Q1065" s="279">
        <v>0</v>
      </c>
    </row>
    <row r="1066" spans="1:17" customFormat="1">
      <c r="A1066" s="224">
        <v>2</v>
      </c>
      <c r="B1066" s="224">
        <v>8831703</v>
      </c>
      <c r="C1066" s="224">
        <v>883170301</v>
      </c>
      <c r="D1066" s="224" t="s">
        <v>538</v>
      </c>
      <c r="E1066" s="224" t="s">
        <v>539</v>
      </c>
      <c r="F1066" s="224" t="s">
        <v>540</v>
      </c>
      <c r="G1066" s="224" t="s">
        <v>108</v>
      </c>
      <c r="H1066" s="224" t="s">
        <v>742</v>
      </c>
      <c r="I1066" s="229">
        <v>0</v>
      </c>
      <c r="J1066" s="229">
        <v>0</v>
      </c>
      <c r="K1066" s="229">
        <v>0</v>
      </c>
      <c r="L1066" s="229">
        <v>0</v>
      </c>
      <c r="M1066" s="229">
        <v>0</v>
      </c>
      <c r="N1066" s="229">
        <v>0</v>
      </c>
      <c r="O1066" s="229">
        <v>0</v>
      </c>
      <c r="P1066" s="229">
        <v>0</v>
      </c>
      <c r="Q1066" s="279">
        <v>0</v>
      </c>
    </row>
    <row r="1067" spans="1:17" customFormat="1">
      <c r="A1067" s="224">
        <v>2</v>
      </c>
      <c r="B1067" s="224">
        <v>8831703</v>
      </c>
      <c r="C1067" s="224">
        <v>883170302</v>
      </c>
      <c r="D1067" s="224" t="s">
        <v>538</v>
      </c>
      <c r="E1067" s="224" t="s">
        <v>539</v>
      </c>
      <c r="F1067" s="224" t="s">
        <v>540</v>
      </c>
      <c r="G1067" s="224" t="s">
        <v>108</v>
      </c>
      <c r="H1067" s="224" t="s">
        <v>743</v>
      </c>
      <c r="I1067" s="229">
        <v>0</v>
      </c>
      <c r="J1067" s="229">
        <v>0</v>
      </c>
      <c r="K1067" s="229">
        <v>0</v>
      </c>
      <c r="L1067" s="229">
        <v>0</v>
      </c>
      <c r="M1067" s="229">
        <v>0</v>
      </c>
      <c r="N1067" s="229">
        <v>0</v>
      </c>
      <c r="O1067" s="229">
        <v>0</v>
      </c>
      <c r="P1067" s="229">
        <v>0</v>
      </c>
      <c r="Q1067" s="279">
        <v>0</v>
      </c>
    </row>
    <row r="1068" spans="1:17" customFormat="1">
      <c r="A1068" s="224">
        <v>2</v>
      </c>
      <c r="B1068" s="224">
        <v>8831703</v>
      </c>
      <c r="C1068" s="224">
        <v>883170303</v>
      </c>
      <c r="D1068" s="224" t="s">
        <v>538</v>
      </c>
      <c r="E1068" s="224" t="s">
        <v>539</v>
      </c>
      <c r="F1068" s="224" t="s">
        <v>540</v>
      </c>
      <c r="G1068" s="224" t="s">
        <v>108</v>
      </c>
      <c r="H1068" s="224" t="s">
        <v>744</v>
      </c>
      <c r="I1068" s="229">
        <v>0</v>
      </c>
      <c r="J1068" s="229">
        <v>0</v>
      </c>
      <c r="K1068" s="229">
        <v>0</v>
      </c>
      <c r="L1068" s="229">
        <v>0</v>
      </c>
      <c r="M1068" s="229">
        <v>0</v>
      </c>
      <c r="N1068" s="229">
        <v>0</v>
      </c>
      <c r="O1068" s="229">
        <v>0</v>
      </c>
      <c r="P1068" s="229">
        <v>0</v>
      </c>
      <c r="Q1068" s="279">
        <v>0</v>
      </c>
    </row>
    <row r="1069" spans="1:17" customFormat="1">
      <c r="A1069" s="224">
        <v>2</v>
      </c>
      <c r="B1069" s="224">
        <v>8831703</v>
      </c>
      <c r="C1069" s="224">
        <v>883170304</v>
      </c>
      <c r="D1069" s="224" t="s">
        <v>538</v>
      </c>
      <c r="E1069" s="224" t="s">
        <v>539</v>
      </c>
      <c r="F1069" s="224" t="s">
        <v>540</v>
      </c>
      <c r="G1069" s="224" t="s">
        <v>108</v>
      </c>
      <c r="H1069" s="224" t="s">
        <v>745</v>
      </c>
      <c r="I1069" s="229">
        <v>0</v>
      </c>
      <c r="J1069" s="229">
        <v>0</v>
      </c>
      <c r="K1069" s="229">
        <v>0</v>
      </c>
      <c r="L1069" s="229">
        <v>0</v>
      </c>
      <c r="M1069" s="229">
        <v>0</v>
      </c>
      <c r="N1069" s="229">
        <v>0</v>
      </c>
      <c r="O1069" s="229">
        <v>0</v>
      </c>
      <c r="P1069" s="229">
        <v>0</v>
      </c>
      <c r="Q1069" s="279">
        <v>0</v>
      </c>
    </row>
    <row r="1070" spans="1:17" customFormat="1">
      <c r="A1070" s="224">
        <v>2</v>
      </c>
      <c r="B1070" s="224">
        <v>8831703</v>
      </c>
      <c r="C1070" s="224">
        <v>883170305</v>
      </c>
      <c r="D1070" s="224" t="s">
        <v>538</v>
      </c>
      <c r="E1070" s="224" t="s">
        <v>539</v>
      </c>
      <c r="F1070" s="224" t="s">
        <v>540</v>
      </c>
      <c r="G1070" s="224" t="s">
        <v>108</v>
      </c>
      <c r="H1070" s="224" t="s">
        <v>746</v>
      </c>
      <c r="I1070" s="229">
        <v>0</v>
      </c>
      <c r="J1070" s="229">
        <v>0</v>
      </c>
      <c r="K1070" s="229">
        <v>0</v>
      </c>
      <c r="L1070" s="229">
        <v>0</v>
      </c>
      <c r="M1070" s="229">
        <v>0</v>
      </c>
      <c r="N1070" s="229">
        <v>0</v>
      </c>
      <c r="O1070" s="229">
        <v>0</v>
      </c>
      <c r="P1070" s="229">
        <v>0</v>
      </c>
      <c r="Q1070" s="279">
        <v>0</v>
      </c>
    </row>
    <row r="1071" spans="1:17" customFormat="1">
      <c r="A1071" s="224">
        <v>2</v>
      </c>
      <c r="B1071" s="224">
        <v>8831703</v>
      </c>
      <c r="C1071" s="224">
        <v>883170306</v>
      </c>
      <c r="D1071" s="224" t="s">
        <v>538</v>
      </c>
      <c r="E1071" s="224" t="s">
        <v>539</v>
      </c>
      <c r="F1071" s="224" t="s">
        <v>540</v>
      </c>
      <c r="G1071" s="224" t="s">
        <v>108</v>
      </c>
      <c r="H1071" s="224" t="s">
        <v>747</v>
      </c>
      <c r="I1071" s="229">
        <v>0</v>
      </c>
      <c r="J1071" s="229">
        <v>0</v>
      </c>
      <c r="K1071" s="229">
        <v>0</v>
      </c>
      <c r="L1071" s="229">
        <v>0</v>
      </c>
      <c r="M1071" s="229">
        <v>0</v>
      </c>
      <c r="N1071" s="229">
        <v>0</v>
      </c>
      <c r="O1071" s="229">
        <v>0</v>
      </c>
      <c r="P1071" s="229">
        <v>0</v>
      </c>
      <c r="Q1071" s="279">
        <v>0</v>
      </c>
    </row>
    <row r="1072" spans="1:17" customFormat="1">
      <c r="A1072" s="224">
        <v>2</v>
      </c>
      <c r="B1072" s="224">
        <v>8831703</v>
      </c>
      <c r="C1072" s="224">
        <v>883170307</v>
      </c>
      <c r="D1072" s="224" t="s">
        <v>538</v>
      </c>
      <c r="E1072" s="224" t="s">
        <v>539</v>
      </c>
      <c r="F1072" s="224" t="s">
        <v>540</v>
      </c>
      <c r="G1072" s="224" t="s">
        <v>108</v>
      </c>
      <c r="H1072" s="224" t="s">
        <v>748</v>
      </c>
      <c r="I1072" s="229">
        <v>0</v>
      </c>
      <c r="J1072" s="229">
        <v>0</v>
      </c>
      <c r="K1072" s="229">
        <v>0</v>
      </c>
      <c r="L1072" s="229">
        <v>0</v>
      </c>
      <c r="M1072" s="229">
        <v>0</v>
      </c>
      <c r="N1072" s="229">
        <v>0</v>
      </c>
      <c r="O1072" s="229">
        <v>0</v>
      </c>
      <c r="P1072" s="229">
        <v>0</v>
      </c>
      <c r="Q1072" s="279">
        <v>0</v>
      </c>
    </row>
    <row r="1073" spans="1:17" customFormat="1">
      <c r="A1073" s="224">
        <v>2</v>
      </c>
      <c r="B1073" s="224">
        <v>8831703</v>
      </c>
      <c r="C1073" s="224">
        <v>883170310</v>
      </c>
      <c r="D1073" s="224" t="s">
        <v>538</v>
      </c>
      <c r="E1073" s="224" t="s">
        <v>539</v>
      </c>
      <c r="F1073" s="224" t="s">
        <v>540</v>
      </c>
      <c r="G1073" s="224" t="s">
        <v>108</v>
      </c>
      <c r="H1073" s="224" t="s">
        <v>749</v>
      </c>
      <c r="I1073" s="229">
        <v>0</v>
      </c>
      <c r="J1073" s="229">
        <v>0</v>
      </c>
      <c r="K1073" s="229">
        <v>0</v>
      </c>
      <c r="L1073" s="229">
        <v>0</v>
      </c>
      <c r="M1073" s="229">
        <v>0</v>
      </c>
      <c r="N1073" s="229">
        <v>0</v>
      </c>
      <c r="O1073" s="229">
        <v>0</v>
      </c>
      <c r="P1073" s="229">
        <v>0</v>
      </c>
      <c r="Q1073" s="279">
        <v>0</v>
      </c>
    </row>
    <row r="1074" spans="1:17" customFormat="1">
      <c r="A1074" s="224">
        <v>2</v>
      </c>
      <c r="B1074" s="224">
        <v>8831703</v>
      </c>
      <c r="C1074" s="224">
        <v>883170311</v>
      </c>
      <c r="D1074" s="224" t="s">
        <v>538</v>
      </c>
      <c r="E1074" s="224" t="s">
        <v>539</v>
      </c>
      <c r="F1074" s="224" t="s">
        <v>540</v>
      </c>
      <c r="G1074" s="224" t="s">
        <v>108</v>
      </c>
      <c r="H1074" s="224" t="s">
        <v>750</v>
      </c>
      <c r="I1074" s="229">
        <v>0</v>
      </c>
      <c r="J1074" s="229">
        <v>0</v>
      </c>
      <c r="K1074" s="229">
        <v>0</v>
      </c>
      <c r="L1074" s="229">
        <v>0</v>
      </c>
      <c r="M1074" s="229">
        <v>0</v>
      </c>
      <c r="N1074" s="229">
        <v>0</v>
      </c>
      <c r="O1074" s="229">
        <v>0</v>
      </c>
      <c r="P1074" s="229">
        <v>0</v>
      </c>
      <c r="Q1074" s="279">
        <v>0</v>
      </c>
    </row>
    <row r="1075" spans="1:17" customFormat="1">
      <c r="A1075" s="224">
        <v>2</v>
      </c>
      <c r="B1075" s="224">
        <v>8831703</v>
      </c>
      <c r="C1075" s="224">
        <v>883170314</v>
      </c>
      <c r="D1075" s="224" t="s">
        <v>538</v>
      </c>
      <c r="E1075" s="224" t="s">
        <v>539</v>
      </c>
      <c r="F1075" s="224" t="s">
        <v>540</v>
      </c>
      <c r="G1075" s="224" t="s">
        <v>108</v>
      </c>
      <c r="H1075" s="224" t="s">
        <v>751</v>
      </c>
      <c r="I1075" s="229">
        <v>0</v>
      </c>
      <c r="J1075" s="229">
        <v>0</v>
      </c>
      <c r="K1075" s="229">
        <v>0</v>
      </c>
      <c r="L1075" s="229">
        <v>0</v>
      </c>
      <c r="M1075" s="229">
        <v>0</v>
      </c>
      <c r="N1075" s="229">
        <v>0</v>
      </c>
      <c r="O1075" s="229">
        <v>0</v>
      </c>
      <c r="P1075" s="229">
        <v>0</v>
      </c>
      <c r="Q1075" s="279">
        <v>0</v>
      </c>
    </row>
    <row r="1076" spans="1:17" customFormat="1">
      <c r="A1076" s="224">
        <v>2</v>
      </c>
      <c r="B1076" s="224">
        <v>8831703</v>
      </c>
      <c r="C1076" s="224">
        <v>883170315</v>
      </c>
      <c r="D1076" s="224" t="s">
        <v>538</v>
      </c>
      <c r="E1076" s="224" t="s">
        <v>539</v>
      </c>
      <c r="F1076" s="224" t="s">
        <v>540</v>
      </c>
      <c r="G1076" s="224" t="s">
        <v>108</v>
      </c>
      <c r="H1076" s="224" t="s">
        <v>752</v>
      </c>
      <c r="I1076" s="229">
        <v>0</v>
      </c>
      <c r="J1076" s="229">
        <v>0</v>
      </c>
      <c r="K1076" s="229">
        <v>0</v>
      </c>
      <c r="L1076" s="229">
        <v>0</v>
      </c>
      <c r="M1076" s="229">
        <v>0</v>
      </c>
      <c r="N1076" s="229">
        <v>0</v>
      </c>
      <c r="O1076" s="229">
        <v>0</v>
      </c>
      <c r="P1076" s="229">
        <v>0</v>
      </c>
      <c r="Q1076" s="279">
        <v>0</v>
      </c>
    </row>
    <row r="1077" spans="1:17" customFormat="1">
      <c r="A1077" s="224">
        <v>2</v>
      </c>
      <c r="B1077" s="224">
        <v>8831703</v>
      </c>
      <c r="C1077" s="224">
        <v>883170316</v>
      </c>
      <c r="D1077" s="224" t="s">
        <v>538</v>
      </c>
      <c r="E1077" s="224" t="s">
        <v>539</v>
      </c>
      <c r="F1077" s="224" t="s">
        <v>540</v>
      </c>
      <c r="G1077" s="224" t="s">
        <v>108</v>
      </c>
      <c r="H1077" s="224" t="s">
        <v>753</v>
      </c>
      <c r="I1077" s="229">
        <v>0</v>
      </c>
      <c r="J1077" s="229">
        <v>0</v>
      </c>
      <c r="K1077" s="229">
        <v>0</v>
      </c>
      <c r="L1077" s="229">
        <v>0</v>
      </c>
      <c r="M1077" s="229">
        <v>0</v>
      </c>
      <c r="N1077" s="229">
        <v>0</v>
      </c>
      <c r="O1077" s="229">
        <v>0</v>
      </c>
      <c r="P1077" s="229">
        <v>0</v>
      </c>
      <c r="Q1077" s="279">
        <v>0</v>
      </c>
    </row>
    <row r="1078" spans="1:17" customFormat="1">
      <c r="A1078" s="224">
        <v>2</v>
      </c>
      <c r="B1078" s="224">
        <v>8831704</v>
      </c>
      <c r="C1078" s="224">
        <v>883170401</v>
      </c>
      <c r="D1078" s="224" t="s">
        <v>538</v>
      </c>
      <c r="E1078" s="224" t="s">
        <v>539</v>
      </c>
      <c r="F1078" s="224" t="s">
        <v>540</v>
      </c>
      <c r="G1078" s="224" t="s">
        <v>106</v>
      </c>
      <c r="H1078" s="224" t="s">
        <v>755</v>
      </c>
      <c r="I1078" s="229">
        <v>0</v>
      </c>
      <c r="J1078" s="229">
        <v>0</v>
      </c>
      <c r="K1078" s="229">
        <v>0</v>
      </c>
      <c r="L1078" s="229">
        <v>0</v>
      </c>
      <c r="M1078" s="229">
        <v>0</v>
      </c>
      <c r="N1078" s="229">
        <v>0</v>
      </c>
      <c r="O1078" s="229">
        <v>0</v>
      </c>
      <c r="P1078" s="229">
        <v>0</v>
      </c>
      <c r="Q1078" s="279">
        <v>0</v>
      </c>
    </row>
    <row r="1079" spans="1:17" customFormat="1">
      <c r="A1079" s="224">
        <v>2</v>
      </c>
      <c r="B1079" s="224">
        <v>8831704</v>
      </c>
      <c r="C1079" s="224">
        <v>883170402</v>
      </c>
      <c r="D1079" s="224" t="s">
        <v>538</v>
      </c>
      <c r="E1079" s="224" t="s">
        <v>539</v>
      </c>
      <c r="F1079" s="224" t="s">
        <v>540</v>
      </c>
      <c r="G1079" s="224" t="s">
        <v>106</v>
      </c>
      <c r="H1079" s="224" t="s">
        <v>756</v>
      </c>
      <c r="I1079" s="229">
        <v>0</v>
      </c>
      <c r="J1079" s="229">
        <v>0</v>
      </c>
      <c r="K1079" s="229">
        <v>0</v>
      </c>
      <c r="L1079" s="229">
        <v>0</v>
      </c>
      <c r="M1079" s="229">
        <v>0</v>
      </c>
      <c r="N1079" s="229">
        <v>0</v>
      </c>
      <c r="O1079" s="229">
        <v>0</v>
      </c>
      <c r="P1079" s="229">
        <v>0</v>
      </c>
      <c r="Q1079" s="279">
        <v>0</v>
      </c>
    </row>
    <row r="1080" spans="1:17" customFormat="1">
      <c r="A1080" s="224">
        <v>2</v>
      </c>
      <c r="B1080" s="224">
        <v>8831704</v>
      </c>
      <c r="C1080" s="224">
        <v>883170403</v>
      </c>
      <c r="D1080" s="224" t="s">
        <v>538</v>
      </c>
      <c r="E1080" s="224" t="s">
        <v>539</v>
      </c>
      <c r="F1080" s="224" t="s">
        <v>540</v>
      </c>
      <c r="G1080" s="224" t="s">
        <v>106</v>
      </c>
      <c r="H1080" s="224" t="s">
        <v>757</v>
      </c>
      <c r="I1080" s="229">
        <v>0</v>
      </c>
      <c r="J1080" s="229">
        <v>0</v>
      </c>
      <c r="K1080" s="229">
        <v>0</v>
      </c>
      <c r="L1080" s="229">
        <v>0</v>
      </c>
      <c r="M1080" s="229">
        <v>0</v>
      </c>
      <c r="N1080" s="229">
        <v>0</v>
      </c>
      <c r="O1080" s="229">
        <v>0</v>
      </c>
      <c r="P1080" s="229">
        <v>0</v>
      </c>
      <c r="Q1080" s="279">
        <v>0</v>
      </c>
    </row>
    <row r="1081" spans="1:17" customFormat="1">
      <c r="A1081" s="224">
        <v>2</v>
      </c>
      <c r="B1081" s="224">
        <v>8831704</v>
      </c>
      <c r="C1081" s="224">
        <v>883170405</v>
      </c>
      <c r="D1081" s="224" t="s">
        <v>538</v>
      </c>
      <c r="E1081" s="224" t="s">
        <v>539</v>
      </c>
      <c r="F1081" s="224" t="s">
        <v>540</v>
      </c>
      <c r="G1081" s="224" t="s">
        <v>106</v>
      </c>
      <c r="H1081" s="224" t="s">
        <v>758</v>
      </c>
      <c r="I1081" s="229">
        <v>0</v>
      </c>
      <c r="J1081" s="229">
        <v>0</v>
      </c>
      <c r="K1081" s="229">
        <v>0</v>
      </c>
      <c r="L1081" s="229">
        <v>0</v>
      </c>
      <c r="M1081" s="229">
        <v>0</v>
      </c>
      <c r="N1081" s="229">
        <v>0</v>
      </c>
      <c r="O1081" s="229">
        <v>0</v>
      </c>
      <c r="P1081" s="229">
        <v>0</v>
      </c>
      <c r="Q1081" s="279">
        <v>0</v>
      </c>
    </row>
    <row r="1082" spans="1:17" customFormat="1">
      <c r="A1082" s="224">
        <v>2</v>
      </c>
      <c r="B1082" s="224">
        <v>8831704</v>
      </c>
      <c r="C1082" s="224">
        <v>883170406</v>
      </c>
      <c r="D1082" s="224" t="s">
        <v>538</v>
      </c>
      <c r="E1082" s="224" t="s">
        <v>539</v>
      </c>
      <c r="F1082" s="224" t="s">
        <v>540</v>
      </c>
      <c r="G1082" s="224" t="s">
        <v>106</v>
      </c>
      <c r="H1082" s="224" t="s">
        <v>759</v>
      </c>
      <c r="I1082" s="229">
        <v>0</v>
      </c>
      <c r="J1082" s="229">
        <v>0</v>
      </c>
      <c r="K1082" s="229">
        <v>0</v>
      </c>
      <c r="L1082" s="229">
        <v>0</v>
      </c>
      <c r="M1082" s="229">
        <v>0</v>
      </c>
      <c r="N1082" s="229">
        <v>0</v>
      </c>
      <c r="O1082" s="229">
        <v>0</v>
      </c>
      <c r="P1082" s="229">
        <v>0</v>
      </c>
      <c r="Q1082" s="279">
        <v>0</v>
      </c>
    </row>
    <row r="1083" spans="1:17" customFormat="1">
      <c r="A1083" s="224">
        <v>2</v>
      </c>
      <c r="B1083" s="224">
        <v>8831704</v>
      </c>
      <c r="C1083" s="224">
        <v>883170407</v>
      </c>
      <c r="D1083" s="224" t="s">
        <v>538</v>
      </c>
      <c r="E1083" s="224" t="s">
        <v>539</v>
      </c>
      <c r="F1083" s="224" t="s">
        <v>540</v>
      </c>
      <c r="G1083" s="224" t="s">
        <v>106</v>
      </c>
      <c r="H1083" s="224" t="s">
        <v>760</v>
      </c>
      <c r="I1083" s="229">
        <v>0</v>
      </c>
      <c r="J1083" s="229">
        <v>0</v>
      </c>
      <c r="K1083" s="229">
        <v>0</v>
      </c>
      <c r="L1083" s="229">
        <v>0</v>
      </c>
      <c r="M1083" s="229">
        <v>0</v>
      </c>
      <c r="N1083" s="229">
        <v>0</v>
      </c>
      <c r="O1083" s="229">
        <v>0</v>
      </c>
      <c r="P1083" s="229">
        <v>0</v>
      </c>
      <c r="Q1083" s="279">
        <v>0</v>
      </c>
    </row>
    <row r="1084" spans="1:17" customFormat="1">
      <c r="A1084" s="224">
        <v>2</v>
      </c>
      <c r="B1084" s="224">
        <v>8831704</v>
      </c>
      <c r="C1084" s="224">
        <v>883170408</v>
      </c>
      <c r="D1084" s="224" t="s">
        <v>538</v>
      </c>
      <c r="E1084" s="224" t="s">
        <v>539</v>
      </c>
      <c r="F1084" s="224" t="s">
        <v>540</v>
      </c>
      <c r="G1084" s="224" t="s">
        <v>106</v>
      </c>
      <c r="H1084" s="224" t="s">
        <v>761</v>
      </c>
      <c r="I1084" s="229">
        <v>0</v>
      </c>
      <c r="J1084" s="229">
        <v>0</v>
      </c>
      <c r="K1084" s="229">
        <v>0</v>
      </c>
      <c r="L1084" s="229">
        <v>0</v>
      </c>
      <c r="M1084" s="229">
        <v>0</v>
      </c>
      <c r="N1084" s="229">
        <v>0</v>
      </c>
      <c r="O1084" s="229">
        <v>0</v>
      </c>
      <c r="P1084" s="229">
        <v>0</v>
      </c>
      <c r="Q1084" s="279">
        <v>0</v>
      </c>
    </row>
    <row r="1085" spans="1:17" customFormat="1">
      <c r="A1085" s="224">
        <v>2</v>
      </c>
      <c r="B1085" s="224">
        <v>8831704</v>
      </c>
      <c r="C1085" s="224">
        <v>883170410</v>
      </c>
      <c r="D1085" s="224" t="s">
        <v>538</v>
      </c>
      <c r="E1085" s="224" t="s">
        <v>539</v>
      </c>
      <c r="F1085" s="224" t="s">
        <v>540</v>
      </c>
      <c r="G1085" s="224" t="s">
        <v>106</v>
      </c>
      <c r="H1085" s="224" t="s">
        <v>762</v>
      </c>
      <c r="I1085" s="229">
        <v>0</v>
      </c>
      <c r="J1085" s="229">
        <v>0</v>
      </c>
      <c r="K1085" s="229">
        <v>0</v>
      </c>
      <c r="L1085" s="229">
        <v>0</v>
      </c>
      <c r="M1085" s="229">
        <v>0</v>
      </c>
      <c r="N1085" s="229">
        <v>0</v>
      </c>
      <c r="O1085" s="229">
        <v>0</v>
      </c>
      <c r="P1085" s="229">
        <v>0</v>
      </c>
      <c r="Q1085" s="279">
        <v>0</v>
      </c>
    </row>
    <row r="1086" spans="1:17" customFormat="1">
      <c r="A1086" s="224">
        <v>2</v>
      </c>
      <c r="B1086" s="224">
        <v>8831704</v>
      </c>
      <c r="C1086" s="224">
        <v>883170411</v>
      </c>
      <c r="D1086" s="224" t="s">
        <v>538</v>
      </c>
      <c r="E1086" s="224" t="s">
        <v>539</v>
      </c>
      <c r="F1086" s="224" t="s">
        <v>540</v>
      </c>
      <c r="G1086" s="224" t="s">
        <v>106</v>
      </c>
      <c r="H1086" s="224" t="s">
        <v>763</v>
      </c>
      <c r="I1086" s="229">
        <v>0</v>
      </c>
      <c r="J1086" s="229">
        <v>0</v>
      </c>
      <c r="K1086" s="229">
        <v>0</v>
      </c>
      <c r="L1086" s="229">
        <v>0</v>
      </c>
      <c r="M1086" s="229">
        <v>0</v>
      </c>
      <c r="N1086" s="229">
        <v>0</v>
      </c>
      <c r="O1086" s="229">
        <v>0</v>
      </c>
      <c r="P1086" s="229">
        <v>0</v>
      </c>
      <c r="Q1086" s="279">
        <v>0</v>
      </c>
    </row>
    <row r="1087" spans="1:17" customFormat="1">
      <c r="A1087" s="224">
        <v>2</v>
      </c>
      <c r="B1087" s="224">
        <v>8831705</v>
      </c>
      <c r="C1087" s="224">
        <v>883170500</v>
      </c>
      <c r="D1087" s="224" t="s">
        <v>538</v>
      </c>
      <c r="E1087" s="224" t="s">
        <v>539</v>
      </c>
      <c r="F1087" s="224" t="s">
        <v>540</v>
      </c>
      <c r="G1087" s="224" t="s">
        <v>104</v>
      </c>
      <c r="H1087" s="224"/>
      <c r="I1087" s="229">
        <v>0</v>
      </c>
      <c r="J1087" s="229">
        <v>0</v>
      </c>
      <c r="K1087" s="229">
        <v>0</v>
      </c>
      <c r="L1087" s="229">
        <v>0</v>
      </c>
      <c r="M1087" s="229">
        <v>0</v>
      </c>
      <c r="N1087" s="229">
        <v>0</v>
      </c>
      <c r="O1087" s="229">
        <v>0</v>
      </c>
      <c r="P1087" s="229">
        <v>0</v>
      </c>
      <c r="Q1087" s="279">
        <v>0</v>
      </c>
    </row>
    <row r="1088" spans="1:17" customFormat="1">
      <c r="A1088" s="224">
        <v>2</v>
      </c>
      <c r="B1088" s="224">
        <v>8831707</v>
      </c>
      <c r="C1088" s="224">
        <v>883170700</v>
      </c>
      <c r="D1088" s="224" t="s">
        <v>538</v>
      </c>
      <c r="E1088" s="224" t="s">
        <v>539</v>
      </c>
      <c r="F1088" s="224" t="s">
        <v>540</v>
      </c>
      <c r="G1088" s="224" t="s">
        <v>102</v>
      </c>
      <c r="H1088" s="224"/>
      <c r="I1088" s="229">
        <v>0</v>
      </c>
      <c r="J1088" s="229">
        <v>0</v>
      </c>
      <c r="K1088" s="229">
        <v>0</v>
      </c>
      <c r="L1088" s="229">
        <v>0</v>
      </c>
      <c r="M1088" s="229">
        <v>0</v>
      </c>
      <c r="N1088" s="229">
        <v>0</v>
      </c>
      <c r="O1088" s="229">
        <v>0</v>
      </c>
      <c r="P1088" s="229">
        <v>0</v>
      </c>
      <c r="Q1088" s="279">
        <v>0</v>
      </c>
    </row>
    <row r="1089" spans="1:17" customFormat="1">
      <c r="A1089" s="224">
        <v>2</v>
      </c>
      <c r="B1089" s="224">
        <v>8831708</v>
      </c>
      <c r="C1089" s="224">
        <v>883170800</v>
      </c>
      <c r="D1089" s="224" t="s">
        <v>538</v>
      </c>
      <c r="E1089" s="224" t="s">
        <v>539</v>
      </c>
      <c r="F1089" s="224" t="s">
        <v>540</v>
      </c>
      <c r="G1089" s="224" t="s">
        <v>100</v>
      </c>
      <c r="H1089" s="224"/>
      <c r="I1089" s="229">
        <v>0</v>
      </c>
      <c r="J1089" s="229">
        <v>0</v>
      </c>
      <c r="K1089" s="229">
        <v>0</v>
      </c>
      <c r="L1089" s="229">
        <v>0</v>
      </c>
      <c r="M1089" s="229">
        <v>0</v>
      </c>
      <c r="N1089" s="229">
        <v>0</v>
      </c>
      <c r="O1089" s="229">
        <v>0</v>
      </c>
      <c r="P1089" s="229">
        <v>0</v>
      </c>
      <c r="Q1089" s="279">
        <v>0</v>
      </c>
    </row>
    <row r="1090" spans="1:17" customFormat="1">
      <c r="A1090" s="224">
        <v>2</v>
      </c>
      <c r="B1090" s="224">
        <v>8831710</v>
      </c>
      <c r="C1090" s="224">
        <v>883171001</v>
      </c>
      <c r="D1090" s="224" t="s">
        <v>538</v>
      </c>
      <c r="E1090" s="224" t="s">
        <v>539</v>
      </c>
      <c r="F1090" s="224" t="s">
        <v>540</v>
      </c>
      <c r="G1090" s="224" t="s">
        <v>764</v>
      </c>
      <c r="H1090" s="224" t="s">
        <v>98</v>
      </c>
      <c r="I1090" s="229">
        <v>3331</v>
      </c>
      <c r="J1090" s="229">
        <v>0</v>
      </c>
      <c r="K1090" s="229">
        <v>0</v>
      </c>
      <c r="L1090" s="229">
        <v>0</v>
      </c>
      <c r="M1090" s="229">
        <v>0</v>
      </c>
      <c r="N1090" s="229">
        <v>3331</v>
      </c>
      <c r="O1090" s="229">
        <v>0</v>
      </c>
      <c r="P1090" s="229">
        <v>0</v>
      </c>
      <c r="Q1090" s="279">
        <v>0</v>
      </c>
    </row>
    <row r="1091" spans="1:17" customFormat="1">
      <c r="A1091" s="224">
        <v>2</v>
      </c>
      <c r="B1091" s="224">
        <v>8831710</v>
      </c>
      <c r="C1091" s="224">
        <v>883171002</v>
      </c>
      <c r="D1091" s="224" t="s">
        <v>538</v>
      </c>
      <c r="E1091" s="224" t="s">
        <v>539</v>
      </c>
      <c r="F1091" s="224" t="s">
        <v>540</v>
      </c>
      <c r="G1091" s="224" t="s">
        <v>764</v>
      </c>
      <c r="H1091" s="224" t="s">
        <v>95</v>
      </c>
      <c r="I1091" s="229">
        <v>0</v>
      </c>
      <c r="J1091" s="229">
        <v>0</v>
      </c>
      <c r="K1091" s="229">
        <v>0</v>
      </c>
      <c r="L1091" s="229">
        <v>0</v>
      </c>
      <c r="M1091" s="229">
        <v>0</v>
      </c>
      <c r="N1091" s="229">
        <v>0</v>
      </c>
      <c r="O1091" s="229">
        <v>0</v>
      </c>
      <c r="P1091" s="229">
        <v>0</v>
      </c>
      <c r="Q1091" s="279">
        <v>0</v>
      </c>
    </row>
    <row r="1092" spans="1:17" customFormat="1">
      <c r="A1092" s="236">
        <v>2</v>
      </c>
      <c r="B1092" s="236">
        <v>8831710</v>
      </c>
      <c r="C1092" s="236">
        <v>883171003</v>
      </c>
      <c r="D1092" s="236" t="s">
        <v>538</v>
      </c>
      <c r="E1092" s="236" t="s">
        <v>539</v>
      </c>
      <c r="F1092" s="236" t="s">
        <v>540</v>
      </c>
      <c r="G1092" s="236" t="s">
        <v>764</v>
      </c>
      <c r="H1092" s="236" t="s">
        <v>765</v>
      </c>
      <c r="I1092" s="229">
        <v>0</v>
      </c>
      <c r="J1092" s="229">
        <v>0</v>
      </c>
      <c r="K1092" s="229">
        <v>0</v>
      </c>
      <c r="L1092" s="229">
        <v>0</v>
      </c>
      <c r="M1092" s="229">
        <v>0</v>
      </c>
      <c r="N1092" s="229">
        <v>0</v>
      </c>
      <c r="O1092" s="229">
        <v>0</v>
      </c>
      <c r="P1092" s="229">
        <v>0</v>
      </c>
      <c r="Q1092" s="279">
        <v>0</v>
      </c>
    </row>
    <row r="1093" spans="1:17" customFormat="1">
      <c r="A1093" s="224">
        <v>2</v>
      </c>
      <c r="B1093" s="224">
        <v>8831713</v>
      </c>
      <c r="C1093" s="224">
        <v>883171300</v>
      </c>
      <c r="D1093" s="224" t="s">
        <v>538</v>
      </c>
      <c r="E1093" s="224" t="s">
        <v>539</v>
      </c>
      <c r="F1093" s="224" t="s">
        <v>540</v>
      </c>
      <c r="G1093" s="224" t="s">
        <v>93</v>
      </c>
      <c r="H1093" s="224"/>
      <c r="I1093" s="229">
        <v>48450</v>
      </c>
      <c r="J1093" s="229">
        <v>0</v>
      </c>
      <c r="K1093" s="229">
        <v>0</v>
      </c>
      <c r="L1093" s="229">
        <v>0</v>
      </c>
      <c r="M1093" s="229">
        <v>2121</v>
      </c>
      <c r="N1093" s="229">
        <v>46329</v>
      </c>
      <c r="O1093" s="229">
        <v>0</v>
      </c>
      <c r="P1093" s="229">
        <v>0</v>
      </c>
      <c r="Q1093" s="279">
        <v>0</v>
      </c>
    </row>
    <row r="1094" spans="1:17" customFormat="1">
      <c r="A1094" s="224">
        <v>2</v>
      </c>
      <c r="B1094" s="224">
        <v>8831714</v>
      </c>
      <c r="C1094" s="224">
        <v>883171400</v>
      </c>
      <c r="D1094" s="224" t="s">
        <v>538</v>
      </c>
      <c r="E1094" s="224" t="s">
        <v>539</v>
      </c>
      <c r="F1094" s="224" t="s">
        <v>540</v>
      </c>
      <c r="G1094" s="224" t="s">
        <v>91</v>
      </c>
      <c r="H1094" s="224"/>
      <c r="I1094" s="229">
        <v>704</v>
      </c>
      <c r="J1094" s="229">
        <v>0</v>
      </c>
      <c r="K1094" s="229">
        <v>0</v>
      </c>
      <c r="L1094" s="229">
        <v>0</v>
      </c>
      <c r="M1094" s="229">
        <v>0</v>
      </c>
      <c r="N1094" s="229">
        <v>704</v>
      </c>
      <c r="O1094" s="229">
        <v>0</v>
      </c>
      <c r="P1094" s="229">
        <v>0</v>
      </c>
      <c r="Q1094" s="279">
        <v>0</v>
      </c>
    </row>
    <row r="1095" spans="1:17" customFormat="1">
      <c r="A1095" s="224">
        <v>2</v>
      </c>
      <c r="B1095" s="224">
        <v>8831715</v>
      </c>
      <c r="C1095" s="224">
        <v>883171500</v>
      </c>
      <c r="D1095" s="224" t="s">
        <v>538</v>
      </c>
      <c r="E1095" s="224" t="s">
        <v>539</v>
      </c>
      <c r="F1095" s="224" t="s">
        <v>540</v>
      </c>
      <c r="G1095" s="224" t="s">
        <v>89</v>
      </c>
      <c r="H1095" s="224"/>
      <c r="I1095" s="229">
        <v>0</v>
      </c>
      <c r="J1095" s="229">
        <v>0</v>
      </c>
      <c r="K1095" s="229">
        <v>0</v>
      </c>
      <c r="L1095" s="229">
        <v>0</v>
      </c>
      <c r="M1095" s="229">
        <v>0</v>
      </c>
      <c r="N1095" s="229">
        <v>0</v>
      </c>
      <c r="O1095" s="229">
        <v>0</v>
      </c>
      <c r="P1095" s="229">
        <v>0</v>
      </c>
      <c r="Q1095" s="279">
        <v>0</v>
      </c>
    </row>
    <row r="1096" spans="1:17" customFormat="1">
      <c r="A1096" s="224">
        <v>2</v>
      </c>
      <c r="B1096" s="224">
        <v>8831717</v>
      </c>
      <c r="C1096" s="224">
        <v>883171700</v>
      </c>
      <c r="D1096" s="224" t="s">
        <v>538</v>
      </c>
      <c r="E1096" s="224" t="s">
        <v>539</v>
      </c>
      <c r="F1096" s="224" t="s">
        <v>540</v>
      </c>
      <c r="G1096" s="224" t="s">
        <v>87</v>
      </c>
      <c r="H1096" s="224"/>
      <c r="I1096" s="229">
        <v>26746</v>
      </c>
      <c r="J1096" s="229">
        <v>0</v>
      </c>
      <c r="K1096" s="229">
        <v>0</v>
      </c>
      <c r="L1096" s="229">
        <v>0</v>
      </c>
      <c r="M1096" s="229">
        <v>0</v>
      </c>
      <c r="N1096" s="229">
        <v>26746</v>
      </c>
      <c r="O1096" s="229">
        <v>0</v>
      </c>
      <c r="P1096" s="229">
        <v>0</v>
      </c>
      <c r="Q1096" s="279">
        <v>0</v>
      </c>
    </row>
    <row r="1097" spans="1:17" customFormat="1">
      <c r="A1097" s="224">
        <v>2</v>
      </c>
      <c r="B1097" s="224">
        <v>8831719</v>
      </c>
      <c r="C1097" s="224">
        <v>883171900</v>
      </c>
      <c r="D1097" s="224" t="s">
        <v>538</v>
      </c>
      <c r="E1097" s="224" t="s">
        <v>539</v>
      </c>
      <c r="F1097" s="224" t="s">
        <v>540</v>
      </c>
      <c r="G1097" s="224" t="s">
        <v>85</v>
      </c>
      <c r="H1097" s="224"/>
      <c r="I1097" s="229">
        <v>1304</v>
      </c>
      <c r="J1097" s="229">
        <v>0</v>
      </c>
      <c r="K1097" s="229">
        <v>0</v>
      </c>
      <c r="L1097" s="229">
        <v>0</v>
      </c>
      <c r="M1097" s="229">
        <v>0</v>
      </c>
      <c r="N1097" s="229">
        <v>1246</v>
      </c>
      <c r="O1097" s="229">
        <v>58</v>
      </c>
      <c r="P1097" s="229">
        <v>0</v>
      </c>
      <c r="Q1097" s="279">
        <v>0</v>
      </c>
    </row>
    <row r="1098" spans="1:17" customFormat="1">
      <c r="A1098" s="224">
        <v>2</v>
      </c>
      <c r="B1098" s="224">
        <v>8831720</v>
      </c>
      <c r="C1098" s="224">
        <v>883172000</v>
      </c>
      <c r="D1098" s="224" t="s">
        <v>538</v>
      </c>
      <c r="E1098" s="224" t="s">
        <v>539</v>
      </c>
      <c r="F1098" s="224" t="s">
        <v>540</v>
      </c>
      <c r="G1098" s="224" t="s">
        <v>83</v>
      </c>
      <c r="H1098" s="224"/>
      <c r="I1098" s="229">
        <v>29450</v>
      </c>
      <c r="J1098" s="229">
        <v>0</v>
      </c>
      <c r="K1098" s="229">
        <v>0</v>
      </c>
      <c r="L1098" s="229">
        <v>0</v>
      </c>
      <c r="M1098" s="229">
        <v>0</v>
      </c>
      <c r="N1098" s="229">
        <v>2449</v>
      </c>
      <c r="O1098" s="229">
        <v>27001</v>
      </c>
      <c r="P1098" s="229">
        <v>0</v>
      </c>
      <c r="Q1098" s="279">
        <v>0</v>
      </c>
    </row>
    <row r="1099" spans="1:17" customFormat="1">
      <c r="A1099" s="224">
        <v>2</v>
      </c>
      <c r="B1099" s="224">
        <v>8831721</v>
      </c>
      <c r="C1099" s="224">
        <v>883172100</v>
      </c>
      <c r="D1099" s="224" t="s">
        <v>538</v>
      </c>
      <c r="E1099" s="224" t="s">
        <v>539</v>
      </c>
      <c r="F1099" s="224" t="s">
        <v>540</v>
      </c>
      <c r="G1099" s="224" t="s">
        <v>81</v>
      </c>
      <c r="H1099" s="224"/>
      <c r="I1099" s="229">
        <v>84624500</v>
      </c>
      <c r="J1099" s="229">
        <v>0</v>
      </c>
      <c r="K1099" s="229">
        <v>0</v>
      </c>
      <c r="L1099" s="229">
        <v>0</v>
      </c>
      <c r="M1099" s="229">
        <v>0</v>
      </c>
      <c r="N1099" s="229">
        <v>84624500</v>
      </c>
      <c r="O1099" s="229">
        <v>0</v>
      </c>
      <c r="P1099" s="229">
        <v>0</v>
      </c>
      <c r="Q1099" s="279">
        <v>0</v>
      </c>
    </row>
    <row r="1100" spans="1:17" customFormat="1">
      <c r="A1100" s="224">
        <v>2</v>
      </c>
      <c r="B1100" s="224">
        <v>8831723</v>
      </c>
      <c r="C1100" s="224">
        <v>883172300</v>
      </c>
      <c r="D1100" s="224" t="s">
        <v>538</v>
      </c>
      <c r="E1100" s="224" t="s">
        <v>539</v>
      </c>
      <c r="F1100" s="224" t="s">
        <v>540</v>
      </c>
      <c r="G1100" s="224" t="s">
        <v>79</v>
      </c>
      <c r="H1100" s="224"/>
      <c r="I1100" s="229">
        <v>6873329</v>
      </c>
      <c r="J1100" s="229">
        <v>0</v>
      </c>
      <c r="K1100" s="229">
        <v>0</v>
      </c>
      <c r="L1100" s="229">
        <v>0</v>
      </c>
      <c r="M1100" s="229">
        <v>0</v>
      </c>
      <c r="N1100" s="229">
        <v>6873329</v>
      </c>
      <c r="O1100" s="229">
        <v>0</v>
      </c>
      <c r="P1100" s="229">
        <v>0</v>
      </c>
      <c r="Q1100" s="279">
        <v>0</v>
      </c>
    </row>
    <row r="1101" spans="1:17" customFormat="1">
      <c r="A1101" s="224">
        <v>2</v>
      </c>
      <c r="B1101" s="224">
        <v>8831724</v>
      </c>
      <c r="C1101" s="224">
        <v>883172400</v>
      </c>
      <c r="D1101" s="224" t="s">
        <v>538</v>
      </c>
      <c r="E1101" s="224" t="s">
        <v>539</v>
      </c>
      <c r="F1101" s="224" t="s">
        <v>540</v>
      </c>
      <c r="G1101" s="224" t="s">
        <v>77</v>
      </c>
      <c r="H1101" s="224"/>
      <c r="I1101" s="229">
        <v>4513894</v>
      </c>
      <c r="J1101" s="229">
        <v>0</v>
      </c>
      <c r="K1101" s="229">
        <v>0</v>
      </c>
      <c r="L1101" s="229">
        <v>0</v>
      </c>
      <c r="M1101" s="229">
        <v>0</v>
      </c>
      <c r="N1101" s="229">
        <v>4513894</v>
      </c>
      <c r="O1101" s="229">
        <v>0</v>
      </c>
      <c r="P1101" s="229">
        <v>0</v>
      </c>
      <c r="Q1101" s="279">
        <v>0</v>
      </c>
    </row>
    <row r="1102" spans="1:17" customFormat="1">
      <c r="A1102" s="224">
        <v>2</v>
      </c>
      <c r="B1102" s="224">
        <v>8831725</v>
      </c>
      <c r="C1102" s="224">
        <v>883172500</v>
      </c>
      <c r="D1102" s="224" t="s">
        <v>538</v>
      </c>
      <c r="E1102" s="224" t="s">
        <v>539</v>
      </c>
      <c r="F1102" s="224" t="s">
        <v>540</v>
      </c>
      <c r="G1102" s="224" t="s">
        <v>75</v>
      </c>
      <c r="H1102" s="224"/>
      <c r="I1102" s="229">
        <v>9753471</v>
      </c>
      <c r="J1102" s="229">
        <v>0</v>
      </c>
      <c r="K1102" s="229">
        <v>0</v>
      </c>
      <c r="L1102" s="229">
        <v>0</v>
      </c>
      <c r="M1102" s="229">
        <v>0</v>
      </c>
      <c r="N1102" s="229">
        <v>9753471</v>
      </c>
      <c r="O1102" s="229">
        <v>0</v>
      </c>
      <c r="P1102" s="229">
        <v>0</v>
      </c>
      <c r="Q1102" s="279">
        <v>0</v>
      </c>
    </row>
    <row r="1103" spans="1:17" customFormat="1">
      <c r="A1103" s="224">
        <v>2</v>
      </c>
      <c r="B1103" s="224">
        <v>8831728</v>
      </c>
      <c r="C1103" s="224">
        <v>883172866</v>
      </c>
      <c r="D1103" s="224" t="s">
        <v>538</v>
      </c>
      <c r="E1103" s="224" t="s">
        <v>539</v>
      </c>
      <c r="F1103" s="224" t="s">
        <v>540</v>
      </c>
      <c r="G1103" s="224" t="s">
        <v>811</v>
      </c>
      <c r="H1103" s="224" t="s">
        <v>812</v>
      </c>
      <c r="I1103" s="229">
        <v>39778</v>
      </c>
      <c r="J1103" s="229">
        <v>0</v>
      </c>
      <c r="K1103" s="229">
        <v>0</v>
      </c>
      <c r="L1103" s="229">
        <v>0</v>
      </c>
      <c r="M1103" s="229">
        <v>0</v>
      </c>
      <c r="N1103" s="229">
        <v>39778</v>
      </c>
      <c r="O1103" s="229">
        <v>0</v>
      </c>
      <c r="P1103" s="229">
        <v>0</v>
      </c>
      <c r="Q1103" s="279">
        <v>0</v>
      </c>
    </row>
    <row r="1104" spans="1:17" customFormat="1">
      <c r="A1104" s="224">
        <v>2</v>
      </c>
      <c r="B1104" s="224">
        <v>8831728</v>
      </c>
      <c r="C1104" s="224">
        <v>883172867</v>
      </c>
      <c r="D1104" s="224" t="s">
        <v>538</v>
      </c>
      <c r="E1104" s="224" t="s">
        <v>539</v>
      </c>
      <c r="F1104" s="224" t="s">
        <v>540</v>
      </c>
      <c r="G1104" s="224" t="s">
        <v>811</v>
      </c>
      <c r="H1104" s="224" t="s">
        <v>813</v>
      </c>
      <c r="I1104" s="229">
        <v>0</v>
      </c>
      <c r="J1104" s="229">
        <v>0</v>
      </c>
      <c r="K1104" s="229">
        <v>0</v>
      </c>
      <c r="L1104" s="229">
        <v>0</v>
      </c>
      <c r="M1104" s="229">
        <v>0</v>
      </c>
      <c r="N1104" s="229">
        <v>0</v>
      </c>
      <c r="O1104" s="229">
        <v>0</v>
      </c>
      <c r="P1104" s="229">
        <v>0</v>
      </c>
      <c r="Q1104" s="279">
        <v>0</v>
      </c>
    </row>
    <row r="1105" spans="1:17" customFormat="1">
      <c r="A1105" s="224">
        <v>2</v>
      </c>
      <c r="B1105" s="224">
        <v>8831729</v>
      </c>
      <c r="C1105" s="224">
        <v>883172900</v>
      </c>
      <c r="D1105" s="224" t="s">
        <v>538</v>
      </c>
      <c r="E1105" s="224" t="s">
        <v>539</v>
      </c>
      <c r="F1105" s="224" t="s">
        <v>540</v>
      </c>
      <c r="G1105" s="224" t="s">
        <v>66</v>
      </c>
      <c r="H1105" s="224"/>
      <c r="I1105" s="229">
        <v>0</v>
      </c>
      <c r="J1105" s="229">
        <v>0</v>
      </c>
      <c r="K1105" s="229">
        <v>0</v>
      </c>
      <c r="L1105" s="229">
        <v>0</v>
      </c>
      <c r="M1105" s="229">
        <v>0</v>
      </c>
      <c r="N1105" s="229">
        <v>0</v>
      </c>
      <c r="O1105" s="229">
        <v>0</v>
      </c>
      <c r="P1105" s="229">
        <v>0</v>
      </c>
      <c r="Q1105" s="279">
        <v>0</v>
      </c>
    </row>
    <row r="1106" spans="1:17" customFormat="1">
      <c r="A1106" s="224">
        <v>2</v>
      </c>
      <c r="B1106" s="224">
        <v>8831730</v>
      </c>
      <c r="C1106" s="224">
        <v>883173000</v>
      </c>
      <c r="D1106" s="224" t="s">
        <v>538</v>
      </c>
      <c r="E1106" s="224" t="s">
        <v>539</v>
      </c>
      <c r="F1106" s="224" t="s">
        <v>540</v>
      </c>
      <c r="G1106" s="224" t="s">
        <v>64</v>
      </c>
      <c r="H1106" s="224"/>
      <c r="I1106" s="229">
        <v>0</v>
      </c>
      <c r="J1106" s="229">
        <v>0</v>
      </c>
      <c r="K1106" s="229">
        <v>0</v>
      </c>
      <c r="L1106" s="229">
        <v>0</v>
      </c>
      <c r="M1106" s="229">
        <v>0</v>
      </c>
      <c r="N1106" s="229">
        <v>0</v>
      </c>
      <c r="O1106" s="229">
        <v>0</v>
      </c>
      <c r="P1106" s="229">
        <v>0</v>
      </c>
      <c r="Q1106" s="279">
        <v>0</v>
      </c>
    </row>
    <row r="1107" spans="1:17" customFormat="1">
      <c r="A1107" s="224">
        <v>2</v>
      </c>
      <c r="B1107" s="224">
        <v>8831731</v>
      </c>
      <c r="C1107" s="224">
        <v>883173100</v>
      </c>
      <c r="D1107" s="224" t="s">
        <v>538</v>
      </c>
      <c r="E1107" s="224" t="s">
        <v>539</v>
      </c>
      <c r="F1107" s="224" t="s">
        <v>540</v>
      </c>
      <c r="G1107" s="224" t="s">
        <v>62</v>
      </c>
      <c r="H1107" s="224"/>
      <c r="I1107" s="229">
        <v>998517</v>
      </c>
      <c r="J1107" s="229">
        <v>0</v>
      </c>
      <c r="K1107" s="229">
        <v>0</v>
      </c>
      <c r="L1107" s="229">
        <v>0</v>
      </c>
      <c r="M1107" s="229">
        <v>0</v>
      </c>
      <c r="N1107" s="229">
        <v>966295</v>
      </c>
      <c r="O1107" s="229">
        <v>0</v>
      </c>
      <c r="P1107" s="229">
        <v>32222</v>
      </c>
      <c r="Q1107" s="279">
        <v>0</v>
      </c>
    </row>
    <row r="1108" spans="1:17" customFormat="1">
      <c r="A1108" s="224">
        <v>2</v>
      </c>
      <c r="B1108" s="224">
        <v>8831733</v>
      </c>
      <c r="C1108" s="224">
        <v>883173300</v>
      </c>
      <c r="D1108" s="224" t="s">
        <v>538</v>
      </c>
      <c r="E1108" s="224" t="s">
        <v>539</v>
      </c>
      <c r="F1108" s="224" t="s">
        <v>540</v>
      </c>
      <c r="G1108" s="224" t="s">
        <v>822</v>
      </c>
      <c r="H1108" s="224"/>
      <c r="I1108" s="229">
        <v>0</v>
      </c>
      <c r="J1108" s="229">
        <v>0</v>
      </c>
      <c r="K1108" s="229">
        <v>0</v>
      </c>
      <c r="L1108" s="229">
        <v>0</v>
      </c>
      <c r="M1108" s="229">
        <v>0</v>
      </c>
      <c r="N1108" s="229">
        <v>0</v>
      </c>
      <c r="O1108" s="229">
        <v>0</v>
      </c>
      <c r="P1108" s="229">
        <v>0</v>
      </c>
      <c r="Q1108" s="279">
        <v>0</v>
      </c>
    </row>
    <row r="1109" spans="1:17" customFormat="1">
      <c r="A1109" s="224">
        <v>2</v>
      </c>
      <c r="B1109" s="224">
        <v>8831736</v>
      </c>
      <c r="C1109" s="224">
        <v>883173600</v>
      </c>
      <c r="D1109" s="224" t="s">
        <v>538</v>
      </c>
      <c r="E1109" s="224" t="s">
        <v>539</v>
      </c>
      <c r="F1109" s="224" t="s">
        <v>540</v>
      </c>
      <c r="G1109" s="224" t="s">
        <v>823</v>
      </c>
      <c r="H1109" s="224"/>
      <c r="I1109" s="229">
        <v>26</v>
      </c>
      <c r="J1109" s="229">
        <v>0</v>
      </c>
      <c r="K1109" s="229">
        <v>0</v>
      </c>
      <c r="L1109" s="229">
        <v>0</v>
      </c>
      <c r="M1109" s="229">
        <v>0</v>
      </c>
      <c r="N1109" s="229">
        <v>26</v>
      </c>
      <c r="O1109" s="229">
        <v>0</v>
      </c>
      <c r="P1109" s="229">
        <v>0</v>
      </c>
      <c r="Q1109" s="279">
        <v>0</v>
      </c>
    </row>
    <row r="1110" spans="1:17" customFormat="1">
      <c r="A1110" s="224">
        <v>2</v>
      </c>
      <c r="B1110" s="224">
        <v>8831737</v>
      </c>
      <c r="C1110" s="224">
        <v>883173700</v>
      </c>
      <c r="D1110" s="224" t="s">
        <v>538</v>
      </c>
      <c r="E1110" s="224" t="s">
        <v>539</v>
      </c>
      <c r="F1110" s="224" t="s">
        <v>540</v>
      </c>
      <c r="G1110" s="224" t="s">
        <v>60</v>
      </c>
      <c r="H1110" s="224"/>
      <c r="I1110" s="229">
        <v>0</v>
      </c>
      <c r="J1110" s="229">
        <v>0</v>
      </c>
      <c r="K1110" s="229">
        <v>0</v>
      </c>
      <c r="L1110" s="229">
        <v>0</v>
      </c>
      <c r="M1110" s="229">
        <v>0</v>
      </c>
      <c r="N1110" s="229">
        <v>0</v>
      </c>
      <c r="O1110" s="229">
        <v>0</v>
      </c>
      <c r="P1110" s="229">
        <v>0</v>
      </c>
      <c r="Q1110" s="279">
        <v>0</v>
      </c>
    </row>
    <row r="1111" spans="1:17" customFormat="1">
      <c r="A1111" s="224">
        <v>2</v>
      </c>
      <c r="B1111" s="224">
        <v>8831739</v>
      </c>
      <c r="C1111" s="224">
        <v>883173900</v>
      </c>
      <c r="D1111" s="224" t="s">
        <v>538</v>
      </c>
      <c r="E1111" s="224" t="s">
        <v>539</v>
      </c>
      <c r="F1111" s="224" t="s">
        <v>540</v>
      </c>
      <c r="G1111" s="224" t="s">
        <v>58</v>
      </c>
      <c r="H1111" s="224"/>
      <c r="I1111" s="229">
        <v>77348</v>
      </c>
      <c r="J1111" s="229">
        <v>0</v>
      </c>
      <c r="K1111" s="229">
        <v>0</v>
      </c>
      <c r="L1111" s="229">
        <v>0</v>
      </c>
      <c r="M1111" s="229">
        <v>0</v>
      </c>
      <c r="N1111" s="229">
        <v>0</v>
      </c>
      <c r="O1111" s="229">
        <v>77348</v>
      </c>
      <c r="P1111" s="229">
        <v>0</v>
      </c>
      <c r="Q1111" s="279">
        <v>0</v>
      </c>
    </row>
    <row r="1112" spans="1:17" customFormat="1">
      <c r="A1112" s="224">
        <v>2</v>
      </c>
      <c r="B1112" s="224">
        <v>8831740</v>
      </c>
      <c r="C1112" s="224">
        <v>883174000</v>
      </c>
      <c r="D1112" s="224" t="s">
        <v>538</v>
      </c>
      <c r="E1112" s="224" t="s">
        <v>539</v>
      </c>
      <c r="F1112" s="224" t="s">
        <v>540</v>
      </c>
      <c r="G1112" s="224" t="s">
        <v>56</v>
      </c>
      <c r="H1112" s="224"/>
      <c r="I1112" s="229">
        <v>58</v>
      </c>
      <c r="J1112" s="229">
        <v>0</v>
      </c>
      <c r="K1112" s="229">
        <v>0</v>
      </c>
      <c r="L1112" s="229">
        <v>0</v>
      </c>
      <c r="M1112" s="229">
        <v>0</v>
      </c>
      <c r="N1112" s="229">
        <v>0</v>
      </c>
      <c r="O1112" s="229">
        <v>0</v>
      </c>
      <c r="P1112" s="229">
        <v>58</v>
      </c>
      <c r="Q1112" s="279">
        <v>0</v>
      </c>
    </row>
    <row r="1113" spans="1:17" customFormat="1">
      <c r="A1113" s="224">
        <v>2</v>
      </c>
      <c r="B1113" s="224">
        <v>8831741</v>
      </c>
      <c r="C1113" s="224">
        <v>883174100</v>
      </c>
      <c r="D1113" s="224" t="s">
        <v>538</v>
      </c>
      <c r="E1113" s="224" t="s">
        <v>539</v>
      </c>
      <c r="F1113" s="224" t="s">
        <v>540</v>
      </c>
      <c r="G1113" s="224" t="s">
        <v>55</v>
      </c>
      <c r="H1113" s="224"/>
      <c r="I1113" s="229">
        <v>0</v>
      </c>
      <c r="J1113" s="229">
        <v>0</v>
      </c>
      <c r="K1113" s="229">
        <v>0</v>
      </c>
      <c r="L1113" s="229">
        <v>0</v>
      </c>
      <c r="M1113" s="229">
        <v>0</v>
      </c>
      <c r="N1113" s="229">
        <v>0</v>
      </c>
      <c r="O1113" s="229">
        <v>0</v>
      </c>
      <c r="P1113" s="229">
        <v>0</v>
      </c>
      <c r="Q1113" s="279">
        <v>0</v>
      </c>
    </row>
    <row r="1114" spans="1:17" customFormat="1">
      <c r="A1114" s="224">
        <v>2</v>
      </c>
      <c r="B1114" s="224">
        <v>8831742</v>
      </c>
      <c r="C1114" s="224">
        <v>883174201</v>
      </c>
      <c r="D1114" s="224" t="s">
        <v>538</v>
      </c>
      <c r="E1114" s="224" t="s">
        <v>539</v>
      </c>
      <c r="F1114" s="224" t="s">
        <v>540</v>
      </c>
      <c r="G1114" s="224" t="s">
        <v>53</v>
      </c>
      <c r="H1114" s="224" t="s">
        <v>108</v>
      </c>
      <c r="I1114" s="229">
        <v>0</v>
      </c>
      <c r="J1114" s="229">
        <v>0</v>
      </c>
      <c r="K1114" s="229">
        <v>0</v>
      </c>
      <c r="L1114" s="229">
        <v>0</v>
      </c>
      <c r="M1114" s="229">
        <v>0</v>
      </c>
      <c r="N1114" s="229">
        <v>0</v>
      </c>
      <c r="O1114" s="229">
        <v>0</v>
      </c>
      <c r="P1114" s="229">
        <v>0</v>
      </c>
      <c r="Q1114" s="279">
        <v>0</v>
      </c>
    </row>
    <row r="1115" spans="1:17" customFormat="1">
      <c r="A1115" s="224">
        <v>2</v>
      </c>
      <c r="B1115" s="224">
        <v>8831742</v>
      </c>
      <c r="C1115" s="224">
        <v>883174202</v>
      </c>
      <c r="D1115" s="224" t="s">
        <v>538</v>
      </c>
      <c r="E1115" s="224" t="s">
        <v>539</v>
      </c>
      <c r="F1115" s="224" t="s">
        <v>540</v>
      </c>
      <c r="G1115" s="224" t="s">
        <v>53</v>
      </c>
      <c r="H1115" s="224" t="s">
        <v>106</v>
      </c>
      <c r="I1115" s="229">
        <v>0</v>
      </c>
      <c r="J1115" s="229">
        <v>0</v>
      </c>
      <c r="K1115" s="229">
        <v>0</v>
      </c>
      <c r="L1115" s="229">
        <v>0</v>
      </c>
      <c r="M1115" s="229">
        <v>0</v>
      </c>
      <c r="N1115" s="229">
        <v>0</v>
      </c>
      <c r="O1115" s="229">
        <v>0</v>
      </c>
      <c r="P1115" s="229">
        <v>0</v>
      </c>
      <c r="Q1115" s="279">
        <v>0</v>
      </c>
    </row>
    <row r="1116" spans="1:17" customFormat="1">
      <c r="A1116" s="224">
        <v>2</v>
      </c>
      <c r="B1116" s="224">
        <v>8832043</v>
      </c>
      <c r="C1116" s="224">
        <v>883204370</v>
      </c>
      <c r="D1116" s="224" t="s">
        <v>538</v>
      </c>
      <c r="E1116" s="224" t="s">
        <v>539</v>
      </c>
      <c r="F1116" s="224" t="s">
        <v>826</v>
      </c>
      <c r="G1116" s="224" t="s">
        <v>827</v>
      </c>
      <c r="H1116" s="224" t="s">
        <v>492</v>
      </c>
      <c r="I1116" s="229">
        <v>10270824</v>
      </c>
      <c r="J1116" s="229">
        <v>0</v>
      </c>
      <c r="K1116" s="229">
        <v>0</v>
      </c>
      <c r="L1116" s="229">
        <v>0</v>
      </c>
      <c r="M1116" s="229">
        <v>0</v>
      </c>
      <c r="N1116" s="229">
        <v>0</v>
      </c>
      <c r="O1116" s="229">
        <v>0</v>
      </c>
      <c r="P1116" s="229">
        <v>10270824</v>
      </c>
      <c r="Q1116" s="279">
        <v>0</v>
      </c>
    </row>
    <row r="1117" spans="1:17" customFormat="1">
      <c r="A1117" s="224">
        <v>2</v>
      </c>
      <c r="B1117" s="224">
        <v>8832043</v>
      </c>
      <c r="C1117" s="224">
        <v>883204371</v>
      </c>
      <c r="D1117" s="224" t="s">
        <v>538</v>
      </c>
      <c r="E1117" s="224" t="s">
        <v>539</v>
      </c>
      <c r="F1117" s="224" t="s">
        <v>826</v>
      </c>
      <c r="G1117" s="224" t="s">
        <v>827</v>
      </c>
      <c r="H1117" s="224" t="s">
        <v>491</v>
      </c>
      <c r="I1117" s="229">
        <v>212330673</v>
      </c>
      <c r="J1117" s="229">
        <v>0</v>
      </c>
      <c r="K1117" s="229">
        <v>0</v>
      </c>
      <c r="L1117" s="229">
        <v>0</v>
      </c>
      <c r="M1117" s="229">
        <v>0</v>
      </c>
      <c r="N1117" s="229">
        <v>0</v>
      </c>
      <c r="O1117" s="229">
        <v>0</v>
      </c>
      <c r="P1117" s="229">
        <v>212330673</v>
      </c>
      <c r="Q1117" s="279">
        <v>0</v>
      </c>
    </row>
    <row r="1118" spans="1:17" customFormat="1">
      <c r="A1118" s="224">
        <v>2</v>
      </c>
      <c r="B1118" s="224">
        <v>8832043</v>
      </c>
      <c r="C1118" s="224">
        <v>883204372</v>
      </c>
      <c r="D1118" s="224" t="s">
        <v>538</v>
      </c>
      <c r="E1118" s="224" t="s">
        <v>539</v>
      </c>
      <c r="F1118" s="224" t="s">
        <v>826</v>
      </c>
      <c r="G1118" s="224" t="s">
        <v>827</v>
      </c>
      <c r="H1118" s="224" t="s">
        <v>490</v>
      </c>
      <c r="I1118" s="229">
        <v>74683472</v>
      </c>
      <c r="J1118" s="229">
        <v>0</v>
      </c>
      <c r="K1118" s="229">
        <v>0</v>
      </c>
      <c r="L1118" s="229">
        <v>0</v>
      </c>
      <c r="M1118" s="229">
        <v>0</v>
      </c>
      <c r="N1118" s="229">
        <v>0</v>
      </c>
      <c r="O1118" s="229">
        <v>0</v>
      </c>
      <c r="P1118" s="229">
        <v>74683472</v>
      </c>
      <c r="Q1118" s="279">
        <v>0</v>
      </c>
    </row>
    <row r="1119" spans="1:17" customFormat="1">
      <c r="A1119" s="224">
        <v>2</v>
      </c>
      <c r="B1119" s="224">
        <v>8832043</v>
      </c>
      <c r="C1119" s="224">
        <v>883204373</v>
      </c>
      <c r="D1119" s="224" t="s">
        <v>538</v>
      </c>
      <c r="E1119" s="224" t="s">
        <v>539</v>
      </c>
      <c r="F1119" s="224" t="s">
        <v>826</v>
      </c>
      <c r="G1119" s="224" t="s">
        <v>827</v>
      </c>
      <c r="H1119" s="224" t="s">
        <v>489</v>
      </c>
      <c r="I1119" s="229">
        <v>0</v>
      </c>
      <c r="J1119" s="229">
        <v>0</v>
      </c>
      <c r="K1119" s="229">
        <v>0</v>
      </c>
      <c r="L1119" s="229">
        <v>0</v>
      </c>
      <c r="M1119" s="229">
        <v>0</v>
      </c>
      <c r="N1119" s="229">
        <v>0</v>
      </c>
      <c r="O1119" s="229">
        <v>0</v>
      </c>
      <c r="P1119" s="229">
        <v>0</v>
      </c>
      <c r="Q1119" s="279">
        <v>0</v>
      </c>
    </row>
    <row r="1120" spans="1:17" customFormat="1">
      <c r="A1120" s="224">
        <v>2</v>
      </c>
      <c r="B1120" s="224">
        <v>8832043</v>
      </c>
      <c r="C1120" s="224">
        <v>883204374</v>
      </c>
      <c r="D1120" s="224" t="s">
        <v>538</v>
      </c>
      <c r="E1120" s="224" t="s">
        <v>539</v>
      </c>
      <c r="F1120" s="224" t="s">
        <v>826</v>
      </c>
      <c r="G1120" s="224" t="s">
        <v>827</v>
      </c>
      <c r="H1120" s="224" t="s">
        <v>488</v>
      </c>
      <c r="I1120" s="229">
        <v>0</v>
      </c>
      <c r="J1120" s="229">
        <v>0</v>
      </c>
      <c r="K1120" s="229">
        <v>0</v>
      </c>
      <c r="L1120" s="229">
        <v>0</v>
      </c>
      <c r="M1120" s="229">
        <v>0</v>
      </c>
      <c r="N1120" s="229">
        <v>0</v>
      </c>
      <c r="O1120" s="229">
        <v>0</v>
      </c>
      <c r="P1120" s="229">
        <v>0</v>
      </c>
      <c r="Q1120" s="279">
        <v>0</v>
      </c>
    </row>
    <row r="1121" spans="1:17" customFormat="1">
      <c r="A1121" s="224">
        <v>2</v>
      </c>
      <c r="B1121" s="224">
        <v>8832044</v>
      </c>
      <c r="C1121" s="224">
        <v>883204475</v>
      </c>
      <c r="D1121" s="224" t="s">
        <v>538</v>
      </c>
      <c r="E1121" s="224" t="s">
        <v>539</v>
      </c>
      <c r="F1121" s="224" t="s">
        <v>826</v>
      </c>
      <c r="G1121" s="224" t="s">
        <v>828</v>
      </c>
      <c r="H1121" s="224" t="s">
        <v>487</v>
      </c>
      <c r="I1121" s="229">
        <v>0</v>
      </c>
      <c r="J1121" s="229">
        <v>0</v>
      </c>
      <c r="K1121" s="229">
        <v>0</v>
      </c>
      <c r="L1121" s="229">
        <v>0</v>
      </c>
      <c r="M1121" s="229">
        <v>0</v>
      </c>
      <c r="N1121" s="229">
        <v>0</v>
      </c>
      <c r="O1121" s="229">
        <v>0</v>
      </c>
      <c r="P1121" s="229">
        <v>0</v>
      </c>
      <c r="Q1121" s="279">
        <v>0</v>
      </c>
    </row>
    <row r="1122" spans="1:17" customFormat="1">
      <c r="A1122" s="224">
        <v>2</v>
      </c>
      <c r="B1122" s="224">
        <v>8832044</v>
      </c>
      <c r="C1122" s="224">
        <v>883204476</v>
      </c>
      <c r="D1122" s="224" t="s">
        <v>538</v>
      </c>
      <c r="E1122" s="224" t="s">
        <v>539</v>
      </c>
      <c r="F1122" s="224" t="s">
        <v>826</v>
      </c>
      <c r="G1122" s="224" t="s">
        <v>828</v>
      </c>
      <c r="H1122" s="224" t="s">
        <v>486</v>
      </c>
      <c r="I1122" s="229">
        <v>0</v>
      </c>
      <c r="J1122" s="229">
        <v>0</v>
      </c>
      <c r="K1122" s="229">
        <v>0</v>
      </c>
      <c r="L1122" s="229">
        <v>0</v>
      </c>
      <c r="M1122" s="229">
        <v>0</v>
      </c>
      <c r="N1122" s="229">
        <v>0</v>
      </c>
      <c r="O1122" s="229">
        <v>0</v>
      </c>
      <c r="P1122" s="229">
        <v>0</v>
      </c>
      <c r="Q1122" s="279">
        <v>0</v>
      </c>
    </row>
    <row r="1123" spans="1:17" customFormat="1">
      <c r="A1123" s="224">
        <v>2</v>
      </c>
      <c r="B1123" s="224">
        <v>8832044</v>
      </c>
      <c r="C1123" s="224">
        <v>883204477</v>
      </c>
      <c r="D1123" s="224" t="s">
        <v>538</v>
      </c>
      <c r="E1123" s="224" t="s">
        <v>539</v>
      </c>
      <c r="F1123" s="224" t="s">
        <v>826</v>
      </c>
      <c r="G1123" s="224" t="s">
        <v>828</v>
      </c>
      <c r="H1123" s="224" t="s">
        <v>485</v>
      </c>
      <c r="I1123" s="229">
        <v>7049</v>
      </c>
      <c r="J1123" s="229">
        <v>0</v>
      </c>
      <c r="K1123" s="229">
        <v>0</v>
      </c>
      <c r="L1123" s="229">
        <v>0</v>
      </c>
      <c r="M1123" s="229">
        <v>0</v>
      </c>
      <c r="N1123" s="229">
        <v>0</v>
      </c>
      <c r="O1123" s="229">
        <v>0</v>
      </c>
      <c r="P1123" s="229">
        <v>7049</v>
      </c>
      <c r="Q1123" s="279">
        <v>0</v>
      </c>
    </row>
    <row r="1124" spans="1:17" customFormat="1">
      <c r="A1124" s="224">
        <v>2</v>
      </c>
      <c r="B1124" s="224">
        <v>8832246</v>
      </c>
      <c r="C1124" s="224">
        <v>883224600</v>
      </c>
      <c r="D1124" s="224" t="s">
        <v>538</v>
      </c>
      <c r="E1124" s="224" t="s">
        <v>539</v>
      </c>
      <c r="F1124" s="224" t="s">
        <v>829</v>
      </c>
      <c r="G1124" s="224" t="s">
        <v>495</v>
      </c>
      <c r="H1124" s="224"/>
      <c r="I1124" s="229">
        <v>1767155</v>
      </c>
      <c r="J1124" s="229">
        <v>0</v>
      </c>
      <c r="K1124" s="229">
        <v>0</v>
      </c>
      <c r="L1124" s="229">
        <v>0</v>
      </c>
      <c r="M1124" s="229">
        <v>0</v>
      </c>
      <c r="N1124" s="229">
        <v>0</v>
      </c>
      <c r="O1124" s="229">
        <v>0</v>
      </c>
      <c r="P1124" s="229">
        <v>1767155</v>
      </c>
      <c r="Q1124" s="279">
        <v>0</v>
      </c>
    </row>
    <row r="1125" spans="1:17" customFormat="1">
      <c r="A1125" s="224">
        <v>2</v>
      </c>
      <c r="B1125" s="224">
        <v>8832247</v>
      </c>
      <c r="C1125" s="224">
        <v>883224700</v>
      </c>
      <c r="D1125" s="224" t="s">
        <v>538</v>
      </c>
      <c r="E1125" s="224" t="s">
        <v>539</v>
      </c>
      <c r="F1125" s="224" t="s">
        <v>829</v>
      </c>
      <c r="G1125" s="224" t="s">
        <v>494</v>
      </c>
      <c r="H1125" s="224"/>
      <c r="I1125" s="229">
        <v>0</v>
      </c>
      <c r="J1125" s="229">
        <v>0</v>
      </c>
      <c r="K1125" s="229">
        <v>0</v>
      </c>
      <c r="L1125" s="229">
        <v>0</v>
      </c>
      <c r="M1125" s="229">
        <v>0</v>
      </c>
      <c r="N1125" s="229">
        <v>0</v>
      </c>
      <c r="O1125" s="229">
        <v>0</v>
      </c>
      <c r="P1125" s="229">
        <v>0</v>
      </c>
      <c r="Q1125" s="279">
        <v>0</v>
      </c>
    </row>
    <row r="1126" spans="1:17" customFormat="1">
      <c r="A1126" s="224">
        <v>2</v>
      </c>
      <c r="B1126" s="224">
        <v>8840251</v>
      </c>
      <c r="C1126" s="224">
        <v>884025180</v>
      </c>
      <c r="D1126" s="224" t="s">
        <v>538</v>
      </c>
      <c r="E1126" s="224" t="s">
        <v>8</v>
      </c>
      <c r="F1126" s="224" t="s">
        <v>830</v>
      </c>
      <c r="G1126" s="224" t="s">
        <v>831</v>
      </c>
      <c r="H1126" s="224" t="s">
        <v>633</v>
      </c>
      <c r="I1126" s="229">
        <v>84315300</v>
      </c>
      <c r="J1126" s="229">
        <v>0</v>
      </c>
      <c r="K1126" s="229">
        <v>0</v>
      </c>
      <c r="L1126" s="229">
        <v>0</v>
      </c>
      <c r="M1126" s="229">
        <v>0</v>
      </c>
      <c r="N1126" s="229">
        <v>0</v>
      </c>
      <c r="O1126" s="229">
        <v>84315300</v>
      </c>
      <c r="P1126" s="229">
        <v>0</v>
      </c>
      <c r="Q1126" s="279">
        <v>0</v>
      </c>
    </row>
    <row r="1127" spans="1:17" customFormat="1">
      <c r="A1127" s="224">
        <v>2</v>
      </c>
      <c r="B1127" s="224">
        <v>8840251</v>
      </c>
      <c r="C1127" s="224">
        <v>884025181</v>
      </c>
      <c r="D1127" s="224" t="s">
        <v>538</v>
      </c>
      <c r="E1127" s="224" t="s">
        <v>8</v>
      </c>
      <c r="F1127" s="224" t="s">
        <v>830</v>
      </c>
      <c r="G1127" s="224" t="s">
        <v>831</v>
      </c>
      <c r="H1127" s="224" t="s">
        <v>832</v>
      </c>
      <c r="I1127" s="229">
        <v>0</v>
      </c>
      <c r="J1127" s="229">
        <v>0</v>
      </c>
      <c r="K1127" s="229">
        <v>0</v>
      </c>
      <c r="L1127" s="229">
        <v>0</v>
      </c>
      <c r="M1127" s="229">
        <v>0</v>
      </c>
      <c r="N1127" s="229">
        <v>0</v>
      </c>
      <c r="O1127" s="229">
        <v>0</v>
      </c>
      <c r="P1127" s="229">
        <v>0</v>
      </c>
      <c r="Q1127" s="279">
        <v>0</v>
      </c>
    </row>
    <row r="1128" spans="1:17" customFormat="1">
      <c r="A1128" s="224">
        <v>2</v>
      </c>
      <c r="B1128" s="224">
        <v>8840252</v>
      </c>
      <c r="C1128" s="224">
        <v>884025200</v>
      </c>
      <c r="D1128" s="224" t="s">
        <v>538</v>
      </c>
      <c r="E1128" s="224" t="s">
        <v>8</v>
      </c>
      <c r="F1128" s="224" t="s">
        <v>830</v>
      </c>
      <c r="G1128" s="224" t="s">
        <v>504</v>
      </c>
      <c r="H1128" s="224"/>
      <c r="I1128" s="229">
        <v>244627</v>
      </c>
      <c r="J1128" s="229">
        <v>0</v>
      </c>
      <c r="K1128" s="229">
        <v>0</v>
      </c>
      <c r="L1128" s="229">
        <v>0</v>
      </c>
      <c r="M1128" s="229">
        <v>0</v>
      </c>
      <c r="N1128" s="229">
        <v>244627</v>
      </c>
      <c r="O1128" s="229">
        <v>0</v>
      </c>
      <c r="P1128" s="229">
        <v>0</v>
      </c>
      <c r="Q1128" s="279">
        <v>0</v>
      </c>
    </row>
    <row r="1129" spans="1:17" customFormat="1">
      <c r="A1129" s="224">
        <v>2</v>
      </c>
      <c r="B1129" s="224">
        <v>8840253</v>
      </c>
      <c r="C1129" s="224">
        <v>884025300</v>
      </c>
      <c r="D1129" s="224" t="s">
        <v>538</v>
      </c>
      <c r="E1129" s="224" t="s">
        <v>8</v>
      </c>
      <c r="F1129" s="224" t="s">
        <v>830</v>
      </c>
      <c r="G1129" s="224" t="s">
        <v>503</v>
      </c>
      <c r="H1129" s="224"/>
      <c r="I1129" s="229">
        <v>0</v>
      </c>
      <c r="J1129" s="229">
        <v>0</v>
      </c>
      <c r="K1129" s="229">
        <v>0</v>
      </c>
      <c r="L1129" s="229">
        <v>0</v>
      </c>
      <c r="M1129" s="229">
        <v>0</v>
      </c>
      <c r="N1129" s="229">
        <v>0</v>
      </c>
      <c r="O1129" s="229">
        <v>0</v>
      </c>
      <c r="P1129" s="229">
        <v>0</v>
      </c>
      <c r="Q1129" s="279">
        <v>0</v>
      </c>
    </row>
    <row r="1130" spans="1:17" customFormat="1">
      <c r="A1130" s="224">
        <v>2</v>
      </c>
      <c r="B1130" s="224">
        <v>8840254</v>
      </c>
      <c r="C1130" s="224">
        <v>884025400</v>
      </c>
      <c r="D1130" s="224" t="s">
        <v>538</v>
      </c>
      <c r="E1130" s="224" t="s">
        <v>8</v>
      </c>
      <c r="F1130" s="224" t="s">
        <v>830</v>
      </c>
      <c r="G1130" s="224" t="s">
        <v>502</v>
      </c>
      <c r="H1130" s="224"/>
      <c r="I1130" s="229">
        <v>0</v>
      </c>
      <c r="J1130" s="229">
        <v>0</v>
      </c>
      <c r="K1130" s="229">
        <v>0</v>
      </c>
      <c r="L1130" s="229">
        <v>0</v>
      </c>
      <c r="M1130" s="229">
        <v>0</v>
      </c>
      <c r="N1130" s="229">
        <v>0</v>
      </c>
      <c r="O1130" s="229">
        <v>0</v>
      </c>
      <c r="P1130" s="229">
        <v>0</v>
      </c>
      <c r="Q1130" s="279">
        <v>0</v>
      </c>
    </row>
    <row r="1131" spans="1:17" customFormat="1">
      <c r="A1131" s="224">
        <v>2</v>
      </c>
      <c r="B1131" s="224">
        <v>8840255</v>
      </c>
      <c r="C1131" s="224">
        <v>884025500</v>
      </c>
      <c r="D1131" s="224" t="s">
        <v>538</v>
      </c>
      <c r="E1131" s="224" t="s">
        <v>8</v>
      </c>
      <c r="F1131" s="224" t="s">
        <v>830</v>
      </c>
      <c r="G1131" s="224" t="s">
        <v>501</v>
      </c>
      <c r="H1131" s="224"/>
      <c r="I1131" s="229">
        <v>0</v>
      </c>
      <c r="J1131" s="229">
        <v>0</v>
      </c>
      <c r="K1131" s="229">
        <v>0</v>
      </c>
      <c r="L1131" s="229">
        <v>0</v>
      </c>
      <c r="M1131" s="229">
        <v>0</v>
      </c>
      <c r="N1131" s="229">
        <v>0</v>
      </c>
      <c r="O1131" s="229">
        <v>0</v>
      </c>
      <c r="P1131" s="229">
        <v>0</v>
      </c>
      <c r="Q1131" s="279">
        <v>0</v>
      </c>
    </row>
    <row r="1132" spans="1:17" customFormat="1">
      <c r="A1132" s="224">
        <v>2</v>
      </c>
      <c r="B1132" s="224">
        <v>8840456</v>
      </c>
      <c r="C1132" s="224">
        <v>884045600</v>
      </c>
      <c r="D1132" s="224" t="s">
        <v>538</v>
      </c>
      <c r="E1132" s="224" t="s">
        <v>8</v>
      </c>
      <c r="F1132" s="224" t="s">
        <v>833</v>
      </c>
      <c r="G1132" s="224" t="s">
        <v>834</v>
      </c>
      <c r="H1132" s="224"/>
      <c r="I1132" s="229">
        <v>0</v>
      </c>
      <c r="J1132" s="229">
        <v>0</v>
      </c>
      <c r="K1132" s="229">
        <v>0</v>
      </c>
      <c r="L1132" s="229">
        <v>0</v>
      </c>
      <c r="M1132" s="229">
        <v>0</v>
      </c>
      <c r="N1132" s="229">
        <v>0</v>
      </c>
      <c r="O1132" s="229">
        <v>0</v>
      </c>
      <c r="P1132" s="229">
        <v>0</v>
      </c>
      <c r="Q1132" s="279">
        <v>0</v>
      </c>
    </row>
    <row r="1133" spans="1:17" customFormat="1">
      <c r="A1133" s="224">
        <v>2</v>
      </c>
      <c r="B1133" s="224">
        <v>8840457</v>
      </c>
      <c r="C1133" s="224">
        <v>884045700</v>
      </c>
      <c r="D1133" s="224" t="s">
        <v>538</v>
      </c>
      <c r="E1133" s="224" t="s">
        <v>8</v>
      </c>
      <c r="F1133" s="224" t="s">
        <v>833</v>
      </c>
      <c r="G1133" s="224" t="s">
        <v>835</v>
      </c>
      <c r="H1133" s="224"/>
      <c r="I1133" s="229">
        <v>0</v>
      </c>
      <c r="J1133" s="229">
        <v>0</v>
      </c>
      <c r="K1133" s="229">
        <v>0</v>
      </c>
      <c r="L1133" s="229">
        <v>0</v>
      </c>
      <c r="M1133" s="229">
        <v>0</v>
      </c>
      <c r="N1133" s="229">
        <v>0</v>
      </c>
      <c r="O1133" s="229">
        <v>0</v>
      </c>
      <c r="P1133" s="229">
        <v>0</v>
      </c>
      <c r="Q1133" s="279">
        <v>0</v>
      </c>
    </row>
    <row r="1134" spans="1:17" customFormat="1">
      <c r="A1134" s="224">
        <v>2</v>
      </c>
      <c r="B1134" s="224">
        <v>8840458</v>
      </c>
      <c r="C1134" s="224">
        <v>884045800</v>
      </c>
      <c r="D1134" s="224" t="s">
        <v>538</v>
      </c>
      <c r="E1134" s="224" t="s">
        <v>8</v>
      </c>
      <c r="F1134" s="224" t="s">
        <v>833</v>
      </c>
      <c r="G1134" s="224" t="s">
        <v>836</v>
      </c>
      <c r="H1134" s="224"/>
      <c r="I1134" s="229">
        <v>0</v>
      </c>
      <c r="J1134" s="229">
        <v>0</v>
      </c>
      <c r="K1134" s="229">
        <v>0</v>
      </c>
      <c r="L1134" s="229">
        <v>0</v>
      </c>
      <c r="M1134" s="229">
        <v>0</v>
      </c>
      <c r="N1134" s="229">
        <v>0</v>
      </c>
      <c r="O1134" s="229">
        <v>0</v>
      </c>
      <c r="P1134" s="229">
        <v>0</v>
      </c>
      <c r="Q1134" s="279">
        <v>0</v>
      </c>
    </row>
    <row r="1135" spans="1:17" customFormat="1">
      <c r="A1135" s="224">
        <v>2</v>
      </c>
      <c r="B1135" s="224">
        <v>8840559</v>
      </c>
      <c r="C1135" s="224">
        <v>884055900</v>
      </c>
      <c r="D1135" s="224" t="s">
        <v>538</v>
      </c>
      <c r="E1135" s="224" t="s">
        <v>8</v>
      </c>
      <c r="F1135" s="224" t="s">
        <v>837</v>
      </c>
      <c r="G1135" s="224" t="s">
        <v>837</v>
      </c>
      <c r="H1135" s="224"/>
      <c r="I1135" s="229">
        <v>0</v>
      </c>
      <c r="J1135" s="229">
        <v>0</v>
      </c>
      <c r="K1135" s="229">
        <v>0</v>
      </c>
      <c r="L1135" s="229">
        <v>0</v>
      </c>
      <c r="M1135" s="229">
        <v>0</v>
      </c>
      <c r="N1135" s="229">
        <v>0</v>
      </c>
      <c r="O1135" s="229">
        <v>0</v>
      </c>
      <c r="P1135" s="229">
        <v>0</v>
      </c>
      <c r="Q1135" s="279">
        <v>0</v>
      </c>
    </row>
    <row r="1136" spans="1:17" customFormat="1">
      <c r="A1136" s="224">
        <v>2</v>
      </c>
      <c r="B1136" s="224">
        <v>8840662</v>
      </c>
      <c r="C1136" s="224">
        <v>884066200</v>
      </c>
      <c r="D1136" s="224" t="s">
        <v>538</v>
      </c>
      <c r="E1136" s="224" t="s">
        <v>8</v>
      </c>
      <c r="F1136" s="224" t="s">
        <v>838</v>
      </c>
      <c r="G1136" s="224" t="s">
        <v>839</v>
      </c>
      <c r="H1136" s="224"/>
      <c r="I1136" s="229">
        <v>0</v>
      </c>
      <c r="J1136" s="229">
        <v>0</v>
      </c>
      <c r="K1136" s="229">
        <v>0</v>
      </c>
      <c r="L1136" s="229">
        <v>0</v>
      </c>
      <c r="M1136" s="229">
        <v>0</v>
      </c>
      <c r="N1136" s="229">
        <v>0</v>
      </c>
      <c r="O1136" s="229">
        <v>0</v>
      </c>
      <c r="P1136" s="229">
        <v>0</v>
      </c>
      <c r="Q1136" s="279">
        <v>0</v>
      </c>
    </row>
    <row r="1137" spans="1:17" customFormat="1">
      <c r="A1137" s="224">
        <v>2</v>
      </c>
      <c r="B1137" s="224">
        <v>8840663</v>
      </c>
      <c r="C1137" s="224">
        <v>884066300</v>
      </c>
      <c r="D1137" s="224" t="s">
        <v>538</v>
      </c>
      <c r="E1137" s="224" t="s">
        <v>8</v>
      </c>
      <c r="F1137" s="224" t="s">
        <v>838</v>
      </c>
      <c r="G1137" s="224" t="s">
        <v>840</v>
      </c>
      <c r="H1137" s="224"/>
      <c r="I1137" s="229">
        <v>0</v>
      </c>
      <c r="J1137" s="229">
        <v>0</v>
      </c>
      <c r="K1137" s="229">
        <v>0</v>
      </c>
      <c r="L1137" s="229">
        <v>0</v>
      </c>
      <c r="M1137" s="229">
        <v>0</v>
      </c>
      <c r="N1137" s="229">
        <v>0</v>
      </c>
      <c r="O1137" s="229">
        <v>0</v>
      </c>
      <c r="P1137" s="229">
        <v>0</v>
      </c>
      <c r="Q1137" s="279">
        <v>0</v>
      </c>
    </row>
    <row r="1138" spans="1:17" customFormat="1">
      <c r="A1138" s="224">
        <v>2</v>
      </c>
      <c r="B1138" s="224">
        <v>8850202</v>
      </c>
      <c r="C1138" s="224">
        <v>885020200</v>
      </c>
      <c r="D1138" s="224" t="s">
        <v>538</v>
      </c>
      <c r="E1138" s="224" t="s">
        <v>5</v>
      </c>
      <c r="F1138" s="224" t="s">
        <v>841</v>
      </c>
      <c r="G1138" s="224" t="s">
        <v>841</v>
      </c>
      <c r="H1138" s="224"/>
      <c r="I1138" s="229">
        <v>0</v>
      </c>
      <c r="J1138" s="229">
        <v>0</v>
      </c>
      <c r="K1138" s="229">
        <v>0</v>
      </c>
      <c r="L1138" s="229">
        <v>0</v>
      </c>
      <c r="M1138" s="229">
        <v>0</v>
      </c>
      <c r="N1138" s="229">
        <v>0</v>
      </c>
      <c r="O1138" s="229">
        <v>0</v>
      </c>
      <c r="P1138" s="229">
        <v>0</v>
      </c>
      <c r="Q1138" s="279">
        <v>0</v>
      </c>
    </row>
    <row r="1139" spans="1:17" customFormat="1">
      <c r="A1139" s="224">
        <v>2</v>
      </c>
      <c r="B1139" s="224">
        <v>8850404</v>
      </c>
      <c r="C1139" s="224">
        <v>885040400</v>
      </c>
      <c r="D1139" s="224" t="s">
        <v>538</v>
      </c>
      <c r="E1139" s="224" t="s">
        <v>5</v>
      </c>
      <c r="F1139" s="224" t="s">
        <v>842</v>
      </c>
      <c r="G1139" s="224" t="s">
        <v>842</v>
      </c>
      <c r="H1139" s="224"/>
      <c r="I1139" s="229">
        <v>0</v>
      </c>
      <c r="J1139" s="229">
        <v>0</v>
      </c>
      <c r="K1139" s="229">
        <v>0</v>
      </c>
      <c r="L1139" s="229">
        <v>0</v>
      </c>
      <c r="M1139" s="229">
        <v>0</v>
      </c>
      <c r="N1139" s="229">
        <v>0</v>
      </c>
      <c r="O1139" s="229">
        <v>0</v>
      </c>
      <c r="P1139" s="229">
        <v>0</v>
      </c>
      <c r="Q1139" s="279">
        <v>0</v>
      </c>
    </row>
    <row r="1140" spans="1:17" customFormat="1">
      <c r="A1140" s="224">
        <v>2</v>
      </c>
      <c r="B1140" s="224">
        <v>8850606</v>
      </c>
      <c r="C1140" s="224">
        <v>885060600</v>
      </c>
      <c r="D1140" s="224" t="s">
        <v>538</v>
      </c>
      <c r="E1140" s="224" t="s">
        <v>5</v>
      </c>
      <c r="F1140" s="224" t="s">
        <v>527</v>
      </c>
      <c r="G1140" s="224" t="s">
        <v>527</v>
      </c>
      <c r="H1140" s="224"/>
      <c r="I1140" s="229">
        <v>160124</v>
      </c>
      <c r="J1140" s="229">
        <v>0</v>
      </c>
      <c r="K1140" s="229">
        <v>0</v>
      </c>
      <c r="L1140" s="229">
        <v>0</v>
      </c>
      <c r="M1140" s="229">
        <v>0</v>
      </c>
      <c r="N1140" s="229">
        <v>160124</v>
      </c>
      <c r="O1140" s="229">
        <v>0</v>
      </c>
      <c r="P1140" s="229">
        <v>0</v>
      </c>
      <c r="Q1140" s="279">
        <v>0</v>
      </c>
    </row>
    <row r="1141" spans="1:17" customFormat="1">
      <c r="A1141" s="224">
        <v>2</v>
      </c>
      <c r="B1141" s="224">
        <v>8850808</v>
      </c>
      <c r="C1141" s="224">
        <v>885080800</v>
      </c>
      <c r="D1141" s="224" t="s">
        <v>538</v>
      </c>
      <c r="E1141" s="224" t="s">
        <v>5</v>
      </c>
      <c r="F1141" s="224" t="s">
        <v>523</v>
      </c>
      <c r="G1141" s="224" t="s">
        <v>523</v>
      </c>
      <c r="H1141" s="224"/>
      <c r="I1141" s="229">
        <v>0</v>
      </c>
      <c r="J1141" s="229">
        <v>0</v>
      </c>
      <c r="K1141" s="229">
        <v>0</v>
      </c>
      <c r="L1141" s="229">
        <v>0</v>
      </c>
      <c r="M1141" s="229">
        <v>0</v>
      </c>
      <c r="N1141" s="229">
        <v>0</v>
      </c>
      <c r="O1141" s="229">
        <v>0</v>
      </c>
      <c r="P1141" s="229">
        <v>0</v>
      </c>
      <c r="Q1141" s="279">
        <v>0</v>
      </c>
    </row>
    <row r="1142" spans="1:17" customFormat="1">
      <c r="A1142" s="224">
        <v>2</v>
      </c>
      <c r="B1142" s="224">
        <v>8851010</v>
      </c>
      <c r="C1142" s="224">
        <v>885101000</v>
      </c>
      <c r="D1142" s="224" t="s">
        <v>538</v>
      </c>
      <c r="E1142" s="224" t="s">
        <v>5</v>
      </c>
      <c r="F1142" s="224" t="s">
        <v>843</v>
      </c>
      <c r="G1142" s="224" t="s">
        <v>843</v>
      </c>
      <c r="H1142" s="224"/>
      <c r="I1142" s="229">
        <v>0</v>
      </c>
      <c r="J1142" s="229">
        <v>0</v>
      </c>
      <c r="K1142" s="229">
        <v>0</v>
      </c>
      <c r="L1142" s="229">
        <v>0</v>
      </c>
      <c r="M1142" s="229">
        <v>0</v>
      </c>
      <c r="N1142" s="229">
        <v>0</v>
      </c>
      <c r="O1142" s="229">
        <v>0</v>
      </c>
      <c r="P1142" s="229">
        <v>0</v>
      </c>
      <c r="Q1142" s="279">
        <v>0</v>
      </c>
    </row>
    <row r="1143" spans="1:17" customFormat="1">
      <c r="A1143" s="224">
        <v>2</v>
      </c>
      <c r="B1143" s="224">
        <v>8900101</v>
      </c>
      <c r="C1143" s="224">
        <v>890010100</v>
      </c>
      <c r="D1143" s="224" t="s">
        <v>538</v>
      </c>
      <c r="E1143" s="224" t="s">
        <v>809</v>
      </c>
      <c r="F1143" s="224" t="s">
        <v>809</v>
      </c>
      <c r="G1143" s="224" t="s">
        <v>809</v>
      </c>
      <c r="H1143" s="224"/>
      <c r="I1143" s="229">
        <v>0</v>
      </c>
      <c r="J1143" s="229">
        <v>0</v>
      </c>
      <c r="K1143" s="229">
        <v>0</v>
      </c>
      <c r="L1143" s="229">
        <v>0</v>
      </c>
      <c r="M1143" s="229">
        <v>0</v>
      </c>
      <c r="N1143" s="229">
        <v>0</v>
      </c>
      <c r="O1143" s="229">
        <v>0</v>
      </c>
      <c r="P1143" s="229">
        <v>0</v>
      </c>
      <c r="Q1143" s="279">
        <v>0</v>
      </c>
    </row>
    <row r="1144" spans="1:17">
      <c r="A1144" s="256">
        <v>3</v>
      </c>
      <c r="B1144" s="256">
        <v>1120110</v>
      </c>
      <c r="C1144" s="256">
        <v>112011010</v>
      </c>
      <c r="D1144" s="256" t="s">
        <v>631</v>
      </c>
      <c r="E1144" s="256" t="s">
        <v>632</v>
      </c>
      <c r="F1144" s="256" t="s">
        <v>633</v>
      </c>
      <c r="G1144" s="256" t="s">
        <v>634</v>
      </c>
      <c r="H1144" s="256" t="s">
        <v>635</v>
      </c>
      <c r="I1144" s="257">
        <v>0</v>
      </c>
      <c r="J1144" s="257">
        <v>0</v>
      </c>
      <c r="K1144" s="257">
        <v>0</v>
      </c>
      <c r="L1144" s="257">
        <v>0</v>
      </c>
      <c r="M1144" s="257">
        <v>0</v>
      </c>
      <c r="N1144" s="257">
        <v>0</v>
      </c>
      <c r="O1144" s="257">
        <v>0</v>
      </c>
      <c r="P1144" s="257">
        <v>0</v>
      </c>
      <c r="Q1144" s="258">
        <v>0</v>
      </c>
    </row>
    <row r="1145" spans="1:17">
      <c r="A1145" s="256">
        <v>3</v>
      </c>
      <c r="B1145" s="256">
        <v>1120110</v>
      </c>
      <c r="C1145" s="256">
        <v>112011011</v>
      </c>
      <c r="D1145" s="256" t="s">
        <v>631</v>
      </c>
      <c r="E1145" s="256" t="s">
        <v>632</v>
      </c>
      <c r="F1145" s="256" t="s">
        <v>633</v>
      </c>
      <c r="G1145" s="256" t="s">
        <v>634</v>
      </c>
      <c r="H1145" s="256" t="s">
        <v>636</v>
      </c>
      <c r="I1145" s="257">
        <v>0</v>
      </c>
      <c r="J1145" s="257">
        <v>0</v>
      </c>
      <c r="K1145" s="257">
        <v>0</v>
      </c>
      <c r="L1145" s="257">
        <v>0</v>
      </c>
      <c r="M1145" s="257">
        <v>0</v>
      </c>
      <c r="N1145" s="257">
        <v>0</v>
      </c>
      <c r="O1145" s="257">
        <v>0</v>
      </c>
      <c r="P1145" s="257">
        <v>0</v>
      </c>
      <c r="Q1145" s="258">
        <v>0</v>
      </c>
    </row>
    <row r="1146" spans="1:17">
      <c r="A1146" s="256">
        <v>3</v>
      </c>
      <c r="B1146" s="256">
        <v>1120111</v>
      </c>
      <c r="C1146" s="256">
        <v>112011100</v>
      </c>
      <c r="D1146" s="256" t="s">
        <v>631</v>
      </c>
      <c r="E1146" s="256" t="s">
        <v>632</v>
      </c>
      <c r="F1146" s="256" t="s">
        <v>633</v>
      </c>
      <c r="G1146" s="256" t="s">
        <v>638</v>
      </c>
      <c r="H1146" s="256"/>
      <c r="I1146" s="257">
        <v>0</v>
      </c>
      <c r="J1146" s="257">
        <v>0</v>
      </c>
      <c r="K1146" s="257">
        <v>0</v>
      </c>
      <c r="L1146" s="257">
        <v>0</v>
      </c>
      <c r="M1146" s="257">
        <v>0</v>
      </c>
      <c r="N1146" s="257">
        <v>0</v>
      </c>
      <c r="O1146" s="257">
        <v>0</v>
      </c>
      <c r="P1146" s="257">
        <v>0</v>
      </c>
      <c r="Q1146" s="258">
        <v>0</v>
      </c>
    </row>
    <row r="1147" spans="1:17">
      <c r="A1147" s="256">
        <v>3</v>
      </c>
      <c r="B1147" s="256">
        <v>1120112</v>
      </c>
      <c r="C1147" s="256">
        <v>112011200</v>
      </c>
      <c r="D1147" s="256" t="s">
        <v>631</v>
      </c>
      <c r="E1147" s="256" t="s">
        <v>632</v>
      </c>
      <c r="F1147" s="256" t="s">
        <v>633</v>
      </c>
      <c r="G1147" s="256" t="s">
        <v>639</v>
      </c>
      <c r="H1147" s="256"/>
      <c r="I1147" s="257">
        <v>0</v>
      </c>
      <c r="J1147" s="257">
        <v>0</v>
      </c>
      <c r="K1147" s="257">
        <v>0</v>
      </c>
      <c r="L1147" s="257">
        <v>0</v>
      </c>
      <c r="M1147" s="257">
        <v>0</v>
      </c>
      <c r="N1147" s="257">
        <v>0</v>
      </c>
      <c r="O1147" s="257">
        <v>0</v>
      </c>
      <c r="P1147" s="257">
        <v>0</v>
      </c>
      <c r="Q1147" s="258">
        <v>0</v>
      </c>
    </row>
    <row r="1148" spans="1:17">
      <c r="A1148" s="256">
        <v>3</v>
      </c>
      <c r="B1148" s="256">
        <v>1120113</v>
      </c>
      <c r="C1148" s="256">
        <v>112011300</v>
      </c>
      <c r="D1148" s="256" t="s">
        <v>631</v>
      </c>
      <c r="E1148" s="256" t="s">
        <v>632</v>
      </c>
      <c r="F1148" s="256" t="s">
        <v>633</v>
      </c>
      <c r="G1148" s="256" t="s">
        <v>640</v>
      </c>
      <c r="H1148" s="256"/>
      <c r="I1148" s="257">
        <v>213400000</v>
      </c>
      <c r="J1148" s="257">
        <v>0</v>
      </c>
      <c r="K1148" s="257">
        <v>0</v>
      </c>
      <c r="L1148" s="257">
        <v>0</v>
      </c>
      <c r="M1148" s="257">
        <v>0</v>
      </c>
      <c r="N1148" s="257">
        <v>0</v>
      </c>
      <c r="O1148" s="257">
        <v>0</v>
      </c>
      <c r="P1148" s="257">
        <v>213400000</v>
      </c>
      <c r="Q1148" s="258">
        <v>0</v>
      </c>
    </row>
    <row r="1149" spans="1:17">
      <c r="A1149" s="256">
        <v>3</v>
      </c>
      <c r="B1149" s="256">
        <v>1120114</v>
      </c>
      <c r="C1149" s="256">
        <v>112011400</v>
      </c>
      <c r="D1149" s="256" t="s">
        <v>631</v>
      </c>
      <c r="E1149" s="256" t="s">
        <v>632</v>
      </c>
      <c r="F1149" s="256" t="s">
        <v>633</v>
      </c>
      <c r="G1149" s="256" t="s">
        <v>641</v>
      </c>
      <c r="H1149" s="256"/>
      <c r="I1149" s="257">
        <v>0</v>
      </c>
      <c r="J1149" s="257">
        <v>0</v>
      </c>
      <c r="K1149" s="257">
        <v>0</v>
      </c>
      <c r="L1149" s="257">
        <v>0</v>
      </c>
      <c r="M1149" s="257">
        <v>0</v>
      </c>
      <c r="N1149" s="257">
        <v>0</v>
      </c>
      <c r="O1149" s="257">
        <v>0</v>
      </c>
      <c r="P1149" s="257">
        <v>0</v>
      </c>
      <c r="Q1149" s="258">
        <v>0</v>
      </c>
    </row>
    <row r="1150" spans="1:17">
      <c r="A1150" s="256">
        <v>3</v>
      </c>
      <c r="B1150" s="256">
        <v>1120115</v>
      </c>
      <c r="C1150" s="256">
        <v>112011500</v>
      </c>
      <c r="D1150" s="256" t="s">
        <v>631</v>
      </c>
      <c r="E1150" s="256" t="s">
        <v>632</v>
      </c>
      <c r="F1150" s="256" t="s">
        <v>633</v>
      </c>
      <c r="G1150" s="256" t="s">
        <v>844</v>
      </c>
      <c r="H1150" s="256"/>
      <c r="I1150" s="257">
        <v>109400000</v>
      </c>
      <c r="J1150" s="257">
        <v>0</v>
      </c>
      <c r="K1150" s="257">
        <v>0</v>
      </c>
      <c r="L1150" s="257">
        <v>0</v>
      </c>
      <c r="M1150" s="257">
        <v>0</v>
      </c>
      <c r="N1150" s="257">
        <v>0</v>
      </c>
      <c r="O1150" s="257">
        <v>0</v>
      </c>
      <c r="P1150" s="257">
        <v>109400000</v>
      </c>
      <c r="Q1150" s="258">
        <v>0</v>
      </c>
    </row>
    <row r="1151" spans="1:17">
      <c r="A1151" s="256">
        <v>3</v>
      </c>
      <c r="B1151" s="256">
        <v>1120116</v>
      </c>
      <c r="C1151" s="256">
        <v>112011600</v>
      </c>
      <c r="D1151" s="256" t="s">
        <v>631</v>
      </c>
      <c r="E1151" s="256" t="s">
        <v>632</v>
      </c>
      <c r="F1151" s="256" t="s">
        <v>633</v>
      </c>
      <c r="G1151" s="256" t="s">
        <v>642</v>
      </c>
      <c r="H1151" s="256"/>
      <c r="I1151" s="257">
        <v>0</v>
      </c>
      <c r="J1151" s="257">
        <v>0</v>
      </c>
      <c r="K1151" s="257">
        <v>0</v>
      </c>
      <c r="L1151" s="257">
        <v>0</v>
      </c>
      <c r="M1151" s="257">
        <v>0</v>
      </c>
      <c r="N1151" s="257">
        <v>0</v>
      </c>
      <c r="O1151" s="257">
        <v>0</v>
      </c>
      <c r="P1151" s="257">
        <v>0</v>
      </c>
      <c r="Q1151" s="258">
        <v>0</v>
      </c>
    </row>
    <row r="1152" spans="1:17">
      <c r="A1152" s="256">
        <v>3</v>
      </c>
      <c r="B1152" s="256">
        <v>1120210</v>
      </c>
      <c r="C1152" s="256">
        <v>112021000</v>
      </c>
      <c r="D1152" s="256" t="s">
        <v>631</v>
      </c>
      <c r="E1152" s="256" t="s">
        <v>632</v>
      </c>
      <c r="F1152" s="256" t="s">
        <v>643</v>
      </c>
      <c r="G1152" s="256" t="s">
        <v>644</v>
      </c>
      <c r="H1152" s="256"/>
      <c r="I1152" s="257">
        <v>0</v>
      </c>
      <c r="J1152" s="257">
        <v>0</v>
      </c>
      <c r="K1152" s="257">
        <v>0</v>
      </c>
      <c r="L1152" s="257">
        <v>0</v>
      </c>
      <c r="M1152" s="257">
        <v>0</v>
      </c>
      <c r="N1152" s="257">
        <v>0</v>
      </c>
      <c r="O1152" s="257">
        <v>0</v>
      </c>
      <c r="P1152" s="257">
        <v>0</v>
      </c>
      <c r="Q1152" s="258">
        <v>0</v>
      </c>
    </row>
    <row r="1153" spans="1:17">
      <c r="A1153" s="256">
        <v>3</v>
      </c>
      <c r="B1153" s="256">
        <v>1120220</v>
      </c>
      <c r="C1153" s="256">
        <v>112022000</v>
      </c>
      <c r="D1153" s="256" t="s">
        <v>631</v>
      </c>
      <c r="E1153" s="256" t="s">
        <v>632</v>
      </c>
      <c r="F1153" s="256" t="s">
        <v>643</v>
      </c>
      <c r="G1153" s="256" t="s">
        <v>645</v>
      </c>
      <c r="H1153" s="256"/>
      <c r="I1153" s="257">
        <v>0</v>
      </c>
      <c r="J1153" s="257">
        <v>0</v>
      </c>
      <c r="K1153" s="257">
        <v>0</v>
      </c>
      <c r="L1153" s="257">
        <v>0</v>
      </c>
      <c r="M1153" s="257">
        <v>0</v>
      </c>
      <c r="N1153" s="257">
        <v>0</v>
      </c>
      <c r="O1153" s="257">
        <v>0</v>
      </c>
      <c r="P1153" s="257">
        <v>0</v>
      </c>
      <c r="Q1153" s="258">
        <v>0</v>
      </c>
    </row>
    <row r="1154" spans="1:17">
      <c r="A1154" s="256">
        <v>3</v>
      </c>
      <c r="B1154" s="256">
        <v>1120230</v>
      </c>
      <c r="C1154" s="256">
        <v>112023000</v>
      </c>
      <c r="D1154" s="256" t="s">
        <v>631</v>
      </c>
      <c r="E1154" s="256" t="s">
        <v>632</v>
      </c>
      <c r="F1154" s="256" t="s">
        <v>643</v>
      </c>
      <c r="G1154" s="256" t="s">
        <v>646</v>
      </c>
      <c r="H1154" s="256"/>
      <c r="I1154" s="257">
        <v>0</v>
      </c>
      <c r="J1154" s="257">
        <v>0</v>
      </c>
      <c r="K1154" s="257">
        <v>0</v>
      </c>
      <c r="L1154" s="257">
        <v>0</v>
      </c>
      <c r="M1154" s="257">
        <v>0</v>
      </c>
      <c r="N1154" s="257">
        <v>0</v>
      </c>
      <c r="O1154" s="257">
        <v>0</v>
      </c>
      <c r="P1154" s="257">
        <v>0</v>
      </c>
      <c r="Q1154" s="258">
        <v>0</v>
      </c>
    </row>
    <row r="1155" spans="1:17">
      <c r="A1155" s="256">
        <v>3</v>
      </c>
      <c r="B1155" s="256">
        <v>1140303</v>
      </c>
      <c r="C1155" s="256">
        <v>114030300</v>
      </c>
      <c r="D1155" s="256" t="s">
        <v>631</v>
      </c>
      <c r="E1155" s="256" t="s">
        <v>650</v>
      </c>
      <c r="F1155" s="256" t="s">
        <v>651</v>
      </c>
      <c r="G1155" s="256" t="s">
        <v>651</v>
      </c>
      <c r="H1155" s="256"/>
      <c r="I1155" s="257">
        <v>0</v>
      </c>
      <c r="J1155" s="257">
        <v>0</v>
      </c>
      <c r="K1155" s="257">
        <v>0</v>
      </c>
      <c r="L1155" s="257">
        <v>0</v>
      </c>
      <c r="M1155" s="257">
        <v>0</v>
      </c>
      <c r="N1155" s="257">
        <v>0</v>
      </c>
      <c r="O1155" s="257">
        <v>0</v>
      </c>
      <c r="P1155" s="257">
        <v>0</v>
      </c>
      <c r="Q1155" s="258">
        <v>0</v>
      </c>
    </row>
    <row r="1156" spans="1:17">
      <c r="A1156" s="256">
        <v>3</v>
      </c>
      <c r="B1156" s="256">
        <v>1160101</v>
      </c>
      <c r="C1156" s="256">
        <v>116010100</v>
      </c>
      <c r="D1156" s="256" t="s">
        <v>631</v>
      </c>
      <c r="E1156" s="256" t="s">
        <v>652</v>
      </c>
      <c r="F1156" s="256" t="s">
        <v>653</v>
      </c>
      <c r="G1156" s="256" t="s">
        <v>653</v>
      </c>
      <c r="H1156" s="256"/>
      <c r="I1156" s="257">
        <v>17796000</v>
      </c>
      <c r="J1156" s="257">
        <v>0</v>
      </c>
      <c r="K1156" s="257">
        <v>0</v>
      </c>
      <c r="L1156" s="257">
        <v>0</v>
      </c>
      <c r="M1156" s="257">
        <v>0</v>
      </c>
      <c r="N1156" s="257">
        <v>0</v>
      </c>
      <c r="O1156" s="257">
        <v>0</v>
      </c>
      <c r="P1156" s="257">
        <v>17796000</v>
      </c>
      <c r="Q1156" s="258">
        <v>0</v>
      </c>
    </row>
    <row r="1157" spans="1:17">
      <c r="A1157" s="256">
        <v>3</v>
      </c>
      <c r="B1157" s="256">
        <v>1160202</v>
      </c>
      <c r="C1157" s="256">
        <v>116020200</v>
      </c>
      <c r="D1157" s="256" t="s">
        <v>631</v>
      </c>
      <c r="E1157" s="256" t="s">
        <v>652</v>
      </c>
      <c r="F1157" s="256" t="s">
        <v>654</v>
      </c>
      <c r="G1157" s="256" t="s">
        <v>654</v>
      </c>
      <c r="H1157" s="256"/>
      <c r="I1157" s="257">
        <v>0</v>
      </c>
      <c r="J1157" s="257">
        <v>0</v>
      </c>
      <c r="K1157" s="257">
        <v>0</v>
      </c>
      <c r="L1157" s="257">
        <v>0</v>
      </c>
      <c r="M1157" s="257">
        <v>0</v>
      </c>
      <c r="N1157" s="257">
        <v>0</v>
      </c>
      <c r="O1157" s="257">
        <v>0</v>
      </c>
      <c r="P1157" s="257">
        <v>0</v>
      </c>
      <c r="Q1157" s="258">
        <v>0</v>
      </c>
    </row>
    <row r="1158" spans="1:17">
      <c r="A1158" s="256">
        <v>3</v>
      </c>
      <c r="B1158" s="256">
        <v>1180401</v>
      </c>
      <c r="C1158" s="256">
        <v>118040100</v>
      </c>
      <c r="D1158" s="256" t="s">
        <v>631</v>
      </c>
      <c r="E1158" s="256" t="s">
        <v>655</v>
      </c>
      <c r="F1158" s="256" t="s">
        <v>655</v>
      </c>
      <c r="G1158" s="256" t="s">
        <v>656</v>
      </c>
      <c r="H1158" s="256"/>
      <c r="I1158" s="257">
        <v>0</v>
      </c>
      <c r="J1158" s="257">
        <v>0</v>
      </c>
      <c r="K1158" s="257">
        <v>0</v>
      </c>
      <c r="L1158" s="257">
        <v>0</v>
      </c>
      <c r="M1158" s="257">
        <v>0</v>
      </c>
      <c r="N1158" s="257">
        <v>0</v>
      </c>
      <c r="O1158" s="257">
        <v>0</v>
      </c>
      <c r="P1158" s="257">
        <v>0</v>
      </c>
      <c r="Q1158" s="258">
        <v>0</v>
      </c>
    </row>
    <row r="1159" spans="1:17">
      <c r="A1159" s="256">
        <v>3</v>
      </c>
      <c r="B1159" s="256">
        <v>1180402</v>
      </c>
      <c r="C1159" s="256">
        <v>118040200</v>
      </c>
      <c r="D1159" s="256" t="s">
        <v>631</v>
      </c>
      <c r="E1159" s="256" t="s">
        <v>655</v>
      </c>
      <c r="F1159" s="256" t="s">
        <v>655</v>
      </c>
      <c r="G1159" s="256" t="s">
        <v>658</v>
      </c>
      <c r="H1159" s="256"/>
      <c r="I1159" s="257">
        <v>0</v>
      </c>
      <c r="J1159" s="257">
        <v>0</v>
      </c>
      <c r="K1159" s="257">
        <v>0</v>
      </c>
      <c r="L1159" s="257">
        <v>0</v>
      </c>
      <c r="M1159" s="257">
        <v>0</v>
      </c>
      <c r="N1159" s="257">
        <v>0</v>
      </c>
      <c r="O1159" s="257">
        <v>0</v>
      </c>
      <c r="P1159" s="257">
        <v>0</v>
      </c>
      <c r="Q1159" s="258">
        <v>0</v>
      </c>
    </row>
    <row r="1160" spans="1:17">
      <c r="A1160" s="256">
        <v>3</v>
      </c>
      <c r="B1160" s="256">
        <v>1180403</v>
      </c>
      <c r="C1160" s="256">
        <v>118040300</v>
      </c>
      <c r="D1160" s="256" t="s">
        <v>631</v>
      </c>
      <c r="E1160" s="256" t="s">
        <v>655</v>
      </c>
      <c r="F1160" s="256" t="s">
        <v>655</v>
      </c>
      <c r="G1160" s="256" t="s">
        <v>846</v>
      </c>
      <c r="H1160" s="256"/>
      <c r="I1160" s="257">
        <v>0</v>
      </c>
      <c r="J1160" s="257">
        <v>0</v>
      </c>
      <c r="K1160" s="257">
        <v>0</v>
      </c>
      <c r="L1160" s="257">
        <v>0</v>
      </c>
      <c r="M1160" s="257">
        <v>0</v>
      </c>
      <c r="N1160" s="257">
        <v>0</v>
      </c>
      <c r="O1160" s="257">
        <v>0</v>
      </c>
      <c r="P1160" s="257">
        <v>0</v>
      </c>
      <c r="Q1160" s="258">
        <v>0</v>
      </c>
    </row>
    <row r="1161" spans="1:17" customFormat="1">
      <c r="A1161" s="236">
        <v>3</v>
      </c>
      <c r="B1161" s="236">
        <v>1180404</v>
      </c>
      <c r="C1161" s="236">
        <v>118040400</v>
      </c>
      <c r="D1161" s="236" t="s">
        <v>631</v>
      </c>
      <c r="E1161" s="236" t="s">
        <v>655</v>
      </c>
      <c r="F1161" s="236" t="s">
        <v>655</v>
      </c>
      <c r="G1161" s="236" t="s">
        <v>878</v>
      </c>
      <c r="H1161" s="236"/>
      <c r="I1161" s="229">
        <v>0</v>
      </c>
      <c r="J1161" s="229">
        <v>0</v>
      </c>
      <c r="K1161" s="229">
        <v>0</v>
      </c>
      <c r="L1161" s="229">
        <v>0</v>
      </c>
      <c r="M1161" s="229">
        <v>0</v>
      </c>
      <c r="N1161" s="229">
        <v>0</v>
      </c>
      <c r="O1161" s="229">
        <v>0</v>
      </c>
      <c r="P1161" s="229">
        <v>0</v>
      </c>
      <c r="Q1161" s="279">
        <v>0</v>
      </c>
    </row>
    <row r="1162" spans="1:17">
      <c r="A1162" s="256">
        <v>3</v>
      </c>
      <c r="B1162" s="256">
        <v>1190401</v>
      </c>
      <c r="C1162" s="256">
        <v>119040100</v>
      </c>
      <c r="D1162" s="256" t="s">
        <v>631</v>
      </c>
      <c r="E1162" s="256" t="s">
        <v>715</v>
      </c>
      <c r="F1162" s="256" t="s">
        <v>715</v>
      </c>
      <c r="G1162" s="256" t="s">
        <v>855</v>
      </c>
      <c r="H1162" s="256"/>
      <c r="I1162" s="257">
        <v>0</v>
      </c>
      <c r="J1162" s="257">
        <v>0</v>
      </c>
      <c r="K1162" s="257">
        <v>0</v>
      </c>
      <c r="L1162" s="257">
        <v>0</v>
      </c>
      <c r="M1162" s="257">
        <v>0</v>
      </c>
      <c r="N1162" s="257">
        <v>0</v>
      </c>
      <c r="O1162" s="257">
        <v>0</v>
      </c>
      <c r="P1162" s="257">
        <v>0</v>
      </c>
      <c r="Q1162" s="258">
        <v>0</v>
      </c>
    </row>
    <row r="1163" spans="1:17">
      <c r="A1163" s="256">
        <v>3</v>
      </c>
      <c r="B1163" s="256">
        <v>1200630</v>
      </c>
      <c r="C1163" s="256">
        <v>120063000</v>
      </c>
      <c r="D1163" s="256" t="s">
        <v>631</v>
      </c>
      <c r="E1163" s="256" t="s">
        <v>659</v>
      </c>
      <c r="F1163" s="256" t="s">
        <v>659</v>
      </c>
      <c r="G1163" s="256" t="s">
        <v>659</v>
      </c>
      <c r="H1163" s="256"/>
      <c r="I1163" s="257">
        <v>0</v>
      </c>
      <c r="J1163" s="257">
        <v>0</v>
      </c>
      <c r="K1163" s="257">
        <v>0</v>
      </c>
      <c r="L1163" s="257">
        <v>0</v>
      </c>
      <c r="M1163" s="257">
        <v>0</v>
      </c>
      <c r="N1163" s="257">
        <v>0</v>
      </c>
      <c r="O1163" s="257">
        <v>0</v>
      </c>
      <c r="P1163" s="257">
        <v>0</v>
      </c>
      <c r="Q1163" s="258">
        <v>0</v>
      </c>
    </row>
    <row r="1164" spans="1:17">
      <c r="A1164" s="256">
        <v>3</v>
      </c>
      <c r="B1164" s="256">
        <v>1300831</v>
      </c>
      <c r="C1164" s="256">
        <v>130083100</v>
      </c>
      <c r="D1164" s="256" t="s">
        <v>631</v>
      </c>
      <c r="E1164" s="256" t="s">
        <v>660</v>
      </c>
      <c r="F1164" s="256" t="s">
        <v>660</v>
      </c>
      <c r="G1164" s="256" t="s">
        <v>660</v>
      </c>
      <c r="H1164" s="256"/>
      <c r="I1164" s="257">
        <v>0</v>
      </c>
      <c r="J1164" s="257">
        <v>0</v>
      </c>
      <c r="K1164" s="257">
        <v>0</v>
      </c>
      <c r="L1164" s="257">
        <v>0</v>
      </c>
      <c r="M1164" s="257">
        <v>0</v>
      </c>
      <c r="N1164" s="257">
        <v>0</v>
      </c>
      <c r="O1164" s="257">
        <v>0</v>
      </c>
      <c r="P1164" s="257">
        <v>0</v>
      </c>
      <c r="Q1164" s="258">
        <v>0</v>
      </c>
    </row>
    <row r="1165" spans="1:17">
      <c r="A1165" s="256">
        <v>3</v>
      </c>
      <c r="B1165" s="256">
        <v>1401010</v>
      </c>
      <c r="C1165" s="256">
        <v>140101000</v>
      </c>
      <c r="D1165" s="256" t="s">
        <v>631</v>
      </c>
      <c r="E1165" s="256" t="s">
        <v>661</v>
      </c>
      <c r="F1165" s="256" t="s">
        <v>661</v>
      </c>
      <c r="G1165" s="256" t="s">
        <v>661</v>
      </c>
      <c r="H1165" s="256"/>
      <c r="I1165" s="257">
        <v>0</v>
      </c>
      <c r="J1165" s="257">
        <v>0</v>
      </c>
      <c r="K1165" s="257">
        <v>0</v>
      </c>
      <c r="L1165" s="257">
        <v>0</v>
      </c>
      <c r="M1165" s="257">
        <v>0</v>
      </c>
      <c r="N1165" s="257">
        <v>0</v>
      </c>
      <c r="O1165" s="257">
        <v>0</v>
      </c>
      <c r="P1165" s="257">
        <v>0</v>
      </c>
      <c r="Q1165" s="258">
        <v>0</v>
      </c>
    </row>
    <row r="1166" spans="1:17">
      <c r="A1166" s="256">
        <v>3</v>
      </c>
      <c r="B1166" s="256">
        <v>1600101</v>
      </c>
      <c r="C1166" s="256">
        <v>160010100</v>
      </c>
      <c r="D1166" s="256" t="s">
        <v>631</v>
      </c>
      <c r="E1166" s="256" t="s">
        <v>662</v>
      </c>
      <c r="F1166" s="256" t="s">
        <v>662</v>
      </c>
      <c r="G1166" s="256" t="s">
        <v>662</v>
      </c>
      <c r="H1166" s="256"/>
      <c r="I1166" s="257">
        <v>0</v>
      </c>
      <c r="J1166" s="257">
        <v>0</v>
      </c>
      <c r="K1166" s="257">
        <v>0</v>
      </c>
      <c r="L1166" s="257">
        <v>0</v>
      </c>
      <c r="M1166" s="257">
        <v>0</v>
      </c>
      <c r="N1166" s="257">
        <v>0</v>
      </c>
      <c r="O1166" s="257">
        <v>0</v>
      </c>
      <c r="P1166" s="257">
        <v>0</v>
      </c>
      <c r="Q1166" s="258">
        <v>0</v>
      </c>
    </row>
    <row r="1167" spans="1:17">
      <c r="A1167" s="256">
        <v>3</v>
      </c>
      <c r="B1167" s="256">
        <v>1800707</v>
      </c>
      <c r="C1167" s="256">
        <v>180070700</v>
      </c>
      <c r="D1167" s="256" t="s">
        <v>631</v>
      </c>
      <c r="E1167" s="256" t="s">
        <v>663</v>
      </c>
      <c r="F1167" s="256" t="s">
        <v>847</v>
      </c>
      <c r="G1167" s="256" t="s">
        <v>847</v>
      </c>
      <c r="H1167" s="256"/>
      <c r="I1167" s="257">
        <v>14115880</v>
      </c>
      <c r="J1167" s="257">
        <v>0</v>
      </c>
      <c r="K1167" s="257">
        <v>0</v>
      </c>
      <c r="L1167" s="257">
        <v>0</v>
      </c>
      <c r="M1167" s="257">
        <v>0</v>
      </c>
      <c r="N1167" s="257">
        <v>0</v>
      </c>
      <c r="O1167" s="257">
        <v>0</v>
      </c>
      <c r="P1167" s="257">
        <v>14115880</v>
      </c>
      <c r="Q1167" s="258">
        <v>0</v>
      </c>
    </row>
    <row r="1168" spans="1:17">
      <c r="A1168" s="256">
        <v>3</v>
      </c>
      <c r="B1168" s="256">
        <v>1800808</v>
      </c>
      <c r="C1168" s="256">
        <v>180080800</v>
      </c>
      <c r="D1168" s="256" t="s">
        <v>631</v>
      </c>
      <c r="E1168" s="256" t="s">
        <v>663</v>
      </c>
      <c r="F1168" s="256" t="s">
        <v>665</v>
      </c>
      <c r="G1168" s="256" t="s">
        <v>665</v>
      </c>
      <c r="H1168" s="256"/>
      <c r="I1168" s="257">
        <v>0</v>
      </c>
      <c r="J1168" s="257">
        <v>0</v>
      </c>
      <c r="K1168" s="257">
        <v>0</v>
      </c>
      <c r="L1168" s="257">
        <v>0</v>
      </c>
      <c r="M1168" s="257">
        <v>0</v>
      </c>
      <c r="N1168" s="257">
        <v>0</v>
      </c>
      <c r="O1168" s="257">
        <v>0</v>
      </c>
      <c r="P1168" s="257">
        <v>0</v>
      </c>
      <c r="Q1168" s="258">
        <v>0</v>
      </c>
    </row>
    <row r="1169" spans="1:17">
      <c r="A1169" s="256">
        <v>3</v>
      </c>
      <c r="B1169" s="256">
        <v>1820101</v>
      </c>
      <c r="C1169" s="256">
        <v>182010100</v>
      </c>
      <c r="D1169" s="256" t="s">
        <v>631</v>
      </c>
      <c r="E1169" s="256" t="s">
        <v>666</v>
      </c>
      <c r="F1169" s="256" t="s">
        <v>667</v>
      </c>
      <c r="G1169" s="256" t="s">
        <v>667</v>
      </c>
      <c r="H1169" s="256"/>
      <c r="I1169" s="257">
        <v>0</v>
      </c>
      <c r="J1169" s="257">
        <v>0</v>
      </c>
      <c r="K1169" s="257">
        <v>0</v>
      </c>
      <c r="L1169" s="257">
        <v>0</v>
      </c>
      <c r="M1169" s="257">
        <v>0</v>
      </c>
      <c r="N1169" s="257">
        <v>0</v>
      </c>
      <c r="O1169" s="257">
        <v>0</v>
      </c>
      <c r="P1169" s="257">
        <v>0</v>
      </c>
      <c r="Q1169" s="258">
        <v>0</v>
      </c>
    </row>
    <row r="1170" spans="1:17">
      <c r="A1170" s="256">
        <v>3</v>
      </c>
      <c r="B1170" s="256">
        <v>1840102</v>
      </c>
      <c r="C1170" s="256">
        <v>184010200</v>
      </c>
      <c r="D1170" s="256" t="s">
        <v>631</v>
      </c>
      <c r="E1170" s="256" t="s">
        <v>668</v>
      </c>
      <c r="F1170" s="256" t="s">
        <v>669</v>
      </c>
      <c r="G1170" s="256" t="s">
        <v>670</v>
      </c>
      <c r="H1170" s="256"/>
      <c r="I1170" s="257">
        <v>0</v>
      </c>
      <c r="J1170" s="257">
        <v>0</v>
      </c>
      <c r="K1170" s="257">
        <v>0</v>
      </c>
      <c r="L1170" s="257">
        <v>0</v>
      </c>
      <c r="M1170" s="257">
        <v>0</v>
      </c>
      <c r="N1170" s="257">
        <v>0</v>
      </c>
      <c r="O1170" s="257">
        <v>0</v>
      </c>
      <c r="P1170" s="257">
        <v>0</v>
      </c>
      <c r="Q1170" s="258">
        <v>0</v>
      </c>
    </row>
    <row r="1171" spans="1:17">
      <c r="A1171" s="256">
        <v>3</v>
      </c>
      <c r="B1171" s="256">
        <v>1840304</v>
      </c>
      <c r="C1171" s="256">
        <v>184030400</v>
      </c>
      <c r="D1171" s="256" t="s">
        <v>631</v>
      </c>
      <c r="E1171" s="256" t="s">
        <v>668</v>
      </c>
      <c r="F1171" s="256" t="s">
        <v>651</v>
      </c>
      <c r="G1171" s="256" t="s">
        <v>671</v>
      </c>
      <c r="H1171" s="256"/>
      <c r="I1171" s="257">
        <v>0</v>
      </c>
      <c r="J1171" s="257">
        <v>0</v>
      </c>
      <c r="K1171" s="257">
        <v>0</v>
      </c>
      <c r="L1171" s="257">
        <v>0</v>
      </c>
      <c r="M1171" s="257">
        <v>0</v>
      </c>
      <c r="N1171" s="257">
        <v>0</v>
      </c>
      <c r="O1171" s="257">
        <v>0</v>
      </c>
      <c r="P1171" s="257">
        <v>0</v>
      </c>
      <c r="Q1171" s="258">
        <v>0</v>
      </c>
    </row>
    <row r="1172" spans="1:17">
      <c r="A1172" s="256">
        <v>3</v>
      </c>
      <c r="B1172" s="256">
        <v>1840305</v>
      </c>
      <c r="C1172" s="256">
        <v>184030500</v>
      </c>
      <c r="D1172" s="256" t="s">
        <v>631</v>
      </c>
      <c r="E1172" s="256" t="s">
        <v>668</v>
      </c>
      <c r="F1172" s="256" t="s">
        <v>651</v>
      </c>
      <c r="G1172" s="256" t="s">
        <v>672</v>
      </c>
      <c r="H1172" s="256"/>
      <c r="I1172" s="257">
        <v>0</v>
      </c>
      <c r="J1172" s="257">
        <v>0</v>
      </c>
      <c r="K1172" s="257">
        <v>0</v>
      </c>
      <c r="L1172" s="257">
        <v>0</v>
      </c>
      <c r="M1172" s="257">
        <v>0</v>
      </c>
      <c r="N1172" s="257">
        <v>0</v>
      </c>
      <c r="O1172" s="257">
        <v>0</v>
      </c>
      <c r="P1172" s="257">
        <v>0</v>
      </c>
      <c r="Q1172" s="258">
        <v>0</v>
      </c>
    </row>
    <row r="1173" spans="1:17">
      <c r="A1173" s="256">
        <v>3</v>
      </c>
      <c r="B1173" s="256">
        <v>1840306</v>
      </c>
      <c r="C1173" s="256">
        <v>184030600</v>
      </c>
      <c r="D1173" s="256" t="s">
        <v>631</v>
      </c>
      <c r="E1173" s="256" t="s">
        <v>668</v>
      </c>
      <c r="F1173" s="256" t="s">
        <v>651</v>
      </c>
      <c r="G1173" s="256" t="s">
        <v>673</v>
      </c>
      <c r="H1173" s="256"/>
      <c r="I1173" s="257">
        <v>0</v>
      </c>
      <c r="J1173" s="257">
        <v>0</v>
      </c>
      <c r="K1173" s="257">
        <v>0</v>
      </c>
      <c r="L1173" s="257">
        <v>0</v>
      </c>
      <c r="M1173" s="257">
        <v>0</v>
      </c>
      <c r="N1173" s="257">
        <v>0</v>
      </c>
      <c r="O1173" s="257">
        <v>0</v>
      </c>
      <c r="P1173" s="257">
        <v>0</v>
      </c>
      <c r="Q1173" s="258">
        <v>0</v>
      </c>
    </row>
    <row r="1174" spans="1:17">
      <c r="A1174" s="256">
        <v>3</v>
      </c>
      <c r="B1174" s="256">
        <v>1840512</v>
      </c>
      <c r="C1174" s="256">
        <v>184051200</v>
      </c>
      <c r="D1174" s="256" t="s">
        <v>631</v>
      </c>
      <c r="E1174" s="256" t="s">
        <v>668</v>
      </c>
      <c r="F1174" s="256" t="s">
        <v>674</v>
      </c>
      <c r="G1174" s="256" t="s">
        <v>856</v>
      </c>
      <c r="H1174" s="256"/>
      <c r="I1174" s="257">
        <v>738000</v>
      </c>
      <c r="J1174" s="257">
        <v>0</v>
      </c>
      <c r="K1174" s="257">
        <v>0</v>
      </c>
      <c r="L1174" s="257">
        <v>0</v>
      </c>
      <c r="M1174" s="257">
        <v>0</v>
      </c>
      <c r="N1174" s="257">
        <v>0</v>
      </c>
      <c r="O1174" s="257">
        <v>0</v>
      </c>
      <c r="P1174" s="257">
        <v>738000</v>
      </c>
      <c r="Q1174" s="258">
        <v>0</v>
      </c>
    </row>
    <row r="1175" spans="1:17">
      <c r="A1175" s="256">
        <v>3</v>
      </c>
      <c r="B1175" s="256">
        <v>1840513</v>
      </c>
      <c r="C1175" s="256">
        <v>184051300</v>
      </c>
      <c r="D1175" s="256" t="s">
        <v>631</v>
      </c>
      <c r="E1175" s="256" t="s">
        <v>668</v>
      </c>
      <c r="F1175" s="256" t="s">
        <v>674</v>
      </c>
      <c r="G1175" s="256" t="s">
        <v>857</v>
      </c>
      <c r="H1175" s="256"/>
      <c r="I1175" s="257">
        <v>350000</v>
      </c>
      <c r="J1175" s="257">
        <v>0</v>
      </c>
      <c r="K1175" s="257">
        <v>0</v>
      </c>
      <c r="L1175" s="257">
        <v>0</v>
      </c>
      <c r="M1175" s="257">
        <v>0</v>
      </c>
      <c r="N1175" s="257">
        <v>0</v>
      </c>
      <c r="O1175" s="257">
        <v>0</v>
      </c>
      <c r="P1175" s="257">
        <v>350000</v>
      </c>
      <c r="Q1175" s="258">
        <v>0</v>
      </c>
    </row>
    <row r="1176" spans="1:17">
      <c r="A1176" s="256">
        <v>3</v>
      </c>
      <c r="B1176" s="256">
        <v>1840514</v>
      </c>
      <c r="C1176" s="256">
        <v>184051400</v>
      </c>
      <c r="D1176" s="256" t="s">
        <v>631</v>
      </c>
      <c r="E1176" s="256" t="s">
        <v>668</v>
      </c>
      <c r="F1176" s="256" t="s">
        <v>674</v>
      </c>
      <c r="G1176" s="256" t="s">
        <v>858</v>
      </c>
      <c r="H1176" s="256"/>
      <c r="I1176" s="257">
        <v>0</v>
      </c>
      <c r="J1176" s="257">
        <v>0</v>
      </c>
      <c r="K1176" s="257">
        <v>0</v>
      </c>
      <c r="L1176" s="257">
        <v>0</v>
      </c>
      <c r="M1176" s="257">
        <v>0</v>
      </c>
      <c r="N1176" s="257">
        <v>0</v>
      </c>
      <c r="O1176" s="257">
        <v>0</v>
      </c>
      <c r="P1176" s="257">
        <v>0</v>
      </c>
      <c r="Q1176" s="258">
        <v>0</v>
      </c>
    </row>
    <row r="1177" spans="1:17">
      <c r="A1177" s="256">
        <v>3</v>
      </c>
      <c r="B1177" s="256">
        <v>1860303</v>
      </c>
      <c r="C1177" s="256">
        <v>186030300</v>
      </c>
      <c r="D1177" s="256" t="s">
        <v>631</v>
      </c>
      <c r="E1177" s="256" t="s">
        <v>678</v>
      </c>
      <c r="F1177" s="256" t="s">
        <v>679</v>
      </c>
      <c r="G1177" s="256" t="s">
        <v>679</v>
      </c>
      <c r="H1177" s="256"/>
      <c r="I1177" s="257">
        <v>0</v>
      </c>
      <c r="J1177" s="257">
        <v>0</v>
      </c>
      <c r="K1177" s="257">
        <v>0</v>
      </c>
      <c r="L1177" s="257">
        <v>0</v>
      </c>
      <c r="M1177" s="257">
        <v>0</v>
      </c>
      <c r="N1177" s="257">
        <v>0</v>
      </c>
      <c r="O1177" s="257">
        <v>0</v>
      </c>
      <c r="P1177" s="257">
        <v>0</v>
      </c>
      <c r="Q1177" s="258">
        <v>0</v>
      </c>
    </row>
    <row r="1178" spans="1:17">
      <c r="A1178" s="256">
        <v>3</v>
      </c>
      <c r="B1178" s="256">
        <v>1880101</v>
      </c>
      <c r="C1178" s="256">
        <v>188010100</v>
      </c>
      <c r="D1178" s="256" t="s">
        <v>631</v>
      </c>
      <c r="E1178" s="256" t="s">
        <v>680</v>
      </c>
      <c r="F1178" s="256" t="s">
        <v>681</v>
      </c>
      <c r="G1178" s="256" t="s">
        <v>681</v>
      </c>
      <c r="H1178" s="256"/>
      <c r="I1178" s="257">
        <v>0</v>
      </c>
      <c r="J1178" s="257">
        <v>0</v>
      </c>
      <c r="K1178" s="257">
        <v>0</v>
      </c>
      <c r="L1178" s="257">
        <v>0</v>
      </c>
      <c r="M1178" s="257">
        <v>0</v>
      </c>
      <c r="N1178" s="257">
        <v>0</v>
      </c>
      <c r="O1178" s="257">
        <v>0</v>
      </c>
      <c r="P1178" s="257">
        <v>0</v>
      </c>
      <c r="Q1178" s="258">
        <v>0</v>
      </c>
    </row>
    <row r="1179" spans="1:17">
      <c r="A1179" s="256">
        <v>3</v>
      </c>
      <c r="B1179" s="256">
        <v>1880202</v>
      </c>
      <c r="C1179" s="256">
        <v>188020200</v>
      </c>
      <c r="D1179" s="256" t="s">
        <v>631</v>
      </c>
      <c r="E1179" s="256" t="s">
        <v>680</v>
      </c>
      <c r="F1179" s="256" t="s">
        <v>682</v>
      </c>
      <c r="G1179" s="256" t="s">
        <v>682</v>
      </c>
      <c r="H1179" s="256"/>
      <c r="I1179" s="257">
        <v>0</v>
      </c>
      <c r="J1179" s="257">
        <v>0</v>
      </c>
      <c r="K1179" s="257">
        <v>0</v>
      </c>
      <c r="L1179" s="257">
        <v>0</v>
      </c>
      <c r="M1179" s="257">
        <v>0</v>
      </c>
      <c r="N1179" s="257">
        <v>0</v>
      </c>
      <c r="O1179" s="257">
        <v>0</v>
      </c>
      <c r="P1179" s="257">
        <v>0</v>
      </c>
      <c r="Q1179" s="258">
        <v>0</v>
      </c>
    </row>
    <row r="1180" spans="1:17">
      <c r="A1180" s="256">
        <v>3</v>
      </c>
      <c r="B1180" s="256">
        <v>1900101</v>
      </c>
      <c r="C1180" s="256">
        <v>190010100</v>
      </c>
      <c r="D1180" s="256" t="s">
        <v>631</v>
      </c>
      <c r="E1180" s="256" t="s">
        <v>683</v>
      </c>
      <c r="F1180" s="256" t="s">
        <v>684</v>
      </c>
      <c r="G1180" s="256" t="s">
        <v>684</v>
      </c>
      <c r="H1180" s="256"/>
      <c r="I1180" s="257">
        <v>0</v>
      </c>
      <c r="J1180" s="257">
        <v>0</v>
      </c>
      <c r="K1180" s="257">
        <v>0</v>
      </c>
      <c r="L1180" s="257">
        <v>0</v>
      </c>
      <c r="M1180" s="257">
        <v>0</v>
      </c>
      <c r="N1180" s="257">
        <v>0</v>
      </c>
      <c r="O1180" s="257">
        <v>0</v>
      </c>
      <c r="P1180" s="257">
        <v>0</v>
      </c>
      <c r="Q1180" s="258">
        <v>0</v>
      </c>
    </row>
    <row r="1181" spans="1:17">
      <c r="A1181" s="256">
        <v>3</v>
      </c>
      <c r="B1181" s="256">
        <v>1900202</v>
      </c>
      <c r="C1181" s="256">
        <v>190020200</v>
      </c>
      <c r="D1181" s="256" t="s">
        <v>631</v>
      </c>
      <c r="E1181" s="256" t="s">
        <v>683</v>
      </c>
      <c r="F1181" s="256" t="s">
        <v>685</v>
      </c>
      <c r="G1181" s="256" t="s">
        <v>685</v>
      </c>
      <c r="H1181" s="256"/>
      <c r="I1181" s="257">
        <v>0</v>
      </c>
      <c r="J1181" s="257">
        <v>0</v>
      </c>
      <c r="K1181" s="257">
        <v>0</v>
      </c>
      <c r="L1181" s="257">
        <v>0</v>
      </c>
      <c r="M1181" s="257">
        <v>0</v>
      </c>
      <c r="N1181" s="257">
        <v>0</v>
      </c>
      <c r="O1181" s="257">
        <v>0</v>
      </c>
      <c r="P1181" s="257">
        <v>0</v>
      </c>
      <c r="Q1181" s="258">
        <v>0</v>
      </c>
    </row>
    <row r="1182" spans="1:17">
      <c r="A1182" s="256">
        <v>3</v>
      </c>
      <c r="B1182" s="256">
        <v>1900303</v>
      </c>
      <c r="C1182" s="256">
        <v>190030300</v>
      </c>
      <c r="D1182" s="256" t="s">
        <v>631</v>
      </c>
      <c r="E1182" s="256" t="s">
        <v>683</v>
      </c>
      <c r="F1182" s="256" t="s">
        <v>683</v>
      </c>
      <c r="G1182" s="256" t="s">
        <v>683</v>
      </c>
      <c r="H1182" s="256"/>
      <c r="I1182" s="257">
        <v>0</v>
      </c>
      <c r="J1182" s="257">
        <v>0</v>
      </c>
      <c r="K1182" s="257">
        <v>0</v>
      </c>
      <c r="L1182" s="257">
        <v>0</v>
      </c>
      <c r="M1182" s="257">
        <v>0</v>
      </c>
      <c r="N1182" s="257">
        <v>0</v>
      </c>
      <c r="O1182" s="257">
        <v>0</v>
      </c>
      <c r="P1182" s="257">
        <v>0</v>
      </c>
      <c r="Q1182" s="258">
        <v>0</v>
      </c>
    </row>
    <row r="1183" spans="1:17">
      <c r="A1183" s="256">
        <v>3</v>
      </c>
      <c r="B1183" s="256">
        <v>4810202</v>
      </c>
      <c r="C1183" s="256">
        <v>481020200</v>
      </c>
      <c r="D1183" s="256" t="s">
        <v>686</v>
      </c>
      <c r="E1183" s="256" t="s">
        <v>687</v>
      </c>
      <c r="F1183" s="256" t="s">
        <v>688</v>
      </c>
      <c r="G1183" s="256" t="s">
        <v>688</v>
      </c>
      <c r="H1183" s="256"/>
      <c r="I1183" s="257">
        <v>110725924</v>
      </c>
      <c r="J1183" s="257">
        <v>0</v>
      </c>
      <c r="K1183" s="257">
        <v>0</v>
      </c>
      <c r="L1183" s="257">
        <v>0</v>
      </c>
      <c r="M1183" s="257">
        <v>0</v>
      </c>
      <c r="N1183" s="257">
        <v>110725924</v>
      </c>
      <c r="O1183" s="257">
        <v>0</v>
      </c>
      <c r="P1183" s="257">
        <v>0</v>
      </c>
      <c r="Q1183" s="258">
        <v>0</v>
      </c>
    </row>
    <row r="1184" spans="1:17">
      <c r="A1184" s="256">
        <v>3</v>
      </c>
      <c r="B1184" s="256">
        <v>4810404</v>
      </c>
      <c r="C1184" s="256">
        <v>481040411</v>
      </c>
      <c r="D1184" s="256" t="s">
        <v>686</v>
      </c>
      <c r="E1184" s="256" t="s">
        <v>687</v>
      </c>
      <c r="F1184" s="256" t="s">
        <v>689</v>
      </c>
      <c r="G1184" s="256" t="s">
        <v>690</v>
      </c>
      <c r="H1184" s="256" t="s">
        <v>691</v>
      </c>
      <c r="I1184" s="257">
        <v>499344000</v>
      </c>
      <c r="J1184" s="257">
        <v>0</v>
      </c>
      <c r="K1184" s="257">
        <v>0</v>
      </c>
      <c r="L1184" s="257">
        <v>0</v>
      </c>
      <c r="M1184" s="257">
        <v>0</v>
      </c>
      <c r="N1184" s="257">
        <v>0</v>
      </c>
      <c r="O1184" s="257">
        <v>0</v>
      </c>
      <c r="P1184" s="257">
        <v>499344000</v>
      </c>
      <c r="Q1184" s="258">
        <v>0</v>
      </c>
    </row>
    <row r="1185" spans="1:17">
      <c r="A1185" s="256">
        <v>3</v>
      </c>
      <c r="B1185" s="256">
        <v>4810404</v>
      </c>
      <c r="C1185" s="256">
        <v>481040412</v>
      </c>
      <c r="D1185" s="256" t="s">
        <v>686</v>
      </c>
      <c r="E1185" s="256" t="s">
        <v>687</v>
      </c>
      <c r="F1185" s="256" t="s">
        <v>689</v>
      </c>
      <c r="G1185" s="256" t="s">
        <v>690</v>
      </c>
      <c r="H1185" s="256" t="s">
        <v>692</v>
      </c>
      <c r="I1185" s="257">
        <v>0</v>
      </c>
      <c r="J1185" s="257">
        <v>0</v>
      </c>
      <c r="K1185" s="257">
        <v>0</v>
      </c>
      <c r="L1185" s="257">
        <v>0</v>
      </c>
      <c r="M1185" s="257">
        <v>0</v>
      </c>
      <c r="N1185" s="257">
        <v>0</v>
      </c>
      <c r="O1185" s="257">
        <v>0</v>
      </c>
      <c r="P1185" s="257">
        <v>0</v>
      </c>
      <c r="Q1185" s="258">
        <v>0</v>
      </c>
    </row>
    <row r="1186" spans="1:17">
      <c r="A1186" s="256">
        <v>3</v>
      </c>
      <c r="B1186" s="256">
        <v>4810404</v>
      </c>
      <c r="C1186" s="256">
        <v>481040413</v>
      </c>
      <c r="D1186" s="256" t="s">
        <v>686</v>
      </c>
      <c r="E1186" s="256" t="s">
        <v>687</v>
      </c>
      <c r="F1186" s="256" t="s">
        <v>689</v>
      </c>
      <c r="G1186" s="256" t="s">
        <v>690</v>
      </c>
      <c r="H1186" s="256" t="s">
        <v>693</v>
      </c>
      <c r="I1186" s="257">
        <v>114000</v>
      </c>
      <c r="J1186" s="257">
        <v>0</v>
      </c>
      <c r="K1186" s="257">
        <v>0</v>
      </c>
      <c r="L1186" s="257">
        <v>0</v>
      </c>
      <c r="M1186" s="257">
        <v>0</v>
      </c>
      <c r="N1186" s="257">
        <v>0</v>
      </c>
      <c r="O1186" s="257">
        <v>0</v>
      </c>
      <c r="P1186" s="257">
        <v>114000</v>
      </c>
      <c r="Q1186" s="258">
        <v>0</v>
      </c>
    </row>
    <row r="1187" spans="1:17">
      <c r="A1187" s="256">
        <v>3</v>
      </c>
      <c r="B1187" s="256">
        <v>4810404</v>
      </c>
      <c r="C1187" s="256">
        <v>481040415</v>
      </c>
      <c r="D1187" s="256" t="s">
        <v>686</v>
      </c>
      <c r="E1187" s="256" t="s">
        <v>687</v>
      </c>
      <c r="F1187" s="256" t="s">
        <v>689</v>
      </c>
      <c r="G1187" s="256" t="s">
        <v>690</v>
      </c>
      <c r="H1187" s="256" t="s">
        <v>694</v>
      </c>
      <c r="I1187" s="257">
        <v>0</v>
      </c>
      <c r="J1187" s="257">
        <v>0</v>
      </c>
      <c r="K1187" s="257">
        <v>0</v>
      </c>
      <c r="L1187" s="257">
        <v>0</v>
      </c>
      <c r="M1187" s="257">
        <v>0</v>
      </c>
      <c r="N1187" s="257">
        <v>0</v>
      </c>
      <c r="O1187" s="257">
        <v>0</v>
      </c>
      <c r="P1187" s="257">
        <v>0</v>
      </c>
      <c r="Q1187" s="258">
        <v>0</v>
      </c>
    </row>
    <row r="1188" spans="1:17">
      <c r="A1188" s="256">
        <v>3</v>
      </c>
      <c r="B1188" s="256">
        <v>4810406</v>
      </c>
      <c r="C1188" s="256">
        <v>481040600</v>
      </c>
      <c r="D1188" s="256" t="s">
        <v>686</v>
      </c>
      <c r="E1188" s="256" t="s">
        <v>687</v>
      </c>
      <c r="F1188" s="256" t="s">
        <v>689</v>
      </c>
      <c r="G1188" s="256" t="s">
        <v>695</v>
      </c>
      <c r="H1188" s="256"/>
      <c r="I1188" s="257">
        <v>0</v>
      </c>
      <c r="J1188" s="257">
        <v>0</v>
      </c>
      <c r="K1188" s="257">
        <v>0</v>
      </c>
      <c r="L1188" s="257">
        <v>0</v>
      </c>
      <c r="M1188" s="257">
        <v>0</v>
      </c>
      <c r="N1188" s="257">
        <v>0</v>
      </c>
      <c r="O1188" s="257">
        <v>0</v>
      </c>
      <c r="P1188" s="257">
        <v>0</v>
      </c>
      <c r="Q1188" s="258">
        <v>0</v>
      </c>
    </row>
    <row r="1189" spans="1:17">
      <c r="A1189" s="256">
        <v>3</v>
      </c>
      <c r="B1189" s="256">
        <v>4810408</v>
      </c>
      <c r="C1189" s="256">
        <v>481040800</v>
      </c>
      <c r="D1189" s="256" t="s">
        <v>686</v>
      </c>
      <c r="E1189" s="256" t="s">
        <v>687</v>
      </c>
      <c r="F1189" s="256" t="s">
        <v>689</v>
      </c>
      <c r="G1189" s="256" t="s">
        <v>696</v>
      </c>
      <c r="H1189" s="256"/>
      <c r="I1189" s="257">
        <v>0</v>
      </c>
      <c r="J1189" s="257">
        <v>0</v>
      </c>
      <c r="K1189" s="257">
        <v>0</v>
      </c>
      <c r="L1189" s="257">
        <v>0</v>
      </c>
      <c r="M1189" s="257">
        <v>0</v>
      </c>
      <c r="N1189" s="257">
        <v>0</v>
      </c>
      <c r="O1189" s="257">
        <v>0</v>
      </c>
      <c r="P1189" s="257">
        <v>0</v>
      </c>
      <c r="Q1189" s="258">
        <v>0</v>
      </c>
    </row>
    <row r="1190" spans="1:17">
      <c r="A1190" s="256">
        <v>3</v>
      </c>
      <c r="B1190" s="256">
        <v>4810409</v>
      </c>
      <c r="C1190" s="256">
        <v>481040900</v>
      </c>
      <c r="D1190" s="256" t="s">
        <v>686</v>
      </c>
      <c r="E1190" s="256" t="s">
        <v>687</v>
      </c>
      <c r="F1190" s="256" t="s">
        <v>689</v>
      </c>
      <c r="G1190" s="256" t="s">
        <v>697</v>
      </c>
      <c r="H1190" s="256"/>
      <c r="I1190" s="257">
        <v>0</v>
      </c>
      <c r="J1190" s="257">
        <v>0</v>
      </c>
      <c r="K1190" s="257">
        <v>0</v>
      </c>
      <c r="L1190" s="257">
        <v>0</v>
      </c>
      <c r="M1190" s="257">
        <v>0</v>
      </c>
      <c r="N1190" s="257">
        <v>0</v>
      </c>
      <c r="O1190" s="257">
        <v>0</v>
      </c>
      <c r="P1190" s="257">
        <v>0</v>
      </c>
      <c r="Q1190" s="258">
        <v>0</v>
      </c>
    </row>
    <row r="1191" spans="1:17">
      <c r="A1191" s="256">
        <v>3</v>
      </c>
      <c r="B1191" s="256">
        <v>4811214</v>
      </c>
      <c r="C1191" s="256">
        <v>481121400</v>
      </c>
      <c r="D1191" s="256" t="s">
        <v>686</v>
      </c>
      <c r="E1191" s="256" t="s">
        <v>687</v>
      </c>
      <c r="F1191" s="256" t="s">
        <v>699</v>
      </c>
      <c r="G1191" s="256" t="s">
        <v>699</v>
      </c>
      <c r="H1191" s="256"/>
      <c r="I1191" s="257">
        <v>0</v>
      </c>
      <c r="J1191" s="257">
        <v>0</v>
      </c>
      <c r="K1191" s="257">
        <v>0</v>
      </c>
      <c r="L1191" s="257">
        <v>0</v>
      </c>
      <c r="M1191" s="257">
        <v>0</v>
      </c>
      <c r="N1191" s="257">
        <v>0</v>
      </c>
      <c r="O1191" s="257">
        <v>0</v>
      </c>
      <c r="P1191" s="257">
        <v>0</v>
      </c>
      <c r="Q1191" s="258">
        <v>0</v>
      </c>
    </row>
    <row r="1192" spans="1:17">
      <c r="A1192" s="256">
        <v>3</v>
      </c>
      <c r="B1192" s="256">
        <v>4811417</v>
      </c>
      <c r="C1192" s="256">
        <v>481141700</v>
      </c>
      <c r="D1192" s="256" t="s">
        <v>686</v>
      </c>
      <c r="E1192" s="256" t="s">
        <v>687</v>
      </c>
      <c r="F1192" s="256" t="s">
        <v>700</v>
      </c>
      <c r="G1192" s="256" t="s">
        <v>703</v>
      </c>
      <c r="H1192" s="256"/>
      <c r="I1192" s="257">
        <v>0</v>
      </c>
      <c r="J1192" s="257">
        <v>0</v>
      </c>
      <c r="K1192" s="257">
        <v>0</v>
      </c>
      <c r="L1192" s="257">
        <v>0</v>
      </c>
      <c r="M1192" s="257">
        <v>0</v>
      </c>
      <c r="N1192" s="257">
        <v>0</v>
      </c>
      <c r="O1192" s="257">
        <v>0</v>
      </c>
      <c r="P1192" s="257">
        <v>0</v>
      </c>
      <c r="Q1192" s="258">
        <v>0</v>
      </c>
    </row>
    <row r="1193" spans="1:17">
      <c r="A1193" s="256">
        <v>3</v>
      </c>
      <c r="B1193" s="256">
        <v>4811418</v>
      </c>
      <c r="C1193" s="256">
        <v>481141800</v>
      </c>
      <c r="D1193" s="256" t="s">
        <v>686</v>
      </c>
      <c r="E1193" s="256" t="s">
        <v>687</v>
      </c>
      <c r="F1193" s="256" t="s">
        <v>700</v>
      </c>
      <c r="G1193" s="256" t="s">
        <v>64</v>
      </c>
      <c r="H1193" s="256"/>
      <c r="I1193" s="257">
        <v>0</v>
      </c>
      <c r="J1193" s="257">
        <v>0</v>
      </c>
      <c r="K1193" s="257">
        <v>0</v>
      </c>
      <c r="L1193" s="257">
        <v>0</v>
      </c>
      <c r="M1193" s="257">
        <v>0</v>
      </c>
      <c r="N1193" s="257">
        <v>0</v>
      </c>
      <c r="O1193" s="257">
        <v>0</v>
      </c>
      <c r="P1193" s="257">
        <v>0</v>
      </c>
      <c r="Q1193" s="258">
        <v>0</v>
      </c>
    </row>
    <row r="1194" spans="1:17">
      <c r="A1194" s="256">
        <v>3</v>
      </c>
      <c r="B1194" s="256">
        <v>4811419</v>
      </c>
      <c r="C1194" s="256">
        <v>481141915</v>
      </c>
      <c r="D1194" s="256" t="s">
        <v>686</v>
      </c>
      <c r="E1194" s="256" t="s">
        <v>687</v>
      </c>
      <c r="F1194" s="256" t="s">
        <v>700</v>
      </c>
      <c r="G1194" s="256" t="s">
        <v>85</v>
      </c>
      <c r="H1194" s="256" t="s">
        <v>704</v>
      </c>
      <c r="I1194" s="257">
        <v>0</v>
      </c>
      <c r="J1194" s="257">
        <v>0</v>
      </c>
      <c r="K1194" s="257">
        <v>0</v>
      </c>
      <c r="L1194" s="257">
        <v>0</v>
      </c>
      <c r="M1194" s="257">
        <v>0</v>
      </c>
      <c r="N1194" s="257">
        <v>0</v>
      </c>
      <c r="O1194" s="257">
        <v>0</v>
      </c>
      <c r="P1194" s="257">
        <v>0</v>
      </c>
      <c r="Q1194" s="258">
        <v>0</v>
      </c>
    </row>
    <row r="1195" spans="1:17">
      <c r="A1195" s="256">
        <v>3</v>
      </c>
      <c r="B1195" s="256">
        <v>4811419</v>
      </c>
      <c r="C1195" s="256">
        <v>481141916</v>
      </c>
      <c r="D1195" s="256" t="s">
        <v>686</v>
      </c>
      <c r="E1195" s="256" t="s">
        <v>687</v>
      </c>
      <c r="F1195" s="256" t="s">
        <v>700</v>
      </c>
      <c r="G1195" s="256" t="s">
        <v>85</v>
      </c>
      <c r="H1195" s="256" t="s">
        <v>705</v>
      </c>
      <c r="I1195" s="257">
        <v>0</v>
      </c>
      <c r="J1195" s="257">
        <v>0</v>
      </c>
      <c r="K1195" s="257">
        <v>0</v>
      </c>
      <c r="L1195" s="257">
        <v>0</v>
      </c>
      <c r="M1195" s="257">
        <v>0</v>
      </c>
      <c r="N1195" s="257">
        <v>0</v>
      </c>
      <c r="O1195" s="257">
        <v>0</v>
      </c>
      <c r="P1195" s="257">
        <v>0</v>
      </c>
      <c r="Q1195" s="258">
        <v>0</v>
      </c>
    </row>
    <row r="1196" spans="1:17">
      <c r="A1196" s="256">
        <v>3</v>
      </c>
      <c r="B1196" s="256">
        <v>4811419</v>
      </c>
      <c r="C1196" s="256">
        <v>481141917</v>
      </c>
      <c r="D1196" s="256" t="s">
        <v>686</v>
      </c>
      <c r="E1196" s="256" t="s">
        <v>687</v>
      </c>
      <c r="F1196" s="256" t="s">
        <v>700</v>
      </c>
      <c r="G1196" s="256" t="s">
        <v>85</v>
      </c>
      <c r="H1196" s="256" t="s">
        <v>706</v>
      </c>
      <c r="I1196" s="257">
        <v>0</v>
      </c>
      <c r="J1196" s="257">
        <v>0</v>
      </c>
      <c r="K1196" s="257">
        <v>0</v>
      </c>
      <c r="L1196" s="257">
        <v>0</v>
      </c>
      <c r="M1196" s="257">
        <v>0</v>
      </c>
      <c r="N1196" s="257">
        <v>0</v>
      </c>
      <c r="O1196" s="257">
        <v>0</v>
      </c>
      <c r="P1196" s="257">
        <v>0</v>
      </c>
      <c r="Q1196" s="258">
        <v>0</v>
      </c>
    </row>
    <row r="1197" spans="1:17">
      <c r="A1197" s="256">
        <v>3</v>
      </c>
      <c r="B1197" s="256">
        <v>4811420</v>
      </c>
      <c r="C1197" s="256">
        <v>481142000</v>
      </c>
      <c r="D1197" s="256" t="s">
        <v>686</v>
      </c>
      <c r="E1197" s="256" t="s">
        <v>687</v>
      </c>
      <c r="F1197" s="256" t="s">
        <v>700</v>
      </c>
      <c r="G1197" s="256" t="s">
        <v>707</v>
      </c>
      <c r="H1197" s="256"/>
      <c r="I1197" s="257">
        <v>0</v>
      </c>
      <c r="J1197" s="257">
        <v>0</v>
      </c>
      <c r="K1197" s="257">
        <v>0</v>
      </c>
      <c r="L1197" s="257">
        <v>0</v>
      </c>
      <c r="M1197" s="257">
        <v>0</v>
      </c>
      <c r="N1197" s="257">
        <v>0</v>
      </c>
      <c r="O1197" s="257">
        <v>0</v>
      </c>
      <c r="P1197" s="257">
        <v>0</v>
      </c>
      <c r="Q1197" s="258">
        <v>0</v>
      </c>
    </row>
    <row r="1198" spans="1:17">
      <c r="A1198" s="256">
        <v>3</v>
      </c>
      <c r="B1198" s="256">
        <v>4820221</v>
      </c>
      <c r="C1198" s="256">
        <v>482022100</v>
      </c>
      <c r="D1198" s="256" t="s">
        <v>686</v>
      </c>
      <c r="E1198" s="256" t="s">
        <v>708</v>
      </c>
      <c r="F1198" s="256" t="s">
        <v>709</v>
      </c>
      <c r="G1198" s="256" t="s">
        <v>710</v>
      </c>
      <c r="H1198" s="256"/>
      <c r="I1198" s="257">
        <v>0</v>
      </c>
      <c r="J1198" s="257">
        <v>0</v>
      </c>
      <c r="K1198" s="257">
        <v>0</v>
      </c>
      <c r="L1198" s="257">
        <v>0</v>
      </c>
      <c r="M1198" s="257">
        <v>0</v>
      </c>
      <c r="N1198" s="257">
        <v>0</v>
      </c>
      <c r="O1198" s="257">
        <v>0</v>
      </c>
      <c r="P1198" s="257">
        <v>0</v>
      </c>
      <c r="Q1198" s="258">
        <v>0</v>
      </c>
    </row>
    <row r="1199" spans="1:17">
      <c r="A1199" s="256">
        <v>3</v>
      </c>
      <c r="B1199" s="256">
        <v>4820222</v>
      </c>
      <c r="C1199" s="256">
        <v>482022200</v>
      </c>
      <c r="D1199" s="256" t="s">
        <v>686</v>
      </c>
      <c r="E1199" s="256" t="s">
        <v>708</v>
      </c>
      <c r="F1199" s="256" t="s">
        <v>709</v>
      </c>
      <c r="G1199" s="256" t="s">
        <v>711</v>
      </c>
      <c r="H1199" s="256"/>
      <c r="I1199" s="257">
        <v>0</v>
      </c>
      <c r="J1199" s="257">
        <v>0</v>
      </c>
      <c r="K1199" s="257">
        <v>0</v>
      </c>
      <c r="L1199" s="257">
        <v>0</v>
      </c>
      <c r="M1199" s="257">
        <v>0</v>
      </c>
      <c r="N1199" s="257">
        <v>0</v>
      </c>
      <c r="O1199" s="257">
        <v>0</v>
      </c>
      <c r="P1199" s="257">
        <v>0</v>
      </c>
      <c r="Q1199" s="258">
        <v>0</v>
      </c>
    </row>
    <row r="1200" spans="1:17">
      <c r="A1200" s="256">
        <v>3</v>
      </c>
      <c r="B1200" s="256">
        <v>4820224</v>
      </c>
      <c r="C1200" s="256">
        <v>482022400</v>
      </c>
      <c r="D1200" s="256" t="s">
        <v>686</v>
      </c>
      <c r="E1200" s="256" t="s">
        <v>708</v>
      </c>
      <c r="F1200" s="256" t="s">
        <v>709</v>
      </c>
      <c r="G1200" s="256" t="s">
        <v>712</v>
      </c>
      <c r="H1200" s="256"/>
      <c r="I1200" s="257">
        <v>0</v>
      </c>
      <c r="J1200" s="257">
        <v>0</v>
      </c>
      <c r="K1200" s="257">
        <v>0</v>
      </c>
      <c r="L1200" s="257">
        <v>0</v>
      </c>
      <c r="M1200" s="257">
        <v>0</v>
      </c>
      <c r="N1200" s="257">
        <v>0</v>
      </c>
      <c r="O1200" s="257">
        <v>0</v>
      </c>
      <c r="P1200" s="257">
        <v>0</v>
      </c>
      <c r="Q1200" s="258">
        <v>0</v>
      </c>
    </row>
    <row r="1201" spans="1:17">
      <c r="A1201" s="256">
        <v>3</v>
      </c>
      <c r="B1201" s="256">
        <v>4820427</v>
      </c>
      <c r="C1201" s="256">
        <v>482042700</v>
      </c>
      <c r="D1201" s="256" t="s">
        <v>686</v>
      </c>
      <c r="E1201" s="256" t="s">
        <v>708</v>
      </c>
      <c r="F1201" s="256" t="s">
        <v>655</v>
      </c>
      <c r="G1201" s="256" t="s">
        <v>713</v>
      </c>
      <c r="H1201" s="256"/>
      <c r="I1201" s="257">
        <v>0</v>
      </c>
      <c r="J1201" s="257">
        <v>0</v>
      </c>
      <c r="K1201" s="257">
        <v>0</v>
      </c>
      <c r="L1201" s="257">
        <v>0</v>
      </c>
      <c r="M1201" s="257">
        <v>0</v>
      </c>
      <c r="N1201" s="257">
        <v>0</v>
      </c>
      <c r="O1201" s="257">
        <v>0</v>
      </c>
      <c r="P1201" s="257">
        <v>0</v>
      </c>
      <c r="Q1201" s="258">
        <v>0</v>
      </c>
    </row>
    <row r="1202" spans="1:17">
      <c r="A1202" s="256">
        <v>3</v>
      </c>
      <c r="B1202" s="256">
        <v>4820428</v>
      </c>
      <c r="C1202" s="256">
        <v>482042800</v>
      </c>
      <c r="D1202" s="256" t="s">
        <v>686</v>
      </c>
      <c r="E1202" s="256" t="s">
        <v>708</v>
      </c>
      <c r="F1202" s="256" t="s">
        <v>655</v>
      </c>
      <c r="G1202" s="256" t="s">
        <v>714</v>
      </c>
      <c r="H1202" s="256"/>
      <c r="I1202" s="257">
        <v>0</v>
      </c>
      <c r="J1202" s="257">
        <v>0</v>
      </c>
      <c r="K1202" s="257">
        <v>0</v>
      </c>
      <c r="L1202" s="257">
        <v>0</v>
      </c>
      <c r="M1202" s="257">
        <v>0</v>
      </c>
      <c r="N1202" s="257">
        <v>0</v>
      </c>
      <c r="O1202" s="257">
        <v>0</v>
      </c>
      <c r="P1202" s="257">
        <v>0</v>
      </c>
      <c r="Q1202" s="258">
        <v>0</v>
      </c>
    </row>
    <row r="1203" spans="1:17">
      <c r="A1203" s="256">
        <v>3</v>
      </c>
      <c r="B1203" s="256">
        <v>4820429</v>
      </c>
      <c r="C1203" s="256">
        <v>482042900</v>
      </c>
      <c r="D1203" s="256" t="s">
        <v>686</v>
      </c>
      <c r="E1203" s="256" t="s">
        <v>708</v>
      </c>
      <c r="F1203" s="256" t="s">
        <v>655</v>
      </c>
      <c r="G1203" s="256" t="s">
        <v>658</v>
      </c>
      <c r="H1203" s="256"/>
      <c r="I1203" s="257">
        <v>0</v>
      </c>
      <c r="J1203" s="257">
        <v>0</v>
      </c>
      <c r="K1203" s="257">
        <v>0</v>
      </c>
      <c r="L1203" s="257">
        <v>0</v>
      </c>
      <c r="M1203" s="257">
        <v>0</v>
      </c>
      <c r="N1203" s="257">
        <v>0</v>
      </c>
      <c r="O1203" s="257">
        <v>0</v>
      </c>
      <c r="P1203" s="257">
        <v>0</v>
      </c>
      <c r="Q1203" s="258">
        <v>0</v>
      </c>
    </row>
    <row r="1204" spans="1:17">
      <c r="A1204" s="256">
        <v>3</v>
      </c>
      <c r="B1204" s="256">
        <v>4820501</v>
      </c>
      <c r="C1204" s="256">
        <v>482050100</v>
      </c>
      <c r="D1204" s="256" t="s">
        <v>686</v>
      </c>
      <c r="E1204" s="256" t="s">
        <v>708</v>
      </c>
      <c r="F1204" s="256" t="s">
        <v>715</v>
      </c>
      <c r="G1204" s="256" t="s">
        <v>715</v>
      </c>
      <c r="H1204" s="256"/>
      <c r="I1204" s="257">
        <v>0</v>
      </c>
      <c r="J1204" s="257">
        <v>0</v>
      </c>
      <c r="K1204" s="257">
        <v>0</v>
      </c>
      <c r="L1204" s="257">
        <v>0</v>
      </c>
      <c r="M1204" s="257">
        <v>0</v>
      </c>
      <c r="N1204" s="257">
        <v>0</v>
      </c>
      <c r="O1204" s="257">
        <v>0</v>
      </c>
      <c r="P1204" s="257">
        <v>0</v>
      </c>
      <c r="Q1204" s="258">
        <v>0</v>
      </c>
    </row>
    <row r="1205" spans="1:17">
      <c r="A1205" s="256">
        <v>3</v>
      </c>
      <c r="B1205" s="256">
        <v>4820630</v>
      </c>
      <c r="C1205" s="256">
        <v>482063000</v>
      </c>
      <c r="D1205" s="256" t="s">
        <v>686</v>
      </c>
      <c r="E1205" s="256" t="s">
        <v>708</v>
      </c>
      <c r="F1205" s="256" t="s">
        <v>659</v>
      </c>
      <c r="G1205" s="256" t="s">
        <v>659</v>
      </c>
      <c r="H1205" s="256"/>
      <c r="I1205" s="257">
        <v>0</v>
      </c>
      <c r="J1205" s="257">
        <v>0</v>
      </c>
      <c r="K1205" s="257">
        <v>0</v>
      </c>
      <c r="L1205" s="257">
        <v>0</v>
      </c>
      <c r="M1205" s="257">
        <v>0</v>
      </c>
      <c r="N1205" s="257">
        <v>0</v>
      </c>
      <c r="O1205" s="257">
        <v>0</v>
      </c>
      <c r="P1205" s="257">
        <v>0</v>
      </c>
      <c r="Q1205" s="258">
        <v>0</v>
      </c>
    </row>
    <row r="1206" spans="1:17">
      <c r="A1206" s="256">
        <v>3</v>
      </c>
      <c r="B1206" s="256">
        <v>4820831</v>
      </c>
      <c r="C1206" s="256">
        <v>482083100</v>
      </c>
      <c r="D1206" s="256" t="s">
        <v>686</v>
      </c>
      <c r="E1206" s="256" t="s">
        <v>708</v>
      </c>
      <c r="F1206" s="256" t="s">
        <v>660</v>
      </c>
      <c r="G1206" s="256" t="s">
        <v>660</v>
      </c>
      <c r="H1206" s="256"/>
      <c r="I1206" s="257">
        <v>0</v>
      </c>
      <c r="J1206" s="257">
        <v>0</v>
      </c>
      <c r="K1206" s="257">
        <v>0</v>
      </c>
      <c r="L1206" s="257">
        <v>0</v>
      </c>
      <c r="M1206" s="257">
        <v>0</v>
      </c>
      <c r="N1206" s="257">
        <v>0</v>
      </c>
      <c r="O1206" s="257">
        <v>0</v>
      </c>
      <c r="P1206" s="257">
        <v>0</v>
      </c>
      <c r="Q1206" s="258">
        <v>0</v>
      </c>
    </row>
    <row r="1207" spans="1:17">
      <c r="A1207" s="256">
        <v>3</v>
      </c>
      <c r="B1207" s="256">
        <v>4820932</v>
      </c>
      <c r="C1207" s="256">
        <v>482093200</v>
      </c>
      <c r="D1207" s="256" t="s">
        <v>686</v>
      </c>
      <c r="E1207" s="256" t="s">
        <v>708</v>
      </c>
      <c r="F1207" s="256" t="s">
        <v>663</v>
      </c>
      <c r="G1207" s="256" t="s">
        <v>716</v>
      </c>
      <c r="H1207" s="256"/>
      <c r="I1207" s="257">
        <v>0</v>
      </c>
      <c r="J1207" s="257">
        <v>0</v>
      </c>
      <c r="K1207" s="257">
        <v>0</v>
      </c>
      <c r="L1207" s="257">
        <v>0</v>
      </c>
      <c r="M1207" s="257">
        <v>0</v>
      </c>
      <c r="N1207" s="257">
        <v>0</v>
      </c>
      <c r="O1207" s="257">
        <v>0</v>
      </c>
      <c r="P1207" s="257">
        <v>0</v>
      </c>
      <c r="Q1207" s="258">
        <v>0</v>
      </c>
    </row>
    <row r="1208" spans="1:17">
      <c r="A1208" s="256">
        <v>3</v>
      </c>
      <c r="B1208" s="256">
        <v>4820933</v>
      </c>
      <c r="C1208" s="256">
        <v>482093300</v>
      </c>
      <c r="D1208" s="256" t="s">
        <v>686</v>
      </c>
      <c r="E1208" s="256" t="s">
        <v>708</v>
      </c>
      <c r="F1208" s="256" t="s">
        <v>663</v>
      </c>
      <c r="G1208" s="256" t="s">
        <v>717</v>
      </c>
      <c r="H1208" s="256"/>
      <c r="I1208" s="257">
        <v>0</v>
      </c>
      <c r="J1208" s="257">
        <v>0</v>
      </c>
      <c r="K1208" s="257">
        <v>0</v>
      </c>
      <c r="L1208" s="257">
        <v>0</v>
      </c>
      <c r="M1208" s="257">
        <v>0</v>
      </c>
      <c r="N1208" s="257">
        <v>0</v>
      </c>
      <c r="O1208" s="257">
        <v>0</v>
      </c>
      <c r="P1208" s="257">
        <v>0</v>
      </c>
      <c r="Q1208" s="258">
        <v>0</v>
      </c>
    </row>
    <row r="1209" spans="1:17">
      <c r="A1209" s="256">
        <v>3</v>
      </c>
      <c r="B1209" s="256">
        <v>4821034</v>
      </c>
      <c r="C1209" s="256">
        <v>482103411</v>
      </c>
      <c r="D1209" s="256" t="s">
        <v>686</v>
      </c>
      <c r="E1209" s="256" t="s">
        <v>708</v>
      </c>
      <c r="F1209" s="256" t="s">
        <v>661</v>
      </c>
      <c r="G1209" s="256" t="s">
        <v>718</v>
      </c>
      <c r="H1209" s="256" t="s">
        <v>691</v>
      </c>
      <c r="I1209" s="257">
        <v>0</v>
      </c>
      <c r="J1209" s="257">
        <v>0</v>
      </c>
      <c r="K1209" s="257">
        <v>0</v>
      </c>
      <c r="L1209" s="257">
        <v>0</v>
      </c>
      <c r="M1209" s="257">
        <v>0</v>
      </c>
      <c r="N1209" s="257">
        <v>0</v>
      </c>
      <c r="O1209" s="257">
        <v>0</v>
      </c>
      <c r="P1209" s="257">
        <v>0</v>
      </c>
      <c r="Q1209" s="258">
        <v>0</v>
      </c>
    </row>
    <row r="1210" spans="1:17">
      <c r="A1210" s="256">
        <v>3</v>
      </c>
      <c r="B1210" s="256">
        <v>4821034</v>
      </c>
      <c r="C1210" s="256">
        <v>482103412</v>
      </c>
      <c r="D1210" s="256" t="s">
        <v>686</v>
      </c>
      <c r="E1210" s="256" t="s">
        <v>708</v>
      </c>
      <c r="F1210" s="256" t="s">
        <v>661</v>
      </c>
      <c r="G1210" s="256" t="s">
        <v>718</v>
      </c>
      <c r="H1210" s="256" t="s">
        <v>692</v>
      </c>
      <c r="I1210" s="257">
        <v>0</v>
      </c>
      <c r="J1210" s="257">
        <v>0</v>
      </c>
      <c r="K1210" s="257">
        <v>0</v>
      </c>
      <c r="L1210" s="257">
        <v>0</v>
      </c>
      <c r="M1210" s="257">
        <v>0</v>
      </c>
      <c r="N1210" s="257">
        <v>0</v>
      </c>
      <c r="O1210" s="257">
        <v>0</v>
      </c>
      <c r="P1210" s="257">
        <v>0</v>
      </c>
      <c r="Q1210" s="258">
        <v>0</v>
      </c>
    </row>
    <row r="1211" spans="1:17">
      <c r="A1211" s="256">
        <v>3</v>
      </c>
      <c r="B1211" s="256">
        <v>4821034</v>
      </c>
      <c r="C1211" s="256">
        <v>482103413</v>
      </c>
      <c r="D1211" s="256" t="s">
        <v>686</v>
      </c>
      <c r="E1211" s="256" t="s">
        <v>708</v>
      </c>
      <c r="F1211" s="256" t="s">
        <v>661</v>
      </c>
      <c r="G1211" s="256" t="s">
        <v>718</v>
      </c>
      <c r="H1211" s="256" t="s">
        <v>693</v>
      </c>
      <c r="I1211" s="257">
        <v>0</v>
      </c>
      <c r="J1211" s="257">
        <v>0</v>
      </c>
      <c r="K1211" s="257">
        <v>0</v>
      </c>
      <c r="L1211" s="257">
        <v>0</v>
      </c>
      <c r="M1211" s="257">
        <v>0</v>
      </c>
      <c r="N1211" s="257">
        <v>0</v>
      </c>
      <c r="O1211" s="257">
        <v>0</v>
      </c>
      <c r="P1211" s="257">
        <v>0</v>
      </c>
      <c r="Q1211" s="258">
        <v>0</v>
      </c>
    </row>
    <row r="1212" spans="1:17">
      <c r="A1212" s="256">
        <v>3</v>
      </c>
      <c r="B1212" s="256">
        <v>4821034</v>
      </c>
      <c r="C1212" s="256">
        <v>482103414</v>
      </c>
      <c r="D1212" s="256" t="s">
        <v>686</v>
      </c>
      <c r="E1212" s="256" t="s">
        <v>708</v>
      </c>
      <c r="F1212" s="256" t="s">
        <v>661</v>
      </c>
      <c r="G1212" s="256" t="s">
        <v>718</v>
      </c>
      <c r="H1212" s="256" t="s">
        <v>719</v>
      </c>
      <c r="I1212" s="257">
        <v>0</v>
      </c>
      <c r="J1212" s="257">
        <v>0</v>
      </c>
      <c r="K1212" s="257">
        <v>0</v>
      </c>
      <c r="L1212" s="257">
        <v>0</v>
      </c>
      <c r="M1212" s="257">
        <v>0</v>
      </c>
      <c r="N1212" s="257">
        <v>0</v>
      </c>
      <c r="O1212" s="257">
        <v>0</v>
      </c>
      <c r="P1212" s="257">
        <v>0</v>
      </c>
      <c r="Q1212" s="258">
        <v>0</v>
      </c>
    </row>
    <row r="1213" spans="1:17">
      <c r="A1213" s="256">
        <v>3</v>
      </c>
      <c r="B1213" s="256">
        <v>4821035</v>
      </c>
      <c r="C1213" s="256">
        <v>482103500</v>
      </c>
      <c r="D1213" s="256" t="s">
        <v>686</v>
      </c>
      <c r="E1213" s="256" t="s">
        <v>708</v>
      </c>
      <c r="F1213" s="256" t="s">
        <v>661</v>
      </c>
      <c r="G1213" s="256" t="s">
        <v>720</v>
      </c>
      <c r="H1213" s="256"/>
      <c r="I1213" s="257">
        <v>0</v>
      </c>
      <c r="J1213" s="257">
        <v>0</v>
      </c>
      <c r="K1213" s="257">
        <v>0</v>
      </c>
      <c r="L1213" s="257">
        <v>0</v>
      </c>
      <c r="M1213" s="257">
        <v>0</v>
      </c>
      <c r="N1213" s="257">
        <v>0</v>
      </c>
      <c r="O1213" s="257">
        <v>0</v>
      </c>
      <c r="P1213" s="257">
        <v>0</v>
      </c>
      <c r="Q1213" s="258">
        <v>0</v>
      </c>
    </row>
    <row r="1214" spans="1:17">
      <c r="A1214" s="256">
        <v>3</v>
      </c>
      <c r="B1214" s="256">
        <v>4821137</v>
      </c>
      <c r="C1214" s="256">
        <v>482113700</v>
      </c>
      <c r="D1214" s="256" t="s">
        <v>686</v>
      </c>
      <c r="E1214" s="256" t="s">
        <v>708</v>
      </c>
      <c r="F1214" s="256" t="s">
        <v>685</v>
      </c>
      <c r="G1214" s="256" t="s">
        <v>685</v>
      </c>
      <c r="H1214" s="256"/>
      <c r="I1214" s="257">
        <v>0</v>
      </c>
      <c r="J1214" s="257">
        <v>0</v>
      </c>
      <c r="K1214" s="257">
        <v>0</v>
      </c>
      <c r="L1214" s="257">
        <v>0</v>
      </c>
      <c r="M1214" s="257">
        <v>0</v>
      </c>
      <c r="N1214" s="257">
        <v>0</v>
      </c>
      <c r="O1214" s="257">
        <v>0</v>
      </c>
      <c r="P1214" s="257">
        <v>0</v>
      </c>
      <c r="Q1214" s="258">
        <v>0</v>
      </c>
    </row>
    <row r="1215" spans="1:17">
      <c r="A1215" s="256">
        <v>3</v>
      </c>
      <c r="B1215" s="256">
        <v>4821236</v>
      </c>
      <c r="C1215" s="256">
        <v>482123600</v>
      </c>
      <c r="D1215" s="256" t="s">
        <v>686</v>
      </c>
      <c r="E1215" s="256" t="s">
        <v>708</v>
      </c>
      <c r="F1215" s="256" t="s">
        <v>707</v>
      </c>
      <c r="G1215" s="256" t="s">
        <v>722</v>
      </c>
      <c r="H1215" s="256"/>
      <c r="I1215" s="257">
        <v>0</v>
      </c>
      <c r="J1215" s="257">
        <v>0</v>
      </c>
      <c r="K1215" s="257">
        <v>0</v>
      </c>
      <c r="L1215" s="257">
        <v>0</v>
      </c>
      <c r="M1215" s="257">
        <v>0</v>
      </c>
      <c r="N1215" s="257">
        <v>0</v>
      </c>
      <c r="O1215" s="257">
        <v>0</v>
      </c>
      <c r="P1215" s="257">
        <v>0</v>
      </c>
      <c r="Q1215" s="258">
        <v>0</v>
      </c>
    </row>
    <row r="1216" spans="1:17">
      <c r="A1216" s="256">
        <v>3</v>
      </c>
      <c r="B1216" s="256">
        <v>4821240</v>
      </c>
      <c r="C1216" s="256">
        <v>482124000</v>
      </c>
      <c r="D1216" s="256" t="s">
        <v>686</v>
      </c>
      <c r="E1216" s="256" t="s">
        <v>708</v>
      </c>
      <c r="F1216" s="256" t="s">
        <v>707</v>
      </c>
      <c r="G1216" s="256" t="s">
        <v>723</v>
      </c>
      <c r="H1216" s="256"/>
      <c r="I1216" s="257">
        <v>59650</v>
      </c>
      <c r="J1216" s="257">
        <v>0</v>
      </c>
      <c r="K1216" s="257">
        <v>0</v>
      </c>
      <c r="L1216" s="257">
        <v>0</v>
      </c>
      <c r="M1216" s="257">
        <v>0</v>
      </c>
      <c r="N1216" s="257">
        <v>0</v>
      </c>
      <c r="O1216" s="257">
        <v>59650</v>
      </c>
      <c r="P1216" s="257">
        <v>0</v>
      </c>
      <c r="Q1216" s="258">
        <v>0</v>
      </c>
    </row>
    <row r="1217" spans="1:19">
      <c r="A1217" s="256">
        <v>3</v>
      </c>
      <c r="B1217" s="256">
        <v>4821301</v>
      </c>
      <c r="C1217" s="256">
        <v>482130103</v>
      </c>
      <c r="D1217" s="256" t="s">
        <v>686</v>
      </c>
      <c r="E1217" s="256" t="s">
        <v>708</v>
      </c>
      <c r="F1217" s="256" t="s">
        <v>724</v>
      </c>
      <c r="G1217" s="256" t="s">
        <v>724</v>
      </c>
      <c r="H1217" s="256" t="s">
        <v>725</v>
      </c>
      <c r="I1217" s="257">
        <v>555546</v>
      </c>
      <c r="J1217" s="257">
        <v>0</v>
      </c>
      <c r="K1217" s="257">
        <v>0</v>
      </c>
      <c r="L1217" s="257">
        <v>0</v>
      </c>
      <c r="M1217" s="257">
        <v>0</v>
      </c>
      <c r="N1217" s="257">
        <v>0</v>
      </c>
      <c r="O1217" s="257">
        <v>0</v>
      </c>
      <c r="P1217" s="257">
        <v>555546</v>
      </c>
      <c r="Q1217" s="258">
        <v>0</v>
      </c>
    </row>
    <row r="1218" spans="1:19">
      <c r="A1218" s="256">
        <v>3</v>
      </c>
      <c r="B1218" s="256">
        <v>4821301</v>
      </c>
      <c r="C1218" s="256">
        <v>482130104</v>
      </c>
      <c r="D1218" s="256" t="s">
        <v>686</v>
      </c>
      <c r="E1218" s="256" t="s">
        <v>708</v>
      </c>
      <c r="F1218" s="256" t="s">
        <v>724</v>
      </c>
      <c r="G1218" s="256" t="s">
        <v>724</v>
      </c>
      <c r="H1218" s="256" t="s">
        <v>655</v>
      </c>
      <c r="I1218" s="290">
        <v>60541484</v>
      </c>
      <c r="J1218" s="257">
        <v>0</v>
      </c>
      <c r="K1218" s="257">
        <v>0</v>
      </c>
      <c r="L1218" s="257">
        <v>0</v>
      </c>
      <c r="M1218" s="257">
        <v>0</v>
      </c>
      <c r="N1218" s="257">
        <v>0</v>
      </c>
      <c r="O1218" s="257">
        <v>0</v>
      </c>
      <c r="P1218" s="290">
        <v>60541484</v>
      </c>
      <c r="Q1218" s="258">
        <v>0</v>
      </c>
      <c r="S1218" s="259" t="s">
        <v>876</v>
      </c>
    </row>
    <row r="1219" spans="1:19">
      <c r="A1219" s="256">
        <v>3</v>
      </c>
      <c r="B1219" s="256">
        <v>4821301</v>
      </c>
      <c r="C1219" s="256">
        <v>482130105</v>
      </c>
      <c r="D1219" s="256" t="s">
        <v>686</v>
      </c>
      <c r="E1219" s="256" t="s">
        <v>708</v>
      </c>
      <c r="F1219" s="256" t="s">
        <v>724</v>
      </c>
      <c r="G1219" s="256" t="s">
        <v>724</v>
      </c>
      <c r="H1219" s="256" t="s">
        <v>715</v>
      </c>
      <c r="I1219" s="257">
        <v>135768482</v>
      </c>
      <c r="J1219" s="257">
        <v>0</v>
      </c>
      <c r="K1219" s="257">
        <v>0</v>
      </c>
      <c r="L1219" s="257">
        <v>0</v>
      </c>
      <c r="M1219" s="257">
        <v>0</v>
      </c>
      <c r="N1219" s="257">
        <v>0</v>
      </c>
      <c r="O1219" s="257">
        <v>0</v>
      </c>
      <c r="P1219" s="257">
        <v>135768482</v>
      </c>
      <c r="Q1219" s="258">
        <v>0</v>
      </c>
    </row>
    <row r="1220" spans="1:19">
      <c r="A1220" s="256">
        <v>3</v>
      </c>
      <c r="B1220" s="256">
        <v>4821301</v>
      </c>
      <c r="C1220" s="256">
        <v>482130107</v>
      </c>
      <c r="D1220" s="256" t="s">
        <v>686</v>
      </c>
      <c r="E1220" s="256" t="s">
        <v>708</v>
      </c>
      <c r="F1220" s="256" t="s">
        <v>724</v>
      </c>
      <c r="G1220" s="256" t="s">
        <v>724</v>
      </c>
      <c r="H1220" s="256" t="s">
        <v>847</v>
      </c>
      <c r="I1220" s="257">
        <v>17689764</v>
      </c>
      <c r="J1220" s="257">
        <v>0</v>
      </c>
      <c r="K1220" s="257">
        <v>0</v>
      </c>
      <c r="L1220" s="257">
        <v>0</v>
      </c>
      <c r="M1220" s="257">
        <v>0</v>
      </c>
      <c r="N1220" s="257">
        <v>0</v>
      </c>
      <c r="O1220" s="257">
        <v>0</v>
      </c>
      <c r="P1220" s="257">
        <v>17689764</v>
      </c>
      <c r="Q1220" s="258">
        <v>0</v>
      </c>
    </row>
    <row r="1221" spans="1:19">
      <c r="A1221" s="256">
        <v>3</v>
      </c>
      <c r="B1221" s="256">
        <v>4821301</v>
      </c>
      <c r="C1221" s="256">
        <v>482130108</v>
      </c>
      <c r="D1221" s="256" t="s">
        <v>686</v>
      </c>
      <c r="E1221" s="256" t="s">
        <v>708</v>
      </c>
      <c r="F1221" s="256" t="s">
        <v>724</v>
      </c>
      <c r="G1221" s="256" t="s">
        <v>724</v>
      </c>
      <c r="H1221" s="256" t="s">
        <v>665</v>
      </c>
      <c r="I1221" s="257">
        <v>9543665</v>
      </c>
      <c r="J1221" s="257">
        <v>0</v>
      </c>
      <c r="K1221" s="257">
        <v>0</v>
      </c>
      <c r="L1221" s="257">
        <v>0</v>
      </c>
      <c r="M1221" s="257">
        <v>0</v>
      </c>
      <c r="N1221" s="257">
        <v>0</v>
      </c>
      <c r="O1221" s="257">
        <v>0</v>
      </c>
      <c r="P1221" s="257">
        <v>9543665</v>
      </c>
      <c r="Q1221" s="258">
        <v>0</v>
      </c>
    </row>
    <row r="1222" spans="1:19">
      <c r="A1222" s="256">
        <v>3</v>
      </c>
      <c r="B1222" s="256">
        <v>4821301</v>
      </c>
      <c r="C1222" s="256">
        <v>482130110</v>
      </c>
      <c r="D1222" s="256" t="s">
        <v>686</v>
      </c>
      <c r="E1222" s="256" t="s">
        <v>708</v>
      </c>
      <c r="F1222" s="256" t="s">
        <v>724</v>
      </c>
      <c r="G1222" s="256" t="s">
        <v>724</v>
      </c>
      <c r="H1222" s="256" t="s">
        <v>661</v>
      </c>
      <c r="I1222" s="257">
        <v>0</v>
      </c>
      <c r="J1222" s="257">
        <v>0</v>
      </c>
      <c r="K1222" s="257">
        <v>0</v>
      </c>
      <c r="L1222" s="257">
        <v>0</v>
      </c>
      <c r="M1222" s="257">
        <v>0</v>
      </c>
      <c r="N1222" s="257">
        <v>0</v>
      </c>
      <c r="O1222" s="257">
        <v>0</v>
      </c>
      <c r="P1222" s="257">
        <v>0</v>
      </c>
      <c r="Q1222" s="258">
        <v>0</v>
      </c>
    </row>
    <row r="1223" spans="1:19">
      <c r="A1223" s="256">
        <v>3</v>
      </c>
      <c r="B1223" s="256">
        <v>4821301</v>
      </c>
      <c r="C1223" s="256">
        <v>482130120</v>
      </c>
      <c r="D1223" s="256" t="s">
        <v>686</v>
      </c>
      <c r="E1223" s="256" t="s">
        <v>708</v>
      </c>
      <c r="F1223" s="256" t="s">
        <v>724</v>
      </c>
      <c r="G1223" s="256" t="s">
        <v>724</v>
      </c>
      <c r="H1223" s="256" t="s">
        <v>726</v>
      </c>
      <c r="I1223" s="257">
        <v>51782</v>
      </c>
      <c r="J1223" s="257">
        <v>0</v>
      </c>
      <c r="K1223" s="257">
        <v>0</v>
      </c>
      <c r="L1223" s="257">
        <v>0</v>
      </c>
      <c r="M1223" s="257">
        <v>0</v>
      </c>
      <c r="N1223" s="257">
        <v>0</v>
      </c>
      <c r="O1223" s="257">
        <v>0</v>
      </c>
      <c r="P1223" s="257">
        <v>51782</v>
      </c>
      <c r="Q1223" s="258">
        <v>0</v>
      </c>
    </row>
    <row r="1224" spans="1:19">
      <c r="A1224" s="256">
        <v>3</v>
      </c>
      <c r="B1224" s="256">
        <v>4830202</v>
      </c>
      <c r="C1224" s="256">
        <v>483020200</v>
      </c>
      <c r="D1224" s="256" t="s">
        <v>686</v>
      </c>
      <c r="E1224" s="256" t="s">
        <v>727</v>
      </c>
      <c r="F1224" s="256" t="s">
        <v>728</v>
      </c>
      <c r="G1224" s="256" t="s">
        <v>728</v>
      </c>
      <c r="H1224" s="256"/>
      <c r="I1224" s="257">
        <v>0</v>
      </c>
      <c r="J1224" s="257">
        <v>0</v>
      </c>
      <c r="K1224" s="257">
        <v>0</v>
      </c>
      <c r="L1224" s="257">
        <v>0</v>
      </c>
      <c r="M1224" s="257">
        <v>0</v>
      </c>
      <c r="N1224" s="257">
        <v>0</v>
      </c>
      <c r="O1224" s="257">
        <v>0</v>
      </c>
      <c r="P1224" s="257">
        <v>0</v>
      </c>
      <c r="Q1224" s="258">
        <v>0</v>
      </c>
    </row>
    <row r="1225" spans="1:19">
      <c r="A1225" s="256">
        <v>3</v>
      </c>
      <c r="B1225" s="256">
        <v>4830404</v>
      </c>
      <c r="C1225" s="256">
        <v>483040400</v>
      </c>
      <c r="D1225" s="256" t="s">
        <v>686</v>
      </c>
      <c r="E1225" s="256" t="s">
        <v>727</v>
      </c>
      <c r="F1225" s="256" t="s">
        <v>729</v>
      </c>
      <c r="G1225" s="256" t="s">
        <v>729</v>
      </c>
      <c r="H1225" s="256"/>
      <c r="I1225" s="257">
        <v>41186</v>
      </c>
      <c r="J1225" s="257">
        <v>0</v>
      </c>
      <c r="K1225" s="257">
        <v>0</v>
      </c>
      <c r="L1225" s="257">
        <v>10517</v>
      </c>
      <c r="M1225" s="257">
        <v>0</v>
      </c>
      <c r="N1225" s="257">
        <v>30669</v>
      </c>
      <c r="O1225" s="257">
        <v>0</v>
      </c>
      <c r="P1225" s="257">
        <v>0</v>
      </c>
      <c r="Q1225" s="258">
        <v>0</v>
      </c>
    </row>
    <row r="1226" spans="1:19">
      <c r="A1226" s="256">
        <v>3</v>
      </c>
      <c r="B1226" s="256">
        <v>4830606</v>
      </c>
      <c r="C1226" s="256">
        <v>483060600</v>
      </c>
      <c r="D1226" s="256" t="s">
        <v>686</v>
      </c>
      <c r="E1226" s="256" t="s">
        <v>727</v>
      </c>
      <c r="F1226" s="256" t="s">
        <v>730</v>
      </c>
      <c r="G1226" s="256" t="s">
        <v>730</v>
      </c>
      <c r="H1226" s="256"/>
      <c r="I1226" s="257">
        <v>0</v>
      </c>
      <c r="J1226" s="257">
        <v>0</v>
      </c>
      <c r="K1226" s="257">
        <v>0</v>
      </c>
      <c r="L1226" s="257">
        <v>0</v>
      </c>
      <c r="M1226" s="257">
        <v>0</v>
      </c>
      <c r="N1226" s="257">
        <v>0</v>
      </c>
      <c r="O1226" s="257">
        <v>0</v>
      </c>
      <c r="P1226" s="257">
        <v>0</v>
      </c>
      <c r="Q1226" s="258">
        <v>0</v>
      </c>
    </row>
    <row r="1227" spans="1:19">
      <c r="A1227" s="256">
        <v>3</v>
      </c>
      <c r="B1227" s="256">
        <v>4830607</v>
      </c>
      <c r="C1227" s="256">
        <v>483060700</v>
      </c>
      <c r="D1227" s="256" t="s">
        <v>686</v>
      </c>
      <c r="E1227" s="256" t="s">
        <v>727</v>
      </c>
      <c r="F1227" s="256" t="s">
        <v>730</v>
      </c>
      <c r="G1227" s="256" t="s">
        <v>731</v>
      </c>
      <c r="H1227" s="256"/>
      <c r="I1227" s="257">
        <v>27547</v>
      </c>
      <c r="J1227" s="257">
        <v>0</v>
      </c>
      <c r="K1227" s="257">
        <v>0</v>
      </c>
      <c r="L1227" s="257">
        <v>0</v>
      </c>
      <c r="M1227" s="257">
        <v>0</v>
      </c>
      <c r="N1227" s="257">
        <v>0</v>
      </c>
      <c r="O1227" s="257">
        <v>0</v>
      </c>
      <c r="P1227" s="257">
        <v>27547</v>
      </c>
      <c r="Q1227" s="258">
        <v>0</v>
      </c>
    </row>
    <row r="1228" spans="1:19">
      <c r="A1228" s="256">
        <v>3</v>
      </c>
      <c r="B1228" s="256">
        <v>4830608</v>
      </c>
      <c r="C1228" s="256">
        <v>483060800</v>
      </c>
      <c r="D1228" s="256" t="s">
        <v>686</v>
      </c>
      <c r="E1228" s="256" t="s">
        <v>727</v>
      </c>
      <c r="F1228" s="256" t="s">
        <v>730</v>
      </c>
      <c r="G1228" s="256" t="s">
        <v>732</v>
      </c>
      <c r="H1228" s="256"/>
      <c r="I1228" s="257">
        <v>0</v>
      </c>
      <c r="J1228" s="257">
        <v>0</v>
      </c>
      <c r="K1228" s="257">
        <v>0</v>
      </c>
      <c r="L1228" s="257">
        <v>0</v>
      </c>
      <c r="M1228" s="257">
        <v>0</v>
      </c>
      <c r="N1228" s="257">
        <v>0</v>
      </c>
      <c r="O1228" s="257">
        <v>0</v>
      </c>
      <c r="P1228" s="257">
        <v>0</v>
      </c>
      <c r="Q1228" s="258">
        <v>0</v>
      </c>
    </row>
    <row r="1229" spans="1:19">
      <c r="A1229" s="256">
        <v>3</v>
      </c>
      <c r="B1229" s="256">
        <v>4830808</v>
      </c>
      <c r="C1229" s="256">
        <v>483080800</v>
      </c>
      <c r="D1229" s="256" t="s">
        <v>686</v>
      </c>
      <c r="E1229" s="256" t="s">
        <v>727</v>
      </c>
      <c r="F1229" s="256" t="s">
        <v>733</v>
      </c>
      <c r="G1229" s="256" t="s">
        <v>733</v>
      </c>
      <c r="H1229" s="256"/>
      <c r="I1229" s="257">
        <v>0</v>
      </c>
      <c r="J1229" s="257">
        <v>0</v>
      </c>
      <c r="K1229" s="257">
        <v>0</v>
      </c>
      <c r="L1229" s="257">
        <v>0</v>
      </c>
      <c r="M1229" s="257">
        <v>0</v>
      </c>
      <c r="N1229" s="257">
        <v>0</v>
      </c>
      <c r="O1229" s="257">
        <v>0</v>
      </c>
      <c r="P1229" s="257">
        <v>0</v>
      </c>
      <c r="Q1229" s="258">
        <v>0</v>
      </c>
    </row>
    <row r="1230" spans="1:19">
      <c r="A1230" s="256">
        <v>3</v>
      </c>
      <c r="B1230" s="256">
        <v>6155069</v>
      </c>
      <c r="C1230" s="256">
        <v>615506900</v>
      </c>
      <c r="D1230" s="256" t="s">
        <v>734</v>
      </c>
      <c r="E1230" s="256" t="s">
        <v>735</v>
      </c>
      <c r="F1230" s="256" t="s">
        <v>783</v>
      </c>
      <c r="G1230" s="256" t="s">
        <v>767</v>
      </c>
      <c r="H1230" s="256"/>
      <c r="I1230" s="257">
        <v>0</v>
      </c>
      <c r="J1230" s="257">
        <v>0</v>
      </c>
      <c r="K1230" s="257">
        <v>0</v>
      </c>
      <c r="L1230" s="257">
        <v>0</v>
      </c>
      <c r="M1230" s="257">
        <v>0</v>
      </c>
      <c r="N1230" s="257">
        <v>0</v>
      </c>
      <c r="O1230" s="257">
        <v>0</v>
      </c>
      <c r="P1230" s="257">
        <v>0</v>
      </c>
      <c r="Q1230" s="258">
        <v>0</v>
      </c>
    </row>
    <row r="1231" spans="1:19">
      <c r="A1231" s="256">
        <v>3</v>
      </c>
      <c r="B1231" s="256">
        <v>6155075</v>
      </c>
      <c r="C1231" s="256">
        <v>615507583</v>
      </c>
      <c r="D1231" s="256" t="s">
        <v>734</v>
      </c>
      <c r="E1231" s="256" t="s">
        <v>735</v>
      </c>
      <c r="F1231" s="256" t="s">
        <v>783</v>
      </c>
      <c r="G1231" s="256" t="s">
        <v>773</v>
      </c>
      <c r="H1231" s="256" t="s">
        <v>75</v>
      </c>
      <c r="I1231" s="257">
        <v>0</v>
      </c>
      <c r="J1231" s="257">
        <v>0</v>
      </c>
      <c r="K1231" s="257">
        <v>0</v>
      </c>
      <c r="L1231" s="257">
        <v>0</v>
      </c>
      <c r="M1231" s="257">
        <v>0</v>
      </c>
      <c r="N1231" s="257">
        <v>0</v>
      </c>
      <c r="O1231" s="257">
        <v>0</v>
      </c>
      <c r="P1231" s="257">
        <v>0</v>
      </c>
      <c r="Q1231" s="258">
        <v>0</v>
      </c>
    </row>
    <row r="1232" spans="1:19">
      <c r="A1232" s="256">
        <v>3</v>
      </c>
      <c r="B1232" s="256">
        <v>6155075</v>
      </c>
      <c r="C1232" s="256">
        <v>615507585</v>
      </c>
      <c r="D1232" s="256" t="s">
        <v>734</v>
      </c>
      <c r="E1232" s="256" t="s">
        <v>735</v>
      </c>
      <c r="F1232" s="256" t="s">
        <v>783</v>
      </c>
      <c r="G1232" s="256" t="s">
        <v>773</v>
      </c>
      <c r="H1232" s="256" t="s">
        <v>775</v>
      </c>
      <c r="I1232" s="257">
        <v>0</v>
      </c>
      <c r="J1232" s="257">
        <v>0</v>
      </c>
      <c r="K1232" s="257">
        <v>0</v>
      </c>
      <c r="L1232" s="257">
        <v>0</v>
      </c>
      <c r="M1232" s="257">
        <v>0</v>
      </c>
      <c r="N1232" s="257">
        <v>0</v>
      </c>
      <c r="O1232" s="257">
        <v>0</v>
      </c>
      <c r="P1232" s="257">
        <v>0</v>
      </c>
      <c r="Q1232" s="258">
        <v>0</v>
      </c>
    </row>
    <row r="1233" spans="1:17">
      <c r="A1233" s="256">
        <v>3</v>
      </c>
      <c r="B1233" s="256">
        <v>6155075</v>
      </c>
      <c r="C1233" s="256">
        <v>615507586</v>
      </c>
      <c r="D1233" s="256" t="s">
        <v>734</v>
      </c>
      <c r="E1233" s="256" t="s">
        <v>735</v>
      </c>
      <c r="F1233" s="256" t="s">
        <v>783</v>
      </c>
      <c r="G1233" s="256" t="s">
        <v>773</v>
      </c>
      <c r="H1233" s="256" t="s">
        <v>776</v>
      </c>
      <c r="I1233" s="257">
        <v>0</v>
      </c>
      <c r="J1233" s="257">
        <v>0</v>
      </c>
      <c r="K1233" s="257">
        <v>0</v>
      </c>
      <c r="L1233" s="257">
        <v>0</v>
      </c>
      <c r="M1233" s="257">
        <v>0</v>
      </c>
      <c r="N1233" s="257">
        <v>0</v>
      </c>
      <c r="O1233" s="257">
        <v>0</v>
      </c>
      <c r="P1233" s="257">
        <v>0</v>
      </c>
      <c r="Q1233" s="258">
        <v>0</v>
      </c>
    </row>
    <row r="1234" spans="1:17">
      <c r="A1234" s="256">
        <v>3</v>
      </c>
      <c r="B1234" s="256">
        <v>6155301</v>
      </c>
      <c r="C1234" s="256">
        <v>615530102</v>
      </c>
      <c r="D1234" s="256" t="s">
        <v>734</v>
      </c>
      <c r="E1234" s="256" t="s">
        <v>735</v>
      </c>
      <c r="F1234" s="256" t="s">
        <v>851</v>
      </c>
      <c r="G1234" s="256" t="s">
        <v>112</v>
      </c>
      <c r="H1234" s="256" t="s">
        <v>737</v>
      </c>
      <c r="I1234" s="257">
        <v>0</v>
      </c>
      <c r="J1234" s="257">
        <v>0</v>
      </c>
      <c r="K1234" s="257">
        <v>0</v>
      </c>
      <c r="L1234" s="257">
        <v>0</v>
      </c>
      <c r="M1234" s="257">
        <v>0</v>
      </c>
      <c r="N1234" s="257">
        <v>0</v>
      </c>
      <c r="O1234" s="257">
        <v>0</v>
      </c>
      <c r="P1234" s="257">
        <v>0</v>
      </c>
      <c r="Q1234" s="258">
        <v>0</v>
      </c>
    </row>
    <row r="1235" spans="1:17">
      <c r="A1235" s="256">
        <v>3</v>
      </c>
      <c r="B1235" s="256">
        <v>6155301</v>
      </c>
      <c r="C1235" s="256">
        <v>615530103</v>
      </c>
      <c r="D1235" s="256" t="s">
        <v>734</v>
      </c>
      <c r="E1235" s="256" t="s">
        <v>735</v>
      </c>
      <c r="F1235" s="256" t="s">
        <v>851</v>
      </c>
      <c r="G1235" s="256" t="s">
        <v>112</v>
      </c>
      <c r="H1235" s="256" t="s">
        <v>738</v>
      </c>
      <c r="I1235" s="257">
        <v>0</v>
      </c>
      <c r="J1235" s="257">
        <v>0</v>
      </c>
      <c r="K1235" s="257">
        <v>0</v>
      </c>
      <c r="L1235" s="257">
        <v>0</v>
      </c>
      <c r="M1235" s="257">
        <v>0</v>
      </c>
      <c r="N1235" s="257">
        <v>0</v>
      </c>
      <c r="O1235" s="257">
        <v>0</v>
      </c>
      <c r="P1235" s="257">
        <v>0</v>
      </c>
      <c r="Q1235" s="258">
        <v>0</v>
      </c>
    </row>
    <row r="1236" spans="1:17">
      <c r="A1236" s="256">
        <v>3</v>
      </c>
      <c r="B1236" s="256">
        <v>6155301</v>
      </c>
      <c r="C1236" s="256">
        <v>615530104</v>
      </c>
      <c r="D1236" s="256" t="s">
        <v>734</v>
      </c>
      <c r="E1236" s="256" t="s">
        <v>735</v>
      </c>
      <c r="F1236" s="256" t="s">
        <v>851</v>
      </c>
      <c r="G1236" s="256" t="s">
        <v>112</v>
      </c>
      <c r="H1236" s="256" t="s">
        <v>739</v>
      </c>
      <c r="I1236" s="257">
        <v>0</v>
      </c>
      <c r="J1236" s="257">
        <v>0</v>
      </c>
      <c r="K1236" s="257">
        <v>0</v>
      </c>
      <c r="L1236" s="257">
        <v>0</v>
      </c>
      <c r="M1236" s="257">
        <v>0</v>
      </c>
      <c r="N1236" s="257">
        <v>0</v>
      </c>
      <c r="O1236" s="257">
        <v>0</v>
      </c>
      <c r="P1236" s="257">
        <v>0</v>
      </c>
      <c r="Q1236" s="258">
        <v>0</v>
      </c>
    </row>
    <row r="1237" spans="1:17">
      <c r="A1237" s="236">
        <v>3</v>
      </c>
      <c r="B1237" s="236">
        <v>6155301</v>
      </c>
      <c r="C1237" s="236">
        <v>615530105</v>
      </c>
      <c r="D1237" s="236" t="s">
        <v>734</v>
      </c>
      <c r="E1237" s="236" t="s">
        <v>735</v>
      </c>
      <c r="F1237" s="236" t="s">
        <v>851</v>
      </c>
      <c r="G1237" s="236" t="s">
        <v>112</v>
      </c>
      <c r="H1237" s="236" t="s">
        <v>859</v>
      </c>
      <c r="I1237" s="257">
        <v>0</v>
      </c>
      <c r="J1237" s="257">
        <v>0</v>
      </c>
      <c r="K1237" s="257">
        <v>0</v>
      </c>
      <c r="L1237" s="257">
        <v>0</v>
      </c>
      <c r="M1237" s="257">
        <v>0</v>
      </c>
      <c r="N1237" s="257">
        <v>0</v>
      </c>
      <c r="O1237" s="257">
        <v>0</v>
      </c>
      <c r="P1237" s="257">
        <v>0</v>
      </c>
      <c r="Q1237" s="258">
        <v>0</v>
      </c>
    </row>
    <row r="1238" spans="1:17">
      <c r="A1238" s="256">
        <v>3</v>
      </c>
      <c r="B1238" s="256">
        <v>6155302</v>
      </c>
      <c r="C1238" s="256">
        <v>615530202</v>
      </c>
      <c r="D1238" s="256" t="s">
        <v>734</v>
      </c>
      <c r="E1238" s="256" t="s">
        <v>735</v>
      </c>
      <c r="F1238" s="256" t="s">
        <v>851</v>
      </c>
      <c r="G1238" s="256" t="s">
        <v>110</v>
      </c>
      <c r="H1238" s="256" t="s">
        <v>741</v>
      </c>
      <c r="I1238" s="257">
        <v>3978000</v>
      </c>
      <c r="J1238" s="257">
        <v>0</v>
      </c>
      <c r="K1238" s="257">
        <v>0</v>
      </c>
      <c r="L1238" s="257">
        <v>0</v>
      </c>
      <c r="M1238" s="257">
        <v>0</v>
      </c>
      <c r="N1238" s="257">
        <v>0</v>
      </c>
      <c r="O1238" s="257">
        <v>0</v>
      </c>
      <c r="P1238" s="257">
        <v>3978000</v>
      </c>
      <c r="Q1238" s="258">
        <v>0</v>
      </c>
    </row>
    <row r="1239" spans="1:17">
      <c r="A1239" s="256">
        <v>3</v>
      </c>
      <c r="B1239" s="256">
        <v>6155303</v>
      </c>
      <c r="C1239" s="256">
        <v>615530301</v>
      </c>
      <c r="D1239" s="256" t="s">
        <v>734</v>
      </c>
      <c r="E1239" s="256" t="s">
        <v>735</v>
      </c>
      <c r="F1239" s="256" t="s">
        <v>851</v>
      </c>
      <c r="G1239" s="256" t="s">
        <v>108</v>
      </c>
      <c r="H1239" s="256" t="s">
        <v>742</v>
      </c>
      <c r="I1239" s="257">
        <v>397800</v>
      </c>
      <c r="J1239" s="257">
        <v>0</v>
      </c>
      <c r="K1239" s="257">
        <v>0</v>
      </c>
      <c r="L1239" s="257">
        <v>0</v>
      </c>
      <c r="M1239" s="257">
        <v>0</v>
      </c>
      <c r="N1239" s="257">
        <v>0</v>
      </c>
      <c r="O1239" s="257">
        <v>0</v>
      </c>
      <c r="P1239" s="257">
        <v>397800</v>
      </c>
      <c r="Q1239" s="258">
        <v>0</v>
      </c>
    </row>
    <row r="1240" spans="1:17">
      <c r="A1240" s="256">
        <v>3</v>
      </c>
      <c r="B1240" s="256">
        <v>6155303</v>
      </c>
      <c r="C1240" s="256">
        <v>615530302</v>
      </c>
      <c r="D1240" s="256" t="s">
        <v>734</v>
      </c>
      <c r="E1240" s="256" t="s">
        <v>735</v>
      </c>
      <c r="F1240" s="256" t="s">
        <v>851</v>
      </c>
      <c r="G1240" s="256" t="s">
        <v>108</v>
      </c>
      <c r="H1240" s="256" t="s">
        <v>743</v>
      </c>
      <c r="I1240" s="257">
        <v>0</v>
      </c>
      <c r="J1240" s="257">
        <v>0</v>
      </c>
      <c r="K1240" s="257">
        <v>0</v>
      </c>
      <c r="L1240" s="257">
        <v>0</v>
      </c>
      <c r="M1240" s="257">
        <v>0</v>
      </c>
      <c r="N1240" s="257">
        <v>0</v>
      </c>
      <c r="O1240" s="257">
        <v>0</v>
      </c>
      <c r="P1240" s="257">
        <v>0</v>
      </c>
      <c r="Q1240" s="258">
        <v>0</v>
      </c>
    </row>
    <row r="1241" spans="1:17">
      <c r="A1241" s="256">
        <v>3</v>
      </c>
      <c r="B1241" s="256">
        <v>6155303</v>
      </c>
      <c r="C1241" s="256">
        <v>615530303</v>
      </c>
      <c r="D1241" s="256" t="s">
        <v>734</v>
      </c>
      <c r="E1241" s="256" t="s">
        <v>735</v>
      </c>
      <c r="F1241" s="256" t="s">
        <v>851</v>
      </c>
      <c r="G1241" s="256" t="s">
        <v>108</v>
      </c>
      <c r="H1241" s="256" t="s">
        <v>744</v>
      </c>
      <c r="I1241" s="257">
        <v>1722969</v>
      </c>
      <c r="J1241" s="257">
        <v>0</v>
      </c>
      <c r="K1241" s="257">
        <v>0</v>
      </c>
      <c r="L1241" s="257">
        <v>0</v>
      </c>
      <c r="M1241" s="257">
        <v>0</v>
      </c>
      <c r="N1241" s="257">
        <v>0</v>
      </c>
      <c r="O1241" s="257">
        <v>0</v>
      </c>
      <c r="P1241" s="257">
        <v>1722969</v>
      </c>
      <c r="Q1241" s="258">
        <v>0</v>
      </c>
    </row>
    <row r="1242" spans="1:17">
      <c r="A1242" s="256">
        <v>3</v>
      </c>
      <c r="B1242" s="256">
        <v>6155303</v>
      </c>
      <c r="C1242" s="256">
        <v>615530304</v>
      </c>
      <c r="D1242" s="256" t="s">
        <v>734</v>
      </c>
      <c r="E1242" s="256" t="s">
        <v>735</v>
      </c>
      <c r="F1242" s="256" t="s">
        <v>851</v>
      </c>
      <c r="G1242" s="256" t="s">
        <v>108</v>
      </c>
      <c r="H1242" s="256" t="s">
        <v>745</v>
      </c>
      <c r="I1242" s="257">
        <v>242040</v>
      </c>
      <c r="J1242" s="257">
        <v>0</v>
      </c>
      <c r="K1242" s="257">
        <v>0</v>
      </c>
      <c r="L1242" s="257">
        <v>0</v>
      </c>
      <c r="M1242" s="257">
        <v>0</v>
      </c>
      <c r="N1242" s="257">
        <v>242040</v>
      </c>
      <c r="O1242" s="257">
        <v>0</v>
      </c>
      <c r="P1242" s="257">
        <v>0</v>
      </c>
      <c r="Q1242" s="258">
        <v>0</v>
      </c>
    </row>
    <row r="1243" spans="1:17">
      <c r="A1243" s="256">
        <v>3</v>
      </c>
      <c r="B1243" s="256">
        <v>6155303</v>
      </c>
      <c r="C1243" s="256">
        <v>615530305</v>
      </c>
      <c r="D1243" s="256" t="s">
        <v>734</v>
      </c>
      <c r="E1243" s="256" t="s">
        <v>735</v>
      </c>
      <c r="F1243" s="256" t="s">
        <v>851</v>
      </c>
      <c r="G1243" s="256" t="s">
        <v>108</v>
      </c>
      <c r="H1243" s="256" t="s">
        <v>746</v>
      </c>
      <c r="I1243" s="257">
        <v>0</v>
      </c>
      <c r="J1243" s="257">
        <v>0</v>
      </c>
      <c r="K1243" s="257">
        <v>0</v>
      </c>
      <c r="L1243" s="257">
        <v>0</v>
      </c>
      <c r="M1243" s="257">
        <v>0</v>
      </c>
      <c r="N1243" s="257">
        <v>0</v>
      </c>
      <c r="O1243" s="257">
        <v>0</v>
      </c>
      <c r="P1243" s="257">
        <v>0</v>
      </c>
      <c r="Q1243" s="258">
        <v>0</v>
      </c>
    </row>
    <row r="1244" spans="1:17">
      <c r="A1244" s="256">
        <v>3</v>
      </c>
      <c r="B1244" s="256">
        <v>6155303</v>
      </c>
      <c r="C1244" s="256">
        <v>615530306</v>
      </c>
      <c r="D1244" s="256" t="s">
        <v>734</v>
      </c>
      <c r="E1244" s="256" t="s">
        <v>735</v>
      </c>
      <c r="F1244" s="256" t="s">
        <v>851</v>
      </c>
      <c r="G1244" s="256" t="s">
        <v>108</v>
      </c>
      <c r="H1244" s="256" t="s">
        <v>747</v>
      </c>
      <c r="I1244" s="257">
        <v>0</v>
      </c>
      <c r="J1244" s="257">
        <v>0</v>
      </c>
      <c r="K1244" s="257">
        <v>0</v>
      </c>
      <c r="L1244" s="257">
        <v>0</v>
      </c>
      <c r="M1244" s="257">
        <v>0</v>
      </c>
      <c r="N1244" s="257">
        <v>0</v>
      </c>
      <c r="O1244" s="257">
        <v>0</v>
      </c>
      <c r="P1244" s="257">
        <v>0</v>
      </c>
      <c r="Q1244" s="258">
        <v>0</v>
      </c>
    </row>
    <row r="1245" spans="1:17">
      <c r="A1245" s="256">
        <v>3</v>
      </c>
      <c r="B1245" s="256">
        <v>6155303</v>
      </c>
      <c r="C1245" s="256">
        <v>615530307</v>
      </c>
      <c r="D1245" s="256" t="s">
        <v>734</v>
      </c>
      <c r="E1245" s="256" t="s">
        <v>735</v>
      </c>
      <c r="F1245" s="256" t="s">
        <v>851</v>
      </c>
      <c r="G1245" s="256" t="s">
        <v>108</v>
      </c>
      <c r="H1245" s="256" t="s">
        <v>748</v>
      </c>
      <c r="I1245" s="257">
        <v>0</v>
      </c>
      <c r="J1245" s="257">
        <v>0</v>
      </c>
      <c r="K1245" s="257">
        <v>0</v>
      </c>
      <c r="L1245" s="257">
        <v>0</v>
      </c>
      <c r="M1245" s="257">
        <v>0</v>
      </c>
      <c r="N1245" s="257">
        <v>0</v>
      </c>
      <c r="O1245" s="257">
        <v>0</v>
      </c>
      <c r="P1245" s="257">
        <v>0</v>
      </c>
      <c r="Q1245" s="258">
        <v>0</v>
      </c>
    </row>
    <row r="1246" spans="1:17">
      <c r="A1246" s="256">
        <v>3</v>
      </c>
      <c r="B1246" s="256">
        <v>6155303</v>
      </c>
      <c r="C1246" s="256">
        <v>615530310</v>
      </c>
      <c r="D1246" s="256" t="s">
        <v>734</v>
      </c>
      <c r="E1246" s="256" t="s">
        <v>735</v>
      </c>
      <c r="F1246" s="256" t="s">
        <v>851</v>
      </c>
      <c r="G1246" s="256" t="s">
        <v>108</v>
      </c>
      <c r="H1246" s="256" t="s">
        <v>749</v>
      </c>
      <c r="I1246" s="257">
        <v>631575</v>
      </c>
      <c r="J1246" s="257">
        <v>0</v>
      </c>
      <c r="K1246" s="257">
        <v>0</v>
      </c>
      <c r="L1246" s="257">
        <v>0</v>
      </c>
      <c r="M1246" s="257">
        <v>0</v>
      </c>
      <c r="N1246" s="257">
        <v>0</v>
      </c>
      <c r="O1246" s="257">
        <v>0</v>
      </c>
      <c r="P1246" s="257">
        <v>631575</v>
      </c>
      <c r="Q1246" s="258">
        <v>0</v>
      </c>
    </row>
    <row r="1247" spans="1:17">
      <c r="A1247" s="256">
        <v>3</v>
      </c>
      <c r="B1247" s="256">
        <v>6155303</v>
      </c>
      <c r="C1247" s="256">
        <v>615530311</v>
      </c>
      <c r="D1247" s="256" t="s">
        <v>734</v>
      </c>
      <c r="E1247" s="256" t="s">
        <v>735</v>
      </c>
      <c r="F1247" s="256" t="s">
        <v>851</v>
      </c>
      <c r="G1247" s="256" t="s">
        <v>108</v>
      </c>
      <c r="H1247" s="256" t="s">
        <v>750</v>
      </c>
      <c r="I1247" s="257">
        <v>0</v>
      </c>
      <c r="J1247" s="257">
        <v>0</v>
      </c>
      <c r="K1247" s="257">
        <v>0</v>
      </c>
      <c r="L1247" s="257">
        <v>0</v>
      </c>
      <c r="M1247" s="257">
        <v>0</v>
      </c>
      <c r="N1247" s="257">
        <v>0</v>
      </c>
      <c r="O1247" s="257">
        <v>0</v>
      </c>
      <c r="P1247" s="257">
        <v>0</v>
      </c>
      <c r="Q1247" s="258">
        <v>0</v>
      </c>
    </row>
    <row r="1248" spans="1:17">
      <c r="A1248" s="256">
        <v>3</v>
      </c>
      <c r="B1248" s="256">
        <v>6155303</v>
      </c>
      <c r="C1248" s="256">
        <v>615530314</v>
      </c>
      <c r="D1248" s="256" t="s">
        <v>734</v>
      </c>
      <c r="E1248" s="256" t="s">
        <v>735</v>
      </c>
      <c r="F1248" s="256" t="s">
        <v>851</v>
      </c>
      <c r="G1248" s="256" t="s">
        <v>108</v>
      </c>
      <c r="H1248" s="256" t="s">
        <v>751</v>
      </c>
      <c r="I1248" s="257">
        <v>0</v>
      </c>
      <c r="J1248" s="257">
        <v>0</v>
      </c>
      <c r="K1248" s="257">
        <v>0</v>
      </c>
      <c r="L1248" s="257">
        <v>0</v>
      </c>
      <c r="M1248" s="257">
        <v>0</v>
      </c>
      <c r="N1248" s="257">
        <v>0</v>
      </c>
      <c r="O1248" s="257">
        <v>0</v>
      </c>
      <c r="P1248" s="257">
        <v>0</v>
      </c>
      <c r="Q1248" s="258">
        <v>0</v>
      </c>
    </row>
    <row r="1249" spans="1:17">
      <c r="A1249" s="256">
        <v>3</v>
      </c>
      <c r="B1249" s="256">
        <v>6155303</v>
      </c>
      <c r="C1249" s="256">
        <v>615530315</v>
      </c>
      <c r="D1249" s="256" t="s">
        <v>734</v>
      </c>
      <c r="E1249" s="256" t="s">
        <v>735</v>
      </c>
      <c r="F1249" s="256" t="s">
        <v>851</v>
      </c>
      <c r="G1249" s="256" t="s">
        <v>108</v>
      </c>
      <c r="H1249" s="256" t="s">
        <v>752</v>
      </c>
      <c r="I1249" s="257">
        <v>0</v>
      </c>
      <c r="J1249" s="257">
        <v>0</v>
      </c>
      <c r="K1249" s="257">
        <v>0</v>
      </c>
      <c r="L1249" s="257">
        <v>0</v>
      </c>
      <c r="M1249" s="257">
        <v>0</v>
      </c>
      <c r="N1249" s="257">
        <v>0</v>
      </c>
      <c r="O1249" s="257">
        <v>0</v>
      </c>
      <c r="P1249" s="257">
        <v>0</v>
      </c>
      <c r="Q1249" s="258">
        <v>0</v>
      </c>
    </row>
    <row r="1250" spans="1:17">
      <c r="A1250" s="256">
        <v>3</v>
      </c>
      <c r="B1250" s="256">
        <v>6155303</v>
      </c>
      <c r="C1250" s="256">
        <v>615530316</v>
      </c>
      <c r="D1250" s="256" t="s">
        <v>734</v>
      </c>
      <c r="E1250" s="256" t="s">
        <v>735</v>
      </c>
      <c r="F1250" s="256" t="s">
        <v>851</v>
      </c>
      <c r="G1250" s="256" t="s">
        <v>108</v>
      </c>
      <c r="H1250" s="256" t="s">
        <v>753</v>
      </c>
      <c r="I1250" s="257">
        <v>0</v>
      </c>
      <c r="J1250" s="257">
        <v>0</v>
      </c>
      <c r="K1250" s="257">
        <v>0</v>
      </c>
      <c r="L1250" s="257">
        <v>0</v>
      </c>
      <c r="M1250" s="257">
        <v>0</v>
      </c>
      <c r="N1250" s="257">
        <v>0</v>
      </c>
      <c r="O1250" s="257">
        <v>0</v>
      </c>
      <c r="P1250" s="257">
        <v>0</v>
      </c>
      <c r="Q1250" s="258">
        <v>0</v>
      </c>
    </row>
    <row r="1251" spans="1:17">
      <c r="A1251" s="256">
        <v>3</v>
      </c>
      <c r="B1251" s="256">
        <v>6155303</v>
      </c>
      <c r="C1251" s="256">
        <v>615530319</v>
      </c>
      <c r="D1251" s="256" t="s">
        <v>734</v>
      </c>
      <c r="E1251" s="256" t="s">
        <v>735</v>
      </c>
      <c r="F1251" s="256" t="s">
        <v>851</v>
      </c>
      <c r="G1251" s="256" t="s">
        <v>108</v>
      </c>
      <c r="H1251" s="256" t="s">
        <v>754</v>
      </c>
      <c r="I1251" s="257">
        <v>0</v>
      </c>
      <c r="J1251" s="257">
        <v>0</v>
      </c>
      <c r="K1251" s="257">
        <v>0</v>
      </c>
      <c r="L1251" s="257">
        <v>0</v>
      </c>
      <c r="M1251" s="257">
        <v>0</v>
      </c>
      <c r="N1251" s="257">
        <v>0</v>
      </c>
      <c r="O1251" s="257">
        <v>0</v>
      </c>
      <c r="P1251" s="257">
        <v>0</v>
      </c>
      <c r="Q1251" s="258">
        <v>0</v>
      </c>
    </row>
    <row r="1252" spans="1:17">
      <c r="A1252" s="256">
        <v>3</v>
      </c>
      <c r="B1252" s="256">
        <v>6155304</v>
      </c>
      <c r="C1252" s="256">
        <v>615530401</v>
      </c>
      <c r="D1252" s="256" t="s">
        <v>734</v>
      </c>
      <c r="E1252" s="256" t="s">
        <v>735</v>
      </c>
      <c r="F1252" s="256" t="s">
        <v>851</v>
      </c>
      <c r="G1252" s="256" t="s">
        <v>106</v>
      </c>
      <c r="H1252" s="256" t="s">
        <v>755</v>
      </c>
      <c r="I1252" s="257">
        <v>1040529</v>
      </c>
      <c r="J1252" s="257">
        <v>0</v>
      </c>
      <c r="K1252" s="257">
        <v>0</v>
      </c>
      <c r="L1252" s="257">
        <v>0</v>
      </c>
      <c r="M1252" s="257">
        <v>0</v>
      </c>
      <c r="N1252" s="257">
        <v>0</v>
      </c>
      <c r="O1252" s="257">
        <v>1040529</v>
      </c>
      <c r="P1252" s="257">
        <v>0</v>
      </c>
      <c r="Q1252" s="258">
        <v>0</v>
      </c>
    </row>
    <row r="1253" spans="1:17">
      <c r="A1253" s="256">
        <v>3</v>
      </c>
      <c r="B1253" s="256">
        <v>6155304</v>
      </c>
      <c r="C1253" s="256">
        <v>615530402</v>
      </c>
      <c r="D1253" s="256" t="s">
        <v>734</v>
      </c>
      <c r="E1253" s="256" t="s">
        <v>735</v>
      </c>
      <c r="F1253" s="256" t="s">
        <v>851</v>
      </c>
      <c r="G1253" s="256" t="s">
        <v>106</v>
      </c>
      <c r="H1253" s="256" t="s">
        <v>756</v>
      </c>
      <c r="I1253" s="257">
        <v>5964</v>
      </c>
      <c r="J1253" s="257">
        <v>0</v>
      </c>
      <c r="K1253" s="257">
        <v>0</v>
      </c>
      <c r="L1253" s="257">
        <v>0</v>
      </c>
      <c r="M1253" s="257">
        <v>0</v>
      </c>
      <c r="N1253" s="257">
        <v>0</v>
      </c>
      <c r="O1253" s="257">
        <v>0</v>
      </c>
      <c r="P1253" s="257">
        <v>5964</v>
      </c>
      <c r="Q1253" s="258">
        <v>0</v>
      </c>
    </row>
    <row r="1254" spans="1:17">
      <c r="A1254" s="256">
        <v>3</v>
      </c>
      <c r="B1254" s="256">
        <v>6155304</v>
      </c>
      <c r="C1254" s="256">
        <v>615530403</v>
      </c>
      <c r="D1254" s="256" t="s">
        <v>734</v>
      </c>
      <c r="E1254" s="256" t="s">
        <v>735</v>
      </c>
      <c r="F1254" s="256" t="s">
        <v>851</v>
      </c>
      <c r="G1254" s="256" t="s">
        <v>106</v>
      </c>
      <c r="H1254" s="256" t="s">
        <v>757</v>
      </c>
      <c r="I1254" s="257">
        <v>0</v>
      </c>
      <c r="J1254" s="257">
        <v>0</v>
      </c>
      <c r="K1254" s="257">
        <v>0</v>
      </c>
      <c r="L1254" s="257">
        <v>0</v>
      </c>
      <c r="M1254" s="257">
        <v>0</v>
      </c>
      <c r="N1254" s="257">
        <v>0</v>
      </c>
      <c r="O1254" s="257">
        <v>0</v>
      </c>
      <c r="P1254" s="257">
        <v>0</v>
      </c>
      <c r="Q1254" s="258">
        <v>0</v>
      </c>
    </row>
    <row r="1255" spans="1:17">
      <c r="A1255" s="256">
        <v>3</v>
      </c>
      <c r="B1255" s="256">
        <v>6155304</v>
      </c>
      <c r="C1255" s="256">
        <v>615530405</v>
      </c>
      <c r="D1255" s="256" t="s">
        <v>734</v>
      </c>
      <c r="E1255" s="256" t="s">
        <v>735</v>
      </c>
      <c r="F1255" s="256" t="s">
        <v>851</v>
      </c>
      <c r="G1255" s="256" t="s">
        <v>106</v>
      </c>
      <c r="H1255" s="256" t="s">
        <v>758</v>
      </c>
      <c r="I1255" s="257">
        <v>0</v>
      </c>
      <c r="J1255" s="257">
        <v>0</v>
      </c>
      <c r="K1255" s="257">
        <v>0</v>
      </c>
      <c r="L1255" s="257">
        <v>0</v>
      </c>
      <c r="M1255" s="257">
        <v>0</v>
      </c>
      <c r="N1255" s="257">
        <v>0</v>
      </c>
      <c r="O1255" s="257">
        <v>0</v>
      </c>
      <c r="P1255" s="257">
        <v>0</v>
      </c>
      <c r="Q1255" s="258">
        <v>0</v>
      </c>
    </row>
    <row r="1256" spans="1:17">
      <c r="A1256" s="256">
        <v>3</v>
      </c>
      <c r="B1256" s="256">
        <v>6155304</v>
      </c>
      <c r="C1256" s="256">
        <v>615530406</v>
      </c>
      <c r="D1256" s="256" t="s">
        <v>734</v>
      </c>
      <c r="E1256" s="256" t="s">
        <v>735</v>
      </c>
      <c r="F1256" s="256" t="s">
        <v>851</v>
      </c>
      <c r="G1256" s="256" t="s">
        <v>106</v>
      </c>
      <c r="H1256" s="256" t="s">
        <v>759</v>
      </c>
      <c r="I1256" s="257">
        <v>0</v>
      </c>
      <c r="J1256" s="257">
        <v>0</v>
      </c>
      <c r="K1256" s="257">
        <v>0</v>
      </c>
      <c r="L1256" s="257">
        <v>0</v>
      </c>
      <c r="M1256" s="257">
        <v>0</v>
      </c>
      <c r="N1256" s="257">
        <v>0</v>
      </c>
      <c r="O1256" s="257">
        <v>0</v>
      </c>
      <c r="P1256" s="257">
        <v>0</v>
      </c>
      <c r="Q1256" s="258">
        <v>0</v>
      </c>
    </row>
    <row r="1257" spans="1:17">
      <c r="A1257" s="256">
        <v>3</v>
      </c>
      <c r="B1257" s="256">
        <v>6155304</v>
      </c>
      <c r="C1257" s="256">
        <v>615530407</v>
      </c>
      <c r="D1257" s="256" t="s">
        <v>734</v>
      </c>
      <c r="E1257" s="256" t="s">
        <v>735</v>
      </c>
      <c r="F1257" s="256" t="s">
        <v>851</v>
      </c>
      <c r="G1257" s="256" t="s">
        <v>106</v>
      </c>
      <c r="H1257" s="256" t="s">
        <v>760</v>
      </c>
      <c r="I1257" s="257">
        <v>0</v>
      </c>
      <c r="J1257" s="257">
        <v>0</v>
      </c>
      <c r="K1257" s="257">
        <v>0</v>
      </c>
      <c r="L1257" s="257">
        <v>0</v>
      </c>
      <c r="M1257" s="257">
        <v>0</v>
      </c>
      <c r="N1257" s="257">
        <v>0</v>
      </c>
      <c r="O1257" s="257">
        <v>0</v>
      </c>
      <c r="P1257" s="257">
        <v>0</v>
      </c>
      <c r="Q1257" s="258">
        <v>0</v>
      </c>
    </row>
    <row r="1258" spans="1:17">
      <c r="A1258" s="256">
        <v>3</v>
      </c>
      <c r="B1258" s="256">
        <v>6155304</v>
      </c>
      <c r="C1258" s="256">
        <v>615530408</v>
      </c>
      <c r="D1258" s="256" t="s">
        <v>734</v>
      </c>
      <c r="E1258" s="256" t="s">
        <v>735</v>
      </c>
      <c r="F1258" s="256" t="s">
        <v>851</v>
      </c>
      <c r="G1258" s="256" t="s">
        <v>106</v>
      </c>
      <c r="H1258" s="256" t="s">
        <v>761</v>
      </c>
      <c r="I1258" s="257">
        <v>0</v>
      </c>
      <c r="J1258" s="257">
        <v>0</v>
      </c>
      <c r="K1258" s="257">
        <v>0</v>
      </c>
      <c r="L1258" s="257">
        <v>0</v>
      </c>
      <c r="M1258" s="257">
        <v>0</v>
      </c>
      <c r="N1258" s="257">
        <v>0</v>
      </c>
      <c r="O1258" s="257">
        <v>0</v>
      </c>
      <c r="P1258" s="257">
        <v>0</v>
      </c>
      <c r="Q1258" s="258">
        <v>0</v>
      </c>
    </row>
    <row r="1259" spans="1:17">
      <c r="A1259" s="256">
        <v>3</v>
      </c>
      <c r="B1259" s="256">
        <v>6155304</v>
      </c>
      <c r="C1259" s="256">
        <v>615530410</v>
      </c>
      <c r="D1259" s="256" t="s">
        <v>734</v>
      </c>
      <c r="E1259" s="256" t="s">
        <v>735</v>
      </c>
      <c r="F1259" s="256" t="s">
        <v>851</v>
      </c>
      <c r="G1259" s="256" t="s">
        <v>106</v>
      </c>
      <c r="H1259" s="256" t="s">
        <v>762</v>
      </c>
      <c r="I1259" s="257">
        <v>395370</v>
      </c>
      <c r="J1259" s="257">
        <v>0</v>
      </c>
      <c r="K1259" s="257">
        <v>0</v>
      </c>
      <c r="L1259" s="257">
        <v>0</v>
      </c>
      <c r="M1259" s="257">
        <v>0</v>
      </c>
      <c r="N1259" s="257">
        <v>0</v>
      </c>
      <c r="O1259" s="257">
        <v>395370</v>
      </c>
      <c r="P1259" s="257">
        <v>0</v>
      </c>
      <c r="Q1259" s="258">
        <v>0</v>
      </c>
    </row>
    <row r="1260" spans="1:17">
      <c r="A1260" s="256">
        <v>3</v>
      </c>
      <c r="B1260" s="256">
        <v>6155304</v>
      </c>
      <c r="C1260" s="256">
        <v>615530411</v>
      </c>
      <c r="D1260" s="256" t="s">
        <v>734</v>
      </c>
      <c r="E1260" s="256" t="s">
        <v>735</v>
      </c>
      <c r="F1260" s="256" t="s">
        <v>851</v>
      </c>
      <c r="G1260" s="256" t="s">
        <v>106</v>
      </c>
      <c r="H1260" s="256" t="s">
        <v>763</v>
      </c>
      <c r="I1260" s="257">
        <v>0</v>
      </c>
      <c r="J1260" s="257">
        <v>0</v>
      </c>
      <c r="K1260" s="257">
        <v>0</v>
      </c>
      <c r="L1260" s="257">
        <v>0</v>
      </c>
      <c r="M1260" s="257">
        <v>0</v>
      </c>
      <c r="N1260" s="257">
        <v>0</v>
      </c>
      <c r="O1260" s="257">
        <v>0</v>
      </c>
      <c r="P1260" s="257">
        <v>0</v>
      </c>
      <c r="Q1260" s="258">
        <v>0</v>
      </c>
    </row>
    <row r="1261" spans="1:17">
      <c r="A1261" s="256">
        <v>3</v>
      </c>
      <c r="B1261" s="256">
        <v>6155305</v>
      </c>
      <c r="C1261" s="256">
        <v>615530500</v>
      </c>
      <c r="D1261" s="256" t="s">
        <v>734</v>
      </c>
      <c r="E1261" s="256" t="s">
        <v>735</v>
      </c>
      <c r="F1261" s="256" t="s">
        <v>851</v>
      </c>
      <c r="G1261" s="256" t="s">
        <v>104</v>
      </c>
      <c r="H1261" s="256"/>
      <c r="I1261" s="257">
        <v>0</v>
      </c>
      <c r="J1261" s="257">
        <v>0</v>
      </c>
      <c r="K1261" s="257">
        <v>0</v>
      </c>
      <c r="L1261" s="257">
        <v>0</v>
      </c>
      <c r="M1261" s="257">
        <v>0</v>
      </c>
      <c r="N1261" s="257">
        <v>0</v>
      </c>
      <c r="O1261" s="257">
        <v>0</v>
      </c>
      <c r="P1261" s="257">
        <v>0</v>
      </c>
      <c r="Q1261" s="258">
        <v>0</v>
      </c>
    </row>
    <row r="1262" spans="1:17">
      <c r="A1262" s="256">
        <v>3</v>
      </c>
      <c r="B1262" s="256">
        <v>6155307</v>
      </c>
      <c r="C1262" s="256">
        <v>615530700</v>
      </c>
      <c r="D1262" s="256" t="s">
        <v>734</v>
      </c>
      <c r="E1262" s="256" t="s">
        <v>735</v>
      </c>
      <c r="F1262" s="256" t="s">
        <v>851</v>
      </c>
      <c r="G1262" s="256" t="s">
        <v>102</v>
      </c>
      <c r="H1262" s="256"/>
      <c r="I1262" s="257">
        <v>0</v>
      </c>
      <c r="J1262" s="257">
        <v>0</v>
      </c>
      <c r="K1262" s="257">
        <v>0</v>
      </c>
      <c r="L1262" s="257">
        <v>0</v>
      </c>
      <c r="M1262" s="257">
        <v>0</v>
      </c>
      <c r="N1262" s="257">
        <v>0</v>
      </c>
      <c r="O1262" s="257">
        <v>0</v>
      </c>
      <c r="P1262" s="257">
        <v>0</v>
      </c>
      <c r="Q1262" s="258">
        <v>0</v>
      </c>
    </row>
    <row r="1263" spans="1:17">
      <c r="A1263" s="256">
        <v>3</v>
      </c>
      <c r="B1263" s="256">
        <v>6155308</v>
      </c>
      <c r="C1263" s="256">
        <v>615530800</v>
      </c>
      <c r="D1263" s="256" t="s">
        <v>734</v>
      </c>
      <c r="E1263" s="256" t="s">
        <v>735</v>
      </c>
      <c r="F1263" s="256" t="s">
        <v>851</v>
      </c>
      <c r="G1263" s="256" t="s">
        <v>100</v>
      </c>
      <c r="H1263" s="256"/>
      <c r="I1263" s="257">
        <v>798400</v>
      </c>
      <c r="J1263" s="257">
        <v>0</v>
      </c>
      <c r="K1263" s="257">
        <v>0</v>
      </c>
      <c r="L1263" s="257">
        <v>0</v>
      </c>
      <c r="M1263" s="257">
        <v>0</v>
      </c>
      <c r="N1263" s="257">
        <v>0</v>
      </c>
      <c r="O1263" s="257">
        <v>0</v>
      </c>
      <c r="P1263" s="257">
        <v>798400</v>
      </c>
      <c r="Q1263" s="258">
        <v>0</v>
      </c>
    </row>
    <row r="1264" spans="1:17">
      <c r="A1264" s="256">
        <v>3</v>
      </c>
      <c r="B1264" s="256">
        <v>6155310</v>
      </c>
      <c r="C1264" s="256">
        <v>615531001</v>
      </c>
      <c r="D1264" s="256" t="s">
        <v>734</v>
      </c>
      <c r="E1264" s="256" t="s">
        <v>735</v>
      </c>
      <c r="F1264" s="256" t="s">
        <v>851</v>
      </c>
      <c r="G1264" s="256" t="s">
        <v>764</v>
      </c>
      <c r="H1264" s="256" t="s">
        <v>98</v>
      </c>
      <c r="I1264" s="257">
        <v>0</v>
      </c>
      <c r="J1264" s="257">
        <v>0</v>
      </c>
      <c r="K1264" s="257">
        <v>0</v>
      </c>
      <c r="L1264" s="257">
        <v>0</v>
      </c>
      <c r="M1264" s="257">
        <v>0</v>
      </c>
      <c r="N1264" s="257">
        <v>0</v>
      </c>
      <c r="O1264" s="257">
        <v>0</v>
      </c>
      <c r="P1264" s="257">
        <v>0</v>
      </c>
      <c r="Q1264" s="258">
        <v>0</v>
      </c>
    </row>
    <row r="1265" spans="1:17">
      <c r="A1265" s="256">
        <v>3</v>
      </c>
      <c r="B1265" s="256">
        <v>6155310</v>
      </c>
      <c r="C1265" s="256">
        <v>615531002</v>
      </c>
      <c r="D1265" s="256" t="s">
        <v>734</v>
      </c>
      <c r="E1265" s="256" t="s">
        <v>735</v>
      </c>
      <c r="F1265" s="256" t="s">
        <v>851</v>
      </c>
      <c r="G1265" s="256" t="s">
        <v>764</v>
      </c>
      <c r="H1265" s="256" t="s">
        <v>95</v>
      </c>
      <c r="I1265" s="257">
        <v>0</v>
      </c>
      <c r="J1265" s="257">
        <v>0</v>
      </c>
      <c r="K1265" s="257">
        <v>0</v>
      </c>
      <c r="L1265" s="257">
        <v>0</v>
      </c>
      <c r="M1265" s="257">
        <v>0</v>
      </c>
      <c r="N1265" s="257">
        <v>0</v>
      </c>
      <c r="O1265" s="257">
        <v>0</v>
      </c>
      <c r="P1265" s="257">
        <v>0</v>
      </c>
      <c r="Q1265" s="258">
        <v>0</v>
      </c>
    </row>
    <row r="1266" spans="1:17">
      <c r="A1266" s="236">
        <v>3</v>
      </c>
      <c r="B1266" s="236">
        <v>6155310</v>
      </c>
      <c r="C1266" s="236">
        <v>615531003</v>
      </c>
      <c r="D1266" s="236" t="s">
        <v>734</v>
      </c>
      <c r="E1266" s="236" t="s">
        <v>735</v>
      </c>
      <c r="F1266" s="236" t="s">
        <v>851</v>
      </c>
      <c r="G1266" s="236" t="s">
        <v>764</v>
      </c>
      <c r="H1266" s="236" t="s">
        <v>765</v>
      </c>
      <c r="I1266" s="257">
        <v>0</v>
      </c>
      <c r="J1266" s="257">
        <v>0</v>
      </c>
      <c r="K1266" s="257">
        <v>0</v>
      </c>
      <c r="L1266" s="257">
        <v>0</v>
      </c>
      <c r="M1266" s="257">
        <v>0</v>
      </c>
      <c r="N1266" s="257">
        <v>0</v>
      </c>
      <c r="O1266" s="257">
        <v>0</v>
      </c>
      <c r="P1266" s="257">
        <v>0</v>
      </c>
      <c r="Q1266" s="258">
        <v>0</v>
      </c>
    </row>
    <row r="1267" spans="1:17">
      <c r="A1267" s="256">
        <v>3</v>
      </c>
      <c r="B1267" s="256">
        <v>6155313</v>
      </c>
      <c r="C1267" s="256">
        <v>615531300</v>
      </c>
      <c r="D1267" s="256" t="s">
        <v>734</v>
      </c>
      <c r="E1267" s="256" t="s">
        <v>735</v>
      </c>
      <c r="F1267" s="256" t="s">
        <v>851</v>
      </c>
      <c r="G1267" s="256" t="s">
        <v>93</v>
      </c>
      <c r="H1267" s="256"/>
      <c r="I1267" s="257">
        <v>276770</v>
      </c>
      <c r="J1267" s="257">
        <v>0</v>
      </c>
      <c r="K1267" s="257">
        <v>0</v>
      </c>
      <c r="L1267" s="257">
        <v>0</v>
      </c>
      <c r="M1267" s="257">
        <v>0</v>
      </c>
      <c r="N1267" s="257">
        <v>276770</v>
      </c>
      <c r="O1267" s="257">
        <v>0</v>
      </c>
      <c r="P1267" s="257">
        <v>0</v>
      </c>
      <c r="Q1267" s="258">
        <v>0</v>
      </c>
    </row>
    <row r="1268" spans="1:17">
      <c r="A1268" s="256">
        <v>3</v>
      </c>
      <c r="B1268" s="256">
        <v>6155314</v>
      </c>
      <c r="C1268" s="256">
        <v>615531400</v>
      </c>
      <c r="D1268" s="256" t="s">
        <v>734</v>
      </c>
      <c r="E1268" s="256" t="s">
        <v>735</v>
      </c>
      <c r="F1268" s="256" t="s">
        <v>851</v>
      </c>
      <c r="G1268" s="256" t="s">
        <v>91</v>
      </c>
      <c r="H1268" s="256"/>
      <c r="I1268" s="257">
        <v>134790</v>
      </c>
      <c r="J1268" s="257">
        <v>0</v>
      </c>
      <c r="K1268" s="257">
        <v>0</v>
      </c>
      <c r="L1268" s="257">
        <v>0</v>
      </c>
      <c r="M1268" s="257">
        <v>0</v>
      </c>
      <c r="N1268" s="257">
        <v>134790</v>
      </c>
      <c r="O1268" s="257">
        <v>0</v>
      </c>
      <c r="P1268" s="257">
        <v>0</v>
      </c>
      <c r="Q1268" s="258">
        <v>0</v>
      </c>
    </row>
    <row r="1269" spans="1:17">
      <c r="A1269" s="256">
        <v>3</v>
      </c>
      <c r="B1269" s="256">
        <v>6155315</v>
      </c>
      <c r="C1269" s="256">
        <v>615531500</v>
      </c>
      <c r="D1269" s="256" t="s">
        <v>734</v>
      </c>
      <c r="E1269" s="256" t="s">
        <v>735</v>
      </c>
      <c r="F1269" s="256" t="s">
        <v>851</v>
      </c>
      <c r="G1269" s="256" t="s">
        <v>89</v>
      </c>
      <c r="H1269" s="256"/>
      <c r="I1269" s="257">
        <v>0</v>
      </c>
      <c r="J1269" s="257">
        <v>0</v>
      </c>
      <c r="K1269" s="257">
        <v>0</v>
      </c>
      <c r="L1269" s="257">
        <v>0</v>
      </c>
      <c r="M1269" s="257">
        <v>0</v>
      </c>
      <c r="N1269" s="257">
        <v>0</v>
      </c>
      <c r="O1269" s="257">
        <v>0</v>
      </c>
      <c r="P1269" s="257">
        <v>0</v>
      </c>
      <c r="Q1269" s="258">
        <v>0</v>
      </c>
    </row>
    <row r="1270" spans="1:17">
      <c r="A1270" s="256">
        <v>3</v>
      </c>
      <c r="B1270" s="256">
        <v>6155317</v>
      </c>
      <c r="C1270" s="256">
        <v>615531700</v>
      </c>
      <c r="D1270" s="256" t="s">
        <v>734</v>
      </c>
      <c r="E1270" s="256" t="s">
        <v>735</v>
      </c>
      <c r="F1270" s="256" t="s">
        <v>851</v>
      </c>
      <c r="G1270" s="256" t="s">
        <v>87</v>
      </c>
      <c r="H1270" s="256"/>
      <c r="I1270" s="257">
        <v>33182</v>
      </c>
      <c r="J1270" s="257">
        <v>0</v>
      </c>
      <c r="K1270" s="257">
        <v>0</v>
      </c>
      <c r="L1270" s="257">
        <v>0</v>
      </c>
      <c r="M1270" s="257">
        <v>0</v>
      </c>
      <c r="N1270" s="257">
        <v>33182</v>
      </c>
      <c r="O1270" s="257">
        <v>0</v>
      </c>
      <c r="P1270" s="257">
        <v>0</v>
      </c>
      <c r="Q1270" s="258">
        <v>0</v>
      </c>
    </row>
    <row r="1271" spans="1:17">
      <c r="A1271" s="256">
        <v>3</v>
      </c>
      <c r="B1271" s="256">
        <v>6155319</v>
      </c>
      <c r="C1271" s="256">
        <v>615531900</v>
      </c>
      <c r="D1271" s="256" t="s">
        <v>734</v>
      </c>
      <c r="E1271" s="256" t="s">
        <v>735</v>
      </c>
      <c r="F1271" s="256" t="s">
        <v>851</v>
      </c>
      <c r="G1271" s="256" t="s">
        <v>85</v>
      </c>
      <c r="H1271" s="256"/>
      <c r="I1271" s="257">
        <v>4061</v>
      </c>
      <c r="J1271" s="257">
        <v>0</v>
      </c>
      <c r="K1271" s="257">
        <v>0</v>
      </c>
      <c r="L1271" s="257">
        <v>0</v>
      </c>
      <c r="M1271" s="257">
        <v>0</v>
      </c>
      <c r="N1271" s="257">
        <v>461</v>
      </c>
      <c r="O1271" s="257">
        <v>3600</v>
      </c>
      <c r="P1271" s="257">
        <v>0</v>
      </c>
      <c r="Q1271" s="258">
        <v>0</v>
      </c>
    </row>
    <row r="1272" spans="1:17">
      <c r="A1272" s="256">
        <v>3</v>
      </c>
      <c r="B1272" s="256">
        <v>6155320</v>
      </c>
      <c r="C1272" s="256">
        <v>615532000</v>
      </c>
      <c r="D1272" s="256" t="s">
        <v>734</v>
      </c>
      <c r="E1272" s="256" t="s">
        <v>735</v>
      </c>
      <c r="F1272" s="256" t="s">
        <v>851</v>
      </c>
      <c r="G1272" s="256" t="s">
        <v>83</v>
      </c>
      <c r="H1272" s="256"/>
      <c r="I1272" s="257">
        <v>0</v>
      </c>
      <c r="J1272" s="257">
        <v>0</v>
      </c>
      <c r="K1272" s="257">
        <v>0</v>
      </c>
      <c r="L1272" s="257">
        <v>0</v>
      </c>
      <c r="M1272" s="257">
        <v>0</v>
      </c>
      <c r="N1272" s="257">
        <v>0</v>
      </c>
      <c r="O1272" s="257">
        <v>0</v>
      </c>
      <c r="P1272" s="257">
        <v>0</v>
      </c>
      <c r="Q1272" s="258">
        <v>0</v>
      </c>
    </row>
    <row r="1273" spans="1:17">
      <c r="A1273" s="256">
        <v>3</v>
      </c>
      <c r="B1273" s="256">
        <v>6155321</v>
      </c>
      <c r="C1273" s="256">
        <v>615532100</v>
      </c>
      <c r="D1273" s="256" t="s">
        <v>734</v>
      </c>
      <c r="E1273" s="256" t="s">
        <v>735</v>
      </c>
      <c r="F1273" s="256" t="s">
        <v>851</v>
      </c>
      <c r="G1273" s="256" t="s">
        <v>81</v>
      </c>
      <c r="H1273" s="256"/>
      <c r="I1273" s="257">
        <v>7072</v>
      </c>
      <c r="J1273" s="257">
        <v>0</v>
      </c>
      <c r="K1273" s="257">
        <v>0</v>
      </c>
      <c r="L1273" s="257">
        <v>0</v>
      </c>
      <c r="M1273" s="257">
        <v>0</v>
      </c>
      <c r="N1273" s="257">
        <v>7072</v>
      </c>
      <c r="O1273" s="257">
        <v>0</v>
      </c>
      <c r="P1273" s="257">
        <v>0</v>
      </c>
      <c r="Q1273" s="258">
        <v>0</v>
      </c>
    </row>
    <row r="1274" spans="1:17">
      <c r="A1274" s="256">
        <v>3</v>
      </c>
      <c r="B1274" s="256">
        <v>6155323</v>
      </c>
      <c r="C1274" s="256">
        <v>615532300</v>
      </c>
      <c r="D1274" s="256" t="s">
        <v>734</v>
      </c>
      <c r="E1274" s="256" t="s">
        <v>735</v>
      </c>
      <c r="F1274" s="256" t="s">
        <v>851</v>
      </c>
      <c r="G1274" s="256" t="s">
        <v>79</v>
      </c>
      <c r="H1274" s="256"/>
      <c r="I1274" s="257">
        <v>131873</v>
      </c>
      <c r="J1274" s="257">
        <v>0</v>
      </c>
      <c r="K1274" s="257">
        <v>0</v>
      </c>
      <c r="L1274" s="257">
        <v>0</v>
      </c>
      <c r="M1274" s="257">
        <v>0</v>
      </c>
      <c r="N1274" s="257">
        <v>131873</v>
      </c>
      <c r="O1274" s="257">
        <v>0</v>
      </c>
      <c r="P1274" s="257">
        <v>0</v>
      </c>
      <c r="Q1274" s="258">
        <v>0</v>
      </c>
    </row>
    <row r="1275" spans="1:17">
      <c r="A1275" s="256">
        <v>3</v>
      </c>
      <c r="B1275" s="256">
        <v>6155324</v>
      </c>
      <c r="C1275" s="256">
        <v>615532400</v>
      </c>
      <c r="D1275" s="256" t="s">
        <v>734</v>
      </c>
      <c r="E1275" s="256" t="s">
        <v>735</v>
      </c>
      <c r="F1275" s="256" t="s">
        <v>851</v>
      </c>
      <c r="G1275" s="256" t="s">
        <v>77</v>
      </c>
      <c r="H1275" s="256"/>
      <c r="I1275" s="257">
        <v>0</v>
      </c>
      <c r="J1275" s="257">
        <v>0</v>
      </c>
      <c r="K1275" s="257">
        <v>0</v>
      </c>
      <c r="L1275" s="257">
        <v>0</v>
      </c>
      <c r="M1275" s="257">
        <v>0</v>
      </c>
      <c r="N1275" s="257">
        <v>0</v>
      </c>
      <c r="O1275" s="257">
        <v>0</v>
      </c>
      <c r="P1275" s="257">
        <v>0</v>
      </c>
      <c r="Q1275" s="258">
        <v>0</v>
      </c>
    </row>
    <row r="1276" spans="1:17">
      <c r="A1276" s="256">
        <v>3</v>
      </c>
      <c r="B1276" s="256">
        <v>6155331</v>
      </c>
      <c r="C1276" s="256">
        <v>615533100</v>
      </c>
      <c r="D1276" s="256" t="s">
        <v>734</v>
      </c>
      <c r="E1276" s="256" t="s">
        <v>735</v>
      </c>
      <c r="F1276" s="256" t="s">
        <v>851</v>
      </c>
      <c r="G1276" s="256" t="s">
        <v>62</v>
      </c>
      <c r="H1276" s="256"/>
      <c r="I1276" s="257">
        <v>0</v>
      </c>
      <c r="J1276" s="257">
        <v>0</v>
      </c>
      <c r="K1276" s="257">
        <v>0</v>
      </c>
      <c r="L1276" s="257">
        <v>0</v>
      </c>
      <c r="M1276" s="257">
        <v>0</v>
      </c>
      <c r="N1276" s="257">
        <v>0</v>
      </c>
      <c r="O1276" s="257">
        <v>0</v>
      </c>
      <c r="P1276" s="257">
        <v>0</v>
      </c>
      <c r="Q1276" s="258">
        <v>0</v>
      </c>
    </row>
    <row r="1277" spans="1:17">
      <c r="A1277" s="256">
        <v>3</v>
      </c>
      <c r="B1277" s="256">
        <v>6155337</v>
      </c>
      <c r="C1277" s="256">
        <v>615533700</v>
      </c>
      <c r="D1277" s="256" t="s">
        <v>734</v>
      </c>
      <c r="E1277" s="256" t="s">
        <v>735</v>
      </c>
      <c r="F1277" s="256" t="s">
        <v>851</v>
      </c>
      <c r="G1277" s="256" t="s">
        <v>60</v>
      </c>
      <c r="H1277" s="256"/>
      <c r="I1277" s="257">
        <v>0</v>
      </c>
      <c r="J1277" s="257">
        <v>0</v>
      </c>
      <c r="K1277" s="257">
        <v>0</v>
      </c>
      <c r="L1277" s="257">
        <v>0</v>
      </c>
      <c r="M1277" s="257">
        <v>0</v>
      </c>
      <c r="N1277" s="257">
        <v>0</v>
      </c>
      <c r="O1277" s="257">
        <v>0</v>
      </c>
      <c r="P1277" s="257">
        <v>0</v>
      </c>
      <c r="Q1277" s="258">
        <v>0</v>
      </c>
    </row>
    <row r="1278" spans="1:17">
      <c r="A1278" s="256">
        <v>3</v>
      </c>
      <c r="B1278" s="256">
        <v>6155339</v>
      </c>
      <c r="C1278" s="256">
        <v>615533900</v>
      </c>
      <c r="D1278" s="256" t="s">
        <v>734</v>
      </c>
      <c r="E1278" s="256" t="s">
        <v>735</v>
      </c>
      <c r="F1278" s="256" t="s">
        <v>851</v>
      </c>
      <c r="G1278" s="256" t="s">
        <v>58</v>
      </c>
      <c r="H1278" s="256"/>
      <c r="I1278" s="257">
        <v>76260</v>
      </c>
      <c r="J1278" s="257">
        <v>0</v>
      </c>
      <c r="K1278" s="257">
        <v>0</v>
      </c>
      <c r="L1278" s="257">
        <v>0</v>
      </c>
      <c r="M1278" s="257">
        <v>0</v>
      </c>
      <c r="N1278" s="257">
        <v>0</v>
      </c>
      <c r="O1278" s="257">
        <v>76260</v>
      </c>
      <c r="P1278" s="257">
        <v>0</v>
      </c>
      <c r="Q1278" s="258">
        <v>0</v>
      </c>
    </row>
    <row r="1279" spans="1:17">
      <c r="A1279" s="256">
        <v>3</v>
      </c>
      <c r="B1279" s="256">
        <v>6155340</v>
      </c>
      <c r="C1279" s="256">
        <v>615534000</v>
      </c>
      <c r="D1279" s="256" t="s">
        <v>734</v>
      </c>
      <c r="E1279" s="256" t="s">
        <v>735</v>
      </c>
      <c r="F1279" s="256" t="s">
        <v>851</v>
      </c>
      <c r="G1279" s="256" t="s">
        <v>56</v>
      </c>
      <c r="H1279" s="256"/>
      <c r="I1279" s="257">
        <v>49407</v>
      </c>
      <c r="J1279" s="257">
        <v>0</v>
      </c>
      <c r="K1279" s="257">
        <v>0</v>
      </c>
      <c r="L1279" s="257">
        <v>0</v>
      </c>
      <c r="M1279" s="257">
        <v>0</v>
      </c>
      <c r="N1279" s="257">
        <v>0</v>
      </c>
      <c r="O1279" s="257">
        <v>0</v>
      </c>
      <c r="P1279" s="257">
        <v>49407</v>
      </c>
      <c r="Q1279" s="258">
        <v>0</v>
      </c>
    </row>
    <row r="1280" spans="1:17">
      <c r="A1280" s="256">
        <v>3</v>
      </c>
      <c r="B1280" s="256">
        <v>6155341</v>
      </c>
      <c r="C1280" s="256">
        <v>615534100</v>
      </c>
      <c r="D1280" s="256" t="s">
        <v>734</v>
      </c>
      <c r="E1280" s="256" t="s">
        <v>735</v>
      </c>
      <c r="F1280" s="256" t="s">
        <v>851</v>
      </c>
      <c r="G1280" s="256" t="s">
        <v>55</v>
      </c>
      <c r="H1280" s="256"/>
      <c r="I1280" s="257">
        <v>0</v>
      </c>
      <c r="J1280" s="257">
        <v>0</v>
      </c>
      <c r="K1280" s="257">
        <v>0</v>
      </c>
      <c r="L1280" s="257">
        <v>0</v>
      </c>
      <c r="M1280" s="257">
        <v>0</v>
      </c>
      <c r="N1280" s="257">
        <v>0</v>
      </c>
      <c r="O1280" s="257">
        <v>0</v>
      </c>
      <c r="P1280" s="257">
        <v>0</v>
      </c>
      <c r="Q1280" s="258">
        <v>0</v>
      </c>
    </row>
    <row r="1281" spans="1:17">
      <c r="A1281" s="256">
        <v>3</v>
      </c>
      <c r="B1281" s="256">
        <v>6155365</v>
      </c>
      <c r="C1281" s="256">
        <v>615536500</v>
      </c>
      <c r="D1281" s="256" t="s">
        <v>734</v>
      </c>
      <c r="E1281" s="256" t="s">
        <v>735</v>
      </c>
      <c r="F1281" s="256" t="s">
        <v>851</v>
      </c>
      <c r="G1281" s="256" t="s">
        <v>766</v>
      </c>
      <c r="H1281" s="256"/>
      <c r="I1281" s="257">
        <v>0</v>
      </c>
      <c r="J1281" s="257">
        <v>0</v>
      </c>
      <c r="K1281" s="257">
        <v>0</v>
      </c>
      <c r="L1281" s="257">
        <v>0</v>
      </c>
      <c r="M1281" s="257">
        <v>0</v>
      </c>
      <c r="N1281" s="257">
        <v>0</v>
      </c>
      <c r="O1281" s="257">
        <v>0</v>
      </c>
      <c r="P1281" s="257">
        <v>0</v>
      </c>
      <c r="Q1281" s="258">
        <v>0</v>
      </c>
    </row>
    <row r="1282" spans="1:17">
      <c r="A1282" s="256">
        <v>3</v>
      </c>
      <c r="B1282" s="256">
        <v>6155369</v>
      </c>
      <c r="C1282" s="256">
        <v>615536900</v>
      </c>
      <c r="D1282" s="256" t="s">
        <v>734</v>
      </c>
      <c r="E1282" s="256" t="s">
        <v>735</v>
      </c>
      <c r="F1282" s="256" t="s">
        <v>851</v>
      </c>
      <c r="G1282" s="256" t="s">
        <v>767</v>
      </c>
      <c r="H1282" s="256"/>
      <c r="I1282" s="257">
        <v>0</v>
      </c>
      <c r="J1282" s="257">
        <v>0</v>
      </c>
      <c r="K1282" s="257">
        <v>0</v>
      </c>
      <c r="L1282" s="257">
        <v>0</v>
      </c>
      <c r="M1282" s="257">
        <v>0</v>
      </c>
      <c r="N1282" s="257">
        <v>0</v>
      </c>
      <c r="O1282" s="257">
        <v>0</v>
      </c>
      <c r="P1282" s="257">
        <v>0</v>
      </c>
      <c r="Q1282" s="258">
        <v>0</v>
      </c>
    </row>
    <row r="1283" spans="1:17">
      <c r="A1283" s="256">
        <v>3</v>
      </c>
      <c r="B1283" s="256">
        <v>6155370</v>
      </c>
      <c r="C1283" s="256">
        <v>615537000</v>
      </c>
      <c r="D1283" s="256" t="s">
        <v>734</v>
      </c>
      <c r="E1283" s="256" t="s">
        <v>735</v>
      </c>
      <c r="F1283" s="256" t="s">
        <v>851</v>
      </c>
      <c r="G1283" s="256" t="s">
        <v>768</v>
      </c>
      <c r="H1283" s="256"/>
      <c r="I1283" s="257">
        <v>0</v>
      </c>
      <c r="J1283" s="257">
        <v>0</v>
      </c>
      <c r="K1283" s="257">
        <v>0</v>
      </c>
      <c r="L1283" s="257">
        <v>0</v>
      </c>
      <c r="M1283" s="257">
        <v>0</v>
      </c>
      <c r="N1283" s="257">
        <v>0</v>
      </c>
      <c r="O1283" s="257">
        <v>0</v>
      </c>
      <c r="P1283" s="257">
        <v>0</v>
      </c>
      <c r="Q1283" s="258">
        <v>0</v>
      </c>
    </row>
    <row r="1284" spans="1:17">
      <c r="A1284" s="256">
        <v>3</v>
      </c>
      <c r="B1284" s="256">
        <v>6155371</v>
      </c>
      <c r="C1284" s="256">
        <v>615537100</v>
      </c>
      <c r="D1284" s="256" t="s">
        <v>734</v>
      </c>
      <c r="E1284" s="256" t="s">
        <v>735</v>
      </c>
      <c r="F1284" s="256" t="s">
        <v>851</v>
      </c>
      <c r="G1284" s="256" t="s">
        <v>769</v>
      </c>
      <c r="H1284" s="256"/>
      <c r="I1284" s="257">
        <v>0</v>
      </c>
      <c r="J1284" s="257">
        <v>0</v>
      </c>
      <c r="K1284" s="257">
        <v>0</v>
      </c>
      <c r="L1284" s="257">
        <v>0</v>
      </c>
      <c r="M1284" s="257">
        <v>0</v>
      </c>
      <c r="N1284" s="257">
        <v>0</v>
      </c>
      <c r="O1284" s="257">
        <v>0</v>
      </c>
      <c r="P1284" s="257">
        <v>0</v>
      </c>
      <c r="Q1284" s="258">
        <v>0</v>
      </c>
    </row>
    <row r="1285" spans="1:17">
      <c r="A1285" s="256">
        <v>3</v>
      </c>
      <c r="B1285" s="256">
        <v>6155372</v>
      </c>
      <c r="C1285" s="256">
        <v>615537200</v>
      </c>
      <c r="D1285" s="256" t="s">
        <v>734</v>
      </c>
      <c r="E1285" s="256" t="s">
        <v>735</v>
      </c>
      <c r="F1285" s="256" t="s">
        <v>851</v>
      </c>
      <c r="G1285" s="256" t="s">
        <v>770</v>
      </c>
      <c r="H1285" s="256"/>
      <c r="I1285" s="257">
        <v>0</v>
      </c>
      <c r="J1285" s="257">
        <v>0</v>
      </c>
      <c r="K1285" s="257">
        <v>0</v>
      </c>
      <c r="L1285" s="257">
        <v>0</v>
      </c>
      <c r="M1285" s="257">
        <v>0</v>
      </c>
      <c r="N1285" s="257">
        <v>0</v>
      </c>
      <c r="O1285" s="257">
        <v>0</v>
      </c>
      <c r="P1285" s="257">
        <v>0</v>
      </c>
      <c r="Q1285" s="258">
        <v>0</v>
      </c>
    </row>
    <row r="1286" spans="1:17">
      <c r="A1286" s="256">
        <v>3</v>
      </c>
      <c r="B1286" s="256">
        <v>6155373</v>
      </c>
      <c r="C1286" s="256">
        <v>615537300</v>
      </c>
      <c r="D1286" s="256" t="s">
        <v>734</v>
      </c>
      <c r="E1286" s="256" t="s">
        <v>735</v>
      </c>
      <c r="F1286" s="256" t="s">
        <v>851</v>
      </c>
      <c r="G1286" s="256" t="s">
        <v>771</v>
      </c>
      <c r="H1286" s="256"/>
      <c r="I1286" s="257">
        <v>0</v>
      </c>
      <c r="J1286" s="257">
        <v>0</v>
      </c>
      <c r="K1286" s="257">
        <v>0</v>
      </c>
      <c r="L1286" s="257">
        <v>0</v>
      </c>
      <c r="M1286" s="257">
        <v>0</v>
      </c>
      <c r="N1286" s="257">
        <v>0</v>
      </c>
      <c r="O1286" s="257">
        <v>0</v>
      </c>
      <c r="P1286" s="257">
        <v>0</v>
      </c>
      <c r="Q1286" s="258">
        <v>0</v>
      </c>
    </row>
    <row r="1287" spans="1:17">
      <c r="A1287" s="256">
        <v>3</v>
      </c>
      <c r="B1287" s="256">
        <v>6155374</v>
      </c>
      <c r="C1287" s="256">
        <v>615537400</v>
      </c>
      <c r="D1287" s="256" t="s">
        <v>734</v>
      </c>
      <c r="E1287" s="256" t="s">
        <v>735</v>
      </c>
      <c r="F1287" s="256" t="s">
        <v>851</v>
      </c>
      <c r="G1287" s="256" t="s">
        <v>772</v>
      </c>
      <c r="H1287" s="256"/>
      <c r="I1287" s="257">
        <v>0</v>
      </c>
      <c r="J1287" s="257">
        <v>0</v>
      </c>
      <c r="K1287" s="257">
        <v>0</v>
      </c>
      <c r="L1287" s="257">
        <v>0</v>
      </c>
      <c r="M1287" s="257">
        <v>0</v>
      </c>
      <c r="N1287" s="257">
        <v>0</v>
      </c>
      <c r="O1287" s="257">
        <v>0</v>
      </c>
      <c r="P1287" s="257">
        <v>0</v>
      </c>
      <c r="Q1287" s="258">
        <v>0</v>
      </c>
    </row>
    <row r="1288" spans="1:17">
      <c r="A1288" s="256">
        <v>3</v>
      </c>
      <c r="B1288" s="256">
        <v>6155375</v>
      </c>
      <c r="C1288" s="256">
        <v>615537583</v>
      </c>
      <c r="D1288" s="256" t="s">
        <v>734</v>
      </c>
      <c r="E1288" s="256" t="s">
        <v>735</v>
      </c>
      <c r="F1288" s="256" t="s">
        <v>851</v>
      </c>
      <c r="G1288" s="256" t="s">
        <v>773</v>
      </c>
      <c r="H1288" s="256" t="s">
        <v>75</v>
      </c>
      <c r="I1288" s="257">
        <v>122037821</v>
      </c>
      <c r="J1288" s="257">
        <v>0</v>
      </c>
      <c r="K1288" s="257">
        <v>0</v>
      </c>
      <c r="L1288" s="257">
        <v>0</v>
      </c>
      <c r="M1288" s="257">
        <v>0</v>
      </c>
      <c r="N1288" s="257">
        <v>122037821</v>
      </c>
      <c r="O1288" s="257">
        <v>0</v>
      </c>
      <c r="P1288" s="257">
        <v>0</v>
      </c>
      <c r="Q1288" s="258">
        <v>0</v>
      </c>
    </row>
    <row r="1289" spans="1:17">
      <c r="A1289" s="256">
        <v>3</v>
      </c>
      <c r="B1289" s="256">
        <v>6155375</v>
      </c>
      <c r="C1289" s="256">
        <v>615537584</v>
      </c>
      <c r="D1289" s="256" t="s">
        <v>734</v>
      </c>
      <c r="E1289" s="256" t="s">
        <v>735</v>
      </c>
      <c r="F1289" s="256" t="s">
        <v>851</v>
      </c>
      <c r="G1289" s="256" t="s">
        <v>773</v>
      </c>
      <c r="H1289" s="256" t="s">
        <v>774</v>
      </c>
      <c r="I1289" s="257">
        <v>0</v>
      </c>
      <c r="J1289" s="257">
        <v>0</v>
      </c>
      <c r="K1289" s="257">
        <v>0</v>
      </c>
      <c r="L1289" s="257">
        <v>0</v>
      </c>
      <c r="M1289" s="257">
        <v>0</v>
      </c>
      <c r="N1289" s="257">
        <v>0</v>
      </c>
      <c r="O1289" s="257">
        <v>0</v>
      </c>
      <c r="P1289" s="257">
        <v>0</v>
      </c>
      <c r="Q1289" s="258">
        <v>0</v>
      </c>
    </row>
    <row r="1290" spans="1:17">
      <c r="A1290" s="256">
        <v>3</v>
      </c>
      <c r="B1290" s="256">
        <v>6155375</v>
      </c>
      <c r="C1290" s="256">
        <v>615537585</v>
      </c>
      <c r="D1290" s="256" t="s">
        <v>734</v>
      </c>
      <c r="E1290" s="256" t="s">
        <v>735</v>
      </c>
      <c r="F1290" s="256" t="s">
        <v>851</v>
      </c>
      <c r="G1290" s="256" t="s">
        <v>773</v>
      </c>
      <c r="H1290" s="256" t="s">
        <v>775</v>
      </c>
      <c r="I1290" s="257">
        <v>10447900</v>
      </c>
      <c r="J1290" s="257">
        <v>0</v>
      </c>
      <c r="K1290" s="257">
        <v>0</v>
      </c>
      <c r="L1290" s="257">
        <v>0</v>
      </c>
      <c r="M1290" s="257">
        <v>0</v>
      </c>
      <c r="N1290" s="257">
        <v>10447900</v>
      </c>
      <c r="O1290" s="257">
        <v>0</v>
      </c>
      <c r="P1290" s="257">
        <v>0</v>
      </c>
      <c r="Q1290" s="258">
        <v>0</v>
      </c>
    </row>
    <row r="1291" spans="1:17">
      <c r="A1291" s="256">
        <v>3</v>
      </c>
      <c r="B1291" s="256">
        <v>6155375</v>
      </c>
      <c r="C1291" s="256">
        <v>615537586</v>
      </c>
      <c r="D1291" s="256" t="s">
        <v>734</v>
      </c>
      <c r="E1291" s="256" t="s">
        <v>735</v>
      </c>
      <c r="F1291" s="256" t="s">
        <v>851</v>
      </c>
      <c r="G1291" s="256" t="s">
        <v>773</v>
      </c>
      <c r="H1291" s="256" t="s">
        <v>776</v>
      </c>
      <c r="I1291" s="257">
        <v>3268100</v>
      </c>
      <c r="J1291" s="257">
        <v>0</v>
      </c>
      <c r="K1291" s="257">
        <v>0</v>
      </c>
      <c r="L1291" s="257">
        <v>0</v>
      </c>
      <c r="M1291" s="257">
        <v>0</v>
      </c>
      <c r="N1291" s="257">
        <v>3268100</v>
      </c>
      <c r="O1291" s="257">
        <v>0</v>
      </c>
      <c r="P1291" s="257">
        <v>0</v>
      </c>
      <c r="Q1291" s="258">
        <v>0</v>
      </c>
    </row>
    <row r="1292" spans="1:17">
      <c r="A1292" s="256">
        <v>3</v>
      </c>
      <c r="B1292" s="256">
        <v>6155375</v>
      </c>
      <c r="C1292" s="256">
        <v>615537587</v>
      </c>
      <c r="D1292" s="256" t="s">
        <v>734</v>
      </c>
      <c r="E1292" s="256" t="s">
        <v>735</v>
      </c>
      <c r="F1292" s="256" t="s">
        <v>851</v>
      </c>
      <c r="G1292" s="256" t="s">
        <v>773</v>
      </c>
      <c r="H1292" s="256" t="s">
        <v>665</v>
      </c>
      <c r="I1292" s="257">
        <v>0</v>
      </c>
      <c r="J1292" s="257">
        <v>0</v>
      </c>
      <c r="K1292" s="257">
        <v>0</v>
      </c>
      <c r="L1292" s="257">
        <v>0</v>
      </c>
      <c r="M1292" s="257">
        <v>0</v>
      </c>
      <c r="N1292" s="257">
        <v>0</v>
      </c>
      <c r="O1292" s="257">
        <v>0</v>
      </c>
      <c r="P1292" s="257">
        <v>0</v>
      </c>
      <c r="Q1292" s="258">
        <v>0</v>
      </c>
    </row>
    <row r="1293" spans="1:17">
      <c r="A1293" s="256">
        <v>3</v>
      </c>
      <c r="B1293" s="256">
        <v>6155375</v>
      </c>
      <c r="C1293" s="256">
        <v>615537588</v>
      </c>
      <c r="D1293" s="256" t="s">
        <v>734</v>
      </c>
      <c r="E1293" s="256" t="s">
        <v>735</v>
      </c>
      <c r="F1293" s="256" t="s">
        <v>851</v>
      </c>
      <c r="G1293" s="256" t="s">
        <v>773</v>
      </c>
      <c r="H1293" s="256" t="s">
        <v>73</v>
      </c>
      <c r="I1293" s="257">
        <v>426920</v>
      </c>
      <c r="J1293" s="257">
        <v>0</v>
      </c>
      <c r="K1293" s="257">
        <v>0</v>
      </c>
      <c r="L1293" s="257">
        <v>0</v>
      </c>
      <c r="M1293" s="257">
        <v>0</v>
      </c>
      <c r="N1293" s="257">
        <v>0</v>
      </c>
      <c r="O1293" s="257">
        <v>426920</v>
      </c>
      <c r="P1293" s="257">
        <v>0</v>
      </c>
      <c r="Q1293" s="258">
        <v>0</v>
      </c>
    </row>
    <row r="1294" spans="1:17">
      <c r="A1294" s="256">
        <v>3</v>
      </c>
      <c r="B1294" s="256">
        <v>6160101</v>
      </c>
      <c r="C1294" s="256">
        <v>616010100</v>
      </c>
      <c r="D1294" s="256" t="s">
        <v>734</v>
      </c>
      <c r="E1294" s="256" t="s">
        <v>788</v>
      </c>
      <c r="F1294" s="256" t="s">
        <v>789</v>
      </c>
      <c r="G1294" s="256" t="s">
        <v>789</v>
      </c>
      <c r="H1294" s="256"/>
      <c r="I1294" s="257">
        <v>494560197</v>
      </c>
      <c r="J1294" s="257">
        <v>0</v>
      </c>
      <c r="K1294" s="257">
        <v>0</v>
      </c>
      <c r="L1294" s="257">
        <v>0</v>
      </c>
      <c r="M1294" s="257">
        <v>0</v>
      </c>
      <c r="N1294" s="257">
        <v>0</v>
      </c>
      <c r="O1294" s="257">
        <v>0</v>
      </c>
      <c r="P1294" s="257">
        <v>494560197</v>
      </c>
      <c r="Q1294" s="258">
        <v>0</v>
      </c>
    </row>
    <row r="1295" spans="1:17">
      <c r="A1295" s="236">
        <v>3</v>
      </c>
      <c r="B1295" s="236">
        <v>6160102</v>
      </c>
      <c r="C1295" s="236">
        <v>616010200</v>
      </c>
      <c r="D1295" s="236" t="s">
        <v>734</v>
      </c>
      <c r="E1295" s="236" t="s">
        <v>788</v>
      </c>
      <c r="F1295" s="236" t="s">
        <v>789</v>
      </c>
      <c r="G1295" s="236" t="s">
        <v>877</v>
      </c>
      <c r="H1295" s="236"/>
      <c r="I1295" s="257">
        <v>5479894</v>
      </c>
      <c r="J1295" s="257">
        <v>0</v>
      </c>
      <c r="K1295" s="257">
        <v>0</v>
      </c>
      <c r="L1295" s="257">
        <v>0</v>
      </c>
      <c r="M1295" s="257">
        <v>0</v>
      </c>
      <c r="N1295" s="257">
        <v>0</v>
      </c>
      <c r="O1295" s="257">
        <v>0</v>
      </c>
      <c r="P1295" s="257">
        <v>5479894</v>
      </c>
      <c r="Q1295" s="258">
        <v>0</v>
      </c>
    </row>
    <row r="1296" spans="1:17">
      <c r="A1296" s="256">
        <v>3</v>
      </c>
      <c r="B1296" s="256">
        <v>6160202</v>
      </c>
      <c r="C1296" s="256">
        <v>616020200</v>
      </c>
      <c r="D1296" s="256" t="s">
        <v>734</v>
      </c>
      <c r="E1296" s="256" t="s">
        <v>788</v>
      </c>
      <c r="F1296" s="256" t="s">
        <v>790</v>
      </c>
      <c r="G1296" s="256" t="s">
        <v>790</v>
      </c>
      <c r="H1296" s="256"/>
      <c r="I1296" s="257">
        <v>0</v>
      </c>
      <c r="J1296" s="257">
        <v>0</v>
      </c>
      <c r="K1296" s="257">
        <v>0</v>
      </c>
      <c r="L1296" s="257">
        <v>0</v>
      </c>
      <c r="M1296" s="257">
        <v>0</v>
      </c>
      <c r="N1296" s="257">
        <v>0</v>
      </c>
      <c r="O1296" s="257">
        <v>0</v>
      </c>
      <c r="P1296" s="257">
        <v>0</v>
      </c>
      <c r="Q1296" s="258">
        <v>0</v>
      </c>
    </row>
    <row r="1297" spans="1:17">
      <c r="A1297" s="256">
        <v>3</v>
      </c>
      <c r="B1297" s="256">
        <v>6160303</v>
      </c>
      <c r="C1297" s="256">
        <v>616030300</v>
      </c>
      <c r="D1297" s="256" t="s">
        <v>734</v>
      </c>
      <c r="E1297" s="256" t="s">
        <v>788</v>
      </c>
      <c r="F1297" s="256" t="s">
        <v>791</v>
      </c>
      <c r="G1297" s="256" t="s">
        <v>791</v>
      </c>
      <c r="H1297" s="256"/>
      <c r="I1297" s="257">
        <v>0</v>
      </c>
      <c r="J1297" s="257">
        <v>0</v>
      </c>
      <c r="K1297" s="257">
        <v>0</v>
      </c>
      <c r="L1297" s="257">
        <v>0</v>
      </c>
      <c r="M1297" s="257">
        <v>0</v>
      </c>
      <c r="N1297" s="257">
        <v>0</v>
      </c>
      <c r="O1297" s="257">
        <v>0</v>
      </c>
      <c r="P1297" s="257">
        <v>0</v>
      </c>
      <c r="Q1297" s="258">
        <v>0</v>
      </c>
    </row>
    <row r="1298" spans="1:17">
      <c r="A1298" s="256">
        <v>3</v>
      </c>
      <c r="B1298" s="256">
        <v>6170214</v>
      </c>
      <c r="C1298" s="256">
        <v>617021400</v>
      </c>
      <c r="D1298" s="256" t="s">
        <v>734</v>
      </c>
      <c r="E1298" s="256" t="s">
        <v>792</v>
      </c>
      <c r="F1298" s="256" t="s">
        <v>793</v>
      </c>
      <c r="G1298" s="256" t="s">
        <v>860</v>
      </c>
      <c r="H1298" s="256"/>
      <c r="I1298" s="257">
        <v>0</v>
      </c>
      <c r="J1298" s="257">
        <v>0</v>
      </c>
      <c r="K1298" s="257">
        <v>0</v>
      </c>
      <c r="L1298" s="257">
        <v>0</v>
      </c>
      <c r="M1298" s="257">
        <v>0</v>
      </c>
      <c r="N1298" s="257">
        <v>0</v>
      </c>
      <c r="O1298" s="257">
        <v>0</v>
      </c>
      <c r="P1298" s="257">
        <v>0</v>
      </c>
      <c r="Q1298" s="258">
        <v>0</v>
      </c>
    </row>
    <row r="1299" spans="1:17">
      <c r="A1299" s="256">
        <v>3</v>
      </c>
      <c r="B1299" s="256">
        <v>6170216</v>
      </c>
      <c r="C1299" s="256">
        <v>617021600</v>
      </c>
      <c r="D1299" s="256" t="s">
        <v>734</v>
      </c>
      <c r="E1299" s="256" t="s">
        <v>792</v>
      </c>
      <c r="F1299" s="256" t="s">
        <v>793</v>
      </c>
      <c r="G1299" s="256" t="s">
        <v>861</v>
      </c>
      <c r="H1299" s="256"/>
      <c r="I1299" s="257">
        <v>285000</v>
      </c>
      <c r="J1299" s="257">
        <v>0</v>
      </c>
      <c r="K1299" s="257">
        <v>0</v>
      </c>
      <c r="L1299" s="257">
        <v>0</v>
      </c>
      <c r="M1299" s="257">
        <v>0</v>
      </c>
      <c r="N1299" s="257">
        <v>0</v>
      </c>
      <c r="O1299" s="257">
        <v>0</v>
      </c>
      <c r="P1299" s="257">
        <v>285000</v>
      </c>
      <c r="Q1299" s="258">
        <v>0</v>
      </c>
    </row>
    <row r="1300" spans="1:17">
      <c r="A1300" s="256">
        <v>3</v>
      </c>
      <c r="B1300" s="256">
        <v>6170218</v>
      </c>
      <c r="C1300" s="256">
        <v>617021800</v>
      </c>
      <c r="D1300" s="256" t="s">
        <v>734</v>
      </c>
      <c r="E1300" s="256" t="s">
        <v>792</v>
      </c>
      <c r="F1300" s="256" t="s">
        <v>793</v>
      </c>
      <c r="G1300" s="256" t="s">
        <v>862</v>
      </c>
      <c r="H1300" s="256"/>
      <c r="I1300" s="257">
        <v>0</v>
      </c>
      <c r="J1300" s="257">
        <v>0</v>
      </c>
      <c r="K1300" s="257">
        <v>0</v>
      </c>
      <c r="L1300" s="257">
        <v>0</v>
      </c>
      <c r="M1300" s="257">
        <v>0</v>
      </c>
      <c r="N1300" s="257">
        <v>0</v>
      </c>
      <c r="O1300" s="257">
        <v>0</v>
      </c>
      <c r="P1300" s="257">
        <v>0</v>
      </c>
      <c r="Q1300" s="258">
        <v>0</v>
      </c>
    </row>
    <row r="1301" spans="1:17">
      <c r="A1301" s="256">
        <v>3</v>
      </c>
      <c r="B1301" s="256">
        <v>6170303</v>
      </c>
      <c r="C1301" s="256">
        <v>617030300</v>
      </c>
      <c r="D1301" s="256" t="s">
        <v>734</v>
      </c>
      <c r="E1301" s="256" t="s">
        <v>792</v>
      </c>
      <c r="F1301" s="256" t="s">
        <v>797</v>
      </c>
      <c r="G1301" s="256" t="s">
        <v>797</v>
      </c>
      <c r="H1301" s="256"/>
      <c r="I1301" s="257">
        <v>0</v>
      </c>
      <c r="J1301" s="257">
        <v>0</v>
      </c>
      <c r="K1301" s="257">
        <v>0</v>
      </c>
      <c r="L1301" s="257">
        <v>0</v>
      </c>
      <c r="M1301" s="257">
        <v>0</v>
      </c>
      <c r="N1301" s="257">
        <v>0</v>
      </c>
      <c r="O1301" s="257">
        <v>0</v>
      </c>
      <c r="P1301" s="257">
        <v>0</v>
      </c>
      <c r="Q1301" s="258">
        <v>0</v>
      </c>
    </row>
    <row r="1302" spans="1:17">
      <c r="A1302" s="256">
        <v>3</v>
      </c>
      <c r="B1302" s="256">
        <v>6170401</v>
      </c>
      <c r="C1302" s="256">
        <v>617040100</v>
      </c>
      <c r="D1302" s="256" t="s">
        <v>734</v>
      </c>
      <c r="E1302" s="256" t="s">
        <v>792</v>
      </c>
      <c r="F1302" s="256" t="s">
        <v>791</v>
      </c>
      <c r="G1302" s="256" t="s">
        <v>798</v>
      </c>
      <c r="H1302" s="256"/>
      <c r="I1302" s="257">
        <v>358000</v>
      </c>
      <c r="J1302" s="257">
        <v>0</v>
      </c>
      <c r="K1302" s="257">
        <v>0</v>
      </c>
      <c r="L1302" s="257">
        <v>0</v>
      </c>
      <c r="M1302" s="257">
        <v>0</v>
      </c>
      <c r="N1302" s="257">
        <v>0</v>
      </c>
      <c r="O1302" s="257">
        <v>0</v>
      </c>
      <c r="P1302" s="257">
        <v>358000</v>
      </c>
      <c r="Q1302" s="258">
        <v>0</v>
      </c>
    </row>
    <row r="1303" spans="1:17">
      <c r="A1303" s="256">
        <v>3</v>
      </c>
      <c r="B1303" s="256">
        <v>6170402</v>
      </c>
      <c r="C1303" s="256">
        <v>617040200</v>
      </c>
      <c r="D1303" s="256" t="s">
        <v>734</v>
      </c>
      <c r="E1303" s="256" t="s">
        <v>792</v>
      </c>
      <c r="F1303" s="256" t="s">
        <v>791</v>
      </c>
      <c r="G1303" s="256" t="s">
        <v>799</v>
      </c>
      <c r="H1303" s="256"/>
      <c r="I1303" s="257">
        <v>65000</v>
      </c>
      <c r="J1303" s="257">
        <v>0</v>
      </c>
      <c r="K1303" s="257">
        <v>0</v>
      </c>
      <c r="L1303" s="257">
        <v>0</v>
      </c>
      <c r="M1303" s="257">
        <v>0</v>
      </c>
      <c r="N1303" s="257">
        <v>0</v>
      </c>
      <c r="O1303" s="257">
        <v>0</v>
      </c>
      <c r="P1303" s="257">
        <v>65000</v>
      </c>
      <c r="Q1303" s="258">
        <v>0</v>
      </c>
    </row>
    <row r="1304" spans="1:17">
      <c r="A1304" s="256">
        <v>3</v>
      </c>
      <c r="B1304" s="256">
        <v>6170403</v>
      </c>
      <c r="C1304" s="256">
        <v>617040300</v>
      </c>
      <c r="D1304" s="256" t="s">
        <v>734</v>
      </c>
      <c r="E1304" s="256" t="s">
        <v>792</v>
      </c>
      <c r="F1304" s="256" t="s">
        <v>791</v>
      </c>
      <c r="G1304" s="256" t="s">
        <v>800</v>
      </c>
      <c r="H1304" s="256"/>
      <c r="I1304" s="257">
        <v>0</v>
      </c>
      <c r="J1304" s="257">
        <v>0</v>
      </c>
      <c r="K1304" s="257">
        <v>0</v>
      </c>
      <c r="L1304" s="257">
        <v>0</v>
      </c>
      <c r="M1304" s="257">
        <v>0</v>
      </c>
      <c r="N1304" s="257">
        <v>0</v>
      </c>
      <c r="O1304" s="257">
        <v>0</v>
      </c>
      <c r="P1304" s="257">
        <v>0</v>
      </c>
      <c r="Q1304" s="258">
        <v>0</v>
      </c>
    </row>
    <row r="1305" spans="1:17">
      <c r="A1305" s="256">
        <v>3</v>
      </c>
      <c r="B1305" s="256">
        <v>6181212</v>
      </c>
      <c r="C1305" s="256">
        <v>618121200</v>
      </c>
      <c r="D1305" s="256" t="s">
        <v>734</v>
      </c>
      <c r="E1305" s="256" t="s">
        <v>801</v>
      </c>
      <c r="F1305" s="256" t="s">
        <v>501</v>
      </c>
      <c r="G1305" s="256" t="s">
        <v>501</v>
      </c>
      <c r="H1305" s="256"/>
      <c r="I1305" s="257">
        <v>0</v>
      </c>
      <c r="J1305" s="257">
        <v>0</v>
      </c>
      <c r="K1305" s="257">
        <v>0</v>
      </c>
      <c r="L1305" s="257">
        <v>0</v>
      </c>
      <c r="M1305" s="257">
        <v>0</v>
      </c>
      <c r="N1305" s="257">
        <v>0</v>
      </c>
      <c r="O1305" s="257">
        <v>0</v>
      </c>
      <c r="P1305" s="257">
        <v>0</v>
      </c>
      <c r="Q1305" s="258">
        <v>0</v>
      </c>
    </row>
    <row r="1306" spans="1:17">
      <c r="A1306" s="256">
        <v>3</v>
      </c>
      <c r="B1306" s="256">
        <v>6181414</v>
      </c>
      <c r="C1306" s="256">
        <v>618141400</v>
      </c>
      <c r="D1306" s="256" t="s">
        <v>734</v>
      </c>
      <c r="E1306" s="256" t="s">
        <v>801</v>
      </c>
      <c r="F1306" s="256" t="s">
        <v>802</v>
      </c>
      <c r="G1306" s="256" t="s">
        <v>802</v>
      </c>
      <c r="H1306" s="256"/>
      <c r="I1306" s="257">
        <v>0</v>
      </c>
      <c r="J1306" s="257">
        <v>0</v>
      </c>
      <c r="K1306" s="257">
        <v>0</v>
      </c>
      <c r="L1306" s="257">
        <v>0</v>
      </c>
      <c r="M1306" s="257">
        <v>0</v>
      </c>
      <c r="N1306" s="257">
        <v>0</v>
      </c>
      <c r="O1306" s="257">
        <v>0</v>
      </c>
      <c r="P1306" s="257">
        <v>0</v>
      </c>
      <c r="Q1306" s="258">
        <v>0</v>
      </c>
    </row>
    <row r="1307" spans="1:17">
      <c r="A1307" s="256">
        <v>3</v>
      </c>
      <c r="B1307" s="256">
        <v>6182020</v>
      </c>
      <c r="C1307" s="256">
        <v>618202000</v>
      </c>
      <c r="D1307" s="256" t="s">
        <v>734</v>
      </c>
      <c r="E1307" s="256" t="s">
        <v>801</v>
      </c>
      <c r="F1307" s="256" t="s">
        <v>803</v>
      </c>
      <c r="G1307" s="256" t="s">
        <v>803</v>
      </c>
      <c r="H1307" s="256"/>
      <c r="I1307" s="257">
        <v>0</v>
      </c>
      <c r="J1307" s="257">
        <v>0</v>
      </c>
      <c r="K1307" s="257">
        <v>0</v>
      </c>
      <c r="L1307" s="257">
        <v>0</v>
      </c>
      <c r="M1307" s="257">
        <v>0</v>
      </c>
      <c r="N1307" s="257">
        <v>0</v>
      </c>
      <c r="O1307" s="257">
        <v>0</v>
      </c>
      <c r="P1307" s="257">
        <v>0</v>
      </c>
      <c r="Q1307" s="258">
        <v>0</v>
      </c>
    </row>
    <row r="1308" spans="1:17">
      <c r="A1308" s="256">
        <v>3</v>
      </c>
      <c r="B1308" s="256">
        <v>6190101</v>
      </c>
      <c r="C1308" s="256">
        <v>619010100</v>
      </c>
      <c r="D1308" s="256" t="s">
        <v>734</v>
      </c>
      <c r="E1308" s="256" t="s">
        <v>804</v>
      </c>
      <c r="F1308" s="256" t="s">
        <v>804</v>
      </c>
      <c r="G1308" s="256" t="s">
        <v>804</v>
      </c>
      <c r="H1308" s="256"/>
      <c r="I1308" s="257">
        <v>0</v>
      </c>
      <c r="J1308" s="257">
        <v>0</v>
      </c>
      <c r="K1308" s="257">
        <v>0</v>
      </c>
      <c r="L1308" s="257">
        <v>0</v>
      </c>
      <c r="M1308" s="257">
        <v>0</v>
      </c>
      <c r="N1308" s="257">
        <v>0</v>
      </c>
      <c r="O1308" s="257">
        <v>0</v>
      </c>
      <c r="P1308" s="257">
        <v>0</v>
      </c>
      <c r="Q1308" s="258">
        <v>0</v>
      </c>
    </row>
    <row r="1309" spans="1:17">
      <c r="A1309" s="256">
        <v>3</v>
      </c>
      <c r="B1309" s="256">
        <v>6200101</v>
      </c>
      <c r="C1309" s="256">
        <v>620010100</v>
      </c>
      <c r="D1309" s="256" t="s">
        <v>734</v>
      </c>
      <c r="E1309" s="256" t="s">
        <v>805</v>
      </c>
      <c r="F1309" s="256" t="s">
        <v>805</v>
      </c>
      <c r="G1309" s="256" t="s">
        <v>805</v>
      </c>
      <c r="H1309" s="256"/>
      <c r="I1309" s="257">
        <v>0</v>
      </c>
      <c r="J1309" s="257">
        <v>0</v>
      </c>
      <c r="K1309" s="257">
        <v>0</v>
      </c>
      <c r="L1309" s="257">
        <v>0</v>
      </c>
      <c r="M1309" s="257">
        <v>0</v>
      </c>
      <c r="N1309" s="257">
        <v>0</v>
      </c>
      <c r="O1309" s="257">
        <v>0</v>
      </c>
      <c r="P1309" s="257">
        <v>0</v>
      </c>
      <c r="Q1309" s="258">
        <v>0</v>
      </c>
    </row>
    <row r="1310" spans="1:17">
      <c r="A1310" s="256">
        <v>3</v>
      </c>
      <c r="B1310" s="256">
        <v>6210101</v>
      </c>
      <c r="C1310" s="256">
        <v>621010100</v>
      </c>
      <c r="D1310" s="256" t="s">
        <v>734</v>
      </c>
      <c r="E1310" s="256" t="s">
        <v>806</v>
      </c>
      <c r="F1310" s="256" t="s">
        <v>807</v>
      </c>
      <c r="G1310" s="256" t="s">
        <v>807</v>
      </c>
      <c r="H1310" s="256"/>
      <c r="I1310" s="257">
        <v>0</v>
      </c>
      <c r="J1310" s="257">
        <v>0</v>
      </c>
      <c r="K1310" s="257">
        <v>0</v>
      </c>
      <c r="L1310" s="257">
        <v>0</v>
      </c>
      <c r="M1310" s="257">
        <v>0</v>
      </c>
      <c r="N1310" s="257">
        <v>0</v>
      </c>
      <c r="O1310" s="257">
        <v>0</v>
      </c>
      <c r="P1310" s="257">
        <v>0</v>
      </c>
      <c r="Q1310" s="258">
        <v>0</v>
      </c>
    </row>
    <row r="1311" spans="1:17">
      <c r="A1311" s="256">
        <v>3</v>
      </c>
      <c r="B1311" s="256">
        <v>6900101</v>
      </c>
      <c r="C1311" s="256">
        <v>690010100</v>
      </c>
      <c r="D1311" s="256" t="s">
        <v>734</v>
      </c>
      <c r="E1311" s="256" t="s">
        <v>809</v>
      </c>
      <c r="F1311" s="256" t="s">
        <v>809</v>
      </c>
      <c r="G1311" s="256" t="s">
        <v>809</v>
      </c>
      <c r="H1311" s="256"/>
      <c r="I1311" s="257">
        <v>0</v>
      </c>
      <c r="J1311" s="257">
        <v>0</v>
      </c>
      <c r="K1311" s="257">
        <v>0</v>
      </c>
      <c r="L1311" s="257">
        <v>0</v>
      </c>
      <c r="M1311" s="257">
        <v>0</v>
      </c>
      <c r="N1311" s="257">
        <v>0</v>
      </c>
      <c r="O1311" s="257">
        <v>0</v>
      </c>
      <c r="P1311" s="257">
        <v>0</v>
      </c>
      <c r="Q1311" s="258">
        <v>0</v>
      </c>
    </row>
    <row r="1312" spans="1:17">
      <c r="A1312" s="256">
        <v>3</v>
      </c>
      <c r="B1312" s="256">
        <v>8830823</v>
      </c>
      <c r="C1312" s="256">
        <v>883082300</v>
      </c>
      <c r="D1312" s="256" t="s">
        <v>538</v>
      </c>
      <c r="E1312" s="256" t="s">
        <v>539</v>
      </c>
      <c r="F1312" s="256" t="s">
        <v>817</v>
      </c>
      <c r="G1312" s="256" t="s">
        <v>79</v>
      </c>
      <c r="H1312" s="256"/>
      <c r="I1312" s="257">
        <v>0</v>
      </c>
      <c r="J1312" s="257">
        <v>0</v>
      </c>
      <c r="K1312" s="257">
        <v>0</v>
      </c>
      <c r="L1312" s="257">
        <v>0</v>
      </c>
      <c r="M1312" s="257">
        <v>0</v>
      </c>
      <c r="N1312" s="257">
        <v>0</v>
      </c>
      <c r="O1312" s="257">
        <v>0</v>
      </c>
      <c r="P1312" s="257">
        <v>0</v>
      </c>
      <c r="Q1312" s="258">
        <v>0</v>
      </c>
    </row>
    <row r="1313" spans="1:17">
      <c r="A1313" s="256">
        <v>3</v>
      </c>
      <c r="B1313" s="256">
        <v>8831643</v>
      </c>
      <c r="C1313" s="256">
        <v>883164301</v>
      </c>
      <c r="D1313" s="256" t="s">
        <v>538</v>
      </c>
      <c r="E1313" s="256" t="s">
        <v>539</v>
      </c>
      <c r="F1313" s="256" t="s">
        <v>821</v>
      </c>
      <c r="G1313" s="256" t="s">
        <v>824</v>
      </c>
      <c r="H1313" s="256" t="s">
        <v>688</v>
      </c>
      <c r="I1313" s="257">
        <v>0</v>
      </c>
      <c r="J1313" s="257">
        <v>0</v>
      </c>
      <c r="K1313" s="257">
        <v>0</v>
      </c>
      <c r="L1313" s="257">
        <v>0</v>
      </c>
      <c r="M1313" s="257">
        <v>0</v>
      </c>
      <c r="N1313" s="257">
        <v>0</v>
      </c>
      <c r="O1313" s="257">
        <v>0</v>
      </c>
      <c r="P1313" s="257">
        <v>0</v>
      </c>
      <c r="Q1313" s="258">
        <v>0</v>
      </c>
    </row>
    <row r="1314" spans="1:17">
      <c r="A1314" s="256">
        <v>3</v>
      </c>
      <c r="B1314" s="256">
        <v>8831643</v>
      </c>
      <c r="C1314" s="256">
        <v>883164303</v>
      </c>
      <c r="D1314" s="256" t="s">
        <v>538</v>
      </c>
      <c r="E1314" s="256" t="s">
        <v>539</v>
      </c>
      <c r="F1314" s="256" t="s">
        <v>821</v>
      </c>
      <c r="G1314" s="256" t="s">
        <v>824</v>
      </c>
      <c r="H1314" s="256" t="s">
        <v>847</v>
      </c>
      <c r="I1314" s="257">
        <v>464424</v>
      </c>
      <c r="J1314" s="257">
        <v>0</v>
      </c>
      <c r="K1314" s="257">
        <v>0</v>
      </c>
      <c r="L1314" s="257">
        <v>0</v>
      </c>
      <c r="M1314" s="257">
        <v>0</v>
      </c>
      <c r="N1314" s="257">
        <v>0</v>
      </c>
      <c r="O1314" s="257">
        <v>0</v>
      </c>
      <c r="P1314" s="257">
        <v>464424</v>
      </c>
      <c r="Q1314" s="258">
        <v>0</v>
      </c>
    </row>
    <row r="1315" spans="1:17">
      <c r="A1315" s="256">
        <v>3</v>
      </c>
      <c r="B1315" s="256">
        <v>8831643</v>
      </c>
      <c r="C1315" s="256">
        <v>883164304</v>
      </c>
      <c r="D1315" s="256" t="s">
        <v>538</v>
      </c>
      <c r="E1315" s="256" t="s">
        <v>539</v>
      </c>
      <c r="F1315" s="256" t="s">
        <v>821</v>
      </c>
      <c r="G1315" s="256" t="s">
        <v>824</v>
      </c>
      <c r="H1315" s="256" t="s">
        <v>675</v>
      </c>
      <c r="I1315" s="257">
        <v>0</v>
      </c>
      <c r="J1315" s="257">
        <v>0</v>
      </c>
      <c r="K1315" s="257">
        <v>0</v>
      </c>
      <c r="L1315" s="257">
        <v>0</v>
      </c>
      <c r="M1315" s="257">
        <v>0</v>
      </c>
      <c r="N1315" s="257">
        <v>0</v>
      </c>
      <c r="O1315" s="257">
        <v>0</v>
      </c>
      <c r="P1315" s="257">
        <v>0</v>
      </c>
      <c r="Q1315" s="258">
        <v>0</v>
      </c>
    </row>
    <row r="1316" spans="1:17">
      <c r="A1316" s="256">
        <v>3</v>
      </c>
      <c r="B1316" s="256">
        <v>8831643</v>
      </c>
      <c r="C1316" s="256">
        <v>883164305</v>
      </c>
      <c r="D1316" s="256" t="s">
        <v>538</v>
      </c>
      <c r="E1316" s="256" t="s">
        <v>539</v>
      </c>
      <c r="F1316" s="256" t="s">
        <v>821</v>
      </c>
      <c r="G1316" s="256" t="s">
        <v>824</v>
      </c>
      <c r="H1316" s="256" t="s">
        <v>676</v>
      </c>
      <c r="I1316" s="257">
        <v>0</v>
      </c>
      <c r="J1316" s="257">
        <v>0</v>
      </c>
      <c r="K1316" s="257">
        <v>0</v>
      </c>
      <c r="L1316" s="257">
        <v>0</v>
      </c>
      <c r="M1316" s="257">
        <v>0</v>
      </c>
      <c r="N1316" s="257">
        <v>0</v>
      </c>
      <c r="O1316" s="257">
        <v>0</v>
      </c>
      <c r="P1316" s="257">
        <v>0</v>
      </c>
      <c r="Q1316" s="258">
        <v>0</v>
      </c>
    </row>
    <row r="1317" spans="1:17">
      <c r="A1317" s="256">
        <v>3</v>
      </c>
      <c r="B1317" s="256">
        <v>8831801</v>
      </c>
      <c r="C1317" s="256">
        <v>883180102</v>
      </c>
      <c r="D1317" s="256" t="s">
        <v>538</v>
      </c>
      <c r="E1317" s="256" t="s">
        <v>539</v>
      </c>
      <c r="F1317" s="256" t="s">
        <v>541</v>
      </c>
      <c r="G1317" s="256" t="s">
        <v>112</v>
      </c>
      <c r="H1317" s="256" t="s">
        <v>737</v>
      </c>
      <c r="I1317" s="257">
        <v>0</v>
      </c>
      <c r="J1317" s="257">
        <v>0</v>
      </c>
      <c r="K1317" s="257">
        <v>0</v>
      </c>
      <c r="L1317" s="257">
        <v>0</v>
      </c>
      <c r="M1317" s="257">
        <v>0</v>
      </c>
      <c r="N1317" s="257">
        <v>0</v>
      </c>
      <c r="O1317" s="257">
        <v>0</v>
      </c>
      <c r="P1317" s="257">
        <v>0</v>
      </c>
      <c r="Q1317" s="258">
        <v>0</v>
      </c>
    </row>
    <row r="1318" spans="1:17">
      <c r="A1318" s="256">
        <v>3</v>
      </c>
      <c r="B1318" s="256">
        <v>8831801</v>
      </c>
      <c r="C1318" s="256">
        <v>883180103</v>
      </c>
      <c r="D1318" s="256" t="s">
        <v>538</v>
      </c>
      <c r="E1318" s="256" t="s">
        <v>539</v>
      </c>
      <c r="F1318" s="256" t="s">
        <v>541</v>
      </c>
      <c r="G1318" s="256" t="s">
        <v>112</v>
      </c>
      <c r="H1318" s="256" t="s">
        <v>738</v>
      </c>
      <c r="I1318" s="257">
        <v>0</v>
      </c>
      <c r="J1318" s="257">
        <v>0</v>
      </c>
      <c r="K1318" s="257">
        <v>0</v>
      </c>
      <c r="L1318" s="257">
        <v>0</v>
      </c>
      <c r="M1318" s="257">
        <v>0</v>
      </c>
      <c r="N1318" s="257">
        <v>0</v>
      </c>
      <c r="O1318" s="257">
        <v>0</v>
      </c>
      <c r="P1318" s="257">
        <v>0</v>
      </c>
      <c r="Q1318" s="258">
        <v>0</v>
      </c>
    </row>
    <row r="1319" spans="1:17">
      <c r="A1319" s="256">
        <v>3</v>
      </c>
      <c r="B1319" s="256">
        <v>8831801</v>
      </c>
      <c r="C1319" s="256">
        <v>883180104</v>
      </c>
      <c r="D1319" s="256" t="s">
        <v>538</v>
      </c>
      <c r="E1319" s="256" t="s">
        <v>539</v>
      </c>
      <c r="F1319" s="256" t="s">
        <v>541</v>
      </c>
      <c r="G1319" s="256" t="s">
        <v>112</v>
      </c>
      <c r="H1319" s="256" t="s">
        <v>739</v>
      </c>
      <c r="I1319" s="257">
        <v>0</v>
      </c>
      <c r="J1319" s="257">
        <v>0</v>
      </c>
      <c r="K1319" s="257">
        <v>0</v>
      </c>
      <c r="L1319" s="257">
        <v>0</v>
      </c>
      <c r="M1319" s="257">
        <v>0</v>
      </c>
      <c r="N1319" s="257">
        <v>0</v>
      </c>
      <c r="O1319" s="257">
        <v>0</v>
      </c>
      <c r="P1319" s="257">
        <v>0</v>
      </c>
      <c r="Q1319" s="258">
        <v>0</v>
      </c>
    </row>
    <row r="1320" spans="1:17">
      <c r="A1320" s="236">
        <v>3</v>
      </c>
      <c r="B1320" s="236">
        <v>8831801</v>
      </c>
      <c r="C1320" s="236">
        <v>883180105</v>
      </c>
      <c r="D1320" s="236" t="s">
        <v>538</v>
      </c>
      <c r="E1320" s="236" t="s">
        <v>539</v>
      </c>
      <c r="F1320" s="236" t="s">
        <v>541</v>
      </c>
      <c r="G1320" s="236" t="s">
        <v>112</v>
      </c>
      <c r="H1320" s="236" t="s">
        <v>740</v>
      </c>
      <c r="I1320" s="257">
        <v>0</v>
      </c>
      <c r="J1320" s="257">
        <v>0</v>
      </c>
      <c r="K1320" s="257">
        <v>0</v>
      </c>
      <c r="L1320" s="257">
        <v>0</v>
      </c>
      <c r="M1320" s="257">
        <v>0</v>
      </c>
      <c r="N1320" s="257">
        <v>0</v>
      </c>
      <c r="O1320" s="257">
        <v>0</v>
      </c>
      <c r="P1320" s="257">
        <v>0</v>
      </c>
      <c r="Q1320" s="258">
        <v>0</v>
      </c>
    </row>
    <row r="1321" spans="1:17">
      <c r="A1321" s="256">
        <v>3</v>
      </c>
      <c r="B1321" s="256">
        <v>8831802</v>
      </c>
      <c r="C1321" s="256">
        <v>883180202</v>
      </c>
      <c r="D1321" s="256" t="s">
        <v>538</v>
      </c>
      <c r="E1321" s="256" t="s">
        <v>539</v>
      </c>
      <c r="F1321" s="256" t="s">
        <v>541</v>
      </c>
      <c r="G1321" s="256" t="s">
        <v>110</v>
      </c>
      <c r="H1321" s="256" t="s">
        <v>741</v>
      </c>
      <c r="I1321" s="257">
        <v>0</v>
      </c>
      <c r="J1321" s="257">
        <v>0</v>
      </c>
      <c r="K1321" s="257">
        <v>0</v>
      </c>
      <c r="L1321" s="257">
        <v>0</v>
      </c>
      <c r="M1321" s="257">
        <v>0</v>
      </c>
      <c r="N1321" s="257">
        <v>0</v>
      </c>
      <c r="O1321" s="257">
        <v>0</v>
      </c>
      <c r="P1321" s="257">
        <v>0</v>
      </c>
      <c r="Q1321" s="258">
        <v>0</v>
      </c>
    </row>
    <row r="1322" spans="1:17">
      <c r="A1322" s="256">
        <v>3</v>
      </c>
      <c r="B1322" s="256">
        <v>8831803</v>
      </c>
      <c r="C1322" s="256">
        <v>883180301</v>
      </c>
      <c r="D1322" s="256" t="s">
        <v>538</v>
      </c>
      <c r="E1322" s="256" t="s">
        <v>539</v>
      </c>
      <c r="F1322" s="256" t="s">
        <v>541</v>
      </c>
      <c r="G1322" s="256" t="s">
        <v>108</v>
      </c>
      <c r="H1322" s="256" t="s">
        <v>742</v>
      </c>
      <c r="I1322" s="257">
        <v>0</v>
      </c>
      <c r="J1322" s="257">
        <v>0</v>
      </c>
      <c r="K1322" s="257">
        <v>0</v>
      </c>
      <c r="L1322" s="257">
        <v>0</v>
      </c>
      <c r="M1322" s="257">
        <v>0</v>
      </c>
      <c r="N1322" s="257">
        <v>0</v>
      </c>
      <c r="O1322" s="257">
        <v>0</v>
      </c>
      <c r="P1322" s="257">
        <v>0</v>
      </c>
      <c r="Q1322" s="258">
        <v>0</v>
      </c>
    </row>
    <row r="1323" spans="1:17">
      <c r="A1323" s="256">
        <v>3</v>
      </c>
      <c r="B1323" s="256">
        <v>8831803</v>
      </c>
      <c r="C1323" s="256">
        <v>883180302</v>
      </c>
      <c r="D1323" s="256" t="s">
        <v>538</v>
      </c>
      <c r="E1323" s="256" t="s">
        <v>539</v>
      </c>
      <c r="F1323" s="256" t="s">
        <v>541</v>
      </c>
      <c r="G1323" s="256" t="s">
        <v>108</v>
      </c>
      <c r="H1323" s="256" t="s">
        <v>743</v>
      </c>
      <c r="I1323" s="257">
        <v>0</v>
      </c>
      <c r="J1323" s="257">
        <v>0</v>
      </c>
      <c r="K1323" s="257">
        <v>0</v>
      </c>
      <c r="L1323" s="257">
        <v>0</v>
      </c>
      <c r="M1323" s="257">
        <v>0</v>
      </c>
      <c r="N1323" s="257">
        <v>0</v>
      </c>
      <c r="O1323" s="257">
        <v>0</v>
      </c>
      <c r="P1323" s="257">
        <v>0</v>
      </c>
      <c r="Q1323" s="258">
        <v>0</v>
      </c>
    </row>
    <row r="1324" spans="1:17">
      <c r="A1324" s="256">
        <v>3</v>
      </c>
      <c r="B1324" s="256">
        <v>8831803</v>
      </c>
      <c r="C1324" s="256">
        <v>883180303</v>
      </c>
      <c r="D1324" s="256" t="s">
        <v>538</v>
      </c>
      <c r="E1324" s="256" t="s">
        <v>539</v>
      </c>
      <c r="F1324" s="256" t="s">
        <v>541</v>
      </c>
      <c r="G1324" s="256" t="s">
        <v>108</v>
      </c>
      <c r="H1324" s="256" t="s">
        <v>744</v>
      </c>
      <c r="I1324" s="257">
        <v>0</v>
      </c>
      <c r="J1324" s="257">
        <v>0</v>
      </c>
      <c r="K1324" s="257">
        <v>0</v>
      </c>
      <c r="L1324" s="257">
        <v>0</v>
      </c>
      <c r="M1324" s="257">
        <v>0</v>
      </c>
      <c r="N1324" s="257">
        <v>0</v>
      </c>
      <c r="O1324" s="257">
        <v>0</v>
      </c>
      <c r="P1324" s="257">
        <v>0</v>
      </c>
      <c r="Q1324" s="258">
        <v>0</v>
      </c>
    </row>
    <row r="1325" spans="1:17">
      <c r="A1325" s="256">
        <v>3</v>
      </c>
      <c r="B1325" s="256">
        <v>8831803</v>
      </c>
      <c r="C1325" s="256">
        <v>883180304</v>
      </c>
      <c r="D1325" s="256" t="s">
        <v>538</v>
      </c>
      <c r="E1325" s="256" t="s">
        <v>539</v>
      </c>
      <c r="F1325" s="256" t="s">
        <v>541</v>
      </c>
      <c r="G1325" s="256" t="s">
        <v>108</v>
      </c>
      <c r="H1325" s="256" t="s">
        <v>745</v>
      </c>
      <c r="I1325" s="257">
        <v>0</v>
      </c>
      <c r="J1325" s="257">
        <v>0</v>
      </c>
      <c r="K1325" s="257">
        <v>0</v>
      </c>
      <c r="L1325" s="257">
        <v>0</v>
      </c>
      <c r="M1325" s="257">
        <v>0</v>
      </c>
      <c r="N1325" s="257">
        <v>0</v>
      </c>
      <c r="O1325" s="257">
        <v>0</v>
      </c>
      <c r="P1325" s="257">
        <v>0</v>
      </c>
      <c r="Q1325" s="258">
        <v>0</v>
      </c>
    </row>
    <row r="1326" spans="1:17">
      <c r="A1326" s="256">
        <v>3</v>
      </c>
      <c r="B1326" s="256">
        <v>8831803</v>
      </c>
      <c r="C1326" s="256">
        <v>883180305</v>
      </c>
      <c r="D1326" s="256" t="s">
        <v>538</v>
      </c>
      <c r="E1326" s="256" t="s">
        <v>539</v>
      </c>
      <c r="F1326" s="256" t="s">
        <v>541</v>
      </c>
      <c r="G1326" s="256" t="s">
        <v>108</v>
      </c>
      <c r="H1326" s="256" t="s">
        <v>746</v>
      </c>
      <c r="I1326" s="257">
        <v>0</v>
      </c>
      <c r="J1326" s="257">
        <v>0</v>
      </c>
      <c r="K1326" s="257">
        <v>0</v>
      </c>
      <c r="L1326" s="257">
        <v>0</v>
      </c>
      <c r="M1326" s="257">
        <v>0</v>
      </c>
      <c r="N1326" s="257">
        <v>0</v>
      </c>
      <c r="O1326" s="257">
        <v>0</v>
      </c>
      <c r="P1326" s="257">
        <v>0</v>
      </c>
      <c r="Q1326" s="258">
        <v>0</v>
      </c>
    </row>
    <row r="1327" spans="1:17">
      <c r="A1327" s="256">
        <v>3</v>
      </c>
      <c r="B1327" s="256">
        <v>8831803</v>
      </c>
      <c r="C1327" s="256">
        <v>883180306</v>
      </c>
      <c r="D1327" s="256" t="s">
        <v>538</v>
      </c>
      <c r="E1327" s="256" t="s">
        <v>539</v>
      </c>
      <c r="F1327" s="256" t="s">
        <v>541</v>
      </c>
      <c r="G1327" s="256" t="s">
        <v>108</v>
      </c>
      <c r="H1327" s="256" t="s">
        <v>747</v>
      </c>
      <c r="I1327" s="257">
        <v>0</v>
      </c>
      <c r="J1327" s="257">
        <v>0</v>
      </c>
      <c r="K1327" s="257">
        <v>0</v>
      </c>
      <c r="L1327" s="257">
        <v>0</v>
      </c>
      <c r="M1327" s="257">
        <v>0</v>
      </c>
      <c r="N1327" s="257">
        <v>0</v>
      </c>
      <c r="O1327" s="257">
        <v>0</v>
      </c>
      <c r="P1327" s="257">
        <v>0</v>
      </c>
      <c r="Q1327" s="258">
        <v>0</v>
      </c>
    </row>
    <row r="1328" spans="1:17">
      <c r="A1328" s="256">
        <v>3</v>
      </c>
      <c r="B1328" s="256">
        <v>8831803</v>
      </c>
      <c r="C1328" s="256">
        <v>883180307</v>
      </c>
      <c r="D1328" s="256" t="s">
        <v>538</v>
      </c>
      <c r="E1328" s="256" t="s">
        <v>539</v>
      </c>
      <c r="F1328" s="256" t="s">
        <v>541</v>
      </c>
      <c r="G1328" s="256" t="s">
        <v>108</v>
      </c>
      <c r="H1328" s="256" t="s">
        <v>748</v>
      </c>
      <c r="I1328" s="257">
        <v>0</v>
      </c>
      <c r="J1328" s="257">
        <v>0</v>
      </c>
      <c r="K1328" s="257">
        <v>0</v>
      </c>
      <c r="L1328" s="257">
        <v>0</v>
      </c>
      <c r="M1328" s="257">
        <v>0</v>
      </c>
      <c r="N1328" s="257">
        <v>0</v>
      </c>
      <c r="O1328" s="257">
        <v>0</v>
      </c>
      <c r="P1328" s="257">
        <v>0</v>
      </c>
      <c r="Q1328" s="258">
        <v>0</v>
      </c>
    </row>
    <row r="1329" spans="1:17">
      <c r="A1329" s="256">
        <v>3</v>
      </c>
      <c r="B1329" s="256">
        <v>8831803</v>
      </c>
      <c r="C1329" s="256">
        <v>883180310</v>
      </c>
      <c r="D1329" s="256" t="s">
        <v>538</v>
      </c>
      <c r="E1329" s="256" t="s">
        <v>539</v>
      </c>
      <c r="F1329" s="256" t="s">
        <v>541</v>
      </c>
      <c r="G1329" s="256" t="s">
        <v>108</v>
      </c>
      <c r="H1329" s="256" t="s">
        <v>749</v>
      </c>
      <c r="I1329" s="257">
        <v>0</v>
      </c>
      <c r="J1329" s="257">
        <v>0</v>
      </c>
      <c r="K1329" s="257">
        <v>0</v>
      </c>
      <c r="L1329" s="257">
        <v>0</v>
      </c>
      <c r="M1329" s="257">
        <v>0</v>
      </c>
      <c r="N1329" s="257">
        <v>0</v>
      </c>
      <c r="O1329" s="257">
        <v>0</v>
      </c>
      <c r="P1329" s="257">
        <v>0</v>
      </c>
      <c r="Q1329" s="258">
        <v>0</v>
      </c>
    </row>
    <row r="1330" spans="1:17">
      <c r="A1330" s="256">
        <v>3</v>
      </c>
      <c r="B1330" s="256">
        <v>8831803</v>
      </c>
      <c r="C1330" s="256">
        <v>883180311</v>
      </c>
      <c r="D1330" s="256" t="s">
        <v>538</v>
      </c>
      <c r="E1330" s="256" t="s">
        <v>539</v>
      </c>
      <c r="F1330" s="256" t="s">
        <v>541</v>
      </c>
      <c r="G1330" s="256" t="s">
        <v>108</v>
      </c>
      <c r="H1330" s="256" t="s">
        <v>750</v>
      </c>
      <c r="I1330" s="257">
        <v>0</v>
      </c>
      <c r="J1330" s="257">
        <v>0</v>
      </c>
      <c r="K1330" s="257">
        <v>0</v>
      </c>
      <c r="L1330" s="257">
        <v>0</v>
      </c>
      <c r="M1330" s="257">
        <v>0</v>
      </c>
      <c r="N1330" s="257">
        <v>0</v>
      </c>
      <c r="O1330" s="257">
        <v>0</v>
      </c>
      <c r="P1330" s="257">
        <v>0</v>
      </c>
      <c r="Q1330" s="258">
        <v>0</v>
      </c>
    </row>
    <row r="1331" spans="1:17">
      <c r="A1331" s="256">
        <v>3</v>
      </c>
      <c r="B1331" s="256">
        <v>8831803</v>
      </c>
      <c r="C1331" s="256">
        <v>883180314</v>
      </c>
      <c r="D1331" s="256" t="s">
        <v>538</v>
      </c>
      <c r="E1331" s="256" t="s">
        <v>539</v>
      </c>
      <c r="F1331" s="256" t="s">
        <v>541</v>
      </c>
      <c r="G1331" s="256" t="s">
        <v>108</v>
      </c>
      <c r="H1331" s="256" t="s">
        <v>751</v>
      </c>
      <c r="I1331" s="257">
        <v>0</v>
      </c>
      <c r="J1331" s="257">
        <v>0</v>
      </c>
      <c r="K1331" s="257">
        <v>0</v>
      </c>
      <c r="L1331" s="257">
        <v>0</v>
      </c>
      <c r="M1331" s="257">
        <v>0</v>
      </c>
      <c r="N1331" s="257">
        <v>0</v>
      </c>
      <c r="O1331" s="257">
        <v>0</v>
      </c>
      <c r="P1331" s="257">
        <v>0</v>
      </c>
      <c r="Q1331" s="258">
        <v>0</v>
      </c>
    </row>
    <row r="1332" spans="1:17">
      <c r="A1332" s="256">
        <v>3</v>
      </c>
      <c r="B1332" s="256">
        <v>8831803</v>
      </c>
      <c r="C1332" s="256">
        <v>883180315</v>
      </c>
      <c r="D1332" s="256" t="s">
        <v>538</v>
      </c>
      <c r="E1332" s="256" t="s">
        <v>539</v>
      </c>
      <c r="F1332" s="256" t="s">
        <v>541</v>
      </c>
      <c r="G1332" s="256" t="s">
        <v>108</v>
      </c>
      <c r="H1332" s="256" t="s">
        <v>752</v>
      </c>
      <c r="I1332" s="257">
        <v>0</v>
      </c>
      <c r="J1332" s="257">
        <v>0</v>
      </c>
      <c r="K1332" s="257">
        <v>0</v>
      </c>
      <c r="L1332" s="257">
        <v>0</v>
      </c>
      <c r="M1332" s="257">
        <v>0</v>
      </c>
      <c r="N1332" s="257">
        <v>0</v>
      </c>
      <c r="O1332" s="257">
        <v>0</v>
      </c>
      <c r="P1332" s="257">
        <v>0</v>
      </c>
      <c r="Q1332" s="258">
        <v>0</v>
      </c>
    </row>
    <row r="1333" spans="1:17">
      <c r="A1333" s="256">
        <v>3</v>
      </c>
      <c r="B1333" s="256">
        <v>8831803</v>
      </c>
      <c r="C1333" s="256">
        <v>883180316</v>
      </c>
      <c r="D1333" s="256" t="s">
        <v>538</v>
      </c>
      <c r="E1333" s="256" t="s">
        <v>539</v>
      </c>
      <c r="F1333" s="256" t="s">
        <v>541</v>
      </c>
      <c r="G1333" s="256" t="s">
        <v>108</v>
      </c>
      <c r="H1333" s="256" t="s">
        <v>863</v>
      </c>
      <c r="I1333" s="257">
        <v>0</v>
      </c>
      <c r="J1333" s="257">
        <v>0</v>
      </c>
      <c r="K1333" s="257">
        <v>0</v>
      </c>
      <c r="L1333" s="257">
        <v>0</v>
      </c>
      <c r="M1333" s="257">
        <v>0</v>
      </c>
      <c r="N1333" s="257">
        <v>0</v>
      </c>
      <c r="O1333" s="257">
        <v>0</v>
      </c>
      <c r="P1333" s="257">
        <v>0</v>
      </c>
      <c r="Q1333" s="258">
        <v>0</v>
      </c>
    </row>
    <row r="1334" spans="1:17">
      <c r="A1334" s="256">
        <v>3</v>
      </c>
      <c r="B1334" s="256">
        <v>8831804</v>
      </c>
      <c r="C1334" s="256">
        <v>883180401</v>
      </c>
      <c r="D1334" s="256" t="s">
        <v>538</v>
      </c>
      <c r="E1334" s="256" t="s">
        <v>539</v>
      </c>
      <c r="F1334" s="256" t="s">
        <v>541</v>
      </c>
      <c r="G1334" s="256" t="s">
        <v>106</v>
      </c>
      <c r="H1334" s="256" t="s">
        <v>755</v>
      </c>
      <c r="I1334" s="257">
        <v>0</v>
      </c>
      <c r="J1334" s="257">
        <v>0</v>
      </c>
      <c r="K1334" s="257">
        <v>0</v>
      </c>
      <c r="L1334" s="257">
        <v>0</v>
      </c>
      <c r="M1334" s="257">
        <v>0</v>
      </c>
      <c r="N1334" s="257">
        <v>0</v>
      </c>
      <c r="O1334" s="257">
        <v>0</v>
      </c>
      <c r="P1334" s="257">
        <v>0</v>
      </c>
      <c r="Q1334" s="258">
        <v>0</v>
      </c>
    </row>
    <row r="1335" spans="1:17">
      <c r="A1335" s="256">
        <v>3</v>
      </c>
      <c r="B1335" s="256">
        <v>8831804</v>
      </c>
      <c r="C1335" s="256">
        <v>883180402</v>
      </c>
      <c r="D1335" s="256" t="s">
        <v>538</v>
      </c>
      <c r="E1335" s="256" t="s">
        <v>539</v>
      </c>
      <c r="F1335" s="256" t="s">
        <v>541</v>
      </c>
      <c r="G1335" s="256" t="s">
        <v>106</v>
      </c>
      <c r="H1335" s="256" t="s">
        <v>756</v>
      </c>
      <c r="I1335" s="257">
        <v>0</v>
      </c>
      <c r="J1335" s="257">
        <v>0</v>
      </c>
      <c r="K1335" s="257">
        <v>0</v>
      </c>
      <c r="L1335" s="257">
        <v>0</v>
      </c>
      <c r="M1335" s="257">
        <v>0</v>
      </c>
      <c r="N1335" s="257">
        <v>0</v>
      </c>
      <c r="O1335" s="257">
        <v>0</v>
      </c>
      <c r="P1335" s="257">
        <v>0</v>
      </c>
      <c r="Q1335" s="258">
        <v>0</v>
      </c>
    </row>
    <row r="1336" spans="1:17">
      <c r="A1336" s="256">
        <v>3</v>
      </c>
      <c r="B1336" s="256">
        <v>8831804</v>
      </c>
      <c r="C1336" s="256">
        <v>883180403</v>
      </c>
      <c r="D1336" s="256" t="s">
        <v>538</v>
      </c>
      <c r="E1336" s="256" t="s">
        <v>539</v>
      </c>
      <c r="F1336" s="256" t="s">
        <v>541</v>
      </c>
      <c r="G1336" s="256" t="s">
        <v>106</v>
      </c>
      <c r="H1336" s="256" t="s">
        <v>757</v>
      </c>
      <c r="I1336" s="257">
        <v>0</v>
      </c>
      <c r="J1336" s="257">
        <v>0</v>
      </c>
      <c r="K1336" s="257">
        <v>0</v>
      </c>
      <c r="L1336" s="257">
        <v>0</v>
      </c>
      <c r="M1336" s="257">
        <v>0</v>
      </c>
      <c r="N1336" s="257">
        <v>0</v>
      </c>
      <c r="O1336" s="257">
        <v>0</v>
      </c>
      <c r="P1336" s="257">
        <v>0</v>
      </c>
      <c r="Q1336" s="258">
        <v>0</v>
      </c>
    </row>
    <row r="1337" spans="1:17">
      <c r="A1337" s="256">
        <v>3</v>
      </c>
      <c r="B1337" s="256">
        <v>8831804</v>
      </c>
      <c r="C1337" s="256">
        <v>883180405</v>
      </c>
      <c r="D1337" s="256" t="s">
        <v>538</v>
      </c>
      <c r="E1337" s="256" t="s">
        <v>539</v>
      </c>
      <c r="F1337" s="256" t="s">
        <v>541</v>
      </c>
      <c r="G1337" s="256" t="s">
        <v>106</v>
      </c>
      <c r="H1337" s="256" t="s">
        <v>758</v>
      </c>
      <c r="I1337" s="257">
        <v>0</v>
      </c>
      <c r="J1337" s="257">
        <v>0</v>
      </c>
      <c r="K1337" s="257">
        <v>0</v>
      </c>
      <c r="L1337" s="257">
        <v>0</v>
      </c>
      <c r="M1337" s="257">
        <v>0</v>
      </c>
      <c r="N1337" s="257">
        <v>0</v>
      </c>
      <c r="O1337" s="257">
        <v>0</v>
      </c>
      <c r="P1337" s="257">
        <v>0</v>
      </c>
      <c r="Q1337" s="258">
        <v>0</v>
      </c>
    </row>
    <row r="1338" spans="1:17">
      <c r="A1338" s="256">
        <v>3</v>
      </c>
      <c r="B1338" s="256">
        <v>8831804</v>
      </c>
      <c r="C1338" s="256">
        <v>883180406</v>
      </c>
      <c r="D1338" s="256" t="s">
        <v>538</v>
      </c>
      <c r="E1338" s="256" t="s">
        <v>539</v>
      </c>
      <c r="F1338" s="256" t="s">
        <v>541</v>
      </c>
      <c r="G1338" s="256" t="s">
        <v>106</v>
      </c>
      <c r="H1338" s="256" t="s">
        <v>759</v>
      </c>
      <c r="I1338" s="257">
        <v>0</v>
      </c>
      <c r="J1338" s="257">
        <v>0</v>
      </c>
      <c r="K1338" s="257">
        <v>0</v>
      </c>
      <c r="L1338" s="257">
        <v>0</v>
      </c>
      <c r="M1338" s="257">
        <v>0</v>
      </c>
      <c r="N1338" s="257">
        <v>0</v>
      </c>
      <c r="O1338" s="257">
        <v>0</v>
      </c>
      <c r="P1338" s="257">
        <v>0</v>
      </c>
      <c r="Q1338" s="258">
        <v>0</v>
      </c>
    </row>
    <row r="1339" spans="1:17">
      <c r="A1339" s="256">
        <v>3</v>
      </c>
      <c r="B1339" s="256">
        <v>8831804</v>
      </c>
      <c r="C1339" s="256">
        <v>883180407</v>
      </c>
      <c r="D1339" s="256" t="s">
        <v>538</v>
      </c>
      <c r="E1339" s="256" t="s">
        <v>539</v>
      </c>
      <c r="F1339" s="256" t="s">
        <v>541</v>
      </c>
      <c r="G1339" s="256" t="s">
        <v>106</v>
      </c>
      <c r="H1339" s="256" t="s">
        <v>760</v>
      </c>
      <c r="I1339" s="257">
        <v>0</v>
      </c>
      <c r="J1339" s="257">
        <v>0</v>
      </c>
      <c r="K1339" s="257">
        <v>0</v>
      </c>
      <c r="L1339" s="257">
        <v>0</v>
      </c>
      <c r="M1339" s="257">
        <v>0</v>
      </c>
      <c r="N1339" s="257">
        <v>0</v>
      </c>
      <c r="O1339" s="257">
        <v>0</v>
      </c>
      <c r="P1339" s="257">
        <v>0</v>
      </c>
      <c r="Q1339" s="258">
        <v>0</v>
      </c>
    </row>
    <row r="1340" spans="1:17">
      <c r="A1340" s="256">
        <v>3</v>
      </c>
      <c r="B1340" s="256">
        <v>8831804</v>
      </c>
      <c r="C1340" s="256">
        <v>883180408</v>
      </c>
      <c r="D1340" s="256" t="s">
        <v>538</v>
      </c>
      <c r="E1340" s="256" t="s">
        <v>539</v>
      </c>
      <c r="F1340" s="256" t="s">
        <v>541</v>
      </c>
      <c r="G1340" s="256" t="s">
        <v>106</v>
      </c>
      <c r="H1340" s="256" t="s">
        <v>761</v>
      </c>
      <c r="I1340" s="257">
        <v>0</v>
      </c>
      <c r="J1340" s="257">
        <v>0</v>
      </c>
      <c r="K1340" s="257">
        <v>0</v>
      </c>
      <c r="L1340" s="257">
        <v>0</v>
      </c>
      <c r="M1340" s="257">
        <v>0</v>
      </c>
      <c r="N1340" s="257">
        <v>0</v>
      </c>
      <c r="O1340" s="257">
        <v>0</v>
      </c>
      <c r="P1340" s="257">
        <v>0</v>
      </c>
      <c r="Q1340" s="258">
        <v>0</v>
      </c>
    </row>
    <row r="1341" spans="1:17">
      <c r="A1341" s="256">
        <v>3</v>
      </c>
      <c r="B1341" s="256">
        <v>8831804</v>
      </c>
      <c r="C1341" s="256">
        <v>883180410</v>
      </c>
      <c r="D1341" s="256" t="s">
        <v>538</v>
      </c>
      <c r="E1341" s="256" t="s">
        <v>539</v>
      </c>
      <c r="F1341" s="256" t="s">
        <v>541</v>
      </c>
      <c r="G1341" s="256" t="s">
        <v>106</v>
      </c>
      <c r="H1341" s="256" t="s">
        <v>762</v>
      </c>
      <c r="I1341" s="257">
        <v>0</v>
      </c>
      <c r="J1341" s="257">
        <v>0</v>
      </c>
      <c r="K1341" s="257">
        <v>0</v>
      </c>
      <c r="L1341" s="257">
        <v>0</v>
      </c>
      <c r="M1341" s="257">
        <v>0</v>
      </c>
      <c r="N1341" s="257">
        <v>0</v>
      </c>
      <c r="O1341" s="257">
        <v>0</v>
      </c>
      <c r="P1341" s="257">
        <v>0</v>
      </c>
      <c r="Q1341" s="258">
        <v>0</v>
      </c>
    </row>
    <row r="1342" spans="1:17">
      <c r="A1342" s="256">
        <v>3</v>
      </c>
      <c r="B1342" s="256">
        <v>8831804</v>
      </c>
      <c r="C1342" s="256">
        <v>883180411</v>
      </c>
      <c r="D1342" s="256" t="s">
        <v>538</v>
      </c>
      <c r="E1342" s="256" t="s">
        <v>539</v>
      </c>
      <c r="F1342" s="256" t="s">
        <v>541</v>
      </c>
      <c r="G1342" s="256" t="s">
        <v>106</v>
      </c>
      <c r="H1342" s="256" t="s">
        <v>763</v>
      </c>
      <c r="I1342" s="257">
        <v>0</v>
      </c>
      <c r="J1342" s="257">
        <v>0</v>
      </c>
      <c r="K1342" s="257">
        <v>0</v>
      </c>
      <c r="L1342" s="257">
        <v>0</v>
      </c>
      <c r="M1342" s="257">
        <v>0</v>
      </c>
      <c r="N1342" s="257">
        <v>0</v>
      </c>
      <c r="O1342" s="257">
        <v>0</v>
      </c>
      <c r="P1342" s="257">
        <v>0</v>
      </c>
      <c r="Q1342" s="258">
        <v>0</v>
      </c>
    </row>
    <row r="1343" spans="1:17">
      <c r="A1343" s="256">
        <v>3</v>
      </c>
      <c r="B1343" s="256">
        <v>8831805</v>
      </c>
      <c r="C1343" s="256">
        <v>883180500</v>
      </c>
      <c r="D1343" s="256" t="s">
        <v>538</v>
      </c>
      <c r="E1343" s="256" t="s">
        <v>539</v>
      </c>
      <c r="F1343" s="256" t="s">
        <v>541</v>
      </c>
      <c r="G1343" s="256" t="s">
        <v>104</v>
      </c>
      <c r="H1343" s="256"/>
      <c r="I1343" s="257">
        <v>0</v>
      </c>
      <c r="J1343" s="257">
        <v>0</v>
      </c>
      <c r="K1343" s="257">
        <v>0</v>
      </c>
      <c r="L1343" s="257">
        <v>0</v>
      </c>
      <c r="M1343" s="257">
        <v>0</v>
      </c>
      <c r="N1343" s="257">
        <v>0</v>
      </c>
      <c r="O1343" s="257">
        <v>0</v>
      </c>
      <c r="P1343" s="257">
        <v>0</v>
      </c>
      <c r="Q1343" s="258">
        <v>0</v>
      </c>
    </row>
    <row r="1344" spans="1:17">
      <c r="A1344" s="256">
        <v>3</v>
      </c>
      <c r="B1344" s="256">
        <v>8831807</v>
      </c>
      <c r="C1344" s="256">
        <v>883180700</v>
      </c>
      <c r="D1344" s="256" t="s">
        <v>538</v>
      </c>
      <c r="E1344" s="256" t="s">
        <v>539</v>
      </c>
      <c r="F1344" s="256" t="s">
        <v>541</v>
      </c>
      <c r="G1344" s="256" t="s">
        <v>102</v>
      </c>
      <c r="H1344" s="256"/>
      <c r="I1344" s="257">
        <v>0</v>
      </c>
      <c r="J1344" s="257">
        <v>0</v>
      </c>
      <c r="K1344" s="257">
        <v>0</v>
      </c>
      <c r="L1344" s="257">
        <v>0</v>
      </c>
      <c r="M1344" s="257">
        <v>0</v>
      </c>
      <c r="N1344" s="257">
        <v>0</v>
      </c>
      <c r="O1344" s="257">
        <v>0</v>
      </c>
      <c r="P1344" s="257">
        <v>0</v>
      </c>
      <c r="Q1344" s="258">
        <v>0</v>
      </c>
    </row>
    <row r="1345" spans="1:17">
      <c r="A1345" s="256">
        <v>3</v>
      </c>
      <c r="B1345" s="256">
        <v>8831808</v>
      </c>
      <c r="C1345" s="256">
        <v>883180800</v>
      </c>
      <c r="D1345" s="256" t="s">
        <v>538</v>
      </c>
      <c r="E1345" s="256" t="s">
        <v>539</v>
      </c>
      <c r="F1345" s="256" t="s">
        <v>541</v>
      </c>
      <c r="G1345" s="256" t="s">
        <v>100</v>
      </c>
      <c r="H1345" s="256"/>
      <c r="I1345" s="257">
        <v>0</v>
      </c>
      <c r="J1345" s="257">
        <v>0</v>
      </c>
      <c r="K1345" s="257">
        <v>0</v>
      </c>
      <c r="L1345" s="257">
        <v>0</v>
      </c>
      <c r="M1345" s="257">
        <v>0</v>
      </c>
      <c r="N1345" s="257">
        <v>0</v>
      </c>
      <c r="O1345" s="257">
        <v>0</v>
      </c>
      <c r="P1345" s="257">
        <v>0</v>
      </c>
      <c r="Q1345" s="258">
        <v>0</v>
      </c>
    </row>
    <row r="1346" spans="1:17">
      <c r="A1346" s="256">
        <v>3</v>
      </c>
      <c r="B1346" s="256">
        <v>8831810</v>
      </c>
      <c r="C1346" s="256">
        <v>883181001</v>
      </c>
      <c r="D1346" s="256" t="s">
        <v>538</v>
      </c>
      <c r="E1346" s="256" t="s">
        <v>539</v>
      </c>
      <c r="F1346" s="256" t="s">
        <v>541</v>
      </c>
      <c r="G1346" s="256" t="s">
        <v>764</v>
      </c>
      <c r="H1346" s="256" t="s">
        <v>98</v>
      </c>
      <c r="I1346" s="257">
        <v>7966</v>
      </c>
      <c r="J1346" s="257">
        <v>0</v>
      </c>
      <c r="K1346" s="257">
        <v>0</v>
      </c>
      <c r="L1346" s="257">
        <v>0</v>
      </c>
      <c r="M1346" s="257">
        <v>0</v>
      </c>
      <c r="N1346" s="257">
        <v>7966</v>
      </c>
      <c r="O1346" s="257">
        <v>0</v>
      </c>
      <c r="P1346" s="257">
        <v>0</v>
      </c>
      <c r="Q1346" s="258">
        <v>0</v>
      </c>
    </row>
    <row r="1347" spans="1:17">
      <c r="A1347" s="256">
        <v>3</v>
      </c>
      <c r="B1347" s="256">
        <v>8831810</v>
      </c>
      <c r="C1347" s="256">
        <v>883181002</v>
      </c>
      <c r="D1347" s="256" t="s">
        <v>538</v>
      </c>
      <c r="E1347" s="256" t="s">
        <v>539</v>
      </c>
      <c r="F1347" s="256" t="s">
        <v>541</v>
      </c>
      <c r="G1347" s="256" t="s">
        <v>764</v>
      </c>
      <c r="H1347" s="256" t="s">
        <v>95</v>
      </c>
      <c r="I1347" s="257">
        <v>0</v>
      </c>
      <c r="J1347" s="257">
        <v>0</v>
      </c>
      <c r="K1347" s="257">
        <v>0</v>
      </c>
      <c r="L1347" s="257">
        <v>0</v>
      </c>
      <c r="M1347" s="257">
        <v>0</v>
      </c>
      <c r="N1347" s="257">
        <v>0</v>
      </c>
      <c r="O1347" s="257">
        <v>0</v>
      </c>
      <c r="P1347" s="257">
        <v>0</v>
      </c>
      <c r="Q1347" s="258">
        <v>0</v>
      </c>
    </row>
    <row r="1348" spans="1:17">
      <c r="A1348" s="236">
        <v>3</v>
      </c>
      <c r="B1348" s="236">
        <v>8831810</v>
      </c>
      <c r="C1348" s="236">
        <v>883181003</v>
      </c>
      <c r="D1348" s="236" t="s">
        <v>538</v>
      </c>
      <c r="E1348" s="236" t="s">
        <v>539</v>
      </c>
      <c r="F1348" s="236" t="s">
        <v>541</v>
      </c>
      <c r="G1348" s="236" t="s">
        <v>764</v>
      </c>
      <c r="H1348" s="236" t="s">
        <v>765</v>
      </c>
      <c r="I1348" s="257">
        <v>0</v>
      </c>
      <c r="J1348" s="257">
        <v>0</v>
      </c>
      <c r="K1348" s="257">
        <v>0</v>
      </c>
      <c r="L1348" s="257">
        <v>0</v>
      </c>
      <c r="M1348" s="257">
        <v>0</v>
      </c>
      <c r="N1348" s="257">
        <v>0</v>
      </c>
      <c r="O1348" s="257">
        <v>0</v>
      </c>
      <c r="P1348" s="257">
        <v>0</v>
      </c>
      <c r="Q1348" s="258">
        <v>0</v>
      </c>
    </row>
    <row r="1349" spans="1:17">
      <c r="A1349" s="256">
        <v>3</v>
      </c>
      <c r="B1349" s="256">
        <v>8831813</v>
      </c>
      <c r="C1349" s="256">
        <v>883181300</v>
      </c>
      <c r="D1349" s="256" t="s">
        <v>538</v>
      </c>
      <c r="E1349" s="256" t="s">
        <v>539</v>
      </c>
      <c r="F1349" s="256" t="s">
        <v>541</v>
      </c>
      <c r="G1349" s="256" t="s">
        <v>93</v>
      </c>
      <c r="H1349" s="256"/>
      <c r="I1349" s="257">
        <v>109131</v>
      </c>
      <c r="J1349" s="257">
        <v>0</v>
      </c>
      <c r="K1349" s="257">
        <v>0</v>
      </c>
      <c r="L1349" s="257">
        <v>0</v>
      </c>
      <c r="M1349" s="257">
        <v>5073</v>
      </c>
      <c r="N1349" s="257">
        <v>104058</v>
      </c>
      <c r="O1349" s="257">
        <v>0</v>
      </c>
      <c r="P1349" s="257">
        <v>0</v>
      </c>
      <c r="Q1349" s="258">
        <v>0</v>
      </c>
    </row>
    <row r="1350" spans="1:17">
      <c r="A1350" s="256">
        <v>3</v>
      </c>
      <c r="B1350" s="256">
        <v>8831814</v>
      </c>
      <c r="C1350" s="256">
        <v>883181400</v>
      </c>
      <c r="D1350" s="256" t="s">
        <v>538</v>
      </c>
      <c r="E1350" s="256" t="s">
        <v>539</v>
      </c>
      <c r="F1350" s="256" t="s">
        <v>541</v>
      </c>
      <c r="G1350" s="256" t="s">
        <v>91</v>
      </c>
      <c r="H1350" s="256"/>
      <c r="I1350" s="257">
        <v>1683</v>
      </c>
      <c r="J1350" s="257">
        <v>0</v>
      </c>
      <c r="K1350" s="257">
        <v>0</v>
      </c>
      <c r="L1350" s="257">
        <v>0</v>
      </c>
      <c r="M1350" s="257">
        <v>0</v>
      </c>
      <c r="N1350" s="257">
        <v>1683</v>
      </c>
      <c r="O1350" s="257">
        <v>0</v>
      </c>
      <c r="P1350" s="257">
        <v>0</v>
      </c>
      <c r="Q1350" s="258">
        <v>0</v>
      </c>
    </row>
    <row r="1351" spans="1:17">
      <c r="A1351" s="256">
        <v>3</v>
      </c>
      <c r="B1351" s="256">
        <v>8831815</v>
      </c>
      <c r="C1351" s="256">
        <v>883181500</v>
      </c>
      <c r="D1351" s="256" t="s">
        <v>538</v>
      </c>
      <c r="E1351" s="256" t="s">
        <v>539</v>
      </c>
      <c r="F1351" s="256" t="s">
        <v>541</v>
      </c>
      <c r="G1351" s="256" t="s">
        <v>89</v>
      </c>
      <c r="H1351" s="256"/>
      <c r="I1351" s="257">
        <v>25581</v>
      </c>
      <c r="J1351" s="257">
        <v>0</v>
      </c>
      <c r="K1351" s="257">
        <v>0</v>
      </c>
      <c r="L1351" s="257">
        <v>0</v>
      </c>
      <c r="M1351" s="257">
        <v>0</v>
      </c>
      <c r="N1351" s="257">
        <v>25581</v>
      </c>
      <c r="O1351" s="257">
        <v>0</v>
      </c>
      <c r="P1351" s="257">
        <v>0</v>
      </c>
      <c r="Q1351" s="258">
        <v>0</v>
      </c>
    </row>
    <row r="1352" spans="1:17">
      <c r="A1352" s="256">
        <v>3</v>
      </c>
      <c r="B1352" s="256">
        <v>8831817</v>
      </c>
      <c r="C1352" s="256">
        <v>883181700</v>
      </c>
      <c r="D1352" s="256" t="s">
        <v>538</v>
      </c>
      <c r="E1352" s="256" t="s">
        <v>539</v>
      </c>
      <c r="F1352" s="256" t="s">
        <v>541</v>
      </c>
      <c r="G1352" s="256" t="s">
        <v>87</v>
      </c>
      <c r="H1352" s="256"/>
      <c r="I1352" s="257">
        <v>827</v>
      </c>
      <c r="J1352" s="257">
        <v>0</v>
      </c>
      <c r="K1352" s="257">
        <v>0</v>
      </c>
      <c r="L1352" s="257">
        <v>0</v>
      </c>
      <c r="M1352" s="257">
        <v>0</v>
      </c>
      <c r="N1352" s="257">
        <v>827</v>
      </c>
      <c r="O1352" s="257">
        <v>0</v>
      </c>
      <c r="P1352" s="257">
        <v>0</v>
      </c>
      <c r="Q1352" s="258">
        <v>0</v>
      </c>
    </row>
    <row r="1353" spans="1:17">
      <c r="A1353" s="256">
        <v>3</v>
      </c>
      <c r="B1353" s="256">
        <v>8831819</v>
      </c>
      <c r="C1353" s="256">
        <v>883181900</v>
      </c>
      <c r="D1353" s="256" t="s">
        <v>538</v>
      </c>
      <c r="E1353" s="256" t="s">
        <v>539</v>
      </c>
      <c r="F1353" s="256" t="s">
        <v>541</v>
      </c>
      <c r="G1353" s="256" t="s">
        <v>85</v>
      </c>
      <c r="H1353" s="256"/>
      <c r="I1353" s="257">
        <v>14717</v>
      </c>
      <c r="J1353" s="257">
        <v>0</v>
      </c>
      <c r="K1353" s="257">
        <v>0</v>
      </c>
      <c r="L1353" s="257">
        <v>0</v>
      </c>
      <c r="M1353" s="257">
        <v>0</v>
      </c>
      <c r="N1353" s="257">
        <v>2980</v>
      </c>
      <c r="O1353" s="257">
        <v>11737</v>
      </c>
      <c r="P1353" s="257">
        <v>0</v>
      </c>
      <c r="Q1353" s="258">
        <v>0</v>
      </c>
    </row>
    <row r="1354" spans="1:17">
      <c r="A1354" s="256">
        <v>3</v>
      </c>
      <c r="B1354" s="256">
        <v>8831820</v>
      </c>
      <c r="C1354" s="256">
        <v>883182000</v>
      </c>
      <c r="D1354" s="256" t="s">
        <v>538</v>
      </c>
      <c r="E1354" s="256" t="s">
        <v>539</v>
      </c>
      <c r="F1354" s="256" t="s">
        <v>541</v>
      </c>
      <c r="G1354" s="256" t="s">
        <v>83</v>
      </c>
      <c r="H1354" s="256"/>
      <c r="I1354" s="257">
        <v>1186506</v>
      </c>
      <c r="J1354" s="257">
        <v>0</v>
      </c>
      <c r="K1354" s="257">
        <v>0</v>
      </c>
      <c r="L1354" s="257">
        <v>0</v>
      </c>
      <c r="M1354" s="257">
        <v>0</v>
      </c>
      <c r="N1354" s="257">
        <v>1184616</v>
      </c>
      <c r="O1354" s="257">
        <v>1890</v>
      </c>
      <c r="P1354" s="257">
        <v>0</v>
      </c>
      <c r="Q1354" s="258">
        <v>0</v>
      </c>
    </row>
    <row r="1355" spans="1:17">
      <c r="A1355" s="256">
        <v>3</v>
      </c>
      <c r="B1355" s="256">
        <v>8831821</v>
      </c>
      <c r="C1355" s="256">
        <v>883182100</v>
      </c>
      <c r="D1355" s="256" t="s">
        <v>538</v>
      </c>
      <c r="E1355" s="256" t="s">
        <v>539</v>
      </c>
      <c r="F1355" s="256" t="s">
        <v>541</v>
      </c>
      <c r="G1355" s="256" t="s">
        <v>81</v>
      </c>
      <c r="H1355" s="256"/>
      <c r="I1355" s="257">
        <v>212395907</v>
      </c>
      <c r="J1355" s="257">
        <v>0</v>
      </c>
      <c r="K1355" s="257">
        <v>0</v>
      </c>
      <c r="L1355" s="257">
        <v>0</v>
      </c>
      <c r="M1355" s="257">
        <v>0</v>
      </c>
      <c r="N1355" s="257">
        <v>212395907</v>
      </c>
      <c r="O1355" s="257">
        <v>0</v>
      </c>
      <c r="P1355" s="257">
        <v>0</v>
      </c>
      <c r="Q1355" s="258">
        <v>0</v>
      </c>
    </row>
    <row r="1356" spans="1:17">
      <c r="A1356" s="256">
        <v>3</v>
      </c>
      <c r="B1356" s="256">
        <v>8831823</v>
      </c>
      <c r="C1356" s="256">
        <v>883182300</v>
      </c>
      <c r="D1356" s="256" t="s">
        <v>538</v>
      </c>
      <c r="E1356" s="256" t="s">
        <v>539</v>
      </c>
      <c r="F1356" s="256" t="s">
        <v>541</v>
      </c>
      <c r="G1356" s="256" t="s">
        <v>79</v>
      </c>
      <c r="H1356" s="256"/>
      <c r="I1356" s="257">
        <v>16506765</v>
      </c>
      <c r="J1356" s="257">
        <v>0</v>
      </c>
      <c r="K1356" s="257">
        <v>0</v>
      </c>
      <c r="L1356" s="257">
        <v>0</v>
      </c>
      <c r="M1356" s="257">
        <v>0</v>
      </c>
      <c r="N1356" s="257">
        <v>16506765</v>
      </c>
      <c r="O1356" s="257">
        <v>0</v>
      </c>
      <c r="P1356" s="257">
        <v>0</v>
      </c>
      <c r="Q1356" s="258">
        <v>0</v>
      </c>
    </row>
    <row r="1357" spans="1:17">
      <c r="A1357" s="256">
        <v>3</v>
      </c>
      <c r="B1357" s="256">
        <v>8831824</v>
      </c>
      <c r="C1357" s="256">
        <v>883182400</v>
      </c>
      <c r="D1357" s="256" t="s">
        <v>538</v>
      </c>
      <c r="E1357" s="256" t="s">
        <v>539</v>
      </c>
      <c r="F1357" s="256" t="s">
        <v>541</v>
      </c>
      <c r="G1357" s="256" t="s">
        <v>77</v>
      </c>
      <c r="H1357" s="256"/>
      <c r="I1357" s="257">
        <v>995500</v>
      </c>
      <c r="J1357" s="257">
        <v>0</v>
      </c>
      <c r="K1357" s="257">
        <v>0</v>
      </c>
      <c r="L1357" s="257">
        <v>0</v>
      </c>
      <c r="M1357" s="257">
        <v>0</v>
      </c>
      <c r="N1357" s="257">
        <v>995500</v>
      </c>
      <c r="O1357" s="257">
        <v>0</v>
      </c>
      <c r="P1357" s="257">
        <v>0</v>
      </c>
      <c r="Q1357" s="258">
        <v>0</v>
      </c>
    </row>
    <row r="1358" spans="1:17">
      <c r="A1358" s="256">
        <v>3</v>
      </c>
      <c r="B1358" s="256">
        <v>8831825</v>
      </c>
      <c r="C1358" s="256">
        <v>883182500</v>
      </c>
      <c r="D1358" s="256" t="s">
        <v>538</v>
      </c>
      <c r="E1358" s="256" t="s">
        <v>539</v>
      </c>
      <c r="F1358" s="256" t="s">
        <v>541</v>
      </c>
      <c r="G1358" s="256" t="s">
        <v>75</v>
      </c>
      <c r="H1358" s="256"/>
      <c r="I1358" s="257">
        <v>13807574</v>
      </c>
      <c r="J1358" s="257">
        <v>0</v>
      </c>
      <c r="K1358" s="257">
        <v>0</v>
      </c>
      <c r="L1358" s="257">
        <v>0</v>
      </c>
      <c r="M1358" s="257">
        <v>0</v>
      </c>
      <c r="N1358" s="257">
        <v>13807574</v>
      </c>
      <c r="O1358" s="257">
        <v>0</v>
      </c>
      <c r="P1358" s="257">
        <v>0</v>
      </c>
      <c r="Q1358" s="258">
        <v>0</v>
      </c>
    </row>
    <row r="1359" spans="1:17">
      <c r="A1359" s="256">
        <v>3</v>
      </c>
      <c r="B1359" s="256">
        <v>8831826</v>
      </c>
      <c r="C1359" s="256">
        <v>883182600</v>
      </c>
      <c r="D1359" s="256" t="s">
        <v>538</v>
      </c>
      <c r="E1359" s="256" t="s">
        <v>539</v>
      </c>
      <c r="F1359" s="256" t="s">
        <v>541</v>
      </c>
      <c r="G1359" s="256" t="s">
        <v>73</v>
      </c>
      <c r="H1359" s="256"/>
      <c r="I1359" s="257">
        <v>0</v>
      </c>
      <c r="J1359" s="257">
        <v>0</v>
      </c>
      <c r="K1359" s="257">
        <v>0</v>
      </c>
      <c r="L1359" s="257">
        <v>0</v>
      </c>
      <c r="M1359" s="257">
        <v>0</v>
      </c>
      <c r="N1359" s="257">
        <v>0</v>
      </c>
      <c r="O1359" s="257">
        <v>0</v>
      </c>
      <c r="P1359" s="257">
        <v>0</v>
      </c>
      <c r="Q1359" s="258">
        <v>0</v>
      </c>
    </row>
    <row r="1360" spans="1:17">
      <c r="A1360" s="256">
        <v>3</v>
      </c>
      <c r="B1360" s="256">
        <v>8831828</v>
      </c>
      <c r="C1360" s="256">
        <v>883182866</v>
      </c>
      <c r="D1360" s="256" t="s">
        <v>538</v>
      </c>
      <c r="E1360" s="256" t="s">
        <v>539</v>
      </c>
      <c r="F1360" s="256" t="s">
        <v>541</v>
      </c>
      <c r="G1360" s="256" t="s">
        <v>811</v>
      </c>
      <c r="H1360" s="256" t="s">
        <v>812</v>
      </c>
      <c r="I1360" s="257">
        <v>0</v>
      </c>
      <c r="J1360" s="257">
        <v>0</v>
      </c>
      <c r="K1360" s="257">
        <v>0</v>
      </c>
      <c r="L1360" s="257">
        <v>0</v>
      </c>
      <c r="M1360" s="257">
        <v>0</v>
      </c>
      <c r="N1360" s="257">
        <v>0</v>
      </c>
      <c r="O1360" s="257">
        <v>0</v>
      </c>
      <c r="P1360" s="257">
        <v>0</v>
      </c>
      <c r="Q1360" s="258">
        <v>0</v>
      </c>
    </row>
    <row r="1361" spans="1:17">
      <c r="A1361" s="256">
        <v>3</v>
      </c>
      <c r="B1361" s="256">
        <v>8831828</v>
      </c>
      <c r="C1361" s="256">
        <v>883182867</v>
      </c>
      <c r="D1361" s="256" t="s">
        <v>538</v>
      </c>
      <c r="E1361" s="256" t="s">
        <v>539</v>
      </c>
      <c r="F1361" s="256" t="s">
        <v>541</v>
      </c>
      <c r="G1361" s="256" t="s">
        <v>811</v>
      </c>
      <c r="H1361" s="256" t="s">
        <v>813</v>
      </c>
      <c r="I1361" s="257">
        <v>0</v>
      </c>
      <c r="J1361" s="257">
        <v>0</v>
      </c>
      <c r="K1361" s="257">
        <v>0</v>
      </c>
      <c r="L1361" s="257">
        <v>0</v>
      </c>
      <c r="M1361" s="257">
        <v>0</v>
      </c>
      <c r="N1361" s="257">
        <v>0</v>
      </c>
      <c r="O1361" s="257">
        <v>0</v>
      </c>
      <c r="P1361" s="257">
        <v>0</v>
      </c>
      <c r="Q1361" s="258">
        <v>0</v>
      </c>
    </row>
    <row r="1362" spans="1:17">
      <c r="A1362" s="256">
        <v>3</v>
      </c>
      <c r="B1362" s="256">
        <v>8831829</v>
      </c>
      <c r="C1362" s="256">
        <v>883182900</v>
      </c>
      <c r="D1362" s="256" t="s">
        <v>538</v>
      </c>
      <c r="E1362" s="256" t="s">
        <v>539</v>
      </c>
      <c r="F1362" s="256" t="s">
        <v>541</v>
      </c>
      <c r="G1362" s="256" t="s">
        <v>66</v>
      </c>
      <c r="H1362" s="256"/>
      <c r="I1362" s="257">
        <v>0</v>
      </c>
      <c r="J1362" s="257">
        <v>0</v>
      </c>
      <c r="K1362" s="257">
        <v>0</v>
      </c>
      <c r="L1362" s="257">
        <v>0</v>
      </c>
      <c r="M1362" s="257">
        <v>0</v>
      </c>
      <c r="N1362" s="257">
        <v>0</v>
      </c>
      <c r="O1362" s="257">
        <v>0</v>
      </c>
      <c r="P1362" s="257">
        <v>0</v>
      </c>
      <c r="Q1362" s="258">
        <v>0</v>
      </c>
    </row>
    <row r="1363" spans="1:17">
      <c r="A1363" s="256">
        <v>3</v>
      </c>
      <c r="B1363" s="256">
        <v>8831830</v>
      </c>
      <c r="C1363" s="256">
        <v>883183000</v>
      </c>
      <c r="D1363" s="256" t="s">
        <v>538</v>
      </c>
      <c r="E1363" s="256" t="s">
        <v>539</v>
      </c>
      <c r="F1363" s="256" t="s">
        <v>541</v>
      </c>
      <c r="G1363" s="256" t="s">
        <v>64</v>
      </c>
      <c r="H1363" s="256"/>
      <c r="I1363" s="257">
        <v>0</v>
      </c>
      <c r="J1363" s="257">
        <v>0</v>
      </c>
      <c r="K1363" s="257">
        <v>0</v>
      </c>
      <c r="L1363" s="257">
        <v>0</v>
      </c>
      <c r="M1363" s="257">
        <v>0</v>
      </c>
      <c r="N1363" s="257">
        <v>0</v>
      </c>
      <c r="O1363" s="257">
        <v>0</v>
      </c>
      <c r="P1363" s="257">
        <v>0</v>
      </c>
      <c r="Q1363" s="258">
        <v>0</v>
      </c>
    </row>
    <row r="1364" spans="1:17">
      <c r="A1364" s="256">
        <v>3</v>
      </c>
      <c r="B1364" s="256">
        <v>8831831</v>
      </c>
      <c r="C1364" s="256">
        <v>883183100</v>
      </c>
      <c r="D1364" s="256" t="s">
        <v>538</v>
      </c>
      <c r="E1364" s="256" t="s">
        <v>539</v>
      </c>
      <c r="F1364" s="256" t="s">
        <v>541</v>
      </c>
      <c r="G1364" s="256" t="s">
        <v>62</v>
      </c>
      <c r="H1364" s="256"/>
      <c r="I1364" s="257">
        <v>2416327</v>
      </c>
      <c r="J1364" s="257">
        <v>0</v>
      </c>
      <c r="K1364" s="257">
        <v>0</v>
      </c>
      <c r="L1364" s="257">
        <v>0</v>
      </c>
      <c r="M1364" s="257">
        <v>0</v>
      </c>
      <c r="N1364" s="257">
        <v>2310867</v>
      </c>
      <c r="O1364" s="257">
        <v>0</v>
      </c>
      <c r="P1364" s="257">
        <v>105460</v>
      </c>
      <c r="Q1364" s="258">
        <v>0</v>
      </c>
    </row>
    <row r="1365" spans="1:17">
      <c r="A1365" s="256">
        <v>3</v>
      </c>
      <c r="B1365" s="256">
        <v>8831833</v>
      </c>
      <c r="C1365" s="256">
        <v>883183300</v>
      </c>
      <c r="D1365" s="256" t="s">
        <v>538</v>
      </c>
      <c r="E1365" s="256" t="s">
        <v>539</v>
      </c>
      <c r="F1365" s="256" t="s">
        <v>541</v>
      </c>
      <c r="G1365" s="256" t="s">
        <v>822</v>
      </c>
      <c r="H1365" s="256"/>
      <c r="I1365" s="257">
        <v>0</v>
      </c>
      <c r="J1365" s="257">
        <v>0</v>
      </c>
      <c r="K1365" s="257">
        <v>0</v>
      </c>
      <c r="L1365" s="257">
        <v>0</v>
      </c>
      <c r="M1365" s="257">
        <v>0</v>
      </c>
      <c r="N1365" s="257">
        <v>0</v>
      </c>
      <c r="O1365" s="257">
        <v>0</v>
      </c>
      <c r="P1365" s="257">
        <v>0</v>
      </c>
      <c r="Q1365" s="258">
        <v>0</v>
      </c>
    </row>
    <row r="1366" spans="1:17">
      <c r="A1366" s="256">
        <v>3</v>
      </c>
      <c r="B1366" s="256">
        <v>8831836</v>
      </c>
      <c r="C1366" s="256">
        <v>883183600</v>
      </c>
      <c r="D1366" s="256" t="s">
        <v>538</v>
      </c>
      <c r="E1366" s="256" t="s">
        <v>539</v>
      </c>
      <c r="F1366" s="256" t="s">
        <v>541</v>
      </c>
      <c r="G1366" s="256" t="s">
        <v>823</v>
      </c>
      <c r="H1366" s="256"/>
      <c r="I1366" s="257">
        <v>63</v>
      </c>
      <c r="J1366" s="257">
        <v>0</v>
      </c>
      <c r="K1366" s="257">
        <v>0</v>
      </c>
      <c r="L1366" s="257">
        <v>0</v>
      </c>
      <c r="M1366" s="257">
        <v>0</v>
      </c>
      <c r="N1366" s="257">
        <v>63</v>
      </c>
      <c r="O1366" s="257">
        <v>0</v>
      </c>
      <c r="P1366" s="257">
        <v>0</v>
      </c>
      <c r="Q1366" s="258">
        <v>0</v>
      </c>
    </row>
    <row r="1367" spans="1:17">
      <c r="A1367" s="256">
        <v>3</v>
      </c>
      <c r="B1367" s="256">
        <v>8831837</v>
      </c>
      <c r="C1367" s="256">
        <v>883183700</v>
      </c>
      <c r="D1367" s="256" t="s">
        <v>538</v>
      </c>
      <c r="E1367" s="256" t="s">
        <v>539</v>
      </c>
      <c r="F1367" s="256" t="s">
        <v>541</v>
      </c>
      <c r="G1367" s="256" t="s">
        <v>60</v>
      </c>
      <c r="H1367" s="256"/>
      <c r="I1367" s="257">
        <v>0</v>
      </c>
      <c r="J1367" s="257">
        <v>0</v>
      </c>
      <c r="K1367" s="257">
        <v>0</v>
      </c>
      <c r="L1367" s="257">
        <v>0</v>
      </c>
      <c r="M1367" s="257">
        <v>0</v>
      </c>
      <c r="N1367" s="257">
        <v>0</v>
      </c>
      <c r="O1367" s="257">
        <v>0</v>
      </c>
      <c r="P1367" s="257">
        <v>0</v>
      </c>
      <c r="Q1367" s="258">
        <v>0</v>
      </c>
    </row>
    <row r="1368" spans="1:17">
      <c r="A1368" s="256">
        <v>3</v>
      </c>
      <c r="B1368" s="256">
        <v>8831839</v>
      </c>
      <c r="C1368" s="256">
        <v>883183900</v>
      </c>
      <c r="D1368" s="256" t="s">
        <v>538</v>
      </c>
      <c r="E1368" s="256" t="s">
        <v>539</v>
      </c>
      <c r="F1368" s="256" t="s">
        <v>541</v>
      </c>
      <c r="G1368" s="256" t="s">
        <v>58</v>
      </c>
      <c r="H1368" s="256"/>
      <c r="I1368" s="257">
        <v>169338</v>
      </c>
      <c r="J1368" s="257">
        <v>0</v>
      </c>
      <c r="K1368" s="257">
        <v>0</v>
      </c>
      <c r="L1368" s="257">
        <v>0</v>
      </c>
      <c r="M1368" s="257">
        <v>0</v>
      </c>
      <c r="N1368" s="257">
        <v>0</v>
      </c>
      <c r="O1368" s="257">
        <v>169338</v>
      </c>
      <c r="P1368" s="257">
        <v>0</v>
      </c>
      <c r="Q1368" s="258">
        <v>0</v>
      </c>
    </row>
    <row r="1369" spans="1:17">
      <c r="A1369" s="256">
        <v>3</v>
      </c>
      <c r="B1369" s="256">
        <v>8831840</v>
      </c>
      <c r="C1369" s="256">
        <v>883184000</v>
      </c>
      <c r="D1369" s="256" t="s">
        <v>538</v>
      </c>
      <c r="E1369" s="256" t="s">
        <v>539</v>
      </c>
      <c r="F1369" s="256" t="s">
        <v>541</v>
      </c>
      <c r="G1369" s="256" t="s">
        <v>56</v>
      </c>
      <c r="H1369" s="256"/>
      <c r="I1369" s="257">
        <v>139</v>
      </c>
      <c r="J1369" s="257">
        <v>0</v>
      </c>
      <c r="K1369" s="257">
        <v>0</v>
      </c>
      <c r="L1369" s="257">
        <v>0</v>
      </c>
      <c r="M1369" s="257">
        <v>0</v>
      </c>
      <c r="N1369" s="257">
        <v>0</v>
      </c>
      <c r="O1369" s="257">
        <v>0</v>
      </c>
      <c r="P1369" s="257">
        <v>139</v>
      </c>
      <c r="Q1369" s="258">
        <v>0</v>
      </c>
    </row>
    <row r="1370" spans="1:17">
      <c r="A1370" s="256">
        <v>3</v>
      </c>
      <c r="B1370" s="256">
        <v>8831841</v>
      </c>
      <c r="C1370" s="256">
        <v>883184100</v>
      </c>
      <c r="D1370" s="256" t="s">
        <v>538</v>
      </c>
      <c r="E1370" s="256" t="s">
        <v>539</v>
      </c>
      <c r="F1370" s="256" t="s">
        <v>541</v>
      </c>
      <c r="G1370" s="256" t="s">
        <v>55</v>
      </c>
      <c r="H1370" s="256"/>
      <c r="I1370" s="257">
        <v>0</v>
      </c>
      <c r="J1370" s="257">
        <v>0</v>
      </c>
      <c r="K1370" s="257">
        <v>0</v>
      </c>
      <c r="L1370" s="257">
        <v>0</v>
      </c>
      <c r="M1370" s="257">
        <v>0</v>
      </c>
      <c r="N1370" s="257">
        <v>0</v>
      </c>
      <c r="O1370" s="257">
        <v>0</v>
      </c>
      <c r="P1370" s="257">
        <v>0</v>
      </c>
      <c r="Q1370" s="258">
        <v>0</v>
      </c>
    </row>
    <row r="1371" spans="1:17">
      <c r="A1371" s="256">
        <v>3</v>
      </c>
      <c r="B1371" s="256">
        <v>8831843</v>
      </c>
      <c r="C1371" s="256">
        <v>883184304</v>
      </c>
      <c r="D1371" s="256" t="s">
        <v>538</v>
      </c>
      <c r="E1371" s="256" t="s">
        <v>539</v>
      </c>
      <c r="F1371" s="256" t="s">
        <v>541</v>
      </c>
      <c r="G1371" s="256" t="s">
        <v>824</v>
      </c>
      <c r="H1371" s="256" t="s">
        <v>675</v>
      </c>
      <c r="I1371" s="257">
        <v>16000</v>
      </c>
      <c r="J1371" s="257">
        <v>0</v>
      </c>
      <c r="K1371" s="257">
        <v>0</v>
      </c>
      <c r="L1371" s="257">
        <v>0</v>
      </c>
      <c r="M1371" s="257">
        <v>0</v>
      </c>
      <c r="N1371" s="257">
        <v>0</v>
      </c>
      <c r="O1371" s="257">
        <v>0</v>
      </c>
      <c r="P1371" s="257">
        <v>16000</v>
      </c>
      <c r="Q1371" s="258">
        <v>0</v>
      </c>
    </row>
    <row r="1372" spans="1:17">
      <c r="A1372" s="256">
        <v>3</v>
      </c>
      <c r="B1372" s="256">
        <v>8832043</v>
      </c>
      <c r="C1372" s="256">
        <v>883204370</v>
      </c>
      <c r="D1372" s="256" t="s">
        <v>538</v>
      </c>
      <c r="E1372" s="256" t="s">
        <v>539</v>
      </c>
      <c r="F1372" s="256" t="s">
        <v>826</v>
      </c>
      <c r="G1372" s="256" t="s">
        <v>827</v>
      </c>
      <c r="H1372" s="256" t="s">
        <v>492</v>
      </c>
      <c r="I1372" s="257">
        <v>18007053</v>
      </c>
      <c r="J1372" s="257">
        <v>0</v>
      </c>
      <c r="K1372" s="257">
        <v>0</v>
      </c>
      <c r="L1372" s="257">
        <v>0</v>
      </c>
      <c r="M1372" s="257">
        <v>0</v>
      </c>
      <c r="N1372" s="257">
        <v>0</v>
      </c>
      <c r="O1372" s="257">
        <v>0</v>
      </c>
      <c r="P1372" s="257">
        <v>18007053</v>
      </c>
      <c r="Q1372" s="258">
        <v>0</v>
      </c>
    </row>
    <row r="1373" spans="1:17">
      <c r="A1373" s="256">
        <v>3</v>
      </c>
      <c r="B1373" s="256">
        <v>8832043</v>
      </c>
      <c r="C1373" s="256">
        <v>883204371</v>
      </c>
      <c r="D1373" s="256" t="s">
        <v>538</v>
      </c>
      <c r="E1373" s="256" t="s">
        <v>539</v>
      </c>
      <c r="F1373" s="256" t="s">
        <v>826</v>
      </c>
      <c r="G1373" s="256" t="s">
        <v>827</v>
      </c>
      <c r="H1373" s="256" t="s">
        <v>491</v>
      </c>
      <c r="I1373" s="257">
        <v>388438705</v>
      </c>
      <c r="J1373" s="257">
        <v>0</v>
      </c>
      <c r="K1373" s="257">
        <v>0</v>
      </c>
      <c r="L1373" s="257">
        <v>0</v>
      </c>
      <c r="M1373" s="257">
        <v>0</v>
      </c>
      <c r="N1373" s="257">
        <v>0</v>
      </c>
      <c r="O1373" s="257">
        <v>0</v>
      </c>
      <c r="P1373" s="257">
        <v>388438705</v>
      </c>
      <c r="Q1373" s="258">
        <v>0</v>
      </c>
    </row>
    <row r="1374" spans="1:17">
      <c r="A1374" s="256">
        <v>3</v>
      </c>
      <c r="B1374" s="256">
        <v>8832043</v>
      </c>
      <c r="C1374" s="256">
        <v>883204372</v>
      </c>
      <c r="D1374" s="256" t="s">
        <v>538</v>
      </c>
      <c r="E1374" s="256" t="s">
        <v>539</v>
      </c>
      <c r="F1374" s="256" t="s">
        <v>826</v>
      </c>
      <c r="G1374" s="256" t="s">
        <v>827</v>
      </c>
      <c r="H1374" s="256" t="s">
        <v>490</v>
      </c>
      <c r="I1374" s="257">
        <v>99952168</v>
      </c>
      <c r="J1374" s="257">
        <v>0</v>
      </c>
      <c r="K1374" s="257">
        <v>0</v>
      </c>
      <c r="L1374" s="257">
        <v>0</v>
      </c>
      <c r="M1374" s="257">
        <v>0</v>
      </c>
      <c r="N1374" s="257">
        <v>0</v>
      </c>
      <c r="O1374" s="257">
        <v>0</v>
      </c>
      <c r="P1374" s="257">
        <v>99952168</v>
      </c>
      <c r="Q1374" s="258">
        <v>0</v>
      </c>
    </row>
    <row r="1375" spans="1:17">
      <c r="A1375" s="256">
        <v>3</v>
      </c>
      <c r="B1375" s="256">
        <v>8832043</v>
      </c>
      <c r="C1375" s="256">
        <v>883204373</v>
      </c>
      <c r="D1375" s="256" t="s">
        <v>538</v>
      </c>
      <c r="E1375" s="256" t="s">
        <v>539</v>
      </c>
      <c r="F1375" s="256" t="s">
        <v>826</v>
      </c>
      <c r="G1375" s="256" t="s">
        <v>827</v>
      </c>
      <c r="H1375" s="256" t="s">
        <v>489</v>
      </c>
      <c r="I1375" s="257">
        <v>374650</v>
      </c>
      <c r="J1375" s="257">
        <v>0</v>
      </c>
      <c r="K1375" s="257">
        <v>0</v>
      </c>
      <c r="L1375" s="257">
        <v>0</v>
      </c>
      <c r="M1375" s="257">
        <v>0</v>
      </c>
      <c r="N1375" s="257">
        <v>0</v>
      </c>
      <c r="O1375" s="257">
        <v>0</v>
      </c>
      <c r="P1375" s="257">
        <v>374650</v>
      </c>
      <c r="Q1375" s="258">
        <v>0</v>
      </c>
    </row>
    <row r="1376" spans="1:17">
      <c r="A1376" s="256">
        <v>3</v>
      </c>
      <c r="B1376" s="256">
        <v>8832043</v>
      </c>
      <c r="C1376" s="256">
        <v>883204374</v>
      </c>
      <c r="D1376" s="256" t="s">
        <v>538</v>
      </c>
      <c r="E1376" s="256" t="s">
        <v>539</v>
      </c>
      <c r="F1376" s="256" t="s">
        <v>826</v>
      </c>
      <c r="G1376" s="256" t="s">
        <v>827</v>
      </c>
      <c r="H1376" s="256" t="s">
        <v>488</v>
      </c>
      <c r="I1376" s="257">
        <v>0</v>
      </c>
      <c r="J1376" s="257">
        <v>0</v>
      </c>
      <c r="K1376" s="257">
        <v>0</v>
      </c>
      <c r="L1376" s="257">
        <v>0</v>
      </c>
      <c r="M1376" s="257">
        <v>0</v>
      </c>
      <c r="N1376" s="257">
        <v>0</v>
      </c>
      <c r="O1376" s="257">
        <v>0</v>
      </c>
      <c r="P1376" s="257">
        <v>0</v>
      </c>
      <c r="Q1376" s="258">
        <v>0</v>
      </c>
    </row>
    <row r="1377" spans="1:17">
      <c r="A1377" s="256">
        <v>3</v>
      </c>
      <c r="B1377" s="256">
        <v>8832044</v>
      </c>
      <c r="C1377" s="256">
        <v>883204475</v>
      </c>
      <c r="D1377" s="256" t="s">
        <v>538</v>
      </c>
      <c r="E1377" s="256" t="s">
        <v>539</v>
      </c>
      <c r="F1377" s="256" t="s">
        <v>826</v>
      </c>
      <c r="G1377" s="256" t="s">
        <v>828</v>
      </c>
      <c r="H1377" s="256" t="s">
        <v>487</v>
      </c>
      <c r="I1377" s="257">
        <v>0</v>
      </c>
      <c r="J1377" s="257">
        <v>0</v>
      </c>
      <c r="K1377" s="257">
        <v>0</v>
      </c>
      <c r="L1377" s="257">
        <v>0</v>
      </c>
      <c r="M1377" s="257">
        <v>0</v>
      </c>
      <c r="N1377" s="257">
        <v>0</v>
      </c>
      <c r="O1377" s="257">
        <v>0</v>
      </c>
      <c r="P1377" s="257">
        <v>0</v>
      </c>
      <c r="Q1377" s="258">
        <v>0</v>
      </c>
    </row>
    <row r="1378" spans="1:17">
      <c r="A1378" s="256">
        <v>3</v>
      </c>
      <c r="B1378" s="256">
        <v>8832044</v>
      </c>
      <c r="C1378" s="256">
        <v>883204476</v>
      </c>
      <c r="D1378" s="256" t="s">
        <v>538</v>
      </c>
      <c r="E1378" s="256" t="s">
        <v>539</v>
      </c>
      <c r="F1378" s="256" t="s">
        <v>826</v>
      </c>
      <c r="G1378" s="256" t="s">
        <v>828</v>
      </c>
      <c r="H1378" s="256" t="s">
        <v>486</v>
      </c>
      <c r="I1378" s="257">
        <v>0</v>
      </c>
      <c r="J1378" s="257">
        <v>0</v>
      </c>
      <c r="K1378" s="257">
        <v>0</v>
      </c>
      <c r="L1378" s="257">
        <v>0</v>
      </c>
      <c r="M1378" s="257">
        <v>0</v>
      </c>
      <c r="N1378" s="257">
        <v>0</v>
      </c>
      <c r="O1378" s="257">
        <v>0</v>
      </c>
      <c r="P1378" s="257">
        <v>0</v>
      </c>
      <c r="Q1378" s="258">
        <v>0</v>
      </c>
    </row>
    <row r="1379" spans="1:17">
      <c r="A1379" s="256">
        <v>3</v>
      </c>
      <c r="B1379" s="256">
        <v>8832044</v>
      </c>
      <c r="C1379" s="256">
        <v>883204477</v>
      </c>
      <c r="D1379" s="256" t="s">
        <v>538</v>
      </c>
      <c r="E1379" s="256" t="s">
        <v>539</v>
      </c>
      <c r="F1379" s="256" t="s">
        <v>826</v>
      </c>
      <c r="G1379" s="256" t="s">
        <v>828</v>
      </c>
      <c r="H1379" s="256" t="s">
        <v>485</v>
      </c>
      <c r="I1379" s="257">
        <v>3300</v>
      </c>
      <c r="J1379" s="257">
        <v>0</v>
      </c>
      <c r="K1379" s="257">
        <v>0</v>
      </c>
      <c r="L1379" s="257">
        <v>0</v>
      </c>
      <c r="M1379" s="257">
        <v>0</v>
      </c>
      <c r="N1379" s="257">
        <v>0</v>
      </c>
      <c r="O1379" s="257">
        <v>0</v>
      </c>
      <c r="P1379" s="257">
        <v>3300</v>
      </c>
      <c r="Q1379" s="258">
        <v>0</v>
      </c>
    </row>
    <row r="1380" spans="1:17">
      <c r="A1380" s="256">
        <v>3</v>
      </c>
      <c r="B1380" s="256">
        <v>8832246</v>
      </c>
      <c r="C1380" s="256">
        <v>883224600</v>
      </c>
      <c r="D1380" s="256" t="s">
        <v>538</v>
      </c>
      <c r="E1380" s="256" t="s">
        <v>539</v>
      </c>
      <c r="F1380" s="256" t="s">
        <v>829</v>
      </c>
      <c r="G1380" s="256" t="s">
        <v>495</v>
      </c>
      <c r="H1380" s="256"/>
      <c r="I1380" s="257">
        <v>6526876</v>
      </c>
      <c r="J1380" s="257">
        <v>0</v>
      </c>
      <c r="K1380" s="257">
        <v>0</v>
      </c>
      <c r="L1380" s="257">
        <v>0</v>
      </c>
      <c r="M1380" s="257">
        <v>0</v>
      </c>
      <c r="N1380" s="257">
        <v>0</v>
      </c>
      <c r="O1380" s="257">
        <v>0</v>
      </c>
      <c r="P1380" s="257">
        <v>6526876</v>
      </c>
      <c r="Q1380" s="258">
        <v>0</v>
      </c>
    </row>
    <row r="1381" spans="1:17">
      <c r="A1381" s="256">
        <v>3</v>
      </c>
      <c r="B1381" s="256">
        <v>8832247</v>
      </c>
      <c r="C1381" s="256">
        <v>883224700</v>
      </c>
      <c r="D1381" s="256" t="s">
        <v>538</v>
      </c>
      <c r="E1381" s="256" t="s">
        <v>539</v>
      </c>
      <c r="F1381" s="256" t="s">
        <v>829</v>
      </c>
      <c r="G1381" s="256" t="s">
        <v>494</v>
      </c>
      <c r="H1381" s="256"/>
      <c r="I1381" s="257">
        <v>0</v>
      </c>
      <c r="J1381" s="257">
        <v>0</v>
      </c>
      <c r="K1381" s="257">
        <v>0</v>
      </c>
      <c r="L1381" s="257">
        <v>0</v>
      </c>
      <c r="M1381" s="257">
        <v>0</v>
      </c>
      <c r="N1381" s="257">
        <v>0</v>
      </c>
      <c r="O1381" s="257">
        <v>0</v>
      </c>
      <c r="P1381" s="257">
        <v>0</v>
      </c>
      <c r="Q1381" s="258">
        <v>0</v>
      </c>
    </row>
    <row r="1382" spans="1:17">
      <c r="A1382" s="256">
        <v>3</v>
      </c>
      <c r="B1382" s="256">
        <v>8840251</v>
      </c>
      <c r="C1382" s="256">
        <v>884025180</v>
      </c>
      <c r="D1382" s="256" t="s">
        <v>538</v>
      </c>
      <c r="E1382" s="256" t="s">
        <v>8</v>
      </c>
      <c r="F1382" s="256" t="s">
        <v>830</v>
      </c>
      <c r="G1382" s="256" t="s">
        <v>831</v>
      </c>
      <c r="H1382" s="256" t="s">
        <v>633</v>
      </c>
      <c r="I1382" s="257">
        <v>73142201</v>
      </c>
      <c r="J1382" s="257">
        <v>0</v>
      </c>
      <c r="K1382" s="257">
        <v>0</v>
      </c>
      <c r="L1382" s="257">
        <v>0</v>
      </c>
      <c r="M1382" s="257">
        <v>0</v>
      </c>
      <c r="N1382" s="257">
        <v>0</v>
      </c>
      <c r="O1382" s="257">
        <v>73142201</v>
      </c>
      <c r="P1382" s="257">
        <v>0</v>
      </c>
      <c r="Q1382" s="258">
        <v>0</v>
      </c>
    </row>
    <row r="1383" spans="1:17">
      <c r="A1383" s="256">
        <v>3</v>
      </c>
      <c r="B1383" s="256">
        <v>8840251</v>
      </c>
      <c r="C1383" s="256">
        <v>884025181</v>
      </c>
      <c r="D1383" s="256" t="s">
        <v>538</v>
      </c>
      <c r="E1383" s="256" t="s">
        <v>8</v>
      </c>
      <c r="F1383" s="256" t="s">
        <v>830</v>
      </c>
      <c r="G1383" s="256" t="s">
        <v>831</v>
      </c>
      <c r="H1383" s="256" t="s">
        <v>832</v>
      </c>
      <c r="I1383" s="257">
        <v>0</v>
      </c>
      <c r="J1383" s="257">
        <v>0</v>
      </c>
      <c r="K1383" s="257">
        <v>0</v>
      </c>
      <c r="L1383" s="257">
        <v>0</v>
      </c>
      <c r="M1383" s="257">
        <v>0</v>
      </c>
      <c r="N1383" s="257">
        <v>0</v>
      </c>
      <c r="O1383" s="257">
        <v>0</v>
      </c>
      <c r="P1383" s="257">
        <v>0</v>
      </c>
      <c r="Q1383" s="258">
        <v>0</v>
      </c>
    </row>
    <row r="1384" spans="1:17">
      <c r="A1384" s="256">
        <v>3</v>
      </c>
      <c r="B1384" s="256">
        <v>8840252</v>
      </c>
      <c r="C1384" s="256">
        <v>884025200</v>
      </c>
      <c r="D1384" s="256" t="s">
        <v>538</v>
      </c>
      <c r="E1384" s="256" t="s">
        <v>8</v>
      </c>
      <c r="F1384" s="256" t="s">
        <v>830</v>
      </c>
      <c r="G1384" s="256" t="s">
        <v>504</v>
      </c>
      <c r="H1384" s="256"/>
      <c r="I1384" s="257">
        <v>603610</v>
      </c>
      <c r="J1384" s="257">
        <v>0</v>
      </c>
      <c r="K1384" s="257">
        <v>0</v>
      </c>
      <c r="L1384" s="257">
        <v>0</v>
      </c>
      <c r="M1384" s="257">
        <v>0</v>
      </c>
      <c r="N1384" s="257">
        <v>603610</v>
      </c>
      <c r="O1384" s="257">
        <v>0</v>
      </c>
      <c r="P1384" s="257">
        <v>0</v>
      </c>
      <c r="Q1384" s="258">
        <v>0</v>
      </c>
    </row>
    <row r="1385" spans="1:17">
      <c r="A1385" s="256">
        <v>3</v>
      </c>
      <c r="B1385" s="256">
        <v>8840253</v>
      </c>
      <c r="C1385" s="256">
        <v>884025300</v>
      </c>
      <c r="D1385" s="256" t="s">
        <v>538</v>
      </c>
      <c r="E1385" s="256" t="s">
        <v>8</v>
      </c>
      <c r="F1385" s="256" t="s">
        <v>830</v>
      </c>
      <c r="G1385" s="256" t="s">
        <v>503</v>
      </c>
      <c r="H1385" s="256"/>
      <c r="I1385" s="257">
        <v>0</v>
      </c>
      <c r="J1385" s="257">
        <v>0</v>
      </c>
      <c r="K1385" s="257">
        <v>0</v>
      </c>
      <c r="L1385" s="257">
        <v>0</v>
      </c>
      <c r="M1385" s="257">
        <v>0</v>
      </c>
      <c r="N1385" s="257">
        <v>0</v>
      </c>
      <c r="O1385" s="257">
        <v>0</v>
      </c>
      <c r="P1385" s="257">
        <v>0</v>
      </c>
      <c r="Q1385" s="258">
        <v>0</v>
      </c>
    </row>
    <row r="1386" spans="1:17">
      <c r="A1386" s="256">
        <v>3</v>
      </c>
      <c r="B1386" s="256">
        <v>8840254</v>
      </c>
      <c r="C1386" s="256">
        <v>884025400</v>
      </c>
      <c r="D1386" s="256" t="s">
        <v>538</v>
      </c>
      <c r="E1386" s="256" t="s">
        <v>8</v>
      </c>
      <c r="F1386" s="256" t="s">
        <v>830</v>
      </c>
      <c r="G1386" s="256" t="s">
        <v>502</v>
      </c>
      <c r="H1386" s="256"/>
      <c r="I1386" s="257">
        <v>0</v>
      </c>
      <c r="J1386" s="257">
        <v>0</v>
      </c>
      <c r="K1386" s="257">
        <v>0</v>
      </c>
      <c r="L1386" s="257">
        <v>0</v>
      </c>
      <c r="M1386" s="257">
        <v>0</v>
      </c>
      <c r="N1386" s="257">
        <v>0</v>
      </c>
      <c r="O1386" s="257">
        <v>0</v>
      </c>
      <c r="P1386" s="257">
        <v>0</v>
      </c>
      <c r="Q1386" s="258">
        <v>0</v>
      </c>
    </row>
    <row r="1387" spans="1:17">
      <c r="A1387" s="256">
        <v>3</v>
      </c>
      <c r="B1387" s="256">
        <v>8840255</v>
      </c>
      <c r="C1387" s="256">
        <v>884025500</v>
      </c>
      <c r="D1387" s="256" t="s">
        <v>538</v>
      </c>
      <c r="E1387" s="256" t="s">
        <v>8</v>
      </c>
      <c r="F1387" s="256" t="s">
        <v>830</v>
      </c>
      <c r="G1387" s="256" t="s">
        <v>501</v>
      </c>
      <c r="H1387" s="256"/>
      <c r="I1387" s="257">
        <v>0</v>
      </c>
      <c r="J1387" s="257">
        <v>0</v>
      </c>
      <c r="K1387" s="257">
        <v>0</v>
      </c>
      <c r="L1387" s="257">
        <v>0</v>
      </c>
      <c r="M1387" s="257">
        <v>0</v>
      </c>
      <c r="N1387" s="257">
        <v>0</v>
      </c>
      <c r="O1387" s="257">
        <v>0</v>
      </c>
      <c r="P1387" s="257">
        <v>0</v>
      </c>
      <c r="Q1387" s="258">
        <v>0</v>
      </c>
    </row>
    <row r="1388" spans="1:17">
      <c r="A1388" s="256">
        <v>3</v>
      </c>
      <c r="B1388" s="256">
        <v>8840456</v>
      </c>
      <c r="C1388" s="256">
        <v>884045600</v>
      </c>
      <c r="D1388" s="256" t="s">
        <v>538</v>
      </c>
      <c r="E1388" s="256" t="s">
        <v>8</v>
      </c>
      <c r="F1388" s="256" t="s">
        <v>833</v>
      </c>
      <c r="G1388" s="256" t="s">
        <v>834</v>
      </c>
      <c r="H1388" s="256"/>
      <c r="I1388" s="257">
        <v>0</v>
      </c>
      <c r="J1388" s="257">
        <v>0</v>
      </c>
      <c r="K1388" s="257">
        <v>0</v>
      </c>
      <c r="L1388" s="257">
        <v>0</v>
      </c>
      <c r="M1388" s="257">
        <v>0</v>
      </c>
      <c r="N1388" s="257">
        <v>0</v>
      </c>
      <c r="O1388" s="257">
        <v>0</v>
      </c>
      <c r="P1388" s="257">
        <v>0</v>
      </c>
      <c r="Q1388" s="258">
        <v>0</v>
      </c>
    </row>
    <row r="1389" spans="1:17">
      <c r="A1389" s="256">
        <v>3</v>
      </c>
      <c r="B1389" s="256">
        <v>8840457</v>
      </c>
      <c r="C1389" s="256">
        <v>884045700</v>
      </c>
      <c r="D1389" s="256" t="s">
        <v>538</v>
      </c>
      <c r="E1389" s="256" t="s">
        <v>8</v>
      </c>
      <c r="F1389" s="256" t="s">
        <v>833</v>
      </c>
      <c r="G1389" s="256" t="s">
        <v>835</v>
      </c>
      <c r="H1389" s="256"/>
      <c r="I1389" s="257">
        <v>0</v>
      </c>
      <c r="J1389" s="257">
        <v>0</v>
      </c>
      <c r="K1389" s="257">
        <v>0</v>
      </c>
      <c r="L1389" s="257">
        <v>0</v>
      </c>
      <c r="M1389" s="257">
        <v>0</v>
      </c>
      <c r="N1389" s="257">
        <v>0</v>
      </c>
      <c r="O1389" s="257">
        <v>0</v>
      </c>
      <c r="P1389" s="257">
        <v>0</v>
      </c>
      <c r="Q1389" s="258">
        <v>0</v>
      </c>
    </row>
    <row r="1390" spans="1:17">
      <c r="A1390" s="256">
        <v>3</v>
      </c>
      <c r="B1390" s="256">
        <v>8840458</v>
      </c>
      <c r="C1390" s="256">
        <v>884045800</v>
      </c>
      <c r="D1390" s="256" t="s">
        <v>538</v>
      </c>
      <c r="E1390" s="256" t="s">
        <v>8</v>
      </c>
      <c r="F1390" s="256" t="s">
        <v>833</v>
      </c>
      <c r="G1390" s="256" t="s">
        <v>836</v>
      </c>
      <c r="H1390" s="256"/>
      <c r="I1390" s="257">
        <v>0</v>
      </c>
      <c r="J1390" s="257">
        <v>0</v>
      </c>
      <c r="K1390" s="257">
        <v>0</v>
      </c>
      <c r="L1390" s="257">
        <v>0</v>
      </c>
      <c r="M1390" s="257">
        <v>0</v>
      </c>
      <c r="N1390" s="257">
        <v>0</v>
      </c>
      <c r="O1390" s="257">
        <v>0</v>
      </c>
      <c r="P1390" s="257">
        <v>0</v>
      </c>
      <c r="Q1390" s="258">
        <v>0</v>
      </c>
    </row>
    <row r="1391" spans="1:17">
      <c r="A1391" s="256">
        <v>3</v>
      </c>
      <c r="B1391" s="256">
        <v>8840559</v>
      </c>
      <c r="C1391" s="256">
        <v>884055900</v>
      </c>
      <c r="D1391" s="256" t="s">
        <v>538</v>
      </c>
      <c r="E1391" s="256" t="s">
        <v>8</v>
      </c>
      <c r="F1391" s="256" t="s">
        <v>837</v>
      </c>
      <c r="G1391" s="256" t="s">
        <v>837</v>
      </c>
      <c r="H1391" s="256"/>
      <c r="I1391" s="257">
        <v>0</v>
      </c>
      <c r="J1391" s="257">
        <v>0</v>
      </c>
      <c r="K1391" s="257">
        <v>0</v>
      </c>
      <c r="L1391" s="257">
        <v>0</v>
      </c>
      <c r="M1391" s="257">
        <v>0</v>
      </c>
      <c r="N1391" s="257">
        <v>0</v>
      </c>
      <c r="O1391" s="257">
        <v>0</v>
      </c>
      <c r="P1391" s="257">
        <v>0</v>
      </c>
      <c r="Q1391" s="258">
        <v>0</v>
      </c>
    </row>
    <row r="1392" spans="1:17">
      <c r="A1392" s="256">
        <v>3</v>
      </c>
      <c r="B1392" s="256">
        <v>8840662</v>
      </c>
      <c r="C1392" s="256">
        <v>884066200</v>
      </c>
      <c r="D1392" s="256" t="s">
        <v>538</v>
      </c>
      <c r="E1392" s="256" t="s">
        <v>8</v>
      </c>
      <c r="F1392" s="256" t="s">
        <v>838</v>
      </c>
      <c r="G1392" s="256" t="s">
        <v>839</v>
      </c>
      <c r="H1392" s="256"/>
      <c r="I1392" s="257">
        <v>0</v>
      </c>
      <c r="J1392" s="257">
        <v>0</v>
      </c>
      <c r="K1392" s="257">
        <v>0</v>
      </c>
      <c r="L1392" s="257">
        <v>0</v>
      </c>
      <c r="M1392" s="257">
        <v>0</v>
      </c>
      <c r="N1392" s="257">
        <v>0</v>
      </c>
      <c r="O1392" s="257">
        <v>0</v>
      </c>
      <c r="P1392" s="257">
        <v>0</v>
      </c>
      <c r="Q1392" s="258">
        <v>0</v>
      </c>
    </row>
    <row r="1393" spans="1:17">
      <c r="A1393" s="256">
        <v>3</v>
      </c>
      <c r="B1393" s="256">
        <v>8840663</v>
      </c>
      <c r="C1393" s="256">
        <v>884066300</v>
      </c>
      <c r="D1393" s="256" t="s">
        <v>538</v>
      </c>
      <c r="E1393" s="256" t="s">
        <v>8</v>
      </c>
      <c r="F1393" s="256" t="s">
        <v>838</v>
      </c>
      <c r="G1393" s="256" t="s">
        <v>840</v>
      </c>
      <c r="H1393" s="256"/>
      <c r="I1393" s="257">
        <v>0</v>
      </c>
      <c r="J1393" s="257">
        <v>0</v>
      </c>
      <c r="K1393" s="257">
        <v>0</v>
      </c>
      <c r="L1393" s="257">
        <v>0</v>
      </c>
      <c r="M1393" s="257">
        <v>0</v>
      </c>
      <c r="N1393" s="257">
        <v>0</v>
      </c>
      <c r="O1393" s="257">
        <v>0</v>
      </c>
      <c r="P1393" s="257">
        <v>0</v>
      </c>
      <c r="Q1393" s="258">
        <v>0</v>
      </c>
    </row>
    <row r="1394" spans="1:17">
      <c r="A1394" s="256">
        <v>3</v>
      </c>
      <c r="B1394" s="256">
        <v>8850202</v>
      </c>
      <c r="C1394" s="256">
        <v>885020200</v>
      </c>
      <c r="D1394" s="256" t="s">
        <v>538</v>
      </c>
      <c r="E1394" s="256" t="s">
        <v>5</v>
      </c>
      <c r="F1394" s="256" t="s">
        <v>841</v>
      </c>
      <c r="G1394" s="256" t="s">
        <v>841</v>
      </c>
      <c r="H1394" s="256"/>
      <c r="I1394" s="257">
        <v>0</v>
      </c>
      <c r="J1394" s="257">
        <v>0</v>
      </c>
      <c r="K1394" s="257">
        <v>0</v>
      </c>
      <c r="L1394" s="257">
        <v>0</v>
      </c>
      <c r="M1394" s="257">
        <v>0</v>
      </c>
      <c r="N1394" s="257">
        <v>0</v>
      </c>
      <c r="O1394" s="257">
        <v>0</v>
      </c>
      <c r="P1394" s="257">
        <v>0</v>
      </c>
      <c r="Q1394" s="258">
        <v>0</v>
      </c>
    </row>
    <row r="1395" spans="1:17">
      <c r="A1395" s="256">
        <v>3</v>
      </c>
      <c r="B1395" s="256">
        <v>8850404</v>
      </c>
      <c r="C1395" s="256">
        <v>885040400</v>
      </c>
      <c r="D1395" s="256" t="s">
        <v>538</v>
      </c>
      <c r="E1395" s="256" t="s">
        <v>5</v>
      </c>
      <c r="F1395" s="256" t="s">
        <v>842</v>
      </c>
      <c r="G1395" s="256" t="s">
        <v>842</v>
      </c>
      <c r="H1395" s="256"/>
      <c r="I1395" s="257">
        <v>0</v>
      </c>
      <c r="J1395" s="257">
        <v>0</v>
      </c>
      <c r="K1395" s="257">
        <v>0</v>
      </c>
      <c r="L1395" s="257">
        <v>0</v>
      </c>
      <c r="M1395" s="257">
        <v>0</v>
      </c>
      <c r="N1395" s="257">
        <v>0</v>
      </c>
      <c r="O1395" s="257">
        <v>0</v>
      </c>
      <c r="P1395" s="257">
        <v>0</v>
      </c>
      <c r="Q1395" s="258">
        <v>0</v>
      </c>
    </row>
    <row r="1396" spans="1:17">
      <c r="A1396" s="256">
        <v>3</v>
      </c>
      <c r="B1396" s="256">
        <v>8850606</v>
      </c>
      <c r="C1396" s="256">
        <v>885060600</v>
      </c>
      <c r="D1396" s="256" t="s">
        <v>538</v>
      </c>
      <c r="E1396" s="256" t="s">
        <v>5</v>
      </c>
      <c r="F1396" s="256" t="s">
        <v>527</v>
      </c>
      <c r="G1396" s="256" t="s">
        <v>527</v>
      </c>
      <c r="H1396" s="256"/>
      <c r="I1396" s="257">
        <v>35499</v>
      </c>
      <c r="J1396" s="257">
        <v>0</v>
      </c>
      <c r="K1396" s="257">
        <v>0</v>
      </c>
      <c r="L1396" s="257">
        <v>0</v>
      </c>
      <c r="M1396" s="257">
        <v>0</v>
      </c>
      <c r="N1396" s="257">
        <v>35499</v>
      </c>
      <c r="O1396" s="257">
        <v>0</v>
      </c>
      <c r="P1396" s="257">
        <v>0</v>
      </c>
      <c r="Q1396" s="258">
        <v>0</v>
      </c>
    </row>
    <row r="1397" spans="1:17">
      <c r="A1397" s="256">
        <v>3</v>
      </c>
      <c r="B1397" s="256">
        <v>8850808</v>
      </c>
      <c r="C1397" s="256">
        <v>885080800</v>
      </c>
      <c r="D1397" s="256" t="s">
        <v>538</v>
      </c>
      <c r="E1397" s="256" t="s">
        <v>5</v>
      </c>
      <c r="F1397" s="256" t="s">
        <v>523</v>
      </c>
      <c r="G1397" s="256" t="s">
        <v>523</v>
      </c>
      <c r="H1397" s="256"/>
      <c r="I1397" s="257">
        <v>0</v>
      </c>
      <c r="J1397" s="257">
        <v>0</v>
      </c>
      <c r="K1397" s="257">
        <v>0</v>
      </c>
      <c r="L1397" s="257">
        <v>0</v>
      </c>
      <c r="M1397" s="257">
        <v>0</v>
      </c>
      <c r="N1397" s="257">
        <v>0</v>
      </c>
      <c r="O1397" s="257">
        <v>0</v>
      </c>
      <c r="P1397" s="257">
        <v>0</v>
      </c>
      <c r="Q1397" s="258">
        <v>0</v>
      </c>
    </row>
    <row r="1398" spans="1:17">
      <c r="A1398" s="256">
        <v>3</v>
      </c>
      <c r="B1398" s="256">
        <v>8851010</v>
      </c>
      <c r="C1398" s="256">
        <v>885101000</v>
      </c>
      <c r="D1398" s="256" t="s">
        <v>538</v>
      </c>
      <c r="E1398" s="256" t="s">
        <v>5</v>
      </c>
      <c r="F1398" s="256" t="s">
        <v>843</v>
      </c>
      <c r="G1398" s="256" t="s">
        <v>843</v>
      </c>
      <c r="H1398" s="256"/>
      <c r="I1398" s="257">
        <v>0</v>
      </c>
      <c r="J1398" s="257">
        <v>0</v>
      </c>
      <c r="K1398" s="257">
        <v>0</v>
      </c>
      <c r="L1398" s="257">
        <v>0</v>
      </c>
      <c r="M1398" s="257">
        <v>0</v>
      </c>
      <c r="N1398" s="257">
        <v>0</v>
      </c>
      <c r="O1398" s="257">
        <v>0</v>
      </c>
      <c r="P1398" s="257">
        <v>0</v>
      </c>
      <c r="Q1398" s="258">
        <v>0</v>
      </c>
    </row>
    <row r="1399" spans="1:17">
      <c r="A1399" s="256">
        <v>3</v>
      </c>
      <c r="B1399" s="256">
        <v>8900101</v>
      </c>
      <c r="C1399" s="256">
        <v>890010100</v>
      </c>
      <c r="D1399" s="256" t="s">
        <v>538</v>
      </c>
      <c r="E1399" s="256" t="s">
        <v>809</v>
      </c>
      <c r="F1399" s="256" t="s">
        <v>809</v>
      </c>
      <c r="G1399" s="256" t="s">
        <v>809</v>
      </c>
      <c r="H1399" s="256"/>
      <c r="I1399" s="257">
        <v>0</v>
      </c>
      <c r="J1399" s="257">
        <v>0</v>
      </c>
      <c r="K1399" s="257">
        <v>0</v>
      </c>
      <c r="L1399" s="257">
        <v>0</v>
      </c>
      <c r="M1399" s="257">
        <v>0</v>
      </c>
      <c r="N1399" s="257">
        <v>0</v>
      </c>
      <c r="O1399" s="257">
        <v>0</v>
      </c>
      <c r="P1399" s="257">
        <v>0</v>
      </c>
      <c r="Q1399" s="258">
        <v>0</v>
      </c>
    </row>
    <row r="1400" spans="1:17" customFormat="1">
      <c r="A1400" s="224">
        <v>4</v>
      </c>
      <c r="B1400" s="224">
        <v>1120110</v>
      </c>
      <c r="C1400" s="224">
        <v>112011010</v>
      </c>
      <c r="D1400" s="224" t="s">
        <v>631</v>
      </c>
      <c r="E1400" s="224" t="s">
        <v>632</v>
      </c>
      <c r="F1400" s="224" t="s">
        <v>633</v>
      </c>
      <c r="G1400" s="224" t="s">
        <v>634</v>
      </c>
      <c r="H1400" s="224" t="s">
        <v>635</v>
      </c>
      <c r="I1400" s="229">
        <v>0</v>
      </c>
      <c r="J1400" s="229">
        <v>0</v>
      </c>
      <c r="K1400" s="229">
        <v>0</v>
      </c>
      <c r="L1400" s="229">
        <v>0</v>
      </c>
      <c r="M1400" s="229">
        <v>0</v>
      </c>
      <c r="N1400" s="229">
        <v>0</v>
      </c>
      <c r="O1400" s="229">
        <v>0</v>
      </c>
      <c r="P1400" s="229">
        <v>0</v>
      </c>
      <c r="Q1400" s="279">
        <v>0</v>
      </c>
    </row>
    <row r="1401" spans="1:17" customFormat="1">
      <c r="A1401" s="224">
        <v>4</v>
      </c>
      <c r="B1401" s="224">
        <v>1120110</v>
      </c>
      <c r="C1401" s="224">
        <v>112011011</v>
      </c>
      <c r="D1401" s="224" t="s">
        <v>631</v>
      </c>
      <c r="E1401" s="224" t="s">
        <v>632</v>
      </c>
      <c r="F1401" s="224" t="s">
        <v>633</v>
      </c>
      <c r="G1401" s="224" t="s">
        <v>634</v>
      </c>
      <c r="H1401" s="224" t="s">
        <v>636</v>
      </c>
      <c r="I1401" s="229">
        <v>0</v>
      </c>
      <c r="J1401" s="229">
        <v>0</v>
      </c>
      <c r="K1401" s="229">
        <v>0</v>
      </c>
      <c r="L1401" s="229">
        <v>0</v>
      </c>
      <c r="M1401" s="229">
        <v>0</v>
      </c>
      <c r="N1401" s="229">
        <v>0</v>
      </c>
      <c r="O1401" s="229">
        <v>0</v>
      </c>
      <c r="P1401" s="229">
        <v>0</v>
      </c>
      <c r="Q1401" s="279">
        <v>0</v>
      </c>
    </row>
    <row r="1402" spans="1:17" customFormat="1">
      <c r="A1402" s="224">
        <v>4</v>
      </c>
      <c r="B1402" s="224">
        <v>1120111</v>
      </c>
      <c r="C1402" s="224">
        <v>112011100</v>
      </c>
      <c r="D1402" s="224" t="s">
        <v>631</v>
      </c>
      <c r="E1402" s="224" t="s">
        <v>632</v>
      </c>
      <c r="F1402" s="224" t="s">
        <v>633</v>
      </c>
      <c r="G1402" s="224" t="s">
        <v>638</v>
      </c>
      <c r="H1402" s="224"/>
      <c r="I1402" s="229">
        <v>0</v>
      </c>
      <c r="J1402" s="229">
        <v>0</v>
      </c>
      <c r="K1402" s="229">
        <v>0</v>
      </c>
      <c r="L1402" s="229">
        <v>0</v>
      </c>
      <c r="M1402" s="229">
        <v>0</v>
      </c>
      <c r="N1402" s="229">
        <v>0</v>
      </c>
      <c r="O1402" s="229">
        <v>0</v>
      </c>
      <c r="P1402" s="229">
        <v>0</v>
      </c>
      <c r="Q1402" s="279">
        <v>0</v>
      </c>
    </row>
    <row r="1403" spans="1:17" customFormat="1">
      <c r="A1403" s="224">
        <v>4</v>
      </c>
      <c r="B1403" s="224">
        <v>1120112</v>
      </c>
      <c r="C1403" s="224">
        <v>112011200</v>
      </c>
      <c r="D1403" s="224" t="s">
        <v>631</v>
      </c>
      <c r="E1403" s="224" t="s">
        <v>632</v>
      </c>
      <c r="F1403" s="224" t="s">
        <v>633</v>
      </c>
      <c r="G1403" s="224" t="s">
        <v>639</v>
      </c>
      <c r="H1403" s="224"/>
      <c r="I1403" s="229">
        <v>0</v>
      </c>
      <c r="J1403" s="229">
        <v>0</v>
      </c>
      <c r="K1403" s="229">
        <v>0</v>
      </c>
      <c r="L1403" s="229">
        <v>0</v>
      </c>
      <c r="M1403" s="229">
        <v>0</v>
      </c>
      <c r="N1403" s="229">
        <v>0</v>
      </c>
      <c r="O1403" s="229">
        <v>0</v>
      </c>
      <c r="P1403" s="229">
        <v>0</v>
      </c>
      <c r="Q1403" s="279">
        <v>0</v>
      </c>
    </row>
    <row r="1404" spans="1:17" customFormat="1">
      <c r="A1404" s="224">
        <v>4</v>
      </c>
      <c r="B1404" s="224">
        <v>1120113</v>
      </c>
      <c r="C1404" s="224">
        <v>112011300</v>
      </c>
      <c r="D1404" s="224" t="s">
        <v>631</v>
      </c>
      <c r="E1404" s="224" t="s">
        <v>632</v>
      </c>
      <c r="F1404" s="224" t="s">
        <v>633</v>
      </c>
      <c r="G1404" s="224" t="s">
        <v>640</v>
      </c>
      <c r="H1404" s="224"/>
      <c r="I1404" s="229">
        <v>0</v>
      </c>
      <c r="J1404" s="229">
        <v>0</v>
      </c>
      <c r="K1404" s="229">
        <v>0</v>
      </c>
      <c r="L1404" s="229">
        <v>0</v>
      </c>
      <c r="M1404" s="229">
        <v>0</v>
      </c>
      <c r="N1404" s="229">
        <v>0</v>
      </c>
      <c r="O1404" s="229">
        <v>0</v>
      </c>
      <c r="P1404" s="229">
        <v>0</v>
      </c>
      <c r="Q1404" s="279">
        <v>0</v>
      </c>
    </row>
    <row r="1405" spans="1:17" customFormat="1">
      <c r="A1405" s="224">
        <v>4</v>
      </c>
      <c r="B1405" s="224">
        <v>1120114</v>
      </c>
      <c r="C1405" s="224">
        <v>112011400</v>
      </c>
      <c r="D1405" s="224" t="s">
        <v>631</v>
      </c>
      <c r="E1405" s="224" t="s">
        <v>632</v>
      </c>
      <c r="F1405" s="224" t="s">
        <v>633</v>
      </c>
      <c r="G1405" s="224" t="s">
        <v>641</v>
      </c>
      <c r="H1405" s="224"/>
      <c r="I1405" s="229">
        <v>0</v>
      </c>
      <c r="J1405" s="229">
        <v>0</v>
      </c>
      <c r="K1405" s="229">
        <v>0</v>
      </c>
      <c r="L1405" s="229">
        <v>0</v>
      </c>
      <c r="M1405" s="229">
        <v>0</v>
      </c>
      <c r="N1405" s="229">
        <v>0</v>
      </c>
      <c r="O1405" s="229">
        <v>0</v>
      </c>
      <c r="P1405" s="229">
        <v>0</v>
      </c>
      <c r="Q1405" s="279">
        <v>0</v>
      </c>
    </row>
    <row r="1406" spans="1:17" customFormat="1">
      <c r="A1406" s="224">
        <v>4</v>
      </c>
      <c r="B1406" s="224">
        <v>1120115</v>
      </c>
      <c r="C1406" s="224">
        <v>112011500</v>
      </c>
      <c r="D1406" s="224" t="s">
        <v>631</v>
      </c>
      <c r="E1406" s="224" t="s">
        <v>632</v>
      </c>
      <c r="F1406" s="224" t="s">
        <v>633</v>
      </c>
      <c r="G1406" s="224" t="s">
        <v>844</v>
      </c>
      <c r="H1406" s="224"/>
      <c r="I1406" s="229">
        <v>65100000</v>
      </c>
      <c r="J1406" s="229">
        <v>0</v>
      </c>
      <c r="K1406" s="229">
        <v>0</v>
      </c>
      <c r="L1406" s="229">
        <v>0</v>
      </c>
      <c r="M1406" s="229">
        <v>0</v>
      </c>
      <c r="N1406" s="229">
        <v>0</v>
      </c>
      <c r="O1406" s="229">
        <v>0</v>
      </c>
      <c r="P1406" s="229">
        <v>65100000</v>
      </c>
      <c r="Q1406" s="279">
        <v>0</v>
      </c>
    </row>
    <row r="1407" spans="1:17" customFormat="1">
      <c r="A1407" s="224">
        <v>4</v>
      </c>
      <c r="B1407" s="224">
        <v>1120210</v>
      </c>
      <c r="C1407" s="224">
        <v>112021000</v>
      </c>
      <c r="D1407" s="224" t="s">
        <v>631</v>
      </c>
      <c r="E1407" s="224" t="s">
        <v>632</v>
      </c>
      <c r="F1407" s="224" t="s">
        <v>643</v>
      </c>
      <c r="G1407" s="224" t="s">
        <v>644</v>
      </c>
      <c r="H1407" s="224"/>
      <c r="I1407" s="229">
        <v>0</v>
      </c>
      <c r="J1407" s="229">
        <v>0</v>
      </c>
      <c r="K1407" s="229">
        <v>0</v>
      </c>
      <c r="L1407" s="229">
        <v>0</v>
      </c>
      <c r="M1407" s="229">
        <v>0</v>
      </c>
      <c r="N1407" s="229">
        <v>0</v>
      </c>
      <c r="O1407" s="229">
        <v>0</v>
      </c>
      <c r="P1407" s="229">
        <v>0</v>
      </c>
      <c r="Q1407" s="279">
        <v>0</v>
      </c>
    </row>
    <row r="1408" spans="1:17" customFormat="1">
      <c r="A1408" s="224">
        <v>4</v>
      </c>
      <c r="B1408" s="224">
        <v>1120220</v>
      </c>
      <c r="C1408" s="224">
        <v>112022000</v>
      </c>
      <c r="D1408" s="224" t="s">
        <v>631</v>
      </c>
      <c r="E1408" s="224" t="s">
        <v>632</v>
      </c>
      <c r="F1408" s="224" t="s">
        <v>643</v>
      </c>
      <c r="G1408" s="224" t="s">
        <v>645</v>
      </c>
      <c r="H1408" s="224"/>
      <c r="I1408" s="229">
        <v>0</v>
      </c>
      <c r="J1408" s="229">
        <v>0</v>
      </c>
      <c r="K1408" s="229">
        <v>0</v>
      </c>
      <c r="L1408" s="229">
        <v>0</v>
      </c>
      <c r="M1408" s="229">
        <v>0</v>
      </c>
      <c r="N1408" s="229">
        <v>0</v>
      </c>
      <c r="O1408" s="229">
        <v>0</v>
      </c>
      <c r="P1408" s="229">
        <v>0</v>
      </c>
      <c r="Q1408" s="279">
        <v>0</v>
      </c>
    </row>
    <row r="1409" spans="1:17" customFormat="1">
      <c r="A1409" s="224">
        <v>4</v>
      </c>
      <c r="B1409" s="224">
        <v>1140303</v>
      </c>
      <c r="C1409" s="224">
        <v>114030300</v>
      </c>
      <c r="D1409" s="224" t="s">
        <v>631</v>
      </c>
      <c r="E1409" s="224" t="s">
        <v>650</v>
      </c>
      <c r="F1409" s="224" t="s">
        <v>651</v>
      </c>
      <c r="G1409" s="224" t="s">
        <v>651</v>
      </c>
      <c r="H1409" s="224"/>
      <c r="I1409" s="229">
        <v>0</v>
      </c>
      <c r="J1409" s="229">
        <v>0</v>
      </c>
      <c r="K1409" s="229">
        <v>0</v>
      </c>
      <c r="L1409" s="229">
        <v>0</v>
      </c>
      <c r="M1409" s="229">
        <v>0</v>
      </c>
      <c r="N1409" s="229">
        <v>0</v>
      </c>
      <c r="O1409" s="229">
        <v>0</v>
      </c>
      <c r="P1409" s="229">
        <v>0</v>
      </c>
      <c r="Q1409" s="279">
        <v>0</v>
      </c>
    </row>
    <row r="1410" spans="1:17" customFormat="1">
      <c r="A1410" s="224">
        <v>4</v>
      </c>
      <c r="B1410" s="224">
        <v>1160101</v>
      </c>
      <c r="C1410" s="224">
        <v>116010100</v>
      </c>
      <c r="D1410" s="224" t="s">
        <v>631</v>
      </c>
      <c r="E1410" s="224" t="s">
        <v>652</v>
      </c>
      <c r="F1410" s="224" t="s">
        <v>653</v>
      </c>
      <c r="G1410" s="224" t="s">
        <v>653</v>
      </c>
      <c r="H1410" s="224"/>
      <c r="I1410" s="229">
        <v>6370000</v>
      </c>
      <c r="J1410" s="229">
        <v>0</v>
      </c>
      <c r="K1410" s="229">
        <v>0</v>
      </c>
      <c r="L1410" s="229">
        <v>0</v>
      </c>
      <c r="M1410" s="229">
        <v>0</v>
      </c>
      <c r="N1410" s="229">
        <v>0</v>
      </c>
      <c r="O1410" s="229">
        <v>0</v>
      </c>
      <c r="P1410" s="229">
        <v>6370000</v>
      </c>
      <c r="Q1410" s="279">
        <v>0</v>
      </c>
    </row>
    <row r="1411" spans="1:17" customFormat="1">
      <c r="A1411" s="224">
        <v>4</v>
      </c>
      <c r="B1411" s="224">
        <v>1160202</v>
      </c>
      <c r="C1411" s="224">
        <v>116020200</v>
      </c>
      <c r="D1411" s="224" t="s">
        <v>631</v>
      </c>
      <c r="E1411" s="224" t="s">
        <v>652</v>
      </c>
      <c r="F1411" s="224" t="s">
        <v>654</v>
      </c>
      <c r="G1411" s="224" t="s">
        <v>654</v>
      </c>
      <c r="H1411" s="224"/>
      <c r="I1411" s="229">
        <v>0</v>
      </c>
      <c r="J1411" s="229">
        <v>0</v>
      </c>
      <c r="K1411" s="229">
        <v>0</v>
      </c>
      <c r="L1411" s="229">
        <v>0</v>
      </c>
      <c r="M1411" s="229">
        <v>0</v>
      </c>
      <c r="N1411" s="229">
        <v>0</v>
      </c>
      <c r="O1411" s="229">
        <v>0</v>
      </c>
      <c r="P1411" s="229">
        <v>0</v>
      </c>
      <c r="Q1411" s="279">
        <v>0</v>
      </c>
    </row>
    <row r="1412" spans="1:17" customFormat="1">
      <c r="A1412" s="224">
        <v>4</v>
      </c>
      <c r="B1412" s="224">
        <v>1180401</v>
      </c>
      <c r="C1412" s="224">
        <v>118040100</v>
      </c>
      <c r="D1412" s="224" t="s">
        <v>631</v>
      </c>
      <c r="E1412" s="224" t="s">
        <v>655</v>
      </c>
      <c r="F1412" s="224" t="s">
        <v>655</v>
      </c>
      <c r="G1412" s="224" t="s">
        <v>656</v>
      </c>
      <c r="H1412" s="224"/>
      <c r="I1412" s="229">
        <v>0</v>
      </c>
      <c r="J1412" s="229">
        <v>0</v>
      </c>
      <c r="K1412" s="229">
        <v>0</v>
      </c>
      <c r="L1412" s="229">
        <v>0</v>
      </c>
      <c r="M1412" s="229">
        <v>0</v>
      </c>
      <c r="N1412" s="229">
        <v>0</v>
      </c>
      <c r="O1412" s="229">
        <v>0</v>
      </c>
      <c r="P1412" s="229">
        <v>0</v>
      </c>
      <c r="Q1412" s="279">
        <v>0</v>
      </c>
    </row>
    <row r="1413" spans="1:17" customFormat="1">
      <c r="A1413" s="224">
        <v>4</v>
      </c>
      <c r="B1413" s="224">
        <v>1180402</v>
      </c>
      <c r="C1413" s="224">
        <v>118040200</v>
      </c>
      <c r="D1413" s="224" t="s">
        <v>631</v>
      </c>
      <c r="E1413" s="224" t="s">
        <v>655</v>
      </c>
      <c r="F1413" s="224" t="s">
        <v>655</v>
      </c>
      <c r="G1413" s="224" t="s">
        <v>658</v>
      </c>
      <c r="H1413" s="224"/>
      <c r="I1413" s="229">
        <v>0</v>
      </c>
      <c r="J1413" s="229">
        <v>0</v>
      </c>
      <c r="K1413" s="229">
        <v>0</v>
      </c>
      <c r="L1413" s="229">
        <v>0</v>
      </c>
      <c r="M1413" s="229">
        <v>0</v>
      </c>
      <c r="N1413" s="229">
        <v>0</v>
      </c>
      <c r="O1413" s="229">
        <v>0</v>
      </c>
      <c r="P1413" s="229">
        <v>0</v>
      </c>
      <c r="Q1413" s="279">
        <v>0</v>
      </c>
    </row>
    <row r="1414" spans="1:17" customFormat="1">
      <c r="A1414" s="224">
        <v>4</v>
      </c>
      <c r="B1414" s="224">
        <v>1180403</v>
      </c>
      <c r="C1414" s="224">
        <v>118040300</v>
      </c>
      <c r="D1414" s="224" t="s">
        <v>631</v>
      </c>
      <c r="E1414" s="224" t="s">
        <v>655</v>
      </c>
      <c r="F1414" s="224" t="s">
        <v>655</v>
      </c>
      <c r="G1414" s="224" t="s">
        <v>846</v>
      </c>
      <c r="H1414" s="224"/>
      <c r="I1414" s="229">
        <v>0</v>
      </c>
      <c r="J1414" s="229">
        <v>0</v>
      </c>
      <c r="K1414" s="229">
        <v>0</v>
      </c>
      <c r="L1414" s="229">
        <v>0</v>
      </c>
      <c r="M1414" s="229">
        <v>0</v>
      </c>
      <c r="N1414" s="229">
        <v>0</v>
      </c>
      <c r="O1414" s="229">
        <v>0</v>
      </c>
      <c r="P1414" s="229">
        <v>0</v>
      </c>
      <c r="Q1414" s="279">
        <v>0</v>
      </c>
    </row>
    <row r="1415" spans="1:17" customFormat="1">
      <c r="A1415" s="236">
        <v>4</v>
      </c>
      <c r="B1415" s="236">
        <v>1180404</v>
      </c>
      <c r="C1415" s="236">
        <v>118040400</v>
      </c>
      <c r="D1415" s="236" t="s">
        <v>631</v>
      </c>
      <c r="E1415" s="236" t="s">
        <v>655</v>
      </c>
      <c r="F1415" s="236" t="s">
        <v>655</v>
      </c>
      <c r="G1415" s="236" t="s">
        <v>878</v>
      </c>
      <c r="H1415" s="236"/>
      <c r="I1415" s="229">
        <v>3488000</v>
      </c>
      <c r="J1415" s="229">
        <v>0</v>
      </c>
      <c r="K1415" s="229">
        <v>0</v>
      </c>
      <c r="L1415" s="229">
        <v>0</v>
      </c>
      <c r="M1415" s="229">
        <v>0</v>
      </c>
      <c r="N1415" s="229">
        <v>0</v>
      </c>
      <c r="O1415" s="229">
        <v>0</v>
      </c>
      <c r="P1415" s="229">
        <v>3488000</v>
      </c>
      <c r="Q1415" s="279">
        <v>0</v>
      </c>
    </row>
    <row r="1416" spans="1:17" customFormat="1">
      <c r="A1416" s="224">
        <v>4</v>
      </c>
      <c r="B1416" s="224">
        <v>1200630</v>
      </c>
      <c r="C1416" s="224">
        <v>120063000</v>
      </c>
      <c r="D1416" s="224" t="s">
        <v>631</v>
      </c>
      <c r="E1416" s="224" t="s">
        <v>659</v>
      </c>
      <c r="F1416" s="224" t="s">
        <v>659</v>
      </c>
      <c r="G1416" s="224" t="s">
        <v>659</v>
      </c>
      <c r="H1416" s="224"/>
      <c r="I1416" s="229">
        <v>0</v>
      </c>
      <c r="J1416" s="229">
        <v>0</v>
      </c>
      <c r="K1416" s="229">
        <v>0</v>
      </c>
      <c r="L1416" s="229">
        <v>0</v>
      </c>
      <c r="M1416" s="229">
        <v>0</v>
      </c>
      <c r="N1416" s="229">
        <v>0</v>
      </c>
      <c r="O1416" s="229">
        <v>0</v>
      </c>
      <c r="P1416" s="229">
        <v>0</v>
      </c>
      <c r="Q1416" s="279">
        <v>0</v>
      </c>
    </row>
    <row r="1417" spans="1:17" customFormat="1">
      <c r="A1417" s="224">
        <v>4</v>
      </c>
      <c r="B1417" s="224">
        <v>1300831</v>
      </c>
      <c r="C1417" s="224">
        <v>130083100</v>
      </c>
      <c r="D1417" s="224" t="s">
        <v>631</v>
      </c>
      <c r="E1417" s="224" t="s">
        <v>660</v>
      </c>
      <c r="F1417" s="224" t="s">
        <v>660</v>
      </c>
      <c r="G1417" s="224" t="s">
        <v>660</v>
      </c>
      <c r="H1417" s="224"/>
      <c r="I1417" s="229">
        <v>0</v>
      </c>
      <c r="J1417" s="229">
        <v>0</v>
      </c>
      <c r="K1417" s="229">
        <v>0</v>
      </c>
      <c r="L1417" s="229">
        <v>0</v>
      </c>
      <c r="M1417" s="229">
        <v>0</v>
      </c>
      <c r="N1417" s="229">
        <v>0</v>
      </c>
      <c r="O1417" s="229">
        <v>0</v>
      </c>
      <c r="P1417" s="229">
        <v>0</v>
      </c>
      <c r="Q1417" s="279">
        <v>0</v>
      </c>
    </row>
    <row r="1418" spans="1:17" customFormat="1">
      <c r="A1418" s="224">
        <v>4</v>
      </c>
      <c r="B1418" s="224">
        <v>1401010</v>
      </c>
      <c r="C1418" s="224">
        <v>140101000</v>
      </c>
      <c r="D1418" s="224" t="s">
        <v>631</v>
      </c>
      <c r="E1418" s="224" t="s">
        <v>661</v>
      </c>
      <c r="F1418" s="224" t="s">
        <v>661</v>
      </c>
      <c r="G1418" s="224" t="s">
        <v>661</v>
      </c>
      <c r="H1418" s="224"/>
      <c r="I1418" s="229">
        <v>0</v>
      </c>
      <c r="J1418" s="229">
        <v>0</v>
      </c>
      <c r="K1418" s="229">
        <v>0</v>
      </c>
      <c r="L1418" s="229">
        <v>0</v>
      </c>
      <c r="M1418" s="229">
        <v>0</v>
      </c>
      <c r="N1418" s="229">
        <v>0</v>
      </c>
      <c r="O1418" s="229">
        <v>0</v>
      </c>
      <c r="P1418" s="229">
        <v>0</v>
      </c>
      <c r="Q1418" s="279">
        <v>0</v>
      </c>
    </row>
    <row r="1419" spans="1:17" customFormat="1">
      <c r="A1419" s="224">
        <v>4</v>
      </c>
      <c r="B1419" s="224">
        <v>1600101</v>
      </c>
      <c r="C1419" s="224">
        <v>160010100</v>
      </c>
      <c r="D1419" s="224" t="s">
        <v>631</v>
      </c>
      <c r="E1419" s="224" t="s">
        <v>662</v>
      </c>
      <c r="F1419" s="224" t="s">
        <v>662</v>
      </c>
      <c r="G1419" s="224" t="s">
        <v>662</v>
      </c>
      <c r="H1419" s="224"/>
      <c r="I1419" s="229">
        <v>0</v>
      </c>
      <c r="J1419" s="229">
        <v>0</v>
      </c>
      <c r="K1419" s="229">
        <v>0</v>
      </c>
      <c r="L1419" s="229">
        <v>0</v>
      </c>
      <c r="M1419" s="229">
        <v>0</v>
      </c>
      <c r="N1419" s="229">
        <v>0</v>
      </c>
      <c r="O1419" s="229">
        <v>0</v>
      </c>
      <c r="P1419" s="229">
        <v>0</v>
      </c>
      <c r="Q1419" s="279">
        <v>0</v>
      </c>
    </row>
    <row r="1420" spans="1:17" customFormat="1">
      <c r="A1420" s="224">
        <v>4</v>
      </c>
      <c r="B1420" s="224">
        <v>1800707</v>
      </c>
      <c r="C1420" s="224">
        <v>180070700</v>
      </c>
      <c r="D1420" s="224" t="s">
        <v>631</v>
      </c>
      <c r="E1420" s="224" t="s">
        <v>663</v>
      </c>
      <c r="F1420" s="224" t="s">
        <v>847</v>
      </c>
      <c r="G1420" s="224" t="s">
        <v>847</v>
      </c>
      <c r="H1420" s="224"/>
      <c r="I1420" s="229">
        <v>4080000</v>
      </c>
      <c r="J1420" s="229">
        <v>0</v>
      </c>
      <c r="K1420" s="229">
        <v>0</v>
      </c>
      <c r="L1420" s="229">
        <v>0</v>
      </c>
      <c r="M1420" s="229">
        <v>0</v>
      </c>
      <c r="N1420" s="229">
        <v>0</v>
      </c>
      <c r="O1420" s="229">
        <v>0</v>
      </c>
      <c r="P1420" s="229">
        <v>4080000</v>
      </c>
      <c r="Q1420" s="279">
        <v>0</v>
      </c>
    </row>
    <row r="1421" spans="1:17" customFormat="1">
      <c r="A1421" s="224">
        <v>4</v>
      </c>
      <c r="B1421" s="224">
        <v>1800808</v>
      </c>
      <c r="C1421" s="224">
        <v>180080800</v>
      </c>
      <c r="D1421" s="224" t="s">
        <v>631</v>
      </c>
      <c r="E1421" s="224" t="s">
        <v>663</v>
      </c>
      <c r="F1421" s="224" t="s">
        <v>665</v>
      </c>
      <c r="G1421" s="224" t="s">
        <v>665</v>
      </c>
      <c r="H1421" s="224"/>
      <c r="I1421" s="229">
        <v>0</v>
      </c>
      <c r="J1421" s="229">
        <v>0</v>
      </c>
      <c r="K1421" s="229">
        <v>0</v>
      </c>
      <c r="L1421" s="229">
        <v>0</v>
      </c>
      <c r="M1421" s="229">
        <v>0</v>
      </c>
      <c r="N1421" s="229">
        <v>0</v>
      </c>
      <c r="O1421" s="229">
        <v>0</v>
      </c>
      <c r="P1421" s="229">
        <v>0</v>
      </c>
      <c r="Q1421" s="279">
        <v>0</v>
      </c>
    </row>
    <row r="1422" spans="1:17" customFormat="1">
      <c r="A1422" s="224">
        <v>4</v>
      </c>
      <c r="B1422" s="224">
        <v>1820101</v>
      </c>
      <c r="C1422" s="224">
        <v>182010100</v>
      </c>
      <c r="D1422" s="224" t="s">
        <v>631</v>
      </c>
      <c r="E1422" s="224" t="s">
        <v>666</v>
      </c>
      <c r="F1422" s="224" t="s">
        <v>667</v>
      </c>
      <c r="G1422" s="224" t="s">
        <v>667</v>
      </c>
      <c r="H1422" s="224"/>
      <c r="I1422" s="229">
        <v>0</v>
      </c>
      <c r="J1422" s="229">
        <v>0</v>
      </c>
      <c r="K1422" s="229">
        <v>0</v>
      </c>
      <c r="L1422" s="229">
        <v>0</v>
      </c>
      <c r="M1422" s="229">
        <v>0</v>
      </c>
      <c r="N1422" s="229">
        <v>0</v>
      </c>
      <c r="O1422" s="229">
        <v>0</v>
      </c>
      <c r="P1422" s="229">
        <v>0</v>
      </c>
      <c r="Q1422" s="279">
        <v>0</v>
      </c>
    </row>
    <row r="1423" spans="1:17" customFormat="1">
      <c r="A1423" s="224">
        <v>4</v>
      </c>
      <c r="B1423" s="224">
        <v>1840102</v>
      </c>
      <c r="C1423" s="224">
        <v>184010200</v>
      </c>
      <c r="D1423" s="224" t="s">
        <v>631</v>
      </c>
      <c r="E1423" s="224" t="s">
        <v>668</v>
      </c>
      <c r="F1423" s="224" t="s">
        <v>669</v>
      </c>
      <c r="G1423" s="224" t="s">
        <v>670</v>
      </c>
      <c r="H1423" s="224"/>
      <c r="I1423" s="229">
        <v>0</v>
      </c>
      <c r="J1423" s="229">
        <v>0</v>
      </c>
      <c r="K1423" s="229">
        <v>0</v>
      </c>
      <c r="L1423" s="229">
        <v>0</v>
      </c>
      <c r="M1423" s="229">
        <v>0</v>
      </c>
      <c r="N1423" s="229">
        <v>0</v>
      </c>
      <c r="O1423" s="229">
        <v>0</v>
      </c>
      <c r="P1423" s="229">
        <v>0</v>
      </c>
      <c r="Q1423" s="279">
        <v>0</v>
      </c>
    </row>
    <row r="1424" spans="1:17" customFormat="1">
      <c r="A1424" s="224">
        <v>4</v>
      </c>
      <c r="B1424" s="224">
        <v>1840304</v>
      </c>
      <c r="C1424" s="224">
        <v>184030400</v>
      </c>
      <c r="D1424" s="224" t="s">
        <v>631</v>
      </c>
      <c r="E1424" s="224" t="s">
        <v>668</v>
      </c>
      <c r="F1424" s="224" t="s">
        <v>651</v>
      </c>
      <c r="G1424" s="224" t="s">
        <v>671</v>
      </c>
      <c r="H1424" s="224"/>
      <c r="I1424" s="229">
        <v>0</v>
      </c>
      <c r="J1424" s="229">
        <v>0</v>
      </c>
      <c r="K1424" s="229">
        <v>0</v>
      </c>
      <c r="L1424" s="229">
        <v>0</v>
      </c>
      <c r="M1424" s="229">
        <v>0</v>
      </c>
      <c r="N1424" s="229">
        <v>0</v>
      </c>
      <c r="O1424" s="229">
        <v>0</v>
      </c>
      <c r="P1424" s="229">
        <v>0</v>
      </c>
      <c r="Q1424" s="279">
        <v>0</v>
      </c>
    </row>
    <row r="1425" spans="1:17" customFormat="1">
      <c r="A1425" s="224">
        <v>4</v>
      </c>
      <c r="B1425" s="224">
        <v>1840305</v>
      </c>
      <c r="C1425" s="224">
        <v>184030500</v>
      </c>
      <c r="D1425" s="224" t="s">
        <v>631</v>
      </c>
      <c r="E1425" s="224" t="s">
        <v>668</v>
      </c>
      <c r="F1425" s="224" t="s">
        <v>651</v>
      </c>
      <c r="G1425" s="224" t="s">
        <v>672</v>
      </c>
      <c r="H1425" s="224"/>
      <c r="I1425" s="229">
        <v>0</v>
      </c>
      <c r="J1425" s="229">
        <v>0</v>
      </c>
      <c r="K1425" s="229">
        <v>0</v>
      </c>
      <c r="L1425" s="229">
        <v>0</v>
      </c>
      <c r="M1425" s="229">
        <v>0</v>
      </c>
      <c r="N1425" s="229">
        <v>0</v>
      </c>
      <c r="O1425" s="229">
        <v>0</v>
      </c>
      <c r="P1425" s="229">
        <v>0</v>
      </c>
      <c r="Q1425" s="279">
        <v>0</v>
      </c>
    </row>
    <row r="1426" spans="1:17" customFormat="1">
      <c r="A1426" s="224">
        <v>4</v>
      </c>
      <c r="B1426" s="224">
        <v>1840306</v>
      </c>
      <c r="C1426" s="224">
        <v>184030600</v>
      </c>
      <c r="D1426" s="224" t="s">
        <v>631</v>
      </c>
      <c r="E1426" s="224" t="s">
        <v>668</v>
      </c>
      <c r="F1426" s="224" t="s">
        <v>651</v>
      </c>
      <c r="G1426" s="224" t="s">
        <v>673</v>
      </c>
      <c r="H1426" s="224"/>
      <c r="I1426" s="229">
        <v>0</v>
      </c>
      <c r="J1426" s="229">
        <v>0</v>
      </c>
      <c r="K1426" s="229">
        <v>0</v>
      </c>
      <c r="L1426" s="229">
        <v>0</v>
      </c>
      <c r="M1426" s="229">
        <v>0</v>
      </c>
      <c r="N1426" s="229">
        <v>0</v>
      </c>
      <c r="O1426" s="229">
        <v>0</v>
      </c>
      <c r="P1426" s="229">
        <v>0</v>
      </c>
      <c r="Q1426" s="279">
        <v>0</v>
      </c>
    </row>
    <row r="1427" spans="1:17" customFormat="1">
      <c r="A1427" s="224">
        <v>4</v>
      </c>
      <c r="B1427" s="224">
        <v>1840515</v>
      </c>
      <c r="C1427" s="224">
        <v>184051500</v>
      </c>
      <c r="D1427" s="224" t="s">
        <v>631</v>
      </c>
      <c r="E1427" s="224" t="s">
        <v>668</v>
      </c>
      <c r="F1427" s="224" t="s">
        <v>674</v>
      </c>
      <c r="G1427" s="224" t="s">
        <v>864</v>
      </c>
      <c r="H1427" s="224"/>
      <c r="I1427" s="229">
        <v>160000</v>
      </c>
      <c r="J1427" s="229">
        <v>0</v>
      </c>
      <c r="K1427" s="229">
        <v>0</v>
      </c>
      <c r="L1427" s="229">
        <v>0</v>
      </c>
      <c r="M1427" s="229">
        <v>0</v>
      </c>
      <c r="N1427" s="229">
        <v>0</v>
      </c>
      <c r="O1427" s="229">
        <v>0</v>
      </c>
      <c r="P1427" s="229">
        <v>160000</v>
      </c>
      <c r="Q1427" s="279">
        <v>0</v>
      </c>
    </row>
    <row r="1428" spans="1:17" customFormat="1">
      <c r="A1428" s="224">
        <v>4</v>
      </c>
      <c r="B1428" s="224">
        <v>1840516</v>
      </c>
      <c r="C1428" s="224">
        <v>184051600</v>
      </c>
      <c r="D1428" s="224" t="s">
        <v>631</v>
      </c>
      <c r="E1428" s="224" t="s">
        <v>668</v>
      </c>
      <c r="F1428" s="224" t="s">
        <v>674</v>
      </c>
      <c r="G1428" s="224" t="s">
        <v>865</v>
      </c>
      <c r="H1428" s="224"/>
      <c r="I1428" s="229">
        <v>0</v>
      </c>
      <c r="J1428" s="229">
        <v>0</v>
      </c>
      <c r="K1428" s="229">
        <v>0</v>
      </c>
      <c r="L1428" s="229">
        <v>0</v>
      </c>
      <c r="M1428" s="229">
        <v>0</v>
      </c>
      <c r="N1428" s="229">
        <v>0</v>
      </c>
      <c r="O1428" s="229">
        <v>0</v>
      </c>
      <c r="P1428" s="229">
        <v>0</v>
      </c>
      <c r="Q1428" s="279">
        <v>0</v>
      </c>
    </row>
    <row r="1429" spans="1:17" customFormat="1">
      <c r="A1429" s="224">
        <v>4</v>
      </c>
      <c r="B1429" s="224">
        <v>1840517</v>
      </c>
      <c r="C1429" s="224">
        <v>184051700</v>
      </c>
      <c r="D1429" s="224" t="s">
        <v>631</v>
      </c>
      <c r="E1429" s="224" t="s">
        <v>668</v>
      </c>
      <c r="F1429" s="224" t="s">
        <v>674</v>
      </c>
      <c r="G1429" s="224" t="s">
        <v>866</v>
      </c>
      <c r="H1429" s="224"/>
      <c r="I1429" s="229">
        <v>0</v>
      </c>
      <c r="J1429" s="229">
        <v>0</v>
      </c>
      <c r="K1429" s="229">
        <v>0</v>
      </c>
      <c r="L1429" s="229">
        <v>0</v>
      </c>
      <c r="M1429" s="229">
        <v>0</v>
      </c>
      <c r="N1429" s="229">
        <v>0</v>
      </c>
      <c r="O1429" s="229">
        <v>0</v>
      </c>
      <c r="P1429" s="229">
        <v>0</v>
      </c>
      <c r="Q1429" s="279">
        <v>0</v>
      </c>
    </row>
    <row r="1430" spans="1:17" customFormat="1">
      <c r="A1430" s="224">
        <v>4</v>
      </c>
      <c r="B1430" s="224">
        <v>1860303</v>
      </c>
      <c r="C1430" s="224">
        <v>186030300</v>
      </c>
      <c r="D1430" s="224" t="s">
        <v>631</v>
      </c>
      <c r="E1430" s="224" t="s">
        <v>678</v>
      </c>
      <c r="F1430" s="224" t="s">
        <v>679</v>
      </c>
      <c r="G1430" s="224" t="s">
        <v>679</v>
      </c>
      <c r="H1430" s="224"/>
      <c r="I1430" s="229">
        <v>0</v>
      </c>
      <c r="J1430" s="229">
        <v>0</v>
      </c>
      <c r="K1430" s="229">
        <v>0</v>
      </c>
      <c r="L1430" s="229">
        <v>0</v>
      </c>
      <c r="M1430" s="229">
        <v>0</v>
      </c>
      <c r="N1430" s="229">
        <v>0</v>
      </c>
      <c r="O1430" s="229">
        <v>0</v>
      </c>
      <c r="P1430" s="229">
        <v>0</v>
      </c>
      <c r="Q1430" s="279">
        <v>0</v>
      </c>
    </row>
    <row r="1431" spans="1:17" customFormat="1">
      <c r="A1431" s="224">
        <v>4</v>
      </c>
      <c r="B1431" s="224">
        <v>1880101</v>
      </c>
      <c r="C1431" s="224">
        <v>188010100</v>
      </c>
      <c r="D1431" s="224" t="s">
        <v>631</v>
      </c>
      <c r="E1431" s="224" t="s">
        <v>680</v>
      </c>
      <c r="F1431" s="224" t="s">
        <v>681</v>
      </c>
      <c r="G1431" s="224" t="s">
        <v>681</v>
      </c>
      <c r="H1431" s="224"/>
      <c r="I1431" s="229">
        <v>0</v>
      </c>
      <c r="J1431" s="229">
        <v>0</v>
      </c>
      <c r="K1431" s="229">
        <v>0</v>
      </c>
      <c r="L1431" s="229">
        <v>0</v>
      </c>
      <c r="M1431" s="229">
        <v>0</v>
      </c>
      <c r="N1431" s="229">
        <v>0</v>
      </c>
      <c r="O1431" s="229">
        <v>0</v>
      </c>
      <c r="P1431" s="229">
        <v>0</v>
      </c>
      <c r="Q1431" s="279">
        <v>0</v>
      </c>
    </row>
    <row r="1432" spans="1:17" customFormat="1">
      <c r="A1432" s="224">
        <v>4</v>
      </c>
      <c r="B1432" s="224">
        <v>1880202</v>
      </c>
      <c r="C1432" s="224">
        <v>188020200</v>
      </c>
      <c r="D1432" s="224" t="s">
        <v>631</v>
      </c>
      <c r="E1432" s="224" t="s">
        <v>680</v>
      </c>
      <c r="F1432" s="224" t="s">
        <v>682</v>
      </c>
      <c r="G1432" s="224" t="s">
        <v>682</v>
      </c>
      <c r="H1432" s="224"/>
      <c r="I1432" s="229">
        <v>0</v>
      </c>
      <c r="J1432" s="229">
        <v>0</v>
      </c>
      <c r="K1432" s="229">
        <v>0</v>
      </c>
      <c r="L1432" s="229">
        <v>0</v>
      </c>
      <c r="M1432" s="229">
        <v>0</v>
      </c>
      <c r="N1432" s="229">
        <v>0</v>
      </c>
      <c r="O1432" s="229">
        <v>0</v>
      </c>
      <c r="P1432" s="229">
        <v>0</v>
      </c>
      <c r="Q1432" s="279">
        <v>0</v>
      </c>
    </row>
    <row r="1433" spans="1:17" customFormat="1">
      <c r="A1433" s="224">
        <v>4</v>
      </c>
      <c r="B1433" s="224">
        <v>1900101</v>
      </c>
      <c r="C1433" s="224">
        <v>190010100</v>
      </c>
      <c r="D1433" s="224" t="s">
        <v>631</v>
      </c>
      <c r="E1433" s="224" t="s">
        <v>683</v>
      </c>
      <c r="F1433" s="224" t="s">
        <v>684</v>
      </c>
      <c r="G1433" s="224" t="s">
        <v>684</v>
      </c>
      <c r="H1433" s="224"/>
      <c r="I1433" s="229">
        <v>0</v>
      </c>
      <c r="J1433" s="229">
        <v>0</v>
      </c>
      <c r="K1433" s="229">
        <v>0</v>
      </c>
      <c r="L1433" s="229">
        <v>0</v>
      </c>
      <c r="M1433" s="229">
        <v>0</v>
      </c>
      <c r="N1433" s="229">
        <v>0</v>
      </c>
      <c r="O1433" s="229">
        <v>0</v>
      </c>
      <c r="P1433" s="229">
        <v>0</v>
      </c>
      <c r="Q1433" s="279">
        <v>0</v>
      </c>
    </row>
    <row r="1434" spans="1:17" customFormat="1">
      <c r="A1434" s="224">
        <v>4</v>
      </c>
      <c r="B1434" s="224">
        <v>1900202</v>
      </c>
      <c r="C1434" s="224">
        <v>190020200</v>
      </c>
      <c r="D1434" s="224" t="s">
        <v>631</v>
      </c>
      <c r="E1434" s="224" t="s">
        <v>683</v>
      </c>
      <c r="F1434" s="224" t="s">
        <v>685</v>
      </c>
      <c r="G1434" s="224" t="s">
        <v>685</v>
      </c>
      <c r="H1434" s="224"/>
      <c r="I1434" s="229">
        <v>0</v>
      </c>
      <c r="J1434" s="229">
        <v>0</v>
      </c>
      <c r="K1434" s="229">
        <v>0</v>
      </c>
      <c r="L1434" s="229">
        <v>0</v>
      </c>
      <c r="M1434" s="229">
        <v>0</v>
      </c>
      <c r="N1434" s="229">
        <v>0</v>
      </c>
      <c r="O1434" s="229">
        <v>0</v>
      </c>
      <c r="P1434" s="229">
        <v>0</v>
      </c>
      <c r="Q1434" s="279">
        <v>0</v>
      </c>
    </row>
    <row r="1435" spans="1:17" customFormat="1">
      <c r="A1435" s="224">
        <v>4</v>
      </c>
      <c r="B1435" s="224">
        <v>1900303</v>
      </c>
      <c r="C1435" s="224">
        <v>190030300</v>
      </c>
      <c r="D1435" s="224" t="s">
        <v>631</v>
      </c>
      <c r="E1435" s="224" t="s">
        <v>683</v>
      </c>
      <c r="F1435" s="224" t="s">
        <v>683</v>
      </c>
      <c r="G1435" s="224" t="s">
        <v>683</v>
      </c>
      <c r="H1435" s="224"/>
      <c r="I1435" s="229">
        <v>0</v>
      </c>
      <c r="J1435" s="229">
        <v>0</v>
      </c>
      <c r="K1435" s="229">
        <v>0</v>
      </c>
      <c r="L1435" s="229">
        <v>0</v>
      </c>
      <c r="M1435" s="229">
        <v>0</v>
      </c>
      <c r="N1435" s="229">
        <v>0</v>
      </c>
      <c r="O1435" s="229">
        <v>0</v>
      </c>
      <c r="P1435" s="229">
        <v>0</v>
      </c>
      <c r="Q1435" s="279">
        <v>0</v>
      </c>
    </row>
    <row r="1436" spans="1:17" customFormat="1">
      <c r="A1436" s="224">
        <v>4</v>
      </c>
      <c r="B1436" s="224">
        <v>4810202</v>
      </c>
      <c r="C1436" s="224">
        <v>481020200</v>
      </c>
      <c r="D1436" s="224" t="s">
        <v>686</v>
      </c>
      <c r="E1436" s="224" t="s">
        <v>687</v>
      </c>
      <c r="F1436" s="224" t="s">
        <v>688</v>
      </c>
      <c r="G1436" s="224" t="s">
        <v>688</v>
      </c>
      <c r="H1436" s="224"/>
      <c r="I1436" s="229">
        <v>13915486</v>
      </c>
      <c r="J1436" s="229">
        <v>0</v>
      </c>
      <c r="K1436" s="229">
        <v>0</v>
      </c>
      <c r="L1436" s="229">
        <v>0</v>
      </c>
      <c r="M1436" s="229">
        <v>0</v>
      </c>
      <c r="N1436" s="229">
        <v>13915486</v>
      </c>
      <c r="O1436" s="229">
        <v>0</v>
      </c>
      <c r="P1436" s="229">
        <v>0</v>
      </c>
      <c r="Q1436" s="279">
        <v>0</v>
      </c>
    </row>
    <row r="1437" spans="1:17" customFormat="1">
      <c r="A1437" s="224">
        <v>4</v>
      </c>
      <c r="B1437" s="224">
        <v>4810404</v>
      </c>
      <c r="C1437" s="224">
        <v>481040411</v>
      </c>
      <c r="D1437" s="224" t="s">
        <v>686</v>
      </c>
      <c r="E1437" s="224" t="s">
        <v>687</v>
      </c>
      <c r="F1437" s="224" t="s">
        <v>689</v>
      </c>
      <c r="G1437" s="224" t="s">
        <v>690</v>
      </c>
      <c r="H1437" s="224" t="s">
        <v>691</v>
      </c>
      <c r="I1437" s="229">
        <v>75108000</v>
      </c>
      <c r="J1437" s="229">
        <v>0</v>
      </c>
      <c r="K1437" s="229">
        <v>0</v>
      </c>
      <c r="L1437" s="229">
        <v>0</v>
      </c>
      <c r="M1437" s="229">
        <v>0</v>
      </c>
      <c r="N1437" s="229">
        <v>0</v>
      </c>
      <c r="O1437" s="229">
        <v>0</v>
      </c>
      <c r="P1437" s="229">
        <v>75108000</v>
      </c>
      <c r="Q1437" s="279">
        <v>0</v>
      </c>
    </row>
    <row r="1438" spans="1:17" customFormat="1">
      <c r="A1438" s="224">
        <v>4</v>
      </c>
      <c r="B1438" s="224">
        <v>4810404</v>
      </c>
      <c r="C1438" s="224">
        <v>481040412</v>
      </c>
      <c r="D1438" s="224" t="s">
        <v>686</v>
      </c>
      <c r="E1438" s="224" t="s">
        <v>687</v>
      </c>
      <c r="F1438" s="224" t="s">
        <v>689</v>
      </c>
      <c r="G1438" s="224" t="s">
        <v>690</v>
      </c>
      <c r="H1438" s="224" t="s">
        <v>692</v>
      </c>
      <c r="I1438" s="229">
        <v>0</v>
      </c>
      <c r="J1438" s="229">
        <v>0</v>
      </c>
      <c r="K1438" s="229">
        <v>0</v>
      </c>
      <c r="L1438" s="229">
        <v>0</v>
      </c>
      <c r="M1438" s="229">
        <v>0</v>
      </c>
      <c r="N1438" s="229">
        <v>0</v>
      </c>
      <c r="O1438" s="229">
        <v>0</v>
      </c>
      <c r="P1438" s="229">
        <v>0</v>
      </c>
      <c r="Q1438" s="279">
        <v>0</v>
      </c>
    </row>
    <row r="1439" spans="1:17" customFormat="1">
      <c r="A1439" s="224">
        <v>4</v>
      </c>
      <c r="B1439" s="224">
        <v>4810404</v>
      </c>
      <c r="C1439" s="224">
        <v>481040413</v>
      </c>
      <c r="D1439" s="224" t="s">
        <v>686</v>
      </c>
      <c r="E1439" s="224" t="s">
        <v>687</v>
      </c>
      <c r="F1439" s="224" t="s">
        <v>689</v>
      </c>
      <c r="G1439" s="224" t="s">
        <v>690</v>
      </c>
      <c r="H1439" s="224" t="s">
        <v>693</v>
      </c>
      <c r="I1439" s="229">
        <v>0</v>
      </c>
      <c r="J1439" s="229">
        <v>0</v>
      </c>
      <c r="K1439" s="229">
        <v>0</v>
      </c>
      <c r="L1439" s="229">
        <v>0</v>
      </c>
      <c r="M1439" s="229">
        <v>0</v>
      </c>
      <c r="N1439" s="229">
        <v>0</v>
      </c>
      <c r="O1439" s="229">
        <v>0</v>
      </c>
      <c r="P1439" s="229">
        <v>0</v>
      </c>
      <c r="Q1439" s="279">
        <v>0</v>
      </c>
    </row>
    <row r="1440" spans="1:17" customFormat="1">
      <c r="A1440" s="224">
        <v>4</v>
      </c>
      <c r="B1440" s="224">
        <v>4810404</v>
      </c>
      <c r="C1440" s="224">
        <v>481040415</v>
      </c>
      <c r="D1440" s="224" t="s">
        <v>686</v>
      </c>
      <c r="E1440" s="224" t="s">
        <v>687</v>
      </c>
      <c r="F1440" s="224" t="s">
        <v>689</v>
      </c>
      <c r="G1440" s="224" t="s">
        <v>690</v>
      </c>
      <c r="H1440" s="224" t="s">
        <v>694</v>
      </c>
      <c r="I1440" s="229">
        <v>0</v>
      </c>
      <c r="J1440" s="229">
        <v>0</v>
      </c>
      <c r="K1440" s="229">
        <v>0</v>
      </c>
      <c r="L1440" s="229">
        <v>0</v>
      </c>
      <c r="M1440" s="229">
        <v>0</v>
      </c>
      <c r="N1440" s="229">
        <v>0</v>
      </c>
      <c r="O1440" s="229">
        <v>0</v>
      </c>
      <c r="P1440" s="229">
        <v>0</v>
      </c>
      <c r="Q1440" s="279">
        <v>0</v>
      </c>
    </row>
    <row r="1441" spans="1:17" customFormat="1">
      <c r="A1441" s="224">
        <v>4</v>
      </c>
      <c r="B1441" s="224">
        <v>4810406</v>
      </c>
      <c r="C1441" s="224">
        <v>481040600</v>
      </c>
      <c r="D1441" s="224" t="s">
        <v>686</v>
      </c>
      <c r="E1441" s="224" t="s">
        <v>687</v>
      </c>
      <c r="F1441" s="224" t="s">
        <v>689</v>
      </c>
      <c r="G1441" s="224" t="s">
        <v>695</v>
      </c>
      <c r="H1441" s="224"/>
      <c r="I1441" s="229">
        <v>0</v>
      </c>
      <c r="J1441" s="229">
        <v>0</v>
      </c>
      <c r="K1441" s="229">
        <v>0</v>
      </c>
      <c r="L1441" s="229">
        <v>0</v>
      </c>
      <c r="M1441" s="229">
        <v>0</v>
      </c>
      <c r="N1441" s="229">
        <v>0</v>
      </c>
      <c r="O1441" s="229">
        <v>0</v>
      </c>
      <c r="P1441" s="229">
        <v>0</v>
      </c>
      <c r="Q1441" s="279">
        <v>0</v>
      </c>
    </row>
    <row r="1442" spans="1:17" customFormat="1">
      <c r="A1442" s="224">
        <v>4</v>
      </c>
      <c r="B1442" s="224">
        <v>4810408</v>
      </c>
      <c r="C1442" s="224">
        <v>481040800</v>
      </c>
      <c r="D1442" s="224" t="s">
        <v>686</v>
      </c>
      <c r="E1442" s="224" t="s">
        <v>687</v>
      </c>
      <c r="F1442" s="224" t="s">
        <v>689</v>
      </c>
      <c r="G1442" s="224" t="s">
        <v>696</v>
      </c>
      <c r="H1442" s="224"/>
      <c r="I1442" s="229">
        <v>0</v>
      </c>
      <c r="J1442" s="229">
        <v>0</v>
      </c>
      <c r="K1442" s="229">
        <v>0</v>
      </c>
      <c r="L1442" s="229">
        <v>0</v>
      </c>
      <c r="M1442" s="229">
        <v>0</v>
      </c>
      <c r="N1442" s="229">
        <v>0</v>
      </c>
      <c r="O1442" s="229">
        <v>0</v>
      </c>
      <c r="P1442" s="229">
        <v>0</v>
      </c>
      <c r="Q1442" s="279">
        <v>0</v>
      </c>
    </row>
    <row r="1443" spans="1:17" customFormat="1">
      <c r="A1443" s="224">
        <v>4</v>
      </c>
      <c r="B1443" s="224">
        <v>4810409</v>
      </c>
      <c r="C1443" s="224">
        <v>481040900</v>
      </c>
      <c r="D1443" s="224" t="s">
        <v>686</v>
      </c>
      <c r="E1443" s="224" t="s">
        <v>687</v>
      </c>
      <c r="F1443" s="224" t="s">
        <v>689</v>
      </c>
      <c r="G1443" s="224" t="s">
        <v>697</v>
      </c>
      <c r="H1443" s="224"/>
      <c r="I1443" s="229">
        <v>0</v>
      </c>
      <c r="J1443" s="229">
        <v>0</v>
      </c>
      <c r="K1443" s="229">
        <v>0</v>
      </c>
      <c r="L1443" s="229">
        <v>0</v>
      </c>
      <c r="M1443" s="229">
        <v>0</v>
      </c>
      <c r="N1443" s="229">
        <v>0</v>
      </c>
      <c r="O1443" s="229">
        <v>0</v>
      </c>
      <c r="P1443" s="229">
        <v>0</v>
      </c>
      <c r="Q1443" s="279">
        <v>0</v>
      </c>
    </row>
    <row r="1444" spans="1:17" customFormat="1">
      <c r="A1444" s="224">
        <v>4</v>
      </c>
      <c r="B1444" s="224">
        <v>4811214</v>
      </c>
      <c r="C1444" s="224">
        <v>481121400</v>
      </c>
      <c r="D1444" s="224" t="s">
        <v>686</v>
      </c>
      <c r="E1444" s="224" t="s">
        <v>687</v>
      </c>
      <c r="F1444" s="224" t="s">
        <v>699</v>
      </c>
      <c r="G1444" s="224" t="s">
        <v>699</v>
      </c>
      <c r="H1444" s="224"/>
      <c r="I1444" s="229">
        <v>0</v>
      </c>
      <c r="J1444" s="229">
        <v>0</v>
      </c>
      <c r="K1444" s="229">
        <v>0</v>
      </c>
      <c r="L1444" s="229">
        <v>0</v>
      </c>
      <c r="M1444" s="229">
        <v>0</v>
      </c>
      <c r="N1444" s="229">
        <v>0</v>
      </c>
      <c r="O1444" s="229">
        <v>0</v>
      </c>
      <c r="P1444" s="229">
        <v>0</v>
      </c>
      <c r="Q1444" s="279">
        <v>0</v>
      </c>
    </row>
    <row r="1445" spans="1:17" customFormat="1">
      <c r="A1445" s="224">
        <v>4</v>
      </c>
      <c r="B1445" s="224">
        <v>4811417</v>
      </c>
      <c r="C1445" s="224">
        <v>481141700</v>
      </c>
      <c r="D1445" s="224" t="s">
        <v>686</v>
      </c>
      <c r="E1445" s="224" t="s">
        <v>687</v>
      </c>
      <c r="F1445" s="224" t="s">
        <v>700</v>
      </c>
      <c r="G1445" s="224" t="s">
        <v>703</v>
      </c>
      <c r="H1445" s="224"/>
      <c r="I1445" s="229">
        <v>0</v>
      </c>
      <c r="J1445" s="229">
        <v>0</v>
      </c>
      <c r="K1445" s="229">
        <v>0</v>
      </c>
      <c r="L1445" s="229">
        <v>0</v>
      </c>
      <c r="M1445" s="229">
        <v>0</v>
      </c>
      <c r="N1445" s="229">
        <v>0</v>
      </c>
      <c r="O1445" s="229">
        <v>0</v>
      </c>
      <c r="P1445" s="229">
        <v>0</v>
      </c>
      <c r="Q1445" s="279">
        <v>0</v>
      </c>
    </row>
    <row r="1446" spans="1:17" customFormat="1">
      <c r="A1446" s="224">
        <v>4</v>
      </c>
      <c r="B1446" s="224">
        <v>4811418</v>
      </c>
      <c r="C1446" s="224">
        <v>481141800</v>
      </c>
      <c r="D1446" s="224" t="s">
        <v>686</v>
      </c>
      <c r="E1446" s="224" t="s">
        <v>687</v>
      </c>
      <c r="F1446" s="224" t="s">
        <v>700</v>
      </c>
      <c r="G1446" s="224" t="s">
        <v>64</v>
      </c>
      <c r="H1446" s="224"/>
      <c r="I1446" s="229">
        <v>0</v>
      </c>
      <c r="J1446" s="229">
        <v>0</v>
      </c>
      <c r="K1446" s="229">
        <v>0</v>
      </c>
      <c r="L1446" s="229">
        <v>0</v>
      </c>
      <c r="M1446" s="229">
        <v>0</v>
      </c>
      <c r="N1446" s="229">
        <v>0</v>
      </c>
      <c r="O1446" s="229">
        <v>0</v>
      </c>
      <c r="P1446" s="229">
        <v>0</v>
      </c>
      <c r="Q1446" s="279">
        <v>0</v>
      </c>
    </row>
    <row r="1447" spans="1:17" customFormat="1">
      <c r="A1447" s="224">
        <v>4</v>
      </c>
      <c r="B1447" s="224">
        <v>4811419</v>
      </c>
      <c r="C1447" s="224">
        <v>481141915</v>
      </c>
      <c r="D1447" s="224" t="s">
        <v>686</v>
      </c>
      <c r="E1447" s="224" t="s">
        <v>687</v>
      </c>
      <c r="F1447" s="224" t="s">
        <v>700</v>
      </c>
      <c r="G1447" s="224" t="s">
        <v>85</v>
      </c>
      <c r="H1447" s="224" t="s">
        <v>704</v>
      </c>
      <c r="I1447" s="229">
        <v>0</v>
      </c>
      <c r="J1447" s="229">
        <v>0</v>
      </c>
      <c r="K1447" s="229">
        <v>0</v>
      </c>
      <c r="L1447" s="229">
        <v>0</v>
      </c>
      <c r="M1447" s="229">
        <v>0</v>
      </c>
      <c r="N1447" s="229">
        <v>0</v>
      </c>
      <c r="O1447" s="229">
        <v>0</v>
      </c>
      <c r="P1447" s="229">
        <v>0</v>
      </c>
      <c r="Q1447" s="279">
        <v>0</v>
      </c>
    </row>
    <row r="1448" spans="1:17" customFormat="1">
      <c r="A1448" s="224">
        <v>4</v>
      </c>
      <c r="B1448" s="224">
        <v>4811419</v>
      </c>
      <c r="C1448" s="224">
        <v>481141916</v>
      </c>
      <c r="D1448" s="224" t="s">
        <v>686</v>
      </c>
      <c r="E1448" s="224" t="s">
        <v>687</v>
      </c>
      <c r="F1448" s="224" t="s">
        <v>700</v>
      </c>
      <c r="G1448" s="224" t="s">
        <v>85</v>
      </c>
      <c r="H1448" s="224" t="s">
        <v>705</v>
      </c>
      <c r="I1448" s="229">
        <v>0</v>
      </c>
      <c r="J1448" s="229">
        <v>0</v>
      </c>
      <c r="K1448" s="229">
        <v>0</v>
      </c>
      <c r="L1448" s="229">
        <v>0</v>
      </c>
      <c r="M1448" s="229">
        <v>0</v>
      </c>
      <c r="N1448" s="229">
        <v>0</v>
      </c>
      <c r="O1448" s="229">
        <v>0</v>
      </c>
      <c r="P1448" s="229">
        <v>0</v>
      </c>
      <c r="Q1448" s="279">
        <v>0</v>
      </c>
    </row>
    <row r="1449" spans="1:17" customFormat="1">
      <c r="A1449" s="224">
        <v>4</v>
      </c>
      <c r="B1449" s="224">
        <v>4811419</v>
      </c>
      <c r="C1449" s="224">
        <v>481141917</v>
      </c>
      <c r="D1449" s="224" t="s">
        <v>686</v>
      </c>
      <c r="E1449" s="224" t="s">
        <v>687</v>
      </c>
      <c r="F1449" s="224" t="s">
        <v>700</v>
      </c>
      <c r="G1449" s="224" t="s">
        <v>85</v>
      </c>
      <c r="H1449" s="224" t="s">
        <v>706</v>
      </c>
      <c r="I1449" s="229">
        <v>0</v>
      </c>
      <c r="J1449" s="229">
        <v>0</v>
      </c>
      <c r="K1449" s="229">
        <v>0</v>
      </c>
      <c r="L1449" s="229">
        <v>0</v>
      </c>
      <c r="M1449" s="229">
        <v>0</v>
      </c>
      <c r="N1449" s="229">
        <v>0</v>
      </c>
      <c r="O1449" s="229">
        <v>0</v>
      </c>
      <c r="P1449" s="229">
        <v>0</v>
      </c>
      <c r="Q1449" s="279">
        <v>0</v>
      </c>
    </row>
    <row r="1450" spans="1:17" customFormat="1">
      <c r="A1450" s="224">
        <v>4</v>
      </c>
      <c r="B1450" s="224">
        <v>4811420</v>
      </c>
      <c r="C1450" s="224">
        <v>481142000</v>
      </c>
      <c r="D1450" s="224" t="s">
        <v>686</v>
      </c>
      <c r="E1450" s="224" t="s">
        <v>687</v>
      </c>
      <c r="F1450" s="224" t="s">
        <v>700</v>
      </c>
      <c r="G1450" s="224" t="s">
        <v>707</v>
      </c>
      <c r="H1450" s="224"/>
      <c r="I1450" s="229">
        <v>0</v>
      </c>
      <c r="J1450" s="229">
        <v>0</v>
      </c>
      <c r="K1450" s="229">
        <v>0</v>
      </c>
      <c r="L1450" s="229">
        <v>0</v>
      </c>
      <c r="M1450" s="229">
        <v>0</v>
      </c>
      <c r="N1450" s="229">
        <v>0</v>
      </c>
      <c r="O1450" s="229">
        <v>0</v>
      </c>
      <c r="P1450" s="229">
        <v>0</v>
      </c>
      <c r="Q1450" s="279">
        <v>0</v>
      </c>
    </row>
    <row r="1451" spans="1:17" customFormat="1">
      <c r="A1451" s="224">
        <v>4</v>
      </c>
      <c r="B1451" s="224">
        <v>4820221</v>
      </c>
      <c r="C1451" s="224">
        <v>482022100</v>
      </c>
      <c r="D1451" s="224" t="s">
        <v>686</v>
      </c>
      <c r="E1451" s="224" t="s">
        <v>708</v>
      </c>
      <c r="F1451" s="224" t="s">
        <v>709</v>
      </c>
      <c r="G1451" s="224" t="s">
        <v>710</v>
      </c>
      <c r="H1451" s="224"/>
      <c r="I1451" s="229">
        <v>0</v>
      </c>
      <c r="J1451" s="229">
        <v>0</v>
      </c>
      <c r="K1451" s="229">
        <v>0</v>
      </c>
      <c r="L1451" s="229">
        <v>0</v>
      </c>
      <c r="M1451" s="229">
        <v>0</v>
      </c>
      <c r="N1451" s="229">
        <v>0</v>
      </c>
      <c r="O1451" s="229">
        <v>0</v>
      </c>
      <c r="P1451" s="229">
        <v>0</v>
      </c>
      <c r="Q1451" s="279">
        <v>0</v>
      </c>
    </row>
    <row r="1452" spans="1:17" customFormat="1">
      <c r="A1452" s="224">
        <v>4</v>
      </c>
      <c r="B1452" s="224">
        <v>4820222</v>
      </c>
      <c r="C1452" s="224">
        <v>482022200</v>
      </c>
      <c r="D1452" s="224" t="s">
        <v>686</v>
      </c>
      <c r="E1452" s="224" t="s">
        <v>708</v>
      </c>
      <c r="F1452" s="224" t="s">
        <v>709</v>
      </c>
      <c r="G1452" s="224" t="s">
        <v>711</v>
      </c>
      <c r="H1452" s="224"/>
      <c r="I1452" s="229">
        <v>0</v>
      </c>
      <c r="J1452" s="229">
        <v>0</v>
      </c>
      <c r="K1452" s="229">
        <v>0</v>
      </c>
      <c r="L1452" s="229">
        <v>0</v>
      </c>
      <c r="M1452" s="229">
        <v>0</v>
      </c>
      <c r="N1452" s="229">
        <v>0</v>
      </c>
      <c r="O1452" s="229">
        <v>0</v>
      </c>
      <c r="P1452" s="229">
        <v>0</v>
      </c>
      <c r="Q1452" s="279">
        <v>0</v>
      </c>
    </row>
    <row r="1453" spans="1:17" customFormat="1">
      <c r="A1453" s="224">
        <v>4</v>
      </c>
      <c r="B1453" s="224">
        <v>4820224</v>
      </c>
      <c r="C1453" s="224">
        <v>482022400</v>
      </c>
      <c r="D1453" s="224" t="s">
        <v>686</v>
      </c>
      <c r="E1453" s="224" t="s">
        <v>708</v>
      </c>
      <c r="F1453" s="224" t="s">
        <v>709</v>
      </c>
      <c r="G1453" s="224" t="s">
        <v>712</v>
      </c>
      <c r="H1453" s="224"/>
      <c r="I1453" s="229">
        <v>0</v>
      </c>
      <c r="J1453" s="229">
        <v>0</v>
      </c>
      <c r="K1453" s="229">
        <v>0</v>
      </c>
      <c r="L1453" s="229">
        <v>0</v>
      </c>
      <c r="M1453" s="229">
        <v>0</v>
      </c>
      <c r="N1453" s="229">
        <v>0</v>
      </c>
      <c r="O1453" s="229">
        <v>0</v>
      </c>
      <c r="P1453" s="229">
        <v>0</v>
      </c>
      <c r="Q1453" s="279">
        <v>0</v>
      </c>
    </row>
    <row r="1454" spans="1:17" customFormat="1">
      <c r="A1454" s="224">
        <v>4</v>
      </c>
      <c r="B1454" s="224">
        <v>4820427</v>
      </c>
      <c r="C1454" s="224">
        <v>482042700</v>
      </c>
      <c r="D1454" s="224" t="s">
        <v>686</v>
      </c>
      <c r="E1454" s="224" t="s">
        <v>708</v>
      </c>
      <c r="F1454" s="224" t="s">
        <v>655</v>
      </c>
      <c r="G1454" s="224" t="s">
        <v>713</v>
      </c>
      <c r="H1454" s="224"/>
      <c r="I1454" s="229">
        <v>0</v>
      </c>
      <c r="J1454" s="229">
        <v>0</v>
      </c>
      <c r="K1454" s="229">
        <v>0</v>
      </c>
      <c r="L1454" s="229">
        <v>0</v>
      </c>
      <c r="M1454" s="229">
        <v>0</v>
      </c>
      <c r="N1454" s="229">
        <v>0</v>
      </c>
      <c r="O1454" s="229">
        <v>0</v>
      </c>
      <c r="P1454" s="229">
        <v>0</v>
      </c>
      <c r="Q1454" s="279">
        <v>0</v>
      </c>
    </row>
    <row r="1455" spans="1:17" customFormat="1">
      <c r="A1455" s="224">
        <v>4</v>
      </c>
      <c r="B1455" s="224">
        <v>4820428</v>
      </c>
      <c r="C1455" s="224">
        <v>482042800</v>
      </c>
      <c r="D1455" s="224" t="s">
        <v>686</v>
      </c>
      <c r="E1455" s="224" t="s">
        <v>708</v>
      </c>
      <c r="F1455" s="224" t="s">
        <v>655</v>
      </c>
      <c r="G1455" s="224" t="s">
        <v>714</v>
      </c>
      <c r="H1455" s="224"/>
      <c r="I1455" s="229">
        <v>0</v>
      </c>
      <c r="J1455" s="229">
        <v>0</v>
      </c>
      <c r="K1455" s="229">
        <v>0</v>
      </c>
      <c r="L1455" s="229">
        <v>0</v>
      </c>
      <c r="M1455" s="229">
        <v>0</v>
      </c>
      <c r="N1455" s="229">
        <v>0</v>
      </c>
      <c r="O1455" s="229">
        <v>0</v>
      </c>
      <c r="P1455" s="229">
        <v>0</v>
      </c>
      <c r="Q1455" s="279">
        <v>0</v>
      </c>
    </row>
    <row r="1456" spans="1:17" customFormat="1">
      <c r="A1456" s="224">
        <v>4</v>
      </c>
      <c r="B1456" s="224">
        <v>4820429</v>
      </c>
      <c r="C1456" s="224">
        <v>482042900</v>
      </c>
      <c r="D1456" s="224" t="s">
        <v>686</v>
      </c>
      <c r="E1456" s="224" t="s">
        <v>708</v>
      </c>
      <c r="F1456" s="224" t="s">
        <v>655</v>
      </c>
      <c r="G1456" s="224" t="s">
        <v>658</v>
      </c>
      <c r="H1456" s="224"/>
      <c r="I1456" s="229">
        <v>0</v>
      </c>
      <c r="J1456" s="229">
        <v>0</v>
      </c>
      <c r="K1456" s="229">
        <v>0</v>
      </c>
      <c r="L1456" s="229">
        <v>0</v>
      </c>
      <c r="M1456" s="229">
        <v>0</v>
      </c>
      <c r="N1456" s="229">
        <v>0</v>
      </c>
      <c r="O1456" s="229">
        <v>0</v>
      </c>
      <c r="P1456" s="229">
        <v>0</v>
      </c>
      <c r="Q1456" s="279">
        <v>0</v>
      </c>
    </row>
    <row r="1457" spans="1:19" customFormat="1">
      <c r="A1457" s="224">
        <v>4</v>
      </c>
      <c r="B1457" s="224">
        <v>4820501</v>
      </c>
      <c r="C1457" s="224">
        <v>482050100</v>
      </c>
      <c r="D1457" s="224" t="s">
        <v>686</v>
      </c>
      <c r="E1457" s="224" t="s">
        <v>708</v>
      </c>
      <c r="F1457" s="224" t="s">
        <v>715</v>
      </c>
      <c r="G1457" s="224" t="s">
        <v>715</v>
      </c>
      <c r="H1457" s="224"/>
      <c r="I1457" s="229">
        <v>0</v>
      </c>
      <c r="J1457" s="229">
        <v>0</v>
      </c>
      <c r="K1457" s="229">
        <v>0</v>
      </c>
      <c r="L1457" s="229">
        <v>0</v>
      </c>
      <c r="M1457" s="229">
        <v>0</v>
      </c>
      <c r="N1457" s="229">
        <v>0</v>
      </c>
      <c r="O1457" s="229">
        <v>0</v>
      </c>
      <c r="P1457" s="229">
        <v>0</v>
      </c>
      <c r="Q1457" s="279">
        <v>0</v>
      </c>
    </row>
    <row r="1458" spans="1:19" customFormat="1">
      <c r="A1458" s="224">
        <v>4</v>
      </c>
      <c r="B1458" s="224">
        <v>4820630</v>
      </c>
      <c r="C1458" s="224">
        <v>482063000</v>
      </c>
      <c r="D1458" s="224" t="s">
        <v>686</v>
      </c>
      <c r="E1458" s="224" t="s">
        <v>708</v>
      </c>
      <c r="F1458" s="224" t="s">
        <v>659</v>
      </c>
      <c r="G1458" s="224" t="s">
        <v>659</v>
      </c>
      <c r="H1458" s="224"/>
      <c r="I1458" s="229">
        <v>0</v>
      </c>
      <c r="J1458" s="229">
        <v>0</v>
      </c>
      <c r="K1458" s="229">
        <v>0</v>
      </c>
      <c r="L1458" s="229">
        <v>0</v>
      </c>
      <c r="M1458" s="229">
        <v>0</v>
      </c>
      <c r="N1458" s="229">
        <v>0</v>
      </c>
      <c r="O1458" s="229">
        <v>0</v>
      </c>
      <c r="P1458" s="229">
        <v>0</v>
      </c>
      <c r="Q1458" s="279">
        <v>0</v>
      </c>
    </row>
    <row r="1459" spans="1:19" customFormat="1">
      <c r="A1459" s="224">
        <v>4</v>
      </c>
      <c r="B1459" s="224">
        <v>4820831</v>
      </c>
      <c r="C1459" s="224">
        <v>482083100</v>
      </c>
      <c r="D1459" s="224" t="s">
        <v>686</v>
      </c>
      <c r="E1459" s="224" t="s">
        <v>708</v>
      </c>
      <c r="F1459" s="224" t="s">
        <v>660</v>
      </c>
      <c r="G1459" s="224" t="s">
        <v>660</v>
      </c>
      <c r="H1459" s="224"/>
      <c r="I1459" s="229">
        <v>0</v>
      </c>
      <c r="J1459" s="229">
        <v>0</v>
      </c>
      <c r="K1459" s="229">
        <v>0</v>
      </c>
      <c r="L1459" s="229">
        <v>0</v>
      </c>
      <c r="M1459" s="229">
        <v>0</v>
      </c>
      <c r="N1459" s="229">
        <v>0</v>
      </c>
      <c r="O1459" s="229">
        <v>0</v>
      </c>
      <c r="P1459" s="229">
        <v>0</v>
      </c>
      <c r="Q1459" s="279">
        <v>0</v>
      </c>
    </row>
    <row r="1460" spans="1:19" customFormat="1">
      <c r="A1460" s="224">
        <v>4</v>
      </c>
      <c r="B1460" s="224">
        <v>4820932</v>
      </c>
      <c r="C1460" s="224">
        <v>482093200</v>
      </c>
      <c r="D1460" s="224" t="s">
        <v>686</v>
      </c>
      <c r="E1460" s="224" t="s">
        <v>708</v>
      </c>
      <c r="F1460" s="224" t="s">
        <v>663</v>
      </c>
      <c r="G1460" s="224" t="s">
        <v>716</v>
      </c>
      <c r="H1460" s="224"/>
      <c r="I1460" s="229">
        <v>0</v>
      </c>
      <c r="J1460" s="229">
        <v>0</v>
      </c>
      <c r="K1460" s="229">
        <v>0</v>
      </c>
      <c r="L1460" s="229">
        <v>0</v>
      </c>
      <c r="M1460" s="229">
        <v>0</v>
      </c>
      <c r="N1460" s="229">
        <v>0</v>
      </c>
      <c r="O1460" s="229">
        <v>0</v>
      </c>
      <c r="P1460" s="229">
        <v>0</v>
      </c>
      <c r="Q1460" s="279">
        <v>0</v>
      </c>
    </row>
    <row r="1461" spans="1:19" customFormat="1">
      <c r="A1461" s="224">
        <v>4</v>
      </c>
      <c r="B1461" s="224">
        <v>4820933</v>
      </c>
      <c r="C1461" s="224">
        <v>482093300</v>
      </c>
      <c r="D1461" s="224" t="s">
        <v>686</v>
      </c>
      <c r="E1461" s="224" t="s">
        <v>708</v>
      </c>
      <c r="F1461" s="224" t="s">
        <v>663</v>
      </c>
      <c r="G1461" s="224" t="s">
        <v>717</v>
      </c>
      <c r="H1461" s="224"/>
      <c r="I1461" s="229">
        <v>0</v>
      </c>
      <c r="J1461" s="229">
        <v>0</v>
      </c>
      <c r="K1461" s="229">
        <v>0</v>
      </c>
      <c r="L1461" s="229">
        <v>0</v>
      </c>
      <c r="M1461" s="229">
        <v>0</v>
      </c>
      <c r="N1461" s="229">
        <v>0</v>
      </c>
      <c r="O1461" s="229">
        <v>0</v>
      </c>
      <c r="P1461" s="229">
        <v>0</v>
      </c>
      <c r="Q1461" s="279">
        <v>0</v>
      </c>
    </row>
    <row r="1462" spans="1:19" customFormat="1">
      <c r="A1462" s="224">
        <v>4</v>
      </c>
      <c r="B1462" s="224">
        <v>4821034</v>
      </c>
      <c r="C1462" s="224">
        <v>482103411</v>
      </c>
      <c r="D1462" s="224" t="s">
        <v>686</v>
      </c>
      <c r="E1462" s="224" t="s">
        <v>708</v>
      </c>
      <c r="F1462" s="224" t="s">
        <v>661</v>
      </c>
      <c r="G1462" s="224" t="s">
        <v>718</v>
      </c>
      <c r="H1462" s="224" t="s">
        <v>691</v>
      </c>
      <c r="I1462" s="229">
        <v>0</v>
      </c>
      <c r="J1462" s="229">
        <v>0</v>
      </c>
      <c r="K1462" s="229">
        <v>0</v>
      </c>
      <c r="L1462" s="229">
        <v>0</v>
      </c>
      <c r="M1462" s="229">
        <v>0</v>
      </c>
      <c r="N1462" s="229">
        <v>0</v>
      </c>
      <c r="O1462" s="229">
        <v>0</v>
      </c>
      <c r="P1462" s="229">
        <v>0</v>
      </c>
      <c r="Q1462" s="279">
        <v>0</v>
      </c>
    </row>
    <row r="1463" spans="1:19" customFormat="1">
      <c r="A1463" s="224">
        <v>4</v>
      </c>
      <c r="B1463" s="224">
        <v>4821034</v>
      </c>
      <c r="C1463" s="224">
        <v>482103412</v>
      </c>
      <c r="D1463" s="224" t="s">
        <v>686</v>
      </c>
      <c r="E1463" s="224" t="s">
        <v>708</v>
      </c>
      <c r="F1463" s="224" t="s">
        <v>661</v>
      </c>
      <c r="G1463" s="224" t="s">
        <v>718</v>
      </c>
      <c r="H1463" s="224" t="s">
        <v>692</v>
      </c>
      <c r="I1463" s="229">
        <v>0</v>
      </c>
      <c r="J1463" s="229">
        <v>0</v>
      </c>
      <c r="K1463" s="229">
        <v>0</v>
      </c>
      <c r="L1463" s="229">
        <v>0</v>
      </c>
      <c r="M1463" s="229">
        <v>0</v>
      </c>
      <c r="N1463" s="229">
        <v>0</v>
      </c>
      <c r="O1463" s="229">
        <v>0</v>
      </c>
      <c r="P1463" s="229">
        <v>0</v>
      </c>
      <c r="Q1463" s="279">
        <v>0</v>
      </c>
    </row>
    <row r="1464" spans="1:19" customFormat="1">
      <c r="A1464" s="224">
        <v>4</v>
      </c>
      <c r="B1464" s="224">
        <v>4821034</v>
      </c>
      <c r="C1464" s="224">
        <v>482103413</v>
      </c>
      <c r="D1464" s="224" t="s">
        <v>686</v>
      </c>
      <c r="E1464" s="224" t="s">
        <v>708</v>
      </c>
      <c r="F1464" s="224" t="s">
        <v>661</v>
      </c>
      <c r="G1464" s="224" t="s">
        <v>718</v>
      </c>
      <c r="H1464" s="224" t="s">
        <v>693</v>
      </c>
      <c r="I1464" s="229">
        <v>0</v>
      </c>
      <c r="J1464" s="229">
        <v>0</v>
      </c>
      <c r="K1464" s="229">
        <v>0</v>
      </c>
      <c r="L1464" s="229">
        <v>0</v>
      </c>
      <c r="M1464" s="229">
        <v>0</v>
      </c>
      <c r="N1464" s="229">
        <v>0</v>
      </c>
      <c r="O1464" s="229">
        <v>0</v>
      </c>
      <c r="P1464" s="229">
        <v>0</v>
      </c>
      <c r="Q1464" s="279">
        <v>0</v>
      </c>
    </row>
    <row r="1465" spans="1:19" customFormat="1">
      <c r="A1465" s="224">
        <v>4</v>
      </c>
      <c r="B1465" s="224">
        <v>4821034</v>
      </c>
      <c r="C1465" s="224">
        <v>482103414</v>
      </c>
      <c r="D1465" s="224" t="s">
        <v>686</v>
      </c>
      <c r="E1465" s="224" t="s">
        <v>708</v>
      </c>
      <c r="F1465" s="224" t="s">
        <v>661</v>
      </c>
      <c r="G1465" s="224" t="s">
        <v>718</v>
      </c>
      <c r="H1465" s="224" t="s">
        <v>719</v>
      </c>
      <c r="I1465" s="229">
        <v>0</v>
      </c>
      <c r="J1465" s="229">
        <v>0</v>
      </c>
      <c r="K1465" s="229">
        <v>0</v>
      </c>
      <c r="L1465" s="229">
        <v>0</v>
      </c>
      <c r="M1465" s="229">
        <v>0</v>
      </c>
      <c r="N1465" s="229">
        <v>0</v>
      </c>
      <c r="O1465" s="229">
        <v>0</v>
      </c>
      <c r="P1465" s="229">
        <v>0</v>
      </c>
      <c r="Q1465" s="279">
        <v>0</v>
      </c>
    </row>
    <row r="1466" spans="1:19" customFormat="1">
      <c r="A1466" s="224">
        <v>4</v>
      </c>
      <c r="B1466" s="224">
        <v>4821035</v>
      </c>
      <c r="C1466" s="224">
        <v>482103500</v>
      </c>
      <c r="D1466" s="224" t="s">
        <v>686</v>
      </c>
      <c r="E1466" s="224" t="s">
        <v>708</v>
      </c>
      <c r="F1466" s="224" t="s">
        <v>661</v>
      </c>
      <c r="G1466" s="224" t="s">
        <v>720</v>
      </c>
      <c r="H1466" s="224"/>
      <c r="I1466" s="229">
        <v>0</v>
      </c>
      <c r="J1466" s="229">
        <v>0</v>
      </c>
      <c r="K1466" s="229">
        <v>0</v>
      </c>
      <c r="L1466" s="229">
        <v>0</v>
      </c>
      <c r="M1466" s="229">
        <v>0</v>
      </c>
      <c r="N1466" s="229">
        <v>0</v>
      </c>
      <c r="O1466" s="229">
        <v>0</v>
      </c>
      <c r="P1466" s="229">
        <v>0</v>
      </c>
      <c r="Q1466" s="279">
        <v>0</v>
      </c>
    </row>
    <row r="1467" spans="1:19" customFormat="1">
      <c r="A1467" s="224">
        <v>4</v>
      </c>
      <c r="B1467" s="224">
        <v>4821137</v>
      </c>
      <c r="C1467" s="224">
        <v>482113700</v>
      </c>
      <c r="D1467" s="224" t="s">
        <v>686</v>
      </c>
      <c r="E1467" s="224" t="s">
        <v>708</v>
      </c>
      <c r="F1467" s="224" t="s">
        <v>685</v>
      </c>
      <c r="G1467" s="224" t="s">
        <v>685</v>
      </c>
      <c r="H1467" s="224"/>
      <c r="I1467" s="229">
        <v>0</v>
      </c>
      <c r="J1467" s="229">
        <v>0</v>
      </c>
      <c r="K1467" s="229">
        <v>0</v>
      </c>
      <c r="L1467" s="229">
        <v>0</v>
      </c>
      <c r="M1467" s="229">
        <v>0</v>
      </c>
      <c r="N1467" s="229">
        <v>0</v>
      </c>
      <c r="O1467" s="229">
        <v>0</v>
      </c>
      <c r="P1467" s="229">
        <v>0</v>
      </c>
      <c r="Q1467" s="279">
        <v>0</v>
      </c>
    </row>
    <row r="1468" spans="1:19" customFormat="1">
      <c r="A1468" s="224">
        <v>4</v>
      </c>
      <c r="B1468" s="224">
        <v>4821236</v>
      </c>
      <c r="C1468" s="224">
        <v>482123600</v>
      </c>
      <c r="D1468" s="224" t="s">
        <v>686</v>
      </c>
      <c r="E1468" s="224" t="s">
        <v>708</v>
      </c>
      <c r="F1468" s="224" t="s">
        <v>707</v>
      </c>
      <c r="G1468" s="224" t="s">
        <v>722</v>
      </c>
      <c r="H1468" s="224"/>
      <c r="I1468" s="229">
        <v>0</v>
      </c>
      <c r="J1468" s="229">
        <v>0</v>
      </c>
      <c r="K1468" s="229">
        <v>0</v>
      </c>
      <c r="L1468" s="229">
        <v>0</v>
      </c>
      <c r="M1468" s="229">
        <v>0</v>
      </c>
      <c r="N1468" s="229">
        <v>0</v>
      </c>
      <c r="O1468" s="229">
        <v>0</v>
      </c>
      <c r="P1468" s="229">
        <v>0</v>
      </c>
      <c r="Q1468" s="279">
        <v>0</v>
      </c>
    </row>
    <row r="1469" spans="1:19" customFormat="1">
      <c r="A1469" s="224">
        <v>4</v>
      </c>
      <c r="B1469" s="224">
        <v>4821240</v>
      </c>
      <c r="C1469" s="224">
        <v>482124000</v>
      </c>
      <c r="D1469" s="224" t="s">
        <v>686</v>
      </c>
      <c r="E1469" s="224" t="s">
        <v>708</v>
      </c>
      <c r="F1469" s="224" t="s">
        <v>707</v>
      </c>
      <c r="G1469" s="224" t="s">
        <v>723</v>
      </c>
      <c r="H1469" s="224"/>
      <c r="I1469" s="229">
        <v>0</v>
      </c>
      <c r="J1469" s="229">
        <v>0</v>
      </c>
      <c r="K1469" s="229">
        <v>0</v>
      </c>
      <c r="L1469" s="229">
        <v>0</v>
      </c>
      <c r="M1469" s="229">
        <v>0</v>
      </c>
      <c r="N1469" s="229">
        <v>0</v>
      </c>
      <c r="O1469" s="229">
        <v>0</v>
      </c>
      <c r="P1469" s="229">
        <v>0</v>
      </c>
      <c r="Q1469" s="279">
        <v>0</v>
      </c>
    </row>
    <row r="1470" spans="1:19" customFormat="1">
      <c r="A1470" s="224">
        <v>4</v>
      </c>
      <c r="B1470" s="224">
        <v>4821301</v>
      </c>
      <c r="C1470" s="224">
        <v>482130103</v>
      </c>
      <c r="D1470" s="224" t="s">
        <v>686</v>
      </c>
      <c r="E1470" s="224" t="s">
        <v>708</v>
      </c>
      <c r="F1470" s="224" t="s">
        <v>724</v>
      </c>
      <c r="G1470" s="224" t="s">
        <v>724</v>
      </c>
      <c r="H1470" s="224" t="s">
        <v>725</v>
      </c>
      <c r="I1470" s="229">
        <v>9781154</v>
      </c>
      <c r="J1470" s="229">
        <v>0</v>
      </c>
      <c r="K1470" s="229">
        <v>0</v>
      </c>
      <c r="L1470" s="229">
        <v>0</v>
      </c>
      <c r="M1470" s="229">
        <v>0</v>
      </c>
      <c r="N1470" s="229">
        <v>0</v>
      </c>
      <c r="O1470" s="229">
        <v>0</v>
      </c>
      <c r="P1470" s="229">
        <v>9781154</v>
      </c>
      <c r="Q1470" s="279">
        <v>0</v>
      </c>
    </row>
    <row r="1471" spans="1:19" customFormat="1">
      <c r="A1471" s="224">
        <v>4</v>
      </c>
      <c r="B1471" s="224">
        <v>4821301</v>
      </c>
      <c r="C1471" s="224">
        <v>482130104</v>
      </c>
      <c r="D1471" s="224" t="s">
        <v>686</v>
      </c>
      <c r="E1471" s="224" t="s">
        <v>708</v>
      </c>
      <c r="F1471" s="224" t="s">
        <v>724</v>
      </c>
      <c r="G1471" s="224" t="s">
        <v>724</v>
      </c>
      <c r="H1471" s="224" t="s">
        <v>655</v>
      </c>
      <c r="I1471" s="290">
        <v>2448564</v>
      </c>
      <c r="J1471" s="229">
        <v>0</v>
      </c>
      <c r="K1471" s="229">
        <v>0</v>
      </c>
      <c r="L1471" s="229">
        <v>0</v>
      </c>
      <c r="M1471" s="229">
        <v>0</v>
      </c>
      <c r="N1471" s="229">
        <v>0</v>
      </c>
      <c r="O1471" s="229">
        <v>0</v>
      </c>
      <c r="P1471" s="290">
        <v>2448564</v>
      </c>
      <c r="Q1471" s="279">
        <v>0</v>
      </c>
      <c r="S1471" s="259" t="s">
        <v>876</v>
      </c>
    </row>
    <row r="1472" spans="1:19" customFormat="1">
      <c r="A1472" s="224">
        <v>4</v>
      </c>
      <c r="B1472" s="224">
        <v>4821301</v>
      </c>
      <c r="C1472" s="224">
        <v>482130107</v>
      </c>
      <c r="D1472" s="224" t="s">
        <v>686</v>
      </c>
      <c r="E1472" s="224" t="s">
        <v>708</v>
      </c>
      <c r="F1472" s="224" t="s">
        <v>724</v>
      </c>
      <c r="G1472" s="224" t="s">
        <v>724</v>
      </c>
      <c r="H1472" s="224" t="s">
        <v>847</v>
      </c>
      <c r="I1472" s="229">
        <v>1839196</v>
      </c>
      <c r="J1472" s="229">
        <v>0</v>
      </c>
      <c r="K1472" s="229">
        <v>0</v>
      </c>
      <c r="L1472" s="229">
        <v>0</v>
      </c>
      <c r="M1472" s="229">
        <v>0</v>
      </c>
      <c r="N1472" s="229">
        <v>0</v>
      </c>
      <c r="O1472" s="229">
        <v>0</v>
      </c>
      <c r="P1472" s="229">
        <v>1839196</v>
      </c>
      <c r="Q1472" s="279">
        <v>0</v>
      </c>
    </row>
    <row r="1473" spans="1:17" customFormat="1">
      <c r="A1473" s="224">
        <v>4</v>
      </c>
      <c r="B1473" s="224">
        <v>4821301</v>
      </c>
      <c r="C1473" s="224">
        <v>482130108</v>
      </c>
      <c r="D1473" s="224" t="s">
        <v>686</v>
      </c>
      <c r="E1473" s="224" t="s">
        <v>708</v>
      </c>
      <c r="F1473" s="224" t="s">
        <v>724</v>
      </c>
      <c r="G1473" s="224" t="s">
        <v>724</v>
      </c>
      <c r="H1473" s="224" t="s">
        <v>665</v>
      </c>
      <c r="I1473" s="229">
        <v>0</v>
      </c>
      <c r="J1473" s="229">
        <v>0</v>
      </c>
      <c r="K1473" s="229">
        <v>0</v>
      </c>
      <c r="L1473" s="229">
        <v>0</v>
      </c>
      <c r="M1473" s="229">
        <v>0</v>
      </c>
      <c r="N1473" s="229">
        <v>0</v>
      </c>
      <c r="O1473" s="229">
        <v>0</v>
      </c>
      <c r="P1473" s="229">
        <v>0</v>
      </c>
      <c r="Q1473" s="279">
        <v>0</v>
      </c>
    </row>
    <row r="1474" spans="1:17" customFormat="1">
      <c r="A1474" s="224">
        <v>4</v>
      </c>
      <c r="B1474" s="224">
        <v>4821301</v>
      </c>
      <c r="C1474" s="224">
        <v>482130110</v>
      </c>
      <c r="D1474" s="224" t="s">
        <v>686</v>
      </c>
      <c r="E1474" s="224" t="s">
        <v>708</v>
      </c>
      <c r="F1474" s="224" t="s">
        <v>724</v>
      </c>
      <c r="G1474" s="224" t="s">
        <v>724</v>
      </c>
      <c r="H1474" s="224" t="s">
        <v>661</v>
      </c>
      <c r="I1474" s="229">
        <v>0</v>
      </c>
      <c r="J1474" s="229">
        <v>0</v>
      </c>
      <c r="K1474" s="229">
        <v>0</v>
      </c>
      <c r="L1474" s="229">
        <v>0</v>
      </c>
      <c r="M1474" s="229">
        <v>0</v>
      </c>
      <c r="N1474" s="229">
        <v>0</v>
      </c>
      <c r="O1474" s="229">
        <v>0</v>
      </c>
      <c r="P1474" s="229">
        <v>0</v>
      </c>
      <c r="Q1474" s="279">
        <v>0</v>
      </c>
    </row>
    <row r="1475" spans="1:17" customFormat="1">
      <c r="A1475" s="224">
        <v>4</v>
      </c>
      <c r="B1475" s="224">
        <v>4821301</v>
      </c>
      <c r="C1475" s="224">
        <v>482130120</v>
      </c>
      <c r="D1475" s="224" t="s">
        <v>686</v>
      </c>
      <c r="E1475" s="224" t="s">
        <v>708</v>
      </c>
      <c r="F1475" s="224" t="s">
        <v>724</v>
      </c>
      <c r="G1475" s="224" t="s">
        <v>724</v>
      </c>
      <c r="H1475" s="224" t="s">
        <v>726</v>
      </c>
      <c r="I1475" s="229">
        <v>0</v>
      </c>
      <c r="J1475" s="229">
        <v>0</v>
      </c>
      <c r="K1475" s="229">
        <v>0</v>
      </c>
      <c r="L1475" s="229">
        <v>0</v>
      </c>
      <c r="M1475" s="229">
        <v>0</v>
      </c>
      <c r="N1475" s="229">
        <v>0</v>
      </c>
      <c r="O1475" s="229">
        <v>0</v>
      </c>
      <c r="P1475" s="229">
        <v>0</v>
      </c>
      <c r="Q1475" s="279">
        <v>0</v>
      </c>
    </row>
    <row r="1476" spans="1:17" customFormat="1">
      <c r="A1476" s="224">
        <v>4</v>
      </c>
      <c r="B1476" s="224">
        <v>4830202</v>
      </c>
      <c r="C1476" s="224">
        <v>483020200</v>
      </c>
      <c r="D1476" s="224" t="s">
        <v>686</v>
      </c>
      <c r="E1476" s="224" t="s">
        <v>727</v>
      </c>
      <c r="F1476" s="224" t="s">
        <v>728</v>
      </c>
      <c r="G1476" s="224" t="s">
        <v>728</v>
      </c>
      <c r="H1476" s="224"/>
      <c r="I1476" s="229">
        <v>0</v>
      </c>
      <c r="J1476" s="229">
        <v>0</v>
      </c>
      <c r="K1476" s="229">
        <v>0</v>
      </c>
      <c r="L1476" s="229">
        <v>0</v>
      </c>
      <c r="M1476" s="229">
        <v>0</v>
      </c>
      <c r="N1476" s="229">
        <v>0</v>
      </c>
      <c r="O1476" s="229">
        <v>0</v>
      </c>
      <c r="P1476" s="229">
        <v>0</v>
      </c>
      <c r="Q1476" s="279">
        <v>0</v>
      </c>
    </row>
    <row r="1477" spans="1:17" customFormat="1">
      <c r="A1477" s="224">
        <v>4</v>
      </c>
      <c r="B1477" s="224">
        <v>4830404</v>
      </c>
      <c r="C1477" s="224">
        <v>483040400</v>
      </c>
      <c r="D1477" s="224" t="s">
        <v>686</v>
      </c>
      <c r="E1477" s="224" t="s">
        <v>727</v>
      </c>
      <c r="F1477" s="224" t="s">
        <v>729</v>
      </c>
      <c r="G1477" s="224" t="s">
        <v>729</v>
      </c>
      <c r="H1477" s="224"/>
      <c r="I1477" s="229">
        <v>0</v>
      </c>
      <c r="J1477" s="229">
        <v>0</v>
      </c>
      <c r="K1477" s="229">
        <v>0</v>
      </c>
      <c r="L1477" s="229">
        <v>0</v>
      </c>
      <c r="M1477" s="229">
        <v>0</v>
      </c>
      <c r="N1477" s="229">
        <v>0</v>
      </c>
      <c r="O1477" s="229">
        <v>0</v>
      </c>
      <c r="P1477" s="229">
        <v>0</v>
      </c>
      <c r="Q1477" s="279">
        <v>0</v>
      </c>
    </row>
    <row r="1478" spans="1:17" customFormat="1">
      <c r="A1478" s="224">
        <v>4</v>
      </c>
      <c r="B1478" s="224">
        <v>4830606</v>
      </c>
      <c r="C1478" s="224">
        <v>483060600</v>
      </c>
      <c r="D1478" s="224" t="s">
        <v>686</v>
      </c>
      <c r="E1478" s="224" t="s">
        <v>727</v>
      </c>
      <c r="F1478" s="224" t="s">
        <v>730</v>
      </c>
      <c r="G1478" s="224" t="s">
        <v>730</v>
      </c>
      <c r="H1478" s="224"/>
      <c r="I1478" s="229">
        <v>0</v>
      </c>
      <c r="J1478" s="229">
        <v>0</v>
      </c>
      <c r="K1478" s="229">
        <v>0</v>
      </c>
      <c r="L1478" s="229">
        <v>0</v>
      </c>
      <c r="M1478" s="229">
        <v>0</v>
      </c>
      <c r="N1478" s="229">
        <v>0</v>
      </c>
      <c r="O1478" s="229">
        <v>0</v>
      </c>
      <c r="P1478" s="229">
        <v>0</v>
      </c>
      <c r="Q1478" s="279">
        <v>0</v>
      </c>
    </row>
    <row r="1479" spans="1:17" customFormat="1">
      <c r="A1479" s="224">
        <v>4</v>
      </c>
      <c r="B1479" s="224">
        <v>4830607</v>
      </c>
      <c r="C1479" s="224">
        <v>483060700</v>
      </c>
      <c r="D1479" s="224" t="s">
        <v>686</v>
      </c>
      <c r="E1479" s="224" t="s">
        <v>727</v>
      </c>
      <c r="F1479" s="224" t="s">
        <v>730</v>
      </c>
      <c r="G1479" s="224" t="s">
        <v>731</v>
      </c>
      <c r="H1479" s="224"/>
      <c r="I1479" s="229">
        <v>0</v>
      </c>
      <c r="J1479" s="229">
        <v>0</v>
      </c>
      <c r="K1479" s="229">
        <v>0</v>
      </c>
      <c r="L1479" s="229">
        <v>0</v>
      </c>
      <c r="M1479" s="229">
        <v>0</v>
      </c>
      <c r="N1479" s="229">
        <v>0</v>
      </c>
      <c r="O1479" s="229">
        <v>0</v>
      </c>
      <c r="P1479" s="229">
        <v>0</v>
      </c>
      <c r="Q1479" s="279">
        <v>0</v>
      </c>
    </row>
    <row r="1480" spans="1:17" customFormat="1">
      <c r="A1480" s="224">
        <v>4</v>
      </c>
      <c r="B1480" s="224">
        <v>4830608</v>
      </c>
      <c r="C1480" s="224">
        <v>483060800</v>
      </c>
      <c r="D1480" s="224" t="s">
        <v>686</v>
      </c>
      <c r="E1480" s="224" t="s">
        <v>727</v>
      </c>
      <c r="F1480" s="224" t="s">
        <v>730</v>
      </c>
      <c r="G1480" s="224" t="s">
        <v>732</v>
      </c>
      <c r="H1480" s="224"/>
      <c r="I1480" s="229">
        <v>0</v>
      </c>
      <c r="J1480" s="229">
        <v>0</v>
      </c>
      <c r="K1480" s="229">
        <v>0</v>
      </c>
      <c r="L1480" s="229">
        <v>0</v>
      </c>
      <c r="M1480" s="229">
        <v>0</v>
      </c>
      <c r="N1480" s="229">
        <v>0</v>
      </c>
      <c r="O1480" s="229">
        <v>0</v>
      </c>
      <c r="P1480" s="229">
        <v>0</v>
      </c>
      <c r="Q1480" s="279">
        <v>0</v>
      </c>
    </row>
    <row r="1481" spans="1:17" customFormat="1">
      <c r="A1481" s="224">
        <v>4</v>
      </c>
      <c r="B1481" s="224">
        <v>4830808</v>
      </c>
      <c r="C1481" s="224">
        <v>483080800</v>
      </c>
      <c r="D1481" s="224" t="s">
        <v>686</v>
      </c>
      <c r="E1481" s="224" t="s">
        <v>727</v>
      </c>
      <c r="F1481" s="224" t="s">
        <v>733</v>
      </c>
      <c r="G1481" s="224" t="s">
        <v>733</v>
      </c>
      <c r="H1481" s="224"/>
      <c r="I1481" s="229">
        <v>0</v>
      </c>
      <c r="J1481" s="229">
        <v>0</v>
      </c>
      <c r="K1481" s="229">
        <v>0</v>
      </c>
      <c r="L1481" s="229">
        <v>0</v>
      </c>
      <c r="M1481" s="229">
        <v>0</v>
      </c>
      <c r="N1481" s="229">
        <v>0</v>
      </c>
      <c r="O1481" s="229">
        <v>0</v>
      </c>
      <c r="P1481" s="229">
        <v>0</v>
      </c>
      <c r="Q1481" s="279">
        <v>0</v>
      </c>
    </row>
    <row r="1482" spans="1:17" customFormat="1">
      <c r="A1482" s="224">
        <v>4</v>
      </c>
      <c r="B1482" s="224">
        <v>6155277</v>
      </c>
      <c r="C1482" s="224">
        <v>615527700</v>
      </c>
      <c r="D1482" s="224" t="s">
        <v>734</v>
      </c>
      <c r="E1482" s="224" t="s">
        <v>735</v>
      </c>
      <c r="F1482" s="224" t="s">
        <v>785</v>
      </c>
      <c r="G1482" s="224" t="s">
        <v>786</v>
      </c>
      <c r="H1482" s="224"/>
      <c r="I1482" s="229">
        <v>0</v>
      </c>
      <c r="J1482" s="229">
        <v>0</v>
      </c>
      <c r="K1482" s="229">
        <v>0</v>
      </c>
      <c r="L1482" s="229">
        <v>0</v>
      </c>
      <c r="M1482" s="229">
        <v>0</v>
      </c>
      <c r="N1482" s="229">
        <v>0</v>
      </c>
      <c r="O1482" s="229">
        <v>0</v>
      </c>
      <c r="P1482" s="229">
        <v>0</v>
      </c>
      <c r="Q1482" s="279">
        <v>0</v>
      </c>
    </row>
    <row r="1483" spans="1:17" customFormat="1">
      <c r="A1483" s="224">
        <v>4</v>
      </c>
      <c r="B1483" s="224">
        <v>6155278</v>
      </c>
      <c r="C1483" s="224">
        <v>615527800</v>
      </c>
      <c r="D1483" s="224" t="s">
        <v>734</v>
      </c>
      <c r="E1483" s="224" t="s">
        <v>735</v>
      </c>
      <c r="F1483" s="224" t="s">
        <v>785</v>
      </c>
      <c r="G1483" s="224" t="s">
        <v>787</v>
      </c>
      <c r="H1483" s="224"/>
      <c r="I1483" s="229">
        <v>0</v>
      </c>
      <c r="J1483" s="229">
        <v>0</v>
      </c>
      <c r="K1483" s="229">
        <v>0</v>
      </c>
      <c r="L1483" s="229">
        <v>0</v>
      </c>
      <c r="M1483" s="229">
        <v>0</v>
      </c>
      <c r="N1483" s="229">
        <v>0</v>
      </c>
      <c r="O1483" s="229">
        <v>0</v>
      </c>
      <c r="P1483" s="229">
        <v>0</v>
      </c>
      <c r="Q1483" s="279">
        <v>0</v>
      </c>
    </row>
    <row r="1484" spans="1:17" customFormat="1">
      <c r="A1484" s="224">
        <v>4</v>
      </c>
      <c r="B1484" s="224">
        <v>6155301</v>
      </c>
      <c r="C1484" s="224">
        <v>615530102</v>
      </c>
      <c r="D1484" s="224" t="s">
        <v>734</v>
      </c>
      <c r="E1484" s="224" t="s">
        <v>735</v>
      </c>
      <c r="F1484" s="224" t="s">
        <v>851</v>
      </c>
      <c r="G1484" s="224" t="s">
        <v>112</v>
      </c>
      <c r="H1484" s="224" t="s">
        <v>737</v>
      </c>
      <c r="I1484" s="229">
        <v>0</v>
      </c>
      <c r="J1484" s="229">
        <v>0</v>
      </c>
      <c r="K1484" s="229">
        <v>0</v>
      </c>
      <c r="L1484" s="229">
        <v>0</v>
      </c>
      <c r="M1484" s="229">
        <v>0</v>
      </c>
      <c r="N1484" s="229">
        <v>0</v>
      </c>
      <c r="O1484" s="229">
        <v>0</v>
      </c>
      <c r="P1484" s="229">
        <v>0</v>
      </c>
      <c r="Q1484" s="279">
        <v>0</v>
      </c>
    </row>
    <row r="1485" spans="1:17" customFormat="1">
      <c r="A1485" s="224">
        <v>4</v>
      </c>
      <c r="B1485" s="224">
        <v>6155301</v>
      </c>
      <c r="C1485" s="224">
        <v>615530103</v>
      </c>
      <c r="D1485" s="224" t="s">
        <v>734</v>
      </c>
      <c r="E1485" s="224" t="s">
        <v>735</v>
      </c>
      <c r="F1485" s="224" t="s">
        <v>851</v>
      </c>
      <c r="G1485" s="224" t="s">
        <v>112</v>
      </c>
      <c r="H1485" s="224" t="s">
        <v>738</v>
      </c>
      <c r="I1485" s="229">
        <v>0</v>
      </c>
      <c r="J1485" s="229">
        <v>0</v>
      </c>
      <c r="K1485" s="229">
        <v>0</v>
      </c>
      <c r="L1485" s="229">
        <v>0</v>
      </c>
      <c r="M1485" s="229">
        <v>0</v>
      </c>
      <c r="N1485" s="229">
        <v>0</v>
      </c>
      <c r="O1485" s="229">
        <v>0</v>
      </c>
      <c r="P1485" s="229">
        <v>0</v>
      </c>
      <c r="Q1485" s="279">
        <v>0</v>
      </c>
    </row>
    <row r="1486" spans="1:17" customFormat="1">
      <c r="A1486" s="224">
        <v>4</v>
      </c>
      <c r="B1486" s="224">
        <v>6155301</v>
      </c>
      <c r="C1486" s="224">
        <v>615530104</v>
      </c>
      <c r="D1486" s="224" t="s">
        <v>734</v>
      </c>
      <c r="E1486" s="224" t="s">
        <v>735</v>
      </c>
      <c r="F1486" s="224" t="s">
        <v>851</v>
      </c>
      <c r="G1486" s="224" t="s">
        <v>112</v>
      </c>
      <c r="H1486" s="224" t="s">
        <v>739</v>
      </c>
      <c r="I1486" s="229">
        <v>0</v>
      </c>
      <c r="J1486" s="229">
        <v>0</v>
      </c>
      <c r="K1486" s="229">
        <v>0</v>
      </c>
      <c r="L1486" s="229">
        <v>0</v>
      </c>
      <c r="M1486" s="229">
        <v>0</v>
      </c>
      <c r="N1486" s="229">
        <v>0</v>
      </c>
      <c r="O1486" s="229">
        <v>0</v>
      </c>
      <c r="P1486" s="229">
        <v>0</v>
      </c>
      <c r="Q1486" s="279">
        <v>0</v>
      </c>
    </row>
    <row r="1487" spans="1:17" customFormat="1">
      <c r="A1487" s="236">
        <v>4</v>
      </c>
      <c r="B1487" s="236">
        <v>6155301</v>
      </c>
      <c r="C1487" s="236">
        <v>615530105</v>
      </c>
      <c r="D1487" s="236" t="s">
        <v>734</v>
      </c>
      <c r="E1487" s="236" t="s">
        <v>735</v>
      </c>
      <c r="F1487" s="236" t="s">
        <v>851</v>
      </c>
      <c r="G1487" s="236" t="s">
        <v>112</v>
      </c>
      <c r="H1487" s="236" t="s">
        <v>740</v>
      </c>
      <c r="I1487" s="229">
        <v>2110500</v>
      </c>
      <c r="J1487" s="229">
        <v>0</v>
      </c>
      <c r="K1487" s="229">
        <v>0</v>
      </c>
      <c r="L1487" s="229">
        <v>0</v>
      </c>
      <c r="M1487" s="229">
        <v>0</v>
      </c>
      <c r="N1487" s="229">
        <v>0</v>
      </c>
      <c r="O1487" s="229">
        <v>0</v>
      </c>
      <c r="P1487" s="229">
        <v>2110500</v>
      </c>
      <c r="Q1487" s="279">
        <v>0</v>
      </c>
    </row>
    <row r="1488" spans="1:17" customFormat="1">
      <c r="A1488" s="224">
        <v>4</v>
      </c>
      <c r="B1488" s="224">
        <v>6155302</v>
      </c>
      <c r="C1488" s="224">
        <v>615530202</v>
      </c>
      <c r="D1488" s="224" t="s">
        <v>734</v>
      </c>
      <c r="E1488" s="224" t="s">
        <v>735</v>
      </c>
      <c r="F1488" s="224" t="s">
        <v>851</v>
      </c>
      <c r="G1488" s="224" t="s">
        <v>110</v>
      </c>
      <c r="H1488" s="224" t="s">
        <v>741</v>
      </c>
      <c r="I1488" s="229">
        <v>2474400</v>
      </c>
      <c r="J1488" s="229">
        <v>0</v>
      </c>
      <c r="K1488" s="229">
        <v>0</v>
      </c>
      <c r="L1488" s="229">
        <v>0</v>
      </c>
      <c r="M1488" s="229">
        <v>0</v>
      </c>
      <c r="N1488" s="229">
        <v>0</v>
      </c>
      <c r="O1488" s="229">
        <v>0</v>
      </c>
      <c r="P1488" s="229">
        <v>2474400</v>
      </c>
      <c r="Q1488" s="279">
        <v>0</v>
      </c>
    </row>
    <row r="1489" spans="1:17" customFormat="1">
      <c r="A1489" s="224">
        <v>4</v>
      </c>
      <c r="B1489" s="224">
        <v>6155303</v>
      </c>
      <c r="C1489" s="224">
        <v>615530301</v>
      </c>
      <c r="D1489" s="224" t="s">
        <v>734</v>
      </c>
      <c r="E1489" s="224" t="s">
        <v>735</v>
      </c>
      <c r="F1489" s="224" t="s">
        <v>851</v>
      </c>
      <c r="G1489" s="224" t="s">
        <v>108</v>
      </c>
      <c r="H1489" s="224" t="s">
        <v>742</v>
      </c>
      <c r="I1489" s="229">
        <v>247440</v>
      </c>
      <c r="J1489" s="229">
        <v>0</v>
      </c>
      <c r="K1489" s="229">
        <v>0</v>
      </c>
      <c r="L1489" s="229">
        <v>0</v>
      </c>
      <c r="M1489" s="229">
        <v>0</v>
      </c>
      <c r="N1489" s="229">
        <v>0</v>
      </c>
      <c r="O1489" s="229">
        <v>0</v>
      </c>
      <c r="P1489" s="229">
        <v>247440</v>
      </c>
      <c r="Q1489" s="279">
        <v>0</v>
      </c>
    </row>
    <row r="1490" spans="1:17" customFormat="1">
      <c r="A1490" s="224">
        <v>4</v>
      </c>
      <c r="B1490" s="224">
        <v>6155303</v>
      </c>
      <c r="C1490" s="224">
        <v>615530302</v>
      </c>
      <c r="D1490" s="224" t="s">
        <v>734</v>
      </c>
      <c r="E1490" s="224" t="s">
        <v>735</v>
      </c>
      <c r="F1490" s="224" t="s">
        <v>851</v>
      </c>
      <c r="G1490" s="224" t="s">
        <v>108</v>
      </c>
      <c r="H1490" s="224" t="s">
        <v>743</v>
      </c>
      <c r="I1490" s="229">
        <v>0</v>
      </c>
      <c r="J1490" s="229">
        <v>0</v>
      </c>
      <c r="K1490" s="229">
        <v>0</v>
      </c>
      <c r="L1490" s="229">
        <v>0</v>
      </c>
      <c r="M1490" s="229">
        <v>0</v>
      </c>
      <c r="N1490" s="229">
        <v>0</v>
      </c>
      <c r="O1490" s="229">
        <v>0</v>
      </c>
      <c r="P1490" s="229">
        <v>0</v>
      </c>
      <c r="Q1490" s="279">
        <v>0</v>
      </c>
    </row>
    <row r="1491" spans="1:17" customFormat="1">
      <c r="A1491" s="224">
        <v>4</v>
      </c>
      <c r="B1491" s="224">
        <v>6155303</v>
      </c>
      <c r="C1491" s="224">
        <v>615530303</v>
      </c>
      <c r="D1491" s="224" t="s">
        <v>734</v>
      </c>
      <c r="E1491" s="224" t="s">
        <v>735</v>
      </c>
      <c r="F1491" s="224" t="s">
        <v>851</v>
      </c>
      <c r="G1491" s="224" t="s">
        <v>108</v>
      </c>
      <c r="H1491" s="224" t="s">
        <v>744</v>
      </c>
      <c r="I1491" s="229">
        <v>1491572</v>
      </c>
      <c r="J1491" s="229">
        <v>0</v>
      </c>
      <c r="K1491" s="229">
        <v>0</v>
      </c>
      <c r="L1491" s="229">
        <v>0</v>
      </c>
      <c r="M1491" s="229">
        <v>0</v>
      </c>
      <c r="N1491" s="229">
        <v>0</v>
      </c>
      <c r="O1491" s="229">
        <v>0</v>
      </c>
      <c r="P1491" s="229">
        <v>1491572</v>
      </c>
      <c r="Q1491" s="279">
        <v>0</v>
      </c>
    </row>
    <row r="1492" spans="1:17" customFormat="1">
      <c r="A1492" s="224">
        <v>4</v>
      </c>
      <c r="B1492" s="224">
        <v>6155303</v>
      </c>
      <c r="C1492" s="224">
        <v>615530304</v>
      </c>
      <c r="D1492" s="224" t="s">
        <v>734</v>
      </c>
      <c r="E1492" s="224" t="s">
        <v>735</v>
      </c>
      <c r="F1492" s="224" t="s">
        <v>851</v>
      </c>
      <c r="G1492" s="224" t="s">
        <v>108</v>
      </c>
      <c r="H1492" s="224" t="s">
        <v>745</v>
      </c>
      <c r="I1492" s="229">
        <v>194020</v>
      </c>
      <c r="J1492" s="229">
        <v>0</v>
      </c>
      <c r="K1492" s="229">
        <v>0</v>
      </c>
      <c r="L1492" s="229">
        <v>0</v>
      </c>
      <c r="M1492" s="229">
        <v>0</v>
      </c>
      <c r="N1492" s="229">
        <v>194020</v>
      </c>
      <c r="O1492" s="229">
        <v>0</v>
      </c>
      <c r="P1492" s="229">
        <v>0</v>
      </c>
      <c r="Q1492" s="279">
        <v>0</v>
      </c>
    </row>
    <row r="1493" spans="1:17" customFormat="1">
      <c r="A1493" s="224">
        <v>4</v>
      </c>
      <c r="B1493" s="224">
        <v>6155303</v>
      </c>
      <c r="C1493" s="224">
        <v>615530305</v>
      </c>
      <c r="D1493" s="224" t="s">
        <v>734</v>
      </c>
      <c r="E1493" s="224" t="s">
        <v>735</v>
      </c>
      <c r="F1493" s="224" t="s">
        <v>851</v>
      </c>
      <c r="G1493" s="224" t="s">
        <v>108</v>
      </c>
      <c r="H1493" s="224" t="s">
        <v>746</v>
      </c>
      <c r="I1493" s="229">
        <v>0</v>
      </c>
      <c r="J1493" s="229">
        <v>0</v>
      </c>
      <c r="K1493" s="229">
        <v>0</v>
      </c>
      <c r="L1493" s="229">
        <v>0</v>
      </c>
      <c r="M1493" s="229">
        <v>0</v>
      </c>
      <c r="N1493" s="229">
        <v>0</v>
      </c>
      <c r="O1493" s="229">
        <v>0</v>
      </c>
      <c r="P1493" s="229">
        <v>0</v>
      </c>
      <c r="Q1493" s="279">
        <v>0</v>
      </c>
    </row>
    <row r="1494" spans="1:17" customFormat="1">
      <c r="A1494" s="224">
        <v>4</v>
      </c>
      <c r="B1494" s="224">
        <v>6155303</v>
      </c>
      <c r="C1494" s="224">
        <v>615530306</v>
      </c>
      <c r="D1494" s="224" t="s">
        <v>734</v>
      </c>
      <c r="E1494" s="224" t="s">
        <v>735</v>
      </c>
      <c r="F1494" s="224" t="s">
        <v>851</v>
      </c>
      <c r="G1494" s="224" t="s">
        <v>108</v>
      </c>
      <c r="H1494" s="224" t="s">
        <v>747</v>
      </c>
      <c r="I1494" s="229">
        <v>0</v>
      </c>
      <c r="J1494" s="229">
        <v>0</v>
      </c>
      <c r="K1494" s="229">
        <v>0</v>
      </c>
      <c r="L1494" s="229">
        <v>0</v>
      </c>
      <c r="M1494" s="229">
        <v>0</v>
      </c>
      <c r="N1494" s="229">
        <v>0</v>
      </c>
      <c r="O1494" s="229">
        <v>0</v>
      </c>
      <c r="P1494" s="229">
        <v>0</v>
      </c>
      <c r="Q1494" s="279">
        <v>0</v>
      </c>
    </row>
    <row r="1495" spans="1:17" customFormat="1">
      <c r="A1495" s="224">
        <v>4</v>
      </c>
      <c r="B1495" s="224">
        <v>6155303</v>
      </c>
      <c r="C1495" s="224">
        <v>615530307</v>
      </c>
      <c r="D1495" s="224" t="s">
        <v>734</v>
      </c>
      <c r="E1495" s="224" t="s">
        <v>735</v>
      </c>
      <c r="F1495" s="224" t="s">
        <v>851</v>
      </c>
      <c r="G1495" s="224" t="s">
        <v>108</v>
      </c>
      <c r="H1495" s="224" t="s">
        <v>748</v>
      </c>
      <c r="I1495" s="229">
        <v>0</v>
      </c>
      <c r="J1495" s="229">
        <v>0</v>
      </c>
      <c r="K1495" s="229">
        <v>0</v>
      </c>
      <c r="L1495" s="229">
        <v>0</v>
      </c>
      <c r="M1495" s="229">
        <v>0</v>
      </c>
      <c r="N1495" s="229">
        <v>0</v>
      </c>
      <c r="O1495" s="229">
        <v>0</v>
      </c>
      <c r="P1495" s="229">
        <v>0</v>
      </c>
      <c r="Q1495" s="279">
        <v>0</v>
      </c>
    </row>
    <row r="1496" spans="1:17" customFormat="1">
      <c r="A1496" s="224">
        <v>4</v>
      </c>
      <c r="B1496" s="224">
        <v>6155303</v>
      </c>
      <c r="C1496" s="224">
        <v>615530310</v>
      </c>
      <c r="D1496" s="224" t="s">
        <v>734</v>
      </c>
      <c r="E1496" s="224" t="s">
        <v>735</v>
      </c>
      <c r="F1496" s="224" t="s">
        <v>851</v>
      </c>
      <c r="G1496" s="224" t="s">
        <v>108</v>
      </c>
      <c r="H1496" s="224" t="s">
        <v>749</v>
      </c>
      <c r="I1496" s="229">
        <v>753722</v>
      </c>
      <c r="J1496" s="229">
        <v>0</v>
      </c>
      <c r="K1496" s="229">
        <v>0</v>
      </c>
      <c r="L1496" s="229">
        <v>0</v>
      </c>
      <c r="M1496" s="229">
        <v>0</v>
      </c>
      <c r="N1496" s="229">
        <v>0</v>
      </c>
      <c r="O1496" s="229">
        <v>0</v>
      </c>
      <c r="P1496" s="229">
        <v>753722</v>
      </c>
      <c r="Q1496" s="279">
        <v>0</v>
      </c>
    </row>
    <row r="1497" spans="1:17" customFormat="1">
      <c r="A1497" s="224">
        <v>4</v>
      </c>
      <c r="B1497" s="224">
        <v>6155303</v>
      </c>
      <c r="C1497" s="224">
        <v>615530311</v>
      </c>
      <c r="D1497" s="224" t="s">
        <v>734</v>
      </c>
      <c r="E1497" s="224" t="s">
        <v>735</v>
      </c>
      <c r="F1497" s="224" t="s">
        <v>851</v>
      </c>
      <c r="G1497" s="224" t="s">
        <v>108</v>
      </c>
      <c r="H1497" s="224" t="s">
        <v>750</v>
      </c>
      <c r="I1497" s="229">
        <v>0</v>
      </c>
      <c r="J1497" s="229">
        <v>0</v>
      </c>
      <c r="K1497" s="229">
        <v>0</v>
      </c>
      <c r="L1497" s="229">
        <v>0</v>
      </c>
      <c r="M1497" s="229">
        <v>0</v>
      </c>
      <c r="N1497" s="229">
        <v>0</v>
      </c>
      <c r="O1497" s="229">
        <v>0</v>
      </c>
      <c r="P1497" s="229">
        <v>0</v>
      </c>
      <c r="Q1497" s="279">
        <v>0</v>
      </c>
    </row>
    <row r="1498" spans="1:17" customFormat="1">
      <c r="A1498" s="224">
        <v>4</v>
      </c>
      <c r="B1498" s="224">
        <v>6155303</v>
      </c>
      <c r="C1498" s="224">
        <v>615530314</v>
      </c>
      <c r="D1498" s="224" t="s">
        <v>734</v>
      </c>
      <c r="E1498" s="224" t="s">
        <v>735</v>
      </c>
      <c r="F1498" s="224" t="s">
        <v>851</v>
      </c>
      <c r="G1498" s="224" t="s">
        <v>108</v>
      </c>
      <c r="H1498" s="224" t="s">
        <v>751</v>
      </c>
      <c r="I1498" s="229">
        <v>324000</v>
      </c>
      <c r="J1498" s="229">
        <v>0</v>
      </c>
      <c r="K1498" s="229">
        <v>0</v>
      </c>
      <c r="L1498" s="229">
        <v>0</v>
      </c>
      <c r="M1498" s="229">
        <v>0</v>
      </c>
      <c r="N1498" s="229">
        <v>0</v>
      </c>
      <c r="O1498" s="229">
        <v>0</v>
      </c>
      <c r="P1498" s="229">
        <v>324000</v>
      </c>
      <c r="Q1498" s="279">
        <v>0</v>
      </c>
    </row>
    <row r="1499" spans="1:17" customFormat="1">
      <c r="A1499" s="224">
        <v>4</v>
      </c>
      <c r="B1499" s="224">
        <v>6155303</v>
      </c>
      <c r="C1499" s="224">
        <v>615530315</v>
      </c>
      <c r="D1499" s="224" t="s">
        <v>734</v>
      </c>
      <c r="E1499" s="224" t="s">
        <v>735</v>
      </c>
      <c r="F1499" s="224" t="s">
        <v>851</v>
      </c>
      <c r="G1499" s="224" t="s">
        <v>108</v>
      </c>
      <c r="H1499" s="224" t="s">
        <v>752</v>
      </c>
      <c r="I1499" s="229">
        <v>0</v>
      </c>
      <c r="J1499" s="229">
        <v>0</v>
      </c>
      <c r="K1499" s="229">
        <v>0</v>
      </c>
      <c r="L1499" s="229">
        <v>0</v>
      </c>
      <c r="M1499" s="229">
        <v>0</v>
      </c>
      <c r="N1499" s="229">
        <v>0</v>
      </c>
      <c r="O1499" s="229">
        <v>0</v>
      </c>
      <c r="P1499" s="229">
        <v>0</v>
      </c>
      <c r="Q1499" s="279">
        <v>0</v>
      </c>
    </row>
    <row r="1500" spans="1:17" customFormat="1">
      <c r="A1500" s="224">
        <v>4</v>
      </c>
      <c r="B1500" s="224">
        <v>6155303</v>
      </c>
      <c r="C1500" s="224">
        <v>615530316</v>
      </c>
      <c r="D1500" s="224" t="s">
        <v>734</v>
      </c>
      <c r="E1500" s="224" t="s">
        <v>735</v>
      </c>
      <c r="F1500" s="224" t="s">
        <v>851</v>
      </c>
      <c r="G1500" s="224" t="s">
        <v>108</v>
      </c>
      <c r="H1500" s="224" t="s">
        <v>753</v>
      </c>
      <c r="I1500" s="229">
        <v>0</v>
      </c>
      <c r="J1500" s="229">
        <v>0</v>
      </c>
      <c r="K1500" s="229">
        <v>0</v>
      </c>
      <c r="L1500" s="229">
        <v>0</v>
      </c>
      <c r="M1500" s="229">
        <v>0</v>
      </c>
      <c r="N1500" s="229">
        <v>0</v>
      </c>
      <c r="O1500" s="229">
        <v>0</v>
      </c>
      <c r="P1500" s="229">
        <v>0</v>
      </c>
      <c r="Q1500" s="279">
        <v>0</v>
      </c>
    </row>
    <row r="1501" spans="1:17" customFormat="1">
      <c r="A1501" s="224">
        <v>4</v>
      </c>
      <c r="B1501" s="224">
        <v>6155303</v>
      </c>
      <c r="C1501" s="224">
        <v>615530319</v>
      </c>
      <c r="D1501" s="224" t="s">
        <v>734</v>
      </c>
      <c r="E1501" s="224" t="s">
        <v>735</v>
      </c>
      <c r="F1501" s="224" t="s">
        <v>851</v>
      </c>
      <c r="G1501" s="224" t="s">
        <v>108</v>
      </c>
      <c r="H1501" s="224" t="s">
        <v>754</v>
      </c>
      <c r="I1501" s="229">
        <v>0</v>
      </c>
      <c r="J1501" s="229">
        <v>0</v>
      </c>
      <c r="K1501" s="229">
        <v>0</v>
      </c>
      <c r="L1501" s="229">
        <v>0</v>
      </c>
      <c r="M1501" s="229">
        <v>0</v>
      </c>
      <c r="N1501" s="229">
        <v>0</v>
      </c>
      <c r="O1501" s="229">
        <v>0</v>
      </c>
      <c r="P1501" s="229">
        <v>0</v>
      </c>
      <c r="Q1501" s="279">
        <v>0</v>
      </c>
    </row>
    <row r="1502" spans="1:17" customFormat="1">
      <c r="A1502" s="224">
        <v>4</v>
      </c>
      <c r="B1502" s="224">
        <v>6155304</v>
      </c>
      <c r="C1502" s="224">
        <v>615530401</v>
      </c>
      <c r="D1502" s="224" t="s">
        <v>734</v>
      </c>
      <c r="E1502" s="224" t="s">
        <v>735</v>
      </c>
      <c r="F1502" s="224" t="s">
        <v>851</v>
      </c>
      <c r="G1502" s="224" t="s">
        <v>106</v>
      </c>
      <c r="H1502" s="224" t="s">
        <v>755</v>
      </c>
      <c r="I1502" s="229">
        <v>709013</v>
      </c>
      <c r="J1502" s="229">
        <v>0</v>
      </c>
      <c r="K1502" s="229">
        <v>0</v>
      </c>
      <c r="L1502" s="229">
        <v>0</v>
      </c>
      <c r="M1502" s="229">
        <v>0</v>
      </c>
      <c r="N1502" s="229">
        <v>0</v>
      </c>
      <c r="O1502" s="229">
        <v>709013</v>
      </c>
      <c r="P1502" s="229">
        <v>0</v>
      </c>
      <c r="Q1502" s="279">
        <v>0</v>
      </c>
    </row>
    <row r="1503" spans="1:17" customFormat="1">
      <c r="A1503" s="224">
        <v>4</v>
      </c>
      <c r="B1503" s="224">
        <v>6155304</v>
      </c>
      <c r="C1503" s="224">
        <v>615530402</v>
      </c>
      <c r="D1503" s="224" t="s">
        <v>734</v>
      </c>
      <c r="E1503" s="224" t="s">
        <v>735</v>
      </c>
      <c r="F1503" s="224" t="s">
        <v>851</v>
      </c>
      <c r="G1503" s="224" t="s">
        <v>106</v>
      </c>
      <c r="H1503" s="224" t="s">
        <v>756</v>
      </c>
      <c r="I1503" s="229">
        <v>6576</v>
      </c>
      <c r="J1503" s="229">
        <v>0</v>
      </c>
      <c r="K1503" s="229">
        <v>0</v>
      </c>
      <c r="L1503" s="229">
        <v>0</v>
      </c>
      <c r="M1503" s="229">
        <v>0</v>
      </c>
      <c r="N1503" s="229">
        <v>0</v>
      </c>
      <c r="O1503" s="229">
        <v>0</v>
      </c>
      <c r="P1503" s="229">
        <v>6576</v>
      </c>
      <c r="Q1503" s="279">
        <v>0</v>
      </c>
    </row>
    <row r="1504" spans="1:17" customFormat="1">
      <c r="A1504" s="224">
        <v>4</v>
      </c>
      <c r="B1504" s="224">
        <v>6155304</v>
      </c>
      <c r="C1504" s="224">
        <v>615530403</v>
      </c>
      <c r="D1504" s="224" t="s">
        <v>734</v>
      </c>
      <c r="E1504" s="224" t="s">
        <v>735</v>
      </c>
      <c r="F1504" s="224" t="s">
        <v>851</v>
      </c>
      <c r="G1504" s="224" t="s">
        <v>106</v>
      </c>
      <c r="H1504" s="224" t="s">
        <v>757</v>
      </c>
      <c r="I1504" s="229">
        <v>0</v>
      </c>
      <c r="J1504" s="229">
        <v>0</v>
      </c>
      <c r="K1504" s="229">
        <v>0</v>
      </c>
      <c r="L1504" s="229">
        <v>0</v>
      </c>
      <c r="M1504" s="229">
        <v>0</v>
      </c>
      <c r="N1504" s="229">
        <v>0</v>
      </c>
      <c r="O1504" s="229">
        <v>0</v>
      </c>
      <c r="P1504" s="229">
        <v>0</v>
      </c>
      <c r="Q1504" s="279">
        <v>0</v>
      </c>
    </row>
    <row r="1505" spans="1:17" customFormat="1">
      <c r="A1505" s="224">
        <v>4</v>
      </c>
      <c r="B1505" s="224">
        <v>6155304</v>
      </c>
      <c r="C1505" s="224">
        <v>615530405</v>
      </c>
      <c r="D1505" s="224" t="s">
        <v>734</v>
      </c>
      <c r="E1505" s="224" t="s">
        <v>735</v>
      </c>
      <c r="F1505" s="224" t="s">
        <v>851</v>
      </c>
      <c r="G1505" s="224" t="s">
        <v>106</v>
      </c>
      <c r="H1505" s="224" t="s">
        <v>758</v>
      </c>
      <c r="I1505" s="229">
        <v>0</v>
      </c>
      <c r="J1505" s="229">
        <v>0</v>
      </c>
      <c r="K1505" s="229">
        <v>0</v>
      </c>
      <c r="L1505" s="229">
        <v>0</v>
      </c>
      <c r="M1505" s="229">
        <v>0</v>
      </c>
      <c r="N1505" s="229">
        <v>0</v>
      </c>
      <c r="O1505" s="229">
        <v>0</v>
      </c>
      <c r="P1505" s="229">
        <v>0</v>
      </c>
      <c r="Q1505" s="279">
        <v>0</v>
      </c>
    </row>
    <row r="1506" spans="1:17" customFormat="1">
      <c r="A1506" s="224">
        <v>4</v>
      </c>
      <c r="B1506" s="224">
        <v>6155304</v>
      </c>
      <c r="C1506" s="224">
        <v>615530406</v>
      </c>
      <c r="D1506" s="224" t="s">
        <v>734</v>
      </c>
      <c r="E1506" s="224" t="s">
        <v>735</v>
      </c>
      <c r="F1506" s="224" t="s">
        <v>851</v>
      </c>
      <c r="G1506" s="224" t="s">
        <v>106</v>
      </c>
      <c r="H1506" s="224" t="s">
        <v>759</v>
      </c>
      <c r="I1506" s="229">
        <v>26372</v>
      </c>
      <c r="J1506" s="229">
        <v>0</v>
      </c>
      <c r="K1506" s="229">
        <v>0</v>
      </c>
      <c r="L1506" s="229">
        <v>0</v>
      </c>
      <c r="M1506" s="229">
        <v>0</v>
      </c>
      <c r="N1506" s="229">
        <v>0</v>
      </c>
      <c r="O1506" s="229">
        <v>26372</v>
      </c>
      <c r="P1506" s="229">
        <v>0</v>
      </c>
      <c r="Q1506" s="279">
        <v>0</v>
      </c>
    </row>
    <row r="1507" spans="1:17" customFormat="1">
      <c r="A1507" s="224">
        <v>4</v>
      </c>
      <c r="B1507" s="224">
        <v>6155304</v>
      </c>
      <c r="C1507" s="224">
        <v>615530407</v>
      </c>
      <c r="D1507" s="224" t="s">
        <v>734</v>
      </c>
      <c r="E1507" s="224" t="s">
        <v>735</v>
      </c>
      <c r="F1507" s="224" t="s">
        <v>851</v>
      </c>
      <c r="G1507" s="224" t="s">
        <v>106</v>
      </c>
      <c r="H1507" s="224" t="s">
        <v>760</v>
      </c>
      <c r="I1507" s="229">
        <v>250253</v>
      </c>
      <c r="J1507" s="229">
        <v>0</v>
      </c>
      <c r="K1507" s="229">
        <v>0</v>
      </c>
      <c r="L1507" s="229">
        <v>0</v>
      </c>
      <c r="M1507" s="229">
        <v>0</v>
      </c>
      <c r="N1507" s="229">
        <v>0</v>
      </c>
      <c r="O1507" s="229">
        <v>250253</v>
      </c>
      <c r="P1507" s="229">
        <v>0</v>
      </c>
      <c r="Q1507" s="279">
        <v>0</v>
      </c>
    </row>
    <row r="1508" spans="1:17" customFormat="1">
      <c r="A1508" s="224">
        <v>4</v>
      </c>
      <c r="B1508" s="224">
        <v>6155304</v>
      </c>
      <c r="C1508" s="224">
        <v>615530408</v>
      </c>
      <c r="D1508" s="224" t="s">
        <v>734</v>
      </c>
      <c r="E1508" s="224" t="s">
        <v>735</v>
      </c>
      <c r="F1508" s="224" t="s">
        <v>851</v>
      </c>
      <c r="G1508" s="224" t="s">
        <v>106</v>
      </c>
      <c r="H1508" s="224" t="s">
        <v>761</v>
      </c>
      <c r="I1508" s="229">
        <v>9845</v>
      </c>
      <c r="J1508" s="229">
        <v>0</v>
      </c>
      <c r="K1508" s="229">
        <v>0</v>
      </c>
      <c r="L1508" s="229">
        <v>0</v>
      </c>
      <c r="M1508" s="229">
        <v>0</v>
      </c>
      <c r="N1508" s="229">
        <v>0</v>
      </c>
      <c r="O1508" s="229">
        <v>9845</v>
      </c>
      <c r="P1508" s="229">
        <v>0</v>
      </c>
      <c r="Q1508" s="279">
        <v>0</v>
      </c>
    </row>
    <row r="1509" spans="1:17" customFormat="1">
      <c r="A1509" s="224">
        <v>4</v>
      </c>
      <c r="B1509" s="224">
        <v>6155304</v>
      </c>
      <c r="C1509" s="224">
        <v>615530410</v>
      </c>
      <c r="D1509" s="224" t="s">
        <v>734</v>
      </c>
      <c r="E1509" s="224" t="s">
        <v>735</v>
      </c>
      <c r="F1509" s="224" t="s">
        <v>851</v>
      </c>
      <c r="G1509" s="224" t="s">
        <v>106</v>
      </c>
      <c r="H1509" s="224" t="s">
        <v>762</v>
      </c>
      <c r="I1509" s="229">
        <v>352921</v>
      </c>
      <c r="J1509" s="229">
        <v>0</v>
      </c>
      <c r="K1509" s="229">
        <v>0</v>
      </c>
      <c r="L1509" s="229">
        <v>0</v>
      </c>
      <c r="M1509" s="229">
        <v>0</v>
      </c>
      <c r="N1509" s="229">
        <v>0</v>
      </c>
      <c r="O1509" s="229">
        <v>352921</v>
      </c>
      <c r="P1509" s="229">
        <v>0</v>
      </c>
      <c r="Q1509" s="279">
        <v>0</v>
      </c>
    </row>
    <row r="1510" spans="1:17" customFormat="1">
      <c r="A1510" s="224">
        <v>4</v>
      </c>
      <c r="B1510" s="224">
        <v>6155304</v>
      </c>
      <c r="C1510" s="224">
        <v>615530411</v>
      </c>
      <c r="D1510" s="224" t="s">
        <v>734</v>
      </c>
      <c r="E1510" s="224" t="s">
        <v>735</v>
      </c>
      <c r="F1510" s="224" t="s">
        <v>851</v>
      </c>
      <c r="G1510" s="224" t="s">
        <v>106</v>
      </c>
      <c r="H1510" s="224" t="s">
        <v>763</v>
      </c>
      <c r="I1510" s="229">
        <v>0</v>
      </c>
      <c r="J1510" s="229">
        <v>0</v>
      </c>
      <c r="K1510" s="229">
        <v>0</v>
      </c>
      <c r="L1510" s="229">
        <v>0</v>
      </c>
      <c r="M1510" s="229">
        <v>0</v>
      </c>
      <c r="N1510" s="229">
        <v>0</v>
      </c>
      <c r="O1510" s="229">
        <v>0</v>
      </c>
      <c r="P1510" s="229">
        <v>0</v>
      </c>
      <c r="Q1510" s="279">
        <v>0</v>
      </c>
    </row>
    <row r="1511" spans="1:17" customFormat="1">
      <c r="A1511" s="224">
        <v>4</v>
      </c>
      <c r="B1511" s="224">
        <v>6155305</v>
      </c>
      <c r="C1511" s="224">
        <v>615530500</v>
      </c>
      <c r="D1511" s="224" t="s">
        <v>734</v>
      </c>
      <c r="E1511" s="224" t="s">
        <v>735</v>
      </c>
      <c r="F1511" s="224" t="s">
        <v>851</v>
      </c>
      <c r="G1511" s="224" t="s">
        <v>104</v>
      </c>
      <c r="H1511" s="224"/>
      <c r="I1511" s="229">
        <v>0</v>
      </c>
      <c r="J1511" s="229">
        <v>0</v>
      </c>
      <c r="K1511" s="229">
        <v>0</v>
      </c>
      <c r="L1511" s="229">
        <v>0</v>
      </c>
      <c r="M1511" s="229">
        <v>0</v>
      </c>
      <c r="N1511" s="229">
        <v>0</v>
      </c>
      <c r="O1511" s="229">
        <v>0</v>
      </c>
      <c r="P1511" s="229">
        <v>0</v>
      </c>
      <c r="Q1511" s="279">
        <v>0</v>
      </c>
    </row>
    <row r="1512" spans="1:17" customFormat="1">
      <c r="A1512" s="224">
        <v>4</v>
      </c>
      <c r="B1512" s="224">
        <v>6155307</v>
      </c>
      <c r="C1512" s="224">
        <v>615530700</v>
      </c>
      <c r="D1512" s="224" t="s">
        <v>734</v>
      </c>
      <c r="E1512" s="224" t="s">
        <v>735</v>
      </c>
      <c r="F1512" s="224" t="s">
        <v>851</v>
      </c>
      <c r="G1512" s="224" t="s">
        <v>102</v>
      </c>
      <c r="H1512" s="224"/>
      <c r="I1512" s="229">
        <v>0</v>
      </c>
      <c r="J1512" s="229">
        <v>0</v>
      </c>
      <c r="K1512" s="229">
        <v>0</v>
      </c>
      <c r="L1512" s="229">
        <v>0</v>
      </c>
      <c r="M1512" s="229">
        <v>0</v>
      </c>
      <c r="N1512" s="229">
        <v>0</v>
      </c>
      <c r="O1512" s="229">
        <v>0</v>
      </c>
      <c r="P1512" s="229">
        <v>0</v>
      </c>
      <c r="Q1512" s="279">
        <v>0</v>
      </c>
    </row>
    <row r="1513" spans="1:17" customFormat="1">
      <c r="A1513" s="224">
        <v>4</v>
      </c>
      <c r="B1513" s="224">
        <v>6155308</v>
      </c>
      <c r="C1513" s="224">
        <v>615530800</v>
      </c>
      <c r="D1513" s="224" t="s">
        <v>734</v>
      </c>
      <c r="E1513" s="224" t="s">
        <v>735</v>
      </c>
      <c r="F1513" s="224" t="s">
        <v>851</v>
      </c>
      <c r="G1513" s="224" t="s">
        <v>100</v>
      </c>
      <c r="H1513" s="224"/>
      <c r="I1513" s="229">
        <v>240000</v>
      </c>
      <c r="J1513" s="229">
        <v>0</v>
      </c>
      <c r="K1513" s="229">
        <v>0</v>
      </c>
      <c r="L1513" s="229">
        <v>0</v>
      </c>
      <c r="M1513" s="229">
        <v>0</v>
      </c>
      <c r="N1513" s="229">
        <v>0</v>
      </c>
      <c r="O1513" s="229">
        <v>0</v>
      </c>
      <c r="P1513" s="229">
        <v>240000</v>
      </c>
      <c r="Q1513" s="279">
        <v>0</v>
      </c>
    </row>
    <row r="1514" spans="1:17" customFormat="1">
      <c r="A1514" s="224">
        <v>4</v>
      </c>
      <c r="B1514" s="224">
        <v>6155310</v>
      </c>
      <c r="C1514" s="224">
        <v>615531001</v>
      </c>
      <c r="D1514" s="224" t="s">
        <v>734</v>
      </c>
      <c r="E1514" s="224" t="s">
        <v>735</v>
      </c>
      <c r="F1514" s="224" t="s">
        <v>851</v>
      </c>
      <c r="G1514" s="224" t="s">
        <v>764</v>
      </c>
      <c r="H1514" s="224" t="s">
        <v>98</v>
      </c>
      <c r="I1514" s="229">
        <v>0</v>
      </c>
      <c r="J1514" s="229">
        <v>0</v>
      </c>
      <c r="K1514" s="229">
        <v>0</v>
      </c>
      <c r="L1514" s="229">
        <v>0</v>
      </c>
      <c r="M1514" s="229">
        <v>0</v>
      </c>
      <c r="N1514" s="229">
        <v>0</v>
      </c>
      <c r="O1514" s="229">
        <v>0</v>
      </c>
      <c r="P1514" s="229">
        <v>0</v>
      </c>
      <c r="Q1514" s="279">
        <v>0</v>
      </c>
    </row>
    <row r="1515" spans="1:17" customFormat="1">
      <c r="A1515" s="224">
        <v>4</v>
      </c>
      <c r="B1515" s="224">
        <v>6155310</v>
      </c>
      <c r="C1515" s="224">
        <v>615531002</v>
      </c>
      <c r="D1515" s="224" t="s">
        <v>734</v>
      </c>
      <c r="E1515" s="224" t="s">
        <v>735</v>
      </c>
      <c r="F1515" s="224" t="s">
        <v>851</v>
      </c>
      <c r="G1515" s="224" t="s">
        <v>764</v>
      </c>
      <c r="H1515" s="224" t="s">
        <v>95</v>
      </c>
      <c r="I1515" s="229">
        <v>0</v>
      </c>
      <c r="J1515" s="229">
        <v>0</v>
      </c>
      <c r="K1515" s="229">
        <v>0</v>
      </c>
      <c r="L1515" s="229">
        <v>0</v>
      </c>
      <c r="M1515" s="229">
        <v>0</v>
      </c>
      <c r="N1515" s="229">
        <v>0</v>
      </c>
      <c r="O1515" s="229">
        <v>0</v>
      </c>
      <c r="P1515" s="229">
        <v>0</v>
      </c>
      <c r="Q1515" s="279">
        <v>0</v>
      </c>
    </row>
    <row r="1516" spans="1:17" customFormat="1">
      <c r="A1516" s="236">
        <v>4</v>
      </c>
      <c r="B1516" s="236">
        <v>6155310</v>
      </c>
      <c r="C1516" s="236">
        <v>615531003</v>
      </c>
      <c r="D1516" s="236" t="s">
        <v>734</v>
      </c>
      <c r="E1516" s="236" t="s">
        <v>735</v>
      </c>
      <c r="F1516" s="236" t="s">
        <v>851</v>
      </c>
      <c r="G1516" s="236" t="s">
        <v>764</v>
      </c>
      <c r="H1516" s="236" t="s">
        <v>765</v>
      </c>
      <c r="I1516" s="229">
        <v>208660</v>
      </c>
      <c r="J1516" s="229">
        <v>0</v>
      </c>
      <c r="K1516" s="229">
        <v>0</v>
      </c>
      <c r="L1516" s="229">
        <v>0</v>
      </c>
      <c r="M1516" s="229">
        <v>0</v>
      </c>
      <c r="N1516" s="229">
        <v>208660</v>
      </c>
      <c r="O1516" s="229">
        <v>0</v>
      </c>
      <c r="P1516" s="229">
        <v>0</v>
      </c>
      <c r="Q1516" s="279">
        <v>0</v>
      </c>
    </row>
    <row r="1517" spans="1:17" customFormat="1">
      <c r="A1517" s="224">
        <v>4</v>
      </c>
      <c r="B1517" s="224">
        <v>6155313</v>
      </c>
      <c r="C1517" s="224">
        <v>615531300</v>
      </c>
      <c r="D1517" s="224" t="s">
        <v>734</v>
      </c>
      <c r="E1517" s="224" t="s">
        <v>735</v>
      </c>
      <c r="F1517" s="224" t="s">
        <v>851</v>
      </c>
      <c r="G1517" s="224" t="s">
        <v>93</v>
      </c>
      <c r="H1517" s="224"/>
      <c r="I1517" s="229">
        <v>232236</v>
      </c>
      <c r="J1517" s="229">
        <v>0</v>
      </c>
      <c r="K1517" s="229">
        <v>0</v>
      </c>
      <c r="L1517" s="229">
        <v>0</v>
      </c>
      <c r="M1517" s="229">
        <v>0</v>
      </c>
      <c r="N1517" s="229">
        <v>232236</v>
      </c>
      <c r="O1517" s="229">
        <v>0</v>
      </c>
      <c r="P1517" s="229">
        <v>0</v>
      </c>
      <c r="Q1517" s="279">
        <v>0</v>
      </c>
    </row>
    <row r="1518" spans="1:17" customFormat="1">
      <c r="A1518" s="224">
        <v>4</v>
      </c>
      <c r="B1518" s="224">
        <v>6155314</v>
      </c>
      <c r="C1518" s="224">
        <v>615531400</v>
      </c>
      <c r="D1518" s="224" t="s">
        <v>734</v>
      </c>
      <c r="E1518" s="224" t="s">
        <v>735</v>
      </c>
      <c r="F1518" s="224" t="s">
        <v>851</v>
      </c>
      <c r="G1518" s="224" t="s">
        <v>91</v>
      </c>
      <c r="H1518" s="224"/>
      <c r="I1518" s="229">
        <v>0</v>
      </c>
      <c r="J1518" s="229">
        <v>0</v>
      </c>
      <c r="K1518" s="229">
        <v>0</v>
      </c>
      <c r="L1518" s="229">
        <v>0</v>
      </c>
      <c r="M1518" s="229">
        <v>0</v>
      </c>
      <c r="N1518" s="229">
        <v>0</v>
      </c>
      <c r="O1518" s="229">
        <v>0</v>
      </c>
      <c r="P1518" s="229">
        <v>0</v>
      </c>
      <c r="Q1518" s="279">
        <v>0</v>
      </c>
    </row>
    <row r="1519" spans="1:17" customFormat="1">
      <c r="A1519" s="224">
        <v>4</v>
      </c>
      <c r="B1519" s="224">
        <v>6155315</v>
      </c>
      <c r="C1519" s="224">
        <v>615531500</v>
      </c>
      <c r="D1519" s="224" t="s">
        <v>734</v>
      </c>
      <c r="E1519" s="224" t="s">
        <v>735</v>
      </c>
      <c r="F1519" s="224" t="s">
        <v>851</v>
      </c>
      <c r="G1519" s="224" t="s">
        <v>89</v>
      </c>
      <c r="H1519" s="224"/>
      <c r="I1519" s="229">
        <v>0</v>
      </c>
      <c r="J1519" s="229">
        <v>0</v>
      </c>
      <c r="K1519" s="229">
        <v>0</v>
      </c>
      <c r="L1519" s="229">
        <v>0</v>
      </c>
      <c r="M1519" s="229">
        <v>0</v>
      </c>
      <c r="N1519" s="229">
        <v>0</v>
      </c>
      <c r="O1519" s="229">
        <v>0</v>
      </c>
      <c r="P1519" s="229">
        <v>0</v>
      </c>
      <c r="Q1519" s="279">
        <v>0</v>
      </c>
    </row>
    <row r="1520" spans="1:17" customFormat="1">
      <c r="A1520" s="224">
        <v>4</v>
      </c>
      <c r="B1520" s="224">
        <v>6155317</v>
      </c>
      <c r="C1520" s="224">
        <v>615531700</v>
      </c>
      <c r="D1520" s="224" t="s">
        <v>734</v>
      </c>
      <c r="E1520" s="224" t="s">
        <v>735</v>
      </c>
      <c r="F1520" s="224" t="s">
        <v>851</v>
      </c>
      <c r="G1520" s="224" t="s">
        <v>87</v>
      </c>
      <c r="H1520" s="224"/>
      <c r="I1520" s="229">
        <v>7600</v>
      </c>
      <c r="J1520" s="229">
        <v>0</v>
      </c>
      <c r="K1520" s="229">
        <v>0</v>
      </c>
      <c r="L1520" s="229">
        <v>0</v>
      </c>
      <c r="M1520" s="229">
        <v>0</v>
      </c>
      <c r="N1520" s="229">
        <v>7600</v>
      </c>
      <c r="O1520" s="229">
        <v>0</v>
      </c>
      <c r="P1520" s="229">
        <v>0</v>
      </c>
      <c r="Q1520" s="279">
        <v>0</v>
      </c>
    </row>
    <row r="1521" spans="1:17" customFormat="1">
      <c r="A1521" s="224">
        <v>4</v>
      </c>
      <c r="B1521" s="224">
        <v>6155319</v>
      </c>
      <c r="C1521" s="224">
        <v>615531900</v>
      </c>
      <c r="D1521" s="224" t="s">
        <v>734</v>
      </c>
      <c r="E1521" s="224" t="s">
        <v>735</v>
      </c>
      <c r="F1521" s="224" t="s">
        <v>851</v>
      </c>
      <c r="G1521" s="224" t="s">
        <v>85</v>
      </c>
      <c r="H1521" s="224"/>
      <c r="I1521" s="229">
        <v>283</v>
      </c>
      <c r="J1521" s="229">
        <v>0</v>
      </c>
      <c r="K1521" s="229">
        <v>0</v>
      </c>
      <c r="L1521" s="229">
        <v>0</v>
      </c>
      <c r="M1521" s="229">
        <v>0</v>
      </c>
      <c r="N1521" s="229">
        <v>283</v>
      </c>
      <c r="O1521" s="229">
        <v>0</v>
      </c>
      <c r="P1521" s="229">
        <v>0</v>
      </c>
      <c r="Q1521" s="279">
        <v>0</v>
      </c>
    </row>
    <row r="1522" spans="1:17" customFormat="1">
      <c r="A1522" s="224">
        <v>4</v>
      </c>
      <c r="B1522" s="224">
        <v>6155320</v>
      </c>
      <c r="C1522" s="224">
        <v>615532000</v>
      </c>
      <c r="D1522" s="224" t="s">
        <v>734</v>
      </c>
      <c r="E1522" s="224" t="s">
        <v>735</v>
      </c>
      <c r="F1522" s="224" t="s">
        <v>851</v>
      </c>
      <c r="G1522" s="224" t="s">
        <v>83</v>
      </c>
      <c r="H1522" s="224"/>
      <c r="I1522" s="229">
        <v>0</v>
      </c>
      <c r="J1522" s="229">
        <v>0</v>
      </c>
      <c r="K1522" s="229">
        <v>0</v>
      </c>
      <c r="L1522" s="229">
        <v>0</v>
      </c>
      <c r="M1522" s="229">
        <v>0</v>
      </c>
      <c r="N1522" s="229">
        <v>0</v>
      </c>
      <c r="O1522" s="229">
        <v>0</v>
      </c>
      <c r="P1522" s="229">
        <v>0</v>
      </c>
      <c r="Q1522" s="279">
        <v>0</v>
      </c>
    </row>
    <row r="1523" spans="1:17" customFormat="1">
      <c r="A1523" s="224">
        <v>4</v>
      </c>
      <c r="B1523" s="224">
        <v>6155321</v>
      </c>
      <c r="C1523" s="224">
        <v>615532100</v>
      </c>
      <c r="D1523" s="224" t="s">
        <v>734</v>
      </c>
      <c r="E1523" s="224" t="s">
        <v>735</v>
      </c>
      <c r="F1523" s="224" t="s">
        <v>851</v>
      </c>
      <c r="G1523" s="224" t="s">
        <v>81</v>
      </c>
      <c r="H1523" s="224"/>
      <c r="I1523" s="229">
        <v>2041</v>
      </c>
      <c r="J1523" s="229">
        <v>0</v>
      </c>
      <c r="K1523" s="229">
        <v>0</v>
      </c>
      <c r="L1523" s="229">
        <v>0</v>
      </c>
      <c r="M1523" s="229">
        <v>0</v>
      </c>
      <c r="N1523" s="229">
        <v>2041</v>
      </c>
      <c r="O1523" s="229">
        <v>0</v>
      </c>
      <c r="P1523" s="229">
        <v>0</v>
      </c>
      <c r="Q1523" s="279">
        <v>0</v>
      </c>
    </row>
    <row r="1524" spans="1:17" customFormat="1">
      <c r="A1524" s="224">
        <v>4</v>
      </c>
      <c r="B1524" s="224">
        <v>6155323</v>
      </c>
      <c r="C1524" s="224">
        <v>615532300</v>
      </c>
      <c r="D1524" s="224" t="s">
        <v>734</v>
      </c>
      <c r="E1524" s="224" t="s">
        <v>735</v>
      </c>
      <c r="F1524" s="224" t="s">
        <v>851</v>
      </c>
      <c r="G1524" s="224" t="s">
        <v>79</v>
      </c>
      <c r="H1524" s="224"/>
      <c r="I1524" s="229">
        <v>0</v>
      </c>
      <c r="J1524" s="229">
        <v>0</v>
      </c>
      <c r="K1524" s="229">
        <v>0</v>
      </c>
      <c r="L1524" s="229">
        <v>0</v>
      </c>
      <c r="M1524" s="229">
        <v>0</v>
      </c>
      <c r="N1524" s="229">
        <v>0</v>
      </c>
      <c r="O1524" s="229">
        <v>0</v>
      </c>
      <c r="P1524" s="229">
        <v>0</v>
      </c>
      <c r="Q1524" s="279">
        <v>0</v>
      </c>
    </row>
    <row r="1525" spans="1:17" customFormat="1">
      <c r="A1525" s="224">
        <v>4</v>
      </c>
      <c r="B1525" s="224">
        <v>6155324</v>
      </c>
      <c r="C1525" s="224">
        <v>615532400</v>
      </c>
      <c r="D1525" s="224" t="s">
        <v>734</v>
      </c>
      <c r="E1525" s="224" t="s">
        <v>735</v>
      </c>
      <c r="F1525" s="224" t="s">
        <v>851</v>
      </c>
      <c r="G1525" s="224" t="s">
        <v>77</v>
      </c>
      <c r="H1525" s="224"/>
      <c r="I1525" s="229">
        <v>0</v>
      </c>
      <c r="J1525" s="229">
        <v>0</v>
      </c>
      <c r="K1525" s="229">
        <v>0</v>
      </c>
      <c r="L1525" s="229">
        <v>0</v>
      </c>
      <c r="M1525" s="229">
        <v>0</v>
      </c>
      <c r="N1525" s="229">
        <v>0</v>
      </c>
      <c r="O1525" s="229">
        <v>0</v>
      </c>
      <c r="P1525" s="229">
        <v>0</v>
      </c>
      <c r="Q1525" s="279">
        <v>0</v>
      </c>
    </row>
    <row r="1526" spans="1:17" customFormat="1">
      <c r="A1526" s="224">
        <v>4</v>
      </c>
      <c r="B1526" s="224">
        <v>6155331</v>
      </c>
      <c r="C1526" s="224">
        <v>615533100</v>
      </c>
      <c r="D1526" s="224" t="s">
        <v>734</v>
      </c>
      <c r="E1526" s="224" t="s">
        <v>735</v>
      </c>
      <c r="F1526" s="224" t="s">
        <v>851</v>
      </c>
      <c r="G1526" s="224" t="s">
        <v>62</v>
      </c>
      <c r="H1526" s="224"/>
      <c r="I1526" s="229">
        <v>0</v>
      </c>
      <c r="J1526" s="229">
        <v>0</v>
      </c>
      <c r="K1526" s="229">
        <v>0</v>
      </c>
      <c r="L1526" s="229">
        <v>0</v>
      </c>
      <c r="M1526" s="229">
        <v>0</v>
      </c>
      <c r="N1526" s="229">
        <v>0</v>
      </c>
      <c r="O1526" s="229">
        <v>0</v>
      </c>
      <c r="P1526" s="229">
        <v>0</v>
      </c>
      <c r="Q1526" s="279">
        <v>0</v>
      </c>
    </row>
    <row r="1527" spans="1:17" customFormat="1">
      <c r="A1527" s="224">
        <v>4</v>
      </c>
      <c r="B1527" s="224">
        <v>6155337</v>
      </c>
      <c r="C1527" s="224">
        <v>615533700</v>
      </c>
      <c r="D1527" s="224" t="s">
        <v>734</v>
      </c>
      <c r="E1527" s="224" t="s">
        <v>735</v>
      </c>
      <c r="F1527" s="224" t="s">
        <v>851</v>
      </c>
      <c r="G1527" s="224" t="s">
        <v>60</v>
      </c>
      <c r="H1527" s="224"/>
      <c r="I1527" s="229">
        <v>0</v>
      </c>
      <c r="J1527" s="229">
        <v>0</v>
      </c>
      <c r="K1527" s="229">
        <v>0</v>
      </c>
      <c r="L1527" s="229">
        <v>0</v>
      </c>
      <c r="M1527" s="229">
        <v>0</v>
      </c>
      <c r="N1527" s="229">
        <v>0</v>
      </c>
      <c r="O1527" s="229">
        <v>0</v>
      </c>
      <c r="P1527" s="229">
        <v>0</v>
      </c>
      <c r="Q1527" s="279">
        <v>0</v>
      </c>
    </row>
    <row r="1528" spans="1:17" customFormat="1">
      <c r="A1528" s="224">
        <v>4</v>
      </c>
      <c r="B1528" s="224">
        <v>6155339</v>
      </c>
      <c r="C1528" s="224">
        <v>615533900</v>
      </c>
      <c r="D1528" s="224" t="s">
        <v>734</v>
      </c>
      <c r="E1528" s="224" t="s">
        <v>735</v>
      </c>
      <c r="F1528" s="224" t="s">
        <v>851</v>
      </c>
      <c r="G1528" s="224" t="s">
        <v>58</v>
      </c>
      <c r="H1528" s="224"/>
      <c r="I1528" s="229">
        <v>0</v>
      </c>
      <c r="J1528" s="229">
        <v>0</v>
      </c>
      <c r="K1528" s="229">
        <v>0</v>
      </c>
      <c r="L1528" s="229">
        <v>0</v>
      </c>
      <c r="M1528" s="229">
        <v>0</v>
      </c>
      <c r="N1528" s="229">
        <v>0</v>
      </c>
      <c r="O1528" s="229">
        <v>0</v>
      </c>
      <c r="P1528" s="229">
        <v>0</v>
      </c>
      <c r="Q1528" s="279">
        <v>0</v>
      </c>
    </row>
    <row r="1529" spans="1:17" customFormat="1">
      <c r="A1529" s="224">
        <v>4</v>
      </c>
      <c r="B1529" s="224">
        <v>6155340</v>
      </c>
      <c r="C1529" s="224">
        <v>615534000</v>
      </c>
      <c r="D1529" s="224" t="s">
        <v>734</v>
      </c>
      <c r="E1529" s="224" t="s">
        <v>735</v>
      </c>
      <c r="F1529" s="224" t="s">
        <v>851</v>
      </c>
      <c r="G1529" s="224" t="s">
        <v>56</v>
      </c>
      <c r="H1529" s="224"/>
      <c r="I1529" s="229">
        <v>0</v>
      </c>
      <c r="J1529" s="229">
        <v>0</v>
      </c>
      <c r="K1529" s="229">
        <v>0</v>
      </c>
      <c r="L1529" s="229">
        <v>0</v>
      </c>
      <c r="M1529" s="229">
        <v>0</v>
      </c>
      <c r="N1529" s="229">
        <v>0</v>
      </c>
      <c r="O1529" s="229">
        <v>0</v>
      </c>
      <c r="P1529" s="229">
        <v>0</v>
      </c>
      <c r="Q1529" s="279">
        <v>0</v>
      </c>
    </row>
    <row r="1530" spans="1:17" customFormat="1">
      <c r="A1530" s="224">
        <v>4</v>
      </c>
      <c r="B1530" s="224">
        <v>6155341</v>
      </c>
      <c r="C1530" s="224">
        <v>615534100</v>
      </c>
      <c r="D1530" s="224" t="s">
        <v>734</v>
      </c>
      <c r="E1530" s="224" t="s">
        <v>735</v>
      </c>
      <c r="F1530" s="224" t="s">
        <v>851</v>
      </c>
      <c r="G1530" s="224" t="s">
        <v>55</v>
      </c>
      <c r="H1530" s="224"/>
      <c r="I1530" s="229">
        <v>0</v>
      </c>
      <c r="J1530" s="229">
        <v>0</v>
      </c>
      <c r="K1530" s="229">
        <v>0</v>
      </c>
      <c r="L1530" s="229">
        <v>0</v>
      </c>
      <c r="M1530" s="229">
        <v>0</v>
      </c>
      <c r="N1530" s="229">
        <v>0</v>
      </c>
      <c r="O1530" s="229">
        <v>0</v>
      </c>
      <c r="P1530" s="229">
        <v>0</v>
      </c>
      <c r="Q1530" s="279">
        <v>0</v>
      </c>
    </row>
    <row r="1531" spans="1:17" customFormat="1">
      <c r="A1531" s="224">
        <v>4</v>
      </c>
      <c r="B1531" s="224">
        <v>6155365</v>
      </c>
      <c r="C1531" s="224">
        <v>615536500</v>
      </c>
      <c r="D1531" s="224" t="s">
        <v>734</v>
      </c>
      <c r="E1531" s="224" t="s">
        <v>735</v>
      </c>
      <c r="F1531" s="224" t="s">
        <v>851</v>
      </c>
      <c r="G1531" s="224" t="s">
        <v>766</v>
      </c>
      <c r="H1531" s="224"/>
      <c r="I1531" s="229">
        <v>0</v>
      </c>
      <c r="J1531" s="229">
        <v>0</v>
      </c>
      <c r="K1531" s="229">
        <v>0</v>
      </c>
      <c r="L1531" s="229">
        <v>0</v>
      </c>
      <c r="M1531" s="229">
        <v>0</v>
      </c>
      <c r="N1531" s="229">
        <v>0</v>
      </c>
      <c r="O1531" s="229">
        <v>0</v>
      </c>
      <c r="P1531" s="229">
        <v>0</v>
      </c>
      <c r="Q1531" s="279">
        <v>0</v>
      </c>
    </row>
    <row r="1532" spans="1:17" customFormat="1">
      <c r="A1532" s="224">
        <v>4</v>
      </c>
      <c r="B1532" s="224">
        <v>6155369</v>
      </c>
      <c r="C1532" s="224">
        <v>615536900</v>
      </c>
      <c r="D1532" s="224" t="s">
        <v>734</v>
      </c>
      <c r="E1532" s="224" t="s">
        <v>735</v>
      </c>
      <c r="F1532" s="224" t="s">
        <v>851</v>
      </c>
      <c r="G1532" s="224" t="s">
        <v>767</v>
      </c>
      <c r="H1532" s="224"/>
      <c r="I1532" s="229">
        <v>0</v>
      </c>
      <c r="J1532" s="229">
        <v>0</v>
      </c>
      <c r="K1532" s="229">
        <v>0</v>
      </c>
      <c r="L1532" s="229">
        <v>0</v>
      </c>
      <c r="M1532" s="229">
        <v>0</v>
      </c>
      <c r="N1532" s="229">
        <v>0</v>
      </c>
      <c r="O1532" s="229">
        <v>0</v>
      </c>
      <c r="P1532" s="229">
        <v>0</v>
      </c>
      <c r="Q1532" s="279">
        <v>0</v>
      </c>
    </row>
    <row r="1533" spans="1:17" customFormat="1">
      <c r="A1533" s="224">
        <v>4</v>
      </c>
      <c r="B1533" s="224">
        <v>6155370</v>
      </c>
      <c r="C1533" s="224">
        <v>615537000</v>
      </c>
      <c r="D1533" s="224" t="s">
        <v>734</v>
      </c>
      <c r="E1533" s="224" t="s">
        <v>735</v>
      </c>
      <c r="F1533" s="224" t="s">
        <v>851</v>
      </c>
      <c r="G1533" s="224" t="s">
        <v>768</v>
      </c>
      <c r="H1533" s="224"/>
      <c r="I1533" s="229">
        <v>0</v>
      </c>
      <c r="J1533" s="229">
        <v>0</v>
      </c>
      <c r="K1533" s="229">
        <v>0</v>
      </c>
      <c r="L1533" s="229">
        <v>0</v>
      </c>
      <c r="M1533" s="229">
        <v>0</v>
      </c>
      <c r="N1533" s="229">
        <v>0</v>
      </c>
      <c r="O1533" s="229">
        <v>0</v>
      </c>
      <c r="P1533" s="229">
        <v>0</v>
      </c>
      <c r="Q1533" s="279">
        <v>0</v>
      </c>
    </row>
    <row r="1534" spans="1:17" customFormat="1">
      <c r="A1534" s="224">
        <v>4</v>
      </c>
      <c r="B1534" s="224">
        <v>6155371</v>
      </c>
      <c r="C1534" s="224">
        <v>615537100</v>
      </c>
      <c r="D1534" s="224" t="s">
        <v>734</v>
      </c>
      <c r="E1534" s="224" t="s">
        <v>735</v>
      </c>
      <c r="F1534" s="224" t="s">
        <v>851</v>
      </c>
      <c r="G1534" s="224" t="s">
        <v>769</v>
      </c>
      <c r="H1534" s="224"/>
      <c r="I1534" s="229">
        <v>0</v>
      </c>
      <c r="J1534" s="229">
        <v>0</v>
      </c>
      <c r="K1534" s="229">
        <v>0</v>
      </c>
      <c r="L1534" s="229">
        <v>0</v>
      </c>
      <c r="M1534" s="229">
        <v>0</v>
      </c>
      <c r="N1534" s="229">
        <v>0</v>
      </c>
      <c r="O1534" s="229">
        <v>0</v>
      </c>
      <c r="P1534" s="229">
        <v>0</v>
      </c>
      <c r="Q1534" s="279">
        <v>0</v>
      </c>
    </row>
    <row r="1535" spans="1:17" customFormat="1">
      <c r="A1535" s="224">
        <v>4</v>
      </c>
      <c r="B1535" s="224">
        <v>6155372</v>
      </c>
      <c r="C1535" s="224">
        <v>615537200</v>
      </c>
      <c r="D1535" s="224" t="s">
        <v>734</v>
      </c>
      <c r="E1535" s="224" t="s">
        <v>735</v>
      </c>
      <c r="F1535" s="224" t="s">
        <v>851</v>
      </c>
      <c r="G1535" s="224" t="s">
        <v>770</v>
      </c>
      <c r="H1535" s="224"/>
      <c r="I1535" s="229">
        <v>0</v>
      </c>
      <c r="J1535" s="229">
        <v>0</v>
      </c>
      <c r="K1535" s="229">
        <v>0</v>
      </c>
      <c r="L1535" s="229">
        <v>0</v>
      </c>
      <c r="M1535" s="229">
        <v>0</v>
      </c>
      <c r="N1535" s="229">
        <v>0</v>
      </c>
      <c r="O1535" s="229">
        <v>0</v>
      </c>
      <c r="P1535" s="229">
        <v>0</v>
      </c>
      <c r="Q1535" s="279">
        <v>0</v>
      </c>
    </row>
    <row r="1536" spans="1:17" customFormat="1">
      <c r="A1536" s="224">
        <v>4</v>
      </c>
      <c r="B1536" s="224">
        <v>6155373</v>
      </c>
      <c r="C1536" s="224">
        <v>615537300</v>
      </c>
      <c r="D1536" s="224" t="s">
        <v>734</v>
      </c>
      <c r="E1536" s="224" t="s">
        <v>735</v>
      </c>
      <c r="F1536" s="224" t="s">
        <v>851</v>
      </c>
      <c r="G1536" s="224" t="s">
        <v>771</v>
      </c>
      <c r="H1536" s="224"/>
      <c r="I1536" s="229">
        <v>0</v>
      </c>
      <c r="J1536" s="229">
        <v>0</v>
      </c>
      <c r="K1536" s="229">
        <v>0</v>
      </c>
      <c r="L1536" s="229">
        <v>0</v>
      </c>
      <c r="M1536" s="229">
        <v>0</v>
      </c>
      <c r="N1536" s="229">
        <v>0</v>
      </c>
      <c r="O1536" s="229">
        <v>0</v>
      </c>
      <c r="P1536" s="229">
        <v>0</v>
      </c>
      <c r="Q1536" s="279">
        <v>0</v>
      </c>
    </row>
    <row r="1537" spans="1:17" customFormat="1">
      <c r="A1537" s="224">
        <v>4</v>
      </c>
      <c r="B1537" s="224">
        <v>6155374</v>
      </c>
      <c r="C1537" s="224">
        <v>615537400</v>
      </c>
      <c r="D1537" s="224" t="s">
        <v>734</v>
      </c>
      <c r="E1537" s="224" t="s">
        <v>735</v>
      </c>
      <c r="F1537" s="224" t="s">
        <v>851</v>
      </c>
      <c r="G1537" s="224" t="s">
        <v>772</v>
      </c>
      <c r="H1537" s="224"/>
      <c r="I1537" s="229">
        <v>0</v>
      </c>
      <c r="J1537" s="229">
        <v>0</v>
      </c>
      <c r="K1537" s="229">
        <v>0</v>
      </c>
      <c r="L1537" s="229">
        <v>0</v>
      </c>
      <c r="M1537" s="229">
        <v>0</v>
      </c>
      <c r="N1537" s="229">
        <v>0</v>
      </c>
      <c r="O1537" s="229">
        <v>0</v>
      </c>
      <c r="P1537" s="229">
        <v>0</v>
      </c>
      <c r="Q1537" s="279">
        <v>0</v>
      </c>
    </row>
    <row r="1538" spans="1:17" customFormat="1">
      <c r="A1538" s="224">
        <v>4</v>
      </c>
      <c r="B1538" s="224">
        <v>6155375</v>
      </c>
      <c r="C1538" s="224">
        <v>615537583</v>
      </c>
      <c r="D1538" s="224" t="s">
        <v>734</v>
      </c>
      <c r="E1538" s="224" t="s">
        <v>735</v>
      </c>
      <c r="F1538" s="224" t="s">
        <v>851</v>
      </c>
      <c r="G1538" s="224" t="s">
        <v>773</v>
      </c>
      <c r="H1538" s="224" t="s">
        <v>75</v>
      </c>
      <c r="I1538" s="229">
        <v>59382913</v>
      </c>
      <c r="J1538" s="229">
        <v>0</v>
      </c>
      <c r="K1538" s="229">
        <v>0</v>
      </c>
      <c r="L1538" s="229">
        <v>0</v>
      </c>
      <c r="M1538" s="229">
        <v>0</v>
      </c>
      <c r="N1538" s="229">
        <v>59382913</v>
      </c>
      <c r="O1538" s="229">
        <v>0</v>
      </c>
      <c r="P1538" s="229">
        <v>0</v>
      </c>
      <c r="Q1538" s="279">
        <v>0</v>
      </c>
    </row>
    <row r="1539" spans="1:17" customFormat="1">
      <c r="A1539" s="224">
        <v>4</v>
      </c>
      <c r="B1539" s="224">
        <v>6155375</v>
      </c>
      <c r="C1539" s="224">
        <v>615537584</v>
      </c>
      <c r="D1539" s="224" t="s">
        <v>734</v>
      </c>
      <c r="E1539" s="224" t="s">
        <v>735</v>
      </c>
      <c r="F1539" s="224" t="s">
        <v>851</v>
      </c>
      <c r="G1539" s="224" t="s">
        <v>773</v>
      </c>
      <c r="H1539" s="224" t="s">
        <v>774</v>
      </c>
      <c r="I1539" s="229">
        <v>0</v>
      </c>
      <c r="J1539" s="229">
        <v>0</v>
      </c>
      <c r="K1539" s="229">
        <v>0</v>
      </c>
      <c r="L1539" s="229">
        <v>0</v>
      </c>
      <c r="M1539" s="229">
        <v>0</v>
      </c>
      <c r="N1539" s="229">
        <v>0</v>
      </c>
      <c r="O1539" s="229">
        <v>0</v>
      </c>
      <c r="P1539" s="229">
        <v>0</v>
      </c>
      <c r="Q1539" s="279">
        <v>0</v>
      </c>
    </row>
    <row r="1540" spans="1:17" customFormat="1">
      <c r="A1540" s="224">
        <v>4</v>
      </c>
      <c r="B1540" s="224">
        <v>6155375</v>
      </c>
      <c r="C1540" s="224">
        <v>615537585</v>
      </c>
      <c r="D1540" s="224" t="s">
        <v>734</v>
      </c>
      <c r="E1540" s="224" t="s">
        <v>735</v>
      </c>
      <c r="F1540" s="224" t="s">
        <v>851</v>
      </c>
      <c r="G1540" s="224" t="s">
        <v>773</v>
      </c>
      <c r="H1540" s="224" t="s">
        <v>775</v>
      </c>
      <c r="I1540" s="229">
        <v>16918900</v>
      </c>
      <c r="J1540" s="229">
        <v>0</v>
      </c>
      <c r="K1540" s="229">
        <v>0</v>
      </c>
      <c r="L1540" s="229">
        <v>0</v>
      </c>
      <c r="M1540" s="229">
        <v>0</v>
      </c>
      <c r="N1540" s="229">
        <v>16918900</v>
      </c>
      <c r="O1540" s="229">
        <v>0</v>
      </c>
      <c r="P1540" s="229">
        <v>0</v>
      </c>
      <c r="Q1540" s="279">
        <v>0</v>
      </c>
    </row>
    <row r="1541" spans="1:17" customFormat="1">
      <c r="A1541" s="224">
        <v>4</v>
      </c>
      <c r="B1541" s="224">
        <v>6155375</v>
      </c>
      <c r="C1541" s="224">
        <v>615537586</v>
      </c>
      <c r="D1541" s="224" t="s">
        <v>734</v>
      </c>
      <c r="E1541" s="224" t="s">
        <v>735</v>
      </c>
      <c r="F1541" s="224" t="s">
        <v>851</v>
      </c>
      <c r="G1541" s="224" t="s">
        <v>773</v>
      </c>
      <c r="H1541" s="224" t="s">
        <v>776</v>
      </c>
      <c r="I1541" s="229">
        <v>2450800</v>
      </c>
      <c r="J1541" s="229">
        <v>0</v>
      </c>
      <c r="K1541" s="229">
        <v>0</v>
      </c>
      <c r="L1541" s="229">
        <v>0</v>
      </c>
      <c r="M1541" s="229">
        <v>0</v>
      </c>
      <c r="N1541" s="229">
        <v>2450800</v>
      </c>
      <c r="O1541" s="229">
        <v>0</v>
      </c>
      <c r="P1541" s="229">
        <v>0</v>
      </c>
      <c r="Q1541" s="279">
        <v>0</v>
      </c>
    </row>
    <row r="1542" spans="1:17" customFormat="1">
      <c r="A1542" s="224">
        <v>4</v>
      </c>
      <c r="B1542" s="224">
        <v>6155375</v>
      </c>
      <c r="C1542" s="224">
        <v>615537587</v>
      </c>
      <c r="D1542" s="224" t="s">
        <v>734</v>
      </c>
      <c r="E1542" s="224" t="s">
        <v>735</v>
      </c>
      <c r="F1542" s="224" t="s">
        <v>851</v>
      </c>
      <c r="G1542" s="224" t="s">
        <v>773</v>
      </c>
      <c r="H1542" s="224" t="s">
        <v>665</v>
      </c>
      <c r="I1542" s="229">
        <v>0</v>
      </c>
      <c r="J1542" s="229">
        <v>0</v>
      </c>
      <c r="K1542" s="229">
        <v>0</v>
      </c>
      <c r="L1542" s="229">
        <v>0</v>
      </c>
      <c r="M1542" s="229">
        <v>0</v>
      </c>
      <c r="N1542" s="229">
        <v>0</v>
      </c>
      <c r="O1542" s="229">
        <v>0</v>
      </c>
      <c r="P1542" s="229">
        <v>0</v>
      </c>
      <c r="Q1542" s="279">
        <v>0</v>
      </c>
    </row>
    <row r="1543" spans="1:17" customFormat="1">
      <c r="A1543" s="224">
        <v>4</v>
      </c>
      <c r="B1543" s="224">
        <v>6155375</v>
      </c>
      <c r="C1543" s="224">
        <v>615537588</v>
      </c>
      <c r="D1543" s="224" t="s">
        <v>734</v>
      </c>
      <c r="E1543" s="224" t="s">
        <v>735</v>
      </c>
      <c r="F1543" s="224" t="s">
        <v>851</v>
      </c>
      <c r="G1543" s="224" t="s">
        <v>773</v>
      </c>
      <c r="H1543" s="224" t="s">
        <v>73</v>
      </c>
      <c r="I1543" s="229">
        <v>5780</v>
      </c>
      <c r="J1543" s="229">
        <v>0</v>
      </c>
      <c r="K1543" s="229">
        <v>0</v>
      </c>
      <c r="L1543" s="229">
        <v>0</v>
      </c>
      <c r="M1543" s="229">
        <v>0</v>
      </c>
      <c r="N1543" s="229">
        <v>0</v>
      </c>
      <c r="O1543" s="229">
        <v>5780</v>
      </c>
      <c r="P1543" s="229">
        <v>0</v>
      </c>
      <c r="Q1543" s="279">
        <v>0</v>
      </c>
    </row>
    <row r="1544" spans="1:17" customFormat="1">
      <c r="A1544" s="224">
        <v>4</v>
      </c>
      <c r="B1544" s="224">
        <v>6160101</v>
      </c>
      <c r="C1544" s="224">
        <v>616010100</v>
      </c>
      <c r="D1544" s="224" t="s">
        <v>734</v>
      </c>
      <c r="E1544" s="224" t="s">
        <v>788</v>
      </c>
      <c r="F1544" s="224" t="s">
        <v>789</v>
      </c>
      <c r="G1544" s="224" t="s">
        <v>789</v>
      </c>
      <c r="H1544" s="224"/>
      <c r="I1544" s="229">
        <v>7354796</v>
      </c>
      <c r="J1544" s="229">
        <v>0</v>
      </c>
      <c r="K1544" s="229">
        <v>0</v>
      </c>
      <c r="L1544" s="229">
        <v>0</v>
      </c>
      <c r="M1544" s="229">
        <v>0</v>
      </c>
      <c r="N1544" s="229">
        <v>0</v>
      </c>
      <c r="O1544" s="229">
        <v>0</v>
      </c>
      <c r="P1544" s="229">
        <v>7354796</v>
      </c>
      <c r="Q1544" s="279">
        <v>0</v>
      </c>
    </row>
    <row r="1545" spans="1:17" customFormat="1">
      <c r="A1545" s="224">
        <v>4</v>
      </c>
      <c r="B1545" s="224">
        <v>6160303</v>
      </c>
      <c r="C1545" s="224">
        <v>616030300</v>
      </c>
      <c r="D1545" s="224" t="s">
        <v>734</v>
      </c>
      <c r="E1545" s="224" t="s">
        <v>788</v>
      </c>
      <c r="F1545" s="224" t="s">
        <v>791</v>
      </c>
      <c r="G1545" s="224" t="s">
        <v>791</v>
      </c>
      <c r="H1545" s="224"/>
      <c r="I1545" s="229">
        <v>0</v>
      </c>
      <c r="J1545" s="229">
        <v>0</v>
      </c>
      <c r="K1545" s="229">
        <v>0</v>
      </c>
      <c r="L1545" s="229">
        <v>0</v>
      </c>
      <c r="M1545" s="229">
        <v>0</v>
      </c>
      <c r="N1545" s="229">
        <v>0</v>
      </c>
      <c r="O1545" s="229">
        <v>0</v>
      </c>
      <c r="P1545" s="229">
        <v>0</v>
      </c>
      <c r="Q1545" s="279">
        <v>0</v>
      </c>
    </row>
    <row r="1546" spans="1:17" customFormat="1">
      <c r="A1546" s="224">
        <v>4</v>
      </c>
      <c r="B1546" s="224">
        <v>6170220</v>
      </c>
      <c r="C1546" s="224">
        <v>617022000</v>
      </c>
      <c r="D1546" s="224" t="s">
        <v>734</v>
      </c>
      <c r="E1546" s="224" t="s">
        <v>792</v>
      </c>
      <c r="F1546" s="224" t="s">
        <v>793</v>
      </c>
      <c r="G1546" s="224" t="s">
        <v>794</v>
      </c>
      <c r="H1546" s="224"/>
      <c r="I1546" s="229">
        <v>520000</v>
      </c>
      <c r="J1546" s="229">
        <v>0</v>
      </c>
      <c r="K1546" s="229">
        <v>0</v>
      </c>
      <c r="L1546" s="229">
        <v>0</v>
      </c>
      <c r="M1546" s="229">
        <v>0</v>
      </c>
      <c r="N1546" s="229">
        <v>0</v>
      </c>
      <c r="O1546" s="229">
        <v>0</v>
      </c>
      <c r="P1546" s="229">
        <v>520000</v>
      </c>
      <c r="Q1546" s="279">
        <v>0</v>
      </c>
    </row>
    <row r="1547" spans="1:17" customFormat="1">
      <c r="A1547" s="224">
        <v>4</v>
      </c>
      <c r="B1547" s="224">
        <v>6170222</v>
      </c>
      <c r="C1547" s="224">
        <v>617022200</v>
      </c>
      <c r="D1547" s="224" t="s">
        <v>734</v>
      </c>
      <c r="E1547" s="224" t="s">
        <v>792</v>
      </c>
      <c r="F1547" s="224" t="s">
        <v>793</v>
      </c>
      <c r="G1547" s="224" t="s">
        <v>795</v>
      </c>
      <c r="H1547" s="224"/>
      <c r="I1547" s="229">
        <v>0</v>
      </c>
      <c r="J1547" s="229">
        <v>0</v>
      </c>
      <c r="K1547" s="229">
        <v>0</v>
      </c>
      <c r="L1547" s="229">
        <v>0</v>
      </c>
      <c r="M1547" s="229">
        <v>0</v>
      </c>
      <c r="N1547" s="229">
        <v>0</v>
      </c>
      <c r="O1547" s="229">
        <v>0</v>
      </c>
      <c r="P1547" s="229">
        <v>0</v>
      </c>
      <c r="Q1547" s="279">
        <v>0</v>
      </c>
    </row>
    <row r="1548" spans="1:17" customFormat="1">
      <c r="A1548" s="224">
        <v>4</v>
      </c>
      <c r="B1548" s="224">
        <v>6170224</v>
      </c>
      <c r="C1548" s="224">
        <v>617022400</v>
      </c>
      <c r="D1548" s="224" t="s">
        <v>734</v>
      </c>
      <c r="E1548" s="224" t="s">
        <v>792</v>
      </c>
      <c r="F1548" s="224" t="s">
        <v>793</v>
      </c>
      <c r="G1548" s="224" t="s">
        <v>796</v>
      </c>
      <c r="H1548" s="224"/>
      <c r="I1548" s="229">
        <v>0</v>
      </c>
      <c r="J1548" s="229">
        <v>0</v>
      </c>
      <c r="K1548" s="229">
        <v>0</v>
      </c>
      <c r="L1548" s="229">
        <v>0</v>
      </c>
      <c r="M1548" s="229">
        <v>0</v>
      </c>
      <c r="N1548" s="229">
        <v>0</v>
      </c>
      <c r="O1548" s="229">
        <v>0</v>
      </c>
      <c r="P1548" s="229">
        <v>0</v>
      </c>
      <c r="Q1548" s="279">
        <v>0</v>
      </c>
    </row>
    <row r="1549" spans="1:17" customFormat="1">
      <c r="A1549" s="224">
        <v>4</v>
      </c>
      <c r="B1549" s="224">
        <v>6170303</v>
      </c>
      <c r="C1549" s="224">
        <v>617030300</v>
      </c>
      <c r="D1549" s="224" t="s">
        <v>734</v>
      </c>
      <c r="E1549" s="224" t="s">
        <v>792</v>
      </c>
      <c r="F1549" s="224" t="s">
        <v>797</v>
      </c>
      <c r="G1549" s="224" t="s">
        <v>797</v>
      </c>
      <c r="H1549" s="224"/>
      <c r="I1549" s="229">
        <v>0</v>
      </c>
      <c r="J1549" s="229">
        <v>0</v>
      </c>
      <c r="K1549" s="229">
        <v>0</v>
      </c>
      <c r="L1549" s="229">
        <v>0</v>
      </c>
      <c r="M1549" s="229">
        <v>0</v>
      </c>
      <c r="N1549" s="229">
        <v>0</v>
      </c>
      <c r="O1549" s="229">
        <v>0</v>
      </c>
      <c r="P1549" s="229">
        <v>0</v>
      </c>
      <c r="Q1549" s="279">
        <v>0</v>
      </c>
    </row>
    <row r="1550" spans="1:17" customFormat="1">
      <c r="A1550" s="224">
        <v>4</v>
      </c>
      <c r="B1550" s="224">
        <v>6170401</v>
      </c>
      <c r="C1550" s="224">
        <v>617040100</v>
      </c>
      <c r="D1550" s="224" t="s">
        <v>734</v>
      </c>
      <c r="E1550" s="224" t="s">
        <v>792</v>
      </c>
      <c r="F1550" s="224" t="s">
        <v>791</v>
      </c>
      <c r="G1550" s="224" t="s">
        <v>798</v>
      </c>
      <c r="H1550" s="224"/>
      <c r="I1550" s="229">
        <v>0</v>
      </c>
      <c r="J1550" s="229">
        <v>0</v>
      </c>
      <c r="K1550" s="229">
        <v>0</v>
      </c>
      <c r="L1550" s="229">
        <v>0</v>
      </c>
      <c r="M1550" s="229">
        <v>0</v>
      </c>
      <c r="N1550" s="229">
        <v>0</v>
      </c>
      <c r="O1550" s="229">
        <v>0</v>
      </c>
      <c r="P1550" s="229">
        <v>0</v>
      </c>
      <c r="Q1550" s="279">
        <v>0</v>
      </c>
    </row>
    <row r="1551" spans="1:17" customFormat="1">
      <c r="A1551" s="224">
        <v>4</v>
      </c>
      <c r="B1551" s="224">
        <v>6170402</v>
      </c>
      <c r="C1551" s="224">
        <v>617040200</v>
      </c>
      <c r="D1551" s="224" t="s">
        <v>734</v>
      </c>
      <c r="E1551" s="224" t="s">
        <v>792</v>
      </c>
      <c r="F1551" s="224" t="s">
        <v>791</v>
      </c>
      <c r="G1551" s="224" t="s">
        <v>799</v>
      </c>
      <c r="H1551" s="224"/>
      <c r="I1551" s="229">
        <v>0</v>
      </c>
      <c r="J1551" s="229">
        <v>0</v>
      </c>
      <c r="K1551" s="229">
        <v>0</v>
      </c>
      <c r="L1551" s="229">
        <v>0</v>
      </c>
      <c r="M1551" s="229">
        <v>0</v>
      </c>
      <c r="N1551" s="229">
        <v>0</v>
      </c>
      <c r="O1551" s="229">
        <v>0</v>
      </c>
      <c r="P1551" s="229">
        <v>0</v>
      </c>
      <c r="Q1551" s="279">
        <v>0</v>
      </c>
    </row>
    <row r="1552" spans="1:17" customFormat="1">
      <c r="A1552" s="224">
        <v>4</v>
      </c>
      <c r="B1552" s="224">
        <v>6170403</v>
      </c>
      <c r="C1552" s="224">
        <v>617040300</v>
      </c>
      <c r="D1552" s="224" t="s">
        <v>734</v>
      </c>
      <c r="E1552" s="224" t="s">
        <v>792</v>
      </c>
      <c r="F1552" s="224" t="s">
        <v>791</v>
      </c>
      <c r="G1552" s="224" t="s">
        <v>800</v>
      </c>
      <c r="H1552" s="224"/>
      <c r="I1552" s="229">
        <v>0</v>
      </c>
      <c r="J1552" s="229">
        <v>0</v>
      </c>
      <c r="K1552" s="229">
        <v>0</v>
      </c>
      <c r="L1552" s="229">
        <v>0</v>
      </c>
      <c r="M1552" s="229">
        <v>0</v>
      </c>
      <c r="N1552" s="229">
        <v>0</v>
      </c>
      <c r="O1552" s="229">
        <v>0</v>
      </c>
      <c r="P1552" s="229">
        <v>0</v>
      </c>
      <c r="Q1552" s="279">
        <v>0</v>
      </c>
    </row>
    <row r="1553" spans="1:17" customFormat="1">
      <c r="A1553" s="224">
        <v>4</v>
      </c>
      <c r="B1553" s="224">
        <v>6181212</v>
      </c>
      <c r="C1553" s="224">
        <v>618121200</v>
      </c>
      <c r="D1553" s="224" t="s">
        <v>734</v>
      </c>
      <c r="E1553" s="224" t="s">
        <v>801</v>
      </c>
      <c r="F1553" s="224" t="s">
        <v>501</v>
      </c>
      <c r="G1553" s="224" t="s">
        <v>501</v>
      </c>
      <c r="H1553" s="224"/>
      <c r="I1553" s="229">
        <v>0</v>
      </c>
      <c r="J1553" s="229">
        <v>0</v>
      </c>
      <c r="K1553" s="229">
        <v>0</v>
      </c>
      <c r="L1553" s="229">
        <v>0</v>
      </c>
      <c r="M1553" s="229">
        <v>0</v>
      </c>
      <c r="N1553" s="229">
        <v>0</v>
      </c>
      <c r="O1553" s="229">
        <v>0</v>
      </c>
      <c r="P1553" s="229">
        <v>0</v>
      </c>
      <c r="Q1553" s="279">
        <v>0</v>
      </c>
    </row>
    <row r="1554" spans="1:17" customFormat="1">
      <c r="A1554" s="224">
        <v>4</v>
      </c>
      <c r="B1554" s="224">
        <v>6181414</v>
      </c>
      <c r="C1554" s="224">
        <v>618141400</v>
      </c>
      <c r="D1554" s="224" t="s">
        <v>734</v>
      </c>
      <c r="E1554" s="224" t="s">
        <v>801</v>
      </c>
      <c r="F1554" s="224" t="s">
        <v>802</v>
      </c>
      <c r="G1554" s="224" t="s">
        <v>802</v>
      </c>
      <c r="H1554" s="224"/>
      <c r="I1554" s="229">
        <v>0</v>
      </c>
      <c r="J1554" s="229">
        <v>0</v>
      </c>
      <c r="K1554" s="229">
        <v>0</v>
      </c>
      <c r="L1554" s="229">
        <v>0</v>
      </c>
      <c r="M1554" s="229">
        <v>0</v>
      </c>
      <c r="N1554" s="229">
        <v>0</v>
      </c>
      <c r="O1554" s="229">
        <v>0</v>
      </c>
      <c r="P1554" s="229">
        <v>0</v>
      </c>
      <c r="Q1554" s="279">
        <v>0</v>
      </c>
    </row>
    <row r="1555" spans="1:17" customFormat="1">
      <c r="A1555" s="224">
        <v>4</v>
      </c>
      <c r="B1555" s="224">
        <v>6182020</v>
      </c>
      <c r="C1555" s="224">
        <v>618202000</v>
      </c>
      <c r="D1555" s="224" t="s">
        <v>734</v>
      </c>
      <c r="E1555" s="224" t="s">
        <v>801</v>
      </c>
      <c r="F1555" s="224" t="s">
        <v>803</v>
      </c>
      <c r="G1555" s="224" t="s">
        <v>803</v>
      </c>
      <c r="H1555" s="224"/>
      <c r="I1555" s="229">
        <v>0</v>
      </c>
      <c r="J1555" s="229">
        <v>0</v>
      </c>
      <c r="K1555" s="229">
        <v>0</v>
      </c>
      <c r="L1555" s="229">
        <v>0</v>
      </c>
      <c r="M1555" s="229">
        <v>0</v>
      </c>
      <c r="N1555" s="229">
        <v>0</v>
      </c>
      <c r="O1555" s="229">
        <v>0</v>
      </c>
      <c r="P1555" s="229">
        <v>0</v>
      </c>
      <c r="Q1555" s="279">
        <v>0</v>
      </c>
    </row>
    <row r="1556" spans="1:17" customFormat="1">
      <c r="A1556" s="224">
        <v>4</v>
      </c>
      <c r="B1556" s="224">
        <v>6190101</v>
      </c>
      <c r="C1556" s="224">
        <v>619010100</v>
      </c>
      <c r="D1556" s="224" t="s">
        <v>734</v>
      </c>
      <c r="E1556" s="224" t="s">
        <v>804</v>
      </c>
      <c r="F1556" s="224" t="s">
        <v>804</v>
      </c>
      <c r="G1556" s="224" t="s">
        <v>804</v>
      </c>
      <c r="H1556" s="224"/>
      <c r="I1556" s="229">
        <v>0</v>
      </c>
      <c r="J1556" s="229">
        <v>0</v>
      </c>
      <c r="K1556" s="229">
        <v>0</v>
      </c>
      <c r="L1556" s="229">
        <v>0</v>
      </c>
      <c r="M1556" s="229">
        <v>0</v>
      </c>
      <c r="N1556" s="229">
        <v>0</v>
      </c>
      <c r="O1556" s="229">
        <v>0</v>
      </c>
      <c r="P1556" s="229">
        <v>0</v>
      </c>
      <c r="Q1556" s="279">
        <v>0</v>
      </c>
    </row>
    <row r="1557" spans="1:17" customFormat="1">
      <c r="A1557" s="224">
        <v>4</v>
      </c>
      <c r="B1557" s="224">
        <v>6200101</v>
      </c>
      <c r="C1557" s="224">
        <v>620010100</v>
      </c>
      <c r="D1557" s="224" t="s">
        <v>734</v>
      </c>
      <c r="E1557" s="224" t="s">
        <v>805</v>
      </c>
      <c r="F1557" s="224" t="s">
        <v>805</v>
      </c>
      <c r="G1557" s="224" t="s">
        <v>805</v>
      </c>
      <c r="H1557" s="224"/>
      <c r="I1557" s="229">
        <v>0</v>
      </c>
      <c r="J1557" s="229">
        <v>0</v>
      </c>
      <c r="K1557" s="229">
        <v>0</v>
      </c>
      <c r="L1557" s="229">
        <v>0</v>
      </c>
      <c r="M1557" s="229">
        <v>0</v>
      </c>
      <c r="N1557" s="229">
        <v>0</v>
      </c>
      <c r="O1557" s="229">
        <v>0</v>
      </c>
      <c r="P1557" s="229">
        <v>0</v>
      </c>
      <c r="Q1557" s="279">
        <v>0</v>
      </c>
    </row>
    <row r="1558" spans="1:17" customFormat="1">
      <c r="A1558" s="224">
        <v>4</v>
      </c>
      <c r="B1558" s="224">
        <v>6210101</v>
      </c>
      <c r="C1558" s="224">
        <v>621010100</v>
      </c>
      <c r="D1558" s="224" t="s">
        <v>734</v>
      </c>
      <c r="E1558" s="224" t="s">
        <v>806</v>
      </c>
      <c r="F1558" s="224" t="s">
        <v>807</v>
      </c>
      <c r="G1558" s="224" t="s">
        <v>807</v>
      </c>
      <c r="H1558" s="224"/>
      <c r="I1558" s="229">
        <v>0</v>
      </c>
      <c r="J1558" s="229">
        <v>0</v>
      </c>
      <c r="K1558" s="229">
        <v>0</v>
      </c>
      <c r="L1558" s="229">
        <v>0</v>
      </c>
      <c r="M1558" s="229">
        <v>0</v>
      </c>
      <c r="N1558" s="229">
        <v>0</v>
      </c>
      <c r="O1558" s="229">
        <v>0</v>
      </c>
      <c r="P1558" s="229">
        <v>0</v>
      </c>
      <c r="Q1558" s="279">
        <v>0</v>
      </c>
    </row>
    <row r="1559" spans="1:17" customFormat="1">
      <c r="A1559" s="224">
        <v>4</v>
      </c>
      <c r="B1559" s="224">
        <v>6900101</v>
      </c>
      <c r="C1559" s="224">
        <v>690010100</v>
      </c>
      <c r="D1559" s="224" t="s">
        <v>734</v>
      </c>
      <c r="E1559" s="224" t="s">
        <v>809</v>
      </c>
      <c r="F1559" s="224" t="s">
        <v>809</v>
      </c>
      <c r="G1559" s="224" t="s">
        <v>809</v>
      </c>
      <c r="H1559" s="224"/>
      <c r="I1559" s="229">
        <v>0</v>
      </c>
      <c r="J1559" s="229">
        <v>0</v>
      </c>
      <c r="K1559" s="229">
        <v>0</v>
      </c>
      <c r="L1559" s="229">
        <v>0</v>
      </c>
      <c r="M1559" s="229">
        <v>0</v>
      </c>
      <c r="N1559" s="229">
        <v>0</v>
      </c>
      <c r="O1559" s="229">
        <v>0</v>
      </c>
      <c r="P1559" s="229">
        <v>0</v>
      </c>
      <c r="Q1559" s="279">
        <v>0</v>
      </c>
    </row>
    <row r="1560" spans="1:17" customFormat="1">
      <c r="A1560" s="236">
        <v>4</v>
      </c>
      <c r="B1560" s="236">
        <v>8831643</v>
      </c>
      <c r="C1560" s="236">
        <v>883164301</v>
      </c>
      <c r="D1560" s="236" t="s">
        <v>538</v>
      </c>
      <c r="E1560" s="236" t="s">
        <v>539</v>
      </c>
      <c r="F1560" s="236" t="s">
        <v>821</v>
      </c>
      <c r="G1560" s="236" t="s">
        <v>824</v>
      </c>
      <c r="H1560" s="236" t="s">
        <v>688</v>
      </c>
      <c r="I1560" s="229">
        <v>0</v>
      </c>
      <c r="J1560" s="229">
        <v>0</v>
      </c>
      <c r="K1560" s="229">
        <v>0</v>
      </c>
      <c r="L1560" s="229">
        <v>0</v>
      </c>
      <c r="M1560" s="229">
        <v>0</v>
      </c>
      <c r="N1560" s="229">
        <v>0</v>
      </c>
      <c r="O1560" s="229">
        <v>0</v>
      </c>
      <c r="P1560" s="229">
        <v>0</v>
      </c>
      <c r="Q1560" s="279">
        <v>0</v>
      </c>
    </row>
    <row r="1561" spans="1:17" customFormat="1">
      <c r="A1561" s="224">
        <v>4</v>
      </c>
      <c r="B1561" s="224">
        <v>8831643</v>
      </c>
      <c r="C1561" s="224">
        <v>883164303</v>
      </c>
      <c r="D1561" s="224" t="s">
        <v>538</v>
      </c>
      <c r="E1561" s="224" t="s">
        <v>539</v>
      </c>
      <c r="F1561" s="224" t="s">
        <v>821</v>
      </c>
      <c r="G1561" s="224" t="s">
        <v>824</v>
      </c>
      <c r="H1561" s="224" t="s">
        <v>847</v>
      </c>
      <c r="I1561" s="229">
        <v>174406</v>
      </c>
      <c r="J1561" s="229">
        <v>0</v>
      </c>
      <c r="K1561" s="229">
        <v>0</v>
      </c>
      <c r="L1561" s="229">
        <v>0</v>
      </c>
      <c r="M1561" s="229">
        <v>0</v>
      </c>
      <c r="N1561" s="229">
        <v>0</v>
      </c>
      <c r="O1561" s="229">
        <v>0</v>
      </c>
      <c r="P1561" s="229">
        <v>174406</v>
      </c>
      <c r="Q1561" s="279">
        <v>0</v>
      </c>
    </row>
    <row r="1562" spans="1:17" customFormat="1">
      <c r="A1562" s="224">
        <v>4</v>
      </c>
      <c r="B1562" s="224">
        <v>8831901</v>
      </c>
      <c r="C1562" s="224">
        <v>883190102</v>
      </c>
      <c r="D1562" s="224" t="s">
        <v>538</v>
      </c>
      <c r="E1562" s="224" t="s">
        <v>539</v>
      </c>
      <c r="F1562" s="224" t="s">
        <v>542</v>
      </c>
      <c r="G1562" s="224" t="s">
        <v>112</v>
      </c>
      <c r="H1562" s="224" t="s">
        <v>737</v>
      </c>
      <c r="I1562" s="229">
        <v>0</v>
      </c>
      <c r="J1562" s="229">
        <v>0</v>
      </c>
      <c r="K1562" s="229">
        <v>0</v>
      </c>
      <c r="L1562" s="229">
        <v>0</v>
      </c>
      <c r="M1562" s="229">
        <v>0</v>
      </c>
      <c r="N1562" s="229">
        <v>0</v>
      </c>
      <c r="O1562" s="229">
        <v>0</v>
      </c>
      <c r="P1562" s="229">
        <v>0</v>
      </c>
      <c r="Q1562" s="279">
        <v>0</v>
      </c>
    </row>
    <row r="1563" spans="1:17" customFormat="1">
      <c r="A1563" s="224">
        <v>4</v>
      </c>
      <c r="B1563" s="224">
        <v>8831901</v>
      </c>
      <c r="C1563" s="224">
        <v>883190103</v>
      </c>
      <c r="D1563" s="224" t="s">
        <v>538</v>
      </c>
      <c r="E1563" s="224" t="s">
        <v>539</v>
      </c>
      <c r="F1563" s="224" t="s">
        <v>542</v>
      </c>
      <c r="G1563" s="224" t="s">
        <v>112</v>
      </c>
      <c r="H1563" s="224" t="s">
        <v>738</v>
      </c>
      <c r="I1563" s="229">
        <v>0</v>
      </c>
      <c r="J1563" s="229">
        <v>0</v>
      </c>
      <c r="K1563" s="229">
        <v>0</v>
      </c>
      <c r="L1563" s="229">
        <v>0</v>
      </c>
      <c r="M1563" s="229">
        <v>0</v>
      </c>
      <c r="N1563" s="229">
        <v>0</v>
      </c>
      <c r="O1563" s="229">
        <v>0</v>
      </c>
      <c r="P1563" s="229">
        <v>0</v>
      </c>
      <c r="Q1563" s="279">
        <v>0</v>
      </c>
    </row>
    <row r="1564" spans="1:17" customFormat="1">
      <c r="A1564" s="224">
        <v>4</v>
      </c>
      <c r="B1564" s="224">
        <v>8831901</v>
      </c>
      <c r="C1564" s="224">
        <v>883190104</v>
      </c>
      <c r="D1564" s="224" t="s">
        <v>538</v>
      </c>
      <c r="E1564" s="224" t="s">
        <v>539</v>
      </c>
      <c r="F1564" s="224" t="s">
        <v>542</v>
      </c>
      <c r="G1564" s="224" t="s">
        <v>112</v>
      </c>
      <c r="H1564" s="224" t="s">
        <v>739</v>
      </c>
      <c r="I1564" s="229">
        <v>0</v>
      </c>
      <c r="J1564" s="229">
        <v>0</v>
      </c>
      <c r="K1564" s="229">
        <v>0</v>
      </c>
      <c r="L1564" s="229">
        <v>0</v>
      </c>
      <c r="M1564" s="229">
        <v>0</v>
      </c>
      <c r="N1564" s="229">
        <v>0</v>
      </c>
      <c r="O1564" s="229">
        <v>0</v>
      </c>
      <c r="P1564" s="229">
        <v>0</v>
      </c>
      <c r="Q1564" s="279">
        <v>0</v>
      </c>
    </row>
    <row r="1565" spans="1:17" customFormat="1">
      <c r="A1565" s="236">
        <v>4</v>
      </c>
      <c r="B1565" s="236">
        <v>8831901</v>
      </c>
      <c r="C1565" s="236">
        <v>883190105</v>
      </c>
      <c r="D1565" s="236" t="s">
        <v>538</v>
      </c>
      <c r="E1565" s="236" t="s">
        <v>539</v>
      </c>
      <c r="F1565" s="236" t="s">
        <v>542</v>
      </c>
      <c r="G1565" s="236" t="s">
        <v>112</v>
      </c>
      <c r="H1565" s="236" t="s">
        <v>740</v>
      </c>
      <c r="I1565" s="229">
        <v>0</v>
      </c>
      <c r="J1565" s="229">
        <v>0</v>
      </c>
      <c r="K1565" s="229">
        <v>0</v>
      </c>
      <c r="L1565" s="229">
        <v>0</v>
      </c>
      <c r="M1565" s="229">
        <v>0</v>
      </c>
      <c r="N1565" s="229">
        <v>0</v>
      </c>
      <c r="O1565" s="229">
        <v>0</v>
      </c>
      <c r="P1565" s="229">
        <v>0</v>
      </c>
      <c r="Q1565" s="279">
        <v>0</v>
      </c>
    </row>
    <row r="1566" spans="1:17" customFormat="1">
      <c r="A1566" s="224">
        <v>4</v>
      </c>
      <c r="B1566" s="224">
        <v>8831902</v>
      </c>
      <c r="C1566" s="224">
        <v>883190202</v>
      </c>
      <c r="D1566" s="224" t="s">
        <v>538</v>
      </c>
      <c r="E1566" s="224" t="s">
        <v>539</v>
      </c>
      <c r="F1566" s="224" t="s">
        <v>542</v>
      </c>
      <c r="G1566" s="224" t="s">
        <v>110</v>
      </c>
      <c r="H1566" s="224" t="s">
        <v>741</v>
      </c>
      <c r="I1566" s="229">
        <v>0</v>
      </c>
      <c r="J1566" s="229">
        <v>0</v>
      </c>
      <c r="K1566" s="229">
        <v>0</v>
      </c>
      <c r="L1566" s="229">
        <v>0</v>
      </c>
      <c r="M1566" s="229">
        <v>0</v>
      </c>
      <c r="N1566" s="229">
        <v>0</v>
      </c>
      <c r="O1566" s="229">
        <v>0</v>
      </c>
      <c r="P1566" s="229">
        <v>0</v>
      </c>
      <c r="Q1566" s="279">
        <v>0</v>
      </c>
    </row>
    <row r="1567" spans="1:17" customFormat="1">
      <c r="A1567" s="224">
        <v>4</v>
      </c>
      <c r="B1567" s="224">
        <v>8831903</v>
      </c>
      <c r="C1567" s="224">
        <v>883190301</v>
      </c>
      <c r="D1567" s="224" t="s">
        <v>538</v>
      </c>
      <c r="E1567" s="224" t="s">
        <v>539</v>
      </c>
      <c r="F1567" s="224" t="s">
        <v>542</v>
      </c>
      <c r="G1567" s="224" t="s">
        <v>108</v>
      </c>
      <c r="H1567" s="224" t="s">
        <v>742</v>
      </c>
      <c r="I1567" s="229">
        <v>0</v>
      </c>
      <c r="J1567" s="229">
        <v>0</v>
      </c>
      <c r="K1567" s="229">
        <v>0</v>
      </c>
      <c r="L1567" s="229">
        <v>0</v>
      </c>
      <c r="M1567" s="229">
        <v>0</v>
      </c>
      <c r="N1567" s="229">
        <v>0</v>
      </c>
      <c r="O1567" s="229">
        <v>0</v>
      </c>
      <c r="P1567" s="229">
        <v>0</v>
      </c>
      <c r="Q1567" s="279">
        <v>0</v>
      </c>
    </row>
    <row r="1568" spans="1:17" customFormat="1">
      <c r="A1568" s="224">
        <v>4</v>
      </c>
      <c r="B1568" s="224">
        <v>8831903</v>
      </c>
      <c r="C1568" s="224">
        <v>883190302</v>
      </c>
      <c r="D1568" s="224" t="s">
        <v>538</v>
      </c>
      <c r="E1568" s="224" t="s">
        <v>539</v>
      </c>
      <c r="F1568" s="224" t="s">
        <v>542</v>
      </c>
      <c r="G1568" s="224" t="s">
        <v>108</v>
      </c>
      <c r="H1568" s="224" t="s">
        <v>743</v>
      </c>
      <c r="I1568" s="229">
        <v>0</v>
      </c>
      <c r="J1568" s="229">
        <v>0</v>
      </c>
      <c r="K1568" s="229">
        <v>0</v>
      </c>
      <c r="L1568" s="229">
        <v>0</v>
      </c>
      <c r="M1568" s="229">
        <v>0</v>
      </c>
      <c r="N1568" s="229">
        <v>0</v>
      </c>
      <c r="O1568" s="229">
        <v>0</v>
      </c>
      <c r="P1568" s="229">
        <v>0</v>
      </c>
      <c r="Q1568" s="279">
        <v>0</v>
      </c>
    </row>
    <row r="1569" spans="1:17" customFormat="1">
      <c r="A1569" s="224">
        <v>4</v>
      </c>
      <c r="B1569" s="224">
        <v>8831903</v>
      </c>
      <c r="C1569" s="224">
        <v>883190303</v>
      </c>
      <c r="D1569" s="224" t="s">
        <v>538</v>
      </c>
      <c r="E1569" s="224" t="s">
        <v>539</v>
      </c>
      <c r="F1569" s="224" t="s">
        <v>542</v>
      </c>
      <c r="G1569" s="224" t="s">
        <v>108</v>
      </c>
      <c r="H1569" s="224" t="s">
        <v>744</v>
      </c>
      <c r="I1569" s="229">
        <v>0</v>
      </c>
      <c r="J1569" s="229">
        <v>0</v>
      </c>
      <c r="K1569" s="229">
        <v>0</v>
      </c>
      <c r="L1569" s="229">
        <v>0</v>
      </c>
      <c r="M1569" s="229">
        <v>0</v>
      </c>
      <c r="N1569" s="229">
        <v>0</v>
      </c>
      <c r="O1569" s="229">
        <v>0</v>
      </c>
      <c r="P1569" s="229">
        <v>0</v>
      </c>
      <c r="Q1569" s="279">
        <v>0</v>
      </c>
    </row>
    <row r="1570" spans="1:17" customFormat="1">
      <c r="A1570" s="224">
        <v>4</v>
      </c>
      <c r="B1570" s="224">
        <v>8831903</v>
      </c>
      <c r="C1570" s="224">
        <v>883190304</v>
      </c>
      <c r="D1570" s="224" t="s">
        <v>538</v>
      </c>
      <c r="E1570" s="224" t="s">
        <v>539</v>
      </c>
      <c r="F1570" s="224" t="s">
        <v>542</v>
      </c>
      <c r="G1570" s="224" t="s">
        <v>108</v>
      </c>
      <c r="H1570" s="224" t="s">
        <v>745</v>
      </c>
      <c r="I1570" s="229">
        <v>0</v>
      </c>
      <c r="J1570" s="229">
        <v>0</v>
      </c>
      <c r="K1570" s="229">
        <v>0</v>
      </c>
      <c r="L1570" s="229">
        <v>0</v>
      </c>
      <c r="M1570" s="229">
        <v>0</v>
      </c>
      <c r="N1570" s="229">
        <v>0</v>
      </c>
      <c r="O1570" s="229">
        <v>0</v>
      </c>
      <c r="P1570" s="229">
        <v>0</v>
      </c>
      <c r="Q1570" s="279">
        <v>0</v>
      </c>
    </row>
    <row r="1571" spans="1:17" customFormat="1">
      <c r="A1571" s="224">
        <v>4</v>
      </c>
      <c r="B1571" s="224">
        <v>8831903</v>
      </c>
      <c r="C1571" s="224">
        <v>883190305</v>
      </c>
      <c r="D1571" s="224" t="s">
        <v>538</v>
      </c>
      <c r="E1571" s="224" t="s">
        <v>539</v>
      </c>
      <c r="F1571" s="224" t="s">
        <v>542</v>
      </c>
      <c r="G1571" s="224" t="s">
        <v>108</v>
      </c>
      <c r="H1571" s="224" t="s">
        <v>746</v>
      </c>
      <c r="I1571" s="229">
        <v>0</v>
      </c>
      <c r="J1571" s="229">
        <v>0</v>
      </c>
      <c r="K1571" s="229">
        <v>0</v>
      </c>
      <c r="L1571" s="229">
        <v>0</v>
      </c>
      <c r="M1571" s="229">
        <v>0</v>
      </c>
      <c r="N1571" s="229">
        <v>0</v>
      </c>
      <c r="O1571" s="229">
        <v>0</v>
      </c>
      <c r="P1571" s="229">
        <v>0</v>
      </c>
      <c r="Q1571" s="279">
        <v>0</v>
      </c>
    </row>
    <row r="1572" spans="1:17" customFormat="1">
      <c r="A1572" s="224">
        <v>4</v>
      </c>
      <c r="B1572" s="224">
        <v>8831903</v>
      </c>
      <c r="C1572" s="224">
        <v>883190306</v>
      </c>
      <c r="D1572" s="224" t="s">
        <v>538</v>
      </c>
      <c r="E1572" s="224" t="s">
        <v>539</v>
      </c>
      <c r="F1572" s="224" t="s">
        <v>542</v>
      </c>
      <c r="G1572" s="224" t="s">
        <v>108</v>
      </c>
      <c r="H1572" s="224" t="s">
        <v>747</v>
      </c>
      <c r="I1572" s="229">
        <v>0</v>
      </c>
      <c r="J1572" s="229">
        <v>0</v>
      </c>
      <c r="K1572" s="229">
        <v>0</v>
      </c>
      <c r="L1572" s="229">
        <v>0</v>
      </c>
      <c r="M1572" s="229">
        <v>0</v>
      </c>
      <c r="N1572" s="229">
        <v>0</v>
      </c>
      <c r="O1572" s="229">
        <v>0</v>
      </c>
      <c r="P1572" s="229">
        <v>0</v>
      </c>
      <c r="Q1572" s="279">
        <v>0</v>
      </c>
    </row>
    <row r="1573" spans="1:17" customFormat="1">
      <c r="A1573" s="224">
        <v>4</v>
      </c>
      <c r="B1573" s="224">
        <v>8831903</v>
      </c>
      <c r="C1573" s="224">
        <v>883190307</v>
      </c>
      <c r="D1573" s="224" t="s">
        <v>538</v>
      </c>
      <c r="E1573" s="224" t="s">
        <v>539</v>
      </c>
      <c r="F1573" s="224" t="s">
        <v>542</v>
      </c>
      <c r="G1573" s="224" t="s">
        <v>108</v>
      </c>
      <c r="H1573" s="224" t="s">
        <v>748</v>
      </c>
      <c r="I1573" s="229">
        <v>0</v>
      </c>
      <c r="J1573" s="229">
        <v>0</v>
      </c>
      <c r="K1573" s="229">
        <v>0</v>
      </c>
      <c r="L1573" s="229">
        <v>0</v>
      </c>
      <c r="M1573" s="229">
        <v>0</v>
      </c>
      <c r="N1573" s="229">
        <v>0</v>
      </c>
      <c r="O1573" s="229">
        <v>0</v>
      </c>
      <c r="P1573" s="229">
        <v>0</v>
      </c>
      <c r="Q1573" s="279">
        <v>0</v>
      </c>
    </row>
    <row r="1574" spans="1:17" customFormat="1">
      <c r="A1574" s="224">
        <v>4</v>
      </c>
      <c r="B1574" s="224">
        <v>8831903</v>
      </c>
      <c r="C1574" s="224">
        <v>883190310</v>
      </c>
      <c r="D1574" s="224" t="s">
        <v>538</v>
      </c>
      <c r="E1574" s="224" t="s">
        <v>539</v>
      </c>
      <c r="F1574" s="224" t="s">
        <v>542</v>
      </c>
      <c r="G1574" s="224" t="s">
        <v>108</v>
      </c>
      <c r="H1574" s="224" t="s">
        <v>749</v>
      </c>
      <c r="I1574" s="229">
        <v>0</v>
      </c>
      <c r="J1574" s="229">
        <v>0</v>
      </c>
      <c r="K1574" s="229">
        <v>0</v>
      </c>
      <c r="L1574" s="229">
        <v>0</v>
      </c>
      <c r="M1574" s="229">
        <v>0</v>
      </c>
      <c r="N1574" s="229">
        <v>0</v>
      </c>
      <c r="O1574" s="229">
        <v>0</v>
      </c>
      <c r="P1574" s="229">
        <v>0</v>
      </c>
      <c r="Q1574" s="279">
        <v>0</v>
      </c>
    </row>
    <row r="1575" spans="1:17" customFormat="1">
      <c r="A1575" s="224">
        <v>4</v>
      </c>
      <c r="B1575" s="224">
        <v>8831903</v>
      </c>
      <c r="C1575" s="224">
        <v>883190311</v>
      </c>
      <c r="D1575" s="224" t="s">
        <v>538</v>
      </c>
      <c r="E1575" s="224" t="s">
        <v>539</v>
      </c>
      <c r="F1575" s="224" t="s">
        <v>542</v>
      </c>
      <c r="G1575" s="224" t="s">
        <v>108</v>
      </c>
      <c r="H1575" s="224" t="s">
        <v>750</v>
      </c>
      <c r="I1575" s="229">
        <v>0</v>
      </c>
      <c r="J1575" s="229">
        <v>0</v>
      </c>
      <c r="K1575" s="229">
        <v>0</v>
      </c>
      <c r="L1575" s="229">
        <v>0</v>
      </c>
      <c r="M1575" s="229">
        <v>0</v>
      </c>
      <c r="N1575" s="229">
        <v>0</v>
      </c>
      <c r="O1575" s="229">
        <v>0</v>
      </c>
      <c r="P1575" s="229">
        <v>0</v>
      </c>
      <c r="Q1575" s="279">
        <v>0</v>
      </c>
    </row>
    <row r="1576" spans="1:17" customFormat="1">
      <c r="A1576" s="224">
        <v>4</v>
      </c>
      <c r="B1576" s="224">
        <v>8831903</v>
      </c>
      <c r="C1576" s="224">
        <v>883190314</v>
      </c>
      <c r="D1576" s="224" t="s">
        <v>538</v>
      </c>
      <c r="E1576" s="224" t="s">
        <v>539</v>
      </c>
      <c r="F1576" s="224" t="s">
        <v>542</v>
      </c>
      <c r="G1576" s="224" t="s">
        <v>108</v>
      </c>
      <c r="H1576" s="224" t="s">
        <v>751</v>
      </c>
      <c r="I1576" s="229">
        <v>0</v>
      </c>
      <c r="J1576" s="229">
        <v>0</v>
      </c>
      <c r="K1576" s="229">
        <v>0</v>
      </c>
      <c r="L1576" s="229">
        <v>0</v>
      </c>
      <c r="M1576" s="229">
        <v>0</v>
      </c>
      <c r="N1576" s="229">
        <v>0</v>
      </c>
      <c r="O1576" s="229">
        <v>0</v>
      </c>
      <c r="P1576" s="229">
        <v>0</v>
      </c>
      <c r="Q1576" s="279">
        <v>0</v>
      </c>
    </row>
    <row r="1577" spans="1:17" customFormat="1">
      <c r="A1577" s="224">
        <v>4</v>
      </c>
      <c r="B1577" s="224">
        <v>8831903</v>
      </c>
      <c r="C1577" s="224">
        <v>883190315</v>
      </c>
      <c r="D1577" s="224" t="s">
        <v>538</v>
      </c>
      <c r="E1577" s="224" t="s">
        <v>539</v>
      </c>
      <c r="F1577" s="224" t="s">
        <v>542</v>
      </c>
      <c r="G1577" s="224" t="s">
        <v>108</v>
      </c>
      <c r="H1577" s="224" t="s">
        <v>752</v>
      </c>
      <c r="I1577" s="229">
        <v>0</v>
      </c>
      <c r="J1577" s="229">
        <v>0</v>
      </c>
      <c r="K1577" s="229">
        <v>0</v>
      </c>
      <c r="L1577" s="229">
        <v>0</v>
      </c>
      <c r="M1577" s="229">
        <v>0</v>
      </c>
      <c r="N1577" s="229">
        <v>0</v>
      </c>
      <c r="O1577" s="229">
        <v>0</v>
      </c>
      <c r="P1577" s="229">
        <v>0</v>
      </c>
      <c r="Q1577" s="279">
        <v>0</v>
      </c>
    </row>
    <row r="1578" spans="1:17" customFormat="1">
      <c r="A1578" s="224">
        <v>4</v>
      </c>
      <c r="B1578" s="224">
        <v>8831903</v>
      </c>
      <c r="C1578" s="224">
        <v>883190316</v>
      </c>
      <c r="D1578" s="224" t="s">
        <v>538</v>
      </c>
      <c r="E1578" s="224" t="s">
        <v>539</v>
      </c>
      <c r="F1578" s="224" t="s">
        <v>542</v>
      </c>
      <c r="G1578" s="224" t="s">
        <v>108</v>
      </c>
      <c r="H1578" s="224" t="s">
        <v>753</v>
      </c>
      <c r="I1578" s="229">
        <v>0</v>
      </c>
      <c r="J1578" s="229">
        <v>0</v>
      </c>
      <c r="K1578" s="229">
        <v>0</v>
      </c>
      <c r="L1578" s="229">
        <v>0</v>
      </c>
      <c r="M1578" s="229">
        <v>0</v>
      </c>
      <c r="N1578" s="229">
        <v>0</v>
      </c>
      <c r="O1578" s="229">
        <v>0</v>
      </c>
      <c r="P1578" s="229">
        <v>0</v>
      </c>
      <c r="Q1578" s="279">
        <v>0</v>
      </c>
    </row>
    <row r="1579" spans="1:17" customFormat="1">
      <c r="A1579" s="224">
        <v>4</v>
      </c>
      <c r="B1579" s="224">
        <v>8831904</v>
      </c>
      <c r="C1579" s="224">
        <v>883190401</v>
      </c>
      <c r="D1579" s="224" t="s">
        <v>538</v>
      </c>
      <c r="E1579" s="224" t="s">
        <v>539</v>
      </c>
      <c r="F1579" s="224" t="s">
        <v>542</v>
      </c>
      <c r="G1579" s="224" t="s">
        <v>106</v>
      </c>
      <c r="H1579" s="224" t="s">
        <v>755</v>
      </c>
      <c r="I1579" s="229">
        <v>0</v>
      </c>
      <c r="J1579" s="229">
        <v>0</v>
      </c>
      <c r="K1579" s="229">
        <v>0</v>
      </c>
      <c r="L1579" s="229">
        <v>0</v>
      </c>
      <c r="M1579" s="229">
        <v>0</v>
      </c>
      <c r="N1579" s="229">
        <v>0</v>
      </c>
      <c r="O1579" s="229">
        <v>0</v>
      </c>
      <c r="P1579" s="229">
        <v>0</v>
      </c>
      <c r="Q1579" s="279">
        <v>0</v>
      </c>
    </row>
    <row r="1580" spans="1:17" customFormat="1">
      <c r="A1580" s="224">
        <v>4</v>
      </c>
      <c r="B1580" s="224">
        <v>8831904</v>
      </c>
      <c r="C1580" s="224">
        <v>883190402</v>
      </c>
      <c r="D1580" s="224" t="s">
        <v>538</v>
      </c>
      <c r="E1580" s="224" t="s">
        <v>539</v>
      </c>
      <c r="F1580" s="224" t="s">
        <v>542</v>
      </c>
      <c r="G1580" s="224" t="s">
        <v>106</v>
      </c>
      <c r="H1580" s="224" t="s">
        <v>756</v>
      </c>
      <c r="I1580" s="229">
        <v>0</v>
      </c>
      <c r="J1580" s="229">
        <v>0</v>
      </c>
      <c r="K1580" s="229">
        <v>0</v>
      </c>
      <c r="L1580" s="229">
        <v>0</v>
      </c>
      <c r="M1580" s="229">
        <v>0</v>
      </c>
      <c r="N1580" s="229">
        <v>0</v>
      </c>
      <c r="O1580" s="229">
        <v>0</v>
      </c>
      <c r="P1580" s="229">
        <v>0</v>
      </c>
      <c r="Q1580" s="279">
        <v>0</v>
      </c>
    </row>
    <row r="1581" spans="1:17" customFormat="1">
      <c r="A1581" s="224">
        <v>4</v>
      </c>
      <c r="B1581" s="224">
        <v>8831904</v>
      </c>
      <c r="C1581" s="224">
        <v>883190403</v>
      </c>
      <c r="D1581" s="224" t="s">
        <v>538</v>
      </c>
      <c r="E1581" s="224" t="s">
        <v>539</v>
      </c>
      <c r="F1581" s="224" t="s">
        <v>542</v>
      </c>
      <c r="G1581" s="224" t="s">
        <v>106</v>
      </c>
      <c r="H1581" s="224" t="s">
        <v>757</v>
      </c>
      <c r="I1581" s="229">
        <v>0</v>
      </c>
      <c r="J1581" s="229">
        <v>0</v>
      </c>
      <c r="K1581" s="229">
        <v>0</v>
      </c>
      <c r="L1581" s="229">
        <v>0</v>
      </c>
      <c r="M1581" s="229">
        <v>0</v>
      </c>
      <c r="N1581" s="229">
        <v>0</v>
      </c>
      <c r="O1581" s="229">
        <v>0</v>
      </c>
      <c r="P1581" s="229">
        <v>0</v>
      </c>
      <c r="Q1581" s="279">
        <v>0</v>
      </c>
    </row>
    <row r="1582" spans="1:17" customFormat="1">
      <c r="A1582" s="224">
        <v>4</v>
      </c>
      <c r="B1582" s="224">
        <v>8831904</v>
      </c>
      <c r="C1582" s="224">
        <v>883190405</v>
      </c>
      <c r="D1582" s="224" t="s">
        <v>538</v>
      </c>
      <c r="E1582" s="224" t="s">
        <v>539</v>
      </c>
      <c r="F1582" s="224" t="s">
        <v>542</v>
      </c>
      <c r="G1582" s="224" t="s">
        <v>106</v>
      </c>
      <c r="H1582" s="224" t="s">
        <v>758</v>
      </c>
      <c r="I1582" s="229">
        <v>0</v>
      </c>
      <c r="J1582" s="229">
        <v>0</v>
      </c>
      <c r="K1582" s="229">
        <v>0</v>
      </c>
      <c r="L1582" s="229">
        <v>0</v>
      </c>
      <c r="M1582" s="229">
        <v>0</v>
      </c>
      <c r="N1582" s="229">
        <v>0</v>
      </c>
      <c r="O1582" s="229">
        <v>0</v>
      </c>
      <c r="P1582" s="229">
        <v>0</v>
      </c>
      <c r="Q1582" s="279">
        <v>0</v>
      </c>
    </row>
    <row r="1583" spans="1:17" customFormat="1">
      <c r="A1583" s="224">
        <v>4</v>
      </c>
      <c r="B1583" s="224">
        <v>8831904</v>
      </c>
      <c r="C1583" s="224">
        <v>883190406</v>
      </c>
      <c r="D1583" s="224" t="s">
        <v>538</v>
      </c>
      <c r="E1583" s="224" t="s">
        <v>539</v>
      </c>
      <c r="F1583" s="224" t="s">
        <v>542</v>
      </c>
      <c r="G1583" s="224" t="s">
        <v>106</v>
      </c>
      <c r="H1583" s="224" t="s">
        <v>759</v>
      </c>
      <c r="I1583" s="229">
        <v>0</v>
      </c>
      <c r="J1583" s="229">
        <v>0</v>
      </c>
      <c r="K1583" s="229">
        <v>0</v>
      </c>
      <c r="L1583" s="229">
        <v>0</v>
      </c>
      <c r="M1583" s="229">
        <v>0</v>
      </c>
      <c r="N1583" s="229">
        <v>0</v>
      </c>
      <c r="O1583" s="229">
        <v>0</v>
      </c>
      <c r="P1583" s="229">
        <v>0</v>
      </c>
      <c r="Q1583" s="279">
        <v>0</v>
      </c>
    </row>
    <row r="1584" spans="1:17" customFormat="1">
      <c r="A1584" s="224">
        <v>4</v>
      </c>
      <c r="B1584" s="224">
        <v>8831904</v>
      </c>
      <c r="C1584" s="224">
        <v>883190407</v>
      </c>
      <c r="D1584" s="224" t="s">
        <v>538</v>
      </c>
      <c r="E1584" s="224" t="s">
        <v>539</v>
      </c>
      <c r="F1584" s="224" t="s">
        <v>542</v>
      </c>
      <c r="G1584" s="224" t="s">
        <v>106</v>
      </c>
      <c r="H1584" s="224" t="s">
        <v>760</v>
      </c>
      <c r="I1584" s="229">
        <v>0</v>
      </c>
      <c r="J1584" s="229">
        <v>0</v>
      </c>
      <c r="K1584" s="229">
        <v>0</v>
      </c>
      <c r="L1584" s="229">
        <v>0</v>
      </c>
      <c r="M1584" s="229">
        <v>0</v>
      </c>
      <c r="N1584" s="229">
        <v>0</v>
      </c>
      <c r="O1584" s="229">
        <v>0</v>
      </c>
      <c r="P1584" s="229">
        <v>0</v>
      </c>
      <c r="Q1584" s="279">
        <v>0</v>
      </c>
    </row>
    <row r="1585" spans="1:17" customFormat="1">
      <c r="A1585" s="224">
        <v>4</v>
      </c>
      <c r="B1585" s="224">
        <v>8831904</v>
      </c>
      <c r="C1585" s="224">
        <v>883190408</v>
      </c>
      <c r="D1585" s="224" t="s">
        <v>538</v>
      </c>
      <c r="E1585" s="224" t="s">
        <v>539</v>
      </c>
      <c r="F1585" s="224" t="s">
        <v>542</v>
      </c>
      <c r="G1585" s="224" t="s">
        <v>106</v>
      </c>
      <c r="H1585" s="224" t="s">
        <v>761</v>
      </c>
      <c r="I1585" s="229">
        <v>0</v>
      </c>
      <c r="J1585" s="229">
        <v>0</v>
      </c>
      <c r="K1585" s="229">
        <v>0</v>
      </c>
      <c r="L1585" s="229">
        <v>0</v>
      </c>
      <c r="M1585" s="229">
        <v>0</v>
      </c>
      <c r="N1585" s="229">
        <v>0</v>
      </c>
      <c r="O1585" s="229">
        <v>0</v>
      </c>
      <c r="P1585" s="229">
        <v>0</v>
      </c>
      <c r="Q1585" s="279">
        <v>0</v>
      </c>
    </row>
    <row r="1586" spans="1:17" customFormat="1">
      <c r="A1586" s="224">
        <v>4</v>
      </c>
      <c r="B1586" s="224">
        <v>8831904</v>
      </c>
      <c r="C1586" s="224">
        <v>883190410</v>
      </c>
      <c r="D1586" s="224" t="s">
        <v>538</v>
      </c>
      <c r="E1586" s="224" t="s">
        <v>539</v>
      </c>
      <c r="F1586" s="224" t="s">
        <v>542</v>
      </c>
      <c r="G1586" s="224" t="s">
        <v>106</v>
      </c>
      <c r="H1586" s="224" t="s">
        <v>762</v>
      </c>
      <c r="I1586" s="229">
        <v>0</v>
      </c>
      <c r="J1586" s="229">
        <v>0</v>
      </c>
      <c r="K1586" s="229">
        <v>0</v>
      </c>
      <c r="L1586" s="229">
        <v>0</v>
      </c>
      <c r="M1586" s="229">
        <v>0</v>
      </c>
      <c r="N1586" s="229">
        <v>0</v>
      </c>
      <c r="O1586" s="229">
        <v>0</v>
      </c>
      <c r="P1586" s="229">
        <v>0</v>
      </c>
      <c r="Q1586" s="279">
        <v>0</v>
      </c>
    </row>
    <row r="1587" spans="1:17" customFormat="1">
      <c r="A1587" s="224">
        <v>4</v>
      </c>
      <c r="B1587" s="224">
        <v>8831904</v>
      </c>
      <c r="C1587" s="224">
        <v>883190411</v>
      </c>
      <c r="D1587" s="224" t="s">
        <v>538</v>
      </c>
      <c r="E1587" s="224" t="s">
        <v>539</v>
      </c>
      <c r="F1587" s="224" t="s">
        <v>542</v>
      </c>
      <c r="G1587" s="224" t="s">
        <v>106</v>
      </c>
      <c r="H1587" s="224" t="s">
        <v>763</v>
      </c>
      <c r="I1587" s="229">
        <v>0</v>
      </c>
      <c r="J1587" s="229">
        <v>0</v>
      </c>
      <c r="K1587" s="229">
        <v>0</v>
      </c>
      <c r="L1587" s="229">
        <v>0</v>
      </c>
      <c r="M1587" s="229">
        <v>0</v>
      </c>
      <c r="N1587" s="229">
        <v>0</v>
      </c>
      <c r="O1587" s="229">
        <v>0</v>
      </c>
      <c r="P1587" s="229">
        <v>0</v>
      </c>
      <c r="Q1587" s="279">
        <v>0</v>
      </c>
    </row>
    <row r="1588" spans="1:17" customFormat="1">
      <c r="A1588" s="224">
        <v>4</v>
      </c>
      <c r="B1588" s="224">
        <v>8831905</v>
      </c>
      <c r="C1588" s="224">
        <v>883190500</v>
      </c>
      <c r="D1588" s="224" t="s">
        <v>538</v>
      </c>
      <c r="E1588" s="224" t="s">
        <v>539</v>
      </c>
      <c r="F1588" s="224" t="s">
        <v>542</v>
      </c>
      <c r="G1588" s="224" t="s">
        <v>104</v>
      </c>
      <c r="H1588" s="224"/>
      <c r="I1588" s="229">
        <v>0</v>
      </c>
      <c r="J1588" s="229">
        <v>0</v>
      </c>
      <c r="K1588" s="229">
        <v>0</v>
      </c>
      <c r="L1588" s="229">
        <v>0</v>
      </c>
      <c r="M1588" s="229">
        <v>0</v>
      </c>
      <c r="N1588" s="229">
        <v>0</v>
      </c>
      <c r="O1588" s="229">
        <v>0</v>
      </c>
      <c r="P1588" s="229">
        <v>0</v>
      </c>
      <c r="Q1588" s="279">
        <v>0</v>
      </c>
    </row>
    <row r="1589" spans="1:17" customFormat="1">
      <c r="A1589" s="224">
        <v>4</v>
      </c>
      <c r="B1589" s="224">
        <v>8831907</v>
      </c>
      <c r="C1589" s="224">
        <v>883190700</v>
      </c>
      <c r="D1589" s="224" t="s">
        <v>538</v>
      </c>
      <c r="E1589" s="224" t="s">
        <v>539</v>
      </c>
      <c r="F1589" s="224" t="s">
        <v>542</v>
      </c>
      <c r="G1589" s="224" t="s">
        <v>102</v>
      </c>
      <c r="H1589" s="224"/>
      <c r="I1589" s="229">
        <v>0</v>
      </c>
      <c r="J1589" s="229">
        <v>0</v>
      </c>
      <c r="K1589" s="229">
        <v>0</v>
      </c>
      <c r="L1589" s="229">
        <v>0</v>
      </c>
      <c r="M1589" s="229">
        <v>0</v>
      </c>
      <c r="N1589" s="229">
        <v>0</v>
      </c>
      <c r="O1589" s="229">
        <v>0</v>
      </c>
      <c r="P1589" s="229">
        <v>0</v>
      </c>
      <c r="Q1589" s="279">
        <v>0</v>
      </c>
    </row>
    <row r="1590" spans="1:17" customFormat="1">
      <c r="A1590" s="224">
        <v>4</v>
      </c>
      <c r="B1590" s="224">
        <v>8831908</v>
      </c>
      <c r="C1590" s="224">
        <v>883190800</v>
      </c>
      <c r="D1590" s="224" t="s">
        <v>538</v>
      </c>
      <c r="E1590" s="224" t="s">
        <v>539</v>
      </c>
      <c r="F1590" s="224" t="s">
        <v>542</v>
      </c>
      <c r="G1590" s="224" t="s">
        <v>100</v>
      </c>
      <c r="H1590" s="224"/>
      <c r="I1590" s="229">
        <v>0</v>
      </c>
      <c r="J1590" s="229">
        <v>0</v>
      </c>
      <c r="K1590" s="229">
        <v>0</v>
      </c>
      <c r="L1590" s="229">
        <v>0</v>
      </c>
      <c r="M1590" s="229">
        <v>0</v>
      </c>
      <c r="N1590" s="229">
        <v>0</v>
      </c>
      <c r="O1590" s="229">
        <v>0</v>
      </c>
      <c r="P1590" s="229">
        <v>0</v>
      </c>
      <c r="Q1590" s="279">
        <v>0</v>
      </c>
    </row>
    <row r="1591" spans="1:17" customFormat="1">
      <c r="A1591" s="224">
        <v>4</v>
      </c>
      <c r="B1591" s="224">
        <v>8831910</v>
      </c>
      <c r="C1591" s="224">
        <v>883191001</v>
      </c>
      <c r="D1591" s="224" t="s">
        <v>538</v>
      </c>
      <c r="E1591" s="224" t="s">
        <v>539</v>
      </c>
      <c r="F1591" s="224" t="s">
        <v>542</v>
      </c>
      <c r="G1591" s="224" t="s">
        <v>764</v>
      </c>
      <c r="H1591" s="224" t="s">
        <v>98</v>
      </c>
      <c r="I1591" s="229">
        <v>2401</v>
      </c>
      <c r="J1591" s="229">
        <v>0</v>
      </c>
      <c r="K1591" s="229">
        <v>0</v>
      </c>
      <c r="L1591" s="229">
        <v>0</v>
      </c>
      <c r="M1591" s="229">
        <v>0</v>
      </c>
      <c r="N1591" s="229">
        <v>2401</v>
      </c>
      <c r="O1591" s="229">
        <v>0</v>
      </c>
      <c r="P1591" s="229">
        <v>0</v>
      </c>
      <c r="Q1591" s="279">
        <v>0</v>
      </c>
    </row>
    <row r="1592" spans="1:17" customFormat="1">
      <c r="A1592" s="224">
        <v>4</v>
      </c>
      <c r="B1592" s="224">
        <v>8831910</v>
      </c>
      <c r="C1592" s="224">
        <v>883191002</v>
      </c>
      <c r="D1592" s="224" t="s">
        <v>538</v>
      </c>
      <c r="E1592" s="224" t="s">
        <v>539</v>
      </c>
      <c r="F1592" s="224" t="s">
        <v>542</v>
      </c>
      <c r="G1592" s="224" t="s">
        <v>764</v>
      </c>
      <c r="H1592" s="224" t="s">
        <v>95</v>
      </c>
      <c r="I1592" s="229">
        <v>0</v>
      </c>
      <c r="J1592" s="229">
        <v>0</v>
      </c>
      <c r="K1592" s="229">
        <v>0</v>
      </c>
      <c r="L1592" s="229">
        <v>0</v>
      </c>
      <c r="M1592" s="229">
        <v>0</v>
      </c>
      <c r="N1592" s="229">
        <v>0</v>
      </c>
      <c r="O1592" s="229">
        <v>0</v>
      </c>
      <c r="P1592" s="229">
        <v>0</v>
      </c>
      <c r="Q1592" s="279">
        <v>0</v>
      </c>
    </row>
    <row r="1593" spans="1:17" customFormat="1">
      <c r="A1593" s="236">
        <v>4</v>
      </c>
      <c r="B1593" s="236">
        <v>8831910</v>
      </c>
      <c r="C1593" s="236">
        <v>883191003</v>
      </c>
      <c r="D1593" s="236" t="s">
        <v>538</v>
      </c>
      <c r="E1593" s="236" t="s">
        <v>539</v>
      </c>
      <c r="F1593" s="236" t="s">
        <v>542</v>
      </c>
      <c r="G1593" s="236" t="s">
        <v>764</v>
      </c>
      <c r="H1593" s="236" t="s">
        <v>765</v>
      </c>
      <c r="I1593" s="229">
        <v>0</v>
      </c>
      <c r="J1593" s="229">
        <v>0</v>
      </c>
      <c r="K1593" s="229">
        <v>0</v>
      </c>
      <c r="L1593" s="229">
        <v>0</v>
      </c>
      <c r="M1593" s="229">
        <v>0</v>
      </c>
      <c r="N1593" s="229">
        <v>0</v>
      </c>
      <c r="O1593" s="229">
        <v>0</v>
      </c>
      <c r="P1593" s="229">
        <v>0</v>
      </c>
      <c r="Q1593" s="279">
        <v>0</v>
      </c>
    </row>
    <row r="1594" spans="1:17" customFormat="1">
      <c r="A1594" s="224">
        <v>4</v>
      </c>
      <c r="B1594" s="224">
        <v>8831913</v>
      </c>
      <c r="C1594" s="224">
        <v>883191300</v>
      </c>
      <c r="D1594" s="224" t="s">
        <v>538</v>
      </c>
      <c r="E1594" s="224" t="s">
        <v>539</v>
      </c>
      <c r="F1594" s="224" t="s">
        <v>542</v>
      </c>
      <c r="G1594" s="224" t="s">
        <v>93</v>
      </c>
      <c r="H1594" s="224"/>
      <c r="I1594" s="229">
        <v>36401</v>
      </c>
      <c r="J1594" s="229">
        <v>0</v>
      </c>
      <c r="K1594" s="229">
        <v>0</v>
      </c>
      <c r="L1594" s="229">
        <v>0</v>
      </c>
      <c r="M1594" s="229">
        <v>1529</v>
      </c>
      <c r="N1594" s="229">
        <v>34872</v>
      </c>
      <c r="O1594" s="229">
        <v>0</v>
      </c>
      <c r="P1594" s="229">
        <v>0</v>
      </c>
      <c r="Q1594" s="279">
        <v>0</v>
      </c>
    </row>
    <row r="1595" spans="1:17" customFormat="1">
      <c r="A1595" s="224">
        <v>4</v>
      </c>
      <c r="B1595" s="224">
        <v>8831914</v>
      </c>
      <c r="C1595" s="224">
        <v>883191400</v>
      </c>
      <c r="D1595" s="224" t="s">
        <v>538</v>
      </c>
      <c r="E1595" s="224" t="s">
        <v>539</v>
      </c>
      <c r="F1595" s="224" t="s">
        <v>542</v>
      </c>
      <c r="G1595" s="224" t="s">
        <v>91</v>
      </c>
      <c r="H1595" s="224"/>
      <c r="I1595" s="229">
        <v>507</v>
      </c>
      <c r="J1595" s="229">
        <v>0</v>
      </c>
      <c r="K1595" s="229">
        <v>0</v>
      </c>
      <c r="L1595" s="229">
        <v>0</v>
      </c>
      <c r="M1595" s="229">
        <v>0</v>
      </c>
      <c r="N1595" s="229">
        <v>507</v>
      </c>
      <c r="O1595" s="229">
        <v>0</v>
      </c>
      <c r="P1595" s="229">
        <v>0</v>
      </c>
      <c r="Q1595" s="279">
        <v>0</v>
      </c>
    </row>
    <row r="1596" spans="1:17" customFormat="1">
      <c r="A1596" s="224">
        <v>4</v>
      </c>
      <c r="B1596" s="224">
        <v>8831915</v>
      </c>
      <c r="C1596" s="224">
        <v>883191500</v>
      </c>
      <c r="D1596" s="224" t="s">
        <v>538</v>
      </c>
      <c r="E1596" s="224" t="s">
        <v>539</v>
      </c>
      <c r="F1596" s="224" t="s">
        <v>542</v>
      </c>
      <c r="G1596" s="224" t="s">
        <v>89</v>
      </c>
      <c r="H1596" s="224"/>
      <c r="I1596" s="229">
        <v>0</v>
      </c>
      <c r="J1596" s="229">
        <v>0</v>
      </c>
      <c r="K1596" s="229">
        <v>0</v>
      </c>
      <c r="L1596" s="229">
        <v>0</v>
      </c>
      <c r="M1596" s="229">
        <v>0</v>
      </c>
      <c r="N1596" s="229">
        <v>0</v>
      </c>
      <c r="O1596" s="229">
        <v>0</v>
      </c>
      <c r="P1596" s="229">
        <v>0</v>
      </c>
      <c r="Q1596" s="279">
        <v>0</v>
      </c>
    </row>
    <row r="1597" spans="1:17" customFormat="1">
      <c r="A1597" s="224">
        <v>4</v>
      </c>
      <c r="B1597" s="224">
        <v>8831917</v>
      </c>
      <c r="C1597" s="224">
        <v>883191700</v>
      </c>
      <c r="D1597" s="224" t="s">
        <v>538</v>
      </c>
      <c r="E1597" s="224" t="s">
        <v>539</v>
      </c>
      <c r="F1597" s="224" t="s">
        <v>542</v>
      </c>
      <c r="G1597" s="224" t="s">
        <v>87</v>
      </c>
      <c r="H1597" s="224"/>
      <c r="I1597" s="229">
        <v>249</v>
      </c>
      <c r="J1597" s="229">
        <v>0</v>
      </c>
      <c r="K1597" s="229">
        <v>0</v>
      </c>
      <c r="L1597" s="229">
        <v>0</v>
      </c>
      <c r="M1597" s="229">
        <v>0</v>
      </c>
      <c r="N1597" s="229">
        <v>249</v>
      </c>
      <c r="O1597" s="229">
        <v>0</v>
      </c>
      <c r="P1597" s="229">
        <v>0</v>
      </c>
      <c r="Q1597" s="279">
        <v>0</v>
      </c>
    </row>
    <row r="1598" spans="1:17" customFormat="1">
      <c r="A1598" s="224">
        <v>4</v>
      </c>
      <c r="B1598" s="224">
        <v>8831919</v>
      </c>
      <c r="C1598" s="224">
        <v>883191900</v>
      </c>
      <c r="D1598" s="224" t="s">
        <v>538</v>
      </c>
      <c r="E1598" s="224" t="s">
        <v>539</v>
      </c>
      <c r="F1598" s="224" t="s">
        <v>542</v>
      </c>
      <c r="G1598" s="224" t="s">
        <v>85</v>
      </c>
      <c r="H1598" s="224"/>
      <c r="I1598" s="229">
        <v>5444939</v>
      </c>
      <c r="J1598" s="229">
        <v>0</v>
      </c>
      <c r="K1598" s="229">
        <v>0</v>
      </c>
      <c r="L1598" s="229">
        <v>0</v>
      </c>
      <c r="M1598" s="229">
        <v>0</v>
      </c>
      <c r="N1598" s="229">
        <v>898</v>
      </c>
      <c r="O1598" s="229">
        <v>5444041</v>
      </c>
      <c r="P1598" s="229">
        <v>0</v>
      </c>
      <c r="Q1598" s="279">
        <v>0</v>
      </c>
    </row>
    <row r="1599" spans="1:17" customFormat="1">
      <c r="A1599" s="224">
        <v>4</v>
      </c>
      <c r="B1599" s="224">
        <v>8831920</v>
      </c>
      <c r="C1599" s="224">
        <v>883192000</v>
      </c>
      <c r="D1599" s="224" t="s">
        <v>538</v>
      </c>
      <c r="E1599" s="224" t="s">
        <v>539</v>
      </c>
      <c r="F1599" s="224" t="s">
        <v>542</v>
      </c>
      <c r="G1599" s="224" t="s">
        <v>83</v>
      </c>
      <c r="H1599" s="224"/>
      <c r="I1599" s="229">
        <v>1905</v>
      </c>
      <c r="J1599" s="229">
        <v>0</v>
      </c>
      <c r="K1599" s="229">
        <v>0</v>
      </c>
      <c r="L1599" s="229">
        <v>0</v>
      </c>
      <c r="M1599" s="229">
        <v>0</v>
      </c>
      <c r="N1599" s="229">
        <v>1765</v>
      </c>
      <c r="O1599" s="229">
        <v>140</v>
      </c>
      <c r="P1599" s="229">
        <v>0</v>
      </c>
      <c r="Q1599" s="279">
        <v>0</v>
      </c>
    </row>
    <row r="1600" spans="1:17" customFormat="1">
      <c r="A1600" s="224">
        <v>4</v>
      </c>
      <c r="B1600" s="224">
        <v>8831921</v>
      </c>
      <c r="C1600" s="224">
        <v>883192100</v>
      </c>
      <c r="D1600" s="224" t="s">
        <v>538</v>
      </c>
      <c r="E1600" s="224" t="s">
        <v>539</v>
      </c>
      <c r="F1600" s="224" t="s">
        <v>542</v>
      </c>
      <c r="G1600" s="224" t="s">
        <v>81</v>
      </c>
      <c r="H1600" s="224"/>
      <c r="I1600" s="229">
        <v>65215024</v>
      </c>
      <c r="J1600" s="229">
        <v>0</v>
      </c>
      <c r="K1600" s="229">
        <v>0</v>
      </c>
      <c r="L1600" s="229">
        <v>0</v>
      </c>
      <c r="M1600" s="229">
        <v>0</v>
      </c>
      <c r="N1600" s="229">
        <v>65215024</v>
      </c>
      <c r="O1600" s="229">
        <v>0</v>
      </c>
      <c r="P1600" s="229">
        <v>0</v>
      </c>
      <c r="Q1600" s="279">
        <v>0</v>
      </c>
    </row>
    <row r="1601" spans="1:17" customFormat="1">
      <c r="A1601" s="224">
        <v>4</v>
      </c>
      <c r="B1601" s="224">
        <v>8831923</v>
      </c>
      <c r="C1601" s="224">
        <v>883192300</v>
      </c>
      <c r="D1601" s="224" t="s">
        <v>538</v>
      </c>
      <c r="E1601" s="224" t="s">
        <v>539</v>
      </c>
      <c r="F1601" s="224" t="s">
        <v>542</v>
      </c>
      <c r="G1601" s="224" t="s">
        <v>79</v>
      </c>
      <c r="H1601" s="224"/>
      <c r="I1601" s="229">
        <v>4963548</v>
      </c>
      <c r="J1601" s="229">
        <v>0</v>
      </c>
      <c r="K1601" s="229">
        <v>0</v>
      </c>
      <c r="L1601" s="229">
        <v>0</v>
      </c>
      <c r="M1601" s="229">
        <v>0</v>
      </c>
      <c r="N1601" s="229">
        <v>4963548</v>
      </c>
      <c r="O1601" s="229">
        <v>0</v>
      </c>
      <c r="P1601" s="229">
        <v>0</v>
      </c>
      <c r="Q1601" s="279">
        <v>0</v>
      </c>
    </row>
    <row r="1602" spans="1:17" customFormat="1">
      <c r="A1602" s="224">
        <v>4</v>
      </c>
      <c r="B1602" s="224">
        <v>8831924</v>
      </c>
      <c r="C1602" s="224">
        <v>883192400</v>
      </c>
      <c r="D1602" s="224" t="s">
        <v>538</v>
      </c>
      <c r="E1602" s="224" t="s">
        <v>539</v>
      </c>
      <c r="F1602" s="224" t="s">
        <v>542</v>
      </c>
      <c r="G1602" s="224" t="s">
        <v>77</v>
      </c>
      <c r="H1602" s="224"/>
      <c r="I1602" s="229">
        <v>0</v>
      </c>
      <c r="J1602" s="229">
        <v>0</v>
      </c>
      <c r="K1602" s="229">
        <v>0</v>
      </c>
      <c r="L1602" s="229">
        <v>0</v>
      </c>
      <c r="M1602" s="229">
        <v>0</v>
      </c>
      <c r="N1602" s="229">
        <v>0</v>
      </c>
      <c r="O1602" s="229">
        <v>0</v>
      </c>
      <c r="P1602" s="229">
        <v>0</v>
      </c>
      <c r="Q1602" s="279">
        <v>0</v>
      </c>
    </row>
    <row r="1603" spans="1:17" customFormat="1">
      <c r="A1603" s="224">
        <v>4</v>
      </c>
      <c r="B1603" s="224">
        <v>8831925</v>
      </c>
      <c r="C1603" s="224">
        <v>883192500</v>
      </c>
      <c r="D1603" s="224" t="s">
        <v>538</v>
      </c>
      <c r="E1603" s="224" t="s">
        <v>539</v>
      </c>
      <c r="F1603" s="224" t="s">
        <v>542</v>
      </c>
      <c r="G1603" s="224" t="s">
        <v>75</v>
      </c>
      <c r="H1603" s="224"/>
      <c r="I1603" s="229">
        <v>0</v>
      </c>
      <c r="J1603" s="229">
        <v>0</v>
      </c>
      <c r="K1603" s="229">
        <v>0</v>
      </c>
      <c r="L1603" s="229">
        <v>0</v>
      </c>
      <c r="M1603" s="229">
        <v>0</v>
      </c>
      <c r="N1603" s="229">
        <v>0</v>
      </c>
      <c r="O1603" s="229">
        <v>0</v>
      </c>
      <c r="P1603" s="229">
        <v>0</v>
      </c>
      <c r="Q1603" s="279">
        <v>0</v>
      </c>
    </row>
    <row r="1604" spans="1:17" customFormat="1">
      <c r="A1604" s="224">
        <v>4</v>
      </c>
      <c r="B1604" s="224">
        <v>8831928</v>
      </c>
      <c r="C1604" s="224">
        <v>883192866</v>
      </c>
      <c r="D1604" s="224" t="s">
        <v>538</v>
      </c>
      <c r="E1604" s="224" t="s">
        <v>539</v>
      </c>
      <c r="F1604" s="224" t="s">
        <v>542</v>
      </c>
      <c r="G1604" s="224" t="s">
        <v>811</v>
      </c>
      <c r="H1604" s="224" t="s">
        <v>812</v>
      </c>
      <c r="I1604" s="229">
        <v>0</v>
      </c>
      <c r="J1604" s="229">
        <v>0</v>
      </c>
      <c r="K1604" s="229">
        <v>0</v>
      </c>
      <c r="L1604" s="229">
        <v>0</v>
      </c>
      <c r="M1604" s="229">
        <v>0</v>
      </c>
      <c r="N1604" s="229">
        <v>0</v>
      </c>
      <c r="O1604" s="229">
        <v>0</v>
      </c>
      <c r="P1604" s="229">
        <v>0</v>
      </c>
      <c r="Q1604" s="279">
        <v>0</v>
      </c>
    </row>
    <row r="1605" spans="1:17" customFormat="1">
      <c r="A1605" s="224">
        <v>4</v>
      </c>
      <c r="B1605" s="224">
        <v>8831928</v>
      </c>
      <c r="C1605" s="224">
        <v>883192867</v>
      </c>
      <c r="D1605" s="224" t="s">
        <v>538</v>
      </c>
      <c r="E1605" s="224" t="s">
        <v>539</v>
      </c>
      <c r="F1605" s="224" t="s">
        <v>542</v>
      </c>
      <c r="G1605" s="224" t="s">
        <v>811</v>
      </c>
      <c r="H1605" s="224" t="s">
        <v>813</v>
      </c>
      <c r="I1605" s="229">
        <v>0</v>
      </c>
      <c r="J1605" s="229">
        <v>0</v>
      </c>
      <c r="K1605" s="229">
        <v>0</v>
      </c>
      <c r="L1605" s="229">
        <v>0</v>
      </c>
      <c r="M1605" s="229">
        <v>0</v>
      </c>
      <c r="N1605" s="229">
        <v>0</v>
      </c>
      <c r="O1605" s="229">
        <v>0</v>
      </c>
      <c r="P1605" s="229">
        <v>0</v>
      </c>
      <c r="Q1605" s="279">
        <v>0</v>
      </c>
    </row>
    <row r="1606" spans="1:17" customFormat="1">
      <c r="A1606" s="224">
        <v>4</v>
      </c>
      <c r="B1606" s="224">
        <v>8831929</v>
      </c>
      <c r="C1606" s="224">
        <v>883192900</v>
      </c>
      <c r="D1606" s="224" t="s">
        <v>538</v>
      </c>
      <c r="E1606" s="224" t="s">
        <v>539</v>
      </c>
      <c r="F1606" s="224" t="s">
        <v>542</v>
      </c>
      <c r="G1606" s="224" t="s">
        <v>66</v>
      </c>
      <c r="H1606" s="224"/>
      <c r="I1606" s="229">
        <v>0</v>
      </c>
      <c r="J1606" s="229">
        <v>0</v>
      </c>
      <c r="K1606" s="229">
        <v>0</v>
      </c>
      <c r="L1606" s="229">
        <v>0</v>
      </c>
      <c r="M1606" s="229">
        <v>0</v>
      </c>
      <c r="N1606" s="229">
        <v>0</v>
      </c>
      <c r="O1606" s="229">
        <v>0</v>
      </c>
      <c r="P1606" s="229">
        <v>0</v>
      </c>
      <c r="Q1606" s="279">
        <v>0</v>
      </c>
    </row>
    <row r="1607" spans="1:17" customFormat="1">
      <c r="A1607" s="224">
        <v>4</v>
      </c>
      <c r="B1607" s="224">
        <v>8831930</v>
      </c>
      <c r="C1607" s="224">
        <v>883193000</v>
      </c>
      <c r="D1607" s="224" t="s">
        <v>538</v>
      </c>
      <c r="E1607" s="224" t="s">
        <v>539</v>
      </c>
      <c r="F1607" s="224" t="s">
        <v>542</v>
      </c>
      <c r="G1607" s="224" t="s">
        <v>64</v>
      </c>
      <c r="H1607" s="224"/>
      <c r="I1607" s="229">
        <v>0</v>
      </c>
      <c r="J1607" s="229">
        <v>0</v>
      </c>
      <c r="K1607" s="229">
        <v>0</v>
      </c>
      <c r="L1607" s="229">
        <v>0</v>
      </c>
      <c r="M1607" s="229">
        <v>0</v>
      </c>
      <c r="N1607" s="229">
        <v>0</v>
      </c>
      <c r="O1607" s="229">
        <v>0</v>
      </c>
      <c r="P1607" s="229">
        <v>0</v>
      </c>
      <c r="Q1607" s="279">
        <v>0</v>
      </c>
    </row>
    <row r="1608" spans="1:17" customFormat="1">
      <c r="A1608" s="224">
        <v>4</v>
      </c>
      <c r="B1608" s="224">
        <v>8831931</v>
      </c>
      <c r="C1608" s="224">
        <v>883193100</v>
      </c>
      <c r="D1608" s="224" t="s">
        <v>538</v>
      </c>
      <c r="E1608" s="224" t="s">
        <v>539</v>
      </c>
      <c r="F1608" s="224" t="s">
        <v>542</v>
      </c>
      <c r="G1608" s="224" t="s">
        <v>62</v>
      </c>
      <c r="H1608" s="224"/>
      <c r="I1608" s="229">
        <v>719709</v>
      </c>
      <c r="J1608" s="229">
        <v>0</v>
      </c>
      <c r="K1608" s="229">
        <v>0</v>
      </c>
      <c r="L1608" s="229">
        <v>0</v>
      </c>
      <c r="M1608" s="229">
        <v>0</v>
      </c>
      <c r="N1608" s="229">
        <v>696484</v>
      </c>
      <c r="O1608" s="229">
        <v>0</v>
      </c>
      <c r="P1608" s="229">
        <v>23225</v>
      </c>
      <c r="Q1608" s="279">
        <v>0</v>
      </c>
    </row>
    <row r="1609" spans="1:17" customFormat="1">
      <c r="A1609" s="224">
        <v>4</v>
      </c>
      <c r="B1609" s="224">
        <v>8831933</v>
      </c>
      <c r="C1609" s="224">
        <v>883193300</v>
      </c>
      <c r="D1609" s="224" t="s">
        <v>538</v>
      </c>
      <c r="E1609" s="224" t="s">
        <v>539</v>
      </c>
      <c r="F1609" s="224" t="s">
        <v>542</v>
      </c>
      <c r="G1609" s="224" t="s">
        <v>822</v>
      </c>
      <c r="H1609" s="224"/>
      <c r="I1609" s="229">
        <v>0</v>
      </c>
      <c r="J1609" s="229">
        <v>0</v>
      </c>
      <c r="K1609" s="229">
        <v>0</v>
      </c>
      <c r="L1609" s="229">
        <v>0</v>
      </c>
      <c r="M1609" s="229">
        <v>0</v>
      </c>
      <c r="N1609" s="229">
        <v>0</v>
      </c>
      <c r="O1609" s="229">
        <v>0</v>
      </c>
      <c r="P1609" s="229">
        <v>0</v>
      </c>
      <c r="Q1609" s="279">
        <v>0</v>
      </c>
    </row>
    <row r="1610" spans="1:17" customFormat="1">
      <c r="A1610" s="224">
        <v>4</v>
      </c>
      <c r="B1610" s="224">
        <v>8831936</v>
      </c>
      <c r="C1610" s="224">
        <v>883193600</v>
      </c>
      <c r="D1610" s="224" t="s">
        <v>538</v>
      </c>
      <c r="E1610" s="224" t="s">
        <v>539</v>
      </c>
      <c r="F1610" s="224" t="s">
        <v>542</v>
      </c>
      <c r="G1610" s="224" t="s">
        <v>823</v>
      </c>
      <c r="H1610" s="224"/>
      <c r="I1610" s="229">
        <v>19</v>
      </c>
      <c r="J1610" s="229">
        <v>0</v>
      </c>
      <c r="K1610" s="229">
        <v>0</v>
      </c>
      <c r="L1610" s="229">
        <v>0</v>
      </c>
      <c r="M1610" s="229">
        <v>0</v>
      </c>
      <c r="N1610" s="229">
        <v>19</v>
      </c>
      <c r="O1610" s="229">
        <v>0</v>
      </c>
      <c r="P1610" s="229">
        <v>0</v>
      </c>
      <c r="Q1610" s="279">
        <v>0</v>
      </c>
    </row>
    <row r="1611" spans="1:17" customFormat="1">
      <c r="A1611" s="224">
        <v>4</v>
      </c>
      <c r="B1611" s="224">
        <v>8831937</v>
      </c>
      <c r="C1611" s="224">
        <v>883193700</v>
      </c>
      <c r="D1611" s="224" t="s">
        <v>538</v>
      </c>
      <c r="E1611" s="224" t="s">
        <v>539</v>
      </c>
      <c r="F1611" s="224" t="s">
        <v>542</v>
      </c>
      <c r="G1611" s="224" t="s">
        <v>60</v>
      </c>
      <c r="H1611" s="224"/>
      <c r="I1611" s="229">
        <v>0</v>
      </c>
      <c r="J1611" s="229">
        <v>0</v>
      </c>
      <c r="K1611" s="229">
        <v>0</v>
      </c>
      <c r="L1611" s="229">
        <v>0</v>
      </c>
      <c r="M1611" s="229">
        <v>0</v>
      </c>
      <c r="N1611" s="229">
        <v>0</v>
      </c>
      <c r="O1611" s="229">
        <v>0</v>
      </c>
      <c r="P1611" s="229">
        <v>0</v>
      </c>
      <c r="Q1611" s="279">
        <v>0</v>
      </c>
    </row>
    <row r="1612" spans="1:17" customFormat="1">
      <c r="A1612" s="224">
        <v>4</v>
      </c>
      <c r="B1612" s="224">
        <v>8831939</v>
      </c>
      <c r="C1612" s="224">
        <v>883193900</v>
      </c>
      <c r="D1612" s="224" t="s">
        <v>538</v>
      </c>
      <c r="E1612" s="224" t="s">
        <v>539</v>
      </c>
      <c r="F1612" s="224" t="s">
        <v>542</v>
      </c>
      <c r="G1612" s="224" t="s">
        <v>58</v>
      </c>
      <c r="H1612" s="224"/>
      <c r="I1612" s="229">
        <v>3586</v>
      </c>
      <c r="J1612" s="229">
        <v>0</v>
      </c>
      <c r="K1612" s="229">
        <v>0</v>
      </c>
      <c r="L1612" s="229">
        <v>0</v>
      </c>
      <c r="M1612" s="229">
        <v>0</v>
      </c>
      <c r="N1612" s="229">
        <v>0</v>
      </c>
      <c r="O1612" s="229">
        <v>3586</v>
      </c>
      <c r="P1612" s="229">
        <v>0</v>
      </c>
      <c r="Q1612" s="279">
        <v>0</v>
      </c>
    </row>
    <row r="1613" spans="1:17" customFormat="1">
      <c r="A1613" s="224">
        <v>4</v>
      </c>
      <c r="B1613" s="224">
        <v>8831940</v>
      </c>
      <c r="C1613" s="224">
        <v>883194000</v>
      </c>
      <c r="D1613" s="224" t="s">
        <v>538</v>
      </c>
      <c r="E1613" s="224" t="s">
        <v>539</v>
      </c>
      <c r="F1613" s="224" t="s">
        <v>542</v>
      </c>
      <c r="G1613" s="224" t="s">
        <v>56</v>
      </c>
      <c r="H1613" s="224"/>
      <c r="I1613" s="229">
        <v>42</v>
      </c>
      <c r="J1613" s="229">
        <v>0</v>
      </c>
      <c r="K1613" s="229">
        <v>0</v>
      </c>
      <c r="L1613" s="229">
        <v>0</v>
      </c>
      <c r="M1613" s="229">
        <v>0</v>
      </c>
      <c r="N1613" s="229">
        <v>0</v>
      </c>
      <c r="O1613" s="229">
        <v>0</v>
      </c>
      <c r="P1613" s="229">
        <v>42</v>
      </c>
      <c r="Q1613" s="279">
        <v>0</v>
      </c>
    </row>
    <row r="1614" spans="1:17" customFormat="1">
      <c r="A1614" s="224">
        <v>4</v>
      </c>
      <c r="B1614" s="224">
        <v>8831941</v>
      </c>
      <c r="C1614" s="224">
        <v>883194100</v>
      </c>
      <c r="D1614" s="224" t="s">
        <v>538</v>
      </c>
      <c r="E1614" s="224" t="s">
        <v>539</v>
      </c>
      <c r="F1614" s="224" t="s">
        <v>542</v>
      </c>
      <c r="G1614" s="224" t="s">
        <v>55</v>
      </c>
      <c r="H1614" s="224"/>
      <c r="I1614" s="229">
        <v>0</v>
      </c>
      <c r="J1614" s="229">
        <v>0</v>
      </c>
      <c r="K1614" s="229">
        <v>0</v>
      </c>
      <c r="L1614" s="229">
        <v>0</v>
      </c>
      <c r="M1614" s="229">
        <v>0</v>
      </c>
      <c r="N1614" s="229">
        <v>0</v>
      </c>
      <c r="O1614" s="229">
        <v>0</v>
      </c>
      <c r="P1614" s="229">
        <v>0</v>
      </c>
      <c r="Q1614" s="279">
        <v>0</v>
      </c>
    </row>
    <row r="1615" spans="1:17" customFormat="1">
      <c r="A1615" s="224">
        <v>4</v>
      </c>
      <c r="B1615" s="224">
        <v>8832043</v>
      </c>
      <c r="C1615" s="224">
        <v>883204370</v>
      </c>
      <c r="D1615" s="224" t="s">
        <v>538</v>
      </c>
      <c r="E1615" s="224" t="s">
        <v>539</v>
      </c>
      <c r="F1615" s="224" t="s">
        <v>826</v>
      </c>
      <c r="G1615" s="224" t="s">
        <v>827</v>
      </c>
      <c r="H1615" s="224" t="s">
        <v>492</v>
      </c>
      <c r="I1615" s="229">
        <v>0</v>
      </c>
      <c r="J1615" s="229">
        <v>0</v>
      </c>
      <c r="K1615" s="229">
        <v>0</v>
      </c>
      <c r="L1615" s="229">
        <v>0</v>
      </c>
      <c r="M1615" s="229">
        <v>0</v>
      </c>
      <c r="N1615" s="229">
        <v>0</v>
      </c>
      <c r="O1615" s="229">
        <v>0</v>
      </c>
      <c r="P1615" s="229">
        <v>0</v>
      </c>
      <c r="Q1615" s="279">
        <v>0</v>
      </c>
    </row>
    <row r="1616" spans="1:17" customFormat="1">
      <c r="A1616" s="224">
        <v>4</v>
      </c>
      <c r="B1616" s="224">
        <v>8832043</v>
      </c>
      <c r="C1616" s="224">
        <v>883204371</v>
      </c>
      <c r="D1616" s="224" t="s">
        <v>538</v>
      </c>
      <c r="E1616" s="224" t="s">
        <v>539</v>
      </c>
      <c r="F1616" s="224" t="s">
        <v>826</v>
      </c>
      <c r="G1616" s="224" t="s">
        <v>827</v>
      </c>
      <c r="H1616" s="224" t="s">
        <v>491</v>
      </c>
      <c r="I1616" s="229">
        <v>27156268</v>
      </c>
      <c r="J1616" s="229">
        <v>0</v>
      </c>
      <c r="K1616" s="229">
        <v>0</v>
      </c>
      <c r="L1616" s="229">
        <v>0</v>
      </c>
      <c r="M1616" s="229">
        <v>0</v>
      </c>
      <c r="N1616" s="229">
        <v>0</v>
      </c>
      <c r="O1616" s="229">
        <v>0</v>
      </c>
      <c r="P1616" s="229">
        <v>27156268</v>
      </c>
      <c r="Q1616" s="279">
        <v>0</v>
      </c>
    </row>
    <row r="1617" spans="1:17" customFormat="1">
      <c r="A1617" s="224">
        <v>4</v>
      </c>
      <c r="B1617" s="224">
        <v>8832043</v>
      </c>
      <c r="C1617" s="224">
        <v>883204372</v>
      </c>
      <c r="D1617" s="224" t="s">
        <v>538</v>
      </c>
      <c r="E1617" s="224" t="s">
        <v>539</v>
      </c>
      <c r="F1617" s="224" t="s">
        <v>826</v>
      </c>
      <c r="G1617" s="224" t="s">
        <v>827</v>
      </c>
      <c r="H1617" s="224" t="s">
        <v>490</v>
      </c>
      <c r="I1617" s="229">
        <v>0</v>
      </c>
      <c r="J1617" s="229">
        <v>0</v>
      </c>
      <c r="K1617" s="229">
        <v>0</v>
      </c>
      <c r="L1617" s="229">
        <v>0</v>
      </c>
      <c r="M1617" s="229">
        <v>0</v>
      </c>
      <c r="N1617" s="229">
        <v>0</v>
      </c>
      <c r="O1617" s="229">
        <v>0</v>
      </c>
      <c r="P1617" s="229">
        <v>0</v>
      </c>
      <c r="Q1617" s="279">
        <v>0</v>
      </c>
    </row>
    <row r="1618" spans="1:17" customFormat="1">
      <c r="A1618" s="224">
        <v>4</v>
      </c>
      <c r="B1618" s="224">
        <v>8832043</v>
      </c>
      <c r="C1618" s="224">
        <v>883204373</v>
      </c>
      <c r="D1618" s="224" t="s">
        <v>538</v>
      </c>
      <c r="E1618" s="224" t="s">
        <v>539</v>
      </c>
      <c r="F1618" s="224" t="s">
        <v>826</v>
      </c>
      <c r="G1618" s="224" t="s">
        <v>827</v>
      </c>
      <c r="H1618" s="224" t="s">
        <v>489</v>
      </c>
      <c r="I1618" s="229">
        <v>0</v>
      </c>
      <c r="J1618" s="229">
        <v>0</v>
      </c>
      <c r="K1618" s="229">
        <v>0</v>
      </c>
      <c r="L1618" s="229">
        <v>0</v>
      </c>
      <c r="M1618" s="229">
        <v>0</v>
      </c>
      <c r="N1618" s="229">
        <v>0</v>
      </c>
      <c r="O1618" s="229">
        <v>0</v>
      </c>
      <c r="P1618" s="229">
        <v>0</v>
      </c>
      <c r="Q1618" s="279">
        <v>0</v>
      </c>
    </row>
    <row r="1619" spans="1:17" customFormat="1">
      <c r="A1619" s="224">
        <v>4</v>
      </c>
      <c r="B1619" s="224">
        <v>8832043</v>
      </c>
      <c r="C1619" s="224">
        <v>883204374</v>
      </c>
      <c r="D1619" s="224" t="s">
        <v>538</v>
      </c>
      <c r="E1619" s="224" t="s">
        <v>539</v>
      </c>
      <c r="F1619" s="224" t="s">
        <v>826</v>
      </c>
      <c r="G1619" s="224" t="s">
        <v>827</v>
      </c>
      <c r="H1619" s="224" t="s">
        <v>488</v>
      </c>
      <c r="I1619" s="229">
        <v>0</v>
      </c>
      <c r="J1619" s="229">
        <v>0</v>
      </c>
      <c r="K1619" s="229">
        <v>0</v>
      </c>
      <c r="L1619" s="229">
        <v>0</v>
      </c>
      <c r="M1619" s="229">
        <v>0</v>
      </c>
      <c r="N1619" s="229">
        <v>0</v>
      </c>
      <c r="O1619" s="229">
        <v>0</v>
      </c>
      <c r="P1619" s="229">
        <v>0</v>
      </c>
      <c r="Q1619" s="279">
        <v>0</v>
      </c>
    </row>
    <row r="1620" spans="1:17" customFormat="1">
      <c r="A1620" s="224">
        <v>4</v>
      </c>
      <c r="B1620" s="224">
        <v>8832044</v>
      </c>
      <c r="C1620" s="224">
        <v>883204475</v>
      </c>
      <c r="D1620" s="224" t="s">
        <v>538</v>
      </c>
      <c r="E1620" s="224" t="s">
        <v>539</v>
      </c>
      <c r="F1620" s="224" t="s">
        <v>826</v>
      </c>
      <c r="G1620" s="224" t="s">
        <v>828</v>
      </c>
      <c r="H1620" s="224" t="s">
        <v>487</v>
      </c>
      <c r="I1620" s="229">
        <v>0</v>
      </c>
      <c r="J1620" s="229">
        <v>0</v>
      </c>
      <c r="K1620" s="229">
        <v>0</v>
      </c>
      <c r="L1620" s="229">
        <v>0</v>
      </c>
      <c r="M1620" s="229">
        <v>0</v>
      </c>
      <c r="N1620" s="229">
        <v>0</v>
      </c>
      <c r="O1620" s="229">
        <v>0</v>
      </c>
      <c r="P1620" s="229">
        <v>0</v>
      </c>
      <c r="Q1620" s="279">
        <v>0</v>
      </c>
    </row>
    <row r="1621" spans="1:17" customFormat="1">
      <c r="A1621" s="224">
        <v>4</v>
      </c>
      <c r="B1621" s="224">
        <v>8832044</v>
      </c>
      <c r="C1621" s="224">
        <v>883204476</v>
      </c>
      <c r="D1621" s="224" t="s">
        <v>538</v>
      </c>
      <c r="E1621" s="224" t="s">
        <v>539</v>
      </c>
      <c r="F1621" s="224" t="s">
        <v>826</v>
      </c>
      <c r="G1621" s="224" t="s">
        <v>828</v>
      </c>
      <c r="H1621" s="224" t="s">
        <v>486</v>
      </c>
      <c r="I1621" s="229">
        <v>0</v>
      </c>
      <c r="J1621" s="229">
        <v>0</v>
      </c>
      <c r="K1621" s="229">
        <v>0</v>
      </c>
      <c r="L1621" s="229">
        <v>0</v>
      </c>
      <c r="M1621" s="229">
        <v>0</v>
      </c>
      <c r="N1621" s="229">
        <v>0</v>
      </c>
      <c r="O1621" s="229">
        <v>0</v>
      </c>
      <c r="P1621" s="229">
        <v>0</v>
      </c>
      <c r="Q1621" s="279">
        <v>0</v>
      </c>
    </row>
    <row r="1622" spans="1:17" customFormat="1">
      <c r="A1622" s="224">
        <v>4</v>
      </c>
      <c r="B1622" s="224">
        <v>8832044</v>
      </c>
      <c r="C1622" s="224">
        <v>883204477</v>
      </c>
      <c r="D1622" s="224" t="s">
        <v>538</v>
      </c>
      <c r="E1622" s="224" t="s">
        <v>539</v>
      </c>
      <c r="F1622" s="224" t="s">
        <v>826</v>
      </c>
      <c r="G1622" s="224" t="s">
        <v>828</v>
      </c>
      <c r="H1622" s="224" t="s">
        <v>485</v>
      </c>
      <c r="I1622" s="229">
        <v>0</v>
      </c>
      <c r="J1622" s="229">
        <v>0</v>
      </c>
      <c r="K1622" s="229">
        <v>0</v>
      </c>
      <c r="L1622" s="229">
        <v>0</v>
      </c>
      <c r="M1622" s="229">
        <v>0</v>
      </c>
      <c r="N1622" s="229">
        <v>0</v>
      </c>
      <c r="O1622" s="229">
        <v>0</v>
      </c>
      <c r="P1622" s="229">
        <v>0</v>
      </c>
      <c r="Q1622" s="279">
        <v>0</v>
      </c>
    </row>
    <row r="1623" spans="1:17" customFormat="1">
      <c r="A1623" s="224">
        <v>4</v>
      </c>
      <c r="B1623" s="224">
        <v>8832246</v>
      </c>
      <c r="C1623" s="224">
        <v>883224600</v>
      </c>
      <c r="D1623" s="224" t="s">
        <v>538</v>
      </c>
      <c r="E1623" s="224" t="s">
        <v>539</v>
      </c>
      <c r="F1623" s="224" t="s">
        <v>829</v>
      </c>
      <c r="G1623" s="224" t="s">
        <v>495</v>
      </c>
      <c r="H1623" s="224"/>
      <c r="I1623" s="229">
        <v>0</v>
      </c>
      <c r="J1623" s="229">
        <v>0</v>
      </c>
      <c r="K1623" s="229">
        <v>0</v>
      </c>
      <c r="L1623" s="229">
        <v>0</v>
      </c>
      <c r="M1623" s="229">
        <v>0</v>
      </c>
      <c r="N1623" s="229">
        <v>0</v>
      </c>
      <c r="O1623" s="229">
        <v>0</v>
      </c>
      <c r="P1623" s="229">
        <v>0</v>
      </c>
      <c r="Q1623" s="279">
        <v>0</v>
      </c>
    </row>
    <row r="1624" spans="1:17" customFormat="1">
      <c r="A1624" s="224">
        <v>4</v>
      </c>
      <c r="B1624" s="224">
        <v>8832247</v>
      </c>
      <c r="C1624" s="224">
        <v>883224700</v>
      </c>
      <c r="D1624" s="224" t="s">
        <v>538</v>
      </c>
      <c r="E1624" s="224" t="s">
        <v>539</v>
      </c>
      <c r="F1624" s="224" t="s">
        <v>829</v>
      </c>
      <c r="G1624" s="224" t="s">
        <v>494</v>
      </c>
      <c r="H1624" s="224"/>
      <c r="I1624" s="229">
        <v>0</v>
      </c>
      <c r="J1624" s="229">
        <v>0</v>
      </c>
      <c r="K1624" s="229">
        <v>0</v>
      </c>
      <c r="L1624" s="229">
        <v>0</v>
      </c>
      <c r="M1624" s="229">
        <v>0</v>
      </c>
      <c r="N1624" s="229">
        <v>0</v>
      </c>
      <c r="O1624" s="229">
        <v>0</v>
      </c>
      <c r="P1624" s="229">
        <v>0</v>
      </c>
      <c r="Q1624" s="279">
        <v>0</v>
      </c>
    </row>
    <row r="1625" spans="1:17" customFormat="1">
      <c r="A1625" s="224">
        <v>4</v>
      </c>
      <c r="B1625" s="224">
        <v>8840251</v>
      </c>
      <c r="C1625" s="224">
        <v>884025180</v>
      </c>
      <c r="D1625" s="224" t="s">
        <v>538</v>
      </c>
      <c r="E1625" s="224" t="s">
        <v>8</v>
      </c>
      <c r="F1625" s="224" t="s">
        <v>830</v>
      </c>
      <c r="G1625" s="224" t="s">
        <v>831</v>
      </c>
      <c r="H1625" s="224" t="s">
        <v>633</v>
      </c>
      <c r="I1625" s="229">
        <v>2903291</v>
      </c>
      <c r="J1625" s="229">
        <v>0</v>
      </c>
      <c r="K1625" s="229">
        <v>0</v>
      </c>
      <c r="L1625" s="229">
        <v>0</v>
      </c>
      <c r="M1625" s="229">
        <v>0</v>
      </c>
      <c r="N1625" s="229">
        <v>0</v>
      </c>
      <c r="O1625" s="229">
        <v>2903291</v>
      </c>
      <c r="P1625" s="229">
        <v>0</v>
      </c>
      <c r="Q1625" s="279">
        <v>0</v>
      </c>
    </row>
    <row r="1626" spans="1:17" customFormat="1">
      <c r="A1626" s="224">
        <v>4</v>
      </c>
      <c r="B1626" s="224">
        <v>8840251</v>
      </c>
      <c r="C1626" s="224">
        <v>884025181</v>
      </c>
      <c r="D1626" s="224" t="s">
        <v>538</v>
      </c>
      <c r="E1626" s="224" t="s">
        <v>8</v>
      </c>
      <c r="F1626" s="224" t="s">
        <v>830</v>
      </c>
      <c r="G1626" s="224" t="s">
        <v>831</v>
      </c>
      <c r="H1626" s="224" t="s">
        <v>832</v>
      </c>
      <c r="I1626" s="229">
        <v>0</v>
      </c>
      <c r="J1626" s="229">
        <v>0</v>
      </c>
      <c r="K1626" s="229">
        <v>0</v>
      </c>
      <c r="L1626" s="229">
        <v>0</v>
      </c>
      <c r="M1626" s="229">
        <v>0</v>
      </c>
      <c r="N1626" s="229">
        <v>0</v>
      </c>
      <c r="O1626" s="229">
        <v>0</v>
      </c>
      <c r="P1626" s="229">
        <v>0</v>
      </c>
      <c r="Q1626" s="279">
        <v>0</v>
      </c>
    </row>
    <row r="1627" spans="1:17" customFormat="1">
      <c r="A1627" s="224">
        <v>4</v>
      </c>
      <c r="B1627" s="224">
        <v>8840252</v>
      </c>
      <c r="C1627" s="224">
        <v>884025200</v>
      </c>
      <c r="D1627" s="224" t="s">
        <v>538</v>
      </c>
      <c r="E1627" s="224" t="s">
        <v>8</v>
      </c>
      <c r="F1627" s="224" t="s">
        <v>830</v>
      </c>
      <c r="G1627" s="224" t="s">
        <v>504</v>
      </c>
      <c r="H1627" s="224"/>
      <c r="I1627" s="229">
        <v>0</v>
      </c>
      <c r="J1627" s="229">
        <v>0</v>
      </c>
      <c r="K1627" s="229">
        <v>0</v>
      </c>
      <c r="L1627" s="229">
        <v>0</v>
      </c>
      <c r="M1627" s="229">
        <v>0</v>
      </c>
      <c r="N1627" s="229">
        <v>0</v>
      </c>
      <c r="O1627" s="229">
        <v>0</v>
      </c>
      <c r="P1627" s="229">
        <v>0</v>
      </c>
      <c r="Q1627" s="279">
        <v>0</v>
      </c>
    </row>
    <row r="1628" spans="1:17" customFormat="1">
      <c r="A1628" s="224">
        <v>4</v>
      </c>
      <c r="B1628" s="224">
        <v>8840253</v>
      </c>
      <c r="C1628" s="224">
        <v>884025300</v>
      </c>
      <c r="D1628" s="224" t="s">
        <v>538</v>
      </c>
      <c r="E1628" s="224" t="s">
        <v>8</v>
      </c>
      <c r="F1628" s="224" t="s">
        <v>830</v>
      </c>
      <c r="G1628" s="224" t="s">
        <v>503</v>
      </c>
      <c r="H1628" s="224"/>
      <c r="I1628" s="229">
        <v>0</v>
      </c>
      <c r="J1628" s="229">
        <v>0</v>
      </c>
      <c r="K1628" s="229">
        <v>0</v>
      </c>
      <c r="L1628" s="229">
        <v>0</v>
      </c>
      <c r="M1628" s="229">
        <v>0</v>
      </c>
      <c r="N1628" s="229">
        <v>0</v>
      </c>
      <c r="O1628" s="229">
        <v>0</v>
      </c>
      <c r="P1628" s="229">
        <v>0</v>
      </c>
      <c r="Q1628" s="279">
        <v>0</v>
      </c>
    </row>
    <row r="1629" spans="1:17" customFormat="1">
      <c r="A1629" s="224">
        <v>4</v>
      </c>
      <c r="B1629" s="224">
        <v>8840254</v>
      </c>
      <c r="C1629" s="224">
        <v>884025400</v>
      </c>
      <c r="D1629" s="224" t="s">
        <v>538</v>
      </c>
      <c r="E1629" s="224" t="s">
        <v>8</v>
      </c>
      <c r="F1629" s="224" t="s">
        <v>830</v>
      </c>
      <c r="G1629" s="224" t="s">
        <v>502</v>
      </c>
      <c r="H1629" s="224"/>
      <c r="I1629" s="229">
        <v>6</v>
      </c>
      <c r="J1629" s="229">
        <v>0</v>
      </c>
      <c r="K1629" s="229">
        <v>0</v>
      </c>
      <c r="L1629" s="229">
        <v>0</v>
      </c>
      <c r="M1629" s="229">
        <v>0</v>
      </c>
      <c r="N1629" s="229">
        <v>0</v>
      </c>
      <c r="O1629" s="229">
        <v>6</v>
      </c>
      <c r="P1629" s="229">
        <v>0</v>
      </c>
      <c r="Q1629" s="279">
        <v>0</v>
      </c>
    </row>
    <row r="1630" spans="1:17" customFormat="1">
      <c r="A1630" s="224">
        <v>4</v>
      </c>
      <c r="B1630" s="224">
        <v>8840255</v>
      </c>
      <c r="C1630" s="224">
        <v>884025500</v>
      </c>
      <c r="D1630" s="224" t="s">
        <v>538</v>
      </c>
      <c r="E1630" s="224" t="s">
        <v>8</v>
      </c>
      <c r="F1630" s="224" t="s">
        <v>830</v>
      </c>
      <c r="G1630" s="224" t="s">
        <v>501</v>
      </c>
      <c r="H1630" s="224"/>
      <c r="I1630" s="229">
        <v>0</v>
      </c>
      <c r="J1630" s="229">
        <v>0</v>
      </c>
      <c r="K1630" s="229">
        <v>0</v>
      </c>
      <c r="L1630" s="229">
        <v>0</v>
      </c>
      <c r="M1630" s="229">
        <v>0</v>
      </c>
      <c r="N1630" s="229">
        <v>0</v>
      </c>
      <c r="O1630" s="229">
        <v>0</v>
      </c>
      <c r="P1630" s="229">
        <v>0</v>
      </c>
      <c r="Q1630" s="279">
        <v>0</v>
      </c>
    </row>
    <row r="1631" spans="1:17" customFormat="1">
      <c r="A1631" s="224">
        <v>4</v>
      </c>
      <c r="B1631" s="224">
        <v>8840456</v>
      </c>
      <c r="C1631" s="224">
        <v>884045600</v>
      </c>
      <c r="D1631" s="224" t="s">
        <v>538</v>
      </c>
      <c r="E1631" s="224" t="s">
        <v>8</v>
      </c>
      <c r="F1631" s="224" t="s">
        <v>833</v>
      </c>
      <c r="G1631" s="224" t="s">
        <v>834</v>
      </c>
      <c r="H1631" s="224"/>
      <c r="I1631" s="229">
        <v>0</v>
      </c>
      <c r="J1631" s="229">
        <v>0</v>
      </c>
      <c r="K1631" s="229">
        <v>0</v>
      </c>
      <c r="L1631" s="229">
        <v>0</v>
      </c>
      <c r="M1631" s="229">
        <v>0</v>
      </c>
      <c r="N1631" s="229">
        <v>0</v>
      </c>
      <c r="O1631" s="229">
        <v>0</v>
      </c>
      <c r="P1631" s="229">
        <v>0</v>
      </c>
      <c r="Q1631" s="279">
        <v>0</v>
      </c>
    </row>
    <row r="1632" spans="1:17" customFormat="1">
      <c r="A1632" s="224">
        <v>4</v>
      </c>
      <c r="B1632" s="224">
        <v>8840457</v>
      </c>
      <c r="C1632" s="224">
        <v>884045700</v>
      </c>
      <c r="D1632" s="224" t="s">
        <v>538</v>
      </c>
      <c r="E1632" s="224" t="s">
        <v>8</v>
      </c>
      <c r="F1632" s="224" t="s">
        <v>833</v>
      </c>
      <c r="G1632" s="224" t="s">
        <v>835</v>
      </c>
      <c r="H1632" s="224"/>
      <c r="I1632" s="229">
        <v>0</v>
      </c>
      <c r="J1632" s="229">
        <v>0</v>
      </c>
      <c r="K1632" s="229">
        <v>0</v>
      </c>
      <c r="L1632" s="229">
        <v>0</v>
      </c>
      <c r="M1632" s="229">
        <v>0</v>
      </c>
      <c r="N1632" s="229">
        <v>0</v>
      </c>
      <c r="O1632" s="229">
        <v>0</v>
      </c>
      <c r="P1632" s="229">
        <v>0</v>
      </c>
      <c r="Q1632" s="279">
        <v>0</v>
      </c>
    </row>
    <row r="1633" spans="1:17" customFormat="1">
      <c r="A1633" s="224">
        <v>4</v>
      </c>
      <c r="B1633" s="224">
        <v>8840458</v>
      </c>
      <c r="C1633" s="224">
        <v>884045800</v>
      </c>
      <c r="D1633" s="224" t="s">
        <v>538</v>
      </c>
      <c r="E1633" s="224" t="s">
        <v>8</v>
      </c>
      <c r="F1633" s="224" t="s">
        <v>833</v>
      </c>
      <c r="G1633" s="224" t="s">
        <v>836</v>
      </c>
      <c r="H1633" s="224"/>
      <c r="I1633" s="229">
        <v>0</v>
      </c>
      <c r="J1633" s="229">
        <v>0</v>
      </c>
      <c r="K1633" s="229">
        <v>0</v>
      </c>
      <c r="L1633" s="229">
        <v>0</v>
      </c>
      <c r="M1633" s="229">
        <v>0</v>
      </c>
      <c r="N1633" s="229">
        <v>0</v>
      </c>
      <c r="O1633" s="229">
        <v>0</v>
      </c>
      <c r="P1633" s="229">
        <v>0</v>
      </c>
      <c r="Q1633" s="279">
        <v>0</v>
      </c>
    </row>
    <row r="1634" spans="1:17" customFormat="1">
      <c r="A1634" s="224">
        <v>4</v>
      </c>
      <c r="B1634" s="224">
        <v>8840559</v>
      </c>
      <c r="C1634" s="224">
        <v>884055900</v>
      </c>
      <c r="D1634" s="224" t="s">
        <v>538</v>
      </c>
      <c r="E1634" s="224" t="s">
        <v>8</v>
      </c>
      <c r="F1634" s="224" t="s">
        <v>837</v>
      </c>
      <c r="G1634" s="224" t="s">
        <v>837</v>
      </c>
      <c r="H1634" s="224"/>
      <c r="I1634" s="229">
        <v>0</v>
      </c>
      <c r="J1634" s="229">
        <v>0</v>
      </c>
      <c r="K1634" s="229">
        <v>0</v>
      </c>
      <c r="L1634" s="229">
        <v>0</v>
      </c>
      <c r="M1634" s="229">
        <v>0</v>
      </c>
      <c r="N1634" s="229">
        <v>0</v>
      </c>
      <c r="O1634" s="229">
        <v>0</v>
      </c>
      <c r="P1634" s="229">
        <v>0</v>
      </c>
      <c r="Q1634" s="279">
        <v>0</v>
      </c>
    </row>
    <row r="1635" spans="1:17" customFormat="1">
      <c r="A1635" s="224">
        <v>4</v>
      </c>
      <c r="B1635" s="224">
        <v>8840662</v>
      </c>
      <c r="C1635" s="224">
        <v>884066200</v>
      </c>
      <c r="D1635" s="224" t="s">
        <v>538</v>
      </c>
      <c r="E1635" s="224" t="s">
        <v>8</v>
      </c>
      <c r="F1635" s="224" t="s">
        <v>838</v>
      </c>
      <c r="G1635" s="224" t="s">
        <v>839</v>
      </c>
      <c r="H1635" s="224"/>
      <c r="I1635" s="229">
        <v>0</v>
      </c>
      <c r="J1635" s="229">
        <v>0</v>
      </c>
      <c r="K1635" s="229">
        <v>0</v>
      </c>
      <c r="L1635" s="229">
        <v>0</v>
      </c>
      <c r="M1635" s="229">
        <v>0</v>
      </c>
      <c r="N1635" s="229">
        <v>0</v>
      </c>
      <c r="O1635" s="229">
        <v>0</v>
      </c>
      <c r="P1635" s="229">
        <v>0</v>
      </c>
      <c r="Q1635" s="279">
        <v>0</v>
      </c>
    </row>
    <row r="1636" spans="1:17" customFormat="1">
      <c r="A1636" s="224">
        <v>4</v>
      </c>
      <c r="B1636" s="224">
        <v>8840663</v>
      </c>
      <c r="C1636" s="224">
        <v>884066300</v>
      </c>
      <c r="D1636" s="224" t="s">
        <v>538</v>
      </c>
      <c r="E1636" s="224" t="s">
        <v>8</v>
      </c>
      <c r="F1636" s="224" t="s">
        <v>838</v>
      </c>
      <c r="G1636" s="224" t="s">
        <v>840</v>
      </c>
      <c r="H1636" s="224"/>
      <c r="I1636" s="229">
        <v>0</v>
      </c>
      <c r="J1636" s="229">
        <v>0</v>
      </c>
      <c r="K1636" s="229">
        <v>0</v>
      </c>
      <c r="L1636" s="229">
        <v>0</v>
      </c>
      <c r="M1636" s="229">
        <v>0</v>
      </c>
      <c r="N1636" s="229">
        <v>0</v>
      </c>
      <c r="O1636" s="229">
        <v>0</v>
      </c>
      <c r="P1636" s="229">
        <v>0</v>
      </c>
      <c r="Q1636" s="279">
        <v>0</v>
      </c>
    </row>
    <row r="1637" spans="1:17" customFormat="1">
      <c r="A1637" s="224">
        <v>4</v>
      </c>
      <c r="B1637" s="224">
        <v>8850202</v>
      </c>
      <c r="C1637" s="224">
        <v>885020200</v>
      </c>
      <c r="D1637" s="224" t="s">
        <v>538</v>
      </c>
      <c r="E1637" s="224" t="s">
        <v>5</v>
      </c>
      <c r="F1637" s="224" t="s">
        <v>841</v>
      </c>
      <c r="G1637" s="224" t="s">
        <v>841</v>
      </c>
      <c r="H1637" s="224"/>
      <c r="I1637" s="229">
        <v>0</v>
      </c>
      <c r="J1637" s="229">
        <v>0</v>
      </c>
      <c r="K1637" s="229">
        <v>0</v>
      </c>
      <c r="L1637" s="229">
        <v>0</v>
      </c>
      <c r="M1637" s="229">
        <v>0</v>
      </c>
      <c r="N1637" s="229">
        <v>0</v>
      </c>
      <c r="O1637" s="229">
        <v>0</v>
      </c>
      <c r="P1637" s="229">
        <v>0</v>
      </c>
      <c r="Q1637" s="279">
        <v>0</v>
      </c>
    </row>
    <row r="1638" spans="1:17" customFormat="1">
      <c r="A1638" s="224">
        <v>4</v>
      </c>
      <c r="B1638" s="224">
        <v>8850404</v>
      </c>
      <c r="C1638" s="224">
        <v>885040400</v>
      </c>
      <c r="D1638" s="224" t="s">
        <v>538</v>
      </c>
      <c r="E1638" s="224" t="s">
        <v>5</v>
      </c>
      <c r="F1638" s="224" t="s">
        <v>842</v>
      </c>
      <c r="G1638" s="224" t="s">
        <v>842</v>
      </c>
      <c r="H1638" s="224"/>
      <c r="I1638" s="229">
        <v>0</v>
      </c>
      <c r="J1638" s="229">
        <v>0</v>
      </c>
      <c r="K1638" s="229">
        <v>0</v>
      </c>
      <c r="L1638" s="229">
        <v>0</v>
      </c>
      <c r="M1638" s="229">
        <v>0</v>
      </c>
      <c r="N1638" s="229">
        <v>0</v>
      </c>
      <c r="O1638" s="229">
        <v>0</v>
      </c>
      <c r="P1638" s="229">
        <v>0</v>
      </c>
      <c r="Q1638" s="279">
        <v>0</v>
      </c>
    </row>
    <row r="1639" spans="1:17" customFormat="1">
      <c r="A1639" s="224">
        <v>4</v>
      </c>
      <c r="B1639" s="224">
        <v>8850606</v>
      </c>
      <c r="C1639" s="224">
        <v>885060600</v>
      </c>
      <c r="D1639" s="224" t="s">
        <v>538</v>
      </c>
      <c r="E1639" s="224" t="s">
        <v>5</v>
      </c>
      <c r="F1639" s="224" t="s">
        <v>527</v>
      </c>
      <c r="G1639" s="224" t="s">
        <v>527</v>
      </c>
      <c r="H1639" s="224"/>
      <c r="I1639" s="229">
        <v>0</v>
      </c>
      <c r="J1639" s="229">
        <v>0</v>
      </c>
      <c r="K1639" s="229">
        <v>0</v>
      </c>
      <c r="L1639" s="229">
        <v>0</v>
      </c>
      <c r="M1639" s="229">
        <v>0</v>
      </c>
      <c r="N1639" s="229">
        <v>0</v>
      </c>
      <c r="O1639" s="229">
        <v>0</v>
      </c>
      <c r="P1639" s="229">
        <v>0</v>
      </c>
      <c r="Q1639" s="279">
        <v>0</v>
      </c>
    </row>
    <row r="1640" spans="1:17" customFormat="1">
      <c r="A1640" s="224">
        <v>4</v>
      </c>
      <c r="B1640" s="224">
        <v>8850808</v>
      </c>
      <c r="C1640" s="224">
        <v>885080800</v>
      </c>
      <c r="D1640" s="224" t="s">
        <v>538</v>
      </c>
      <c r="E1640" s="224" t="s">
        <v>5</v>
      </c>
      <c r="F1640" s="224" t="s">
        <v>523</v>
      </c>
      <c r="G1640" s="224" t="s">
        <v>523</v>
      </c>
      <c r="H1640" s="224"/>
      <c r="I1640" s="229">
        <v>0</v>
      </c>
      <c r="J1640" s="229">
        <v>0</v>
      </c>
      <c r="K1640" s="229">
        <v>0</v>
      </c>
      <c r="L1640" s="229">
        <v>0</v>
      </c>
      <c r="M1640" s="229">
        <v>0</v>
      </c>
      <c r="N1640" s="229">
        <v>0</v>
      </c>
      <c r="O1640" s="229">
        <v>0</v>
      </c>
      <c r="P1640" s="229">
        <v>0</v>
      </c>
      <c r="Q1640" s="279">
        <v>0</v>
      </c>
    </row>
    <row r="1641" spans="1:17" customFormat="1">
      <c r="A1641" s="224">
        <v>4</v>
      </c>
      <c r="B1641" s="224">
        <v>8851010</v>
      </c>
      <c r="C1641" s="224">
        <v>885101000</v>
      </c>
      <c r="D1641" s="224" t="s">
        <v>538</v>
      </c>
      <c r="E1641" s="224" t="s">
        <v>5</v>
      </c>
      <c r="F1641" s="224" t="s">
        <v>843</v>
      </c>
      <c r="G1641" s="224" t="s">
        <v>843</v>
      </c>
      <c r="H1641" s="224"/>
      <c r="I1641" s="229">
        <v>0</v>
      </c>
      <c r="J1641" s="229">
        <v>0</v>
      </c>
      <c r="K1641" s="229">
        <v>0</v>
      </c>
      <c r="L1641" s="229">
        <v>0</v>
      </c>
      <c r="M1641" s="229">
        <v>0</v>
      </c>
      <c r="N1641" s="229">
        <v>0</v>
      </c>
      <c r="O1641" s="229">
        <v>0</v>
      </c>
      <c r="P1641" s="229">
        <v>0</v>
      </c>
      <c r="Q1641" s="279">
        <v>0</v>
      </c>
    </row>
    <row r="1642" spans="1:17" customFormat="1">
      <c r="A1642" s="224">
        <v>4</v>
      </c>
      <c r="B1642" s="224">
        <v>8900101</v>
      </c>
      <c r="C1642" s="224">
        <v>890010100</v>
      </c>
      <c r="D1642" s="224" t="s">
        <v>538</v>
      </c>
      <c r="E1642" s="224" t="s">
        <v>809</v>
      </c>
      <c r="F1642" s="224" t="s">
        <v>809</v>
      </c>
      <c r="G1642" s="224" t="s">
        <v>809</v>
      </c>
      <c r="H1642" s="224"/>
      <c r="I1642" s="229">
        <v>0</v>
      </c>
      <c r="J1642" s="229">
        <v>0</v>
      </c>
      <c r="K1642" s="229">
        <v>0</v>
      </c>
      <c r="L1642" s="229">
        <v>0</v>
      </c>
      <c r="M1642" s="229">
        <v>0</v>
      </c>
      <c r="N1642" s="229">
        <v>0</v>
      </c>
      <c r="O1642" s="229">
        <v>0</v>
      </c>
      <c r="P1642" s="229">
        <v>0</v>
      </c>
      <c r="Q1642" s="279">
        <v>0</v>
      </c>
    </row>
  </sheetData>
  <autoFilter ref="A2:Q1642">
    <filterColumn colId="9" showButton="0"/>
    <filterColumn colId="10" showButton="0"/>
    <filterColumn colId="11" showButton="0"/>
    <filterColumn colId="12" showButton="0"/>
  </autoFilter>
  <mergeCells count="10">
    <mergeCell ref="J2:N2"/>
    <mergeCell ref="G2:G3"/>
    <mergeCell ref="H2:H3"/>
    <mergeCell ref="I2:I3"/>
    <mergeCell ref="A2:A3"/>
    <mergeCell ref="C2:C3"/>
    <mergeCell ref="B2:B3"/>
    <mergeCell ref="D2:D3"/>
    <mergeCell ref="E2:E3"/>
    <mergeCell ref="F2:F3"/>
  </mergeCells>
  <phoneticPr fontId="3"/>
  <pageMargins left="0.7" right="0.7" top="0.75" bottom="0.75" header="0.3" footer="0.3"/>
  <pageSetup paperSize="9" scale="25" orientation="landscape" r:id="rId1"/>
  <legacyDrawing r:id="rId2"/>
</worksheet>
</file>

<file path=xl/worksheets/w1_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sheetPr>
  <dimension ref="A1:BK191"/>
  <sheetViews>
    <sheetView workbookViewId="0"/>
  </sheetViews>
  <sheetFormatPr defaultColWidth="9" defaultRowHeight="13.5" outlineLevelCol="1"/>
  <cols>
    <col min="1" max="1" width="3.375" style="237" customWidth="1"/>
    <col min="2" max="4" width="2" style="237" customWidth="1" outlineLevel="1"/>
    <col min="5" max="5" width="5.625" style="237" customWidth="1"/>
    <col min="6" max="7" width="2" style="237" customWidth="1" outlineLevel="1"/>
    <col min="8" max="8" width="20.125" style="237" customWidth="1"/>
    <col min="9" max="9" width="9" style="237" customWidth="1" outlineLevel="1"/>
    <col min="10" max="12" width="3.75" style="237" customWidth="1" outlineLevel="1"/>
    <col min="13" max="13" width="4.25" style="237" customWidth="1" outlineLevel="1"/>
    <col min="14" max="14" width="4.125" style="237" customWidth="1"/>
    <col min="15" max="15" width="3.625" style="237" customWidth="1"/>
    <col min="16" max="16" width="5.75" style="237" customWidth="1"/>
    <col min="17" max="18" width="9" style="237"/>
    <col min="19" max="19" width="4.25" style="237" customWidth="1"/>
    <col min="20" max="20" width="6.375" style="237" customWidth="1" outlineLevel="1"/>
    <col min="21" max="24" width="9" style="237" customWidth="1" outlineLevel="1"/>
    <col min="25" max="25" width="11.375" style="237" bestFit="1" customWidth="1"/>
    <col min="26" max="26" width="4.25" style="237" customWidth="1" outlineLevel="1"/>
    <col min="27" max="27" width="9" style="237" customWidth="1" outlineLevel="1"/>
    <col min="28" max="28" width="7.875" style="237" customWidth="1" outlineLevel="1"/>
    <col min="29" max="29" width="4.25" style="237" customWidth="1" outlineLevel="1"/>
    <col min="30" max="30" width="9" style="237" customWidth="1" outlineLevel="1"/>
    <col min="31" max="31" width="7.875" style="237" customWidth="1" outlineLevel="1"/>
    <col min="32" max="32" width="8" style="237" customWidth="1" outlineLevel="1"/>
    <col min="33" max="33" width="5.75" style="237" customWidth="1" outlineLevel="1"/>
    <col min="34" max="34" width="7.375" style="237" customWidth="1" outlineLevel="1"/>
    <col min="35" max="38" width="9" style="237" customWidth="1" outlineLevel="1"/>
    <col min="39" max="39" width="6.125" style="237" customWidth="1" outlineLevel="1"/>
    <col min="40" max="41" width="9" style="237" customWidth="1" outlineLevel="1"/>
    <col min="42" max="43" width="7.375" style="237" customWidth="1" outlineLevel="1"/>
    <col min="44" max="44" width="3.75" style="237" customWidth="1" outlineLevel="1"/>
    <col min="45" max="47" width="9" style="237"/>
    <col min="48" max="50" width="9.375" style="237" customWidth="1"/>
    <col min="51" max="53" width="9" style="237"/>
    <col min="54" max="54" width="11.375" style="237" bestFit="1" customWidth="1"/>
    <col min="55" max="16384" width="9" style="237"/>
  </cols>
  <sheetData>
    <row r="1" spans="1:63" ht="13.5" customHeight="1">
      <c r="R1" s="238" t="s">
        <v>554</v>
      </c>
    </row>
    <row r="2" spans="1:63">
      <c r="AU2" s="239">
        <v>1</v>
      </c>
      <c r="AV2" s="240" t="s">
        <v>555</v>
      </c>
      <c r="AW2" s="240" t="s">
        <v>556</v>
      </c>
      <c r="AX2" s="240"/>
      <c r="AY2" s="241"/>
      <c r="AZ2" s="241"/>
      <c r="BA2" s="241"/>
      <c r="BC2" s="239">
        <v>4</v>
      </c>
      <c r="BD2" s="240" t="s">
        <v>557</v>
      </c>
      <c r="BE2" s="240" t="s">
        <v>556</v>
      </c>
      <c r="BF2" s="240"/>
      <c r="BG2" s="241"/>
      <c r="BH2" s="241"/>
      <c r="BI2" s="241"/>
    </row>
    <row r="3" spans="1:63">
      <c r="Y3" s="237" t="s">
        <v>534</v>
      </c>
      <c r="AU3" s="242">
        <v>3</v>
      </c>
      <c r="AV3" s="242">
        <v>5</v>
      </c>
      <c r="AW3" s="242">
        <v>8</v>
      </c>
      <c r="AX3" s="265">
        <v>8</v>
      </c>
      <c r="AY3" s="242">
        <v>10</v>
      </c>
      <c r="AZ3" s="242" t="s">
        <v>535</v>
      </c>
      <c r="BA3" s="242" t="s">
        <v>536</v>
      </c>
      <c r="BB3" s="237" t="s">
        <v>2</v>
      </c>
      <c r="BC3" s="242">
        <v>3</v>
      </c>
      <c r="BD3" s="242">
        <v>5</v>
      </c>
      <c r="BE3" s="242">
        <v>8</v>
      </c>
      <c r="BF3" s="265">
        <v>8</v>
      </c>
      <c r="BG3" s="242">
        <v>10</v>
      </c>
      <c r="BH3" s="242" t="s">
        <v>535</v>
      </c>
      <c r="BI3" s="242" t="s">
        <v>536</v>
      </c>
      <c r="BJ3" s="237" t="s">
        <v>2</v>
      </c>
      <c r="BK3" s="237" t="s">
        <v>558</v>
      </c>
    </row>
    <row r="4" spans="1:63">
      <c r="N4" s="237">
        <v>1</v>
      </c>
      <c r="O4" s="237" t="s">
        <v>538</v>
      </c>
      <c r="P4" s="237" t="s">
        <v>539</v>
      </c>
      <c r="Q4" s="237" t="s">
        <v>559</v>
      </c>
      <c r="Y4" s="229">
        <f t="shared" ref="Y4:Y9" si="0">+SUMIFS(Y$15:Y$47,$Q$15:$Q$47,$Q4)</f>
        <v>0</v>
      </c>
      <c r="AU4" s="243">
        <f>+SUMIFS($Y$15:$Y$47,$Q$15:$Q$47,$Q4,$AT$15:$AT$47,AU$3,$M$15:$M$47,$AU$2)</f>
        <v>0</v>
      </c>
      <c r="AV4" s="243">
        <f t="shared" ref="AV4:BA9" si="1">+SUMIFS($Y$15:$Y$47,$Q$15:$Q$47,$Q4,$AT$15:$AT$47,AV$3,$M$15:$M$47,$AU$2)</f>
        <v>0</v>
      </c>
      <c r="AW4" s="243">
        <f t="shared" si="1"/>
        <v>0</v>
      </c>
      <c r="AX4" s="243">
        <f t="shared" si="1"/>
        <v>0</v>
      </c>
      <c r="AY4" s="243">
        <f t="shared" si="1"/>
        <v>0</v>
      </c>
      <c r="AZ4" s="243">
        <f t="shared" si="1"/>
        <v>0</v>
      </c>
      <c r="BA4" s="243">
        <f t="shared" si="1"/>
        <v>0</v>
      </c>
      <c r="BB4" s="244">
        <f>SUM(AU4:BA4)</f>
        <v>0</v>
      </c>
      <c r="BC4" s="243">
        <f>+SUMIFS($Y$15:$Y$47,$Q$15:$Q$47,$Q4,$AT$15:$AT$47,BC$3,$M$15:$M$47,$BC$2)</f>
        <v>0</v>
      </c>
      <c r="BD4" s="243">
        <f t="shared" ref="BD4:BI9" si="2">+SUMIFS($Y$15:$Y$47,$Q$15:$Q$47,$Q4,$AT$15:$AT$47,BD$3,$M$15:$M$47,$BC$2)</f>
        <v>0</v>
      </c>
      <c r="BE4" s="243">
        <f>+SUMIFS($Y$15:$Y$47,$Q$15:$Q$47,$Q4,$AT$15:$AT$47,BE$3,$M$15:$M$47,$BC$2)-BF4</f>
        <v>0</v>
      </c>
      <c r="BF4" s="243">
        <f t="shared" si="2"/>
        <v>0</v>
      </c>
      <c r="BG4" s="243">
        <f t="shared" si="2"/>
        <v>0</v>
      </c>
      <c r="BH4" s="243">
        <f t="shared" si="2"/>
        <v>0</v>
      </c>
      <c r="BI4" s="243">
        <f t="shared" si="2"/>
        <v>0</v>
      </c>
      <c r="BJ4" s="244">
        <f>SUM(BC4:BI4)</f>
        <v>0</v>
      </c>
      <c r="BK4" s="237" t="str">
        <f>+IF(Y4=(BB4+BJ4),"OK","エラー")</f>
        <v>OK</v>
      </c>
    </row>
    <row r="5" spans="1:63">
      <c r="N5" s="237">
        <v>1</v>
      </c>
      <c r="O5" s="237" t="s">
        <v>538</v>
      </c>
      <c r="P5" s="237" t="s">
        <v>539</v>
      </c>
      <c r="Q5" s="237" t="s">
        <v>560</v>
      </c>
      <c r="Y5" s="229">
        <f t="shared" si="0"/>
        <v>0</v>
      </c>
      <c r="AU5" s="243">
        <f t="shared" ref="AU5:AU9" si="3">+SUMIFS($Y$15:$Y$47,$Q$15:$Q$47,$Q5,$AT$15:$AT$47,AU$3,$M$15:$M$47,$AU$2)</f>
        <v>0</v>
      </c>
      <c r="AV5" s="243">
        <f t="shared" si="1"/>
        <v>0</v>
      </c>
      <c r="AW5" s="243">
        <f t="shared" si="1"/>
        <v>0</v>
      </c>
      <c r="AX5" s="243">
        <f t="shared" si="1"/>
        <v>0</v>
      </c>
      <c r="AY5" s="243">
        <f t="shared" si="1"/>
        <v>0</v>
      </c>
      <c r="AZ5" s="243">
        <f t="shared" si="1"/>
        <v>0</v>
      </c>
      <c r="BA5" s="243">
        <f t="shared" si="1"/>
        <v>0</v>
      </c>
      <c r="BB5" s="244">
        <f t="shared" ref="BB5:BB6" si="4">SUM(AU5:BA5)</f>
        <v>0</v>
      </c>
      <c r="BC5" s="243">
        <f t="shared" ref="BC5:BC9" si="5">+SUMIFS($Y$15:$Y$47,$Q$15:$Q$47,$Q5,$AT$15:$AT$47,BC$3,$M$15:$M$47,$BC$2)</f>
        <v>0</v>
      </c>
      <c r="BD5" s="243">
        <f t="shared" si="2"/>
        <v>0</v>
      </c>
      <c r="BE5" s="243">
        <f t="shared" ref="BE5:BE9" si="6">+SUMIFS($Y$15:$Y$47,$Q$15:$Q$47,$Q5,$AT$15:$AT$47,BE$3,$M$15:$M$47,$BC$2)-BF5</f>
        <v>0</v>
      </c>
      <c r="BF5" s="243">
        <f t="shared" si="2"/>
        <v>0</v>
      </c>
      <c r="BG5" s="243">
        <f t="shared" si="2"/>
        <v>0</v>
      </c>
      <c r="BH5" s="243">
        <f t="shared" si="2"/>
        <v>0</v>
      </c>
      <c r="BI5" s="243">
        <f t="shared" si="2"/>
        <v>0</v>
      </c>
      <c r="BJ5" s="244">
        <f t="shared" ref="BJ5:BJ7" si="7">SUM(BC5:BI5)</f>
        <v>0</v>
      </c>
      <c r="BK5" s="237" t="str">
        <f t="shared" ref="BK5:BK9" si="8">+IF(Y5=(BB5+BJ5),"OK","エラー")</f>
        <v>OK</v>
      </c>
    </row>
    <row r="6" spans="1:63">
      <c r="N6" s="237">
        <v>1</v>
      </c>
      <c r="O6" s="237" t="s">
        <v>538</v>
      </c>
      <c r="P6" s="237" t="s">
        <v>539</v>
      </c>
      <c r="Q6" s="237" t="s">
        <v>561</v>
      </c>
      <c r="Y6" s="229">
        <f t="shared" si="0"/>
        <v>0</v>
      </c>
      <c r="AU6" s="243">
        <f t="shared" si="3"/>
        <v>0</v>
      </c>
      <c r="AV6" s="243">
        <f t="shared" si="1"/>
        <v>0</v>
      </c>
      <c r="AW6" s="243">
        <f t="shared" si="1"/>
        <v>0</v>
      </c>
      <c r="AX6" s="243">
        <f t="shared" si="1"/>
        <v>0</v>
      </c>
      <c r="AY6" s="243">
        <f t="shared" si="1"/>
        <v>0</v>
      </c>
      <c r="AZ6" s="243">
        <f t="shared" si="1"/>
        <v>0</v>
      </c>
      <c r="BA6" s="243">
        <f t="shared" si="1"/>
        <v>0</v>
      </c>
      <c r="BB6" s="244">
        <f t="shared" si="4"/>
        <v>0</v>
      </c>
      <c r="BC6" s="243">
        <f t="shared" si="5"/>
        <v>0</v>
      </c>
      <c r="BD6" s="243">
        <f t="shared" si="2"/>
        <v>0</v>
      </c>
      <c r="BE6" s="243">
        <f t="shared" si="6"/>
        <v>0</v>
      </c>
      <c r="BF6" s="243">
        <f t="shared" si="2"/>
        <v>0</v>
      </c>
      <c r="BG6" s="243">
        <f t="shared" si="2"/>
        <v>0</v>
      </c>
      <c r="BH6" s="243">
        <f t="shared" si="2"/>
        <v>0</v>
      </c>
      <c r="BI6" s="243">
        <f t="shared" si="2"/>
        <v>0</v>
      </c>
      <c r="BJ6" s="244">
        <f t="shared" si="7"/>
        <v>0</v>
      </c>
      <c r="BK6" s="237" t="str">
        <f t="shared" si="8"/>
        <v>OK</v>
      </c>
    </row>
    <row r="7" spans="1:63">
      <c r="N7" s="245">
        <v>2</v>
      </c>
      <c r="O7" s="245" t="s">
        <v>538</v>
      </c>
      <c r="P7" s="245" t="s">
        <v>539</v>
      </c>
      <c r="Q7" s="245" t="s">
        <v>540</v>
      </c>
      <c r="R7" s="245"/>
      <c r="Y7" s="229">
        <f t="shared" si="0"/>
        <v>0</v>
      </c>
      <c r="AU7" s="243">
        <f t="shared" si="3"/>
        <v>0</v>
      </c>
      <c r="AV7" s="243">
        <f t="shared" si="1"/>
        <v>0</v>
      </c>
      <c r="AW7" s="243">
        <f t="shared" si="1"/>
        <v>0</v>
      </c>
      <c r="AX7" s="243">
        <f t="shared" si="1"/>
        <v>0</v>
      </c>
      <c r="AY7" s="243">
        <f t="shared" si="1"/>
        <v>0</v>
      </c>
      <c r="AZ7" s="243">
        <f t="shared" si="1"/>
        <v>0</v>
      </c>
      <c r="BA7" s="243">
        <f t="shared" si="1"/>
        <v>0</v>
      </c>
      <c r="BB7" s="244">
        <f>SUM(AU7:BA7)</f>
        <v>0</v>
      </c>
      <c r="BC7" s="243">
        <f t="shared" si="5"/>
        <v>0</v>
      </c>
      <c r="BD7" s="243">
        <f t="shared" si="2"/>
        <v>0</v>
      </c>
      <c r="BE7" s="243">
        <f t="shared" si="6"/>
        <v>0</v>
      </c>
      <c r="BF7" s="243">
        <f t="shared" si="2"/>
        <v>0</v>
      </c>
      <c r="BG7" s="243">
        <f t="shared" si="2"/>
        <v>0</v>
      </c>
      <c r="BH7" s="243">
        <f t="shared" si="2"/>
        <v>0</v>
      </c>
      <c r="BI7" s="243">
        <f t="shared" si="2"/>
        <v>0</v>
      </c>
      <c r="BJ7" s="244">
        <f t="shared" si="7"/>
        <v>0</v>
      </c>
      <c r="BK7" s="237" t="str">
        <f t="shared" si="8"/>
        <v>OK</v>
      </c>
    </row>
    <row r="8" spans="1:63">
      <c r="N8" s="245">
        <v>3</v>
      </c>
      <c r="O8" s="245" t="s">
        <v>538</v>
      </c>
      <c r="P8" s="245" t="s">
        <v>539</v>
      </c>
      <c r="Q8" s="245" t="s">
        <v>541</v>
      </c>
      <c r="R8" s="245"/>
      <c r="Y8" s="229">
        <f t="shared" si="0"/>
        <v>0</v>
      </c>
      <c r="AU8" s="243">
        <f t="shared" si="3"/>
        <v>0</v>
      </c>
      <c r="AV8" s="243">
        <f t="shared" si="1"/>
        <v>0</v>
      </c>
      <c r="AW8" s="243">
        <f t="shared" si="1"/>
        <v>0</v>
      </c>
      <c r="AX8" s="243">
        <f t="shared" si="1"/>
        <v>0</v>
      </c>
      <c r="AY8" s="243">
        <f t="shared" si="1"/>
        <v>0</v>
      </c>
      <c r="AZ8" s="281">
        <f>+SUMIFS($Y$15:$Y$47,$Q$15:$Q$47,$Q8,$AT$15:$AT$47,AZ$3,$M$15:$M$47,$AU$2)</f>
        <v>0</v>
      </c>
      <c r="BA8" s="243">
        <f t="shared" si="1"/>
        <v>0</v>
      </c>
      <c r="BB8" s="244">
        <f>SUM(AU8:BA8)</f>
        <v>0</v>
      </c>
      <c r="BC8" s="243">
        <f t="shared" si="5"/>
        <v>0</v>
      </c>
      <c r="BD8" s="243">
        <f t="shared" si="2"/>
        <v>0</v>
      </c>
      <c r="BE8" s="243">
        <f t="shared" si="6"/>
        <v>0</v>
      </c>
      <c r="BF8" s="243">
        <f t="shared" si="2"/>
        <v>0</v>
      </c>
      <c r="BG8" s="243">
        <f t="shared" si="2"/>
        <v>0</v>
      </c>
      <c r="BH8" s="243">
        <f t="shared" si="2"/>
        <v>0</v>
      </c>
      <c r="BI8" s="243">
        <f t="shared" si="2"/>
        <v>0</v>
      </c>
      <c r="BJ8" s="244">
        <f>SUM(BC8:BI8)</f>
        <v>0</v>
      </c>
      <c r="BK8" s="237" t="str">
        <f t="shared" si="8"/>
        <v>OK</v>
      </c>
    </row>
    <row r="9" spans="1:63">
      <c r="N9" s="245">
        <v>4</v>
      </c>
      <c r="O9" s="245" t="s">
        <v>538</v>
      </c>
      <c r="P9" s="245" t="s">
        <v>539</v>
      </c>
      <c r="Q9" s="245" t="s">
        <v>542</v>
      </c>
      <c r="R9" s="245"/>
      <c r="Y9" s="229">
        <f t="shared" si="0"/>
        <v>0</v>
      </c>
      <c r="AU9" s="243">
        <f t="shared" si="3"/>
        <v>0</v>
      </c>
      <c r="AV9" s="243">
        <f t="shared" si="1"/>
        <v>0</v>
      </c>
      <c r="AW9" s="243">
        <f t="shared" si="1"/>
        <v>0</v>
      </c>
      <c r="AX9" s="243">
        <f t="shared" si="1"/>
        <v>0</v>
      </c>
      <c r="AY9" s="243">
        <f t="shared" si="1"/>
        <v>0</v>
      </c>
      <c r="AZ9" s="243">
        <f t="shared" si="1"/>
        <v>0</v>
      </c>
      <c r="BA9" s="243">
        <f t="shared" si="1"/>
        <v>0</v>
      </c>
      <c r="BB9" s="244">
        <f>SUM(AU9:BA9)</f>
        <v>0</v>
      </c>
      <c r="BC9" s="243">
        <f t="shared" si="5"/>
        <v>0</v>
      </c>
      <c r="BD9" s="243">
        <f t="shared" si="2"/>
        <v>0</v>
      </c>
      <c r="BE9" s="243">
        <f t="shared" si="6"/>
        <v>0</v>
      </c>
      <c r="BF9" s="243">
        <f t="shared" si="2"/>
        <v>0</v>
      </c>
      <c r="BG9" s="243">
        <f t="shared" si="2"/>
        <v>0</v>
      </c>
      <c r="BH9" s="243">
        <f t="shared" si="2"/>
        <v>0</v>
      </c>
      <c r="BI9" s="243">
        <f t="shared" si="2"/>
        <v>0</v>
      </c>
      <c r="BJ9" s="244">
        <f>SUM(BC9:BI9)</f>
        <v>0</v>
      </c>
      <c r="BK9" s="237" t="str">
        <f t="shared" si="8"/>
        <v>OK</v>
      </c>
    </row>
    <row r="10" spans="1:63">
      <c r="N10" s="245"/>
      <c r="O10" s="245"/>
      <c r="P10" s="245"/>
      <c r="R10" s="245"/>
      <c r="Y10" s="229">
        <f>SUM(Y4:Y9)</f>
        <v>0</v>
      </c>
      <c r="AU10" s="243"/>
      <c r="AV10" s="243"/>
      <c r="AW10" s="243"/>
      <c r="AX10" s="243"/>
      <c r="AY10" s="243"/>
      <c r="AZ10" s="243"/>
      <c r="BA10" s="243"/>
      <c r="BB10" s="244"/>
    </row>
    <row r="11" spans="1:63">
      <c r="N11" s="245"/>
      <c r="O11" s="245"/>
      <c r="P11" s="245"/>
      <c r="Q11" s="245"/>
      <c r="R11" s="245"/>
      <c r="Y11" s="229"/>
      <c r="AU11" s="243"/>
      <c r="AV11" s="243"/>
      <c r="AW11" s="243"/>
      <c r="AX11" s="243"/>
      <c r="AY11" s="243"/>
      <c r="AZ11" s="243"/>
      <c r="BA11" s="243"/>
      <c r="BB11" s="244"/>
    </row>
    <row r="14" spans="1:63">
      <c r="V14" s="246"/>
      <c r="W14" s="246"/>
      <c r="X14" s="246"/>
      <c r="Y14" s="247"/>
      <c r="AB14" s="246"/>
      <c r="AE14" s="246"/>
      <c r="AG14" s="246"/>
      <c r="AH14" s="246"/>
      <c r="AI14" s="246"/>
      <c r="AL14" s="248" t="s">
        <v>562</v>
      </c>
      <c r="AQ14" s="237" t="s">
        <v>563</v>
      </c>
      <c r="AS14" s="248">
        <v>0</v>
      </c>
      <c r="AT14" s="248">
        <v>0</v>
      </c>
    </row>
    <row r="15" spans="1:63">
      <c r="A15" s="237" t="s">
        <v>564</v>
      </c>
      <c r="B15" s="237" t="s">
        <v>565</v>
      </c>
      <c r="C15" s="237" t="s">
        <v>566</v>
      </c>
      <c r="D15" s="237" t="s">
        <v>567</v>
      </c>
      <c r="E15" s="237" t="s">
        <v>568</v>
      </c>
      <c r="F15" s="237" t="s">
        <v>569</v>
      </c>
      <c r="G15" s="237" t="s">
        <v>570</v>
      </c>
      <c r="H15" s="237" t="s">
        <v>571</v>
      </c>
      <c r="I15" s="237" t="s">
        <v>572</v>
      </c>
      <c r="J15" s="237" t="s">
        <v>573</v>
      </c>
      <c r="K15" s="237" t="s">
        <v>574</v>
      </c>
      <c r="L15" s="237" t="s">
        <v>575</v>
      </c>
      <c r="M15" s="237" t="s">
        <v>576</v>
      </c>
      <c r="N15" s="237" t="s">
        <v>577</v>
      </c>
      <c r="O15" s="237" t="s">
        <v>578</v>
      </c>
      <c r="P15" s="237" t="s">
        <v>579</v>
      </c>
      <c r="Q15" s="237" t="s">
        <v>580</v>
      </c>
      <c r="R15" s="249" t="s">
        <v>581</v>
      </c>
      <c r="S15" s="237" t="s">
        <v>582</v>
      </c>
      <c r="T15" s="237" t="s">
        <v>583</v>
      </c>
      <c r="U15" s="237" t="s">
        <v>584</v>
      </c>
      <c r="V15" s="246" t="s">
        <v>585</v>
      </c>
      <c r="W15" s="246" t="s">
        <v>586</v>
      </c>
      <c r="X15" s="246" t="s">
        <v>587</v>
      </c>
      <c r="Y15" s="229" t="s">
        <v>588</v>
      </c>
      <c r="Z15" s="237" t="s">
        <v>589</v>
      </c>
      <c r="AA15" s="237" t="s">
        <v>590</v>
      </c>
      <c r="AB15" s="246" t="s">
        <v>591</v>
      </c>
      <c r="AC15" s="237" t="s">
        <v>592</v>
      </c>
      <c r="AD15" s="237" t="s">
        <v>593</v>
      </c>
      <c r="AE15" s="246" t="s">
        <v>594</v>
      </c>
      <c r="AF15" s="237" t="s">
        <v>595</v>
      </c>
      <c r="AG15" s="246" t="s">
        <v>596</v>
      </c>
      <c r="AH15" s="246" t="s">
        <v>597</v>
      </c>
      <c r="AI15" s="246" t="s">
        <v>598</v>
      </c>
      <c r="AJ15" s="237" t="s">
        <v>599</v>
      </c>
      <c r="AL15" s="250" t="s">
        <v>612</v>
      </c>
      <c r="AM15" s="250">
        <v>1</v>
      </c>
      <c r="AN15" s="249">
        <v>0</v>
      </c>
      <c r="AO15" s="249">
        <v>0</v>
      </c>
      <c r="AP15" s="250">
        <v>0</v>
      </c>
      <c r="AQ15" s="250" t="s">
        <v>613</v>
      </c>
      <c r="AS15" s="237" t="s">
        <v>614</v>
      </c>
      <c r="AT15" s="237" t="s">
        <v>615</v>
      </c>
      <c r="AV15" s="237" t="s">
        <v>616</v>
      </c>
      <c r="AW15" s="237" t="s">
        <v>617</v>
      </c>
      <c r="AX15" s="237" t="s">
        <v>618</v>
      </c>
      <c r="AY15" s="237" t="s">
        <v>619</v>
      </c>
      <c r="AZ15" s="237" t="s">
        <v>620</v>
      </c>
      <c r="BA15" s="237" t="s">
        <v>621</v>
      </c>
      <c r="BB15" s="237" t="s">
        <v>622</v>
      </c>
      <c r="BC15" s="237" t="s">
        <v>623</v>
      </c>
      <c r="BD15" s="237" t="s">
        <v>624</v>
      </c>
      <c r="BE15" s="237" t="s">
        <v>625</v>
      </c>
      <c r="BG15" s="237" t="s">
        <v>626</v>
      </c>
      <c r="BH15" s="237" t="s">
        <v>627</v>
      </c>
      <c r="BI15" s="237" t="s">
        <v>628</v>
      </c>
      <c r="BJ15" s="237" t="s">
        <v>629</v>
      </c>
    </row>
    <row r="16" spans="1:63" s="260" customFormat="1">
      <c r="V16" s="257"/>
      <c r="W16" s="257"/>
      <c r="X16" s="257"/>
      <c r="Y16" s="257"/>
    </row>
    <row r="17" spans="22:46" s="260" customFormat="1">
      <c r="V17" s="257"/>
      <c r="W17" s="257"/>
      <c r="X17" s="257"/>
      <c r="Y17" s="257"/>
    </row>
    <row r="18" spans="22:46" s="260" customFormat="1">
      <c r="Y18" s="257"/>
      <c r="AL18" s="251"/>
    </row>
    <row r="19" spans="22:46" s="260" customFormat="1">
      <c r="Y19" s="257"/>
      <c r="AL19" s="251"/>
    </row>
    <row r="20" spans="22:46" s="260" customFormat="1">
      <c r="Y20" s="257"/>
      <c r="AL20" s="251"/>
    </row>
    <row r="21" spans="22:46" s="260" customFormat="1">
      <c r="Y21" s="257"/>
      <c r="AL21" s="251"/>
    </row>
    <row r="22" spans="22:46">
      <c r="Y22" s="229"/>
      <c r="AL22" s="248"/>
      <c r="AS22" s="248"/>
      <c r="AT22" s="248"/>
    </row>
    <row r="23" spans="22:46">
      <c r="Y23" s="229"/>
      <c r="AL23" s="248"/>
      <c r="AS23" s="248"/>
      <c r="AT23" s="248"/>
    </row>
    <row r="24" spans="22:46">
      <c r="Y24" s="229"/>
      <c r="AL24" s="248"/>
      <c r="AS24" s="248"/>
      <c r="AT24" s="248"/>
    </row>
    <row r="25" spans="22:46">
      <c r="Y25" s="229"/>
      <c r="AL25" s="248"/>
      <c r="AS25" s="248"/>
      <c r="AT25" s="248"/>
    </row>
    <row r="26" spans="22:46">
      <c r="Y26" s="229"/>
      <c r="AL26" s="248"/>
      <c r="AS26" s="248"/>
      <c r="AT26" s="248"/>
    </row>
    <row r="27" spans="22:46">
      <c r="Y27" s="229"/>
      <c r="AL27" s="248"/>
      <c r="AS27" s="248"/>
      <c r="AT27" s="248"/>
    </row>
    <row r="28" spans="22:46">
      <c r="Y28" s="229"/>
      <c r="AL28" s="248"/>
      <c r="AS28" s="248"/>
      <c r="AT28" s="248"/>
    </row>
    <row r="29" spans="22:46">
      <c r="Y29" s="229"/>
      <c r="AL29" s="248"/>
      <c r="AS29" s="248"/>
      <c r="AT29" s="248"/>
    </row>
    <row r="30" spans="22:46">
      <c r="Y30" s="229"/>
      <c r="AL30" s="248"/>
      <c r="AS30" s="248"/>
      <c r="AT30" s="248"/>
    </row>
    <row r="31" spans="22:46">
      <c r="Y31" s="229"/>
      <c r="AL31" s="248"/>
      <c r="AS31" s="248"/>
      <c r="AT31" s="248"/>
    </row>
    <row r="32" spans="22:46">
      <c r="Y32" s="229"/>
      <c r="AL32" s="248"/>
      <c r="AS32" s="248"/>
      <c r="AT32" s="248"/>
    </row>
    <row r="33" spans="25:46">
      <c r="Y33" s="229"/>
      <c r="AL33" s="248"/>
      <c r="AS33" s="248"/>
      <c r="AT33" s="248"/>
    </row>
    <row r="34" spans="25:46">
      <c r="Y34" s="229"/>
      <c r="AL34" s="248"/>
      <c r="AS34" s="248"/>
      <c r="AT34" s="248"/>
    </row>
    <row r="35" spans="25:46">
      <c r="Y35" s="229"/>
      <c r="AL35" s="248"/>
      <c r="AS35" s="248"/>
      <c r="AT35" s="248"/>
    </row>
    <row r="36" spans="25:46">
      <c r="Y36" s="229"/>
      <c r="AL36" s="248"/>
      <c r="AS36" s="248"/>
      <c r="AT36" s="248"/>
    </row>
    <row r="37" spans="25:46">
      <c r="Y37" s="229"/>
      <c r="AL37" s="248"/>
      <c r="AS37" s="248"/>
      <c r="AT37" s="248"/>
    </row>
    <row r="38" spans="25:46">
      <c r="Y38" s="229"/>
      <c r="AL38" s="248"/>
      <c r="AS38" s="248"/>
      <c r="AT38" s="248"/>
    </row>
    <row r="39" spans="25:46">
      <c r="Y39" s="229"/>
      <c r="AL39" s="248"/>
      <c r="AS39" s="248"/>
      <c r="AT39" s="248"/>
    </row>
    <row r="40" spans="25:46">
      <c r="Y40" s="229"/>
      <c r="AL40" s="248"/>
      <c r="AS40" s="248"/>
      <c r="AT40" s="248"/>
    </row>
    <row r="41" spans="25:46">
      <c r="Y41" s="229"/>
      <c r="AL41" s="248"/>
      <c r="AS41" s="248"/>
      <c r="AT41" s="248"/>
    </row>
    <row r="42" spans="25:46">
      <c r="Y42" s="229"/>
      <c r="AL42" s="248"/>
      <c r="AS42" s="248"/>
      <c r="AT42" s="248"/>
    </row>
    <row r="43" spans="25:46">
      <c r="Y43" s="229"/>
      <c r="AL43" s="248"/>
      <c r="AS43" s="248"/>
      <c r="AT43" s="248"/>
    </row>
    <row r="44" spans="25:46">
      <c r="Y44" s="229"/>
      <c r="AL44" s="248"/>
      <c r="AS44" s="248"/>
      <c r="AT44" s="248"/>
    </row>
    <row r="45" spans="25:46">
      <c r="Y45" s="229"/>
      <c r="AL45" s="248"/>
      <c r="AS45" s="248"/>
      <c r="AT45" s="248"/>
    </row>
    <row r="46" spans="25:46">
      <c r="Y46" s="229"/>
      <c r="AL46" s="248"/>
      <c r="AS46" s="248"/>
      <c r="AT46" s="248"/>
    </row>
    <row r="47" spans="25:46">
      <c r="Y47" s="280"/>
      <c r="AL47" s="248"/>
      <c r="AS47" s="248"/>
      <c r="AT47" s="248"/>
    </row>
    <row r="48" spans="25:46">
      <c r="Y48" s="229"/>
      <c r="AL48" s="248"/>
      <c r="AS48" s="248"/>
      <c r="AT48" s="248"/>
    </row>
    <row r="49" spans="25:46">
      <c r="Y49" s="229"/>
      <c r="AL49" s="248"/>
      <c r="AS49" s="248"/>
      <c r="AT49" s="248"/>
    </row>
    <row r="50" spans="25:46">
      <c r="Y50" s="229"/>
      <c r="AL50" s="248"/>
      <c r="AS50" s="248"/>
      <c r="AT50" s="248"/>
    </row>
    <row r="51" spans="25:46">
      <c r="Y51" s="229"/>
      <c r="AL51" s="248"/>
      <c r="AS51" s="248"/>
      <c r="AT51" s="248"/>
    </row>
    <row r="52" spans="25:46">
      <c r="Y52" s="229"/>
      <c r="AL52" s="248"/>
      <c r="AS52" s="248"/>
      <c r="AT52" s="248"/>
    </row>
    <row r="53" spans="25:46">
      <c r="Y53" s="229"/>
      <c r="AL53" s="248"/>
      <c r="AS53" s="248"/>
      <c r="AT53" s="248"/>
    </row>
    <row r="54" spans="25:46">
      <c r="Y54" s="229"/>
      <c r="AL54" s="248"/>
      <c r="AS54" s="248"/>
      <c r="AT54" s="248"/>
    </row>
    <row r="55" spans="25:46">
      <c r="Y55" s="229"/>
      <c r="AL55" s="248"/>
      <c r="AS55" s="248"/>
      <c r="AT55" s="248"/>
    </row>
    <row r="56" spans="25:46">
      <c r="Y56" s="229"/>
      <c r="AL56" s="248"/>
      <c r="AS56" s="248"/>
      <c r="AT56" s="248"/>
    </row>
    <row r="57" spans="25:46">
      <c r="Y57" s="229"/>
      <c r="AL57" s="248"/>
      <c r="AS57" s="248"/>
      <c r="AT57" s="248"/>
    </row>
    <row r="58" spans="25:46">
      <c r="Y58" s="229"/>
      <c r="AL58" s="248"/>
      <c r="AS58" s="248"/>
      <c r="AT58" s="248"/>
    </row>
    <row r="59" spans="25:46">
      <c r="Y59" s="229"/>
      <c r="AL59" s="248"/>
      <c r="AS59" s="248"/>
      <c r="AT59" s="248"/>
    </row>
    <row r="60" spans="25:46">
      <c r="Y60" s="229"/>
      <c r="AL60" s="248"/>
      <c r="AS60" s="248"/>
      <c r="AT60" s="248"/>
    </row>
    <row r="61" spans="25:46">
      <c r="Y61" s="229"/>
      <c r="AL61" s="248"/>
      <c r="AS61" s="248"/>
      <c r="AT61" s="248"/>
    </row>
    <row r="62" spans="25:46">
      <c r="Y62" s="229"/>
      <c r="AL62" s="248"/>
      <c r="AS62" s="248"/>
      <c r="AT62" s="248"/>
    </row>
    <row r="63" spans="25:46">
      <c r="Y63" s="229"/>
      <c r="AL63" s="248"/>
      <c r="AS63" s="248"/>
      <c r="AT63" s="248"/>
    </row>
    <row r="64" spans="25:46">
      <c r="Y64" s="229"/>
      <c r="AL64" s="248"/>
      <c r="AS64" s="248"/>
      <c r="AT64" s="248"/>
    </row>
    <row r="65" spans="25:46">
      <c r="Y65" s="229"/>
      <c r="AL65" s="248"/>
      <c r="AS65" s="248"/>
      <c r="AT65" s="248"/>
    </row>
    <row r="66" spans="25:46">
      <c r="Y66" s="229"/>
      <c r="AL66" s="248"/>
      <c r="AS66" s="248"/>
      <c r="AT66" s="248"/>
    </row>
    <row r="67" spans="25:46">
      <c r="Y67" s="229"/>
      <c r="AL67" s="248"/>
      <c r="AS67" s="248"/>
      <c r="AT67" s="248"/>
    </row>
    <row r="68" spans="25:46">
      <c r="Y68" s="229"/>
      <c r="AL68" s="248"/>
      <c r="AS68" s="248"/>
      <c r="AT68" s="248"/>
    </row>
    <row r="69" spans="25:46">
      <c r="Y69" s="229"/>
      <c r="AL69" s="248"/>
      <c r="AS69" s="248"/>
      <c r="AT69" s="248"/>
    </row>
    <row r="70" spans="25:46">
      <c r="Y70" s="229"/>
      <c r="AL70" s="248"/>
      <c r="AS70" s="248"/>
      <c r="AT70" s="248"/>
    </row>
    <row r="71" spans="25:46">
      <c r="Y71" s="229"/>
      <c r="AL71" s="248"/>
      <c r="AS71" s="248"/>
      <c r="AT71" s="248"/>
    </row>
    <row r="72" spans="25:46">
      <c r="Y72" s="229"/>
      <c r="AL72" s="248"/>
      <c r="AS72" s="248"/>
      <c r="AT72" s="248"/>
    </row>
    <row r="73" spans="25:46">
      <c r="Y73" s="229"/>
      <c r="AL73" s="248"/>
      <c r="AS73" s="248"/>
      <c r="AT73" s="248"/>
    </row>
    <row r="74" spans="25:46">
      <c r="Y74" s="229"/>
      <c r="AL74" s="248"/>
      <c r="AS74" s="248"/>
      <c r="AT74" s="248"/>
    </row>
    <row r="75" spans="25:46">
      <c r="Y75" s="229"/>
      <c r="AL75" s="248"/>
      <c r="AS75" s="248"/>
      <c r="AT75" s="248"/>
    </row>
    <row r="76" spans="25:46">
      <c r="Y76" s="229"/>
      <c r="AL76" s="248"/>
      <c r="AS76" s="248"/>
      <c r="AT76" s="248"/>
    </row>
    <row r="77" spans="25:46">
      <c r="Y77" s="229"/>
      <c r="AL77" s="248"/>
      <c r="AS77" s="248"/>
      <c r="AT77" s="248"/>
    </row>
    <row r="78" spans="25:46">
      <c r="Y78" s="229"/>
      <c r="AL78" s="248"/>
      <c r="AS78" s="248"/>
      <c r="AT78" s="248"/>
    </row>
    <row r="79" spans="25:46">
      <c r="Y79" s="229"/>
      <c r="AL79" s="248"/>
      <c r="AS79" s="248"/>
      <c r="AT79" s="248"/>
    </row>
    <row r="80" spans="25:46">
      <c r="Y80" s="229"/>
      <c r="AL80" s="248"/>
      <c r="AS80" s="248"/>
      <c r="AT80" s="248"/>
    </row>
    <row r="81" spans="25:46">
      <c r="Y81" s="229"/>
      <c r="AL81" s="248"/>
      <c r="AS81" s="248"/>
      <c r="AT81" s="248"/>
    </row>
    <row r="82" spans="25:46">
      <c r="Y82" s="229"/>
      <c r="AL82" s="248"/>
      <c r="AS82" s="248"/>
      <c r="AT82" s="248"/>
    </row>
    <row r="83" spans="25:46">
      <c r="Y83" s="229"/>
      <c r="AL83" s="248"/>
      <c r="AS83" s="248"/>
      <c r="AT83" s="248"/>
    </row>
    <row r="84" spans="25:46">
      <c r="Y84" s="229"/>
      <c r="AL84" s="248"/>
      <c r="AS84" s="248"/>
      <c r="AT84" s="248"/>
    </row>
    <row r="85" spans="25:46">
      <c r="Y85" s="229"/>
      <c r="AL85" s="248"/>
      <c r="AS85" s="248"/>
      <c r="AT85" s="248"/>
    </row>
    <row r="86" spans="25:46">
      <c r="Y86" s="229"/>
      <c r="AL86" s="248"/>
      <c r="AS86" s="248"/>
      <c r="AT86" s="248"/>
    </row>
    <row r="87" spans="25:46">
      <c r="Y87" s="229"/>
      <c r="AL87" s="248"/>
      <c r="AS87" s="248"/>
      <c r="AT87" s="248"/>
    </row>
    <row r="88" spans="25:46">
      <c r="Y88" s="229"/>
      <c r="AL88" s="248"/>
      <c r="AS88" s="248"/>
      <c r="AT88" s="248"/>
    </row>
    <row r="89" spans="25:46">
      <c r="Y89" s="229"/>
      <c r="AL89" s="248"/>
      <c r="AS89" s="248"/>
      <c r="AT89" s="248"/>
    </row>
    <row r="90" spans="25:46">
      <c r="Y90" s="229"/>
      <c r="AL90" s="248"/>
      <c r="AS90" s="248"/>
      <c r="AT90" s="248"/>
    </row>
    <row r="91" spans="25:46">
      <c r="Y91" s="229"/>
      <c r="AL91" s="248"/>
      <c r="AS91" s="248"/>
      <c r="AT91" s="248"/>
    </row>
    <row r="92" spans="25:46">
      <c r="Y92" s="229"/>
      <c r="AL92" s="248"/>
      <c r="AS92" s="248"/>
      <c r="AT92" s="248"/>
    </row>
    <row r="93" spans="25:46">
      <c r="Y93" s="229"/>
      <c r="AL93" s="248"/>
      <c r="AS93" s="248"/>
      <c r="AT93" s="248"/>
    </row>
    <row r="94" spans="25:46">
      <c r="Y94" s="229"/>
      <c r="AL94" s="248"/>
      <c r="AS94" s="248"/>
      <c r="AT94" s="248"/>
    </row>
    <row r="95" spans="25:46">
      <c r="Y95" s="229"/>
      <c r="AL95" s="248"/>
      <c r="AS95" s="248"/>
      <c r="AT95" s="248"/>
    </row>
    <row r="96" spans="25:46">
      <c r="Y96" s="229"/>
      <c r="AL96" s="248"/>
      <c r="AS96" s="248"/>
      <c r="AT96" s="248"/>
    </row>
    <row r="97" spans="25:46">
      <c r="Y97" s="229"/>
      <c r="AL97" s="248"/>
      <c r="AS97" s="248"/>
      <c r="AT97" s="248"/>
    </row>
    <row r="98" spans="25:46">
      <c r="Y98" s="229"/>
      <c r="AL98" s="248"/>
      <c r="AS98" s="248"/>
      <c r="AT98" s="248"/>
    </row>
    <row r="99" spans="25:46">
      <c r="Y99" s="229"/>
      <c r="AL99" s="248"/>
      <c r="AS99" s="248"/>
      <c r="AT99" s="248"/>
    </row>
    <row r="100" spans="25:46">
      <c r="Y100" s="229"/>
      <c r="AL100" s="248"/>
      <c r="AS100" s="248"/>
      <c r="AT100" s="248"/>
    </row>
    <row r="101" spans="25:46">
      <c r="Y101" s="229"/>
      <c r="AL101" s="248"/>
      <c r="AS101" s="248"/>
      <c r="AT101" s="248"/>
    </row>
    <row r="102" spans="25:46">
      <c r="Y102" s="229"/>
      <c r="AL102" s="248"/>
      <c r="AS102" s="248"/>
      <c r="AT102" s="248"/>
    </row>
    <row r="103" spans="25:46">
      <c r="Y103" s="229"/>
      <c r="AL103" s="248"/>
      <c r="AS103" s="248"/>
      <c r="AT103" s="248"/>
    </row>
    <row r="104" spans="25:46">
      <c r="Y104" s="229"/>
      <c r="AL104" s="248"/>
      <c r="AS104" s="248"/>
      <c r="AT104" s="248"/>
    </row>
    <row r="105" spans="25:46">
      <c r="Y105" s="229"/>
      <c r="AL105" s="248"/>
      <c r="AS105" s="248"/>
      <c r="AT105" s="248"/>
    </row>
    <row r="106" spans="25:46">
      <c r="Y106" s="229"/>
      <c r="AL106" s="248"/>
      <c r="AS106" s="248"/>
      <c r="AT106" s="248"/>
    </row>
    <row r="107" spans="25:46">
      <c r="Y107" s="229"/>
      <c r="AL107" s="248"/>
      <c r="AS107" s="248"/>
      <c r="AT107" s="248"/>
    </row>
    <row r="108" spans="25:46">
      <c r="Y108" s="229"/>
      <c r="AL108" s="248"/>
      <c r="AS108" s="248"/>
      <c r="AT108" s="248"/>
    </row>
    <row r="109" spans="25:46">
      <c r="Y109" s="229"/>
      <c r="AL109" s="248"/>
      <c r="AS109" s="248"/>
      <c r="AT109" s="248"/>
    </row>
    <row r="110" spans="25:46">
      <c r="Y110" s="229"/>
      <c r="AL110" s="248"/>
      <c r="AS110" s="248"/>
      <c r="AT110" s="248"/>
    </row>
    <row r="111" spans="25:46">
      <c r="Y111" s="229"/>
      <c r="AL111" s="248"/>
      <c r="AS111" s="248"/>
      <c r="AT111" s="248"/>
    </row>
    <row r="112" spans="25:46">
      <c r="Y112" s="229"/>
      <c r="AL112" s="248"/>
      <c r="AS112" s="248"/>
      <c r="AT112" s="248"/>
    </row>
    <row r="113" spans="25:46">
      <c r="Y113" s="229"/>
      <c r="AL113" s="248"/>
      <c r="AS113" s="248"/>
      <c r="AT113" s="248"/>
    </row>
    <row r="114" spans="25:46">
      <c r="Y114" s="229"/>
      <c r="AL114" s="248"/>
      <c r="AS114" s="248"/>
      <c r="AT114" s="248"/>
    </row>
    <row r="115" spans="25:46">
      <c r="Y115" s="229"/>
      <c r="AL115" s="248"/>
      <c r="AS115" s="248"/>
      <c r="AT115" s="248"/>
    </row>
    <row r="116" spans="25:46">
      <c r="Y116" s="229"/>
      <c r="AL116" s="248"/>
      <c r="AS116" s="248"/>
      <c r="AT116" s="248"/>
    </row>
    <row r="117" spans="25:46">
      <c r="Y117" s="229"/>
      <c r="AL117" s="248"/>
      <c r="AS117" s="248"/>
      <c r="AT117" s="248"/>
    </row>
    <row r="118" spans="25:46">
      <c r="Y118" s="229"/>
      <c r="AL118" s="248"/>
      <c r="AS118" s="248"/>
      <c r="AT118" s="248"/>
    </row>
    <row r="119" spans="25:46">
      <c r="Y119" s="229"/>
      <c r="AL119" s="248"/>
      <c r="AS119" s="248"/>
      <c r="AT119" s="248"/>
    </row>
    <row r="120" spans="25:46">
      <c r="Y120" s="229"/>
      <c r="AL120" s="248"/>
      <c r="AS120" s="248"/>
      <c r="AT120" s="248"/>
    </row>
    <row r="121" spans="25:46">
      <c r="Y121" s="229"/>
      <c r="AL121" s="248"/>
      <c r="AS121" s="248"/>
      <c r="AT121" s="248"/>
    </row>
    <row r="122" spans="25:46">
      <c r="Y122" s="229"/>
      <c r="AL122" s="248"/>
      <c r="AS122" s="248"/>
      <c r="AT122" s="248"/>
    </row>
    <row r="123" spans="25:46">
      <c r="Y123" s="229"/>
      <c r="AL123" s="248"/>
      <c r="AS123" s="248"/>
      <c r="AT123" s="248"/>
    </row>
    <row r="124" spans="25:46">
      <c r="Y124" s="229"/>
      <c r="AL124" s="248"/>
      <c r="AS124" s="248"/>
      <c r="AT124" s="248"/>
    </row>
    <row r="125" spans="25:46">
      <c r="Y125" s="229"/>
      <c r="AL125" s="248"/>
      <c r="AS125" s="248"/>
      <c r="AT125" s="248"/>
    </row>
    <row r="126" spans="25:46">
      <c r="Y126" s="229"/>
      <c r="AL126" s="248"/>
      <c r="AS126" s="248"/>
      <c r="AT126" s="248"/>
    </row>
    <row r="127" spans="25:46">
      <c r="Y127" s="229"/>
      <c r="AL127" s="248"/>
      <c r="AS127" s="248"/>
      <c r="AT127" s="248"/>
    </row>
    <row r="128" spans="25:46">
      <c r="Y128" s="229"/>
      <c r="AL128" s="248"/>
      <c r="AS128" s="248"/>
      <c r="AT128" s="248"/>
    </row>
    <row r="129" spans="25:46">
      <c r="Y129" s="229"/>
      <c r="AL129" s="248"/>
      <c r="AS129" s="248"/>
      <c r="AT129" s="248"/>
    </row>
    <row r="130" spans="25:46">
      <c r="Y130" s="229"/>
      <c r="AL130" s="248"/>
      <c r="AS130" s="248"/>
      <c r="AT130" s="248"/>
    </row>
    <row r="131" spans="25:46">
      <c r="Y131" s="229"/>
      <c r="AL131" s="248"/>
      <c r="AS131" s="248"/>
      <c r="AT131" s="248"/>
    </row>
    <row r="132" spans="25:46">
      <c r="Y132" s="229"/>
      <c r="AL132" s="248"/>
      <c r="AS132" s="248"/>
      <c r="AT132" s="248"/>
    </row>
    <row r="133" spans="25:46">
      <c r="Y133" s="229"/>
      <c r="AL133" s="248"/>
      <c r="AS133" s="248"/>
      <c r="AT133" s="248"/>
    </row>
    <row r="134" spans="25:46">
      <c r="Y134" s="229"/>
      <c r="AL134" s="248"/>
      <c r="AS134" s="248"/>
      <c r="AT134" s="248"/>
    </row>
    <row r="135" spans="25:46">
      <c r="Y135" s="229"/>
      <c r="AL135" s="248"/>
      <c r="AS135" s="248"/>
      <c r="AT135" s="248"/>
    </row>
    <row r="136" spans="25:46">
      <c r="Y136" s="229"/>
      <c r="AL136" s="248"/>
      <c r="AS136" s="248"/>
      <c r="AT136" s="248"/>
    </row>
    <row r="137" spans="25:46">
      <c r="Y137" s="229"/>
      <c r="AL137" s="248"/>
      <c r="AS137" s="248"/>
      <c r="AT137" s="248"/>
    </row>
    <row r="138" spans="25:46">
      <c r="Y138" s="229"/>
      <c r="AL138" s="248"/>
      <c r="AS138" s="248"/>
      <c r="AT138" s="248"/>
    </row>
    <row r="139" spans="25:46">
      <c r="Y139" s="229"/>
      <c r="AL139" s="248"/>
      <c r="AS139" s="248"/>
      <c r="AT139" s="248"/>
    </row>
    <row r="140" spans="25:46">
      <c r="Y140" s="229"/>
      <c r="AL140" s="248"/>
      <c r="AS140" s="248"/>
      <c r="AT140" s="248"/>
    </row>
    <row r="141" spans="25:46">
      <c r="Y141" s="229"/>
      <c r="AL141" s="248"/>
      <c r="AS141" s="248"/>
      <c r="AT141" s="248"/>
    </row>
    <row r="142" spans="25:46">
      <c r="Y142" s="229"/>
      <c r="AL142" s="248"/>
      <c r="AS142" s="248"/>
      <c r="AT142" s="248"/>
    </row>
    <row r="143" spans="25:46">
      <c r="Y143" s="229"/>
      <c r="AL143" s="248"/>
      <c r="AS143" s="248"/>
      <c r="AT143" s="248"/>
    </row>
    <row r="144" spans="25:46">
      <c r="Y144" s="229"/>
      <c r="AL144" s="248"/>
      <c r="AS144" s="248"/>
      <c r="AT144" s="248"/>
    </row>
    <row r="145" spans="25:46">
      <c r="Y145" s="229"/>
      <c r="AL145" s="248"/>
      <c r="AS145" s="248"/>
      <c r="AT145" s="248"/>
    </row>
    <row r="146" spans="25:46">
      <c r="Y146" s="229"/>
      <c r="AL146" s="248"/>
      <c r="AS146" s="248"/>
      <c r="AT146" s="248"/>
    </row>
    <row r="147" spans="25:46">
      <c r="Y147" s="229"/>
      <c r="AL147" s="248"/>
      <c r="AS147" s="248"/>
      <c r="AT147" s="248"/>
    </row>
    <row r="148" spans="25:46">
      <c r="Y148" s="229"/>
      <c r="AL148" s="248"/>
      <c r="AS148" s="248"/>
      <c r="AT148" s="248"/>
    </row>
    <row r="149" spans="25:46">
      <c r="Y149" s="229"/>
      <c r="AL149" s="248"/>
      <c r="AS149" s="248"/>
      <c r="AT149" s="248"/>
    </row>
    <row r="150" spans="25:46">
      <c r="Y150" s="229"/>
      <c r="AL150" s="248"/>
      <c r="AS150" s="248"/>
      <c r="AT150" s="248"/>
    </row>
    <row r="151" spans="25:46">
      <c r="Y151" s="229"/>
      <c r="AL151" s="248"/>
      <c r="AS151" s="248"/>
      <c r="AT151" s="248"/>
    </row>
    <row r="152" spans="25:46">
      <c r="Y152" s="229"/>
      <c r="AL152" s="248"/>
      <c r="AS152" s="248"/>
      <c r="AT152" s="248"/>
    </row>
    <row r="153" spans="25:46">
      <c r="Y153" s="229"/>
      <c r="AL153" s="248"/>
      <c r="AS153" s="248"/>
      <c r="AT153" s="248"/>
    </row>
    <row r="154" spans="25:46">
      <c r="Y154" s="229"/>
      <c r="AL154" s="248"/>
      <c r="AS154" s="248"/>
      <c r="AT154" s="248"/>
    </row>
    <row r="155" spans="25:46">
      <c r="Y155" s="229"/>
      <c r="AL155" s="248"/>
      <c r="AS155" s="248"/>
      <c r="AT155" s="248"/>
    </row>
    <row r="156" spans="25:46">
      <c r="Y156" s="229"/>
      <c r="AL156" s="248"/>
      <c r="AS156" s="248"/>
      <c r="AT156" s="248"/>
    </row>
    <row r="157" spans="25:46">
      <c r="Y157" s="229"/>
      <c r="AL157" s="248"/>
      <c r="AS157" s="248"/>
      <c r="AT157" s="248"/>
    </row>
    <row r="158" spans="25:46">
      <c r="Y158" s="229"/>
      <c r="AL158" s="248"/>
      <c r="AS158" s="248"/>
      <c r="AT158" s="248"/>
    </row>
    <row r="159" spans="25:46">
      <c r="Y159" s="229"/>
      <c r="AL159" s="248"/>
      <c r="AS159" s="248"/>
      <c r="AT159" s="248"/>
    </row>
    <row r="160" spans="25:46">
      <c r="Y160" s="229"/>
      <c r="AL160" s="248"/>
      <c r="AS160" s="248"/>
      <c r="AT160" s="248"/>
    </row>
    <row r="161" spans="25:46">
      <c r="Y161" s="229"/>
      <c r="AL161" s="248"/>
      <c r="AS161" s="248"/>
      <c r="AT161" s="248"/>
    </row>
    <row r="162" spans="25:46">
      <c r="Y162" s="229"/>
      <c r="AL162" s="248"/>
      <c r="AS162" s="248"/>
      <c r="AT162" s="248"/>
    </row>
    <row r="163" spans="25:46">
      <c r="Y163" s="229"/>
      <c r="AL163" s="248"/>
      <c r="AS163" s="248"/>
      <c r="AT163" s="248"/>
    </row>
    <row r="164" spans="25:46">
      <c r="Y164" s="229"/>
      <c r="AL164" s="248"/>
      <c r="AS164" s="248"/>
      <c r="AT164" s="248"/>
    </row>
    <row r="165" spans="25:46">
      <c r="Y165" s="229"/>
      <c r="AL165" s="248"/>
      <c r="AS165" s="248"/>
      <c r="AT165" s="248"/>
    </row>
    <row r="166" spans="25:46">
      <c r="Y166" s="229"/>
      <c r="AL166" s="248"/>
      <c r="AS166" s="248"/>
      <c r="AT166" s="248"/>
    </row>
    <row r="167" spans="25:46">
      <c r="Y167" s="229"/>
      <c r="AL167" s="248"/>
      <c r="AS167" s="248"/>
      <c r="AT167" s="248"/>
    </row>
    <row r="168" spans="25:46">
      <c r="Y168" s="229"/>
      <c r="AL168" s="248"/>
      <c r="AS168" s="248"/>
      <c r="AT168" s="248"/>
    </row>
    <row r="169" spans="25:46">
      <c r="Y169" s="229"/>
      <c r="AL169" s="248"/>
      <c r="AS169" s="248"/>
      <c r="AT169" s="248"/>
    </row>
    <row r="170" spans="25:46">
      <c r="Y170" s="229"/>
      <c r="AL170" s="248"/>
      <c r="AS170" s="248"/>
      <c r="AT170" s="248"/>
    </row>
    <row r="171" spans="25:46">
      <c r="Y171" s="229"/>
      <c r="AL171" s="248"/>
      <c r="AS171" s="248"/>
      <c r="AT171" s="248"/>
    </row>
    <row r="172" spans="25:46">
      <c r="Y172" s="229"/>
      <c r="AL172" s="248"/>
      <c r="AS172" s="248"/>
      <c r="AT172" s="248"/>
    </row>
    <row r="173" spans="25:46">
      <c r="Y173" s="229"/>
      <c r="AL173" s="248"/>
      <c r="AS173" s="248"/>
      <c r="AT173" s="248"/>
    </row>
    <row r="174" spans="25:46">
      <c r="Y174" s="229"/>
      <c r="AL174" s="248"/>
      <c r="AS174" s="248"/>
      <c r="AT174" s="248"/>
    </row>
    <row r="175" spans="25:46">
      <c r="Y175" s="229"/>
      <c r="AL175" s="248"/>
      <c r="AS175" s="248"/>
      <c r="AT175" s="248"/>
    </row>
    <row r="176" spans="25:46">
      <c r="Y176" s="229"/>
      <c r="AL176" s="248"/>
      <c r="AS176" s="248"/>
      <c r="AT176" s="248"/>
    </row>
    <row r="177" spans="25:46">
      <c r="Y177" s="229"/>
      <c r="AL177" s="248"/>
      <c r="AS177" s="248"/>
      <c r="AT177" s="248"/>
    </row>
    <row r="178" spans="25:46">
      <c r="Y178" s="229"/>
      <c r="AL178" s="248"/>
      <c r="AS178" s="248"/>
      <c r="AT178" s="248"/>
    </row>
    <row r="179" spans="25:46">
      <c r="Y179" s="229"/>
      <c r="AL179" s="248"/>
      <c r="AS179" s="248"/>
      <c r="AT179" s="248"/>
    </row>
    <row r="180" spans="25:46">
      <c r="Y180" s="229"/>
      <c r="AL180" s="248"/>
      <c r="AS180" s="248"/>
      <c r="AT180" s="248"/>
    </row>
    <row r="181" spans="25:46">
      <c r="Y181" s="229"/>
      <c r="AL181" s="248"/>
      <c r="AS181" s="248"/>
      <c r="AT181" s="248"/>
    </row>
    <row r="182" spans="25:46">
      <c r="Y182" s="229"/>
      <c r="AL182" s="248"/>
      <c r="AS182" s="248"/>
      <c r="AT182" s="248"/>
    </row>
    <row r="183" spans="25:46">
      <c r="Y183" s="229"/>
      <c r="AL183" s="248"/>
      <c r="AS183" s="248"/>
      <c r="AT183" s="248"/>
    </row>
    <row r="184" spans="25:46">
      <c r="Y184" s="229"/>
      <c r="AL184" s="248"/>
      <c r="AS184" s="248"/>
      <c r="AT184" s="248"/>
    </row>
    <row r="185" spans="25:46">
      <c r="Y185" s="229"/>
    </row>
    <row r="186" spans="25:46">
      <c r="Y186" s="229"/>
    </row>
    <row r="187" spans="25:46">
      <c r="Y187" s="229"/>
    </row>
    <row r="188" spans="25:46">
      <c r="Y188" s="229"/>
    </row>
    <row r="189" spans="25:46">
      <c r="Y189" s="229"/>
    </row>
    <row r="190" spans="25:46">
      <c r="Y190" s="229"/>
    </row>
    <row r="191" spans="25:46">
      <c r="Y191" s="229"/>
    </row>
  </sheetData>
  <autoFilter ref="A15:AT183"/>
  <phoneticPr fontId="3"/>
  <pageMargins left="0.7" right="0.7" top="0.75" bottom="0.75" header="0.3" footer="0.3"/>
  <pageSetup paperSize="9" orientation="portrait" r:id="rId1"/>
  <drawing r:id="rId2"/>
  <legacyDrawing r:id="rId3"/>
</worksheet>
</file>

<file path=xl/worksheets/w1_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I108"/>
  <sheetViews>
    <sheetView zoomScale="85" zoomScaleNormal="85" workbookViewId="0">
      <pane xSplit="5" ySplit="4" topLeftCell="F5" activePane="bottomRight" state="frozen"/>
      <selection activeCell="E30" sqref="E30"/>
      <selection pane="topRight" activeCell="E30" sqref="E30"/>
      <selection pane="bottomLeft" activeCell="E30" sqref="E30"/>
      <selection pane="bottomRight" activeCell="F5" sqref="F5"/>
    </sheetView>
  </sheetViews>
  <sheetFormatPr defaultColWidth="9" defaultRowHeight="13.5" outlineLevelCol="1"/>
  <cols>
    <col min="1" max="3" width="3.375" style="1" customWidth="1"/>
    <col min="4" max="4" width="16" style="1" customWidth="1"/>
    <col min="5" max="5" width="14.25" style="1" customWidth="1"/>
    <col min="6" max="6" width="11.375" style="1" customWidth="1" outlineLevel="1"/>
    <col min="7" max="7" width="12.625" style="1" customWidth="1"/>
    <col min="8" max="9" width="13" style="1" customWidth="1"/>
    <col min="10" max="10" width="12.375" style="1" customWidth="1"/>
    <col min="11" max="11" width="13.625" style="1" customWidth="1"/>
    <col min="12" max="12" width="13" style="1" customWidth="1"/>
    <col min="13" max="13" width="14" style="1" customWidth="1"/>
    <col min="14" max="14" width="11.375" style="3" customWidth="1" outlineLevel="1"/>
    <col min="15" max="17" width="12.625" style="3" customWidth="1"/>
    <col min="18" max="18" width="12.875" style="3" bestFit="1" customWidth="1"/>
    <col min="19" max="19" width="12.625" style="3" customWidth="1"/>
    <col min="20" max="20" width="14.125" style="1" customWidth="1"/>
    <col min="21" max="25" width="7.125" style="2" customWidth="1"/>
    <col min="26" max="30" width="6.375" style="2" customWidth="1"/>
    <col min="31" max="35" width="5.75" style="2" customWidth="1"/>
    <col min="36" max="95" width="10.625" style="1" customWidth="1"/>
    <col min="96" max="16384" width="9" style="1"/>
  </cols>
  <sheetData>
    <row r="1" spans="1:35">
      <c r="D1" s="62" t="str">
        <f>+CONCATENATE("令和",DBCS(年度!A2),"年度決算　消費税算出資料")</f>
        <v>令和５年度決算　消費税算出資料</v>
      </c>
    </row>
    <row r="2" spans="1:35">
      <c r="D2" s="1" t="s">
        <v>50</v>
      </c>
      <c r="V2" s="122"/>
      <c r="W2" s="122"/>
      <c r="X2" s="263"/>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6">
        <v>8</v>
      </c>
      <c r="J4" s="51">
        <v>10</v>
      </c>
      <c r="K4" s="127" t="s">
        <v>2</v>
      </c>
      <c r="L4" s="312"/>
      <c r="M4" s="312"/>
      <c r="N4" s="126">
        <v>3</v>
      </c>
      <c r="O4" s="125">
        <v>5</v>
      </c>
      <c r="P4" s="125">
        <v>8</v>
      </c>
      <c r="Q4" s="266">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s="62" customFormat="1">
      <c r="A5" s="120"/>
      <c r="B5" s="119"/>
      <c r="C5" s="118"/>
      <c r="D5" s="117" t="s">
        <v>23</v>
      </c>
      <c r="E5" s="116">
        <f>+SUM(E6:E20)</f>
        <v>38667489041</v>
      </c>
      <c r="F5" s="115">
        <f t="shared" ref="F5:T5" si="0">+SUM(F6:F20)</f>
        <v>0</v>
      </c>
      <c r="G5" s="114">
        <f t="shared" si="0"/>
        <v>0</v>
      </c>
      <c r="H5" s="114">
        <f t="shared" si="0"/>
        <v>1196802</v>
      </c>
      <c r="I5" s="114">
        <f t="shared" ref="I5" si="1">+SUM(I6:I20)</f>
        <v>500878</v>
      </c>
      <c r="J5" s="113">
        <f t="shared" si="0"/>
        <v>9029006226</v>
      </c>
      <c r="K5" s="112">
        <f t="shared" si="0"/>
        <v>9030703906</v>
      </c>
      <c r="L5" s="116">
        <f t="shared" si="0"/>
        <v>417951500</v>
      </c>
      <c r="M5" s="116">
        <f t="shared" si="0"/>
        <v>29218833635</v>
      </c>
      <c r="N5" s="115">
        <f t="shared" si="0"/>
        <v>0</v>
      </c>
      <c r="O5" s="114">
        <f t="shared" si="0"/>
        <v>0</v>
      </c>
      <c r="P5" s="114">
        <f t="shared" si="0"/>
        <v>88652</v>
      </c>
      <c r="Q5" s="114">
        <f t="shared" ref="Q5" si="2">+SUM(Q6:Q20)</f>
        <v>37102</v>
      </c>
      <c r="R5" s="113">
        <f t="shared" si="0"/>
        <v>820818747</v>
      </c>
      <c r="S5" s="112">
        <f t="shared" si="0"/>
        <v>820944501</v>
      </c>
      <c r="T5" s="111">
        <f t="shared" si="0"/>
        <v>37846544540</v>
      </c>
      <c r="U5" s="107"/>
      <c r="V5" s="107"/>
      <c r="W5" s="107"/>
      <c r="X5" s="107"/>
      <c r="Y5" s="107"/>
      <c r="Z5" s="106"/>
      <c r="AA5" s="106"/>
      <c r="AB5" s="106"/>
      <c r="AC5" s="106"/>
      <c r="AD5" s="106"/>
      <c r="AE5" s="2"/>
      <c r="AF5" s="2"/>
      <c r="AG5" s="2"/>
      <c r="AH5" s="2"/>
      <c r="AI5" s="2"/>
    </row>
    <row r="6" spans="1:35" s="62" customFormat="1">
      <c r="A6" s="105"/>
      <c r="B6" s="104"/>
      <c r="C6" s="103"/>
      <c r="D6" s="102" t="s">
        <v>22</v>
      </c>
      <c r="E6" s="101">
        <f>+管!E36</f>
        <v>611819957</v>
      </c>
      <c r="F6" s="90">
        <f>+管!F36</f>
        <v>0</v>
      </c>
      <c r="G6" s="89">
        <f>+管!G36</f>
        <v>0</v>
      </c>
      <c r="H6" s="89">
        <f>+管!H36</f>
        <v>678402</v>
      </c>
      <c r="I6" s="89">
        <f>+管!I36</f>
        <v>0</v>
      </c>
      <c r="J6" s="92">
        <f>+管!J36</f>
        <v>518156070</v>
      </c>
      <c r="K6" s="34">
        <f>+管!K36</f>
        <v>518834472</v>
      </c>
      <c r="L6" s="101">
        <f>+管!L36</f>
        <v>20454735</v>
      </c>
      <c r="M6" s="101">
        <f>+管!M36</f>
        <v>72530750</v>
      </c>
      <c r="N6" s="90">
        <f t="shared" ref="N6:N20" si="3">+ROUND(F6*F$4/(100+F$4),0)+AE6</f>
        <v>0</v>
      </c>
      <c r="O6" s="89">
        <f t="shared" ref="O6:O20" si="4">+ROUND(G6*G$4/(100+G$4),0)+AF6</f>
        <v>0</v>
      </c>
      <c r="P6" s="89">
        <f t="shared" ref="P6:Q20" si="5">+ROUND(H6*H$4/(100+H$4),0)+AG6</f>
        <v>50252</v>
      </c>
      <c r="Q6" s="89">
        <f>+ROUND(I6*I$4/(100+I$4),0)+AH6</f>
        <v>0</v>
      </c>
      <c r="R6" s="92">
        <f t="shared" ref="R6:R20" si="6">+ROUND(J6*J$4/(100+J$4),0)+AI6</f>
        <v>47105097</v>
      </c>
      <c r="S6" s="34">
        <f t="shared" ref="S6:S20" si="7">SUM(N6:R6)</f>
        <v>47155349</v>
      </c>
      <c r="T6" s="109">
        <f t="shared" ref="T6:T20" si="8">+E6-S6</f>
        <v>564664608</v>
      </c>
      <c r="U6" s="107">
        <f>N6-F6*F$4/(100+F$4)</f>
        <v>0</v>
      </c>
      <c r="V6" s="107">
        <f>O6-G6*G$4/(100+G$4)</f>
        <v>0</v>
      </c>
      <c r="W6" s="107">
        <f>P6-H6*H$4/(100+H$4)</f>
        <v>0</v>
      </c>
      <c r="X6" s="107">
        <f>Q6-I6*I$4/(100+I$4)</f>
        <v>0</v>
      </c>
      <c r="Y6" s="107">
        <f>R6-J6*J$4/(100+J$4)</f>
        <v>-0.27272727340459824</v>
      </c>
      <c r="Z6" s="106">
        <f t="shared" ref="Z6:Z20" si="9">+IF(N$43=0,0,IF(N$43&lt;0,-RANK(U6,U$5:U$40,0),RANK(U6,U$5:U$40,1)))</f>
        <v>0</v>
      </c>
      <c r="AA6" s="106">
        <f t="shared" ref="AA6:AA20" si="10">+IF(O$43=0,0,IF(O$43&lt;0,-RANK(V6,V$5:V$40,0),RANK(V6,V$5:V$40,1)))</f>
        <v>0</v>
      </c>
      <c r="AB6" s="106">
        <f>+IF(P$43=0,0,IF(P$43&lt;0,-RANK(W6,W$5:W$40,0),RANK(W6,W$5:W$40,1)))</f>
        <v>0</v>
      </c>
      <c r="AC6" s="106">
        <f>+IF(Q$43=0,0,IF(Q$43&lt;0,-RANK(X6,X$5:X$40,0),RANK(X6,X$5:X$40,1)))</f>
        <v>0</v>
      </c>
      <c r="AD6" s="106">
        <f t="shared" ref="AD6:AD20" si="11">+IF(R$43=0,0,IF(R$43&lt;0,-RANK(Y6,Y$5:Y$40,0),RANK(Y6,Y$5:Y$40,1)))</f>
        <v>0</v>
      </c>
      <c r="AE6" s="2"/>
      <c r="AF6" s="2"/>
      <c r="AG6" s="2"/>
      <c r="AH6" s="2"/>
      <c r="AI6" s="2"/>
    </row>
    <row r="7" spans="1:35" s="62" customFormat="1">
      <c r="A7" s="105"/>
      <c r="B7" s="104"/>
      <c r="C7" s="103"/>
      <c r="D7" s="102" t="s">
        <v>21</v>
      </c>
      <c r="E7" s="101">
        <f>+水質!E36</f>
        <v>52443869</v>
      </c>
      <c r="F7" s="90">
        <f>+水質!F36</f>
        <v>0</v>
      </c>
      <c r="G7" s="89">
        <f>+水質!G36</f>
        <v>0</v>
      </c>
      <c r="H7" s="89">
        <f>+水質!H36</f>
        <v>0</v>
      </c>
      <c r="I7" s="89">
        <f>+水質!I36</f>
        <v>0</v>
      </c>
      <c r="J7" s="92">
        <f>+水質!J36</f>
        <v>12436317</v>
      </c>
      <c r="K7" s="34">
        <f>+水質!K36</f>
        <v>12436317</v>
      </c>
      <c r="L7" s="101">
        <f>+水質!L36</f>
        <v>6197563</v>
      </c>
      <c r="M7" s="101">
        <f>+水質!M36</f>
        <v>33809989</v>
      </c>
      <c r="N7" s="90">
        <f t="shared" si="3"/>
        <v>0</v>
      </c>
      <c r="O7" s="89">
        <f t="shared" si="4"/>
        <v>0</v>
      </c>
      <c r="P7" s="89">
        <f t="shared" si="5"/>
        <v>0</v>
      </c>
      <c r="Q7" s="89">
        <f t="shared" si="5"/>
        <v>0</v>
      </c>
      <c r="R7" s="92">
        <f t="shared" si="6"/>
        <v>1130574</v>
      </c>
      <c r="S7" s="34">
        <f t="shared" si="7"/>
        <v>1130574</v>
      </c>
      <c r="T7" s="109">
        <f t="shared" si="8"/>
        <v>51313295</v>
      </c>
      <c r="U7" s="107">
        <f t="shared" ref="U7:U20" si="12">N7-F7*F$4/(100+F$4)-AE7</f>
        <v>0</v>
      </c>
      <c r="V7" s="107">
        <f t="shared" ref="V7:V20" si="13">O7-G7*G$4/(100+G$4)-AF7</f>
        <v>0</v>
      </c>
      <c r="W7" s="107">
        <f t="shared" ref="W7:X20" si="14">P7-H7*H$4/(100+H$4)-AG7</f>
        <v>0</v>
      </c>
      <c r="X7" s="107">
        <f t="shared" si="14"/>
        <v>0</v>
      </c>
      <c r="Y7" s="107">
        <f t="shared" ref="Y7:Y20" si="15">R7-J7*J$4/(100+J$4)-AI7</f>
        <v>-0.27272727270610631</v>
      </c>
      <c r="Z7" s="106">
        <f t="shared" si="9"/>
        <v>0</v>
      </c>
      <c r="AA7" s="106">
        <f t="shared" si="10"/>
        <v>0</v>
      </c>
      <c r="AB7" s="106">
        <f t="shared" ref="AB7:AC20" si="16">+IF(P$43=0,0,IF(P$43&lt;0,-RANK(W7,W$5:W$40,0),RANK(W7,W$5:W$40,1)))</f>
        <v>0</v>
      </c>
      <c r="AC7" s="106">
        <f t="shared" si="16"/>
        <v>0</v>
      </c>
      <c r="AD7" s="106">
        <f t="shared" si="11"/>
        <v>0</v>
      </c>
      <c r="AE7" s="2"/>
      <c r="AF7" s="2"/>
      <c r="AG7" s="2"/>
      <c r="AH7" s="2"/>
      <c r="AI7" s="2"/>
    </row>
    <row r="8" spans="1:35" s="62" customFormat="1">
      <c r="A8" s="105"/>
      <c r="B8" s="104"/>
      <c r="C8" s="103"/>
      <c r="D8" s="102" t="s">
        <v>20</v>
      </c>
      <c r="E8" s="101">
        <f>+ポ!E36</f>
        <v>2356040225</v>
      </c>
      <c r="F8" s="90">
        <f>+ポ!F36</f>
        <v>0</v>
      </c>
      <c r="G8" s="89">
        <f>+ポ!G36</f>
        <v>0</v>
      </c>
      <c r="H8" s="89">
        <f>+ポ!H36</f>
        <v>0</v>
      </c>
      <c r="I8" s="89">
        <f>+ポ!I36</f>
        <v>30357</v>
      </c>
      <c r="J8" s="92">
        <f>+ポ!J36</f>
        <v>1148180103</v>
      </c>
      <c r="K8" s="34">
        <f>+ポ!K36</f>
        <v>1148210460</v>
      </c>
      <c r="L8" s="101">
        <f>+ポ!L36</f>
        <v>188585576</v>
      </c>
      <c r="M8" s="101">
        <f>+ポ!M36</f>
        <v>1019244189</v>
      </c>
      <c r="N8" s="90">
        <f t="shared" si="3"/>
        <v>0</v>
      </c>
      <c r="O8" s="89">
        <f t="shared" si="4"/>
        <v>0</v>
      </c>
      <c r="P8" s="89">
        <f t="shared" si="5"/>
        <v>0</v>
      </c>
      <c r="Q8" s="89">
        <f t="shared" si="5"/>
        <v>2249</v>
      </c>
      <c r="R8" s="92">
        <f t="shared" si="6"/>
        <v>104380009</v>
      </c>
      <c r="S8" s="34">
        <f t="shared" si="7"/>
        <v>104382258</v>
      </c>
      <c r="T8" s="109">
        <f t="shared" si="8"/>
        <v>2251657967</v>
      </c>
      <c r="U8" s="107">
        <f t="shared" si="12"/>
        <v>0</v>
      </c>
      <c r="V8" s="107">
        <f t="shared" si="13"/>
        <v>0</v>
      </c>
      <c r="W8" s="107">
        <f t="shared" si="14"/>
        <v>0</v>
      </c>
      <c r="X8" s="107">
        <f t="shared" si="14"/>
        <v>0.33333333333348492</v>
      </c>
      <c r="Y8" s="107">
        <f t="shared" si="15"/>
        <v>-0.36363635957241058</v>
      </c>
      <c r="Z8" s="106">
        <f t="shared" si="9"/>
        <v>0</v>
      </c>
      <c r="AA8" s="106">
        <f t="shared" si="10"/>
        <v>0</v>
      </c>
      <c r="AB8" s="106">
        <f t="shared" si="16"/>
        <v>0</v>
      </c>
      <c r="AC8" s="106">
        <f t="shared" si="16"/>
        <v>0</v>
      </c>
      <c r="AD8" s="106">
        <f t="shared" si="11"/>
        <v>0</v>
      </c>
      <c r="AE8" s="2"/>
      <c r="AF8" s="2"/>
      <c r="AG8" s="2"/>
      <c r="AH8" s="2"/>
      <c r="AI8" s="2"/>
    </row>
    <row r="9" spans="1:35" s="62" customFormat="1">
      <c r="A9" s="105"/>
      <c r="B9" s="104"/>
      <c r="C9" s="103"/>
      <c r="D9" s="102" t="s">
        <v>19</v>
      </c>
      <c r="E9" s="101">
        <f>+処!E36</f>
        <v>6557703864</v>
      </c>
      <c r="F9" s="90">
        <f>+処!F36</f>
        <v>0</v>
      </c>
      <c r="G9" s="89">
        <f>+処!G36</f>
        <v>0</v>
      </c>
      <c r="H9" s="89">
        <f>+処!H36</f>
        <v>518400</v>
      </c>
      <c r="I9" s="89">
        <f>+処!I36</f>
        <v>144600</v>
      </c>
      <c r="J9" s="92">
        <f>+処!J36</f>
        <v>5718291420</v>
      </c>
      <c r="K9" s="34">
        <f>+処!K36</f>
        <v>5718954420</v>
      </c>
      <c r="L9" s="101">
        <f>+処!L36</f>
        <v>130669187</v>
      </c>
      <c r="M9" s="101">
        <f>+処!M36</f>
        <v>708080257</v>
      </c>
      <c r="N9" s="90">
        <f t="shared" si="3"/>
        <v>0</v>
      </c>
      <c r="O9" s="89">
        <f t="shared" si="4"/>
        <v>0</v>
      </c>
      <c r="P9" s="89">
        <f t="shared" si="5"/>
        <v>38400</v>
      </c>
      <c r="Q9" s="89">
        <f t="shared" si="5"/>
        <v>10711</v>
      </c>
      <c r="R9" s="92">
        <f t="shared" si="6"/>
        <v>519844675</v>
      </c>
      <c r="S9" s="34">
        <f t="shared" si="7"/>
        <v>519893786</v>
      </c>
      <c r="T9" s="109">
        <f t="shared" si="8"/>
        <v>6037810078</v>
      </c>
      <c r="U9" s="107">
        <f t="shared" si="12"/>
        <v>0</v>
      </c>
      <c r="V9" s="107">
        <f t="shared" si="13"/>
        <v>0</v>
      </c>
      <c r="W9" s="107">
        <f t="shared" si="14"/>
        <v>0</v>
      </c>
      <c r="X9" s="107">
        <f t="shared" si="14"/>
        <v>-0.11111111111131322</v>
      </c>
      <c r="Y9" s="107">
        <f t="shared" si="15"/>
        <v>0.45454543828964233</v>
      </c>
      <c r="Z9" s="106">
        <f t="shared" si="9"/>
        <v>0</v>
      </c>
      <c r="AA9" s="106">
        <f t="shared" si="10"/>
        <v>0</v>
      </c>
      <c r="AB9" s="106">
        <f t="shared" si="16"/>
        <v>0</v>
      </c>
      <c r="AC9" s="106">
        <f t="shared" si="16"/>
        <v>0</v>
      </c>
      <c r="AD9" s="106">
        <f t="shared" si="11"/>
        <v>0</v>
      </c>
      <c r="AE9" s="2"/>
      <c r="AF9" s="2"/>
      <c r="AG9" s="2"/>
      <c r="AH9" s="2"/>
      <c r="AI9" s="2"/>
    </row>
    <row r="10" spans="1:35" s="62" customFormat="1">
      <c r="A10" s="105"/>
      <c r="B10" s="104"/>
      <c r="C10" s="103"/>
      <c r="D10" s="102" t="s">
        <v>18</v>
      </c>
      <c r="E10" s="101">
        <f>+受工!E36</f>
        <v>0</v>
      </c>
      <c r="F10" s="90">
        <f>+受工!F36</f>
        <v>0</v>
      </c>
      <c r="G10" s="89">
        <f>+受工!G36</f>
        <v>0</v>
      </c>
      <c r="H10" s="89">
        <f>+受工!H36</f>
        <v>0</v>
      </c>
      <c r="I10" s="89">
        <f>+受工!I36</f>
        <v>0</v>
      </c>
      <c r="J10" s="92">
        <f>+受工!J36</f>
        <v>0</v>
      </c>
      <c r="K10" s="34">
        <f>+受工!K36</f>
        <v>0</v>
      </c>
      <c r="L10" s="101">
        <f>+受工!L36</f>
        <v>0</v>
      </c>
      <c r="M10" s="101">
        <f>+受工!M36</f>
        <v>0</v>
      </c>
      <c r="N10" s="90">
        <f t="shared" si="3"/>
        <v>0</v>
      </c>
      <c r="O10" s="89">
        <f t="shared" si="4"/>
        <v>0</v>
      </c>
      <c r="P10" s="89">
        <f t="shared" si="5"/>
        <v>0</v>
      </c>
      <c r="Q10" s="89">
        <f t="shared" si="5"/>
        <v>0</v>
      </c>
      <c r="R10" s="92">
        <f t="shared" si="6"/>
        <v>0</v>
      </c>
      <c r="S10" s="34">
        <f t="shared" si="7"/>
        <v>0</v>
      </c>
      <c r="T10" s="109">
        <f t="shared" si="8"/>
        <v>0</v>
      </c>
      <c r="U10" s="107">
        <f t="shared" si="12"/>
        <v>0</v>
      </c>
      <c r="V10" s="107">
        <f t="shared" si="13"/>
        <v>0</v>
      </c>
      <c r="W10" s="107">
        <f t="shared" si="14"/>
        <v>0</v>
      </c>
      <c r="X10" s="107">
        <f t="shared" si="14"/>
        <v>0</v>
      </c>
      <c r="Y10" s="107">
        <f t="shared" si="15"/>
        <v>0</v>
      </c>
      <c r="Z10" s="106">
        <f t="shared" si="9"/>
        <v>0</v>
      </c>
      <c r="AA10" s="106">
        <f t="shared" si="10"/>
        <v>0</v>
      </c>
      <c r="AB10" s="106">
        <f t="shared" si="16"/>
        <v>0</v>
      </c>
      <c r="AC10" s="106">
        <f t="shared" si="16"/>
        <v>0</v>
      </c>
      <c r="AD10" s="106">
        <f t="shared" si="11"/>
        <v>0</v>
      </c>
      <c r="AE10" s="2"/>
      <c r="AF10" s="2"/>
      <c r="AG10" s="2"/>
      <c r="AH10" s="2"/>
      <c r="AI10" s="2"/>
    </row>
    <row r="11" spans="1:35" s="62" customFormat="1">
      <c r="A11" s="105"/>
      <c r="B11" s="104"/>
      <c r="C11" s="103"/>
      <c r="D11" s="102" t="s">
        <v>17</v>
      </c>
      <c r="E11" s="101">
        <f>+普及!E36</f>
        <v>88849549</v>
      </c>
      <c r="F11" s="90">
        <f>+普及!F36</f>
        <v>0</v>
      </c>
      <c r="G11" s="89">
        <f>+普及!G36</f>
        <v>0</v>
      </c>
      <c r="H11" s="89">
        <f>+普及!H36</f>
        <v>0</v>
      </c>
      <c r="I11" s="89">
        <f>+普及!I36</f>
        <v>0</v>
      </c>
      <c r="J11" s="92">
        <f>+普及!J36</f>
        <v>18870469</v>
      </c>
      <c r="K11" s="34">
        <f>+普及!K36</f>
        <v>18870469</v>
      </c>
      <c r="L11" s="101">
        <f>+普及!L36</f>
        <v>9614092</v>
      </c>
      <c r="M11" s="101">
        <f>+普及!M36</f>
        <v>60364988</v>
      </c>
      <c r="N11" s="90">
        <f t="shared" si="3"/>
        <v>0</v>
      </c>
      <c r="O11" s="89">
        <f t="shared" si="4"/>
        <v>0</v>
      </c>
      <c r="P11" s="89">
        <f t="shared" si="5"/>
        <v>0</v>
      </c>
      <c r="Q11" s="89">
        <f t="shared" si="5"/>
        <v>0</v>
      </c>
      <c r="R11" s="92">
        <f t="shared" si="6"/>
        <v>1715497</v>
      </c>
      <c r="S11" s="34">
        <f t="shared" si="7"/>
        <v>1715497</v>
      </c>
      <c r="T11" s="109">
        <f t="shared" si="8"/>
        <v>87134052</v>
      </c>
      <c r="U11" s="107">
        <f t="shared" si="12"/>
        <v>0</v>
      </c>
      <c r="V11" s="107">
        <f t="shared" si="13"/>
        <v>0</v>
      </c>
      <c r="W11" s="107">
        <f t="shared" si="14"/>
        <v>0</v>
      </c>
      <c r="X11" s="107">
        <f t="shared" si="14"/>
        <v>0</v>
      </c>
      <c r="Y11" s="107">
        <f t="shared" si="15"/>
        <v>-0.18181818188168108</v>
      </c>
      <c r="Z11" s="106">
        <f t="shared" si="9"/>
        <v>0</v>
      </c>
      <c r="AA11" s="106">
        <f t="shared" si="10"/>
        <v>0</v>
      </c>
      <c r="AB11" s="106">
        <f t="shared" si="16"/>
        <v>0</v>
      </c>
      <c r="AC11" s="106">
        <f t="shared" si="16"/>
        <v>0</v>
      </c>
      <c r="AD11" s="106">
        <f t="shared" si="11"/>
        <v>0</v>
      </c>
      <c r="AE11" s="2"/>
      <c r="AF11" s="2"/>
      <c r="AG11" s="2"/>
      <c r="AH11" s="2"/>
      <c r="AI11" s="2"/>
    </row>
    <row r="12" spans="1:35" s="62" customFormat="1">
      <c r="A12" s="105"/>
      <c r="B12" s="104"/>
      <c r="C12" s="103"/>
      <c r="D12" s="102" t="s">
        <v>16</v>
      </c>
      <c r="E12" s="101">
        <f>+貸付!E36</f>
        <v>10483859</v>
      </c>
      <c r="F12" s="90">
        <f>+貸付!F36</f>
        <v>0</v>
      </c>
      <c r="G12" s="89">
        <f>+貸付!G36</f>
        <v>0</v>
      </c>
      <c r="H12" s="89">
        <f>+貸付!H36</f>
        <v>0</v>
      </c>
      <c r="I12" s="89">
        <f>+貸付!I36</f>
        <v>0</v>
      </c>
      <c r="J12" s="92">
        <f>+貸付!J36</f>
        <v>963485</v>
      </c>
      <c r="K12" s="34">
        <f>+貸付!K36</f>
        <v>963485</v>
      </c>
      <c r="L12" s="101">
        <f>+貸付!L36</f>
        <v>1672623</v>
      </c>
      <c r="M12" s="101">
        <f>+貸付!M36</f>
        <v>7847751</v>
      </c>
      <c r="N12" s="90">
        <f t="shared" si="3"/>
        <v>0</v>
      </c>
      <c r="O12" s="89">
        <f t="shared" si="4"/>
        <v>0</v>
      </c>
      <c r="P12" s="89">
        <f t="shared" si="5"/>
        <v>0</v>
      </c>
      <c r="Q12" s="89">
        <f t="shared" si="5"/>
        <v>0</v>
      </c>
      <c r="R12" s="92">
        <f t="shared" si="6"/>
        <v>87589</v>
      </c>
      <c r="S12" s="34">
        <f t="shared" si="7"/>
        <v>87589</v>
      </c>
      <c r="T12" s="109">
        <f t="shared" si="8"/>
        <v>10396270</v>
      </c>
      <c r="U12" s="107">
        <f t="shared" si="12"/>
        <v>0</v>
      </c>
      <c r="V12" s="107">
        <f t="shared" si="13"/>
        <v>0</v>
      </c>
      <c r="W12" s="107">
        <f t="shared" si="14"/>
        <v>0</v>
      </c>
      <c r="X12" s="107">
        <f t="shared" si="14"/>
        <v>0</v>
      </c>
      <c r="Y12" s="107">
        <f t="shared" si="15"/>
        <v>0.45454545454413164</v>
      </c>
      <c r="Z12" s="106">
        <f t="shared" si="9"/>
        <v>0</v>
      </c>
      <c r="AA12" s="106">
        <f t="shared" si="10"/>
        <v>0</v>
      </c>
      <c r="AB12" s="106">
        <f t="shared" si="16"/>
        <v>0</v>
      </c>
      <c r="AC12" s="106">
        <f t="shared" si="16"/>
        <v>0</v>
      </c>
      <c r="AD12" s="106">
        <f t="shared" si="11"/>
        <v>0</v>
      </c>
      <c r="AE12" s="2"/>
      <c r="AF12" s="2"/>
      <c r="AG12" s="2"/>
      <c r="AH12" s="2"/>
      <c r="AI12" s="2">
        <v>-1</v>
      </c>
    </row>
    <row r="13" spans="1:35" s="62" customFormat="1">
      <c r="A13" s="105"/>
      <c r="B13" s="104"/>
      <c r="C13" s="103"/>
      <c r="D13" s="102" t="s">
        <v>15</v>
      </c>
      <c r="E13" s="101">
        <f>+業務!E36</f>
        <v>1019945143</v>
      </c>
      <c r="F13" s="90">
        <f>+業務!F36</f>
        <v>0</v>
      </c>
      <c r="G13" s="89">
        <f>+業務!G36</f>
        <v>0</v>
      </c>
      <c r="H13" s="89">
        <f>+業務!H36</f>
        <v>0</v>
      </c>
      <c r="I13" s="89">
        <f>+業務!I36</f>
        <v>0</v>
      </c>
      <c r="J13" s="92">
        <f>+業務!J36</f>
        <v>992787715</v>
      </c>
      <c r="K13" s="34">
        <f>+業務!K36</f>
        <v>992787715</v>
      </c>
      <c r="L13" s="101">
        <f>+業務!L36</f>
        <v>4195233</v>
      </c>
      <c r="M13" s="101">
        <f>+業務!M36</f>
        <v>22962195</v>
      </c>
      <c r="N13" s="90">
        <f t="shared" si="3"/>
        <v>0</v>
      </c>
      <c r="O13" s="89">
        <f t="shared" si="4"/>
        <v>0</v>
      </c>
      <c r="P13" s="89">
        <f t="shared" si="5"/>
        <v>0</v>
      </c>
      <c r="Q13" s="89">
        <f t="shared" si="5"/>
        <v>0</v>
      </c>
      <c r="R13" s="92">
        <f t="shared" si="6"/>
        <v>90253429</v>
      </c>
      <c r="S13" s="34">
        <f t="shared" si="7"/>
        <v>90253429</v>
      </c>
      <c r="T13" s="109">
        <f t="shared" si="8"/>
        <v>929691714</v>
      </c>
      <c r="U13" s="107">
        <f t="shared" si="12"/>
        <v>0</v>
      </c>
      <c r="V13" s="107">
        <f t="shared" si="13"/>
        <v>0</v>
      </c>
      <c r="W13" s="107">
        <f t="shared" si="14"/>
        <v>0</v>
      </c>
      <c r="X13" s="107">
        <f t="shared" si="14"/>
        <v>0</v>
      </c>
      <c r="Y13" s="107">
        <f t="shared" si="15"/>
        <v>0.36363635957241058</v>
      </c>
      <c r="Z13" s="106">
        <f t="shared" si="9"/>
        <v>0</v>
      </c>
      <c r="AA13" s="106">
        <f t="shared" si="10"/>
        <v>0</v>
      </c>
      <c r="AB13" s="106">
        <f t="shared" si="16"/>
        <v>0</v>
      </c>
      <c r="AC13" s="106">
        <f t="shared" si="16"/>
        <v>0</v>
      </c>
      <c r="AD13" s="106">
        <f t="shared" si="11"/>
        <v>0</v>
      </c>
      <c r="AE13" s="2"/>
      <c r="AF13" s="2"/>
      <c r="AG13" s="2"/>
      <c r="AH13" s="2"/>
      <c r="AI13" s="2"/>
    </row>
    <row r="14" spans="1:35" s="62" customFormat="1">
      <c r="A14" s="105"/>
      <c r="B14" s="104"/>
      <c r="C14" s="103"/>
      <c r="D14" s="102" t="s">
        <v>14</v>
      </c>
      <c r="E14" s="101">
        <f>+総係!E37</f>
        <v>483965214</v>
      </c>
      <c r="F14" s="90">
        <f>+総係!F37</f>
        <v>0</v>
      </c>
      <c r="G14" s="89">
        <f>+総係!G37</f>
        <v>0</v>
      </c>
      <c r="H14" s="89">
        <f>+総係!H37</f>
        <v>0</v>
      </c>
      <c r="I14" s="89">
        <f>+総係!I37</f>
        <v>317198</v>
      </c>
      <c r="J14" s="92">
        <f>+総係!J37</f>
        <v>194208395</v>
      </c>
      <c r="K14" s="34">
        <f>+総係!K37</f>
        <v>194525593</v>
      </c>
      <c r="L14" s="101">
        <f>+総係!L37</f>
        <v>50827352</v>
      </c>
      <c r="M14" s="101">
        <f>+総係!M37</f>
        <v>238612269</v>
      </c>
      <c r="N14" s="90">
        <f t="shared" si="3"/>
        <v>0</v>
      </c>
      <c r="O14" s="89">
        <f t="shared" si="4"/>
        <v>0</v>
      </c>
      <c r="P14" s="89">
        <f t="shared" si="5"/>
        <v>0</v>
      </c>
      <c r="Q14" s="89">
        <f t="shared" si="5"/>
        <v>23496</v>
      </c>
      <c r="R14" s="92">
        <f t="shared" si="6"/>
        <v>17655309</v>
      </c>
      <c r="S14" s="34">
        <f t="shared" si="7"/>
        <v>17678805</v>
      </c>
      <c r="T14" s="109">
        <f t="shared" si="8"/>
        <v>466286409</v>
      </c>
      <c r="U14" s="107">
        <f t="shared" si="12"/>
        <v>0</v>
      </c>
      <c r="V14" s="107">
        <f t="shared" si="13"/>
        <v>0</v>
      </c>
      <c r="W14" s="107">
        <f t="shared" si="14"/>
        <v>0</v>
      </c>
      <c r="X14" s="107">
        <f t="shared" si="14"/>
        <v>-0.14814814814963029</v>
      </c>
      <c r="Y14" s="107">
        <f t="shared" si="15"/>
        <v>0.36363636329770088</v>
      </c>
      <c r="Z14" s="106">
        <f t="shared" si="9"/>
        <v>0</v>
      </c>
      <c r="AA14" s="106">
        <f t="shared" si="10"/>
        <v>0</v>
      </c>
      <c r="AB14" s="106">
        <f t="shared" si="16"/>
        <v>0</v>
      </c>
      <c r="AC14" s="106">
        <f t="shared" si="16"/>
        <v>0</v>
      </c>
      <c r="AD14" s="106">
        <f t="shared" si="11"/>
        <v>0</v>
      </c>
      <c r="AE14" s="2"/>
      <c r="AF14" s="2"/>
      <c r="AG14" s="2"/>
      <c r="AH14" s="2"/>
      <c r="AI14" s="2"/>
    </row>
    <row r="15" spans="1:35" s="62" customFormat="1">
      <c r="A15" s="105"/>
      <c r="B15" s="104"/>
      <c r="C15" s="103"/>
      <c r="D15" s="102" t="s">
        <v>13</v>
      </c>
      <c r="E15" s="101">
        <f>+特環!E37</f>
        <v>106990906</v>
      </c>
      <c r="F15" s="90">
        <f>+特環!F37</f>
        <v>0</v>
      </c>
      <c r="G15" s="89">
        <f>+特環!G37</f>
        <v>0</v>
      </c>
      <c r="H15" s="89">
        <f>+特環!H37</f>
        <v>0</v>
      </c>
      <c r="I15" s="89">
        <f>+特環!I37</f>
        <v>2121</v>
      </c>
      <c r="J15" s="92">
        <f>+特環!J37</f>
        <v>106852098</v>
      </c>
      <c r="K15" s="34">
        <f>+特環!K37</f>
        <v>106854219</v>
      </c>
      <c r="L15" s="101">
        <f>+特環!L37</f>
        <v>104407</v>
      </c>
      <c r="M15" s="101">
        <f>+特環!M37</f>
        <v>32280</v>
      </c>
      <c r="N15" s="90">
        <f t="shared" si="3"/>
        <v>0</v>
      </c>
      <c r="O15" s="89">
        <f t="shared" si="4"/>
        <v>0</v>
      </c>
      <c r="P15" s="89">
        <f t="shared" si="5"/>
        <v>0</v>
      </c>
      <c r="Q15" s="89">
        <f t="shared" si="5"/>
        <v>157</v>
      </c>
      <c r="R15" s="92">
        <f t="shared" si="6"/>
        <v>9713827</v>
      </c>
      <c r="S15" s="34">
        <f t="shared" si="7"/>
        <v>9713984</v>
      </c>
      <c r="T15" s="109">
        <f t="shared" si="8"/>
        <v>97276922</v>
      </c>
      <c r="U15" s="225"/>
      <c r="V15" s="226"/>
      <c r="W15" s="226"/>
      <c r="X15" s="226"/>
      <c r="Y15" s="226"/>
      <c r="Z15" s="227"/>
      <c r="AA15" s="227"/>
      <c r="AB15" s="227"/>
      <c r="AC15" s="227"/>
      <c r="AD15" s="227"/>
      <c r="AE15" s="2"/>
      <c r="AF15" s="2"/>
      <c r="AG15" s="2"/>
      <c r="AH15" s="2"/>
      <c r="AI15" s="2"/>
    </row>
    <row r="16" spans="1:35" s="62" customFormat="1">
      <c r="A16" s="105"/>
      <c r="B16" s="104"/>
      <c r="C16" s="103"/>
      <c r="D16" s="102" t="s">
        <v>12</v>
      </c>
      <c r="E16" s="101">
        <f>+農集!E37</f>
        <v>247654024</v>
      </c>
      <c r="F16" s="90">
        <f>+農集!F37</f>
        <v>0</v>
      </c>
      <c r="G16" s="89">
        <f>+農集!G37</f>
        <v>0</v>
      </c>
      <c r="H16" s="89">
        <f>+農集!H37</f>
        <v>0</v>
      </c>
      <c r="I16" s="89">
        <f>+農集!I37</f>
        <v>5073</v>
      </c>
      <c r="J16" s="92">
        <f>+農集!J37</f>
        <v>247344387</v>
      </c>
      <c r="K16" s="34">
        <f>+農集!K37</f>
        <v>247349460</v>
      </c>
      <c r="L16" s="101">
        <f>+農集!L37</f>
        <v>182965</v>
      </c>
      <c r="M16" s="101">
        <f>+農集!M37</f>
        <v>121599</v>
      </c>
      <c r="N16" s="90">
        <f t="shared" si="3"/>
        <v>0</v>
      </c>
      <c r="O16" s="89">
        <f t="shared" si="4"/>
        <v>0</v>
      </c>
      <c r="P16" s="89">
        <f t="shared" si="5"/>
        <v>0</v>
      </c>
      <c r="Q16" s="89">
        <f t="shared" si="5"/>
        <v>376</v>
      </c>
      <c r="R16" s="92">
        <f t="shared" si="6"/>
        <v>22485853</v>
      </c>
      <c r="S16" s="34">
        <f t="shared" si="7"/>
        <v>22486229</v>
      </c>
      <c r="T16" s="109">
        <f t="shared" si="8"/>
        <v>225167795</v>
      </c>
      <c r="U16" s="225"/>
      <c r="V16" s="226"/>
      <c r="W16" s="226"/>
      <c r="X16" s="226"/>
      <c r="Y16" s="226"/>
      <c r="Z16" s="227"/>
      <c r="AA16" s="227"/>
      <c r="AB16" s="227"/>
      <c r="AC16" s="227"/>
      <c r="AD16" s="227"/>
      <c r="AE16" s="2"/>
      <c r="AF16" s="2"/>
      <c r="AG16" s="2"/>
      <c r="AH16" s="2"/>
      <c r="AI16" s="2"/>
    </row>
    <row r="17" spans="1:35" s="62" customFormat="1">
      <c r="A17" s="105"/>
      <c r="B17" s="104"/>
      <c r="C17" s="103"/>
      <c r="D17" s="102" t="s">
        <v>11</v>
      </c>
      <c r="E17" s="101">
        <f>+浄化!E37</f>
        <v>76388330</v>
      </c>
      <c r="F17" s="90">
        <f>+浄化!F37</f>
        <v>0</v>
      </c>
      <c r="G17" s="89">
        <f>+浄化!G37</f>
        <v>0</v>
      </c>
      <c r="H17" s="89">
        <f>+浄化!H37</f>
        <v>0</v>
      </c>
      <c r="I17" s="89">
        <f>+浄化!I37</f>
        <v>1529</v>
      </c>
      <c r="J17" s="92">
        <f>+浄化!J37</f>
        <v>70915767</v>
      </c>
      <c r="K17" s="34">
        <f>+浄化!K37</f>
        <v>70917296</v>
      </c>
      <c r="L17" s="101">
        <f>+浄化!L37</f>
        <v>5447767</v>
      </c>
      <c r="M17" s="101">
        <f>+浄化!M37</f>
        <v>23267</v>
      </c>
      <c r="N17" s="90">
        <f t="shared" si="3"/>
        <v>0</v>
      </c>
      <c r="O17" s="89">
        <f t="shared" si="4"/>
        <v>0</v>
      </c>
      <c r="P17" s="89">
        <f t="shared" si="5"/>
        <v>0</v>
      </c>
      <c r="Q17" s="89">
        <f t="shared" si="5"/>
        <v>113</v>
      </c>
      <c r="R17" s="92">
        <f t="shared" si="6"/>
        <v>6446888</v>
      </c>
      <c r="S17" s="34">
        <f t="shared" si="7"/>
        <v>6447001</v>
      </c>
      <c r="T17" s="109">
        <f t="shared" si="8"/>
        <v>69941329</v>
      </c>
      <c r="U17" s="225"/>
      <c r="V17" s="226"/>
      <c r="W17" s="226"/>
      <c r="X17" s="226"/>
      <c r="Y17" s="226"/>
      <c r="Z17" s="227"/>
      <c r="AA17" s="227"/>
      <c r="AB17" s="227"/>
      <c r="AC17" s="227"/>
      <c r="AD17" s="227"/>
      <c r="AE17" s="2"/>
      <c r="AF17" s="2"/>
      <c r="AG17" s="2"/>
      <c r="AH17" s="2"/>
      <c r="AI17" s="2"/>
    </row>
    <row r="18" spans="1:35" s="62" customFormat="1">
      <c r="A18" s="105"/>
      <c r="B18" s="104"/>
      <c r="C18" s="103"/>
      <c r="D18" s="102" t="s">
        <v>10</v>
      </c>
      <c r="E18" s="101">
        <f>+災!E36</f>
        <v>0</v>
      </c>
      <c r="F18" s="90">
        <f>+災!F36</f>
        <v>0</v>
      </c>
      <c r="G18" s="89">
        <f>+災!G36</f>
        <v>0</v>
      </c>
      <c r="H18" s="89">
        <f>+災!H36</f>
        <v>0</v>
      </c>
      <c r="I18" s="89">
        <f>+災!I36</f>
        <v>0</v>
      </c>
      <c r="J18" s="92">
        <f>+災!J36</f>
        <v>0</v>
      </c>
      <c r="K18" s="34">
        <f>+災!K36</f>
        <v>0</v>
      </c>
      <c r="L18" s="101">
        <f>+災!L36</f>
        <v>0</v>
      </c>
      <c r="M18" s="101">
        <f>+災!M36</f>
        <v>0</v>
      </c>
      <c r="N18" s="90">
        <f t="shared" si="3"/>
        <v>0</v>
      </c>
      <c r="O18" s="89">
        <f t="shared" si="4"/>
        <v>0</v>
      </c>
      <c r="P18" s="89">
        <f t="shared" si="5"/>
        <v>0</v>
      </c>
      <c r="Q18" s="89">
        <f t="shared" si="5"/>
        <v>0</v>
      </c>
      <c r="R18" s="92">
        <f t="shared" si="6"/>
        <v>0</v>
      </c>
      <c r="S18" s="34">
        <f t="shared" si="7"/>
        <v>0</v>
      </c>
      <c r="T18" s="109">
        <f t="shared" si="8"/>
        <v>0</v>
      </c>
      <c r="U18" s="107">
        <f t="shared" si="12"/>
        <v>0</v>
      </c>
      <c r="V18" s="107">
        <f t="shared" si="13"/>
        <v>0</v>
      </c>
      <c r="W18" s="107">
        <f t="shared" si="14"/>
        <v>0</v>
      </c>
      <c r="X18" s="107">
        <f t="shared" si="14"/>
        <v>0</v>
      </c>
      <c r="Y18" s="107">
        <f t="shared" si="15"/>
        <v>0</v>
      </c>
      <c r="Z18" s="106">
        <f t="shared" si="9"/>
        <v>0</v>
      </c>
      <c r="AA18" s="106">
        <f t="shared" si="10"/>
        <v>0</v>
      </c>
      <c r="AB18" s="106">
        <f t="shared" si="16"/>
        <v>0</v>
      </c>
      <c r="AC18" s="106">
        <f t="shared" si="16"/>
        <v>0</v>
      </c>
      <c r="AD18" s="106">
        <f t="shared" si="11"/>
        <v>0</v>
      </c>
      <c r="AE18" s="2"/>
      <c r="AF18" s="2"/>
      <c r="AG18" s="2"/>
      <c r="AH18" s="2"/>
      <c r="AI18" s="2"/>
    </row>
    <row r="19" spans="1:35" s="62" customFormat="1">
      <c r="A19" s="105"/>
      <c r="B19" s="104"/>
      <c r="C19" s="103"/>
      <c r="D19" s="102" t="s">
        <v>39</v>
      </c>
      <c r="E19" s="101">
        <f>+減価!E36</f>
        <v>26551442230</v>
      </c>
      <c r="F19" s="90">
        <f>+減価!F36</f>
        <v>0</v>
      </c>
      <c r="G19" s="89">
        <f>+減価!G36</f>
        <v>0</v>
      </c>
      <c r="H19" s="89">
        <f>+減価!H36</f>
        <v>0</v>
      </c>
      <c r="I19" s="89">
        <f>+減価!I36</f>
        <v>0</v>
      </c>
      <c r="J19" s="92">
        <f>+減価!J36</f>
        <v>0</v>
      </c>
      <c r="K19" s="34">
        <f>+減価!K36</f>
        <v>0</v>
      </c>
      <c r="L19" s="101">
        <f>+減価!L36</f>
        <v>0</v>
      </c>
      <c r="M19" s="101">
        <f>+減価!M36</f>
        <v>26551442230</v>
      </c>
      <c r="N19" s="90">
        <f t="shared" si="3"/>
        <v>0</v>
      </c>
      <c r="O19" s="89">
        <f t="shared" si="4"/>
        <v>0</v>
      </c>
      <c r="P19" s="89">
        <f t="shared" si="5"/>
        <v>0</v>
      </c>
      <c r="Q19" s="89">
        <f t="shared" si="5"/>
        <v>0</v>
      </c>
      <c r="R19" s="92">
        <f t="shared" si="6"/>
        <v>0</v>
      </c>
      <c r="S19" s="34">
        <f t="shared" si="7"/>
        <v>0</v>
      </c>
      <c r="T19" s="109">
        <f t="shared" si="8"/>
        <v>26551442230</v>
      </c>
      <c r="U19" s="107">
        <f t="shared" si="12"/>
        <v>0</v>
      </c>
      <c r="V19" s="107">
        <f t="shared" si="13"/>
        <v>0</v>
      </c>
      <c r="W19" s="107">
        <f t="shared" si="14"/>
        <v>0</v>
      </c>
      <c r="X19" s="107">
        <f t="shared" si="14"/>
        <v>0</v>
      </c>
      <c r="Y19" s="107">
        <f t="shared" si="15"/>
        <v>0</v>
      </c>
      <c r="Z19" s="106">
        <f t="shared" si="9"/>
        <v>0</v>
      </c>
      <c r="AA19" s="106">
        <f t="shared" si="10"/>
        <v>0</v>
      </c>
      <c r="AB19" s="106">
        <f t="shared" si="16"/>
        <v>0</v>
      </c>
      <c r="AC19" s="106">
        <f t="shared" si="16"/>
        <v>0</v>
      </c>
      <c r="AD19" s="106">
        <f t="shared" si="11"/>
        <v>0</v>
      </c>
      <c r="AE19" s="2"/>
      <c r="AF19" s="2"/>
      <c r="AG19" s="2"/>
      <c r="AH19" s="2"/>
      <c r="AI19" s="2"/>
    </row>
    <row r="20" spans="1:35" s="62" customFormat="1">
      <c r="A20" s="105"/>
      <c r="B20" s="104"/>
      <c r="C20" s="103"/>
      <c r="D20" s="102" t="s">
        <v>38</v>
      </c>
      <c r="E20" s="101">
        <f>+減耗!E36</f>
        <v>503761871</v>
      </c>
      <c r="F20" s="90">
        <f>+減耗!F36</f>
        <v>0</v>
      </c>
      <c r="G20" s="89">
        <f>+減耗!G36</f>
        <v>0</v>
      </c>
      <c r="H20" s="89">
        <f>+減耗!H36</f>
        <v>0</v>
      </c>
      <c r="I20" s="89">
        <f>+減耗!I36</f>
        <v>0</v>
      </c>
      <c r="J20" s="92">
        <f>+減耗!J36</f>
        <v>0</v>
      </c>
      <c r="K20" s="34">
        <f>+減耗!K36</f>
        <v>0</v>
      </c>
      <c r="L20" s="101">
        <f>+減耗!L36</f>
        <v>0</v>
      </c>
      <c r="M20" s="101">
        <f>+減耗!M36</f>
        <v>503761871</v>
      </c>
      <c r="N20" s="90">
        <f t="shared" si="3"/>
        <v>0</v>
      </c>
      <c r="O20" s="89">
        <f t="shared" si="4"/>
        <v>0</v>
      </c>
      <c r="P20" s="89">
        <f t="shared" si="5"/>
        <v>0</v>
      </c>
      <c r="Q20" s="89">
        <f t="shared" si="5"/>
        <v>0</v>
      </c>
      <c r="R20" s="92">
        <f t="shared" si="6"/>
        <v>0</v>
      </c>
      <c r="S20" s="34">
        <f t="shared" si="7"/>
        <v>0</v>
      </c>
      <c r="T20" s="109">
        <f t="shared" si="8"/>
        <v>503761871</v>
      </c>
      <c r="U20" s="107">
        <f t="shared" si="12"/>
        <v>0</v>
      </c>
      <c r="V20" s="107">
        <f t="shared" si="13"/>
        <v>0</v>
      </c>
      <c r="W20" s="107">
        <f t="shared" si="14"/>
        <v>0</v>
      </c>
      <c r="X20" s="107">
        <f t="shared" si="14"/>
        <v>0</v>
      </c>
      <c r="Y20" s="107">
        <f t="shared" si="15"/>
        <v>0</v>
      </c>
      <c r="Z20" s="106">
        <f t="shared" si="9"/>
        <v>0</v>
      </c>
      <c r="AA20" s="106">
        <f t="shared" si="10"/>
        <v>0</v>
      </c>
      <c r="AB20" s="106">
        <f t="shared" si="16"/>
        <v>0</v>
      </c>
      <c r="AC20" s="106">
        <f t="shared" si="16"/>
        <v>0</v>
      </c>
      <c r="AD20" s="106">
        <f t="shared" si="11"/>
        <v>0</v>
      </c>
      <c r="AE20" s="2"/>
      <c r="AF20" s="2"/>
      <c r="AG20" s="2"/>
      <c r="AH20" s="2"/>
      <c r="AI20" s="2"/>
    </row>
    <row r="21" spans="1:35" s="62" customFormat="1">
      <c r="A21" s="105"/>
      <c r="B21" s="104"/>
      <c r="C21" s="103"/>
      <c r="D21" s="102"/>
      <c r="E21" s="101"/>
      <c r="F21" s="90"/>
      <c r="G21" s="89"/>
      <c r="H21" s="89"/>
      <c r="I21" s="89"/>
      <c r="J21" s="92"/>
      <c r="K21" s="34"/>
      <c r="L21" s="101"/>
      <c r="M21" s="101"/>
      <c r="N21" s="90"/>
      <c r="O21" s="89"/>
      <c r="P21" s="89"/>
      <c r="Q21" s="89"/>
      <c r="R21" s="92"/>
      <c r="S21" s="34"/>
      <c r="T21" s="91"/>
      <c r="U21" s="107"/>
      <c r="V21" s="107"/>
      <c r="W21" s="107"/>
      <c r="X21" s="107"/>
      <c r="Y21" s="107"/>
      <c r="Z21" s="106"/>
      <c r="AA21" s="106"/>
      <c r="AB21" s="106"/>
      <c r="AC21" s="106"/>
      <c r="AD21" s="106"/>
      <c r="AE21" s="2"/>
      <c r="AF21" s="2"/>
      <c r="AG21" s="2"/>
      <c r="AH21" s="2"/>
      <c r="AI21" s="2"/>
    </row>
    <row r="22" spans="1:35" s="62" customFormat="1">
      <c r="A22" s="105"/>
      <c r="B22" s="104"/>
      <c r="C22" s="103"/>
      <c r="D22" s="110" t="s">
        <v>8</v>
      </c>
      <c r="E22" s="101">
        <f t="shared" ref="E22:T22" si="17">+SUM(E23:E25)</f>
        <v>3955185318</v>
      </c>
      <c r="F22" s="90">
        <f t="shared" si="17"/>
        <v>0</v>
      </c>
      <c r="G22" s="89">
        <f t="shared" si="17"/>
        <v>0</v>
      </c>
      <c r="H22" s="89">
        <f t="shared" si="17"/>
        <v>23932</v>
      </c>
      <c r="I22" s="89">
        <f t="shared" ref="I22" si="18">+SUM(I23:I25)</f>
        <v>0</v>
      </c>
      <c r="J22" s="92">
        <f t="shared" si="17"/>
        <v>67182291</v>
      </c>
      <c r="K22" s="34">
        <f t="shared" si="17"/>
        <v>67206223</v>
      </c>
      <c r="L22" s="101">
        <f t="shared" si="17"/>
        <v>3884147396</v>
      </c>
      <c r="M22" s="101">
        <f t="shared" si="17"/>
        <v>3831699</v>
      </c>
      <c r="N22" s="90">
        <f t="shared" si="17"/>
        <v>0</v>
      </c>
      <c r="O22" s="89">
        <f t="shared" si="17"/>
        <v>0</v>
      </c>
      <c r="P22" s="89">
        <f t="shared" si="17"/>
        <v>1773</v>
      </c>
      <c r="Q22" s="89">
        <f t="shared" ref="Q22" si="19">+SUM(Q23:Q25)</f>
        <v>0</v>
      </c>
      <c r="R22" s="92">
        <f t="shared" si="17"/>
        <v>6107481</v>
      </c>
      <c r="S22" s="34">
        <f t="shared" si="17"/>
        <v>6109254</v>
      </c>
      <c r="T22" s="91">
        <f t="shared" si="17"/>
        <v>4161563541</v>
      </c>
      <c r="U22" s="107">
        <f t="shared" ref="U22:X24" si="20">N22-F22*F$4/(100+F$4)-AE22</f>
        <v>0</v>
      </c>
      <c r="V22" s="107">
        <f t="shared" si="20"/>
        <v>0</v>
      </c>
      <c r="W22" s="107">
        <f t="shared" si="20"/>
        <v>0.25925925925935189</v>
      </c>
      <c r="X22" s="107">
        <f t="shared" si="20"/>
        <v>0</v>
      </c>
      <c r="Y22" s="107">
        <f>R22-J22*J$4/(100+J$4)-AI22</f>
        <v>0</v>
      </c>
      <c r="Z22" s="106">
        <f t="shared" ref="Z22:AC24" si="21">+IF(N$43=0,0,IF(N$43&lt;0,-RANK(U22,U$5:U$40,0),RANK(U22,U$5:U$40,1)))</f>
        <v>0</v>
      </c>
      <c r="AA22" s="106">
        <f t="shared" si="21"/>
        <v>0</v>
      </c>
      <c r="AB22" s="106">
        <f t="shared" si="21"/>
        <v>0</v>
      </c>
      <c r="AC22" s="106">
        <f t="shared" si="21"/>
        <v>0</v>
      </c>
      <c r="AD22" s="106">
        <f>+IF(R$43=0,0,IF(R$43&lt;0,-RANK(Y22,Y$5:Y$40,0),RANK(Y22,Y$5:Y$40,1)))</f>
        <v>0</v>
      </c>
      <c r="AE22" s="2"/>
      <c r="AF22" s="2"/>
      <c r="AG22" s="2"/>
      <c r="AH22" s="2"/>
      <c r="AI22" s="2"/>
    </row>
    <row r="23" spans="1:35" s="62" customFormat="1">
      <c r="A23" s="105"/>
      <c r="B23" s="104"/>
      <c r="C23" s="103"/>
      <c r="D23" s="102" t="s">
        <v>37</v>
      </c>
      <c r="E23" s="101">
        <f>+営外!E5</f>
        <v>3945961149</v>
      </c>
      <c r="F23" s="90">
        <f>+営外!F5</f>
        <v>0</v>
      </c>
      <c r="G23" s="89">
        <f>+営外!G5</f>
        <v>0</v>
      </c>
      <c r="H23" s="89">
        <f>+営外!H5</f>
        <v>0</v>
      </c>
      <c r="I23" s="89">
        <f>+営外!I5</f>
        <v>0</v>
      </c>
      <c r="J23" s="92">
        <f>+営外!J5</f>
        <v>61813753</v>
      </c>
      <c r="K23" s="34">
        <f>+営外!K5</f>
        <v>61813753</v>
      </c>
      <c r="L23" s="101">
        <f>+営外!L5</f>
        <v>3884147396</v>
      </c>
      <c r="M23" s="101">
        <f>+営外!M5</f>
        <v>0</v>
      </c>
      <c r="N23" s="90">
        <f t="shared" ref="N23:Q24" si="22">+ROUND(F23*F$4/(100+F$4),0)+AE23</f>
        <v>0</v>
      </c>
      <c r="O23" s="89">
        <f t="shared" si="22"/>
        <v>0</v>
      </c>
      <c r="P23" s="89">
        <f t="shared" si="22"/>
        <v>0</v>
      </c>
      <c r="Q23" s="89">
        <f t="shared" si="22"/>
        <v>0</v>
      </c>
      <c r="R23" s="92">
        <f>+ROUND(J23*J$4/(100+J$4),0)+AI23</f>
        <v>5619432</v>
      </c>
      <c r="S23" s="34">
        <f>SUM(N23:R23)</f>
        <v>5619432</v>
      </c>
      <c r="T23" s="109">
        <f>+E23-S23</f>
        <v>3940341717</v>
      </c>
      <c r="U23" s="107">
        <f t="shared" si="20"/>
        <v>0</v>
      </c>
      <c r="V23" s="107">
        <f t="shared" si="20"/>
        <v>0</v>
      </c>
      <c r="W23" s="107">
        <f t="shared" si="20"/>
        <v>0</v>
      </c>
      <c r="X23" s="107">
        <f t="shared" si="20"/>
        <v>0</v>
      </c>
      <c r="Y23" s="107">
        <f>R23-J23*J$4/(100+J$4)-AI23</f>
        <v>-9.090909082442522E-2</v>
      </c>
      <c r="Z23" s="106">
        <f t="shared" si="21"/>
        <v>0</v>
      </c>
      <c r="AA23" s="106">
        <f t="shared" si="21"/>
        <v>0</v>
      </c>
      <c r="AB23" s="106">
        <f t="shared" si="21"/>
        <v>0</v>
      </c>
      <c r="AC23" s="106">
        <f t="shared" si="21"/>
        <v>0</v>
      </c>
      <c r="AD23" s="106">
        <f>+IF(R$43=0,0,IF(R$43&lt;0,-RANK(Y23,Y$5:Y$40,0),RANK(Y23,Y$5:Y$40,1)))</f>
        <v>0</v>
      </c>
      <c r="AE23" s="2"/>
      <c r="AF23" s="2"/>
      <c r="AG23" s="2"/>
      <c r="AH23" s="2"/>
      <c r="AI23" s="2"/>
    </row>
    <row r="24" spans="1:35" s="62" customFormat="1">
      <c r="A24" s="105"/>
      <c r="B24" s="104"/>
      <c r="C24" s="103"/>
      <c r="D24" s="102" t="s">
        <v>6</v>
      </c>
      <c r="E24" s="101">
        <f>+営外!E14</f>
        <v>9224169</v>
      </c>
      <c r="F24" s="90">
        <f>+営外!F14</f>
        <v>0</v>
      </c>
      <c r="G24" s="89">
        <f>+営外!G14</f>
        <v>0</v>
      </c>
      <c r="H24" s="89">
        <f>+営外!H14</f>
        <v>23932</v>
      </c>
      <c r="I24" s="89">
        <f>+営外!I14</f>
        <v>0</v>
      </c>
      <c r="J24" s="92">
        <f>+営外!J14</f>
        <v>5368538</v>
      </c>
      <c r="K24" s="34">
        <f>+営外!K14</f>
        <v>5392470</v>
      </c>
      <c r="L24" s="101">
        <f>+営外!L14</f>
        <v>0</v>
      </c>
      <c r="M24" s="101">
        <f>+営外!M14</f>
        <v>3831699</v>
      </c>
      <c r="N24" s="90">
        <f t="shared" si="22"/>
        <v>0</v>
      </c>
      <c r="O24" s="89">
        <f t="shared" si="22"/>
        <v>0</v>
      </c>
      <c r="P24" s="89">
        <f t="shared" si="22"/>
        <v>1773</v>
      </c>
      <c r="Q24" s="89">
        <f t="shared" si="22"/>
        <v>0</v>
      </c>
      <c r="R24" s="92">
        <f>+ROUND(J24*J$4/(100+J$4),0)+AI24</f>
        <v>488049</v>
      </c>
      <c r="S24" s="34">
        <f>SUM(N24:R24)</f>
        <v>489822</v>
      </c>
      <c r="T24" s="109">
        <f>+E24-S24</f>
        <v>8734347</v>
      </c>
      <c r="U24" s="107">
        <f t="shared" si="20"/>
        <v>0</v>
      </c>
      <c r="V24" s="107">
        <f t="shared" si="20"/>
        <v>0</v>
      </c>
      <c r="W24" s="107">
        <f t="shared" si="20"/>
        <v>0.25925925925935189</v>
      </c>
      <c r="X24" s="107">
        <f t="shared" si="20"/>
        <v>0</v>
      </c>
      <c r="Y24" s="107">
        <f>R24-J24*J$4/(100+J$4)-AI24</f>
        <v>9.0909090882632881E-2</v>
      </c>
      <c r="Z24" s="106">
        <f t="shared" si="21"/>
        <v>0</v>
      </c>
      <c r="AA24" s="106">
        <f t="shared" si="21"/>
        <v>0</v>
      </c>
      <c r="AB24" s="106">
        <f t="shared" si="21"/>
        <v>0</v>
      </c>
      <c r="AC24" s="106">
        <f t="shared" si="21"/>
        <v>0</v>
      </c>
      <c r="AD24" s="106">
        <f>+IF(R$43=0,0,IF(R$43&lt;0,-RANK(Y24,Y$5:Y$40,0),RANK(Y24,Y$5:Y$40,1)))</f>
        <v>0</v>
      </c>
      <c r="AE24" s="2"/>
      <c r="AF24" s="2"/>
      <c r="AG24" s="2"/>
      <c r="AH24" s="2"/>
      <c r="AI24" s="2"/>
    </row>
    <row r="25" spans="1:35" s="62" customFormat="1">
      <c r="A25" s="105"/>
      <c r="B25" s="104"/>
      <c r="C25" s="103"/>
      <c r="D25" s="102" t="s">
        <v>537</v>
      </c>
      <c r="E25" s="282"/>
      <c r="F25" s="90"/>
      <c r="G25" s="89"/>
      <c r="H25" s="89"/>
      <c r="I25" s="89"/>
      <c r="J25" s="92"/>
      <c r="K25" s="34"/>
      <c r="L25" s="101"/>
      <c r="M25" s="101"/>
      <c r="N25" s="90"/>
      <c r="O25" s="89"/>
      <c r="P25" s="89"/>
      <c r="Q25" s="89"/>
      <c r="R25" s="92"/>
      <c r="S25" s="34"/>
      <c r="T25" s="91">
        <f>+SUM(営外!T17:T19)</f>
        <v>212487477</v>
      </c>
      <c r="U25" s="107"/>
      <c r="V25" s="107"/>
      <c r="W25" s="107"/>
      <c r="X25" s="107"/>
      <c r="Y25" s="107"/>
      <c r="Z25" s="106"/>
      <c r="AA25" s="106"/>
      <c r="AB25" s="106"/>
      <c r="AC25" s="106"/>
      <c r="AD25" s="106"/>
      <c r="AE25" s="2"/>
      <c r="AF25" s="2"/>
      <c r="AG25" s="2"/>
      <c r="AH25" s="2"/>
      <c r="AI25" s="2"/>
    </row>
    <row r="26" spans="1:35" s="62" customFormat="1">
      <c r="A26" s="105"/>
      <c r="B26" s="104"/>
      <c r="C26" s="103"/>
      <c r="D26" s="102"/>
      <c r="E26" s="101"/>
      <c r="F26" s="90"/>
      <c r="G26" s="89"/>
      <c r="H26" s="89"/>
      <c r="I26" s="89"/>
      <c r="J26" s="92"/>
      <c r="K26" s="34"/>
      <c r="L26" s="101"/>
      <c r="M26" s="101"/>
      <c r="N26" s="90"/>
      <c r="O26" s="89"/>
      <c r="P26" s="89"/>
      <c r="Q26" s="89"/>
      <c r="R26" s="92"/>
      <c r="S26" s="34"/>
      <c r="T26" s="91"/>
      <c r="U26" s="107"/>
      <c r="V26" s="107"/>
      <c r="W26" s="107"/>
      <c r="X26" s="107"/>
      <c r="Y26" s="107"/>
      <c r="Z26" s="106"/>
      <c r="AA26" s="106"/>
      <c r="AB26" s="106"/>
      <c r="AC26" s="106"/>
      <c r="AD26" s="106"/>
      <c r="AE26" s="2"/>
      <c r="AF26" s="2"/>
      <c r="AG26" s="2"/>
      <c r="AH26" s="2"/>
      <c r="AI26" s="2"/>
    </row>
    <row r="27" spans="1:35" s="62" customFormat="1">
      <c r="A27" s="105"/>
      <c r="B27" s="104"/>
      <c r="C27" s="103"/>
      <c r="D27" s="110" t="s">
        <v>5</v>
      </c>
      <c r="E27" s="101">
        <f t="shared" ref="E27:T27" si="23">+SUM(E28:E31)</f>
        <v>20995298</v>
      </c>
      <c r="F27" s="90">
        <f t="shared" si="23"/>
        <v>0</v>
      </c>
      <c r="G27" s="89">
        <f t="shared" si="23"/>
        <v>0</v>
      </c>
      <c r="H27" s="89">
        <f t="shared" si="23"/>
        <v>15407</v>
      </c>
      <c r="I27" s="89">
        <f t="shared" ref="I27" si="24">+SUM(I28:I31)</f>
        <v>0</v>
      </c>
      <c r="J27" s="92">
        <f t="shared" si="23"/>
        <v>10640333</v>
      </c>
      <c r="K27" s="34">
        <f t="shared" si="23"/>
        <v>10655740</v>
      </c>
      <c r="L27" s="101">
        <f t="shared" si="23"/>
        <v>6023</v>
      </c>
      <c r="M27" s="101">
        <f t="shared" si="23"/>
        <v>10333535</v>
      </c>
      <c r="N27" s="90">
        <f t="shared" si="23"/>
        <v>0</v>
      </c>
      <c r="O27" s="89">
        <f t="shared" si="23"/>
        <v>0</v>
      </c>
      <c r="P27" s="89">
        <f t="shared" si="23"/>
        <v>1141</v>
      </c>
      <c r="Q27" s="89">
        <f t="shared" ref="Q27" si="25">+SUM(Q28:Q31)</f>
        <v>0</v>
      </c>
      <c r="R27" s="92">
        <f t="shared" si="23"/>
        <v>967303</v>
      </c>
      <c r="S27" s="34">
        <f t="shared" si="23"/>
        <v>968444</v>
      </c>
      <c r="T27" s="91">
        <f t="shared" si="23"/>
        <v>20026854</v>
      </c>
      <c r="U27" s="107">
        <f t="shared" ref="U27:X31" si="26">N27-F27*F$4/(100+F$4)-AE27</f>
        <v>0</v>
      </c>
      <c r="V27" s="107">
        <f t="shared" si="26"/>
        <v>0</v>
      </c>
      <c r="W27" s="107">
        <f t="shared" si="26"/>
        <v>-0.25925925925935189</v>
      </c>
      <c r="X27" s="107">
        <f t="shared" si="26"/>
        <v>0</v>
      </c>
      <c r="Y27" s="107">
        <f>R27-J27*J$4/(100+J$4)-AI27</f>
        <v>0</v>
      </c>
      <c r="Z27" s="106"/>
      <c r="AA27" s="106"/>
      <c r="AB27" s="106"/>
      <c r="AC27" s="106"/>
      <c r="AD27" s="106"/>
      <c r="AE27" s="2"/>
      <c r="AF27" s="2"/>
      <c r="AG27" s="2"/>
      <c r="AH27" s="2"/>
      <c r="AI27" s="2"/>
    </row>
    <row r="28" spans="1:35" s="62" customFormat="1">
      <c r="A28" s="105"/>
      <c r="B28" s="104"/>
      <c r="C28" s="103"/>
      <c r="D28" s="102" t="s">
        <v>36</v>
      </c>
      <c r="E28" s="101">
        <f>+特損!E5</f>
        <v>10679943</v>
      </c>
      <c r="F28" s="90">
        <f>+特損!F5</f>
        <v>0</v>
      </c>
      <c r="G28" s="89">
        <f>+特損!G5</f>
        <v>0</v>
      </c>
      <c r="H28" s="89">
        <f>+特損!H5</f>
        <v>15407</v>
      </c>
      <c r="I28" s="89">
        <f>+特損!I5</f>
        <v>0</v>
      </c>
      <c r="J28" s="92">
        <f>+特損!J5</f>
        <v>10640333</v>
      </c>
      <c r="K28" s="34">
        <f>+特損!K5</f>
        <v>10655740</v>
      </c>
      <c r="L28" s="101">
        <f>+特損!L5</f>
        <v>6023</v>
      </c>
      <c r="M28" s="101">
        <f>+特損!M5</f>
        <v>18180</v>
      </c>
      <c r="N28" s="90">
        <f t="shared" ref="N28:Q31" si="27">+ROUND(F28*F$4/(100+F$4),0)+AE28</f>
        <v>0</v>
      </c>
      <c r="O28" s="89">
        <f t="shared" si="27"/>
        <v>0</v>
      </c>
      <c r="P28" s="89">
        <f t="shared" si="27"/>
        <v>1141</v>
      </c>
      <c r="Q28" s="89">
        <f t="shared" si="27"/>
        <v>0</v>
      </c>
      <c r="R28" s="92">
        <f>+ROUND(J28*J$4/(100+J$4),0)+AI28</f>
        <v>967303</v>
      </c>
      <c r="S28" s="34">
        <f>SUM(N28:R28)</f>
        <v>968444</v>
      </c>
      <c r="T28" s="109">
        <f>+E28-S28</f>
        <v>9711499</v>
      </c>
      <c r="U28" s="107">
        <f t="shared" si="26"/>
        <v>0</v>
      </c>
      <c r="V28" s="107">
        <f t="shared" si="26"/>
        <v>0</v>
      </c>
      <c r="W28" s="107">
        <f t="shared" si="26"/>
        <v>-0.25925925925935189</v>
      </c>
      <c r="X28" s="107">
        <f t="shared" si="26"/>
        <v>0</v>
      </c>
      <c r="Y28" s="107">
        <f>R28-J28*J$4/(100+J$4)-AI28</f>
        <v>0</v>
      </c>
      <c r="Z28" s="106">
        <f t="shared" ref="Z28:AC31" si="28">+IF(N$43=0,0,IF(N$43&lt;0,-RANK(U28,U$5:U$40,0),RANK(U28,U$5:U$40,1)))</f>
        <v>0</v>
      </c>
      <c r="AA28" s="106">
        <f t="shared" si="28"/>
        <v>0</v>
      </c>
      <c r="AB28" s="106">
        <f t="shared" si="28"/>
        <v>0</v>
      </c>
      <c r="AC28" s="106">
        <f t="shared" si="28"/>
        <v>0</v>
      </c>
      <c r="AD28" s="106">
        <f>+IF(R$43=0,0,IF(R$43&lt;0,-RANK(Y28,Y$5:Y$40,0),RANK(Y28,Y$5:Y$40,1)))</f>
        <v>0</v>
      </c>
      <c r="AE28" s="2"/>
      <c r="AF28" s="2"/>
      <c r="AG28" s="2"/>
      <c r="AH28" s="2"/>
      <c r="AI28" s="2"/>
    </row>
    <row r="29" spans="1:35" s="62" customFormat="1">
      <c r="A29" s="105"/>
      <c r="B29" s="104"/>
      <c r="C29" s="103"/>
      <c r="D29" s="102" t="s">
        <v>3</v>
      </c>
      <c r="E29" s="101">
        <f>+特損!E14</f>
        <v>0</v>
      </c>
      <c r="F29" s="90">
        <f>+特損!F14</f>
        <v>0</v>
      </c>
      <c r="G29" s="89">
        <f>+特損!G14</f>
        <v>0</v>
      </c>
      <c r="H29" s="89">
        <f>+特損!H14</f>
        <v>0</v>
      </c>
      <c r="I29" s="89">
        <f>+特損!I14</f>
        <v>0</v>
      </c>
      <c r="J29" s="92">
        <f>+特損!J14</f>
        <v>0</v>
      </c>
      <c r="K29" s="34">
        <f>+特損!K14</f>
        <v>0</v>
      </c>
      <c r="L29" s="101">
        <f>+特損!L14</f>
        <v>0</v>
      </c>
      <c r="M29" s="101">
        <f>+特損!M14</f>
        <v>0</v>
      </c>
      <c r="N29" s="90">
        <f t="shared" si="27"/>
        <v>0</v>
      </c>
      <c r="O29" s="89">
        <f t="shared" si="27"/>
        <v>0</v>
      </c>
      <c r="P29" s="89">
        <f t="shared" si="27"/>
        <v>0</v>
      </c>
      <c r="Q29" s="89">
        <f t="shared" si="27"/>
        <v>0</v>
      </c>
      <c r="R29" s="92">
        <f>+ROUND(J29*J$4/(100+J$4),0)+AI29</f>
        <v>0</v>
      </c>
      <c r="S29" s="34">
        <f>SUM(N29:R29)</f>
        <v>0</v>
      </c>
      <c r="T29" s="109">
        <f>+E29-S29</f>
        <v>0</v>
      </c>
      <c r="U29" s="107">
        <f t="shared" si="26"/>
        <v>0</v>
      </c>
      <c r="V29" s="107">
        <f t="shared" si="26"/>
        <v>0</v>
      </c>
      <c r="W29" s="107">
        <f t="shared" si="26"/>
        <v>0</v>
      </c>
      <c r="X29" s="107">
        <f t="shared" si="26"/>
        <v>0</v>
      </c>
      <c r="Y29" s="107">
        <f>R29-J29*J$4/(100+J$4)-AI29</f>
        <v>0</v>
      </c>
      <c r="Z29" s="106">
        <f t="shared" si="28"/>
        <v>0</v>
      </c>
      <c r="AA29" s="106">
        <f t="shared" si="28"/>
        <v>0</v>
      </c>
      <c r="AB29" s="106">
        <f t="shared" si="28"/>
        <v>0</v>
      </c>
      <c r="AC29" s="106">
        <f t="shared" si="28"/>
        <v>0</v>
      </c>
      <c r="AD29" s="106">
        <f>+IF(R$43=0,0,IF(R$43&lt;0,-RANK(Y29,Y$5:Y$40,0),RANK(Y29,Y$5:Y$40,1)))</f>
        <v>0</v>
      </c>
      <c r="AE29" s="2"/>
      <c r="AF29" s="2"/>
      <c r="AG29" s="2"/>
      <c r="AH29" s="2"/>
      <c r="AI29" s="2"/>
    </row>
    <row r="30" spans="1:35" s="62" customFormat="1">
      <c r="A30" s="105"/>
      <c r="B30" s="104"/>
      <c r="C30" s="103"/>
      <c r="D30" s="102" t="s">
        <v>35</v>
      </c>
      <c r="E30" s="101">
        <f>+特損!E32</f>
        <v>10315355</v>
      </c>
      <c r="F30" s="90">
        <f>+特損!F32</f>
        <v>0</v>
      </c>
      <c r="G30" s="89">
        <f>+特損!G32</f>
        <v>0</v>
      </c>
      <c r="H30" s="89">
        <f>+特損!H32</f>
        <v>0</v>
      </c>
      <c r="I30" s="89">
        <f>+特損!I32</f>
        <v>0</v>
      </c>
      <c r="J30" s="92">
        <f>+特損!J32</f>
        <v>0</v>
      </c>
      <c r="K30" s="34">
        <f>+特損!K32</f>
        <v>0</v>
      </c>
      <c r="L30" s="101">
        <f>+特損!L32</f>
        <v>0</v>
      </c>
      <c r="M30" s="101">
        <f>+特損!M32</f>
        <v>10315355</v>
      </c>
      <c r="N30" s="90">
        <f t="shared" si="27"/>
        <v>0</v>
      </c>
      <c r="O30" s="89">
        <f t="shared" si="27"/>
        <v>0</v>
      </c>
      <c r="P30" s="89">
        <f t="shared" si="27"/>
        <v>0</v>
      </c>
      <c r="Q30" s="89">
        <f t="shared" si="27"/>
        <v>0</v>
      </c>
      <c r="R30" s="92">
        <f>+ROUND(J30*J$4/(100+J$4),0)+AI30</f>
        <v>0</v>
      </c>
      <c r="S30" s="34">
        <f>SUM(N30:R30)</f>
        <v>0</v>
      </c>
      <c r="T30" s="109">
        <f>+E30-S30</f>
        <v>10315355</v>
      </c>
      <c r="U30" s="107">
        <f t="shared" si="26"/>
        <v>0</v>
      </c>
      <c r="V30" s="107">
        <f t="shared" si="26"/>
        <v>0</v>
      </c>
      <c r="W30" s="107">
        <f t="shared" si="26"/>
        <v>0</v>
      </c>
      <c r="X30" s="107">
        <f t="shared" si="26"/>
        <v>0</v>
      </c>
      <c r="Y30" s="107">
        <f>R30-J30*J$4/(100+J$4)-AI30</f>
        <v>0</v>
      </c>
      <c r="Z30" s="106">
        <f t="shared" si="28"/>
        <v>0</v>
      </c>
      <c r="AA30" s="106">
        <f t="shared" si="28"/>
        <v>0</v>
      </c>
      <c r="AB30" s="106">
        <f t="shared" si="28"/>
        <v>0</v>
      </c>
      <c r="AC30" s="106">
        <f t="shared" si="28"/>
        <v>0</v>
      </c>
      <c r="AD30" s="106">
        <f>+IF(R$43=0,0,IF(R$43&lt;0,-RANK(Y30,Y$5:Y$40,0),RANK(Y30,Y$5:Y$40,1)))</f>
        <v>0</v>
      </c>
      <c r="AE30" s="2"/>
      <c r="AF30" s="2"/>
      <c r="AG30" s="2"/>
      <c r="AH30" s="2"/>
      <c r="AI30" s="2"/>
    </row>
    <row r="31" spans="1:35" s="62" customFormat="1">
      <c r="A31" s="105"/>
      <c r="B31" s="104"/>
      <c r="C31" s="103"/>
      <c r="D31" s="102" t="s">
        <v>34</v>
      </c>
      <c r="E31" s="101">
        <f>+特損!E34</f>
        <v>0</v>
      </c>
      <c r="F31" s="90">
        <f>+特損!F34</f>
        <v>0</v>
      </c>
      <c r="G31" s="89">
        <f>+特損!G34</f>
        <v>0</v>
      </c>
      <c r="H31" s="89">
        <f>+特損!H34</f>
        <v>0</v>
      </c>
      <c r="I31" s="89">
        <f>+特損!I34</f>
        <v>0</v>
      </c>
      <c r="J31" s="92">
        <f>+特損!J34</f>
        <v>0</v>
      </c>
      <c r="K31" s="34">
        <f>+特損!K34</f>
        <v>0</v>
      </c>
      <c r="L31" s="101">
        <f>+特損!L34</f>
        <v>0</v>
      </c>
      <c r="M31" s="101">
        <f>+特損!M34</f>
        <v>0</v>
      </c>
      <c r="N31" s="90">
        <f t="shared" si="27"/>
        <v>0</v>
      </c>
      <c r="O31" s="89">
        <f t="shared" si="27"/>
        <v>0</v>
      </c>
      <c r="P31" s="89">
        <f t="shared" si="27"/>
        <v>0</v>
      </c>
      <c r="Q31" s="89">
        <f t="shared" si="27"/>
        <v>0</v>
      </c>
      <c r="R31" s="92">
        <f>+ROUND(J31*J$4/(100+J$4),0)+AI31</f>
        <v>0</v>
      </c>
      <c r="S31" s="34">
        <f>SUM(N31:R31)</f>
        <v>0</v>
      </c>
      <c r="T31" s="109">
        <f>+E31-S31</f>
        <v>0</v>
      </c>
      <c r="U31" s="107">
        <f t="shared" si="26"/>
        <v>0</v>
      </c>
      <c r="V31" s="107">
        <f t="shared" si="26"/>
        <v>0</v>
      </c>
      <c r="W31" s="107">
        <f t="shared" si="26"/>
        <v>0</v>
      </c>
      <c r="X31" s="107">
        <f t="shared" si="26"/>
        <v>0</v>
      </c>
      <c r="Y31" s="107">
        <f>R31-J31*J$4/(100+J$4)-AI31</f>
        <v>0</v>
      </c>
      <c r="Z31" s="106">
        <f t="shared" si="28"/>
        <v>0</v>
      </c>
      <c r="AA31" s="106">
        <f t="shared" si="28"/>
        <v>0</v>
      </c>
      <c r="AB31" s="106">
        <f t="shared" si="28"/>
        <v>0</v>
      </c>
      <c r="AC31" s="106">
        <f t="shared" si="28"/>
        <v>0</v>
      </c>
      <c r="AD31" s="106">
        <f>+IF(R$43=0,0,IF(R$43&lt;0,-RANK(Y31,Y$5:Y$40,0),RANK(Y31,Y$5:Y$40,1)))</f>
        <v>0</v>
      </c>
      <c r="AE31" s="2"/>
      <c r="AF31" s="2"/>
      <c r="AG31" s="2"/>
      <c r="AH31" s="2"/>
      <c r="AI31" s="2"/>
    </row>
    <row r="32" spans="1:35" s="62" customFormat="1" hidden="1">
      <c r="A32" s="105"/>
      <c r="B32" s="104"/>
      <c r="C32" s="103"/>
      <c r="D32" s="102"/>
      <c r="E32" s="101"/>
      <c r="F32" s="90"/>
      <c r="G32" s="89"/>
      <c r="H32" s="89"/>
      <c r="I32" s="89"/>
      <c r="J32" s="92"/>
      <c r="K32" s="34"/>
      <c r="L32" s="101"/>
      <c r="M32" s="101"/>
      <c r="N32" s="90"/>
      <c r="O32" s="89"/>
      <c r="P32" s="89"/>
      <c r="Q32" s="89"/>
      <c r="R32" s="92"/>
      <c r="S32" s="34"/>
      <c r="T32" s="91"/>
      <c r="U32" s="107"/>
      <c r="V32" s="107"/>
      <c r="W32" s="107"/>
      <c r="X32" s="107"/>
      <c r="Y32" s="107"/>
      <c r="Z32" s="106"/>
      <c r="AA32" s="106"/>
      <c r="AB32" s="106"/>
      <c r="AC32" s="106"/>
      <c r="AD32" s="106"/>
      <c r="AE32" s="2"/>
      <c r="AF32" s="2"/>
      <c r="AG32" s="2"/>
      <c r="AH32" s="2"/>
      <c r="AI32" s="2"/>
    </row>
    <row r="33" spans="1:35" s="62" customFormat="1" hidden="1">
      <c r="A33" s="105"/>
      <c r="B33" s="104"/>
      <c r="C33" s="103"/>
      <c r="D33" s="102"/>
      <c r="E33" s="101"/>
      <c r="F33" s="90"/>
      <c r="G33" s="89"/>
      <c r="H33" s="89"/>
      <c r="I33" s="89"/>
      <c r="J33" s="92"/>
      <c r="K33" s="34"/>
      <c r="L33" s="101"/>
      <c r="M33" s="101"/>
      <c r="N33" s="90"/>
      <c r="O33" s="89"/>
      <c r="P33" s="89"/>
      <c r="Q33" s="89"/>
      <c r="R33" s="92"/>
      <c r="S33" s="34"/>
      <c r="T33" s="91"/>
      <c r="U33" s="107"/>
      <c r="V33" s="107"/>
      <c r="W33" s="107"/>
      <c r="X33" s="107"/>
      <c r="Y33" s="107"/>
      <c r="Z33" s="106"/>
      <c r="AA33" s="106"/>
      <c r="AB33" s="106"/>
      <c r="AC33" s="106"/>
      <c r="AD33" s="106"/>
      <c r="AE33" s="2"/>
      <c r="AF33" s="2"/>
      <c r="AG33" s="2"/>
      <c r="AH33" s="2"/>
      <c r="AI33" s="2"/>
    </row>
    <row r="34" spans="1:35" s="62" customFormat="1" hidden="1">
      <c r="A34" s="105"/>
      <c r="B34" s="104"/>
      <c r="C34" s="103"/>
      <c r="D34" s="102"/>
      <c r="E34" s="101"/>
      <c r="F34" s="90"/>
      <c r="G34" s="89"/>
      <c r="H34" s="89"/>
      <c r="I34" s="89"/>
      <c r="J34" s="92"/>
      <c r="K34" s="34"/>
      <c r="L34" s="101"/>
      <c r="M34" s="101"/>
      <c r="N34" s="90"/>
      <c r="O34" s="89"/>
      <c r="P34" s="89"/>
      <c r="Q34" s="89"/>
      <c r="R34" s="92"/>
      <c r="S34" s="34"/>
      <c r="T34" s="91"/>
      <c r="U34" s="107"/>
      <c r="V34" s="107"/>
      <c r="W34" s="107"/>
      <c r="X34" s="107"/>
      <c r="Y34" s="107"/>
      <c r="Z34" s="106"/>
      <c r="AA34" s="106"/>
      <c r="AB34" s="106"/>
      <c r="AC34" s="106"/>
      <c r="AD34" s="106"/>
      <c r="AE34" s="2"/>
      <c r="AF34" s="2"/>
      <c r="AG34" s="2"/>
      <c r="AH34" s="2"/>
      <c r="AI34" s="2"/>
    </row>
    <row r="35" spans="1:35" s="62" customFormat="1" hidden="1">
      <c r="A35" s="105"/>
      <c r="B35" s="104"/>
      <c r="C35" s="103"/>
      <c r="D35" s="102"/>
      <c r="E35" s="101"/>
      <c r="F35" s="90"/>
      <c r="G35" s="89"/>
      <c r="H35" s="89"/>
      <c r="I35" s="89"/>
      <c r="J35" s="92"/>
      <c r="K35" s="34"/>
      <c r="L35" s="101"/>
      <c r="M35" s="101"/>
      <c r="N35" s="90"/>
      <c r="O35" s="89"/>
      <c r="P35" s="89"/>
      <c r="Q35" s="89"/>
      <c r="R35" s="92"/>
      <c r="S35" s="34"/>
      <c r="T35" s="91"/>
      <c r="U35" s="107"/>
      <c r="V35" s="107"/>
      <c r="W35" s="107"/>
      <c r="X35" s="107"/>
      <c r="Y35" s="107"/>
      <c r="Z35" s="106"/>
      <c r="AA35" s="106"/>
      <c r="AB35" s="106"/>
      <c r="AC35" s="106"/>
      <c r="AD35" s="106"/>
      <c r="AE35" s="2"/>
      <c r="AF35" s="2"/>
      <c r="AG35" s="2"/>
      <c r="AH35" s="2"/>
      <c r="AI35" s="2"/>
    </row>
    <row r="36" spans="1:35" s="62" customFormat="1" hidden="1">
      <c r="A36" s="105"/>
      <c r="B36" s="104"/>
      <c r="C36" s="103"/>
      <c r="D36" s="102"/>
      <c r="E36" s="101"/>
      <c r="F36" s="90"/>
      <c r="G36" s="89"/>
      <c r="H36" s="89"/>
      <c r="I36" s="89"/>
      <c r="J36" s="92"/>
      <c r="K36" s="34"/>
      <c r="L36" s="101"/>
      <c r="M36" s="101"/>
      <c r="N36" s="90"/>
      <c r="O36" s="89"/>
      <c r="P36" s="89"/>
      <c r="Q36" s="89"/>
      <c r="R36" s="92"/>
      <c r="S36" s="34"/>
      <c r="T36" s="91"/>
      <c r="U36" s="88" t="str">
        <f t="shared" ref="U36:V39" si="29">+IF(F36=0,"",ROUND(F36*F$4/(100+F$4),7)-N36)</f>
        <v/>
      </c>
      <c r="V36" s="88" t="str">
        <f t="shared" si="29"/>
        <v/>
      </c>
      <c r="W36" s="88"/>
      <c r="X36" s="88"/>
      <c r="Y36" s="88" t="str">
        <f>+IF(J36=0,"",ROUND(J36*J$4/(100+J$4),7)-R36)</f>
        <v/>
      </c>
      <c r="Z36" s="88"/>
      <c r="AA36" s="88"/>
      <c r="AB36" s="87" t="str">
        <f>+IF(SUM(U36:Y36)=0,"",SUM(U36:Y36))</f>
        <v/>
      </c>
      <c r="AC36" s="87"/>
      <c r="AD36" s="87"/>
      <c r="AE36" s="2"/>
      <c r="AF36" s="2"/>
      <c r="AG36" s="2"/>
      <c r="AH36" s="2"/>
      <c r="AI36" s="2"/>
    </row>
    <row r="37" spans="1:35" s="62" customFormat="1" hidden="1">
      <c r="A37" s="105"/>
      <c r="B37" s="104"/>
      <c r="C37" s="103"/>
      <c r="D37" s="102"/>
      <c r="E37" s="101"/>
      <c r="F37" s="90"/>
      <c r="G37" s="89"/>
      <c r="H37" s="89"/>
      <c r="I37" s="89"/>
      <c r="J37" s="92"/>
      <c r="K37" s="34"/>
      <c r="L37" s="101"/>
      <c r="M37" s="101"/>
      <c r="N37" s="90"/>
      <c r="O37" s="89"/>
      <c r="P37" s="89"/>
      <c r="Q37" s="89"/>
      <c r="R37" s="92"/>
      <c r="S37" s="34"/>
      <c r="T37" s="91"/>
      <c r="U37" s="88" t="str">
        <f t="shared" si="29"/>
        <v/>
      </c>
      <c r="V37" s="88" t="str">
        <f t="shared" si="29"/>
        <v/>
      </c>
      <c r="W37" s="88"/>
      <c r="X37" s="88"/>
      <c r="Y37" s="88"/>
      <c r="Z37" s="88"/>
      <c r="AA37" s="88"/>
      <c r="AB37" s="87"/>
      <c r="AC37" s="87"/>
      <c r="AD37" s="87"/>
      <c r="AE37" s="2"/>
      <c r="AF37" s="2"/>
      <c r="AG37" s="2"/>
      <c r="AH37" s="2"/>
      <c r="AI37" s="2"/>
    </row>
    <row r="38" spans="1:35" s="62" customFormat="1" hidden="1">
      <c r="A38" s="105"/>
      <c r="B38" s="104"/>
      <c r="C38" s="103"/>
      <c r="D38" s="102"/>
      <c r="E38" s="101"/>
      <c r="F38" s="90"/>
      <c r="G38" s="89"/>
      <c r="H38" s="89"/>
      <c r="I38" s="89"/>
      <c r="J38" s="92"/>
      <c r="K38" s="34"/>
      <c r="L38" s="101"/>
      <c r="M38" s="101"/>
      <c r="N38" s="90"/>
      <c r="O38" s="89"/>
      <c r="P38" s="89"/>
      <c r="Q38" s="89"/>
      <c r="R38" s="92"/>
      <c r="S38" s="34"/>
      <c r="T38" s="91"/>
      <c r="U38" s="88" t="str">
        <f t="shared" si="29"/>
        <v/>
      </c>
      <c r="V38" s="88" t="str">
        <f t="shared" si="29"/>
        <v/>
      </c>
      <c r="W38" s="88" t="str">
        <f>+IF(H38=0,"",ROUND(H38*H$4/(100+H$4),7)-P38)</f>
        <v/>
      </c>
      <c r="X38" s="88"/>
      <c r="Y38" s="88" t="str">
        <f>+IF(J38=0,"",ROUND(J38*J$4/(100+J$4),7)-R38)</f>
        <v/>
      </c>
      <c r="Z38" s="88"/>
      <c r="AA38" s="88"/>
      <c r="AB38" s="87" t="str">
        <f>+IF(SUM(U38:Y38)=0,"",SUM(U38:Y38))</f>
        <v/>
      </c>
      <c r="AC38" s="87"/>
      <c r="AD38" s="87"/>
      <c r="AE38" s="2"/>
      <c r="AF38" s="2"/>
      <c r="AG38" s="2"/>
      <c r="AH38" s="2"/>
      <c r="AI38" s="2"/>
    </row>
    <row r="39" spans="1:35" s="62" customFormat="1" hidden="1">
      <c r="A39" s="105"/>
      <c r="B39" s="104"/>
      <c r="C39" s="103"/>
      <c r="D39" s="102"/>
      <c r="E39" s="101"/>
      <c r="F39" s="90"/>
      <c r="G39" s="89"/>
      <c r="H39" s="89"/>
      <c r="I39" s="89"/>
      <c r="J39" s="92"/>
      <c r="K39" s="34"/>
      <c r="L39" s="101"/>
      <c r="M39" s="101"/>
      <c r="N39" s="90"/>
      <c r="O39" s="89"/>
      <c r="P39" s="89"/>
      <c r="Q39" s="89"/>
      <c r="R39" s="92"/>
      <c r="S39" s="34"/>
      <c r="T39" s="91"/>
      <c r="U39" s="88" t="str">
        <f t="shared" si="29"/>
        <v/>
      </c>
      <c r="V39" s="88" t="str">
        <f t="shared" si="29"/>
        <v/>
      </c>
      <c r="W39" s="88" t="str">
        <f>+IF(H39=0,"",ROUND(H39*H$4/(100+H$4),7)-P39)</f>
        <v/>
      </c>
      <c r="X39" s="88"/>
      <c r="Y39" s="88" t="str">
        <f>+IF(J39=0,"",ROUND(J39*J$4/(100+J$4),7)-R39)</f>
        <v/>
      </c>
      <c r="Z39" s="88"/>
      <c r="AA39" s="88"/>
      <c r="AB39" s="87" t="str">
        <f>+IF(SUM(U39:Y39)=0,"",SUM(U39:Y39))</f>
        <v/>
      </c>
      <c r="AC39" s="87"/>
      <c r="AD39" s="87"/>
      <c r="AE39" s="2"/>
      <c r="AF39" s="2"/>
      <c r="AG39" s="2"/>
      <c r="AH39" s="2"/>
      <c r="AI39" s="2"/>
    </row>
    <row r="40" spans="1:35" s="62" customFormat="1" ht="14.25" thickBot="1">
      <c r="A40" s="100"/>
      <c r="B40" s="99"/>
      <c r="C40" s="98"/>
      <c r="D40" s="97"/>
      <c r="E40" s="93"/>
      <c r="F40" s="96"/>
      <c r="G40" s="95"/>
      <c r="H40" s="95"/>
      <c r="I40" s="95"/>
      <c r="J40" s="94"/>
      <c r="K40" s="34"/>
      <c r="L40" s="93"/>
      <c r="M40" s="93"/>
      <c r="N40" s="90"/>
      <c r="O40" s="89"/>
      <c r="P40" s="89"/>
      <c r="Q40" s="89"/>
      <c r="R40" s="92"/>
      <c r="S40" s="34"/>
      <c r="T40" s="91"/>
      <c r="U40" s="88" t="str">
        <f>+IF(F40=0,"",ROUND(F40*F$4/(100+F$4),7)-N40)</f>
        <v/>
      </c>
      <c r="V40" s="88"/>
      <c r="W40" s="88"/>
      <c r="X40" s="88"/>
      <c r="Y40" s="88"/>
      <c r="Z40" s="88"/>
      <c r="AA40" s="88"/>
      <c r="AB40" s="87"/>
      <c r="AC40" s="87"/>
      <c r="AD40" s="87"/>
      <c r="AE40" s="2"/>
      <c r="AF40" s="2"/>
      <c r="AG40" s="2"/>
      <c r="AH40" s="2"/>
      <c r="AI40" s="2"/>
    </row>
    <row r="41" spans="1:35" s="62" customFormat="1" ht="14.25" thickTop="1">
      <c r="A41" s="86"/>
      <c r="B41" s="85"/>
      <c r="C41" s="84"/>
      <c r="D41" s="83" t="s">
        <v>2</v>
      </c>
      <c r="E41" s="79">
        <f t="shared" ref="E41:S41" si="30">+SUM(E5,E22,E27)</f>
        <v>42643669657</v>
      </c>
      <c r="F41" s="82">
        <f t="shared" si="30"/>
        <v>0</v>
      </c>
      <c r="G41" s="81">
        <f t="shared" si="30"/>
        <v>0</v>
      </c>
      <c r="H41" s="81">
        <f t="shared" si="30"/>
        <v>1236141</v>
      </c>
      <c r="I41" s="81">
        <f t="shared" ref="I41" si="31">+SUM(I5,I22,I27)</f>
        <v>500878</v>
      </c>
      <c r="J41" s="80">
        <f t="shared" si="30"/>
        <v>9106828850</v>
      </c>
      <c r="K41" s="74">
        <f t="shared" si="30"/>
        <v>9108565869</v>
      </c>
      <c r="L41" s="79">
        <f t="shared" si="30"/>
        <v>4302104919</v>
      </c>
      <c r="M41" s="79">
        <f t="shared" si="30"/>
        <v>29232998869</v>
      </c>
      <c r="N41" s="76">
        <f t="shared" si="30"/>
        <v>0</v>
      </c>
      <c r="O41" s="75">
        <f t="shared" si="30"/>
        <v>0</v>
      </c>
      <c r="P41" s="75">
        <f t="shared" si="30"/>
        <v>91566</v>
      </c>
      <c r="Q41" s="75">
        <f t="shared" ref="Q41" si="32">+SUM(Q5,Q22,Q27)</f>
        <v>37102</v>
      </c>
      <c r="R41" s="78">
        <f t="shared" si="30"/>
        <v>827893531</v>
      </c>
      <c r="S41" s="74">
        <f t="shared" si="30"/>
        <v>828022199</v>
      </c>
      <c r="T41" s="77">
        <f>+SUM(T5,T22,T27)</f>
        <v>42028134935</v>
      </c>
      <c r="U41" s="2"/>
      <c r="V41" s="2"/>
      <c r="W41" s="2"/>
      <c r="X41" s="2"/>
      <c r="Y41" s="2"/>
      <c r="Z41" s="2"/>
      <c r="AA41" s="2"/>
      <c r="AB41" s="2"/>
      <c r="AC41" s="2"/>
      <c r="AD41" s="2"/>
      <c r="AE41" s="2"/>
      <c r="AF41" s="2"/>
      <c r="AG41" s="2"/>
      <c r="AH41" s="2"/>
      <c r="AI41" s="2"/>
    </row>
    <row r="42" spans="1:35" s="62" customFormat="1">
      <c r="A42" s="73"/>
      <c r="B42" s="72"/>
      <c r="C42" s="71"/>
      <c r="D42" s="70" t="s">
        <v>1</v>
      </c>
      <c r="E42" s="65">
        <f t="shared" ref="E42:J42" si="33">+E41</f>
        <v>42643669657</v>
      </c>
      <c r="F42" s="69">
        <f t="shared" si="33"/>
        <v>0</v>
      </c>
      <c r="G42" s="68">
        <f t="shared" si="33"/>
        <v>0</v>
      </c>
      <c r="H42" s="68">
        <f t="shared" si="33"/>
        <v>1236141</v>
      </c>
      <c r="I42" s="68">
        <f t="shared" si="33"/>
        <v>500878</v>
      </c>
      <c r="J42" s="67">
        <f t="shared" si="33"/>
        <v>9106828850</v>
      </c>
      <c r="K42" s="63">
        <f>SUM(F42:J42)</f>
        <v>9108565869</v>
      </c>
      <c r="L42" s="65">
        <f>+L41</f>
        <v>4302104919</v>
      </c>
      <c r="M42" s="65">
        <f>+M41</f>
        <v>29232998869</v>
      </c>
      <c r="N42" s="64">
        <f>+ROUNDDOWN(F42*F$4/(100+F$4),0)</f>
        <v>0</v>
      </c>
      <c r="O42" s="64">
        <f>+ROUNDDOWN(G42*G$4/(100+G$4),0)</f>
        <v>0</v>
      </c>
      <c r="P42" s="64">
        <f>+ROUNDDOWN(H42*H$4/(100+H$4),0)</f>
        <v>91566</v>
      </c>
      <c r="Q42" s="64">
        <f>+ROUNDDOWN(I42*I$4/(100+I$4),0)</f>
        <v>37102</v>
      </c>
      <c r="R42" s="64">
        <f>+ROUNDDOWN(J42*J$4/(100+J$4),0)</f>
        <v>827893531</v>
      </c>
      <c r="S42" s="66">
        <f>SUM(N42:R42)</f>
        <v>828022199</v>
      </c>
      <c r="T42" s="65">
        <f>+E42-S42</f>
        <v>41815647458</v>
      </c>
      <c r="U42" s="2"/>
      <c r="V42" s="2"/>
      <c r="W42" s="2"/>
      <c r="X42" s="2"/>
      <c r="Y42" s="2"/>
      <c r="Z42" s="2"/>
      <c r="AA42" s="2"/>
      <c r="AB42" s="2"/>
      <c r="AC42" s="2"/>
      <c r="AD42" s="2"/>
      <c r="AE42" s="2"/>
      <c r="AF42" s="2"/>
      <c r="AG42" s="2"/>
      <c r="AH42" s="2"/>
      <c r="AI42" s="2"/>
    </row>
    <row r="43" spans="1:35">
      <c r="E43" s="4">
        <f t="shared" ref="E43:S43" si="34">+E42-E41</f>
        <v>0</v>
      </c>
      <c r="F43" s="4">
        <f t="shared" si="34"/>
        <v>0</v>
      </c>
      <c r="G43" s="4">
        <f t="shared" si="34"/>
        <v>0</v>
      </c>
      <c r="H43" s="4">
        <f t="shared" si="34"/>
        <v>0</v>
      </c>
      <c r="I43" s="4">
        <f t="shared" ref="I43" si="35">+I42-I41</f>
        <v>0</v>
      </c>
      <c r="J43" s="4">
        <f t="shared" si="34"/>
        <v>0</v>
      </c>
      <c r="K43" s="4">
        <f t="shared" si="34"/>
        <v>0</v>
      </c>
      <c r="L43" s="4">
        <f t="shared" si="34"/>
        <v>0</v>
      </c>
      <c r="M43" s="4">
        <f t="shared" si="34"/>
        <v>0</v>
      </c>
      <c r="N43" s="4">
        <f t="shared" si="34"/>
        <v>0</v>
      </c>
      <c r="O43" s="4">
        <f t="shared" si="34"/>
        <v>0</v>
      </c>
      <c r="P43" s="4">
        <f t="shared" si="34"/>
        <v>0</v>
      </c>
      <c r="Q43" s="4">
        <f t="shared" ref="Q43" si="36">+Q42-Q41</f>
        <v>0</v>
      </c>
      <c r="R43" s="4">
        <f t="shared" si="34"/>
        <v>0</v>
      </c>
      <c r="S43" s="4">
        <f t="shared" si="34"/>
        <v>0</v>
      </c>
      <c r="T43" s="4">
        <f>+T42-T41</f>
        <v>-212487477</v>
      </c>
    </row>
    <row r="44" spans="1:35">
      <c r="V44" s="130"/>
    </row>
    <row r="45" spans="1:35">
      <c r="C45" s="61"/>
      <c r="D45" s="60" t="s">
        <v>33</v>
      </c>
      <c r="E45" s="59">
        <f>消費税!$Z$118+消費税!$AF$118</f>
        <v>343538729</v>
      </c>
      <c r="F45" s="58" t="s">
        <v>32</v>
      </c>
      <c r="G45" s="57">
        <f>+営外!E39</f>
        <v>42630200</v>
      </c>
      <c r="P45" s="56" t="s">
        <v>31</v>
      </c>
      <c r="Q45" s="56"/>
      <c r="R45" s="54"/>
      <c r="S45" s="55">
        <f>'3条収入'!AH69</f>
        <v>210253123</v>
      </c>
      <c r="T45" s="54"/>
    </row>
    <row r="46" spans="1:35">
      <c r="D46" s="1" t="s">
        <v>0</v>
      </c>
      <c r="E46" s="4">
        <f>+E41+E45</f>
        <v>42987208386</v>
      </c>
      <c r="P46" s="54"/>
      <c r="Q46" s="54"/>
      <c r="R46" s="54"/>
      <c r="S46" s="54">
        <f>S42</f>
        <v>828022199</v>
      </c>
      <c r="T46" s="54">
        <f>T41+S46</f>
        <v>42856157134</v>
      </c>
    </row>
    <row r="47" spans="1:35" ht="13.5" customHeight="1">
      <c r="E47" s="4"/>
      <c r="P47" s="54"/>
      <c r="Q47" s="54"/>
      <c r="R47" s="54"/>
      <c r="S47" s="54"/>
      <c r="T47" s="54">
        <f>E41-T46+S45</f>
        <v>-2234354</v>
      </c>
      <c r="U47" s="316" t="s">
        <v>30</v>
      </c>
      <c r="V47" s="316"/>
      <c r="W47" s="316"/>
      <c r="X47" s="316"/>
      <c r="Y47" s="316"/>
      <c r="Z47" s="316"/>
    </row>
    <row r="48" spans="1:35">
      <c r="P48" s="54"/>
      <c r="Q48" s="54"/>
      <c r="R48" s="54"/>
      <c r="S48" s="54"/>
      <c r="T48" s="54"/>
      <c r="U48" s="316"/>
      <c r="V48" s="316"/>
      <c r="W48" s="316"/>
      <c r="X48" s="316"/>
      <c r="Y48" s="316"/>
      <c r="Z48" s="316"/>
    </row>
    <row r="49" spans="4:26" ht="14.25" thickBot="1">
      <c r="D49" s="1" t="s">
        <v>29</v>
      </c>
      <c r="N49" s="1"/>
      <c r="S49" s="1"/>
      <c r="T49" s="3"/>
      <c r="U49" s="316"/>
      <c r="V49" s="316"/>
      <c r="W49" s="316"/>
      <c r="X49" s="316"/>
      <c r="Y49" s="316"/>
      <c r="Z49" s="316"/>
    </row>
    <row r="50" spans="4:26">
      <c r="D50" s="296" t="s">
        <v>28</v>
      </c>
      <c r="E50" s="299" t="s">
        <v>27</v>
      </c>
      <c r="F50" s="300"/>
      <c r="G50" s="300"/>
      <c r="H50" s="300"/>
      <c r="I50" s="300"/>
      <c r="J50" s="300"/>
      <c r="K50" s="301"/>
      <c r="L50" s="319" t="s">
        <v>26</v>
      </c>
      <c r="M50" s="320"/>
      <c r="N50" s="319" t="s">
        <v>25</v>
      </c>
      <c r="O50" s="320"/>
      <c r="R50" s="1"/>
      <c r="S50" s="1"/>
    </row>
    <row r="51" spans="4:26">
      <c r="D51" s="297"/>
      <c r="E51" s="302" t="s">
        <v>0</v>
      </c>
      <c r="F51" s="304" t="s">
        <v>24</v>
      </c>
      <c r="G51" s="305"/>
      <c r="H51" s="305"/>
      <c r="I51" s="305"/>
      <c r="J51" s="305"/>
      <c r="K51" s="306"/>
      <c r="L51" s="305" t="s">
        <v>0</v>
      </c>
      <c r="M51" s="317" t="s">
        <v>24</v>
      </c>
      <c r="N51" s="305" t="s">
        <v>0</v>
      </c>
      <c r="O51" s="317" t="s">
        <v>24</v>
      </c>
      <c r="R51" s="1"/>
      <c r="S51" s="1"/>
    </row>
    <row r="52" spans="4:26">
      <c r="D52" s="298"/>
      <c r="E52" s="303"/>
      <c r="F52" s="53">
        <v>3</v>
      </c>
      <c r="G52" s="52">
        <v>5</v>
      </c>
      <c r="H52" s="52">
        <v>8</v>
      </c>
      <c r="I52" s="268">
        <v>8</v>
      </c>
      <c r="J52" s="264">
        <v>10</v>
      </c>
      <c r="K52" s="50" t="s">
        <v>2</v>
      </c>
      <c r="L52" s="307"/>
      <c r="M52" s="318"/>
      <c r="N52" s="307"/>
      <c r="O52" s="318"/>
      <c r="R52" s="1"/>
      <c r="S52" s="1"/>
    </row>
    <row r="53" spans="4:26">
      <c r="D53" s="49" t="s">
        <v>23</v>
      </c>
      <c r="E53" s="293">
        <f t="shared" ref="E53:O53" si="37">+SUM(E54:E67)</f>
        <v>3688023972</v>
      </c>
      <c r="F53" s="48">
        <f t="shared" si="37"/>
        <v>0</v>
      </c>
      <c r="G53" s="47">
        <f t="shared" si="37"/>
        <v>0</v>
      </c>
      <c r="H53" s="47">
        <f t="shared" si="37"/>
        <v>496314</v>
      </c>
      <c r="I53" s="47">
        <f t="shared" ref="I53" si="38">+SUM(I54:I67)</f>
        <v>142297</v>
      </c>
      <c r="J53" s="46">
        <f t="shared" si="37"/>
        <v>2459472462</v>
      </c>
      <c r="K53" s="45">
        <f t="shared" si="37"/>
        <v>2460111073</v>
      </c>
      <c r="L53" s="44">
        <f t="shared" si="37"/>
        <v>7816908465</v>
      </c>
      <c r="M53" s="43">
        <f t="shared" si="37"/>
        <v>6547757796</v>
      </c>
      <c r="N53" s="44">
        <f t="shared" si="37"/>
        <v>107352503</v>
      </c>
      <c r="O53" s="43">
        <f t="shared" si="37"/>
        <v>22835037</v>
      </c>
      <c r="R53" s="1"/>
    </row>
    <row r="54" spans="4:26">
      <c r="D54" s="28" t="s">
        <v>22</v>
      </c>
      <c r="E54" s="32">
        <f>+E6-L54</f>
        <v>345781722</v>
      </c>
      <c r="F54" s="26">
        <f>+IFERROR(ROUND(F6*$K54/SUM($F6:$J6),0),0)</f>
        <v>0</v>
      </c>
      <c r="G54" s="25">
        <f>+IFERROR(ROUND(G6*$K54/SUM($F6:$J6),0),0)</f>
        <v>0</v>
      </c>
      <c r="H54" s="25">
        <f>+IFERROR(ROUND(H6*$K54/SUM($F6:$J6),0),0)</f>
        <v>383412</v>
      </c>
      <c r="I54" s="25">
        <f>+IFERROR(ROUND(I6*$K54/SUM($F6:$J6),0),0)</f>
        <v>0</v>
      </c>
      <c r="J54" s="23">
        <f>+IFERROR(ROUND(J6*$K54/SUM($F6:$J6),0),0)</f>
        <v>292845789</v>
      </c>
      <c r="K54" s="24">
        <f>+K6-M54</f>
        <v>293229201</v>
      </c>
      <c r="L54" s="31">
        <f>+雨汚水!K7</f>
        <v>266038235</v>
      </c>
      <c r="M54" s="34">
        <f t="shared" ref="M54:M66" si="39">+IFERROR(ROUND(L54*K6/E6,0),0)</f>
        <v>225605271</v>
      </c>
      <c r="N54" s="30"/>
      <c r="O54" s="29"/>
    </row>
    <row r="55" spans="4:26">
      <c r="D55" s="42" t="s">
        <v>21</v>
      </c>
      <c r="E55" s="41"/>
      <c r="F55" s="40"/>
      <c r="G55" s="39"/>
      <c r="H55" s="39"/>
      <c r="I55" s="39"/>
      <c r="J55" s="38"/>
      <c r="K55" s="35"/>
      <c r="L55" s="31">
        <f>+雨汚水!K8</f>
        <v>0</v>
      </c>
      <c r="M55" s="34">
        <f t="shared" si="39"/>
        <v>0</v>
      </c>
      <c r="N55" s="37">
        <f>+E7</f>
        <v>52443869</v>
      </c>
      <c r="O55" s="34">
        <f>+K7</f>
        <v>12436317</v>
      </c>
    </row>
    <row r="56" spans="4:26">
      <c r="D56" s="28" t="s">
        <v>20</v>
      </c>
      <c r="E56" s="32">
        <f>+E8-L56</f>
        <v>1779977149</v>
      </c>
      <c r="F56" s="26">
        <f t="shared" ref="F56:H58" si="40">+IFERROR(ROUND(F8*$K56/SUM($F8:$J8),0),0)</f>
        <v>0</v>
      </c>
      <c r="G56" s="25">
        <f t="shared" si="40"/>
        <v>0</v>
      </c>
      <c r="H56" s="25">
        <f t="shared" si="40"/>
        <v>0</v>
      </c>
      <c r="I56" s="25">
        <f t="shared" ref="I56" si="41">+IFERROR(ROUND(I8*$K56/SUM($F8:$J8),0),0)</f>
        <v>22935</v>
      </c>
      <c r="J56" s="23">
        <f>+IFERROR(ROUND(J8*$K56/SUM($F8:$J8),0),0)</f>
        <v>867444589</v>
      </c>
      <c r="K56" s="24">
        <f>+K8-M56</f>
        <v>867467524</v>
      </c>
      <c r="L56" s="31">
        <f>+雨汚水!K9</f>
        <v>576063076</v>
      </c>
      <c r="M56" s="34">
        <f t="shared" si="39"/>
        <v>280742936</v>
      </c>
      <c r="N56" s="30"/>
      <c r="O56" s="29"/>
      <c r="R56" s="1"/>
      <c r="S56" s="4"/>
      <c r="T56" s="4"/>
    </row>
    <row r="57" spans="4:26">
      <c r="D57" s="28" t="s">
        <v>19</v>
      </c>
      <c r="E57" s="32">
        <f>+E9-L57</f>
        <v>1428197863</v>
      </c>
      <c r="F57" s="26">
        <f t="shared" si="40"/>
        <v>0</v>
      </c>
      <c r="G57" s="25">
        <f t="shared" si="40"/>
        <v>0</v>
      </c>
      <c r="H57" s="25">
        <f t="shared" si="40"/>
        <v>112902</v>
      </c>
      <c r="I57" s="25">
        <f t="shared" ref="I57" si="42">+IFERROR(ROUND(I9*$K57/SUM($F9:$J9),0),0)</f>
        <v>31492</v>
      </c>
      <c r="J57" s="23">
        <f>+IFERROR(ROUND(J9*$K57/SUM($F9:$J9),0),0)</f>
        <v>1245382798</v>
      </c>
      <c r="K57" s="24">
        <f>+K9-M57</f>
        <v>1245527192</v>
      </c>
      <c r="L57" s="31">
        <f>+雨汚水!K10</f>
        <v>5129506001</v>
      </c>
      <c r="M57" s="34">
        <f t="shared" si="39"/>
        <v>4473427228</v>
      </c>
      <c r="N57" s="30"/>
      <c r="O57" s="29"/>
      <c r="R57" s="1"/>
      <c r="S57" s="4"/>
      <c r="T57" s="4"/>
    </row>
    <row r="58" spans="4:26">
      <c r="D58" s="28" t="s">
        <v>18</v>
      </c>
      <c r="E58" s="32">
        <f>+E10-L58</f>
        <v>0</v>
      </c>
      <c r="F58" s="26">
        <f t="shared" si="40"/>
        <v>0</v>
      </c>
      <c r="G58" s="25">
        <f t="shared" si="40"/>
        <v>0</v>
      </c>
      <c r="H58" s="25">
        <f t="shared" si="40"/>
        <v>0</v>
      </c>
      <c r="I58" s="25">
        <f t="shared" ref="I58" si="43">+IFERROR(ROUND(I10*$K58/SUM($F10:$J10),0),0)</f>
        <v>0</v>
      </c>
      <c r="J58" s="23">
        <f>+IFERROR(ROUND(J10*$K58/SUM($F10:$J10),0),0)</f>
        <v>0</v>
      </c>
      <c r="K58" s="24">
        <f>+K10-M58</f>
        <v>0</v>
      </c>
      <c r="L58" s="31">
        <f>+雨汚水!K11</f>
        <v>0</v>
      </c>
      <c r="M58" s="34">
        <f t="shared" si="39"/>
        <v>0</v>
      </c>
      <c r="N58" s="30"/>
      <c r="O58" s="29"/>
      <c r="R58" s="1"/>
      <c r="S58" s="4"/>
      <c r="T58" s="4"/>
    </row>
    <row r="59" spans="4:26">
      <c r="D59" s="42" t="s">
        <v>17</v>
      </c>
      <c r="E59" s="41"/>
      <c r="F59" s="40"/>
      <c r="G59" s="39"/>
      <c r="H59" s="39"/>
      <c r="I59" s="39"/>
      <c r="J59" s="38"/>
      <c r="K59" s="35"/>
      <c r="L59" s="31">
        <f>+雨汚水!K12</f>
        <v>44424774</v>
      </c>
      <c r="M59" s="34">
        <f t="shared" si="39"/>
        <v>9435234</v>
      </c>
      <c r="N59" s="37">
        <f>+E11-L59</f>
        <v>44424775</v>
      </c>
      <c r="O59" s="34">
        <f>+K11-M59</f>
        <v>9435235</v>
      </c>
      <c r="R59" s="1"/>
      <c r="S59" s="4"/>
      <c r="T59" s="4"/>
    </row>
    <row r="60" spans="4:26">
      <c r="D60" s="42" t="s">
        <v>16</v>
      </c>
      <c r="E60" s="41"/>
      <c r="F60" s="40"/>
      <c r="G60" s="39"/>
      <c r="H60" s="39"/>
      <c r="I60" s="39"/>
      <c r="J60" s="38"/>
      <c r="K60" s="35"/>
      <c r="L60" s="31">
        <f>+雨汚水!K13</f>
        <v>0</v>
      </c>
      <c r="M60" s="34">
        <f t="shared" si="39"/>
        <v>0</v>
      </c>
      <c r="N60" s="37">
        <f>+E12</f>
        <v>10483859</v>
      </c>
      <c r="O60" s="34">
        <f>+K12</f>
        <v>963485</v>
      </c>
      <c r="R60" s="1"/>
      <c r="S60" s="4"/>
      <c r="T60" s="4"/>
    </row>
    <row r="61" spans="4:26">
      <c r="D61" s="28" t="s">
        <v>15</v>
      </c>
      <c r="E61" s="32">
        <f t="shared" ref="E61:E66" si="44">+E13-L61</f>
        <v>0</v>
      </c>
      <c r="F61" s="26">
        <f t="shared" ref="F61:H66" si="45">+IFERROR(ROUND(F13*$K61/SUM($F13:$J13),0),0)</f>
        <v>0</v>
      </c>
      <c r="G61" s="25">
        <f t="shared" si="45"/>
        <v>0</v>
      </c>
      <c r="H61" s="25">
        <f t="shared" si="45"/>
        <v>0</v>
      </c>
      <c r="I61" s="25">
        <f t="shared" ref="I61" si="46">+IFERROR(ROUND(I13*$K61/SUM($F13:$J13),0),0)</f>
        <v>0</v>
      </c>
      <c r="J61" s="23">
        <f t="shared" ref="J61:J66" si="47">+IFERROR(ROUND(J13*$K61/SUM($F13:$J13),0),0)</f>
        <v>0</v>
      </c>
      <c r="K61" s="24">
        <f t="shared" ref="K61:K66" si="48">+K13-M61</f>
        <v>0</v>
      </c>
      <c r="L61" s="31">
        <f>+雨汚水!K14</f>
        <v>1019945143</v>
      </c>
      <c r="M61" s="34">
        <f t="shared" si="39"/>
        <v>992787715</v>
      </c>
      <c r="N61" s="30"/>
      <c r="O61" s="29"/>
      <c r="R61" s="1"/>
      <c r="S61" s="4"/>
      <c r="T61" s="4"/>
    </row>
    <row r="62" spans="4:26">
      <c r="D62" s="28" t="s">
        <v>14</v>
      </c>
      <c r="E62" s="32">
        <f t="shared" si="44"/>
        <v>134067238</v>
      </c>
      <c r="F62" s="26">
        <f t="shared" si="45"/>
        <v>0</v>
      </c>
      <c r="G62" s="25">
        <f t="shared" si="45"/>
        <v>0</v>
      </c>
      <c r="H62" s="25">
        <f t="shared" si="45"/>
        <v>0</v>
      </c>
      <c r="I62" s="25">
        <f t="shared" ref="I62" si="49">+IFERROR(ROUND(I14*$K62/SUM($F14:$J14),0),0)</f>
        <v>87870</v>
      </c>
      <c r="J62" s="23">
        <f t="shared" si="47"/>
        <v>53799286</v>
      </c>
      <c r="K62" s="24">
        <f t="shared" si="48"/>
        <v>53887156</v>
      </c>
      <c r="L62" s="31">
        <f>+雨汚水!K15</f>
        <v>349897976</v>
      </c>
      <c r="M62" s="34">
        <f t="shared" si="39"/>
        <v>140638437</v>
      </c>
      <c r="N62" s="30"/>
      <c r="O62" s="29"/>
      <c r="R62" s="1"/>
      <c r="S62" s="4"/>
      <c r="T62" s="4"/>
    </row>
    <row r="63" spans="4:26">
      <c r="D63" s="28" t="s">
        <v>13</v>
      </c>
      <c r="E63" s="32">
        <f t="shared" si="44"/>
        <v>0</v>
      </c>
      <c r="F63" s="26">
        <f t="shared" si="45"/>
        <v>0</v>
      </c>
      <c r="G63" s="25">
        <f t="shared" si="45"/>
        <v>0</v>
      </c>
      <c r="H63" s="25">
        <f t="shared" si="45"/>
        <v>0</v>
      </c>
      <c r="I63" s="25">
        <f t="shared" ref="I63" si="50">+IFERROR(ROUND(I15*$K63/SUM($F15:$J15),0),0)</f>
        <v>0</v>
      </c>
      <c r="J63" s="23">
        <f t="shared" si="47"/>
        <v>0</v>
      </c>
      <c r="K63" s="24">
        <f t="shared" si="48"/>
        <v>0</v>
      </c>
      <c r="L63" s="31">
        <f>+雨汚水!K16</f>
        <v>106990906</v>
      </c>
      <c r="M63" s="34">
        <f t="shared" si="39"/>
        <v>106854219</v>
      </c>
      <c r="N63" s="30"/>
      <c r="O63" s="29"/>
      <c r="R63" s="1"/>
      <c r="S63" s="4"/>
      <c r="T63" s="4"/>
    </row>
    <row r="64" spans="4:26">
      <c r="D64" s="28" t="s">
        <v>12</v>
      </c>
      <c r="E64" s="32">
        <f t="shared" si="44"/>
        <v>0</v>
      </c>
      <c r="F64" s="26">
        <f t="shared" si="45"/>
        <v>0</v>
      </c>
      <c r="G64" s="25">
        <f t="shared" si="45"/>
        <v>0</v>
      </c>
      <c r="H64" s="25">
        <f t="shared" si="45"/>
        <v>0</v>
      </c>
      <c r="I64" s="25">
        <f t="shared" ref="I64" si="51">+IFERROR(ROUND(I16*$K64/SUM($F16:$J16),0),0)</f>
        <v>0</v>
      </c>
      <c r="J64" s="23">
        <f t="shared" si="47"/>
        <v>0</v>
      </c>
      <c r="K64" s="24">
        <f t="shared" si="48"/>
        <v>0</v>
      </c>
      <c r="L64" s="31">
        <f>+雨汚水!K17</f>
        <v>247654024</v>
      </c>
      <c r="M64" s="34">
        <f t="shared" si="39"/>
        <v>247349460</v>
      </c>
      <c r="N64" s="30"/>
      <c r="O64" s="29"/>
      <c r="R64" s="1"/>
      <c r="S64" s="4"/>
      <c r="T64" s="4"/>
    </row>
    <row r="65" spans="4:20">
      <c r="D65" s="28" t="s">
        <v>11</v>
      </c>
      <c r="E65" s="32">
        <f t="shared" si="44"/>
        <v>0</v>
      </c>
      <c r="F65" s="26">
        <f t="shared" si="45"/>
        <v>0</v>
      </c>
      <c r="G65" s="25">
        <f t="shared" si="45"/>
        <v>0</v>
      </c>
      <c r="H65" s="25">
        <f t="shared" si="45"/>
        <v>0</v>
      </c>
      <c r="I65" s="25">
        <f t="shared" ref="I65" si="52">+IFERROR(ROUND(I17*$K65/SUM($F17:$J17),0),0)</f>
        <v>0</v>
      </c>
      <c r="J65" s="23">
        <f t="shared" si="47"/>
        <v>0</v>
      </c>
      <c r="K65" s="24">
        <f t="shared" si="48"/>
        <v>0</v>
      </c>
      <c r="L65" s="31">
        <f>+雨汚水!K18</f>
        <v>76388330</v>
      </c>
      <c r="M65" s="34">
        <f t="shared" si="39"/>
        <v>70917296</v>
      </c>
      <c r="N65" s="30"/>
      <c r="O65" s="29"/>
      <c r="R65" s="1"/>
      <c r="S65" s="4"/>
      <c r="T65" s="4"/>
    </row>
    <row r="66" spans="4:20">
      <c r="D66" s="28" t="s">
        <v>10</v>
      </c>
      <c r="E66" s="32">
        <f t="shared" si="44"/>
        <v>0</v>
      </c>
      <c r="F66" s="26">
        <f t="shared" si="45"/>
        <v>0</v>
      </c>
      <c r="G66" s="25">
        <f t="shared" si="45"/>
        <v>0</v>
      </c>
      <c r="H66" s="25">
        <f t="shared" si="45"/>
        <v>0</v>
      </c>
      <c r="I66" s="25">
        <f t="shared" ref="I66" si="53">+IFERROR(ROUND(I18*$K66/SUM($F18:$J18),0),0)</f>
        <v>0</v>
      </c>
      <c r="J66" s="23">
        <f t="shared" si="47"/>
        <v>0</v>
      </c>
      <c r="K66" s="24">
        <f t="shared" si="48"/>
        <v>0</v>
      </c>
      <c r="L66" s="31">
        <f>+雨汚水!K19</f>
        <v>0</v>
      </c>
      <c r="M66" s="34">
        <f t="shared" si="39"/>
        <v>0</v>
      </c>
      <c r="N66" s="30"/>
      <c r="O66" s="29"/>
      <c r="R66" s="1"/>
      <c r="S66" s="4"/>
      <c r="T66" s="4"/>
    </row>
    <row r="67" spans="4:20">
      <c r="D67" s="28" t="s">
        <v>9</v>
      </c>
      <c r="E67" s="36">
        <f>+雨汚水!F20</f>
        <v>0</v>
      </c>
      <c r="F67" s="26">
        <f>+IFERROR(ROUND(F20*$K67/SUM($F20:$J20),0),0)</f>
        <v>0</v>
      </c>
      <c r="G67" s="25">
        <f>+IFERROR(ROUND(G20*$K67/SUM($F20:$J20),0),0)</f>
        <v>0</v>
      </c>
      <c r="H67" s="25">
        <f>+IFERROR(ROUND(H20*$K67/SUM($F20:$J20),0),0)</f>
        <v>0</v>
      </c>
      <c r="I67" s="25">
        <f>+IFERROR(ROUND(I20*$K67/SUM($F20:$J20),0),0)</f>
        <v>0</v>
      </c>
      <c r="J67" s="23">
        <f>+IFERROR(ROUND(J20*$K67/SUM($F20:$J20),0),0)</f>
        <v>0</v>
      </c>
      <c r="K67" s="24">
        <f>+K20-M67</f>
        <v>0</v>
      </c>
      <c r="L67" s="31">
        <f>+雨汚水!K20</f>
        <v>0</v>
      </c>
      <c r="M67" s="34">
        <f>+IFERROR(ROUND(L67*K20/E20,0),0)</f>
        <v>0</v>
      </c>
      <c r="N67" s="30"/>
      <c r="O67" s="29"/>
      <c r="R67" s="1"/>
      <c r="S67" s="4"/>
      <c r="T67" s="4"/>
    </row>
    <row r="68" spans="4:20">
      <c r="D68" s="28"/>
      <c r="E68" s="32"/>
      <c r="F68" s="26"/>
      <c r="G68" s="25"/>
      <c r="H68" s="25"/>
      <c r="I68" s="25"/>
      <c r="J68" s="23"/>
      <c r="K68" s="24"/>
      <c r="L68" s="33"/>
      <c r="M68" s="22"/>
      <c r="N68" s="33"/>
      <c r="O68" s="22"/>
      <c r="R68" s="1"/>
      <c r="S68" s="4"/>
      <c r="T68" s="4"/>
    </row>
    <row r="69" spans="4:20">
      <c r="D69" s="28" t="s">
        <v>8</v>
      </c>
      <c r="E69" s="32">
        <f t="shared" ref="E69:O69" si="54">+SUM(E70:E71)</f>
        <v>0</v>
      </c>
      <c r="F69" s="26">
        <f t="shared" si="54"/>
        <v>0</v>
      </c>
      <c r="G69" s="25">
        <f t="shared" si="54"/>
        <v>0</v>
      </c>
      <c r="H69" s="25">
        <f t="shared" si="54"/>
        <v>0</v>
      </c>
      <c r="I69" s="25">
        <f t="shared" ref="I69" si="55">+SUM(I70:I71)</f>
        <v>0</v>
      </c>
      <c r="J69" s="23">
        <f t="shared" si="54"/>
        <v>0</v>
      </c>
      <c r="K69" s="24">
        <f t="shared" si="54"/>
        <v>0</v>
      </c>
      <c r="L69" s="33">
        <f t="shared" si="54"/>
        <v>9226652</v>
      </c>
      <c r="M69" s="22">
        <f t="shared" si="54"/>
        <v>5392470</v>
      </c>
      <c r="N69" s="33">
        <f t="shared" si="54"/>
        <v>0</v>
      </c>
      <c r="O69" s="22">
        <f t="shared" si="54"/>
        <v>0</v>
      </c>
      <c r="R69" s="1"/>
      <c r="S69" s="4"/>
      <c r="T69" s="4"/>
    </row>
    <row r="70" spans="4:20">
      <c r="D70" s="28" t="s">
        <v>7</v>
      </c>
      <c r="E70" s="36">
        <f>+雨汚水!E22-L70</f>
        <v>0</v>
      </c>
      <c r="F70" s="291">
        <v>0</v>
      </c>
      <c r="G70" s="209">
        <v>0</v>
      </c>
      <c r="H70" s="209">
        <v>0</v>
      </c>
      <c r="I70" s="209">
        <v>0</v>
      </c>
      <c r="J70" s="292">
        <v>0</v>
      </c>
      <c r="K70" s="35"/>
      <c r="L70" s="31">
        <f>+雨汚水!K22</f>
        <v>2483</v>
      </c>
      <c r="M70" s="208">
        <v>0</v>
      </c>
      <c r="N70" s="30"/>
      <c r="O70" s="29"/>
      <c r="R70" s="1"/>
      <c r="S70" s="4"/>
      <c r="T70" s="4"/>
    </row>
    <row r="71" spans="4:20">
      <c r="D71" s="28" t="s">
        <v>6</v>
      </c>
      <c r="E71" s="32">
        <f>+E24-L71</f>
        <v>0</v>
      </c>
      <c r="F71" s="26">
        <f t="shared" ref="F71:H71" si="56">+IFERROR(ROUND(F24*$K71/SUM($F24:$J24),0),0)</f>
        <v>0</v>
      </c>
      <c r="G71" s="25">
        <f t="shared" si="56"/>
        <v>0</v>
      </c>
      <c r="H71" s="25">
        <f t="shared" si="56"/>
        <v>0</v>
      </c>
      <c r="I71" s="25">
        <f t="shared" ref="I71" si="57">+IFERROR(ROUND(I24*$K71/SUM($F24:$J24),0),0)</f>
        <v>0</v>
      </c>
      <c r="J71" s="23">
        <f>+IFERROR(ROUND(J24*$K71/SUM($F24:$J24),0),0)</f>
        <v>0</v>
      </c>
      <c r="K71" s="24">
        <f>+K24-M71</f>
        <v>0</v>
      </c>
      <c r="L71" s="31">
        <f>+雨汚水!K23+雨汚水!K24</f>
        <v>9224169</v>
      </c>
      <c r="M71" s="22">
        <f>+IFERROR(ROUND(L71*K24/E24,0),0)</f>
        <v>5392470</v>
      </c>
      <c r="N71" s="30"/>
      <c r="O71" s="29"/>
      <c r="R71" s="1"/>
      <c r="S71" s="4"/>
      <c r="T71" s="4"/>
    </row>
    <row r="72" spans="4:20">
      <c r="D72" s="28"/>
      <c r="E72" s="32"/>
      <c r="F72" s="26"/>
      <c r="G72" s="25"/>
      <c r="H72" s="25"/>
      <c r="I72" s="25"/>
      <c r="J72" s="23"/>
      <c r="K72" s="24"/>
      <c r="L72" s="33"/>
      <c r="M72" s="22"/>
      <c r="N72" s="33"/>
      <c r="O72" s="22"/>
      <c r="R72" s="1"/>
      <c r="S72" s="4"/>
      <c r="T72" s="4"/>
    </row>
    <row r="73" spans="4:20">
      <c r="D73" s="28" t="s">
        <v>5</v>
      </c>
      <c r="E73" s="32">
        <f t="shared" ref="E73:O73" si="58">+SUM(E74:E75)</f>
        <v>6760</v>
      </c>
      <c r="F73" s="26">
        <f t="shared" si="58"/>
        <v>0</v>
      </c>
      <c r="G73" s="25">
        <f t="shared" si="58"/>
        <v>0</v>
      </c>
      <c r="H73" s="25">
        <f t="shared" si="58"/>
        <v>10</v>
      </c>
      <c r="I73" s="25">
        <f t="shared" ref="I73" si="59">+SUM(I74:I75)</f>
        <v>0</v>
      </c>
      <c r="J73" s="23">
        <f t="shared" si="58"/>
        <v>6735</v>
      </c>
      <c r="K73" s="24">
        <f t="shared" si="58"/>
        <v>6745</v>
      </c>
      <c r="L73" s="33">
        <f t="shared" si="58"/>
        <v>10673183</v>
      </c>
      <c r="M73" s="22">
        <f t="shared" si="58"/>
        <v>10648995</v>
      </c>
      <c r="N73" s="33">
        <f t="shared" si="58"/>
        <v>0</v>
      </c>
      <c r="O73" s="22">
        <f t="shared" si="58"/>
        <v>0</v>
      </c>
      <c r="R73" s="1"/>
      <c r="S73" s="4"/>
      <c r="T73" s="4"/>
    </row>
    <row r="74" spans="4:20">
      <c r="D74" s="28" t="s">
        <v>4</v>
      </c>
      <c r="E74" s="32">
        <f>+E28-L74</f>
        <v>6760</v>
      </c>
      <c r="F74" s="26">
        <f t="shared" ref="F74:H75" si="60">+IFERROR(ROUND(F28*$K74/SUM($F28:$J28),0),0)</f>
        <v>0</v>
      </c>
      <c r="G74" s="25">
        <f t="shared" si="60"/>
        <v>0</v>
      </c>
      <c r="H74" s="25">
        <f t="shared" si="60"/>
        <v>10</v>
      </c>
      <c r="I74" s="25">
        <f t="shared" ref="I74" si="61">+IFERROR(ROUND(I28*$K74/SUM($F28:$J28),0),0)</f>
        <v>0</v>
      </c>
      <c r="J74" s="23">
        <f>+IFERROR(ROUND(J28*$K74/SUM($F28:$J28),0),0)</f>
        <v>6735</v>
      </c>
      <c r="K74" s="24">
        <f>+K28-M74</f>
        <v>6745</v>
      </c>
      <c r="L74" s="31">
        <f>+雨汚水!K29</f>
        <v>10673183</v>
      </c>
      <c r="M74" s="22">
        <f>+IFERROR(ROUND(L74*K28/E28,0),0)</f>
        <v>10648995</v>
      </c>
      <c r="N74" s="30"/>
      <c r="O74" s="29"/>
      <c r="R74" s="1"/>
      <c r="S74" s="4"/>
      <c r="T74" s="4"/>
    </row>
    <row r="75" spans="4:20">
      <c r="D75" s="28" t="s">
        <v>3</v>
      </c>
      <c r="E75" s="32">
        <f>+E29-L75</f>
        <v>0</v>
      </c>
      <c r="F75" s="26">
        <f t="shared" si="60"/>
        <v>0</v>
      </c>
      <c r="G75" s="25">
        <f t="shared" si="60"/>
        <v>0</v>
      </c>
      <c r="H75" s="25">
        <f t="shared" si="60"/>
        <v>0</v>
      </c>
      <c r="I75" s="25">
        <f t="shared" ref="I75" si="62">+IFERROR(ROUND(I29*$K75/SUM($F29:$J29),0),0)</f>
        <v>0</v>
      </c>
      <c r="J75" s="23">
        <f>+IFERROR(ROUND(J29*$K75/SUM($F29:$J29),0),0)</f>
        <v>0</v>
      </c>
      <c r="K75" s="24">
        <f>+K29-M75</f>
        <v>0</v>
      </c>
      <c r="L75" s="31">
        <f>+雨汚水!E30</f>
        <v>0</v>
      </c>
      <c r="M75" s="22">
        <f>+IFERROR(ROUND(L75*K29/E29,0),0)</f>
        <v>0</v>
      </c>
      <c r="N75" s="30"/>
      <c r="O75" s="29"/>
      <c r="R75" s="1"/>
      <c r="S75" s="4"/>
      <c r="T75" s="4"/>
    </row>
    <row r="76" spans="4:20" ht="14.25" thickBot="1">
      <c r="D76" s="28"/>
      <c r="E76" s="27"/>
      <c r="F76" s="26"/>
      <c r="G76" s="25"/>
      <c r="H76" s="25"/>
      <c r="I76" s="25"/>
      <c r="J76" s="23"/>
      <c r="K76" s="24"/>
      <c r="L76" s="23"/>
      <c r="M76" s="22"/>
      <c r="N76" s="23"/>
      <c r="O76" s="22"/>
      <c r="R76" s="1"/>
      <c r="S76" s="1"/>
    </row>
    <row r="77" spans="4:20" ht="14.25" thickTop="1">
      <c r="D77" s="21" t="s">
        <v>2</v>
      </c>
      <c r="E77" s="20">
        <f t="shared" ref="E77:O77" si="63">+SUM(E53,E69,E73)</f>
        <v>3688030732</v>
      </c>
      <c r="F77" s="19">
        <f t="shared" si="63"/>
        <v>0</v>
      </c>
      <c r="G77" s="18">
        <f t="shared" si="63"/>
        <v>0</v>
      </c>
      <c r="H77" s="18">
        <f t="shared" si="63"/>
        <v>496324</v>
      </c>
      <c r="I77" s="18">
        <f t="shared" ref="I77" si="64">+SUM(I53,I69,I73)</f>
        <v>142297</v>
      </c>
      <c r="J77" s="16">
        <f t="shared" si="63"/>
        <v>2459479197</v>
      </c>
      <c r="K77" s="17">
        <f t="shared" si="63"/>
        <v>2460117818</v>
      </c>
      <c r="L77" s="16">
        <f t="shared" si="63"/>
        <v>7836808300</v>
      </c>
      <c r="M77" s="15">
        <f t="shared" si="63"/>
        <v>6563799261</v>
      </c>
      <c r="N77" s="16">
        <f t="shared" si="63"/>
        <v>107352503</v>
      </c>
      <c r="O77" s="15">
        <f t="shared" si="63"/>
        <v>22835037</v>
      </c>
      <c r="R77" s="1"/>
      <c r="S77" s="1"/>
    </row>
    <row r="78" spans="4:20" ht="14.25" thickBot="1">
      <c r="D78" s="14" t="s">
        <v>1</v>
      </c>
      <c r="E78" s="13">
        <f t="shared" ref="E78:O78" si="65">+E77</f>
        <v>3688030732</v>
      </c>
      <c r="F78" s="12">
        <f t="shared" si="65"/>
        <v>0</v>
      </c>
      <c r="G78" s="11">
        <f t="shared" si="65"/>
        <v>0</v>
      </c>
      <c r="H78" s="11">
        <f t="shared" si="65"/>
        <v>496324</v>
      </c>
      <c r="I78" s="11">
        <f t="shared" ref="I78" si="66">+I77</f>
        <v>142297</v>
      </c>
      <c r="J78" s="10">
        <f t="shared" si="65"/>
        <v>2459479197</v>
      </c>
      <c r="K78" s="9">
        <f t="shared" si="65"/>
        <v>2460117818</v>
      </c>
      <c r="L78" s="8">
        <f t="shared" si="65"/>
        <v>7836808300</v>
      </c>
      <c r="M78" s="7">
        <f t="shared" si="65"/>
        <v>6563799261</v>
      </c>
      <c r="N78" s="8">
        <f t="shared" si="65"/>
        <v>107352503</v>
      </c>
      <c r="O78" s="7">
        <f t="shared" si="65"/>
        <v>22835037</v>
      </c>
      <c r="R78" s="1"/>
      <c r="S78" s="1"/>
    </row>
    <row r="79" spans="4:20">
      <c r="E79" s="4">
        <f t="shared" ref="E79:O79" si="67">+E78-E77</f>
        <v>0</v>
      </c>
      <c r="F79" s="4">
        <f t="shared" si="67"/>
        <v>0</v>
      </c>
      <c r="G79" s="4">
        <f t="shared" si="67"/>
        <v>0</v>
      </c>
      <c r="H79" s="4">
        <f t="shared" si="67"/>
        <v>0</v>
      </c>
      <c r="I79" s="4">
        <f t="shared" ref="I79" si="68">+I78-I77</f>
        <v>0</v>
      </c>
      <c r="J79" s="4">
        <f t="shared" si="67"/>
        <v>0</v>
      </c>
      <c r="K79" s="4">
        <f t="shared" si="67"/>
        <v>0</v>
      </c>
      <c r="L79" s="4">
        <f t="shared" si="67"/>
        <v>0</v>
      </c>
      <c r="M79" s="4">
        <f t="shared" si="67"/>
        <v>0</v>
      </c>
      <c r="N79" s="4">
        <f t="shared" si="67"/>
        <v>0</v>
      </c>
      <c r="O79" s="4">
        <f t="shared" si="67"/>
        <v>0</v>
      </c>
      <c r="P79" s="1"/>
      <c r="Q79" s="1"/>
      <c r="R79" s="1"/>
      <c r="S79" s="1"/>
    </row>
    <row r="81" spans="4:14">
      <c r="N81" s="6" t="s">
        <v>0</v>
      </c>
    </row>
    <row r="82" spans="4:14">
      <c r="N82" s="5">
        <f>+E77+L77+N77-雨汚水!E47</f>
        <v>-10315355</v>
      </c>
    </row>
    <row r="83" spans="4:14">
      <c r="E83" s="4"/>
    </row>
    <row r="84" spans="4:14" ht="14.25" thickBot="1">
      <c r="D84" s="1" t="s">
        <v>600</v>
      </c>
    </row>
    <row r="85" spans="4:14">
      <c r="D85" s="296" t="s">
        <v>28</v>
      </c>
      <c r="E85" s="299"/>
      <c r="F85" s="300"/>
      <c r="G85" s="300"/>
      <c r="H85" s="300"/>
      <c r="I85" s="300"/>
      <c r="J85" s="300"/>
      <c r="K85" s="301"/>
    </row>
    <row r="86" spans="4:14">
      <c r="D86" s="297"/>
      <c r="E86" s="302" t="s">
        <v>0</v>
      </c>
      <c r="F86" s="304" t="s">
        <v>24</v>
      </c>
      <c r="G86" s="305"/>
      <c r="H86" s="305"/>
      <c r="I86" s="305"/>
      <c r="J86" s="305"/>
      <c r="K86" s="306"/>
    </row>
    <row r="87" spans="4:14">
      <c r="D87" s="298"/>
      <c r="E87" s="303"/>
      <c r="F87" s="53">
        <v>3</v>
      </c>
      <c r="G87" s="52">
        <v>5</v>
      </c>
      <c r="H87" s="52">
        <v>8</v>
      </c>
      <c r="I87" s="268">
        <v>8</v>
      </c>
      <c r="J87" s="264">
        <v>10</v>
      </c>
      <c r="K87" s="50" t="s">
        <v>2</v>
      </c>
    </row>
    <row r="88" spans="4:14">
      <c r="D88" s="28" t="s">
        <v>559</v>
      </c>
      <c r="E88" s="252">
        <f>+災害伝票!BB4</f>
        <v>0</v>
      </c>
      <c r="F88" s="253">
        <f>+災害伝票!AU4</f>
        <v>0</v>
      </c>
      <c r="G88" s="160">
        <f>+災害伝票!AV4</f>
        <v>0</v>
      </c>
      <c r="H88" s="160">
        <f>+災害伝票!AW4</f>
        <v>0</v>
      </c>
      <c r="I88" s="160">
        <f>+災害伝票!AX4</f>
        <v>0</v>
      </c>
      <c r="J88" s="254">
        <f>+災害伝票!AY4</f>
        <v>0</v>
      </c>
      <c r="K88" s="24">
        <f>SUM(F88:J88)</f>
        <v>0</v>
      </c>
    </row>
    <row r="89" spans="4:14">
      <c r="D89" s="28" t="s">
        <v>560</v>
      </c>
      <c r="E89" s="252">
        <f>+災害伝票!BB5</f>
        <v>0</v>
      </c>
      <c r="F89" s="253">
        <f>+災害伝票!AU5</f>
        <v>0</v>
      </c>
      <c r="G89" s="160">
        <f>+災害伝票!AV5</f>
        <v>0</v>
      </c>
      <c r="H89" s="160">
        <f>+災害伝票!AW5</f>
        <v>0</v>
      </c>
      <c r="I89" s="160">
        <f>+災害伝票!AX5</f>
        <v>0</v>
      </c>
      <c r="J89" s="254">
        <f>+災害伝票!AY5</f>
        <v>0</v>
      </c>
      <c r="K89" s="24">
        <f t="shared" ref="K89:K93" si="69">SUM(F89:J89)</f>
        <v>0</v>
      </c>
    </row>
    <row r="90" spans="4:14">
      <c r="D90" s="28" t="s">
        <v>561</v>
      </c>
      <c r="E90" s="252">
        <f>+災害伝票!BB6</f>
        <v>0</v>
      </c>
      <c r="F90" s="253">
        <f>+災害伝票!AU6</f>
        <v>0</v>
      </c>
      <c r="G90" s="160">
        <f>+災害伝票!AV6</f>
        <v>0</v>
      </c>
      <c r="H90" s="160">
        <f>+災害伝票!AW6</f>
        <v>0</v>
      </c>
      <c r="I90" s="160">
        <f>+災害伝票!AX6</f>
        <v>0</v>
      </c>
      <c r="J90" s="254">
        <f>+災害伝票!AY6</f>
        <v>0</v>
      </c>
      <c r="K90" s="24">
        <f t="shared" si="69"/>
        <v>0</v>
      </c>
    </row>
    <row r="91" spans="4:14">
      <c r="D91" s="28" t="s">
        <v>601</v>
      </c>
      <c r="E91" s="252">
        <f>+災害伝票!BB7</f>
        <v>0</v>
      </c>
      <c r="F91" s="253">
        <f>+災害伝票!AU7</f>
        <v>0</v>
      </c>
      <c r="G91" s="160">
        <f>+災害伝票!AV7</f>
        <v>0</v>
      </c>
      <c r="H91" s="160">
        <f>+災害伝票!AW7</f>
        <v>0</v>
      </c>
      <c r="I91" s="160">
        <f>+災害伝票!AX7</f>
        <v>0</v>
      </c>
      <c r="J91" s="254">
        <f>+災害伝票!AY7</f>
        <v>0</v>
      </c>
      <c r="K91" s="24">
        <f t="shared" si="69"/>
        <v>0</v>
      </c>
    </row>
    <row r="92" spans="4:14">
      <c r="D92" s="28" t="s">
        <v>602</v>
      </c>
      <c r="E92" s="252">
        <f>+災害伝票!BB8</f>
        <v>0</v>
      </c>
      <c r="F92" s="253">
        <f>+災害伝票!AU8</f>
        <v>0</v>
      </c>
      <c r="G92" s="160">
        <f>+災害伝票!AV8</f>
        <v>0</v>
      </c>
      <c r="H92" s="160">
        <f>+災害伝票!AW8</f>
        <v>0</v>
      </c>
      <c r="I92" s="160">
        <f>+災害伝票!AX8</f>
        <v>0</v>
      </c>
      <c r="J92" s="254">
        <f>+災害伝票!AY8</f>
        <v>0</v>
      </c>
      <c r="K92" s="24">
        <f t="shared" si="69"/>
        <v>0</v>
      </c>
    </row>
    <row r="93" spans="4:14" ht="14.25" thickBot="1">
      <c r="D93" s="28" t="s">
        <v>603</v>
      </c>
      <c r="E93" s="255">
        <f>+災害伝票!BB9</f>
        <v>0</v>
      </c>
      <c r="F93" s="253">
        <f>+災害伝票!AU9</f>
        <v>0</v>
      </c>
      <c r="G93" s="160">
        <f>+災害伝票!AV9</f>
        <v>0</v>
      </c>
      <c r="H93" s="160">
        <f>+災害伝票!AW9</f>
        <v>0</v>
      </c>
      <c r="I93" s="160">
        <f>+災害伝票!AX9</f>
        <v>0</v>
      </c>
      <c r="J93" s="254">
        <f>+災害伝票!AY9</f>
        <v>0</v>
      </c>
      <c r="K93" s="24">
        <f t="shared" si="69"/>
        <v>0</v>
      </c>
    </row>
    <row r="94" spans="4:14" ht="14.25" thickTop="1">
      <c r="D94" s="21" t="s">
        <v>2</v>
      </c>
      <c r="E94" s="20">
        <f>SUM(E88:E93)</f>
        <v>0</v>
      </c>
      <c r="F94" s="19">
        <f t="shared" ref="F94:K94" si="70">SUM(F88:F93)</f>
        <v>0</v>
      </c>
      <c r="G94" s="18">
        <f t="shared" si="70"/>
        <v>0</v>
      </c>
      <c r="H94" s="18">
        <f t="shared" si="70"/>
        <v>0</v>
      </c>
      <c r="I94" s="18">
        <f t="shared" ref="I94" si="71">SUM(I88:I93)</f>
        <v>0</v>
      </c>
      <c r="J94" s="16">
        <f t="shared" si="70"/>
        <v>0</v>
      </c>
      <c r="K94" s="17">
        <f t="shared" si="70"/>
        <v>0</v>
      </c>
    </row>
    <row r="95" spans="4:14" ht="14.25" thickBot="1">
      <c r="D95" s="14"/>
      <c r="E95" s="13"/>
      <c r="F95" s="12"/>
      <c r="G95" s="11"/>
      <c r="H95" s="11"/>
      <c r="I95" s="11"/>
      <c r="J95" s="10"/>
      <c r="K95" s="9"/>
    </row>
    <row r="97" spans="4:11" ht="14.25" thickBot="1">
      <c r="D97" s="1" t="s">
        <v>604</v>
      </c>
    </row>
    <row r="98" spans="4:11">
      <c r="D98" s="296" t="s">
        <v>28</v>
      </c>
      <c r="E98" s="299"/>
      <c r="F98" s="300"/>
      <c r="G98" s="300"/>
      <c r="H98" s="300"/>
      <c r="I98" s="300"/>
      <c r="J98" s="300"/>
      <c r="K98" s="301"/>
    </row>
    <row r="99" spans="4:11">
      <c r="D99" s="297"/>
      <c r="E99" s="302" t="s">
        <v>0</v>
      </c>
      <c r="F99" s="304" t="s">
        <v>24</v>
      </c>
      <c r="G99" s="305"/>
      <c r="H99" s="305"/>
      <c r="I99" s="305"/>
      <c r="J99" s="305"/>
      <c r="K99" s="306"/>
    </row>
    <row r="100" spans="4:11">
      <c r="D100" s="298"/>
      <c r="E100" s="303"/>
      <c r="F100" s="53">
        <v>3</v>
      </c>
      <c r="G100" s="52">
        <v>5</v>
      </c>
      <c r="H100" s="52">
        <v>8</v>
      </c>
      <c r="I100" s="268">
        <v>8</v>
      </c>
      <c r="J100" s="264">
        <v>10</v>
      </c>
      <c r="K100" s="50" t="s">
        <v>2</v>
      </c>
    </row>
    <row r="101" spans="4:11">
      <c r="D101" s="28" t="s">
        <v>559</v>
      </c>
      <c r="E101" s="252">
        <f>+災害伝票!BJ4</f>
        <v>0</v>
      </c>
      <c r="F101" s="253">
        <f>+災害伝票!BC4</f>
        <v>0</v>
      </c>
      <c r="G101" s="160">
        <f>+災害伝票!BD4</f>
        <v>0</v>
      </c>
      <c r="H101" s="160">
        <f>+災害伝票!BE4</f>
        <v>0</v>
      </c>
      <c r="I101" s="160">
        <f>+災害伝票!BF4</f>
        <v>0</v>
      </c>
      <c r="J101" s="254">
        <f>+災害伝票!BG4</f>
        <v>0</v>
      </c>
      <c r="K101" s="24">
        <f>SUM(F101:J101)</f>
        <v>0</v>
      </c>
    </row>
    <row r="102" spans="4:11">
      <c r="D102" s="28" t="s">
        <v>560</v>
      </c>
      <c r="E102" s="252">
        <f>+災害伝票!BJ5</f>
        <v>0</v>
      </c>
      <c r="F102" s="253">
        <f>+災害伝票!BC5</f>
        <v>0</v>
      </c>
      <c r="G102" s="160">
        <f>+災害伝票!BD5</f>
        <v>0</v>
      </c>
      <c r="H102" s="160">
        <f>+災害伝票!BE5</f>
        <v>0</v>
      </c>
      <c r="I102" s="160">
        <f>+災害伝票!BF5</f>
        <v>0</v>
      </c>
      <c r="J102" s="254">
        <f>+災害伝票!BG5</f>
        <v>0</v>
      </c>
      <c r="K102" s="24">
        <f t="shared" ref="K102:K106" si="72">SUM(F102:J102)</f>
        <v>0</v>
      </c>
    </row>
    <row r="103" spans="4:11">
      <c r="D103" s="28" t="s">
        <v>561</v>
      </c>
      <c r="E103" s="252">
        <f>+災害伝票!BJ6</f>
        <v>0</v>
      </c>
      <c r="F103" s="253">
        <f>+災害伝票!BC6</f>
        <v>0</v>
      </c>
      <c r="G103" s="160">
        <f>+災害伝票!BD6</f>
        <v>0</v>
      </c>
      <c r="H103" s="160">
        <f>+災害伝票!BE6</f>
        <v>0</v>
      </c>
      <c r="I103" s="160">
        <f>+災害伝票!BF6</f>
        <v>0</v>
      </c>
      <c r="J103" s="254">
        <f>+災害伝票!BG6</f>
        <v>0</v>
      </c>
      <c r="K103" s="24">
        <f t="shared" si="72"/>
        <v>0</v>
      </c>
    </row>
    <row r="104" spans="4:11">
      <c r="D104" s="28" t="s">
        <v>601</v>
      </c>
      <c r="E104" s="252">
        <f>+災害伝票!BJ7</f>
        <v>0</v>
      </c>
      <c r="F104" s="253">
        <f>+災害伝票!BC7</f>
        <v>0</v>
      </c>
      <c r="G104" s="160">
        <f>+災害伝票!BD7</f>
        <v>0</v>
      </c>
      <c r="H104" s="160">
        <f>+災害伝票!BE7</f>
        <v>0</v>
      </c>
      <c r="I104" s="160">
        <f>+災害伝票!BF7</f>
        <v>0</v>
      </c>
      <c r="J104" s="254">
        <f>+災害伝票!BG7</f>
        <v>0</v>
      </c>
      <c r="K104" s="24">
        <f t="shared" si="72"/>
        <v>0</v>
      </c>
    </row>
    <row r="105" spans="4:11">
      <c r="D105" s="28" t="s">
        <v>602</v>
      </c>
      <c r="E105" s="252">
        <f>+災害伝票!BJ8</f>
        <v>0</v>
      </c>
      <c r="F105" s="253">
        <f>+災害伝票!BC8</f>
        <v>0</v>
      </c>
      <c r="G105" s="160">
        <f>+災害伝票!BD8</f>
        <v>0</v>
      </c>
      <c r="H105" s="160">
        <f>+災害伝票!BE8</f>
        <v>0</v>
      </c>
      <c r="I105" s="160">
        <f>+災害伝票!BF8</f>
        <v>0</v>
      </c>
      <c r="J105" s="254">
        <f>+災害伝票!BG8</f>
        <v>0</v>
      </c>
      <c r="K105" s="24">
        <f t="shared" si="72"/>
        <v>0</v>
      </c>
    </row>
    <row r="106" spans="4:11" ht="14.25" thickBot="1">
      <c r="D106" s="28" t="s">
        <v>603</v>
      </c>
      <c r="E106" s="255">
        <f>+災害伝票!BJ9</f>
        <v>0</v>
      </c>
      <c r="F106" s="253">
        <f>+災害伝票!BC9</f>
        <v>0</v>
      </c>
      <c r="G106" s="160">
        <f>+災害伝票!BD9</f>
        <v>0</v>
      </c>
      <c r="H106" s="160">
        <f>+災害伝票!BE9</f>
        <v>0</v>
      </c>
      <c r="I106" s="160">
        <f>+災害伝票!BF9</f>
        <v>0</v>
      </c>
      <c r="J106" s="254">
        <f>+災害伝票!BG9</f>
        <v>0</v>
      </c>
      <c r="K106" s="24">
        <f t="shared" si="72"/>
        <v>0</v>
      </c>
    </row>
    <row r="107" spans="4:11" ht="14.25" thickTop="1">
      <c r="D107" s="21" t="s">
        <v>2</v>
      </c>
      <c r="E107" s="20">
        <f>SUM(E101:E106)</f>
        <v>0</v>
      </c>
      <c r="F107" s="19">
        <f t="shared" ref="F107:K107" si="73">SUM(F101:F106)</f>
        <v>0</v>
      </c>
      <c r="G107" s="18">
        <f t="shared" si="73"/>
        <v>0</v>
      </c>
      <c r="H107" s="18">
        <f t="shared" si="73"/>
        <v>0</v>
      </c>
      <c r="I107" s="18">
        <f t="shared" ref="I107" si="74">SUM(I101:I106)</f>
        <v>0</v>
      </c>
      <c r="J107" s="16">
        <f t="shared" si="73"/>
        <v>0</v>
      </c>
      <c r="K107" s="17">
        <f t="shared" si="73"/>
        <v>0</v>
      </c>
    </row>
    <row r="108" spans="4:11" ht="14.25" thickBot="1">
      <c r="D108" s="14"/>
      <c r="E108" s="13"/>
      <c r="F108" s="12"/>
      <c r="G108" s="11"/>
      <c r="H108" s="11"/>
      <c r="I108" s="11"/>
      <c r="J108" s="10"/>
      <c r="K108" s="9"/>
    </row>
  </sheetData>
  <mergeCells count="32">
    <mergeCell ref="E51:E52"/>
    <mergeCell ref="F51:K51"/>
    <mergeCell ref="E50:K50"/>
    <mergeCell ref="A3:A4"/>
    <mergeCell ref="B3:B4"/>
    <mergeCell ref="C3:C4"/>
    <mergeCell ref="D3:D4"/>
    <mergeCell ref="E3:E4"/>
    <mergeCell ref="D50:D52"/>
    <mergeCell ref="F3:K3"/>
    <mergeCell ref="N51:N52"/>
    <mergeCell ref="U3:Y3"/>
    <mergeCell ref="Z3:AD3"/>
    <mergeCell ref="AE3:AI3"/>
    <mergeCell ref="L3:L4"/>
    <mergeCell ref="M3:M4"/>
    <mergeCell ref="N3:S3"/>
    <mergeCell ref="T3:T4"/>
    <mergeCell ref="U47:Z49"/>
    <mergeCell ref="L51:L52"/>
    <mergeCell ref="O51:O52"/>
    <mergeCell ref="L50:M50"/>
    <mergeCell ref="M51:M52"/>
    <mergeCell ref="N50:O50"/>
    <mergeCell ref="D85:D87"/>
    <mergeCell ref="E85:K85"/>
    <mergeCell ref="E86:E87"/>
    <mergeCell ref="F86:K86"/>
    <mergeCell ref="D98:D100"/>
    <mergeCell ref="E98:K98"/>
    <mergeCell ref="E99:E100"/>
    <mergeCell ref="F99:K99"/>
  </mergeCells>
  <phoneticPr fontId="3"/>
  <conditionalFormatting sqref="AE36:AI37">
    <cfRule type="notContainsBlanks" dxfId="109" priority="5" stopIfTrue="1">
      <formula>LEN(TRIM(AE36))&gt;0</formula>
    </cfRule>
  </conditionalFormatting>
  <conditionalFormatting sqref="AE5:AI35">
    <cfRule type="notContainsBlanks" dxfId="108" priority="4" stopIfTrue="1">
      <formula>LEN(TRIM(AE5))&gt;0</formula>
    </cfRule>
  </conditionalFormatting>
  <conditionalFormatting sqref="Z18:AD35 Z5:AD14">
    <cfRule type="expression" dxfId="107" priority="3">
      <formula>ABS(Z5)=1</formula>
    </cfRule>
  </conditionalFormatting>
  <conditionalFormatting sqref="Z15:AD17">
    <cfRule type="expression" dxfId="106" priority="2">
      <formula>ABS(Z15)=1</formula>
    </cfRule>
  </conditionalFormatting>
  <conditionalFormatting sqref="E43:S43">
    <cfRule type="cellIs" dxfId="105" priority="1" operator="notEqual">
      <formula>0</formula>
    </cfRule>
  </conditionalFormatting>
  <printOptions horizontalCentered="1"/>
  <pageMargins left="0.19685039370078741" right="0.19685039370078741" top="0.78740157480314965" bottom="0.39370078740157483" header="0.39370078740157483" footer="0.19685039370078741"/>
  <pageSetup paperSize="9" scale="66" fitToHeight="0" orientation="landscape" blackAndWhite="1" r:id="rId1"/>
  <headerFooter>
    <oddFooter>&amp;L&amp;8&amp;Z&amp;F&amp;A&amp;R&amp;8&amp;D&amp;T</oddFooter>
  </headerFooter>
  <rowBreaks count="1" manualBreakCount="1">
    <brk id="47" min="3" max="17" man="1"/>
  </rowBreaks>
  <drawing r:id="rId2"/>
  <legacyDrawing r:id="rId3"/>
</worksheet>
</file>

<file path=xl/worksheets/w1_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114</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113</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111</v>
      </c>
      <c r="C6" s="163"/>
      <c r="D6" s="162" t="s">
        <v>110</v>
      </c>
      <c r="E6" s="158">
        <f>+IF($A6="",IF($C6="",SUMIFS(全伝票!I:I,全伝票!$B:$B,$B6),SUMIFS(全伝票!I:I,全伝票!$C:$C,$C6)),IF($C6="",SUMIFS(全伝票!I:I,全伝票!$A:$A,$A6,全伝票!$B:$B,$B6),SUMIFS(全伝票!I:I,全伝票!$A:$A,$A6,全伝票!$C:$C,$C6)))</f>
        <v>39580800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39580800</v>
      </c>
      <c r="N6" s="108">
        <f t="shared" si="1"/>
        <v>0</v>
      </c>
      <c r="O6" s="25">
        <f t="shared" si="3"/>
        <v>0</v>
      </c>
      <c r="P6" s="25">
        <f t="shared" si="2"/>
        <v>0</v>
      </c>
      <c r="Q6" s="157">
        <f t="shared" si="3"/>
        <v>0</v>
      </c>
      <c r="R6" s="157">
        <f t="shared" si="4"/>
        <v>0</v>
      </c>
      <c r="S6" s="22">
        <f t="shared" si="5"/>
        <v>0</v>
      </c>
      <c r="T6" s="109">
        <f t="shared" si="6"/>
        <v>39580800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109</v>
      </c>
      <c r="C7" s="163"/>
      <c r="D7" s="162" t="s">
        <v>108</v>
      </c>
      <c r="E7" s="158">
        <f>+IF($A7="",IF($C7="",SUMIFS(全伝票!I:I,全伝票!$B:$B,$B7),SUMIFS(全伝票!I:I,全伝票!$C:$C,$C7)),IF($C7="",SUMIFS(全伝票!I:I,全伝票!$A:$A,$A7,全伝票!$B:$B,$B7),SUMIFS(全伝票!I:I,全伝票!$A:$A,$A7,全伝票!$C:$C,$C7)))</f>
        <v>28582995</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1117260</v>
      </c>
      <c r="K7" s="34">
        <f t="shared" si="0"/>
        <v>1117260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27465735</v>
      </c>
      <c r="N7" s="108">
        <f t="shared" si="1"/>
        <v>0</v>
      </c>
      <c r="O7" s="25">
        <f t="shared" si="3"/>
        <v>0</v>
      </c>
      <c r="P7" s="25">
        <f t="shared" si="2"/>
        <v>0</v>
      </c>
      <c r="Q7" s="157">
        <f t="shared" si="3"/>
        <v>0</v>
      </c>
      <c r="R7" s="157">
        <f t="shared" si="4"/>
        <v>101569</v>
      </c>
      <c r="S7" s="22">
        <f t="shared" si="5"/>
        <v>101569</v>
      </c>
      <c r="T7" s="109">
        <f t="shared" si="6"/>
        <v>28481426</v>
      </c>
      <c r="U7" s="107">
        <f t="shared" si="7"/>
        <v>0</v>
      </c>
      <c r="V7" s="107">
        <f t="shared" si="8"/>
        <v>0</v>
      </c>
      <c r="W7" s="107">
        <f t="shared" si="9"/>
        <v>0</v>
      </c>
      <c r="X7" s="107">
        <f t="shared" si="9"/>
        <v>0</v>
      </c>
      <c r="Y7" s="107">
        <f t="shared" si="10"/>
        <v>-9.0909090911736712E-2</v>
      </c>
      <c r="Z7" s="106">
        <f t="shared" si="11"/>
        <v>0</v>
      </c>
      <c r="AA7" s="106">
        <f t="shared" si="12"/>
        <v>0</v>
      </c>
      <c r="AB7" s="106">
        <f t="shared" si="13"/>
        <v>0</v>
      </c>
      <c r="AC7" s="106">
        <f t="shared" si="13"/>
        <v>0</v>
      </c>
      <c r="AD7" s="106">
        <f t="shared" si="14"/>
        <v>0</v>
      </c>
    </row>
    <row r="8" spans="1:35">
      <c r="A8" s="165">
        <v>1</v>
      </c>
      <c r="B8" s="164" t="s">
        <v>107</v>
      </c>
      <c r="C8" s="163"/>
      <c r="D8" s="162" t="s">
        <v>106</v>
      </c>
      <c r="E8" s="158">
        <f>+IF($A8="",IF($C8="",SUMIFS(全伝票!I:I,全伝票!$B:$B,$B8),SUMIFS(全伝票!I:I,全伝票!$C:$C,$C8)),IF($C8="",SUMIFS(全伝票!I:I,全伝票!$A:$A,$A8,全伝票!$B:$B,$B8),SUMIFS(全伝票!I:I,全伝票!$A:$A,$A8,全伝票!$C:$C,$C8)))</f>
        <v>13837163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13772507</v>
      </c>
      <c r="M8" s="158">
        <f>+IF($A8="",IF($C8="",SUMIFS(全伝票!P:P,全伝票!$B:$B,$B8),SUMIFS(全伝票!P:P,全伝票!$C:$C,$C8)),IF($C8="",SUMIFS(全伝票!P:P,全伝票!$A:$A,$A8,全伝票!$B:$B,$B8),SUMIFS(全伝票!P:P,全伝票!$A:$A,$A8,全伝票!$C:$C,$C8)))</f>
        <v>64656</v>
      </c>
      <c r="N8" s="108">
        <f t="shared" si="1"/>
        <v>0</v>
      </c>
      <c r="O8" s="25">
        <f t="shared" si="3"/>
        <v>0</v>
      </c>
      <c r="P8" s="25">
        <f t="shared" si="2"/>
        <v>0</v>
      </c>
      <c r="Q8" s="157">
        <f t="shared" si="3"/>
        <v>0</v>
      </c>
      <c r="R8" s="157">
        <f t="shared" si="4"/>
        <v>0</v>
      </c>
      <c r="S8" s="22">
        <f t="shared" si="5"/>
        <v>0</v>
      </c>
      <c r="T8" s="109">
        <f t="shared" si="6"/>
        <v>13837163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105</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103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101</v>
      </c>
      <c r="C11" s="163"/>
      <c r="D11" s="162" t="s">
        <v>100</v>
      </c>
      <c r="E11" s="158">
        <f>+IF($A11="",IF($C11="",SUMIFS(全伝票!I:I,全伝票!$B:$B,$B11),SUMIFS(全伝票!I:I,全伝票!$C:$C,$C11)),IF($C11="",SUMIFS(全伝票!I:I,全伝票!$A:$A,$A11,全伝票!$B:$B,$B11),SUMIFS(全伝票!I:I,全伝票!$A:$A,$A11,全伝票!$C:$C,$C11)))</f>
        <v>45200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45200</v>
      </c>
      <c r="K11" s="34">
        <f t="shared" si="0"/>
        <v>45200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4109</v>
      </c>
      <c r="S11" s="22">
        <f t="shared" si="5"/>
        <v>4109</v>
      </c>
      <c r="T11" s="109">
        <f t="shared" si="6"/>
        <v>41091</v>
      </c>
      <c r="U11" s="107">
        <f t="shared" si="7"/>
        <v>0</v>
      </c>
      <c r="V11" s="107">
        <f t="shared" si="8"/>
        <v>0</v>
      </c>
      <c r="W11" s="107">
        <f t="shared" si="9"/>
        <v>0</v>
      </c>
      <c r="X11" s="107">
        <f t="shared" si="9"/>
        <v>0</v>
      </c>
      <c r="Y11" s="107">
        <f t="shared" si="10"/>
        <v>-9.0909090909008228E-2</v>
      </c>
      <c r="Z11" s="106">
        <f t="shared" si="11"/>
        <v>0</v>
      </c>
      <c r="AA11" s="106">
        <f t="shared" si="12"/>
        <v>0</v>
      </c>
      <c r="AB11" s="106">
        <f t="shared" si="13"/>
        <v>0</v>
      </c>
      <c r="AC11" s="106">
        <f t="shared" si="13"/>
        <v>0</v>
      </c>
      <c r="AD11" s="106">
        <f t="shared" si="14"/>
        <v>0</v>
      </c>
    </row>
    <row r="12" spans="1:35">
      <c r="A12" s="165">
        <v>1</v>
      </c>
      <c r="B12" s="164" t="s">
        <v>97</v>
      </c>
      <c r="C12" s="163" t="s">
        <v>99</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97</v>
      </c>
      <c r="C13" s="163" t="s">
        <v>96</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94</v>
      </c>
      <c r="C14" s="163"/>
      <c r="D14" s="162" t="s">
        <v>93</v>
      </c>
      <c r="E14" s="158">
        <f>+IF($A14="",IF($C14="",SUMIFS(全伝票!I:I,全伝票!$B:$B,$B14),SUMIFS(全伝票!I:I,全伝票!$C:$C,$C14)),IF($C14="",SUMIFS(全伝票!I:I,全伝票!$A:$A,$A14,全伝票!$B:$B,$B14),SUMIFS(全伝票!I:I,全伝票!$A:$A,$A14,全伝票!$C:$C,$C14)))</f>
        <v>2612281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2612281</v>
      </c>
      <c r="K14" s="34">
        <f t="shared" si="0"/>
        <v>2612281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237480</v>
      </c>
      <c r="S14" s="22">
        <f t="shared" si="5"/>
        <v>237480</v>
      </c>
      <c r="T14" s="109">
        <f t="shared" si="6"/>
        <v>2374801</v>
      </c>
      <c r="U14" s="107">
        <f t="shared" si="7"/>
        <v>0</v>
      </c>
      <c r="V14" s="107">
        <f t="shared" si="8"/>
        <v>0</v>
      </c>
      <c r="W14" s="107">
        <f t="shared" si="9"/>
        <v>0</v>
      </c>
      <c r="X14" s="107">
        <f t="shared" si="9"/>
        <v>0</v>
      </c>
      <c r="Y14" s="107">
        <f t="shared" si="10"/>
        <v>-9.0909090911736712E-2</v>
      </c>
      <c r="Z14" s="106">
        <f t="shared" si="11"/>
        <v>0</v>
      </c>
      <c r="AA14" s="106">
        <f t="shared" si="12"/>
        <v>0</v>
      </c>
      <c r="AB14" s="106">
        <f t="shared" si="13"/>
        <v>0</v>
      </c>
      <c r="AC14" s="106">
        <f t="shared" si="13"/>
        <v>0</v>
      </c>
      <c r="AD14" s="106">
        <f t="shared" si="14"/>
        <v>0</v>
      </c>
    </row>
    <row r="15" spans="1:35">
      <c r="A15" s="165">
        <v>1</v>
      </c>
      <c r="B15" s="164" t="s">
        <v>92</v>
      </c>
      <c r="C15" s="163"/>
      <c r="D15" s="162" t="s">
        <v>91</v>
      </c>
      <c r="E15" s="158">
        <f>+IF($A15="",IF($C15="",SUMIFS(全伝票!I:I,全伝票!$B:$B,$B15),SUMIFS(全伝票!I:I,全伝票!$C:$C,$C15)),IF($C15="",SUMIFS(全伝票!I:I,全伝票!$A:$A,$A15,全伝票!$B:$B,$B15),SUMIFS(全伝票!I:I,全伝票!$A:$A,$A15,全伝票!$C:$C,$C15)))</f>
        <v>474482</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474482</v>
      </c>
      <c r="K15" s="34">
        <f t="shared" si="0"/>
        <v>474482</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43135</v>
      </c>
      <c r="S15" s="22">
        <f t="shared" si="5"/>
        <v>43135</v>
      </c>
      <c r="T15" s="109">
        <f t="shared" si="6"/>
        <v>431347</v>
      </c>
      <c r="U15" s="107">
        <f t="shared" si="7"/>
        <v>0</v>
      </c>
      <c r="V15" s="107">
        <f t="shared" si="8"/>
        <v>0</v>
      </c>
      <c r="W15" s="107">
        <f t="shared" si="9"/>
        <v>0</v>
      </c>
      <c r="X15" s="107">
        <f t="shared" si="9"/>
        <v>0</v>
      </c>
      <c r="Y15" s="107">
        <f t="shared" si="10"/>
        <v>0.27272727272793418</v>
      </c>
      <c r="Z15" s="106">
        <f t="shared" si="11"/>
        <v>0</v>
      </c>
      <c r="AA15" s="106">
        <f t="shared" si="12"/>
        <v>0</v>
      </c>
      <c r="AB15" s="106">
        <f t="shared" si="13"/>
        <v>0</v>
      </c>
      <c r="AC15" s="106">
        <f t="shared" si="13"/>
        <v>0</v>
      </c>
      <c r="AD15" s="106">
        <f t="shared" si="14"/>
        <v>0</v>
      </c>
    </row>
    <row r="16" spans="1:35">
      <c r="A16" s="165">
        <v>1</v>
      </c>
      <c r="B16" s="164" t="s">
        <v>90</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88</v>
      </c>
      <c r="C17" s="163"/>
      <c r="D17" s="162" t="s">
        <v>87</v>
      </c>
      <c r="E17" s="158">
        <f>+IF($A17="",IF($C17="",SUMIFS(全伝票!I:I,全伝票!$B:$B,$B17),SUMIFS(全伝票!I:I,全伝票!$C:$C,$C17)),IF($C17="",SUMIFS(全伝票!I:I,全伝票!$A:$A,$A17,全伝票!$B:$B,$B17),SUMIFS(全伝票!I:I,全伝票!$A:$A,$A17,全伝票!$C:$C,$C17)))</f>
        <v>650162</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650162</v>
      </c>
      <c r="K17" s="34">
        <f t="shared" si="0"/>
        <v>650162</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59106</v>
      </c>
      <c r="S17" s="22">
        <f t="shared" si="5"/>
        <v>59106</v>
      </c>
      <c r="T17" s="109">
        <f t="shared" si="6"/>
        <v>591056</v>
      </c>
      <c r="U17" s="107">
        <f t="shared" si="7"/>
        <v>0</v>
      </c>
      <c r="V17" s="107">
        <f t="shared" si="8"/>
        <v>0</v>
      </c>
      <c r="W17" s="107">
        <f t="shared" si="9"/>
        <v>0</v>
      </c>
      <c r="X17" s="107">
        <f t="shared" si="9"/>
        <v>0</v>
      </c>
      <c r="Y17" s="107">
        <f t="shared" si="10"/>
        <v>0.36363636363967089</v>
      </c>
      <c r="Z17" s="106">
        <f t="shared" si="11"/>
        <v>0</v>
      </c>
      <c r="AA17" s="106">
        <f t="shared" si="12"/>
        <v>0</v>
      </c>
      <c r="AB17" s="106">
        <f t="shared" si="13"/>
        <v>0</v>
      </c>
      <c r="AC17" s="106">
        <f t="shared" si="13"/>
        <v>0</v>
      </c>
      <c r="AD17" s="106">
        <f t="shared" si="14"/>
        <v>0</v>
      </c>
    </row>
    <row r="18" spans="1:30">
      <c r="A18" s="165">
        <v>1</v>
      </c>
      <c r="B18" s="164" t="s">
        <v>86</v>
      </c>
      <c r="C18" s="163"/>
      <c r="D18" s="162" t="s">
        <v>85</v>
      </c>
      <c r="E18" s="158">
        <f>+IF($A18="",IF($C18="",SUMIFS(全伝票!I:I,全伝票!$B:$B,$B18),SUMIFS(全伝票!I:I,全伝票!$C:$C,$C18)),IF($C18="",SUMIFS(全伝票!I:I,全伝票!$A:$A,$A18,全伝票!$B:$B,$B18),SUMIFS(全伝票!I:I,全伝票!$A:$A,$A18,全伝票!$C:$C,$C18)))</f>
        <v>19480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11880</v>
      </c>
      <c r="K18" s="34">
        <f t="shared" si="0"/>
        <v>11880</v>
      </c>
      <c r="L18" s="158">
        <f>+IF($A18="",IF($C18="",SUMIFS(全伝票!O:O,全伝票!$B:$B,$B18),SUMIFS(全伝票!O:O,全伝票!$C:$C,$C18)),IF($C18="",SUMIFS(全伝票!O:O,全伝票!$A:$A,$A18,全伝票!$B:$B,$B18),SUMIFS(全伝票!O:O,全伝票!$A:$A,$A18,全伝票!$C:$C,$C18)))</f>
        <v>7600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1080</v>
      </c>
      <c r="S18" s="22">
        <f t="shared" si="5"/>
        <v>1080</v>
      </c>
      <c r="T18" s="109">
        <f t="shared" si="6"/>
        <v>18400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84</v>
      </c>
      <c r="C19" s="163"/>
      <c r="D19" s="162" t="s">
        <v>83</v>
      </c>
      <c r="E19" s="158">
        <f>+IF($A19="",IF($C19="",SUMIFS(全伝票!I:I,全伝票!$B:$B,$B19),SUMIFS(全伝票!I:I,全伝票!$C:$C,$C19)),IF($C19="",SUMIFS(全伝票!I:I,全伝票!$A:$A,$A19,全伝票!$B:$B,$B19),SUMIFS(全伝票!I:I,全伝票!$A:$A,$A19,全伝票!$C:$C,$C19)))</f>
        <v>6446706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678402</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114697</v>
      </c>
      <c r="K19" s="34">
        <f t="shared" si="0"/>
        <v>793099</v>
      </c>
      <c r="L19" s="158">
        <f>+IF($A19="",IF($C19="",SUMIFS(全伝票!O:O,全伝票!$B:$B,$B19),SUMIFS(全伝票!O:O,全伝票!$C:$C,$C19)),IF($C19="",SUMIFS(全伝票!O:O,全伝票!$A:$A,$A19,全伝票!$B:$B,$B19),SUMIFS(全伝票!O:O,全伝票!$A:$A,$A19,全伝票!$C:$C,$C19)))</f>
        <v>5653607</v>
      </c>
      <c r="M19" s="158">
        <f>+IF($A19="",IF($C19="",SUMIFS(全伝票!P:P,全伝票!$B:$B,$B19),SUMIFS(全伝票!P:P,全伝票!$C:$C,$C19)),IF($C19="",SUMIFS(全伝票!P:P,全伝票!$A:$A,$A19,全伝票!$B:$B,$B19),SUMIFS(全伝票!P:P,全伝票!$A:$A,$A19,全伝票!$C:$C,$C19)))</f>
        <v>0</v>
      </c>
      <c r="N19" s="108">
        <f t="shared" si="1"/>
        <v>0</v>
      </c>
      <c r="O19" s="25">
        <f t="shared" si="3"/>
        <v>0</v>
      </c>
      <c r="P19" s="25">
        <f>+ROUND(H19*H$4/(100+H$4),0)+AG19</f>
        <v>50252</v>
      </c>
      <c r="Q19" s="157">
        <f t="shared" si="3"/>
        <v>0</v>
      </c>
      <c r="R19" s="157">
        <f t="shared" si="4"/>
        <v>10427</v>
      </c>
      <c r="S19" s="22">
        <f t="shared" si="5"/>
        <v>60679</v>
      </c>
      <c r="T19" s="109">
        <f t="shared" si="6"/>
        <v>6386027</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82</v>
      </c>
      <c r="C20" s="163"/>
      <c r="D20" s="162" t="s">
        <v>81</v>
      </c>
      <c r="E20" s="158">
        <f>+IF($A20="",IF($C20="",SUMIFS(全伝票!I:I,全伝票!$B:$B,$B20),SUMIFS(全伝票!I:I,全伝票!$C:$C,$C20)),IF($C20="",SUMIFS(全伝票!I:I,全伝票!$A:$A,$A20,全伝票!$B:$B,$B20),SUMIFS(全伝票!I:I,全伝票!$A:$A,$A20,全伝票!$C:$C,$C20)))</f>
        <v>163512706</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163512706</v>
      </c>
      <c r="K20" s="34">
        <f t="shared" si="0"/>
        <v>163512706</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14864791</v>
      </c>
      <c r="S20" s="22">
        <f t="shared" si="5"/>
        <v>14864791</v>
      </c>
      <c r="T20" s="109">
        <f t="shared" si="6"/>
        <v>148647915</v>
      </c>
      <c r="U20" s="107">
        <f t="shared" si="7"/>
        <v>0</v>
      </c>
      <c r="V20" s="107">
        <f t="shared" si="8"/>
        <v>0</v>
      </c>
      <c r="W20" s="107">
        <f t="shared" si="9"/>
        <v>0</v>
      </c>
      <c r="X20" s="107">
        <f t="shared" si="9"/>
        <v>0</v>
      </c>
      <c r="Y20" s="107">
        <f t="shared" si="10"/>
        <v>-0.45454545505344868</v>
      </c>
      <c r="Z20" s="106">
        <f t="shared" si="11"/>
        <v>0</v>
      </c>
      <c r="AA20" s="106">
        <f t="shared" si="12"/>
        <v>0</v>
      </c>
      <c r="AB20" s="106">
        <f t="shared" si="13"/>
        <v>0</v>
      </c>
      <c r="AC20" s="106">
        <f t="shared" si="13"/>
        <v>0</v>
      </c>
      <c r="AD20" s="106">
        <f t="shared" si="14"/>
        <v>0</v>
      </c>
    </row>
    <row r="21" spans="1:30">
      <c r="A21" s="165">
        <v>1</v>
      </c>
      <c r="B21" s="164" t="s">
        <v>80</v>
      </c>
      <c r="C21" s="163"/>
      <c r="D21" s="162" t="s">
        <v>79</v>
      </c>
      <c r="E21" s="158">
        <f>+IF($A21="",IF($C21="",SUMIFS(全伝票!I:I,全伝票!$B:$B,$B21),SUMIFS(全伝票!I:I,全伝票!$C:$C,$C21)),IF($C21="",SUMIFS(全伝票!I:I,全伝票!$A:$A,$A21,全伝票!$B:$B,$B21),SUMIFS(全伝票!I:I,全伝票!$A:$A,$A21,全伝票!$C:$C,$C21)))</f>
        <v>12499689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12499689</v>
      </c>
      <c r="K21" s="34">
        <f t="shared" si="0"/>
        <v>12499689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1136335</v>
      </c>
      <c r="S21" s="22">
        <f t="shared" si="5"/>
        <v>1136335</v>
      </c>
      <c r="T21" s="109">
        <f t="shared" si="6"/>
        <v>11363354</v>
      </c>
      <c r="U21" s="107">
        <f t="shared" si="7"/>
        <v>0</v>
      </c>
      <c r="V21" s="107">
        <f t="shared" si="8"/>
        <v>0</v>
      </c>
      <c r="W21" s="107">
        <f t="shared" si="9"/>
        <v>0</v>
      </c>
      <c r="X21" s="107">
        <f t="shared" si="9"/>
        <v>0</v>
      </c>
      <c r="Y21" s="107">
        <f t="shared" si="10"/>
        <v>-0.36363636353053153</v>
      </c>
      <c r="Z21" s="106">
        <f t="shared" si="11"/>
        <v>0</v>
      </c>
      <c r="AA21" s="106">
        <f t="shared" si="12"/>
        <v>0</v>
      </c>
      <c r="AB21" s="106">
        <f t="shared" si="13"/>
        <v>0</v>
      </c>
      <c r="AC21" s="106">
        <f t="shared" si="13"/>
        <v>0</v>
      </c>
      <c r="AD21" s="106">
        <f t="shared" si="14"/>
        <v>0</v>
      </c>
    </row>
    <row r="22" spans="1:30">
      <c r="A22" s="165">
        <v>1</v>
      </c>
      <c r="B22" s="164" t="s">
        <v>78</v>
      </c>
      <c r="C22" s="163"/>
      <c r="D22" s="162" t="s">
        <v>77</v>
      </c>
      <c r="E22" s="158">
        <f>+IF($A22="",IF($C22="",SUMIFS(全伝票!I:I,全伝票!$B:$B,$B22),SUMIFS(全伝票!I:I,全伝票!$C:$C,$C22)),IF($C22="",SUMIFS(全伝票!I:I,全伝票!$A:$A,$A22,全伝票!$B:$B,$B22),SUMIFS(全伝票!I:I,全伝票!$A:$A,$A22,全伝票!$C:$C,$C22)))</f>
        <v>2121075</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2121075</v>
      </c>
      <c r="K22" s="34">
        <f t="shared" si="0"/>
        <v>2121075</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192825</v>
      </c>
      <c r="S22" s="22">
        <f t="shared" si="5"/>
        <v>192825</v>
      </c>
      <c r="T22" s="109">
        <f t="shared" si="6"/>
        <v>1928250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76</v>
      </c>
      <c r="C23" s="163"/>
      <c r="D23" s="162" t="s">
        <v>75</v>
      </c>
      <c r="E23" s="158">
        <f>+IF($A23="",IF($C23="",SUMIFS(全伝票!I:I,全伝票!$B:$B,$B23),SUMIFS(全伝票!I:I,全伝票!$C:$C,$C23)),IF($C23="",SUMIFS(全伝票!I:I,全伝票!$A:$A,$A23,全伝票!$B:$B,$B23),SUMIFS(全伝票!I:I,全伝票!$A:$A,$A23,全伝票!$C:$C,$C23)))</f>
        <v>299926084</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299926084</v>
      </c>
      <c r="K23" s="34">
        <f t="shared" si="0"/>
        <v>299926084</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27266008</v>
      </c>
      <c r="S23" s="22">
        <f t="shared" si="5"/>
        <v>27266008</v>
      </c>
      <c r="T23" s="109">
        <f t="shared" si="6"/>
        <v>272660076</v>
      </c>
      <c r="U23" s="107">
        <f t="shared" si="7"/>
        <v>0</v>
      </c>
      <c r="V23" s="107">
        <f t="shared" si="8"/>
        <v>0</v>
      </c>
      <c r="W23" s="107">
        <f t="shared" si="9"/>
        <v>0</v>
      </c>
      <c r="X23" s="107">
        <f t="shared" si="9"/>
        <v>0</v>
      </c>
      <c r="Y23" s="107">
        <f t="shared" si="10"/>
        <v>0.36363636329770088</v>
      </c>
      <c r="Z23" s="106">
        <f t="shared" si="11"/>
        <v>0</v>
      </c>
      <c r="AA23" s="106">
        <f t="shared" si="12"/>
        <v>0</v>
      </c>
      <c r="AB23" s="106">
        <f t="shared" si="13"/>
        <v>0</v>
      </c>
      <c r="AC23" s="106">
        <f t="shared" si="13"/>
        <v>0</v>
      </c>
      <c r="AD23" s="106">
        <f t="shared" si="14"/>
        <v>0</v>
      </c>
    </row>
    <row r="24" spans="1:30">
      <c r="A24" s="165">
        <v>1</v>
      </c>
      <c r="B24" s="164" t="s">
        <v>74</v>
      </c>
      <c r="C24" s="163"/>
      <c r="D24" s="162" t="s">
        <v>73</v>
      </c>
      <c r="E24" s="158">
        <f>+IF($A24="",IF($C24="",SUMIFS(全伝票!I:I,全伝票!$B:$B,$B24),SUMIFS(全伝票!I:I,全伝票!$C:$C,$C24)),IF($C24="",SUMIFS(全伝票!I:I,全伝票!$A:$A,$A24,全伝票!$B:$B,$B24),SUMIFS(全伝票!I:I,全伝票!$A:$A,$A24,全伝票!$C:$C,$C24)))</f>
        <v>3840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3840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3840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70</v>
      </c>
      <c r="C25" s="163" t="s">
        <v>72</v>
      </c>
      <c r="D25" s="162" t="s">
        <v>71</v>
      </c>
      <c r="E25" s="158">
        <f>+IF($A25="",IF($C25="",SUMIFS(全伝票!I:I,全伝票!$B:$B,$B25),SUMIFS(全伝票!I:I,全伝票!$C:$C,$C25)),IF($C25="",SUMIFS(全伝票!I:I,全伝票!$A:$A,$A25,全伝票!$B:$B,$B25),SUMIFS(全伝票!I:I,全伝票!$A:$A,$A25,全伝票!$C:$C,$C25)))</f>
        <v>1471468</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1471468</v>
      </c>
      <c r="K25" s="34">
        <f t="shared" si="0"/>
        <v>1471468</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133770</v>
      </c>
      <c r="S25" s="22">
        <f t="shared" si="5"/>
        <v>133770</v>
      </c>
      <c r="T25" s="109">
        <f t="shared" si="6"/>
        <v>1337698</v>
      </c>
      <c r="U25" s="107">
        <f t="shared" si="7"/>
        <v>0</v>
      </c>
      <c r="V25" s="107">
        <f t="shared" si="8"/>
        <v>0</v>
      </c>
      <c r="W25" s="107">
        <f t="shared" si="9"/>
        <v>0</v>
      </c>
      <c r="X25" s="107">
        <f t="shared" si="9"/>
        <v>0</v>
      </c>
      <c r="Y25" s="107">
        <f t="shared" si="10"/>
        <v>0.18181818182347342</v>
      </c>
      <c r="Z25" s="106">
        <f t="shared" si="11"/>
        <v>0</v>
      </c>
      <c r="AA25" s="106">
        <f t="shared" si="12"/>
        <v>0</v>
      </c>
      <c r="AB25" s="106">
        <f t="shared" si="13"/>
        <v>0</v>
      </c>
      <c r="AC25" s="106">
        <f t="shared" si="13"/>
        <v>0</v>
      </c>
      <c r="AD25" s="106">
        <f t="shared" si="14"/>
        <v>0</v>
      </c>
    </row>
    <row r="26" spans="1:30">
      <c r="A26" s="165">
        <v>1</v>
      </c>
      <c r="B26" s="164" t="s">
        <v>70</v>
      </c>
      <c r="C26" s="163" t="s">
        <v>69</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67</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65</v>
      </c>
      <c r="C28" s="163"/>
      <c r="D28" s="162" t="s">
        <v>64</v>
      </c>
      <c r="E28" s="158">
        <f>+IF($A28="",IF($C28="",SUMIFS(全伝票!I:I,全伝票!$B:$B,$B28),SUMIFS(全伝票!I:I,全伝票!$C:$C,$C28)),IF($C28="",SUMIFS(全伝票!I:I,全伝票!$A:$A,$A28,全伝票!$B:$B,$B28),SUMIFS(全伝票!I:I,全伝票!$A:$A,$A28,全伝票!$C:$C,$C28)))</f>
        <v>693759</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693759</v>
      </c>
      <c r="N28" s="108">
        <f t="shared" si="1"/>
        <v>0</v>
      </c>
      <c r="O28" s="25">
        <f t="shared" si="3"/>
        <v>0</v>
      </c>
      <c r="P28" s="25">
        <f t="shared" si="2"/>
        <v>0</v>
      </c>
      <c r="Q28" s="157">
        <f t="shared" si="3"/>
        <v>0</v>
      </c>
      <c r="R28" s="157">
        <f t="shared" si="4"/>
        <v>0</v>
      </c>
      <c r="S28" s="22">
        <f t="shared" si="5"/>
        <v>0</v>
      </c>
      <c r="T28" s="109">
        <f t="shared" si="6"/>
        <v>693759</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63</v>
      </c>
      <c r="C29" s="163"/>
      <c r="D29" s="162" t="s">
        <v>62</v>
      </c>
      <c r="E29" s="158">
        <f>+IF($A29="",IF($C29="",SUMIFS(全伝票!I:I,全伝票!$B:$B,$B29),SUMIFS(全伝票!I:I,全伝票!$C:$C,$C29)),IF($C29="",SUMIFS(全伝票!I:I,全伝票!$A:$A,$A29,全伝票!$B:$B,$B29),SUMIFS(全伝票!I:I,全伝票!$A:$A,$A29,全伝票!$C:$C,$C29)))</f>
        <v>34481445</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33599086</v>
      </c>
      <c r="K29" s="34">
        <f t="shared" si="0"/>
        <v>33599086</v>
      </c>
      <c r="L29" s="158">
        <f>+IF($A29="",IF($C29="",SUMIFS(全伝票!O:O,全伝票!$B:$B,$B29),SUMIFS(全伝票!O:O,全伝票!$C:$C,$C29)),IF($C29="",SUMIFS(全伝票!O:O,全伝票!$A:$A,$A29,全伝票!$B:$B,$B29),SUMIFS(全伝票!O:O,全伝票!$A:$A,$A29,全伝票!$C:$C,$C29)))</f>
        <v>882359</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3054462</v>
      </c>
      <c r="S29" s="22">
        <f t="shared" si="5"/>
        <v>3054462</v>
      </c>
      <c r="T29" s="109">
        <f t="shared" si="6"/>
        <v>31426983</v>
      </c>
      <c r="U29" s="107">
        <f t="shared" si="7"/>
        <v>0</v>
      </c>
      <c r="V29" s="107">
        <f t="shared" si="8"/>
        <v>0</v>
      </c>
      <c r="W29" s="107">
        <f t="shared" si="9"/>
        <v>0</v>
      </c>
      <c r="X29" s="107">
        <f t="shared" si="9"/>
        <v>0</v>
      </c>
      <c r="Y29" s="107">
        <f t="shared" si="10"/>
        <v>-0.36363636376336217</v>
      </c>
      <c r="Z29" s="106">
        <f t="shared" si="11"/>
        <v>0</v>
      </c>
      <c r="AA29" s="106">
        <f t="shared" si="12"/>
        <v>0</v>
      </c>
      <c r="AB29" s="106">
        <f t="shared" si="13"/>
        <v>0</v>
      </c>
      <c r="AC29" s="106">
        <f t="shared" si="13"/>
        <v>0</v>
      </c>
      <c r="AD29" s="106">
        <f t="shared" si="14"/>
        <v>0</v>
      </c>
    </row>
    <row r="30" spans="1:30">
      <c r="A30" s="165">
        <v>1</v>
      </c>
      <c r="B30" s="164" t="s">
        <v>61</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59</v>
      </c>
      <c r="C31" s="163"/>
      <c r="D31" s="162" t="s">
        <v>58</v>
      </c>
      <c r="E31" s="158">
        <f>+IF($A31="",IF($C31="",SUMIFS(全伝票!I:I,全伝票!$B:$B,$B31),SUMIFS(全伝票!I:I,全伝票!$C:$C,$C31)),IF($C31="",SUMIFS(全伝票!I:I,全伝票!$A:$A,$A31,全伝票!$B:$B,$B31),SUMIFS(全伝票!I:I,全伝票!$A:$A,$A31,全伝票!$C:$C,$C31)))</f>
        <v>134822</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134822</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134822</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57</v>
      </c>
      <c r="C32" s="163"/>
      <c r="D32" s="162" t="s">
        <v>56</v>
      </c>
      <c r="E32" s="158">
        <f>+IF($A32="",IF($C32="",SUMIFS(全伝票!I:I,全伝票!$B:$B,$B32),SUMIFS(全伝票!I:I,全伝票!$C:$C,$C32)),IF($C32="",SUMIFS(全伝票!I:I,全伝票!$A:$A,$A32,全伝票!$B:$B,$B32),SUMIFS(全伝票!I:I,全伝票!$A:$A,$A32,全伝票!$C:$C,$C32)))</f>
        <v>24800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24800</v>
      </c>
      <c r="N32" s="108">
        <f t="shared" si="1"/>
        <v>0</v>
      </c>
      <c r="O32" s="25">
        <f t="shared" si="3"/>
        <v>0</v>
      </c>
      <c r="P32" s="25">
        <f t="shared" si="2"/>
        <v>0</v>
      </c>
      <c r="Q32" s="157">
        <f t="shared" si="3"/>
        <v>0</v>
      </c>
      <c r="R32" s="157">
        <f t="shared" si="4"/>
        <v>0</v>
      </c>
      <c r="S32" s="22">
        <f t="shared" si="5"/>
        <v>0</v>
      </c>
      <c r="T32" s="109">
        <f t="shared" si="6"/>
        <v>24800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97</v>
      </c>
      <c r="C33" s="163">
        <v>883021003</v>
      </c>
      <c r="D33" s="162" t="s">
        <v>608</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54</v>
      </c>
      <c r="C34" s="163"/>
      <c r="D34" s="162" t="s">
        <v>53</v>
      </c>
      <c r="E34" s="158">
        <f>+IF($A34="",IF($C34="",SUMIFS(全伝票!I:I,全伝票!$B:$B,$B34),SUMIFS(全伝票!I:I,全伝票!$C:$C,$C34)),IF($C34="",SUMIFS(全伝票!I:I,全伝票!$A:$A,$A34,全伝票!$B:$B,$B34),SUMIFS(全伝票!I:I,全伝票!$A:$A,$A34,全伝票!$C:$C,$C34)))</f>
        <v>4701000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4701000</v>
      </c>
      <c r="N34" s="108">
        <f t="shared" si="1"/>
        <v>0</v>
      </c>
      <c r="O34" s="25">
        <f t="shared" si="3"/>
        <v>0</v>
      </c>
      <c r="P34" s="25">
        <f t="shared" si="2"/>
        <v>0</v>
      </c>
      <c r="Q34" s="157">
        <f t="shared" si="3"/>
        <v>0</v>
      </c>
      <c r="R34" s="157">
        <f t="shared" si="4"/>
        <v>0</v>
      </c>
      <c r="S34" s="22">
        <f t="shared" si="5"/>
        <v>0</v>
      </c>
      <c r="T34" s="109">
        <f t="shared" si="6"/>
        <v>4701000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52</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611819957</v>
      </c>
      <c r="F36" s="152">
        <f t="shared" si="15"/>
        <v>0</v>
      </c>
      <c r="G36" s="151">
        <f t="shared" si="15"/>
        <v>0</v>
      </c>
      <c r="H36" s="151">
        <f t="shared" si="15"/>
        <v>678402</v>
      </c>
      <c r="I36" s="150">
        <f t="shared" ref="I36" si="16">SUM(I5:I35)</f>
        <v>0</v>
      </c>
      <c r="J36" s="150">
        <f t="shared" si="15"/>
        <v>518156070</v>
      </c>
      <c r="K36" s="74">
        <f t="shared" si="15"/>
        <v>518834472</v>
      </c>
      <c r="L36" s="149">
        <f t="shared" si="15"/>
        <v>20454735</v>
      </c>
      <c r="M36" s="149">
        <f t="shared" si="15"/>
        <v>72530750</v>
      </c>
      <c r="N36" s="146">
        <f t="shared" si="15"/>
        <v>0</v>
      </c>
      <c r="O36" s="145">
        <f t="shared" si="15"/>
        <v>0</v>
      </c>
      <c r="P36" s="145">
        <f t="shared" si="15"/>
        <v>50252</v>
      </c>
      <c r="Q36" s="148">
        <f t="shared" ref="Q36" si="17">SUM(Q5:Q35)</f>
        <v>0</v>
      </c>
      <c r="R36" s="148">
        <f t="shared" si="15"/>
        <v>47105097</v>
      </c>
      <c r="S36" s="144">
        <f t="shared" si="15"/>
        <v>47155349</v>
      </c>
      <c r="T36" s="147">
        <f t="shared" si="15"/>
        <v>564664608</v>
      </c>
      <c r="U36" s="88" t="str">
        <f>+IF(F36=0,"",ROUND(F36*F$4/(100+F$4),7)-N36)</f>
        <v/>
      </c>
      <c r="V36" s="88"/>
      <c r="W36" s="88"/>
      <c r="X36" s="88"/>
      <c r="Y36" s="88"/>
      <c r="Z36" s="88"/>
      <c r="AA36" s="88"/>
      <c r="AB36" s="87"/>
      <c r="AC36" s="87"/>
      <c r="AD36" s="87"/>
    </row>
    <row r="37" spans="1:30">
      <c r="A37" s="143"/>
      <c r="B37" s="142"/>
      <c r="C37" s="141"/>
      <c r="D37" s="140" t="s">
        <v>1</v>
      </c>
      <c r="E37" s="136">
        <f t="shared" ref="E37:J37" si="18">+E36</f>
        <v>611819957</v>
      </c>
      <c r="F37" s="139">
        <f t="shared" si="18"/>
        <v>0</v>
      </c>
      <c r="G37" s="138">
        <f t="shared" si="18"/>
        <v>0</v>
      </c>
      <c r="H37" s="138">
        <f t="shared" si="18"/>
        <v>678402</v>
      </c>
      <c r="I37" s="137">
        <f t="shared" si="18"/>
        <v>0</v>
      </c>
      <c r="J37" s="137">
        <f t="shared" si="18"/>
        <v>518156070</v>
      </c>
      <c r="K37" s="63">
        <f>SUM(F37:J37)</f>
        <v>518834472</v>
      </c>
      <c r="L37" s="136">
        <f>+L36</f>
        <v>20454735</v>
      </c>
      <c r="M37" s="135">
        <f>+M36</f>
        <v>72530750</v>
      </c>
      <c r="N37" s="133">
        <f>+'3条支出'!N6</f>
        <v>0</v>
      </c>
      <c r="O37" s="132">
        <f>+'3条支出'!O6</f>
        <v>0</v>
      </c>
      <c r="P37" s="132">
        <f>+'3条支出'!P6</f>
        <v>50252</v>
      </c>
      <c r="Q37" s="132">
        <f>+'3条支出'!Q6</f>
        <v>0</v>
      </c>
      <c r="R37" s="132">
        <f>+'3条支出'!R6</f>
        <v>47105097</v>
      </c>
      <c r="S37" s="131">
        <f>+'3条支出'!S6</f>
        <v>47155349</v>
      </c>
      <c r="T37" s="134">
        <f>+'3条支出'!T6</f>
        <v>564664608</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180"/>
      <c r="H40" s="272"/>
      <c r="I40" s="272"/>
      <c r="J40" s="272"/>
      <c r="U40" s="88" t="str">
        <f>+IF(F40=0,"",ROUND(F40*F$4/(100+F$4),7)-N40)</f>
        <v/>
      </c>
      <c r="V40" s="88"/>
      <c r="W40" s="88"/>
      <c r="X40" s="88"/>
      <c r="Y40" s="88"/>
      <c r="Z40" s="88"/>
      <c r="AA40" s="88"/>
      <c r="AB40" s="87"/>
      <c r="AC40" s="87"/>
      <c r="AD40" s="87"/>
    </row>
    <row r="41" spans="1:30">
      <c r="G41" s="180"/>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104" priority="3" stopIfTrue="1">
      <formula>LEN(TRIM(AE5))&gt;0</formula>
    </cfRule>
  </conditionalFormatting>
  <conditionalFormatting sqref="AE36:AI37">
    <cfRule type="notContainsBlanks" dxfId="103" priority="4" stopIfTrue="1">
      <formula>LEN(TRIM(AE36))&gt;0</formula>
    </cfRule>
  </conditionalFormatting>
  <conditionalFormatting sqref="Z5:AD35">
    <cfRule type="expression" dxfId="102" priority="2">
      <formula>ABS(Z5)=1</formula>
    </cfRule>
  </conditionalFormatting>
  <conditionalFormatting sqref="E38:T38">
    <cfRule type="cellIs" dxfId="101"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147</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146</v>
      </c>
      <c r="C5" s="175"/>
      <c r="D5" s="174" t="s">
        <v>112</v>
      </c>
      <c r="E5" s="170">
        <f>+IF($A5="",IF($C5="",SUMIFS(全伝票!I:I,全伝票!$B:$B,$B5),SUMIFS(全伝票!I:I,全伝票!$C:$C,$C5)),IF($C5="",SUMIFS(全伝票!I:I,全伝票!$A:$A,$A5,全伝票!$B:$B,$B5),SUMIFS(全伝票!I:I,全伝票!$A:$A,$A5,全伝票!$C:$C,$C5)))</f>
        <v>115000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115000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115000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145</v>
      </c>
      <c r="C6" s="163"/>
      <c r="D6" s="162" t="s">
        <v>110</v>
      </c>
      <c r="E6" s="158">
        <f>+IF($A6="",IF($C6="",SUMIFS(全伝票!I:I,全伝票!$B:$B,$B6),SUMIFS(全伝票!I:I,全伝票!$C:$C,$C6)),IF($C6="",SUMIFS(全伝票!I:I,全伝票!$A:$A,$A6,全伝票!$B:$B,$B6),SUMIFS(全伝票!I:I,全伝票!$A:$A,$A6,全伝票!$C:$C,$C6)))</f>
        <v>19311700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19311700</v>
      </c>
      <c r="N6" s="108">
        <f t="shared" si="1"/>
        <v>0</v>
      </c>
      <c r="O6" s="25">
        <f t="shared" si="3"/>
        <v>0</v>
      </c>
      <c r="P6" s="25">
        <f t="shared" si="2"/>
        <v>0</v>
      </c>
      <c r="Q6" s="157">
        <f t="shared" si="3"/>
        <v>0</v>
      </c>
      <c r="R6" s="157">
        <f t="shared" si="4"/>
        <v>0</v>
      </c>
      <c r="S6" s="22">
        <f t="shared" si="5"/>
        <v>0</v>
      </c>
      <c r="T6" s="109">
        <f t="shared" si="6"/>
        <v>19311700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144</v>
      </c>
      <c r="C7" s="163"/>
      <c r="D7" s="162" t="s">
        <v>108</v>
      </c>
      <c r="E7" s="158">
        <f>+IF($A7="",IF($C7="",SUMIFS(全伝票!I:I,全伝票!$B:$B,$B7),SUMIFS(全伝票!I:I,全伝票!$C:$C,$C7)),IF($C7="",SUMIFS(全伝票!I:I,全伝票!$A:$A,$A7,全伝票!$B:$B,$B7),SUMIFS(全伝票!I:I,全伝票!$A:$A,$A7,全伝票!$C:$C,$C7)))</f>
        <v>12220055</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371190</v>
      </c>
      <c r="K7" s="34">
        <f t="shared" si="0"/>
        <v>371190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11848865</v>
      </c>
      <c r="N7" s="108">
        <f t="shared" si="1"/>
        <v>0</v>
      </c>
      <c r="O7" s="25">
        <f t="shared" si="3"/>
        <v>0</v>
      </c>
      <c r="P7" s="25">
        <f t="shared" si="2"/>
        <v>0</v>
      </c>
      <c r="Q7" s="157">
        <f t="shared" si="3"/>
        <v>0</v>
      </c>
      <c r="R7" s="157">
        <f t="shared" si="4"/>
        <v>33745</v>
      </c>
      <c r="S7" s="22">
        <f t="shared" si="5"/>
        <v>33745</v>
      </c>
      <c r="T7" s="109">
        <f t="shared" si="6"/>
        <v>12186310</v>
      </c>
      <c r="U7" s="107">
        <f t="shared" si="7"/>
        <v>0</v>
      </c>
      <c r="V7" s="107">
        <f t="shared" si="8"/>
        <v>0</v>
      </c>
      <c r="W7" s="107">
        <f t="shared" si="9"/>
        <v>0</v>
      </c>
      <c r="X7" s="107">
        <f t="shared" si="9"/>
        <v>0</v>
      </c>
      <c r="Y7" s="107">
        <f t="shared" si="10"/>
        <v>0.45454545454413164</v>
      </c>
      <c r="Z7" s="106">
        <f t="shared" si="11"/>
        <v>0</v>
      </c>
      <c r="AA7" s="106">
        <f t="shared" si="12"/>
        <v>0</v>
      </c>
      <c r="AB7" s="106">
        <f t="shared" si="13"/>
        <v>0</v>
      </c>
      <c r="AC7" s="106">
        <f t="shared" si="13"/>
        <v>0</v>
      </c>
      <c r="AD7" s="106">
        <f t="shared" si="14"/>
        <v>0</v>
      </c>
    </row>
    <row r="8" spans="1:35">
      <c r="A8" s="165">
        <v>1</v>
      </c>
      <c r="B8" s="164" t="s">
        <v>143</v>
      </c>
      <c r="C8" s="163"/>
      <c r="D8" s="162" t="s">
        <v>106</v>
      </c>
      <c r="E8" s="158">
        <f>+IF($A8="",IF($C8="",SUMIFS(全伝票!I:I,全伝票!$B:$B,$B8),SUMIFS(全伝票!I:I,全伝票!$C:$C,$C8)),IF($C8="",SUMIFS(全伝票!I:I,全伝票!$A:$A,$A8,全伝票!$B:$B,$B8),SUMIFS(全伝票!I:I,全伝票!$A:$A,$A8,全伝票!$C:$C,$C8)))</f>
        <v>6205907</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6176483</v>
      </c>
      <c r="M8" s="158">
        <f>+IF($A8="",IF($C8="",SUMIFS(全伝票!P:P,全伝票!$B:$B,$B8),SUMIFS(全伝票!P:P,全伝票!$C:$C,$C8)),IF($C8="",SUMIFS(全伝票!P:P,全伝票!$A:$A,$A8,全伝票!$B:$B,$B8),SUMIFS(全伝票!P:P,全伝票!$A:$A,$A8,全伝票!$C:$C,$C8)))</f>
        <v>29424</v>
      </c>
      <c r="N8" s="108">
        <f t="shared" si="1"/>
        <v>0</v>
      </c>
      <c r="O8" s="25">
        <f t="shared" si="3"/>
        <v>0</v>
      </c>
      <c r="P8" s="25">
        <f t="shared" si="2"/>
        <v>0</v>
      </c>
      <c r="Q8" s="157">
        <f t="shared" si="3"/>
        <v>0</v>
      </c>
      <c r="R8" s="157">
        <f t="shared" si="4"/>
        <v>0</v>
      </c>
      <c r="S8" s="22">
        <f t="shared" si="5"/>
        <v>0</v>
      </c>
      <c r="T8" s="109">
        <f t="shared" si="6"/>
        <v>6205907</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142</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141</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140</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138</v>
      </c>
      <c r="C12" s="163" t="s">
        <v>139</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138</v>
      </c>
      <c r="C13" s="163" t="s">
        <v>137</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136</v>
      </c>
      <c r="C14" s="163"/>
      <c r="D14" s="162" t="s">
        <v>93</v>
      </c>
      <c r="E14" s="158">
        <f>+IF($A14="",IF($C14="",SUMIFS(全伝票!I:I,全伝票!$B:$B,$B14),SUMIFS(全伝票!I:I,全伝票!$C:$C,$C14)),IF($C14="",SUMIFS(全伝票!I:I,全伝票!$A:$A,$A14,全伝票!$B:$B,$B14),SUMIFS(全伝票!I:I,全伝票!$A:$A,$A14,全伝票!$C:$C,$C14)))</f>
        <v>123964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123964</v>
      </c>
      <c r="K14" s="34">
        <f t="shared" si="0"/>
        <v>123964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11269</v>
      </c>
      <c r="S14" s="22">
        <f t="shared" si="5"/>
        <v>11269</v>
      </c>
      <c r="T14" s="109">
        <f t="shared" si="6"/>
        <v>112695</v>
      </c>
      <c r="U14" s="107">
        <f t="shared" si="7"/>
        <v>0</v>
      </c>
      <c r="V14" s="107">
        <f t="shared" si="8"/>
        <v>0</v>
      </c>
      <c r="W14" s="107">
        <f t="shared" si="9"/>
        <v>0</v>
      </c>
      <c r="X14" s="107">
        <f t="shared" si="9"/>
        <v>0</v>
      </c>
      <c r="Y14" s="107">
        <f t="shared" si="10"/>
        <v>-0.45454545454595063</v>
      </c>
      <c r="Z14" s="106">
        <f t="shared" si="11"/>
        <v>0</v>
      </c>
      <c r="AA14" s="106">
        <f t="shared" si="12"/>
        <v>0</v>
      </c>
      <c r="AB14" s="106">
        <f t="shared" si="13"/>
        <v>0</v>
      </c>
      <c r="AC14" s="106">
        <f t="shared" si="13"/>
        <v>0</v>
      </c>
      <c r="AD14" s="106">
        <f t="shared" si="14"/>
        <v>0</v>
      </c>
    </row>
    <row r="15" spans="1:35">
      <c r="A15" s="165">
        <v>1</v>
      </c>
      <c r="B15" s="164" t="s">
        <v>135</v>
      </c>
      <c r="C15" s="163"/>
      <c r="D15" s="162" t="s">
        <v>91</v>
      </c>
      <c r="E15" s="158">
        <f>+IF($A15="",IF($C15="",SUMIFS(全伝票!I:I,全伝票!$B:$B,$B15),SUMIFS(全伝票!I:I,全伝票!$C:$C,$C15)),IF($C15="",SUMIFS(全伝票!I:I,全伝票!$A:$A,$A15,全伝票!$B:$B,$B15),SUMIFS(全伝票!I:I,全伝票!$A:$A,$A15,全伝票!$C:$C,$C15)))</f>
        <v>67172</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67172</v>
      </c>
      <c r="K15" s="34">
        <f t="shared" si="0"/>
        <v>67172</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6107</v>
      </c>
      <c r="S15" s="22">
        <f t="shared" si="5"/>
        <v>6107</v>
      </c>
      <c r="T15" s="109">
        <f t="shared" si="6"/>
        <v>61065</v>
      </c>
      <c r="U15" s="107">
        <f t="shared" si="7"/>
        <v>0</v>
      </c>
      <c r="V15" s="107">
        <f t="shared" si="8"/>
        <v>0</v>
      </c>
      <c r="W15" s="107">
        <f t="shared" si="9"/>
        <v>0</v>
      </c>
      <c r="X15" s="107">
        <f t="shared" si="9"/>
        <v>0</v>
      </c>
      <c r="Y15" s="107">
        <f t="shared" si="10"/>
        <v>0.45454545454504114</v>
      </c>
      <c r="Z15" s="106">
        <f t="shared" si="11"/>
        <v>0</v>
      </c>
      <c r="AA15" s="106">
        <f t="shared" si="12"/>
        <v>0</v>
      </c>
      <c r="AB15" s="106">
        <f t="shared" si="13"/>
        <v>0</v>
      </c>
      <c r="AC15" s="106">
        <f t="shared" si="13"/>
        <v>0</v>
      </c>
      <c r="AD15" s="106">
        <f>+IF(R$38=0,0,IF(R$38&lt;0,-RANK(Y15,Y$5:Y$35,0),RANK(Y15,Y$5:Y$35,1)))</f>
        <v>0</v>
      </c>
    </row>
    <row r="16" spans="1:35">
      <c r="A16" s="165">
        <v>1</v>
      </c>
      <c r="B16" s="164" t="s">
        <v>134</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133</v>
      </c>
      <c r="C17" s="163"/>
      <c r="D17" s="162" t="s">
        <v>87</v>
      </c>
      <c r="E17" s="158">
        <f>+IF($A17="",IF($C17="",SUMIFS(全伝票!I:I,全伝票!$B:$B,$B17),SUMIFS(全伝票!I:I,全伝票!$C:$C,$C17)),IF($C17="",SUMIFS(全伝票!I:I,全伝票!$A:$A,$A17,全伝票!$B:$B,$B17),SUMIFS(全伝票!I:I,全伝票!$A:$A,$A17,全伝票!$C:$C,$C17)))</f>
        <v>87858</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87858</v>
      </c>
      <c r="K17" s="34">
        <f t="shared" si="0"/>
        <v>87858</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7987</v>
      </c>
      <c r="S17" s="22">
        <f t="shared" si="5"/>
        <v>7987</v>
      </c>
      <c r="T17" s="109">
        <f t="shared" si="6"/>
        <v>79871</v>
      </c>
      <c r="U17" s="107">
        <f t="shared" si="7"/>
        <v>0</v>
      </c>
      <c r="V17" s="107">
        <f t="shared" si="8"/>
        <v>0</v>
      </c>
      <c r="W17" s="107">
        <f t="shared" si="9"/>
        <v>0</v>
      </c>
      <c r="X17" s="107">
        <f t="shared" si="9"/>
        <v>0</v>
      </c>
      <c r="Y17" s="107">
        <f t="shared" si="10"/>
        <v>-9.0909090909008228E-2</v>
      </c>
      <c r="Z17" s="106">
        <f t="shared" si="11"/>
        <v>0</v>
      </c>
      <c r="AA17" s="106">
        <f t="shared" si="12"/>
        <v>0</v>
      </c>
      <c r="AB17" s="106">
        <f t="shared" si="13"/>
        <v>0</v>
      </c>
      <c r="AC17" s="106">
        <f t="shared" si="13"/>
        <v>0</v>
      </c>
      <c r="AD17" s="106">
        <f t="shared" si="14"/>
        <v>0</v>
      </c>
    </row>
    <row r="18" spans="1:30">
      <c r="A18" s="165">
        <v>1</v>
      </c>
      <c r="B18" s="164" t="s">
        <v>132</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131</v>
      </c>
      <c r="C19" s="163"/>
      <c r="D19" s="162" t="s">
        <v>83</v>
      </c>
      <c r="E19" s="158">
        <f>+IF($A19="",IF($C19="",SUMIFS(全伝票!I:I,全伝票!$B:$B,$B19),SUMIFS(全伝票!I:I,全伝票!$C:$C,$C19)),IF($C19="",SUMIFS(全伝票!I:I,全伝票!$A:$A,$A19,全伝票!$B:$B,$B19),SUMIFS(全伝票!I:I,全伝票!$A:$A,$A19,全伝票!$C:$C,$C19)))</f>
        <v>1820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1820</v>
      </c>
      <c r="K19" s="34">
        <f t="shared" si="0"/>
        <v>1820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165</v>
      </c>
      <c r="S19" s="22">
        <f t="shared" si="5"/>
        <v>165</v>
      </c>
      <c r="T19" s="109">
        <f t="shared" si="6"/>
        <v>1655</v>
      </c>
      <c r="U19" s="107">
        <f t="shared" si="7"/>
        <v>0</v>
      </c>
      <c r="V19" s="107">
        <f t="shared" si="8"/>
        <v>0</v>
      </c>
      <c r="W19" s="107">
        <f t="shared" si="9"/>
        <v>0</v>
      </c>
      <c r="X19" s="107">
        <f t="shared" si="9"/>
        <v>0</v>
      </c>
      <c r="Y19" s="107">
        <f t="shared" si="10"/>
        <v>-0.45454545454546746</v>
      </c>
      <c r="Z19" s="106">
        <f t="shared" si="11"/>
        <v>0</v>
      </c>
      <c r="AA19" s="106">
        <f t="shared" si="12"/>
        <v>0</v>
      </c>
      <c r="AB19" s="106">
        <f t="shared" si="13"/>
        <v>0</v>
      </c>
      <c r="AC19" s="106">
        <f t="shared" si="13"/>
        <v>0</v>
      </c>
      <c r="AD19" s="106">
        <f t="shared" si="14"/>
        <v>0</v>
      </c>
    </row>
    <row r="20" spans="1:30">
      <c r="A20" s="165">
        <v>1</v>
      </c>
      <c r="B20" s="164" t="s">
        <v>130</v>
      </c>
      <c r="C20" s="163"/>
      <c r="D20" s="162" t="s">
        <v>81</v>
      </c>
      <c r="E20" s="158">
        <f>+IF($A20="",IF($C20="",SUMIFS(全伝票!I:I,全伝票!$B:$B,$B20),SUMIFS(全伝票!I:I,全伝票!$C:$C,$C20)),IF($C20="",SUMIFS(全伝票!I:I,全伝票!$A:$A,$A20,全伝票!$B:$B,$B20),SUMIFS(全伝票!I:I,全伝票!$A:$A,$A20,全伝票!$C:$C,$C20)))</f>
        <v>11727105</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11727105</v>
      </c>
      <c r="K20" s="34">
        <f t="shared" si="0"/>
        <v>11727105</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1066100</v>
      </c>
      <c r="S20" s="22">
        <f t="shared" si="5"/>
        <v>1066100</v>
      </c>
      <c r="T20" s="109">
        <f t="shared" si="6"/>
        <v>10661005</v>
      </c>
      <c r="U20" s="107">
        <f t="shared" si="7"/>
        <v>0</v>
      </c>
      <c r="V20" s="107">
        <f t="shared" si="8"/>
        <v>0</v>
      </c>
      <c r="W20" s="107">
        <f t="shared" si="9"/>
        <v>0</v>
      </c>
      <c r="X20" s="107">
        <f t="shared" si="9"/>
        <v>0</v>
      </c>
      <c r="Y20" s="107">
        <f t="shared" si="10"/>
        <v>-0.45454545458778739</v>
      </c>
      <c r="Z20" s="106">
        <f t="shared" si="11"/>
        <v>0</v>
      </c>
      <c r="AA20" s="106">
        <f t="shared" si="12"/>
        <v>0</v>
      </c>
      <c r="AB20" s="106">
        <f t="shared" si="13"/>
        <v>0</v>
      </c>
      <c r="AC20" s="106">
        <f t="shared" si="13"/>
        <v>0</v>
      </c>
      <c r="AD20" s="106">
        <f t="shared" si="14"/>
        <v>0</v>
      </c>
    </row>
    <row r="21" spans="1:30">
      <c r="A21" s="165">
        <v>1</v>
      </c>
      <c r="B21" s="164" t="s">
        <v>129</v>
      </c>
      <c r="C21" s="163"/>
      <c r="D21" s="162" t="s">
        <v>79</v>
      </c>
      <c r="E21" s="158">
        <f>+IF($A21="",IF($C21="",SUMIFS(全伝票!I:I,全伝票!$B:$B,$B21),SUMIFS(全伝票!I:I,全伝票!$C:$C,$C21)),IF($C21="",SUMIFS(全伝票!I:I,全伝票!$A:$A,$A21,全伝票!$B:$B,$B21),SUMIFS(全伝票!I:I,全伝票!$A:$A,$A21,全伝票!$C:$C,$C21)))</f>
        <v>49808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49808</v>
      </c>
      <c r="K21" s="34">
        <f t="shared" si="0"/>
        <v>49808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4528</v>
      </c>
      <c r="S21" s="22">
        <f t="shared" si="5"/>
        <v>4528</v>
      </c>
      <c r="T21" s="109">
        <f t="shared" si="6"/>
        <v>45280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128</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127</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126</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124</v>
      </c>
      <c r="C25" s="163" t="s">
        <v>125</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124</v>
      </c>
      <c r="C26" s="163" t="s">
        <v>123</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122</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121</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120</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119</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118</v>
      </c>
      <c r="C31" s="163"/>
      <c r="D31" s="162" t="s">
        <v>58</v>
      </c>
      <c r="E31" s="158">
        <f>+IF($A31="",IF($C31="",SUMIFS(全伝票!I:I,全伝票!$B:$B,$B31),SUMIFS(全伝票!I:I,全伝票!$C:$C,$C31)),IF($C31="",SUMIFS(全伝票!I:I,全伝票!$A:$A,$A31,全伝票!$B:$B,$B31),SUMIFS(全伝票!I:I,全伝票!$A:$A,$A31,全伝票!$C:$C,$C31)))</f>
        <v>21080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21080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21080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117</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138</v>
      </c>
      <c r="C33" s="163">
        <v>883041003</v>
      </c>
      <c r="D33" s="162" t="s">
        <v>609</v>
      </c>
      <c r="E33" s="158">
        <f>+IF($A33="",IF($C33="",SUMIFS(全伝票!I:I,全伝票!$B:$B,$B33),SUMIFS(全伝票!I:I,全伝票!$C:$C,$C33)),IF($C33="",SUMIFS(全伝票!I:I,全伝票!$A:$A,$A33,全伝票!$B:$B,$B33),SUMIFS(全伝票!I:I,全伝票!$A:$A,$A33,全伝票!$C:$C,$C33)))</f>
        <v>7400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7400</v>
      </c>
      <c r="K33" s="34">
        <f t="shared" si="0"/>
        <v>7400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673</v>
      </c>
      <c r="S33" s="22">
        <f t="shared" si="5"/>
        <v>673</v>
      </c>
      <c r="T33" s="109">
        <f t="shared" si="6"/>
        <v>6727</v>
      </c>
      <c r="U33" s="107">
        <f t="shared" si="7"/>
        <v>0</v>
      </c>
      <c r="V33" s="107">
        <f t="shared" si="8"/>
        <v>0</v>
      </c>
      <c r="W33" s="107">
        <f t="shared" si="9"/>
        <v>0</v>
      </c>
      <c r="X33" s="107">
        <f t="shared" si="9"/>
        <v>0</v>
      </c>
      <c r="Y33" s="107">
        <f t="shared" si="10"/>
        <v>0.27272727272725206</v>
      </c>
      <c r="Z33" s="106">
        <f t="shared" si="11"/>
        <v>0</v>
      </c>
      <c r="AA33" s="106">
        <f t="shared" si="12"/>
        <v>0</v>
      </c>
      <c r="AB33" s="106">
        <f t="shared" si="13"/>
        <v>0</v>
      </c>
      <c r="AC33" s="106">
        <f t="shared" si="13"/>
        <v>0</v>
      </c>
      <c r="AD33" s="106">
        <f t="shared" si="14"/>
        <v>0</v>
      </c>
    </row>
    <row r="34" spans="1:30">
      <c r="A34" s="165">
        <v>1</v>
      </c>
      <c r="B34" s="164" t="s">
        <v>116</v>
      </c>
      <c r="C34" s="163"/>
      <c r="D34" s="162" t="s">
        <v>53</v>
      </c>
      <c r="E34" s="158">
        <f>+IF($A34="",IF($C34="",SUMIFS(全伝票!I:I,全伝票!$B:$B,$B34),SUMIFS(全伝票!I:I,全伝票!$C:$C,$C34)),IF($C34="",SUMIFS(全伝票!I:I,全伝票!$A:$A,$A34,全伝票!$B:$B,$B34),SUMIFS(全伝票!I:I,全伝票!$A:$A,$A34,全伝票!$C:$C,$C34)))</f>
        <v>2505000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2505000</v>
      </c>
      <c r="N34" s="108">
        <f t="shared" si="1"/>
        <v>0</v>
      </c>
      <c r="O34" s="25">
        <f t="shared" si="3"/>
        <v>0</v>
      </c>
      <c r="P34" s="25">
        <f t="shared" si="2"/>
        <v>0</v>
      </c>
      <c r="Q34" s="157">
        <f t="shared" si="3"/>
        <v>0</v>
      </c>
      <c r="R34" s="157">
        <f t="shared" si="4"/>
        <v>0</v>
      </c>
      <c r="S34" s="22">
        <f t="shared" si="5"/>
        <v>0</v>
      </c>
      <c r="T34" s="109">
        <f t="shared" si="6"/>
        <v>2505000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115</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52443869</v>
      </c>
      <c r="F36" s="152">
        <f t="shared" si="15"/>
        <v>0</v>
      </c>
      <c r="G36" s="151">
        <f t="shared" si="15"/>
        <v>0</v>
      </c>
      <c r="H36" s="151">
        <f t="shared" si="15"/>
        <v>0</v>
      </c>
      <c r="I36" s="150">
        <f t="shared" ref="I36" si="16">SUM(I5:I35)</f>
        <v>0</v>
      </c>
      <c r="J36" s="150">
        <f t="shared" si="15"/>
        <v>12436317</v>
      </c>
      <c r="K36" s="74">
        <f t="shared" si="15"/>
        <v>12436317</v>
      </c>
      <c r="L36" s="149">
        <f t="shared" si="15"/>
        <v>6197563</v>
      </c>
      <c r="M36" s="149">
        <f t="shared" si="15"/>
        <v>33809989</v>
      </c>
      <c r="N36" s="146">
        <f t="shared" si="15"/>
        <v>0</v>
      </c>
      <c r="O36" s="145">
        <f t="shared" si="15"/>
        <v>0</v>
      </c>
      <c r="P36" s="145">
        <f t="shared" si="15"/>
        <v>0</v>
      </c>
      <c r="Q36" s="148">
        <f t="shared" ref="Q36" si="17">SUM(Q5:Q35)</f>
        <v>0</v>
      </c>
      <c r="R36" s="148">
        <f t="shared" si="15"/>
        <v>1130574</v>
      </c>
      <c r="S36" s="144">
        <f t="shared" si="15"/>
        <v>1130574</v>
      </c>
      <c r="T36" s="147">
        <f t="shared" si="15"/>
        <v>51313295</v>
      </c>
      <c r="U36" s="88" t="str">
        <f>+IF(F36=0,"",ROUND(F36*F$4/(100+F$4),7)-N36)</f>
        <v/>
      </c>
      <c r="V36" s="88"/>
      <c r="W36" s="88"/>
      <c r="X36" s="88"/>
      <c r="Y36" s="88"/>
      <c r="Z36" s="88"/>
      <c r="AA36" s="88"/>
      <c r="AB36" s="87"/>
      <c r="AC36" s="87"/>
      <c r="AD36" s="87"/>
    </row>
    <row r="37" spans="1:30">
      <c r="A37" s="143"/>
      <c r="B37" s="142"/>
      <c r="C37" s="141"/>
      <c r="D37" s="140" t="s">
        <v>1</v>
      </c>
      <c r="E37" s="136">
        <f t="shared" ref="E37:J37" si="18">+E36</f>
        <v>52443869</v>
      </c>
      <c r="F37" s="139">
        <f t="shared" si="18"/>
        <v>0</v>
      </c>
      <c r="G37" s="138">
        <f t="shared" si="18"/>
        <v>0</v>
      </c>
      <c r="H37" s="138">
        <f t="shared" si="18"/>
        <v>0</v>
      </c>
      <c r="I37" s="137">
        <f t="shared" si="18"/>
        <v>0</v>
      </c>
      <c r="J37" s="137">
        <f t="shared" si="18"/>
        <v>12436317</v>
      </c>
      <c r="K37" s="63">
        <f>SUM(F37:J37)</f>
        <v>12436317</v>
      </c>
      <c r="L37" s="136">
        <f>+L36</f>
        <v>6197563</v>
      </c>
      <c r="M37" s="135">
        <f>+M36</f>
        <v>33809989</v>
      </c>
      <c r="N37" s="133">
        <f>+'3条支出'!N7</f>
        <v>0</v>
      </c>
      <c r="O37" s="132">
        <f>+'3条支出'!O7</f>
        <v>0</v>
      </c>
      <c r="P37" s="132">
        <f>+'3条支出'!P7</f>
        <v>0</v>
      </c>
      <c r="Q37" s="132">
        <f>+'3条支出'!Q7</f>
        <v>0</v>
      </c>
      <c r="R37" s="132">
        <f>+'3条支出'!R7</f>
        <v>1130574</v>
      </c>
      <c r="S37" s="131">
        <f>+'3条支出'!S7</f>
        <v>1130574</v>
      </c>
      <c r="T37" s="134">
        <f>+'3条支出'!T7</f>
        <v>51313295</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sheetData>
  <mergeCells count="13">
    <mergeCell ref="F3:K3"/>
    <mergeCell ref="A3:A4"/>
    <mergeCell ref="B3:B4"/>
    <mergeCell ref="C3:C4"/>
    <mergeCell ref="D3:D4"/>
    <mergeCell ref="E3:E4"/>
    <mergeCell ref="AE3:AI3"/>
    <mergeCell ref="L3:L4"/>
    <mergeCell ref="M3:M4"/>
    <mergeCell ref="N3:S3"/>
    <mergeCell ref="T3:T4"/>
    <mergeCell ref="U3:Y3"/>
    <mergeCell ref="Z3:AD3"/>
  </mergeCells>
  <phoneticPr fontId="3"/>
  <conditionalFormatting sqref="AE36:AI37">
    <cfRule type="notContainsBlanks" dxfId="100" priority="4" stopIfTrue="1">
      <formula>LEN(TRIM(AE36))&gt;0</formula>
    </cfRule>
  </conditionalFormatting>
  <conditionalFormatting sqref="AE5:AI35">
    <cfRule type="notContainsBlanks" dxfId="99" priority="3" stopIfTrue="1">
      <formula>LEN(TRIM(AE5))&gt;0</formula>
    </cfRule>
  </conditionalFormatting>
  <conditionalFormatting sqref="Z5:AD35">
    <cfRule type="expression" dxfId="98" priority="2">
      <formula>ABS(Z5)=1</formula>
    </cfRule>
  </conditionalFormatting>
  <conditionalFormatting sqref="E38:T38">
    <cfRule type="cellIs" dxfId="97"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180</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179</v>
      </c>
      <c r="C5" s="175"/>
      <c r="D5" s="174" t="s">
        <v>112</v>
      </c>
      <c r="E5" s="170">
        <f>+IF($A5="",IF($C5="",SUMIFS(全伝票!I:I,全伝票!$B:$B,$B5),SUMIFS(全伝票!I:I,全伝票!$C:$C,$C5)),IF($C5="",SUMIFS(全伝票!I:I,全伝票!$A:$A,$A5,全伝票!$B:$B,$B5),SUMIFS(全伝票!I:I,全伝票!$A:$A,$A5,全伝票!$C:$C,$C5)))</f>
        <v>2110500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2110500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2110500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c r="AG5" s="130"/>
      <c r="AH5" s="130"/>
    </row>
    <row r="6" spans="1:35">
      <c r="A6" s="165">
        <v>1</v>
      </c>
      <c r="B6" s="164" t="s">
        <v>178</v>
      </c>
      <c r="C6" s="163"/>
      <c r="D6" s="162" t="s">
        <v>110</v>
      </c>
      <c r="E6" s="158">
        <f>+IF($A6="",IF($C6="",SUMIFS(全伝票!I:I,全伝票!$B:$B,$B6),SUMIFS(全伝票!I:I,全伝票!$C:$C,$C6)),IF($C6="",SUMIFS(全伝票!I:I,全伝票!$A:$A,$A6,全伝票!$B:$B,$B6),SUMIFS(全伝票!I:I,全伝票!$A:$A,$A6,全伝票!$C:$C,$C6)))</f>
        <v>517574247</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517574247</v>
      </c>
      <c r="N6" s="108">
        <f t="shared" si="1"/>
        <v>0</v>
      </c>
      <c r="O6" s="25">
        <f t="shared" si="3"/>
        <v>0</v>
      </c>
      <c r="P6" s="25">
        <f t="shared" si="2"/>
        <v>0</v>
      </c>
      <c r="Q6" s="157">
        <f t="shared" si="3"/>
        <v>0</v>
      </c>
      <c r="R6" s="157">
        <f t="shared" si="4"/>
        <v>0</v>
      </c>
      <c r="S6" s="22">
        <f t="shared" si="5"/>
        <v>0</v>
      </c>
      <c r="T6" s="109">
        <f t="shared" si="6"/>
        <v>517574247</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177</v>
      </c>
      <c r="C7" s="163"/>
      <c r="D7" s="162" t="s">
        <v>108</v>
      </c>
      <c r="E7" s="158">
        <f>+IF($A7="",IF($C7="",SUMIFS(全伝票!I:I,全伝票!$B:$B,$B7),SUMIFS(全伝票!I:I,全伝票!$C:$C,$C7)),IF($C7="",SUMIFS(全伝票!I:I,全伝票!$A:$A,$A7,全伝票!$B:$B,$B7),SUMIFS(全伝票!I:I,全伝票!$A:$A,$A7,全伝票!$C:$C,$C7)))</f>
        <v>445190780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11930100</v>
      </c>
      <c r="K7" s="34">
        <f t="shared" si="0"/>
        <v>11930100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433260680</v>
      </c>
      <c r="N7" s="108">
        <f t="shared" si="1"/>
        <v>0</v>
      </c>
      <c r="O7" s="25">
        <f t="shared" si="3"/>
        <v>0</v>
      </c>
      <c r="P7" s="25">
        <f t="shared" si="2"/>
        <v>0</v>
      </c>
      <c r="Q7" s="157">
        <f t="shared" si="3"/>
        <v>0</v>
      </c>
      <c r="R7" s="157">
        <f t="shared" si="4"/>
        <v>1084554</v>
      </c>
      <c r="S7" s="22">
        <f t="shared" si="5"/>
        <v>1084554</v>
      </c>
      <c r="T7" s="109">
        <f t="shared" si="6"/>
        <v>444106226</v>
      </c>
      <c r="U7" s="107">
        <f t="shared" si="7"/>
        <v>0</v>
      </c>
      <c r="V7" s="107">
        <f t="shared" si="8"/>
        <v>0</v>
      </c>
      <c r="W7" s="107">
        <f t="shared" si="9"/>
        <v>0</v>
      </c>
      <c r="X7" s="107">
        <f t="shared" si="9"/>
        <v>0</v>
      </c>
      <c r="Y7" s="107">
        <f t="shared" si="10"/>
        <v>-0.54545454541221261</v>
      </c>
      <c r="Z7" s="106">
        <f t="shared" si="11"/>
        <v>0</v>
      </c>
      <c r="AA7" s="106">
        <f t="shared" si="12"/>
        <v>0</v>
      </c>
      <c r="AB7" s="106">
        <f t="shared" si="13"/>
        <v>0</v>
      </c>
      <c r="AC7" s="106">
        <f t="shared" si="13"/>
        <v>0</v>
      </c>
      <c r="AD7" s="106">
        <f t="shared" si="14"/>
        <v>0</v>
      </c>
      <c r="AI7" s="2">
        <v>-1</v>
      </c>
    </row>
    <row r="8" spans="1:35">
      <c r="A8" s="165">
        <v>1</v>
      </c>
      <c r="B8" s="164" t="s">
        <v>176</v>
      </c>
      <c r="C8" s="163"/>
      <c r="D8" s="162" t="s">
        <v>106</v>
      </c>
      <c r="E8" s="158">
        <f>+IF($A8="",IF($C8="",SUMIFS(全伝票!I:I,全伝票!$B:$B,$B8),SUMIFS(全伝票!I:I,全伝票!$C:$C,$C8)),IF($C8="",SUMIFS(全伝票!I:I,全伝票!$A:$A,$A8,全伝票!$B:$B,$B8),SUMIFS(全伝票!I:I,全伝票!$A:$A,$A8,全伝票!$C:$C,$C8)))</f>
        <v>187988770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187208113</v>
      </c>
      <c r="M8" s="158">
        <f>+IF($A8="",IF($C8="",SUMIFS(全伝票!P:P,全伝票!$B:$B,$B8),SUMIFS(全伝票!P:P,全伝票!$C:$C,$C8)),IF($C8="",SUMIFS(全伝票!P:P,全伝票!$A:$A,$A8,全伝票!$B:$B,$B8),SUMIFS(全伝票!P:P,全伝票!$A:$A,$A8,全伝票!$C:$C,$C8)))</f>
        <v>780657</v>
      </c>
      <c r="N8" s="108">
        <f t="shared" si="1"/>
        <v>0</v>
      </c>
      <c r="O8" s="25">
        <f t="shared" si="3"/>
        <v>0</v>
      </c>
      <c r="P8" s="25">
        <f t="shared" si="2"/>
        <v>0</v>
      </c>
      <c r="Q8" s="157">
        <f t="shared" si="3"/>
        <v>0</v>
      </c>
      <c r="R8" s="157">
        <f t="shared" si="4"/>
        <v>0</v>
      </c>
      <c r="S8" s="22">
        <f t="shared" si="5"/>
        <v>0</v>
      </c>
      <c r="T8" s="109">
        <f t="shared" si="6"/>
        <v>187988770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175</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174</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173</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171</v>
      </c>
      <c r="C12" s="163" t="s">
        <v>172</v>
      </c>
      <c r="D12" s="162" t="s">
        <v>98</v>
      </c>
      <c r="E12" s="158">
        <f>+IF($A12="",IF($C12="",SUMIFS(全伝票!I:I,全伝票!$B:$B,$B12),SUMIFS(全伝票!I:I,全伝票!$C:$C,$C12)),IF($C12="",SUMIFS(全伝票!I:I,全伝票!$A:$A,$A12,全伝票!$B:$B,$B12),SUMIFS(全伝票!I:I,全伝票!$A:$A,$A12,全伝票!$C:$C,$C12)))</f>
        <v>225020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225020</v>
      </c>
      <c r="K12" s="34">
        <f t="shared" si="0"/>
        <v>225020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20456</v>
      </c>
      <c r="S12" s="22">
        <f t="shared" si="5"/>
        <v>20456</v>
      </c>
      <c r="T12" s="109">
        <f t="shared" si="6"/>
        <v>204564</v>
      </c>
      <c r="U12" s="107">
        <f t="shared" si="7"/>
        <v>0</v>
      </c>
      <c r="V12" s="107">
        <f t="shared" si="8"/>
        <v>0</v>
      </c>
      <c r="W12" s="107">
        <f t="shared" si="9"/>
        <v>0</v>
      </c>
      <c r="X12" s="107">
        <f t="shared" si="9"/>
        <v>0</v>
      </c>
      <c r="Y12" s="107">
        <f t="shared" si="10"/>
        <v>-0.36363636363603291</v>
      </c>
      <c r="Z12" s="106">
        <f t="shared" si="11"/>
        <v>0</v>
      </c>
      <c r="AA12" s="106">
        <f t="shared" si="12"/>
        <v>0</v>
      </c>
      <c r="AB12" s="106">
        <f t="shared" si="13"/>
        <v>0</v>
      </c>
      <c r="AC12" s="106">
        <f t="shared" si="13"/>
        <v>0</v>
      </c>
      <c r="AD12" s="106">
        <f t="shared" si="14"/>
        <v>0</v>
      </c>
    </row>
    <row r="13" spans="1:35">
      <c r="A13" s="165">
        <v>1</v>
      </c>
      <c r="B13" s="164" t="s">
        <v>171</v>
      </c>
      <c r="C13" s="163" t="s">
        <v>170</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169</v>
      </c>
      <c r="C14" s="163"/>
      <c r="D14" s="162" t="s">
        <v>93</v>
      </c>
      <c r="E14" s="158">
        <f>+IF($A14="",IF($C14="",SUMIFS(全伝票!I:I,全伝票!$B:$B,$B14),SUMIFS(全伝票!I:I,全伝票!$C:$C,$C14)),IF($C14="",SUMIFS(全伝票!I:I,全伝票!$A:$A,$A14,全伝票!$B:$B,$B14),SUMIFS(全伝票!I:I,全伝票!$A:$A,$A14,全伝票!$C:$C,$C14)))</f>
        <v>11013390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30357</v>
      </c>
      <c r="J14" s="159">
        <f>+IF($A14="",IF($C14="",SUMIFS(全伝票!N:N,全伝票!$B:$B,$B14),SUMIFS(全伝票!N:N,全伝票!$C:$C,$C14)),IF($C14="",SUMIFS(全伝票!N:N,全伝票!$A:$A,$A14,全伝票!$B:$B,$B14),SUMIFS(全伝票!N:N,全伝票!$A:$A,$A14,全伝票!$C:$C,$C14)))</f>
        <v>10983033</v>
      </c>
      <c r="K14" s="34">
        <f t="shared" si="0"/>
        <v>11013390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2249</v>
      </c>
      <c r="R14" s="157">
        <f t="shared" si="4"/>
        <v>998457</v>
      </c>
      <c r="S14" s="22">
        <f t="shared" si="5"/>
        <v>1000706</v>
      </c>
      <c r="T14" s="109">
        <f t="shared" si="6"/>
        <v>10012684</v>
      </c>
      <c r="U14" s="107">
        <f t="shared" si="7"/>
        <v>0</v>
      </c>
      <c r="V14" s="107">
        <f t="shared" si="8"/>
        <v>0</v>
      </c>
      <c r="W14" s="107">
        <f t="shared" si="9"/>
        <v>0</v>
      </c>
      <c r="X14" s="107">
        <f t="shared" si="9"/>
        <v>0.33333333333348492</v>
      </c>
      <c r="Y14" s="107">
        <f t="shared" si="10"/>
        <v>-0.54545454541221261</v>
      </c>
      <c r="Z14" s="106">
        <f t="shared" si="11"/>
        <v>0</v>
      </c>
      <c r="AA14" s="106">
        <f t="shared" si="12"/>
        <v>0</v>
      </c>
      <c r="AB14" s="106">
        <f t="shared" si="13"/>
        <v>0</v>
      </c>
      <c r="AC14" s="106">
        <f t="shared" si="13"/>
        <v>0</v>
      </c>
      <c r="AD14" s="106">
        <f t="shared" si="14"/>
        <v>0</v>
      </c>
      <c r="AI14" s="2">
        <v>-1</v>
      </c>
    </row>
    <row r="15" spans="1:35">
      <c r="A15" s="165">
        <v>1</v>
      </c>
      <c r="B15" s="164" t="s">
        <v>168</v>
      </c>
      <c r="C15" s="163"/>
      <c r="D15" s="162" t="s">
        <v>91</v>
      </c>
      <c r="E15" s="158">
        <f>+IF($A15="",IF($C15="",SUMIFS(全伝票!I:I,全伝票!$B:$B,$B15),SUMIFS(全伝票!I:I,全伝票!$C:$C,$C15)),IF($C15="",SUMIFS(全伝票!I:I,全伝票!$A:$A,$A15,全伝票!$B:$B,$B15),SUMIFS(全伝票!I:I,全伝票!$A:$A,$A15,全伝票!$C:$C,$C15)))</f>
        <v>2213663</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2213663</v>
      </c>
      <c r="K15" s="34">
        <f t="shared" si="0"/>
        <v>2213663</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201242</v>
      </c>
      <c r="S15" s="22">
        <f t="shared" si="5"/>
        <v>201242</v>
      </c>
      <c r="T15" s="109">
        <f t="shared" si="6"/>
        <v>2012421</v>
      </c>
      <c r="U15" s="107">
        <f t="shared" si="7"/>
        <v>0</v>
      </c>
      <c r="V15" s="107">
        <f t="shared" si="8"/>
        <v>0</v>
      </c>
      <c r="W15" s="107">
        <f t="shared" si="9"/>
        <v>0</v>
      </c>
      <c r="X15" s="107">
        <f t="shared" si="9"/>
        <v>0</v>
      </c>
      <c r="Y15" s="107">
        <f t="shared" si="10"/>
        <v>-9.0909090911736712E-2</v>
      </c>
      <c r="Z15" s="106">
        <f t="shared" si="11"/>
        <v>0</v>
      </c>
      <c r="AA15" s="106">
        <f t="shared" si="12"/>
        <v>0</v>
      </c>
      <c r="AB15" s="106">
        <f t="shared" si="13"/>
        <v>0</v>
      </c>
      <c r="AC15" s="106">
        <f t="shared" si="13"/>
        <v>0</v>
      </c>
      <c r="AD15" s="106">
        <f t="shared" si="14"/>
        <v>0</v>
      </c>
    </row>
    <row r="16" spans="1:35">
      <c r="A16" s="165">
        <v>1</v>
      </c>
      <c r="B16" s="164" t="s">
        <v>167</v>
      </c>
      <c r="C16" s="163"/>
      <c r="D16" s="162" t="s">
        <v>89</v>
      </c>
      <c r="E16" s="158">
        <f>+IF($A16="",IF($C16="",SUMIFS(全伝票!I:I,全伝票!$B:$B,$B16),SUMIFS(全伝票!I:I,全伝票!$C:$C,$C16)),IF($C16="",SUMIFS(全伝票!I:I,全伝票!$A:$A,$A16,全伝票!$B:$B,$B16),SUMIFS(全伝票!I:I,全伝票!$A:$A,$A16,全伝票!$C:$C,$C16)))</f>
        <v>16902233</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16902233</v>
      </c>
      <c r="K16" s="34">
        <f t="shared" si="0"/>
        <v>16902233</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1536567</v>
      </c>
      <c r="S16" s="22">
        <f t="shared" si="5"/>
        <v>1536567</v>
      </c>
      <c r="T16" s="109">
        <f t="shared" si="6"/>
        <v>15365666</v>
      </c>
      <c r="U16" s="107">
        <f t="shared" si="7"/>
        <v>0</v>
      </c>
      <c r="V16" s="107">
        <f t="shared" si="8"/>
        <v>0</v>
      </c>
      <c r="W16" s="107">
        <f t="shared" si="9"/>
        <v>0</v>
      </c>
      <c r="X16" s="107">
        <f t="shared" si="9"/>
        <v>0</v>
      </c>
      <c r="Y16" s="107">
        <f t="shared" si="10"/>
        <v>0.36363636353053153</v>
      </c>
      <c r="Z16" s="106">
        <f t="shared" si="11"/>
        <v>0</v>
      </c>
      <c r="AA16" s="106">
        <f t="shared" si="12"/>
        <v>0</v>
      </c>
      <c r="AB16" s="106">
        <f t="shared" si="13"/>
        <v>0</v>
      </c>
      <c r="AC16" s="106">
        <f t="shared" si="13"/>
        <v>0</v>
      </c>
      <c r="AD16" s="106">
        <f t="shared" si="14"/>
        <v>0</v>
      </c>
    </row>
    <row r="17" spans="1:30">
      <c r="A17" s="165">
        <v>1</v>
      </c>
      <c r="B17" s="164" t="s">
        <v>166</v>
      </c>
      <c r="C17" s="163"/>
      <c r="D17" s="162" t="s">
        <v>87</v>
      </c>
      <c r="E17" s="158">
        <f>+IF($A17="",IF($C17="",SUMIFS(全伝票!I:I,全伝票!$B:$B,$B17),SUMIFS(全伝票!I:I,全伝票!$C:$C,$C17)),IF($C17="",SUMIFS(全伝票!I:I,全伝票!$A:$A,$A17,全伝票!$B:$B,$B17),SUMIFS(全伝票!I:I,全伝票!$A:$A,$A17,全伝票!$C:$C,$C17)))</f>
        <v>12573953</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12573953</v>
      </c>
      <c r="K17" s="34">
        <f t="shared" si="0"/>
        <v>12573953</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1143087</v>
      </c>
      <c r="S17" s="22">
        <f t="shared" si="5"/>
        <v>1143087</v>
      </c>
      <c r="T17" s="109">
        <f t="shared" si="6"/>
        <v>11430866</v>
      </c>
      <c r="U17" s="107">
        <f t="shared" si="7"/>
        <v>0</v>
      </c>
      <c r="V17" s="107">
        <f t="shared" si="8"/>
        <v>0</v>
      </c>
      <c r="W17" s="107">
        <f t="shared" si="9"/>
        <v>0</v>
      </c>
      <c r="X17" s="107">
        <f t="shared" si="9"/>
        <v>0</v>
      </c>
      <c r="Y17" s="107">
        <f t="shared" si="10"/>
        <v>0.36363636353053153</v>
      </c>
      <c r="Z17" s="106">
        <f t="shared" si="11"/>
        <v>0</v>
      </c>
      <c r="AA17" s="106">
        <f t="shared" si="12"/>
        <v>0</v>
      </c>
      <c r="AB17" s="106">
        <f t="shared" si="13"/>
        <v>0</v>
      </c>
      <c r="AC17" s="106">
        <f t="shared" si="13"/>
        <v>0</v>
      </c>
      <c r="AD17" s="106">
        <f t="shared" si="14"/>
        <v>0</v>
      </c>
    </row>
    <row r="18" spans="1:30">
      <c r="A18" s="165">
        <v>1</v>
      </c>
      <c r="B18" s="164" t="s">
        <v>165</v>
      </c>
      <c r="C18" s="163"/>
      <c r="D18" s="162" t="s">
        <v>85</v>
      </c>
      <c r="E18" s="158">
        <f>+IF($A18="",IF($C18="",SUMIFS(全伝票!I:I,全伝票!$B:$B,$B18),SUMIFS(全伝票!I:I,全伝票!$C:$C,$C18)),IF($C18="",SUMIFS(全伝票!I:I,全伝票!$A:$A,$A18,全伝票!$B:$B,$B18),SUMIFS(全伝票!I:I,全伝票!$A:$A,$A18,全伝票!$C:$C,$C18)))</f>
        <v>155875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97165</v>
      </c>
      <c r="K18" s="34">
        <f t="shared" si="0"/>
        <v>97165</v>
      </c>
      <c r="L18" s="158">
        <f>+IF($A18="",IF($C18="",SUMIFS(全伝票!O:O,全伝票!$B:$B,$B18),SUMIFS(全伝票!O:O,全伝票!$C:$C,$C18)),IF($C18="",SUMIFS(全伝票!O:O,全伝票!$A:$A,$A18,全伝票!$B:$B,$B18),SUMIFS(全伝票!O:O,全伝票!$A:$A,$A18,全伝票!$C:$C,$C18)))</f>
        <v>49050</v>
      </c>
      <c r="M18" s="158">
        <f>+IF($A18="",IF($C18="",SUMIFS(全伝票!P:P,全伝票!$B:$B,$B18),SUMIFS(全伝票!P:P,全伝票!$C:$C,$C18)),IF($C18="",SUMIFS(全伝票!P:P,全伝票!$A:$A,$A18,全伝票!$B:$B,$B18),SUMIFS(全伝票!P:P,全伝票!$A:$A,$A18,全伝票!$C:$C,$C18)))</f>
        <v>9660</v>
      </c>
      <c r="N18" s="108">
        <f t="shared" si="1"/>
        <v>0</v>
      </c>
      <c r="O18" s="25">
        <f t="shared" si="3"/>
        <v>0</v>
      </c>
      <c r="P18" s="25">
        <f t="shared" si="2"/>
        <v>0</v>
      </c>
      <c r="Q18" s="157">
        <f t="shared" si="3"/>
        <v>0</v>
      </c>
      <c r="R18" s="157">
        <f t="shared" si="4"/>
        <v>8833</v>
      </c>
      <c r="S18" s="22">
        <f t="shared" si="5"/>
        <v>8833</v>
      </c>
      <c r="T18" s="109">
        <f t="shared" si="6"/>
        <v>147042</v>
      </c>
      <c r="U18" s="107">
        <f t="shared" si="7"/>
        <v>0</v>
      </c>
      <c r="V18" s="107">
        <f t="shared" si="8"/>
        <v>0</v>
      </c>
      <c r="W18" s="107">
        <f t="shared" si="9"/>
        <v>0</v>
      </c>
      <c r="X18" s="107">
        <f t="shared" si="9"/>
        <v>0</v>
      </c>
      <c r="Y18" s="107">
        <f t="shared" si="10"/>
        <v>-0.18181818181801646</v>
      </c>
      <c r="Z18" s="106">
        <f t="shared" si="11"/>
        <v>0</v>
      </c>
      <c r="AA18" s="106">
        <f t="shared" si="12"/>
        <v>0</v>
      </c>
      <c r="AB18" s="106">
        <f t="shared" si="13"/>
        <v>0</v>
      </c>
      <c r="AC18" s="106">
        <f t="shared" si="13"/>
        <v>0</v>
      </c>
      <c r="AD18" s="106">
        <f t="shared" si="14"/>
        <v>0</v>
      </c>
    </row>
    <row r="19" spans="1:30">
      <c r="A19" s="165">
        <v>1</v>
      </c>
      <c r="B19" s="164" t="s">
        <v>164</v>
      </c>
      <c r="C19" s="163"/>
      <c r="D19" s="162" t="s">
        <v>83</v>
      </c>
      <c r="E19" s="158">
        <f>+IF($A19="",IF($C19="",SUMIFS(全伝票!I:I,全伝票!$B:$B,$B19),SUMIFS(全伝票!I:I,全伝票!$C:$C,$C19)),IF($C19="",SUMIFS(全伝票!I:I,全伝票!$A:$A,$A19,全伝票!$B:$B,$B19),SUMIFS(全伝票!I:I,全伝票!$A:$A,$A19,全伝票!$C:$C,$C19)))</f>
        <v>1295496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786510</v>
      </c>
      <c r="K19" s="34">
        <f t="shared" si="0"/>
        <v>786510</v>
      </c>
      <c r="L19" s="158">
        <f>+IF($A19="",IF($C19="",SUMIFS(全伝票!O:O,全伝票!$B:$B,$B19),SUMIFS(全伝票!O:O,全伝票!$C:$C,$C19)),IF($C19="",SUMIFS(全伝票!O:O,全伝票!$A:$A,$A19,全伝票!$B:$B,$B19),SUMIFS(全伝票!O:O,全伝票!$A:$A,$A19,全伝票!$C:$C,$C19)))</f>
        <v>508986</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71501</v>
      </c>
      <c r="S19" s="22">
        <f t="shared" si="5"/>
        <v>71501</v>
      </c>
      <c r="T19" s="109">
        <f t="shared" si="6"/>
        <v>1223995</v>
      </c>
      <c r="U19" s="107">
        <f t="shared" si="7"/>
        <v>0</v>
      </c>
      <c r="V19" s="107">
        <f t="shared" si="8"/>
        <v>0</v>
      </c>
      <c r="W19" s="107">
        <f t="shared" si="9"/>
        <v>0</v>
      </c>
      <c r="X19" s="107">
        <f t="shared" si="9"/>
        <v>0</v>
      </c>
      <c r="Y19" s="107">
        <f t="shared" si="10"/>
        <v>9.0909090911736712E-2</v>
      </c>
      <c r="Z19" s="106">
        <f t="shared" si="11"/>
        <v>0</v>
      </c>
      <c r="AA19" s="106">
        <f t="shared" si="12"/>
        <v>0</v>
      </c>
      <c r="AB19" s="106">
        <f t="shared" si="13"/>
        <v>0</v>
      </c>
      <c r="AC19" s="106">
        <f t="shared" si="13"/>
        <v>0</v>
      </c>
      <c r="AD19" s="106">
        <f t="shared" si="14"/>
        <v>0</v>
      </c>
    </row>
    <row r="20" spans="1:30">
      <c r="A20" s="165">
        <v>1</v>
      </c>
      <c r="B20" s="164" t="s">
        <v>163</v>
      </c>
      <c r="C20" s="163"/>
      <c r="D20" s="162" t="s">
        <v>81</v>
      </c>
      <c r="E20" s="158">
        <f>+IF($A20="",IF($C20="",SUMIFS(全伝票!I:I,全伝票!$B:$B,$B20),SUMIFS(全伝票!I:I,全伝票!$C:$C,$C20)),IF($C20="",SUMIFS(全伝票!I:I,全伝票!$A:$A,$A20,全伝票!$B:$B,$B20),SUMIFS(全伝票!I:I,全伝票!$A:$A,$A20,全伝票!$C:$C,$C20)))</f>
        <v>428095489</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428095489</v>
      </c>
      <c r="K20" s="34">
        <f t="shared" si="0"/>
        <v>428095489</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38917772</v>
      </c>
      <c r="S20" s="22">
        <f t="shared" si="5"/>
        <v>38917772</v>
      </c>
      <c r="T20" s="109">
        <f t="shared" si="6"/>
        <v>389177717</v>
      </c>
      <c r="U20" s="107">
        <f t="shared" si="7"/>
        <v>0</v>
      </c>
      <c r="V20" s="107">
        <f t="shared" si="8"/>
        <v>0</v>
      </c>
      <c r="W20" s="107">
        <f t="shared" si="9"/>
        <v>0</v>
      </c>
      <c r="X20" s="107">
        <f t="shared" si="9"/>
        <v>0</v>
      </c>
      <c r="Y20" s="107">
        <f t="shared" si="10"/>
        <v>0.27272727340459824</v>
      </c>
      <c r="Z20" s="106">
        <f t="shared" si="11"/>
        <v>0</v>
      </c>
      <c r="AA20" s="106">
        <f t="shared" si="12"/>
        <v>0</v>
      </c>
      <c r="AB20" s="106">
        <f t="shared" si="13"/>
        <v>0</v>
      </c>
      <c r="AC20" s="106">
        <f t="shared" si="13"/>
        <v>0</v>
      </c>
      <c r="AD20" s="106">
        <f t="shared" si="14"/>
        <v>0</v>
      </c>
    </row>
    <row r="21" spans="1:30">
      <c r="A21" s="165">
        <v>1</v>
      </c>
      <c r="B21" s="164" t="s">
        <v>162</v>
      </c>
      <c r="C21" s="163"/>
      <c r="D21" s="162" t="s">
        <v>79</v>
      </c>
      <c r="E21" s="158">
        <f>+IF($A21="",IF($C21="",SUMIFS(全伝票!I:I,全伝票!$B:$B,$B21),SUMIFS(全伝票!I:I,全伝票!$C:$C,$C21)),IF($C21="",SUMIFS(全伝票!I:I,全伝票!$A:$A,$A21,全伝票!$B:$B,$B21),SUMIFS(全伝票!I:I,全伝票!$A:$A,$A21,全伝票!$C:$C,$C21)))</f>
        <v>166478038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166478038</v>
      </c>
      <c r="K21" s="34">
        <f t="shared" si="0"/>
        <v>166478038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15134367</v>
      </c>
      <c r="S21" s="22">
        <f t="shared" si="5"/>
        <v>15134367</v>
      </c>
      <c r="T21" s="109">
        <f t="shared" si="6"/>
        <v>151343671</v>
      </c>
      <c r="U21" s="107">
        <f t="shared" si="7"/>
        <v>0</v>
      </c>
      <c r="V21" s="107">
        <f t="shared" si="8"/>
        <v>0</v>
      </c>
      <c r="W21" s="107">
        <f t="shared" si="9"/>
        <v>0</v>
      </c>
      <c r="X21" s="107">
        <f t="shared" si="9"/>
        <v>0</v>
      </c>
      <c r="Y21" s="107">
        <f t="shared" si="10"/>
        <v>-9.0909091755747795E-2</v>
      </c>
      <c r="Z21" s="106">
        <f t="shared" si="11"/>
        <v>0</v>
      </c>
      <c r="AA21" s="106">
        <f t="shared" si="12"/>
        <v>0</v>
      </c>
      <c r="AB21" s="106">
        <f t="shared" si="13"/>
        <v>0</v>
      </c>
      <c r="AC21" s="106">
        <f t="shared" si="13"/>
        <v>0</v>
      </c>
      <c r="AD21" s="106">
        <f t="shared" si="14"/>
        <v>0</v>
      </c>
    </row>
    <row r="22" spans="1:30">
      <c r="A22" s="165">
        <v>1</v>
      </c>
      <c r="B22" s="164" t="s">
        <v>161</v>
      </c>
      <c r="C22" s="163"/>
      <c r="D22" s="162" t="s">
        <v>77</v>
      </c>
      <c r="E22" s="158">
        <f>+IF($A22="",IF($C22="",SUMIFS(全伝票!I:I,全伝票!$B:$B,$B22),SUMIFS(全伝票!I:I,全伝票!$C:$C,$C22)),IF($C22="",SUMIFS(全伝票!I:I,全伝票!$A:$A,$A22,全伝票!$B:$B,$B22),SUMIFS(全伝票!I:I,全伝票!$A:$A,$A22,全伝票!$C:$C,$C22)))</f>
        <v>50100458</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50100458</v>
      </c>
      <c r="K22" s="34">
        <f t="shared" si="0"/>
        <v>50100458</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4554587</v>
      </c>
      <c r="S22" s="22">
        <f t="shared" si="5"/>
        <v>4554587</v>
      </c>
      <c r="T22" s="109">
        <f t="shared" si="6"/>
        <v>45545871</v>
      </c>
      <c r="U22" s="107">
        <f t="shared" si="7"/>
        <v>0</v>
      </c>
      <c r="V22" s="107">
        <f t="shared" si="8"/>
        <v>0</v>
      </c>
      <c r="W22" s="107">
        <f t="shared" si="9"/>
        <v>0</v>
      </c>
      <c r="X22" s="107">
        <f t="shared" si="9"/>
        <v>0</v>
      </c>
      <c r="Y22" s="107">
        <f t="shared" si="10"/>
        <v>-9.090909082442522E-2</v>
      </c>
      <c r="Z22" s="106">
        <f t="shared" si="11"/>
        <v>0</v>
      </c>
      <c r="AA22" s="106">
        <f t="shared" si="12"/>
        <v>0</v>
      </c>
      <c r="AB22" s="106">
        <f t="shared" si="13"/>
        <v>0</v>
      </c>
      <c r="AC22" s="106">
        <f t="shared" si="13"/>
        <v>0</v>
      </c>
      <c r="AD22" s="106">
        <f t="shared" si="14"/>
        <v>0</v>
      </c>
    </row>
    <row r="23" spans="1:30">
      <c r="A23" s="165">
        <v>1</v>
      </c>
      <c r="B23" s="164" t="s">
        <v>160</v>
      </c>
      <c r="C23" s="163"/>
      <c r="D23" s="162" t="s">
        <v>75</v>
      </c>
      <c r="E23" s="158">
        <f>+IF($A23="",IF($C23="",SUMIFS(全伝票!I:I,全伝票!$B:$B,$B23),SUMIFS(全伝票!I:I,全伝票!$C:$C,$C23)),IF($C23="",SUMIFS(全伝票!I:I,全伝票!$A:$A,$A23,全伝票!$B:$B,$B23),SUMIFS(全伝票!I:I,全伝票!$A:$A,$A23,全伝票!$C:$C,$C23)))</f>
        <v>25190000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25190000</v>
      </c>
      <c r="K23" s="34">
        <f t="shared" si="0"/>
        <v>25190000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2290000</v>
      </c>
      <c r="S23" s="22">
        <f t="shared" si="5"/>
        <v>2290000</v>
      </c>
      <c r="T23" s="109">
        <f t="shared" si="6"/>
        <v>22900000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159</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157</v>
      </c>
      <c r="C25" s="163" t="s">
        <v>158</v>
      </c>
      <c r="D25" s="162" t="s">
        <v>71</v>
      </c>
      <c r="E25" s="158">
        <f>+IF($A25="",IF($C25="",SUMIFS(全伝票!I:I,全伝票!$B:$B,$B25),SUMIFS(全伝票!I:I,全伝票!$C:$C,$C25)),IF($C25="",SUMIFS(全伝票!I:I,全伝票!$A:$A,$A25,全伝票!$B:$B,$B25),SUMIFS(全伝票!I:I,全伝票!$A:$A,$A25,全伝票!$C:$C,$C25)))</f>
        <v>383761300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383761300</v>
      </c>
      <c r="K25" s="34">
        <f t="shared" si="0"/>
        <v>383761300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34887391</v>
      </c>
      <c r="S25" s="22">
        <f t="shared" si="5"/>
        <v>34887391</v>
      </c>
      <c r="T25" s="109">
        <f t="shared" si="6"/>
        <v>348873909</v>
      </c>
      <c r="U25" s="107">
        <f t="shared" si="7"/>
        <v>0</v>
      </c>
      <c r="V25" s="107">
        <f t="shared" si="8"/>
        <v>0</v>
      </c>
      <c r="W25" s="107">
        <f t="shared" si="9"/>
        <v>0</v>
      </c>
      <c r="X25" s="107">
        <f t="shared" si="9"/>
        <v>0</v>
      </c>
      <c r="Y25" s="107">
        <f t="shared" si="10"/>
        <v>9.0909093618392944E-2</v>
      </c>
      <c r="Z25" s="106">
        <f t="shared" si="11"/>
        <v>0</v>
      </c>
      <c r="AA25" s="106">
        <f t="shared" si="12"/>
        <v>0</v>
      </c>
      <c r="AB25" s="106">
        <f t="shared" si="13"/>
        <v>0</v>
      </c>
      <c r="AC25" s="106">
        <f t="shared" si="13"/>
        <v>0</v>
      </c>
      <c r="AD25" s="106">
        <f t="shared" si="14"/>
        <v>0</v>
      </c>
    </row>
    <row r="26" spans="1:30">
      <c r="A26" s="165">
        <v>1</v>
      </c>
      <c r="B26" s="164" t="s">
        <v>157</v>
      </c>
      <c r="C26" s="163" t="s">
        <v>156</v>
      </c>
      <c r="D26" s="162" t="s">
        <v>68</v>
      </c>
      <c r="E26" s="158">
        <f>+IF($A26="",IF($C26="",SUMIFS(全伝票!I:I,全伝票!$B:$B,$B26),SUMIFS(全伝票!I:I,全伝票!$C:$C,$C26)),IF($C26="",SUMIFS(全伝票!I:I,全伝票!$A:$A,$A26,全伝票!$B:$B,$B26),SUMIFS(全伝票!I:I,全伝票!$A:$A,$A26,全伝票!$C:$C,$C26)))</f>
        <v>28445230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28445230</v>
      </c>
      <c r="K26" s="34">
        <f t="shared" si="0"/>
        <v>28445230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2585930</v>
      </c>
      <c r="S26" s="22">
        <f t="shared" si="5"/>
        <v>2585930</v>
      </c>
      <c r="T26" s="109">
        <f t="shared" si="6"/>
        <v>25859300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155</v>
      </c>
      <c r="C27" s="163"/>
      <c r="D27" s="162" t="s">
        <v>66</v>
      </c>
      <c r="E27" s="158">
        <f>+IF($A27="",IF($C27="",SUMIFS(全伝票!I:I,全伝票!$B:$B,$B27),SUMIFS(全伝票!I:I,全伝票!$C:$C,$C27)),IF($C27="",SUMIFS(全伝票!I:I,全伝票!$A:$A,$A27,全伝票!$B:$B,$B27),SUMIFS(全伝票!I:I,全伝票!$A:$A,$A27,全伝票!$C:$C,$C27)))</f>
        <v>42735</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42735</v>
      </c>
      <c r="K27" s="34">
        <f t="shared" si="0"/>
        <v>42735</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3885</v>
      </c>
      <c r="S27" s="22">
        <f t="shared" si="5"/>
        <v>3885</v>
      </c>
      <c r="T27" s="109">
        <f t="shared" si="6"/>
        <v>38850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154</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153</v>
      </c>
      <c r="C29" s="163"/>
      <c r="D29" s="162" t="s">
        <v>62</v>
      </c>
      <c r="E29" s="158">
        <f>+IF($A29="",IF($C29="",SUMIFS(全伝票!I:I,全伝票!$B:$B,$B29),SUMIFS(全伝票!I:I,全伝票!$C:$C,$C29)),IF($C29="",SUMIFS(全伝票!I:I,全伝票!$A:$A,$A29,全伝票!$B:$B,$B29),SUMIFS(全伝票!I:I,全伝票!$A:$A,$A29,全伝票!$C:$C,$C29)))</f>
        <v>12205239</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10201576</v>
      </c>
      <c r="K29" s="34">
        <f t="shared" si="0"/>
        <v>10201576</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2003663</v>
      </c>
      <c r="N29" s="108">
        <f t="shared" si="1"/>
        <v>0</v>
      </c>
      <c r="O29" s="25">
        <f t="shared" si="3"/>
        <v>0</v>
      </c>
      <c r="P29" s="25">
        <f t="shared" si="2"/>
        <v>0</v>
      </c>
      <c r="Q29" s="157">
        <f t="shared" si="3"/>
        <v>0</v>
      </c>
      <c r="R29" s="157">
        <f t="shared" si="4"/>
        <v>927416</v>
      </c>
      <c r="S29" s="22">
        <f t="shared" si="5"/>
        <v>927416</v>
      </c>
      <c r="T29" s="109">
        <f t="shared" si="6"/>
        <v>11277823</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152</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151</v>
      </c>
      <c r="C31" s="163"/>
      <c r="D31" s="162" t="s">
        <v>58</v>
      </c>
      <c r="E31" s="158">
        <f>+IF($A31="",IF($C31="",SUMIFS(全伝票!I:I,全伝票!$B:$B,$B31),SUMIFS(全伝票!I:I,全伝票!$C:$C,$C31)),IF($C31="",SUMIFS(全伝票!I:I,全伝票!$A:$A,$A31,全伝票!$B:$B,$B31),SUMIFS(全伝票!I:I,全伝票!$A:$A,$A31,全伝票!$C:$C,$C31)))</f>
        <v>819427</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819427</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819427</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150</v>
      </c>
      <c r="C32" s="163"/>
      <c r="D32" s="162" t="s">
        <v>56</v>
      </c>
      <c r="E32" s="158">
        <f>+IF($A32="",IF($C32="",SUMIFS(全伝票!I:I,全伝票!$B:$B,$B32),SUMIFS(全伝票!I:I,全伝票!$C:$C,$C32)),IF($C32="",SUMIFS(全伝票!I:I,全伝票!$A:$A,$A32,全伝票!$B:$B,$B32),SUMIFS(全伝票!I:I,全伝票!$A:$A,$A32,全伝票!$C:$C,$C32)))</f>
        <v>311782</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311782</v>
      </c>
      <c r="N32" s="108">
        <f t="shared" si="1"/>
        <v>0</v>
      </c>
      <c r="O32" s="25">
        <f t="shared" si="3"/>
        <v>0</v>
      </c>
      <c r="P32" s="25">
        <f t="shared" si="2"/>
        <v>0</v>
      </c>
      <c r="Q32" s="157">
        <f t="shared" si="3"/>
        <v>0</v>
      </c>
      <c r="R32" s="157">
        <f t="shared" si="4"/>
        <v>0</v>
      </c>
      <c r="S32" s="22">
        <f t="shared" si="5"/>
        <v>0</v>
      </c>
      <c r="T32" s="109">
        <f t="shared" si="6"/>
        <v>311782</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171</v>
      </c>
      <c r="C33" s="163">
        <v>883061003</v>
      </c>
      <c r="D33" s="162" t="s">
        <v>609</v>
      </c>
      <c r="E33" s="158">
        <f>+IF($A33="",IF($C33="",SUMIFS(全伝票!I:I,全伝票!$B:$B,$B33),SUMIFS(全伝票!I:I,全伝票!$C:$C,$C33)),IF($C33="",SUMIFS(全伝票!I:I,全伝票!$A:$A,$A33,全伝票!$B:$B,$B33),SUMIFS(全伝票!I:I,全伝票!$A:$A,$A33,全伝票!$C:$C,$C33)))</f>
        <v>153600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153600</v>
      </c>
      <c r="K33" s="34">
        <f t="shared" si="0"/>
        <v>153600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13964</v>
      </c>
      <c r="S33" s="22">
        <f t="shared" si="5"/>
        <v>13964</v>
      </c>
      <c r="T33" s="109">
        <f t="shared" si="6"/>
        <v>139636</v>
      </c>
      <c r="U33" s="107">
        <f t="shared" si="7"/>
        <v>0</v>
      </c>
      <c r="V33" s="107">
        <f t="shared" si="8"/>
        <v>0</v>
      </c>
      <c r="W33" s="107">
        <f t="shared" si="9"/>
        <v>0</v>
      </c>
      <c r="X33" s="107">
        <f t="shared" si="9"/>
        <v>0</v>
      </c>
      <c r="Y33" s="107">
        <f t="shared" si="10"/>
        <v>0.36363636363603291</v>
      </c>
      <c r="Z33" s="106">
        <f t="shared" si="11"/>
        <v>0</v>
      </c>
      <c r="AA33" s="106">
        <f t="shared" si="12"/>
        <v>0</v>
      </c>
      <c r="AB33" s="106">
        <f t="shared" si="13"/>
        <v>0</v>
      </c>
      <c r="AC33" s="106">
        <f t="shared" si="13"/>
        <v>0</v>
      </c>
      <c r="AD33" s="106">
        <f t="shared" si="14"/>
        <v>0</v>
      </c>
    </row>
    <row r="34" spans="1:30">
      <c r="A34" s="165">
        <v>1</v>
      </c>
      <c r="B34" s="164" t="s">
        <v>149</v>
      </c>
      <c r="C34" s="163"/>
      <c r="D34" s="162" t="s">
        <v>53</v>
      </c>
      <c r="E34" s="158">
        <f>+IF($A34="",IF($C34="",SUMIFS(全伝票!I:I,全伝票!$B:$B,$B34),SUMIFS(全伝票!I:I,全伝票!$C:$C,$C34)),IF($C34="",SUMIFS(全伝票!I:I,全伝票!$A:$A,$A34,全伝票!$B:$B,$B34),SUMIFS(全伝票!I:I,全伝票!$A:$A,$A34,全伝票!$C:$C,$C34)))</f>
        <v>63193000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63193000</v>
      </c>
      <c r="N34" s="108">
        <f t="shared" si="1"/>
        <v>0</v>
      </c>
      <c r="O34" s="25">
        <f t="shared" si="3"/>
        <v>0</v>
      </c>
      <c r="P34" s="25">
        <f t="shared" si="2"/>
        <v>0</v>
      </c>
      <c r="Q34" s="157">
        <f t="shared" si="3"/>
        <v>0</v>
      </c>
      <c r="R34" s="157">
        <f t="shared" si="4"/>
        <v>0</v>
      </c>
      <c r="S34" s="22">
        <f t="shared" si="5"/>
        <v>0</v>
      </c>
      <c r="T34" s="109">
        <f t="shared" si="6"/>
        <v>63193000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148</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2356040225</v>
      </c>
      <c r="F36" s="152">
        <f t="shared" si="15"/>
        <v>0</v>
      </c>
      <c r="G36" s="151">
        <f t="shared" si="15"/>
        <v>0</v>
      </c>
      <c r="H36" s="151">
        <f t="shared" si="15"/>
        <v>0</v>
      </c>
      <c r="I36" s="150">
        <f t="shared" ref="I36" si="16">SUM(I5:I35)</f>
        <v>30357</v>
      </c>
      <c r="J36" s="150">
        <f t="shared" si="15"/>
        <v>1148180103</v>
      </c>
      <c r="K36" s="74">
        <f t="shared" si="15"/>
        <v>1148210460</v>
      </c>
      <c r="L36" s="149">
        <f t="shared" si="15"/>
        <v>188585576</v>
      </c>
      <c r="M36" s="149">
        <f t="shared" si="15"/>
        <v>1019244189</v>
      </c>
      <c r="N36" s="146">
        <f t="shared" si="15"/>
        <v>0</v>
      </c>
      <c r="O36" s="145">
        <f t="shared" si="15"/>
        <v>0</v>
      </c>
      <c r="P36" s="145">
        <f t="shared" si="15"/>
        <v>0</v>
      </c>
      <c r="Q36" s="148">
        <f t="shared" ref="Q36" si="17">SUM(Q5:Q35)</f>
        <v>2249</v>
      </c>
      <c r="R36" s="148">
        <f t="shared" si="15"/>
        <v>104380009</v>
      </c>
      <c r="S36" s="144">
        <f t="shared" si="15"/>
        <v>104382258</v>
      </c>
      <c r="T36" s="147">
        <f t="shared" si="15"/>
        <v>2251657967</v>
      </c>
      <c r="U36" s="88" t="str">
        <f>+IF(F36=0,"",ROUND(F36*F$4/(100+F$4),7)-N36)</f>
        <v/>
      </c>
      <c r="V36" s="88"/>
      <c r="W36" s="88"/>
      <c r="X36" s="88"/>
      <c r="Y36" s="88"/>
      <c r="Z36" s="88"/>
      <c r="AA36" s="88"/>
      <c r="AB36" s="87"/>
      <c r="AC36" s="87"/>
      <c r="AD36" s="87"/>
    </row>
    <row r="37" spans="1:30">
      <c r="A37" s="143"/>
      <c r="B37" s="142"/>
      <c r="C37" s="141"/>
      <c r="D37" s="140" t="s">
        <v>1</v>
      </c>
      <c r="E37" s="136">
        <f t="shared" ref="E37:J37" si="18">+E36</f>
        <v>2356040225</v>
      </c>
      <c r="F37" s="139">
        <f t="shared" si="18"/>
        <v>0</v>
      </c>
      <c r="G37" s="138">
        <f t="shared" si="18"/>
        <v>0</v>
      </c>
      <c r="H37" s="138">
        <f t="shared" si="18"/>
        <v>0</v>
      </c>
      <c r="I37" s="137">
        <f t="shared" si="18"/>
        <v>30357</v>
      </c>
      <c r="J37" s="137">
        <f t="shared" si="18"/>
        <v>1148180103</v>
      </c>
      <c r="K37" s="63">
        <f>SUM(F37:J37)</f>
        <v>1148210460</v>
      </c>
      <c r="L37" s="136">
        <f>+L36</f>
        <v>188585576</v>
      </c>
      <c r="M37" s="135">
        <f>+M36</f>
        <v>1019244189</v>
      </c>
      <c r="N37" s="133">
        <f>+'3条支出'!N8</f>
        <v>0</v>
      </c>
      <c r="O37" s="132">
        <f>+'3条支出'!O8</f>
        <v>0</v>
      </c>
      <c r="P37" s="132">
        <f>+'3条支出'!P8</f>
        <v>0</v>
      </c>
      <c r="Q37" s="132">
        <f>+'3条支出'!Q8</f>
        <v>2249</v>
      </c>
      <c r="R37" s="132">
        <f>+'3条支出'!R8</f>
        <v>104380009</v>
      </c>
      <c r="S37" s="131">
        <f>+'3条支出'!S8</f>
        <v>104382258</v>
      </c>
      <c r="T37" s="134">
        <f>+'3条支出'!T8</f>
        <v>2251657967</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96" priority="3" stopIfTrue="1">
      <formula>LEN(TRIM(AE5))&gt;0</formula>
    </cfRule>
  </conditionalFormatting>
  <conditionalFormatting sqref="AE36:AI37">
    <cfRule type="notContainsBlanks" dxfId="95" priority="4" stopIfTrue="1">
      <formula>LEN(TRIM(AE36))&gt;0</formula>
    </cfRule>
  </conditionalFormatting>
  <conditionalFormatting sqref="Z5:AD35">
    <cfRule type="expression" dxfId="94" priority="2">
      <formula>ABS(Z5)=1</formula>
    </cfRule>
  </conditionalFormatting>
  <conditionalFormatting sqref="E38:T38">
    <cfRule type="cellIs" dxfId="9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213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212</v>
      </c>
      <c r="C5" s="175"/>
      <c r="D5" s="174" t="s">
        <v>112</v>
      </c>
      <c r="E5" s="170">
        <f>+IF($A5="",IF($C5="",SUMIFS(全伝票!I:I,全伝票!$B:$B,$B5),SUMIFS(全伝票!I:I,全伝票!$C:$C,$C5)),IF($C5="",SUMIFS(全伝票!I:I,全伝票!$A:$A,$A5,全伝票!$B:$B,$B5),SUMIFS(全伝票!I:I,全伝票!$A:$A,$A5,全伝票!$C:$C,$C5)))</f>
        <v>1115544</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1115544</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1115544</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211</v>
      </c>
      <c r="C6" s="163"/>
      <c r="D6" s="162" t="s">
        <v>110</v>
      </c>
      <c r="E6" s="158">
        <f>+IF($A6="",IF($C6="",SUMIFS(全伝票!I:I,全伝票!$B:$B,$B6),SUMIFS(全伝票!I:I,全伝票!$C:$C,$C6)),IF($C6="",SUMIFS(全伝票!I:I,全伝票!$A:$A,$A6,全伝票!$B:$B,$B6),SUMIFS(全伝票!I:I,全伝票!$A:$A,$A6,全伝票!$C:$C,$C6)))</f>
        <v>370587446</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370587446</v>
      </c>
      <c r="N6" s="108">
        <f t="shared" si="1"/>
        <v>0</v>
      </c>
      <c r="O6" s="25">
        <f t="shared" si="3"/>
        <v>0</v>
      </c>
      <c r="P6" s="25">
        <f t="shared" si="2"/>
        <v>0</v>
      </c>
      <c r="Q6" s="157">
        <f t="shared" si="3"/>
        <v>0</v>
      </c>
      <c r="R6" s="157">
        <f t="shared" si="4"/>
        <v>0</v>
      </c>
      <c r="S6" s="22">
        <f t="shared" si="5"/>
        <v>0</v>
      </c>
      <c r="T6" s="109">
        <f t="shared" si="6"/>
        <v>370587446</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210</v>
      </c>
      <c r="C7" s="163"/>
      <c r="D7" s="162" t="s">
        <v>108</v>
      </c>
      <c r="E7" s="158">
        <f>+IF($A7="",IF($C7="",SUMIFS(全伝票!I:I,全伝票!$B:$B,$B7),SUMIFS(全伝票!I:I,全伝票!$C:$C,$C7)),IF($C7="",SUMIFS(全伝票!I:I,全伝票!$A:$A,$A7,全伝票!$B:$B,$B7),SUMIFS(全伝票!I:I,全伝票!$A:$A,$A7,全伝票!$C:$C,$C7)))</f>
        <v>294683202</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7777220</v>
      </c>
      <c r="K7" s="34">
        <f t="shared" si="0"/>
        <v>7777220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286905982</v>
      </c>
      <c r="N7" s="108">
        <f t="shared" si="1"/>
        <v>0</v>
      </c>
      <c r="O7" s="25">
        <f t="shared" si="3"/>
        <v>0</v>
      </c>
      <c r="P7" s="25">
        <f t="shared" si="2"/>
        <v>0</v>
      </c>
      <c r="Q7" s="157">
        <f t="shared" si="3"/>
        <v>0</v>
      </c>
      <c r="R7" s="157">
        <f t="shared" si="4"/>
        <v>707020</v>
      </c>
      <c r="S7" s="22">
        <f t="shared" si="5"/>
        <v>707020</v>
      </c>
      <c r="T7" s="109">
        <f t="shared" si="6"/>
        <v>293976182</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209</v>
      </c>
      <c r="C8" s="163"/>
      <c r="D8" s="162" t="s">
        <v>106</v>
      </c>
      <c r="E8" s="158">
        <f>+IF($A8="",IF($C8="",SUMIFS(全伝票!I:I,全伝票!$B:$B,$B8),SUMIFS(全伝票!I:I,全伝票!$C:$C,$C8)),IF($C8="",SUMIFS(全伝票!I:I,全伝票!$A:$A,$A8,全伝票!$B:$B,$B8),SUMIFS(全伝票!I:I,全伝票!$A:$A,$A8,全伝票!$C:$C,$C8)))</f>
        <v>131079481</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130517777</v>
      </c>
      <c r="M8" s="158">
        <f>+IF($A8="",IF($C8="",SUMIFS(全伝票!P:P,全伝票!$B:$B,$B8),SUMIFS(全伝票!P:P,全伝票!$C:$C,$C8)),IF($C8="",SUMIFS(全伝票!P:P,全伝票!$A:$A,$A8,全伝票!$B:$B,$B8),SUMIFS(全伝票!P:P,全伝票!$A:$A,$A8,全伝票!$C:$C,$C8)))</f>
        <v>561704</v>
      </c>
      <c r="N8" s="108">
        <f t="shared" si="1"/>
        <v>0</v>
      </c>
      <c r="O8" s="25">
        <f t="shared" si="3"/>
        <v>0</v>
      </c>
      <c r="P8" s="25">
        <f t="shared" si="2"/>
        <v>0</v>
      </c>
      <c r="Q8" s="157">
        <f t="shared" si="3"/>
        <v>0</v>
      </c>
      <c r="R8" s="157">
        <f t="shared" si="4"/>
        <v>0</v>
      </c>
      <c r="S8" s="22">
        <f t="shared" si="5"/>
        <v>0</v>
      </c>
      <c r="T8" s="109">
        <f t="shared" si="6"/>
        <v>131079481</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208</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207</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206</v>
      </c>
      <c r="C11" s="163"/>
      <c r="D11" s="162" t="s">
        <v>100</v>
      </c>
      <c r="E11" s="158">
        <f>+IF($A11="",IF($C11="",SUMIFS(全伝票!I:I,全伝票!$B:$B,$B11),SUMIFS(全伝票!I:I,全伝票!$C:$C,$C11)),IF($C11="",SUMIFS(全伝票!I:I,全伝票!$A:$A,$A11,全伝票!$B:$B,$B11),SUMIFS(全伝票!I:I,全伝票!$A:$A,$A11,全伝票!$C:$C,$C11)))</f>
        <v>45200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45200</v>
      </c>
      <c r="K11" s="34">
        <f t="shared" si="0"/>
        <v>45200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4109</v>
      </c>
      <c r="S11" s="22">
        <f t="shared" si="5"/>
        <v>4109</v>
      </c>
      <c r="T11" s="109">
        <f t="shared" si="6"/>
        <v>41091</v>
      </c>
      <c r="U11" s="107">
        <f t="shared" si="7"/>
        <v>0</v>
      </c>
      <c r="V11" s="107">
        <f t="shared" si="8"/>
        <v>0</v>
      </c>
      <c r="W11" s="107">
        <f t="shared" si="9"/>
        <v>0</v>
      </c>
      <c r="X11" s="107">
        <f t="shared" si="9"/>
        <v>0</v>
      </c>
      <c r="Y11" s="107">
        <f t="shared" si="10"/>
        <v>-9.0909090909008228E-2</v>
      </c>
      <c r="Z11" s="106">
        <f t="shared" si="11"/>
        <v>0</v>
      </c>
      <c r="AA11" s="106">
        <f t="shared" si="12"/>
        <v>0</v>
      </c>
      <c r="AB11" s="106">
        <f t="shared" si="13"/>
        <v>0</v>
      </c>
      <c r="AC11" s="106">
        <f t="shared" si="13"/>
        <v>0</v>
      </c>
      <c r="AD11" s="106">
        <f t="shared" si="14"/>
        <v>0</v>
      </c>
    </row>
    <row r="12" spans="1:35">
      <c r="A12" s="165">
        <v>1</v>
      </c>
      <c r="B12" s="164" t="s">
        <v>204</v>
      </c>
      <c r="C12" s="163" t="s">
        <v>205</v>
      </c>
      <c r="D12" s="162" t="s">
        <v>98</v>
      </c>
      <c r="E12" s="158">
        <f>+IF($A12="",IF($C12="",SUMIFS(全伝票!I:I,全伝票!$B:$B,$B12),SUMIFS(全伝票!I:I,全伝票!$C:$C,$C12)),IF($C12="",SUMIFS(全伝票!I:I,全伝票!$A:$A,$A12,全伝票!$B:$B,$B12),SUMIFS(全伝票!I:I,全伝票!$A:$A,$A12,全伝票!$C:$C,$C12)))</f>
        <v>6600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6600</v>
      </c>
      <c r="K12" s="34">
        <f t="shared" si="0"/>
        <v>6600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600</v>
      </c>
      <c r="S12" s="22">
        <f t="shared" si="5"/>
        <v>600</v>
      </c>
      <c r="T12" s="109">
        <f t="shared" si="6"/>
        <v>6000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204</v>
      </c>
      <c r="C13" s="163" t="s">
        <v>203</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202</v>
      </c>
      <c r="C14" s="163"/>
      <c r="D14" s="162" t="s">
        <v>93</v>
      </c>
      <c r="E14" s="158">
        <f>+IF($A14="",IF($C14="",SUMIFS(全伝票!I:I,全伝票!$B:$B,$B14),SUMIFS(全伝票!I:I,全伝票!$C:$C,$C14)),IF($C14="",SUMIFS(全伝票!I:I,全伝票!$A:$A,$A14,全伝票!$B:$B,$B14),SUMIFS(全伝票!I:I,全伝票!$A:$A,$A14,全伝票!$C:$C,$C14)))</f>
        <v>14320191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144600</v>
      </c>
      <c r="J14" s="159">
        <f>+IF($A14="",IF($C14="",SUMIFS(全伝票!N:N,全伝票!$B:$B,$B14),SUMIFS(全伝票!N:N,全伝票!$C:$C,$C14)),IF($C14="",SUMIFS(全伝票!N:N,全伝票!$A:$A,$A14,全伝票!$B:$B,$B14),SUMIFS(全伝票!N:N,全伝票!$A:$A,$A14,全伝票!$C:$C,$C14)))</f>
        <v>14175591</v>
      </c>
      <c r="K14" s="34">
        <f t="shared" si="0"/>
        <v>14320191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10711</v>
      </c>
      <c r="R14" s="157">
        <f t="shared" si="4"/>
        <v>1288690</v>
      </c>
      <c r="S14" s="22">
        <f t="shared" si="5"/>
        <v>1299401</v>
      </c>
      <c r="T14" s="109">
        <f t="shared" si="6"/>
        <v>13020790</v>
      </c>
      <c r="U14" s="107">
        <f t="shared" si="7"/>
        <v>0</v>
      </c>
      <c r="V14" s="107">
        <f t="shared" si="8"/>
        <v>0</v>
      </c>
      <c r="W14" s="107">
        <f t="shared" si="9"/>
        <v>0</v>
      </c>
      <c r="X14" s="107">
        <f t="shared" si="9"/>
        <v>-0.11111111111131322</v>
      </c>
      <c r="Y14" s="107">
        <f t="shared" si="10"/>
        <v>-9.090909082442522E-2</v>
      </c>
      <c r="Z14" s="106">
        <f t="shared" si="11"/>
        <v>0</v>
      </c>
      <c r="AA14" s="106">
        <f t="shared" si="12"/>
        <v>0</v>
      </c>
      <c r="AB14" s="106">
        <f t="shared" si="13"/>
        <v>0</v>
      </c>
      <c r="AC14" s="106">
        <f t="shared" si="13"/>
        <v>0</v>
      </c>
      <c r="AD14" s="106">
        <f t="shared" si="14"/>
        <v>0</v>
      </c>
    </row>
    <row r="15" spans="1:35">
      <c r="A15" s="165">
        <v>1</v>
      </c>
      <c r="B15" s="164" t="s">
        <v>201</v>
      </c>
      <c r="C15" s="163"/>
      <c r="D15" s="162" t="s">
        <v>91</v>
      </c>
      <c r="E15" s="158">
        <f>+IF($A15="",IF($C15="",SUMIFS(全伝票!I:I,全伝票!$B:$B,$B15),SUMIFS(全伝票!I:I,全伝票!$C:$C,$C15)),IF($C15="",SUMIFS(全伝票!I:I,全伝票!$A:$A,$A15,全伝票!$B:$B,$B15),SUMIFS(全伝票!I:I,全伝票!$A:$A,$A15,全伝票!$C:$C,$C15)))</f>
        <v>333066</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333066</v>
      </c>
      <c r="K15" s="34">
        <f t="shared" si="0"/>
        <v>333066</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30279</v>
      </c>
      <c r="S15" s="22">
        <f t="shared" si="5"/>
        <v>30279</v>
      </c>
      <c r="T15" s="109">
        <f t="shared" si="6"/>
        <v>302787</v>
      </c>
      <c r="U15" s="107">
        <f t="shared" si="7"/>
        <v>0</v>
      </c>
      <c r="V15" s="107">
        <f t="shared" si="8"/>
        <v>0</v>
      </c>
      <c r="W15" s="107">
        <f t="shared" si="9"/>
        <v>0</v>
      </c>
      <c r="X15" s="107">
        <f t="shared" si="9"/>
        <v>0</v>
      </c>
      <c r="Y15" s="107">
        <f t="shared" si="10"/>
        <v>0.27272727272793418</v>
      </c>
      <c r="Z15" s="106">
        <f t="shared" si="11"/>
        <v>0</v>
      </c>
      <c r="AA15" s="106">
        <f t="shared" si="12"/>
        <v>0</v>
      </c>
      <c r="AB15" s="106">
        <f t="shared" si="13"/>
        <v>0</v>
      </c>
      <c r="AC15" s="106">
        <f t="shared" si="13"/>
        <v>0</v>
      </c>
      <c r="AD15" s="106">
        <f t="shared" si="14"/>
        <v>0</v>
      </c>
    </row>
    <row r="16" spans="1:35">
      <c r="A16" s="165">
        <v>1</v>
      </c>
      <c r="B16" s="164" t="s">
        <v>200</v>
      </c>
      <c r="C16" s="163"/>
      <c r="D16" s="162" t="s">
        <v>89</v>
      </c>
      <c r="E16" s="158">
        <f>+IF($A16="",IF($C16="",SUMIFS(全伝票!I:I,全伝票!$B:$B,$B16),SUMIFS(全伝票!I:I,全伝票!$C:$C,$C16)),IF($C16="",SUMIFS(全伝票!I:I,全伝票!$A:$A,$A16,全伝票!$B:$B,$B16),SUMIFS(全伝票!I:I,全伝票!$A:$A,$A16,全伝票!$C:$C,$C16)))</f>
        <v>12953428</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12953428</v>
      </c>
      <c r="K16" s="34">
        <f t="shared" si="0"/>
        <v>12953428</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1177584</v>
      </c>
      <c r="S16" s="22">
        <f t="shared" si="5"/>
        <v>1177584</v>
      </c>
      <c r="T16" s="109">
        <f t="shared" si="6"/>
        <v>11775844</v>
      </c>
      <c r="U16" s="107">
        <f t="shared" si="7"/>
        <v>0</v>
      </c>
      <c r="V16" s="107">
        <f t="shared" si="8"/>
        <v>0</v>
      </c>
      <c r="W16" s="107">
        <f t="shared" si="9"/>
        <v>0</v>
      </c>
      <c r="X16" s="107">
        <f t="shared" si="9"/>
        <v>0</v>
      </c>
      <c r="Y16" s="107">
        <f t="shared" si="10"/>
        <v>-0.36363636353053153</v>
      </c>
      <c r="Z16" s="106">
        <f t="shared" si="11"/>
        <v>0</v>
      </c>
      <c r="AA16" s="106">
        <f t="shared" si="12"/>
        <v>0</v>
      </c>
      <c r="AB16" s="106">
        <f t="shared" si="13"/>
        <v>0</v>
      </c>
      <c r="AC16" s="106">
        <f t="shared" si="13"/>
        <v>0</v>
      </c>
      <c r="AD16" s="106">
        <f t="shared" si="14"/>
        <v>0</v>
      </c>
    </row>
    <row r="17" spans="1:35">
      <c r="A17" s="165">
        <v>1</v>
      </c>
      <c r="B17" s="164" t="s">
        <v>199</v>
      </c>
      <c r="C17" s="163"/>
      <c r="D17" s="162" t="s">
        <v>87</v>
      </c>
      <c r="E17" s="158">
        <f>+IF($A17="",IF($C17="",SUMIFS(全伝票!I:I,全伝票!$B:$B,$B17),SUMIFS(全伝票!I:I,全伝票!$C:$C,$C17)),IF($C17="",SUMIFS(全伝票!I:I,全伝票!$A:$A,$A17,全伝票!$B:$B,$B17),SUMIFS(全伝票!I:I,全伝票!$A:$A,$A17,全伝票!$C:$C,$C17)))</f>
        <v>2514300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2514300</v>
      </c>
      <c r="K17" s="34">
        <f t="shared" si="0"/>
        <v>2514300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228573</v>
      </c>
      <c r="S17" s="22">
        <f t="shared" si="5"/>
        <v>228573</v>
      </c>
      <c r="T17" s="109">
        <f t="shared" si="6"/>
        <v>2285727</v>
      </c>
      <c r="U17" s="107">
        <f t="shared" si="7"/>
        <v>0</v>
      </c>
      <c r="V17" s="107">
        <f t="shared" si="8"/>
        <v>0</v>
      </c>
      <c r="W17" s="107">
        <f t="shared" si="9"/>
        <v>0</v>
      </c>
      <c r="X17" s="107">
        <f t="shared" si="9"/>
        <v>0</v>
      </c>
      <c r="Y17" s="107">
        <f t="shared" si="10"/>
        <v>0.27272727273521014</v>
      </c>
      <c r="Z17" s="106">
        <f t="shared" si="11"/>
        <v>0</v>
      </c>
      <c r="AA17" s="106">
        <f t="shared" si="12"/>
        <v>0</v>
      </c>
      <c r="AB17" s="106">
        <f t="shared" si="13"/>
        <v>0</v>
      </c>
      <c r="AC17" s="106">
        <f t="shared" si="13"/>
        <v>0</v>
      </c>
      <c r="AD17" s="106">
        <f t="shared" si="14"/>
        <v>0</v>
      </c>
    </row>
    <row r="18" spans="1:35">
      <c r="A18" s="165">
        <v>1</v>
      </c>
      <c r="B18" s="164" t="s">
        <v>198</v>
      </c>
      <c r="C18" s="163"/>
      <c r="D18" s="162" t="s">
        <v>85</v>
      </c>
      <c r="E18" s="158">
        <f>+IF($A18="",IF($C18="",SUMIFS(全伝票!I:I,全伝票!$B:$B,$B18),SUMIFS(全伝票!I:I,全伝票!$C:$C,$C18)),IF($C18="",SUMIFS(全伝票!I:I,全伝票!$A:$A,$A18,全伝票!$B:$B,$B18),SUMIFS(全伝票!I:I,全伝票!$A:$A,$A18,全伝票!$C:$C,$C18)))</f>
        <v>268755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256855</v>
      </c>
      <c r="K18" s="34">
        <f t="shared" si="0"/>
        <v>256855</v>
      </c>
      <c r="L18" s="158">
        <f>+IF($A18="",IF($C18="",SUMIFS(全伝票!O:O,全伝票!$B:$B,$B18),SUMIFS(全伝票!O:O,全伝票!$C:$C,$C18)),IF($C18="",SUMIFS(全伝票!O:O,全伝票!$A:$A,$A18,全伝票!$B:$B,$B18),SUMIFS(全伝票!O:O,全伝票!$A:$A,$A18,全伝票!$C:$C,$C18)))</f>
        <v>11900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23351</v>
      </c>
      <c r="S18" s="22">
        <f t="shared" si="5"/>
        <v>23351</v>
      </c>
      <c r="T18" s="109">
        <f t="shared" si="6"/>
        <v>245404</v>
      </c>
      <c r="U18" s="107">
        <f t="shared" si="7"/>
        <v>0</v>
      </c>
      <c r="V18" s="107">
        <f t="shared" si="8"/>
        <v>0</v>
      </c>
      <c r="W18" s="107">
        <f t="shared" si="9"/>
        <v>0</v>
      </c>
      <c r="X18" s="107">
        <f t="shared" si="9"/>
        <v>0</v>
      </c>
      <c r="Y18" s="107">
        <f t="shared" si="10"/>
        <v>0.54545454545586836</v>
      </c>
      <c r="Z18" s="106">
        <f t="shared" si="11"/>
        <v>0</v>
      </c>
      <c r="AA18" s="106">
        <f t="shared" si="12"/>
        <v>0</v>
      </c>
      <c r="AB18" s="106">
        <f t="shared" si="13"/>
        <v>0</v>
      </c>
      <c r="AC18" s="106">
        <f t="shared" si="13"/>
        <v>0</v>
      </c>
      <c r="AD18" s="106">
        <f t="shared" si="14"/>
        <v>0</v>
      </c>
      <c r="AI18" s="2">
        <v>1</v>
      </c>
    </row>
    <row r="19" spans="1:35">
      <c r="A19" s="165">
        <v>1</v>
      </c>
      <c r="B19" s="164" t="s">
        <v>197</v>
      </c>
      <c r="C19" s="163"/>
      <c r="D19" s="162" t="s">
        <v>83</v>
      </c>
      <c r="E19" s="158">
        <f>+IF($A19="",IF($C19="",SUMIFS(全伝票!I:I,全伝票!$B:$B,$B19),SUMIFS(全伝票!I:I,全伝票!$C:$C,$C19)),IF($C19="",SUMIFS(全伝票!I:I,全伝票!$A:$A,$A19,全伝票!$B:$B,$B19),SUMIFS(全伝票!I:I,全伝票!$A:$A,$A19,全伝票!$C:$C,$C19)))</f>
        <v>1481824</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518400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963424</v>
      </c>
      <c r="K19" s="34">
        <f t="shared" si="0"/>
        <v>1481824</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38400</v>
      </c>
      <c r="Q19" s="157">
        <f t="shared" si="3"/>
        <v>0</v>
      </c>
      <c r="R19" s="157">
        <f t="shared" si="4"/>
        <v>87584</v>
      </c>
      <c r="S19" s="22">
        <f t="shared" si="5"/>
        <v>125984</v>
      </c>
      <c r="T19" s="109">
        <f t="shared" si="6"/>
        <v>1355840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5">
      <c r="A20" s="165">
        <v>1</v>
      </c>
      <c r="B20" s="164" t="s">
        <v>196</v>
      </c>
      <c r="C20" s="163"/>
      <c r="D20" s="162" t="s">
        <v>81</v>
      </c>
      <c r="E20" s="158">
        <f>+IF($A20="",IF($C20="",SUMIFS(全伝票!I:I,全伝票!$B:$B,$B20),SUMIFS(全伝票!I:I,全伝票!$C:$C,$C20)),IF($C20="",SUMIFS(全伝票!I:I,全伝票!$A:$A,$A20,全伝票!$B:$B,$B20),SUMIFS(全伝票!I:I,全伝票!$A:$A,$A20,全伝票!$C:$C,$C20)))</f>
        <v>3225357455</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3225357455</v>
      </c>
      <c r="K20" s="34">
        <f t="shared" si="0"/>
        <v>3225357455</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293214314</v>
      </c>
      <c r="S20" s="22">
        <f t="shared" si="5"/>
        <v>293214314</v>
      </c>
      <c r="T20" s="109">
        <f t="shared" si="6"/>
        <v>2932143141</v>
      </c>
      <c r="U20" s="107">
        <f t="shared" si="7"/>
        <v>0</v>
      </c>
      <c r="V20" s="107">
        <f t="shared" si="8"/>
        <v>0</v>
      </c>
      <c r="W20" s="107">
        <f t="shared" si="9"/>
        <v>0</v>
      </c>
      <c r="X20" s="107">
        <f t="shared" si="9"/>
        <v>0</v>
      </c>
      <c r="Y20" s="107">
        <f t="shared" si="10"/>
        <v>-9.0909063816070557E-2</v>
      </c>
      <c r="Z20" s="106">
        <f t="shared" si="11"/>
        <v>0</v>
      </c>
      <c r="AA20" s="106">
        <f t="shared" si="12"/>
        <v>0</v>
      </c>
      <c r="AB20" s="106">
        <f t="shared" si="13"/>
        <v>0</v>
      </c>
      <c r="AC20" s="106">
        <f t="shared" si="13"/>
        <v>0</v>
      </c>
      <c r="AD20" s="106">
        <f t="shared" si="14"/>
        <v>0</v>
      </c>
    </row>
    <row r="21" spans="1:35">
      <c r="A21" s="165">
        <v>1</v>
      </c>
      <c r="B21" s="164" t="s">
        <v>195</v>
      </c>
      <c r="C21" s="163"/>
      <c r="D21" s="162" t="s">
        <v>79</v>
      </c>
      <c r="E21" s="158">
        <f>+IF($A21="",IF($C21="",SUMIFS(全伝票!I:I,全伝票!$B:$B,$B21),SUMIFS(全伝票!I:I,全伝票!$C:$C,$C21)),IF($C21="",SUMIFS(全伝票!I:I,全伝票!$A:$A,$A21,全伝票!$B:$B,$B21),SUMIFS(全伝票!I:I,全伝票!$A:$A,$A21,全伝票!$C:$C,$C21)))</f>
        <v>216228011</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216228011</v>
      </c>
      <c r="K21" s="34">
        <f t="shared" si="0"/>
        <v>216228011</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19657092</v>
      </c>
      <c r="S21" s="22">
        <f t="shared" si="5"/>
        <v>19657092</v>
      </c>
      <c r="T21" s="109">
        <f t="shared" si="6"/>
        <v>196570919</v>
      </c>
      <c r="U21" s="107">
        <f t="shared" si="7"/>
        <v>0</v>
      </c>
      <c r="V21" s="107">
        <f t="shared" si="8"/>
        <v>0</v>
      </c>
      <c r="W21" s="107">
        <f t="shared" si="9"/>
        <v>0</v>
      </c>
      <c r="X21" s="107">
        <f t="shared" si="9"/>
        <v>0</v>
      </c>
      <c r="Y21" s="107">
        <f t="shared" si="10"/>
        <v>9.0909089893102646E-2</v>
      </c>
      <c r="Z21" s="106">
        <f t="shared" si="11"/>
        <v>0</v>
      </c>
      <c r="AA21" s="106">
        <f t="shared" si="12"/>
        <v>0</v>
      </c>
      <c r="AB21" s="106">
        <f t="shared" si="13"/>
        <v>0</v>
      </c>
      <c r="AC21" s="106">
        <f t="shared" si="13"/>
        <v>0</v>
      </c>
      <c r="AD21" s="106">
        <f t="shared" si="14"/>
        <v>0</v>
      </c>
    </row>
    <row r="22" spans="1:35">
      <c r="A22" s="165">
        <v>1</v>
      </c>
      <c r="B22" s="164" t="s">
        <v>194</v>
      </c>
      <c r="C22" s="163"/>
      <c r="D22" s="162" t="s">
        <v>77</v>
      </c>
      <c r="E22" s="158">
        <f>+IF($A22="",IF($C22="",SUMIFS(全伝票!I:I,全伝票!$B:$B,$B22),SUMIFS(全伝票!I:I,全伝票!$C:$C,$C22)),IF($C22="",SUMIFS(全伝票!I:I,全伝票!$A:$A,$A22,全伝票!$B:$B,$B22),SUMIFS(全伝票!I:I,全伝票!$A:$A,$A22,全伝票!$C:$C,$C22)))</f>
        <v>44165778</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44165778</v>
      </c>
      <c r="K22" s="34">
        <f t="shared" si="0"/>
        <v>44165778</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4015071</v>
      </c>
      <c r="S22" s="22">
        <f t="shared" si="5"/>
        <v>4015071</v>
      </c>
      <c r="T22" s="109">
        <f t="shared" si="6"/>
        <v>40150707</v>
      </c>
      <c r="U22" s="107">
        <f t="shared" si="7"/>
        <v>0</v>
      </c>
      <c r="V22" s="107">
        <f t="shared" si="8"/>
        <v>0</v>
      </c>
      <c r="W22" s="107">
        <f t="shared" si="9"/>
        <v>0</v>
      </c>
      <c r="X22" s="107">
        <f t="shared" si="9"/>
        <v>0</v>
      </c>
      <c r="Y22" s="107">
        <f t="shared" si="10"/>
        <v>0.27272727293893695</v>
      </c>
      <c r="Z22" s="106">
        <f t="shared" si="11"/>
        <v>0</v>
      </c>
      <c r="AA22" s="106">
        <f t="shared" si="12"/>
        <v>0</v>
      </c>
      <c r="AB22" s="106">
        <f t="shared" si="13"/>
        <v>0</v>
      </c>
      <c r="AC22" s="106">
        <f t="shared" si="13"/>
        <v>0</v>
      </c>
      <c r="AD22" s="106">
        <f t="shared" si="14"/>
        <v>0</v>
      </c>
    </row>
    <row r="23" spans="1:35">
      <c r="A23" s="165">
        <v>1</v>
      </c>
      <c r="B23" s="164" t="s">
        <v>193</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5">
      <c r="A24" s="165">
        <v>1</v>
      </c>
      <c r="B24" s="164" t="s">
        <v>192</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5">
      <c r="A25" s="165">
        <v>1</v>
      </c>
      <c r="B25" s="164" t="s">
        <v>190</v>
      </c>
      <c r="C25" s="163" t="s">
        <v>191</v>
      </c>
      <c r="D25" s="162" t="s">
        <v>71</v>
      </c>
      <c r="E25" s="158">
        <f>+IF($A25="",IF($C25="",SUMIFS(全伝票!I:I,全伝票!$B:$B,$B25),SUMIFS(全伝票!I:I,全伝票!$C:$C,$C25)),IF($C25="",SUMIFS(全伝票!I:I,全伝票!$A:$A,$A25,全伝票!$B:$B,$B25),SUMIFS(全伝票!I:I,全伝票!$A:$A,$A25,全伝票!$C:$C,$C25)))</f>
        <v>514598231</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514598231</v>
      </c>
      <c r="K25" s="34">
        <f t="shared" si="0"/>
        <v>514598231</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46781657</v>
      </c>
      <c r="S25" s="22">
        <f t="shared" si="5"/>
        <v>46781657</v>
      </c>
      <c r="T25" s="109">
        <f t="shared" si="6"/>
        <v>467816574</v>
      </c>
      <c r="U25" s="107">
        <f t="shared" si="7"/>
        <v>0</v>
      </c>
      <c r="V25" s="107">
        <f t="shared" si="8"/>
        <v>0</v>
      </c>
      <c r="W25" s="107">
        <f t="shared" si="9"/>
        <v>0</v>
      </c>
      <c r="X25" s="107">
        <f t="shared" si="9"/>
        <v>0</v>
      </c>
      <c r="Y25" s="107">
        <f t="shared" si="10"/>
        <v>-0.36363636702299118</v>
      </c>
      <c r="Z25" s="106">
        <f t="shared" si="11"/>
        <v>0</v>
      </c>
      <c r="AA25" s="106">
        <f t="shared" si="12"/>
        <v>0</v>
      </c>
      <c r="AB25" s="106">
        <f t="shared" si="13"/>
        <v>0</v>
      </c>
      <c r="AC25" s="106">
        <f t="shared" si="13"/>
        <v>0</v>
      </c>
      <c r="AD25" s="106">
        <f t="shared" si="14"/>
        <v>0</v>
      </c>
    </row>
    <row r="26" spans="1:35">
      <c r="A26" s="165">
        <v>1</v>
      </c>
      <c r="B26" s="164" t="s">
        <v>190</v>
      </c>
      <c r="C26" s="163" t="s">
        <v>189</v>
      </c>
      <c r="D26" s="162" t="s">
        <v>68</v>
      </c>
      <c r="E26" s="158">
        <f>+IF($A26="",IF($C26="",SUMIFS(全伝票!I:I,全伝票!$B:$B,$B26),SUMIFS(全伝票!I:I,全伝票!$C:$C,$C26)),IF($C26="",SUMIFS(全伝票!I:I,全伝票!$A:$A,$A26,全伝票!$B:$B,$B26),SUMIFS(全伝票!I:I,全伝票!$A:$A,$A26,全伝票!$C:$C,$C26)))</f>
        <v>270270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270270</v>
      </c>
      <c r="K26" s="34">
        <f t="shared" si="0"/>
        <v>270270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24570</v>
      </c>
      <c r="S26" s="22">
        <f t="shared" si="5"/>
        <v>24570</v>
      </c>
      <c r="T26" s="109">
        <f t="shared" si="6"/>
        <v>245700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5">
      <c r="A27" s="165">
        <v>1</v>
      </c>
      <c r="B27" s="164" t="s">
        <v>188</v>
      </c>
      <c r="C27" s="163"/>
      <c r="D27" s="162" t="s">
        <v>66</v>
      </c>
      <c r="E27" s="158">
        <f>+IF($A27="",IF($C27="",SUMIFS(全伝票!I:I,全伝票!$B:$B,$B27),SUMIFS(全伝票!I:I,全伝票!$C:$C,$C27)),IF($C27="",SUMIFS(全伝票!I:I,全伝票!$A:$A,$A27,全伝票!$B:$B,$B27),SUMIFS(全伝票!I:I,全伝票!$A:$A,$A27,全伝票!$C:$C,$C27)))</f>
        <v>82462216</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82462216</v>
      </c>
      <c r="K27" s="34">
        <f t="shared" si="0"/>
        <v>82462216</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7496565</v>
      </c>
      <c r="S27" s="22">
        <f t="shared" si="5"/>
        <v>7496565</v>
      </c>
      <c r="T27" s="109">
        <f t="shared" si="6"/>
        <v>74965651</v>
      </c>
      <c r="U27" s="107">
        <f t="shared" si="7"/>
        <v>0</v>
      </c>
      <c r="V27" s="107">
        <f t="shared" si="8"/>
        <v>0</v>
      </c>
      <c r="W27" s="107">
        <f t="shared" si="9"/>
        <v>0</v>
      </c>
      <c r="X27" s="107">
        <f t="shared" si="9"/>
        <v>0</v>
      </c>
      <c r="Y27" s="107">
        <f t="shared" si="10"/>
        <v>-9.090909082442522E-2</v>
      </c>
      <c r="Z27" s="106">
        <f t="shared" si="11"/>
        <v>0</v>
      </c>
      <c r="AA27" s="106">
        <f t="shared" si="12"/>
        <v>0</v>
      </c>
      <c r="AB27" s="106">
        <f t="shared" si="13"/>
        <v>0</v>
      </c>
      <c r="AC27" s="106">
        <f t="shared" si="13"/>
        <v>0</v>
      </c>
      <c r="AD27" s="106">
        <f t="shared" si="14"/>
        <v>0</v>
      </c>
    </row>
    <row r="28" spans="1:35">
      <c r="A28" s="165">
        <v>1</v>
      </c>
      <c r="B28" s="164" t="s">
        <v>187</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5">
      <c r="A29" s="165">
        <v>1</v>
      </c>
      <c r="B29" s="164" t="s">
        <v>186</v>
      </c>
      <c r="C29" s="163"/>
      <c r="D29" s="162" t="s">
        <v>62</v>
      </c>
      <c r="E29" s="158">
        <f>+IF($A29="",IF($C29="",SUMIFS(全伝票!I:I,全伝票!$B:$B,$B29),SUMIFS(全伝票!I:I,全伝票!$C:$C,$C29)),IF($C29="",SUMIFS(全伝票!I:I,全伝票!$A:$A,$A29,全伝票!$B:$B,$B29),SUMIFS(全伝票!I:I,全伝票!$A:$A,$A29,全伝票!$C:$C,$C29)))</f>
        <v>1598889696</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1596158815</v>
      </c>
      <c r="K29" s="34">
        <f t="shared" si="0"/>
        <v>1596158815</v>
      </c>
      <c r="L29" s="158">
        <f>+IF($A29="",IF($C29="",SUMIFS(全伝票!O:O,全伝票!$B:$B,$B29),SUMIFS(全伝票!O:O,全伝票!$C:$C,$C29)),IF($C29="",SUMIFS(全伝票!O:O,全伝票!$A:$A,$A29,全伝票!$B:$B,$B29),SUMIFS(全伝票!O:O,全伝票!$A:$A,$A29,全伝票!$C:$C,$C29)))</f>
        <v>15600</v>
      </c>
      <c r="M29" s="158">
        <f>+IF($A29="",IF($C29="",SUMIFS(全伝票!P:P,全伝票!$B:$B,$B29),SUMIFS(全伝票!P:P,全伝票!$C:$C,$C29)),IF($C29="",SUMIFS(全伝票!P:P,全伝票!$A:$A,$A29,全伝票!$B:$B,$B29),SUMIFS(全伝票!P:P,全伝票!$A:$A,$A29,全伝票!$C:$C,$C29)))</f>
        <v>2715281</v>
      </c>
      <c r="N29" s="108">
        <f t="shared" si="1"/>
        <v>0</v>
      </c>
      <c r="O29" s="25">
        <f t="shared" si="3"/>
        <v>0</v>
      </c>
      <c r="P29" s="25">
        <f t="shared" si="2"/>
        <v>0</v>
      </c>
      <c r="Q29" s="157">
        <f t="shared" si="3"/>
        <v>0</v>
      </c>
      <c r="R29" s="157">
        <f t="shared" si="4"/>
        <v>145105347</v>
      </c>
      <c r="S29" s="22">
        <f t="shared" si="5"/>
        <v>145105347</v>
      </c>
      <c r="T29" s="109">
        <f t="shared" si="6"/>
        <v>1453784349</v>
      </c>
      <c r="U29" s="107">
        <f t="shared" si="7"/>
        <v>0</v>
      </c>
      <c r="V29" s="107">
        <f t="shared" si="8"/>
        <v>0</v>
      </c>
      <c r="W29" s="107">
        <f t="shared" si="9"/>
        <v>0</v>
      </c>
      <c r="X29" s="107">
        <f t="shared" si="9"/>
        <v>0</v>
      </c>
      <c r="Y29" s="107">
        <f t="shared" si="10"/>
        <v>0.18181818723678589</v>
      </c>
      <c r="Z29" s="106">
        <f t="shared" si="11"/>
        <v>0</v>
      </c>
      <c r="AA29" s="106">
        <f t="shared" si="12"/>
        <v>0</v>
      </c>
      <c r="AB29" s="106">
        <f t="shared" si="13"/>
        <v>0</v>
      </c>
      <c r="AC29" s="106">
        <f t="shared" si="13"/>
        <v>0</v>
      </c>
      <c r="AD29" s="106">
        <f t="shared" si="14"/>
        <v>0</v>
      </c>
    </row>
    <row r="30" spans="1:35">
      <c r="A30" s="165">
        <v>1</v>
      </c>
      <c r="B30" s="164" t="s">
        <v>185</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5">
      <c r="A31" s="165">
        <v>1</v>
      </c>
      <c r="B31" s="164" t="s">
        <v>184</v>
      </c>
      <c r="C31" s="163"/>
      <c r="D31" s="162" t="s">
        <v>58</v>
      </c>
      <c r="E31" s="158">
        <f>+IF($A31="",IF($C31="",SUMIFS(全伝票!I:I,全伝票!$B:$B,$B31),SUMIFS(全伝票!I:I,全伝票!$C:$C,$C31)),IF($C31="",SUMIFS(全伝票!I:I,全伝票!$A:$A,$A31,全伝票!$B:$B,$B31),SUMIFS(全伝票!I:I,全伝票!$A:$A,$A31,全伝票!$C:$C,$C31)))</f>
        <v>123910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123910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123910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5">
      <c r="A32" s="165">
        <v>1</v>
      </c>
      <c r="B32" s="164" t="s">
        <v>183</v>
      </c>
      <c r="C32" s="163"/>
      <c r="D32" s="162" t="s">
        <v>56</v>
      </c>
      <c r="E32" s="158">
        <f>+IF($A32="",IF($C32="",SUMIFS(全伝票!I:I,全伝票!$B:$B,$B32),SUMIFS(全伝票!I:I,全伝票!$C:$C,$C32)),IF($C32="",SUMIFS(全伝票!I:I,全伝票!$A:$A,$A32,全伝票!$B:$B,$B32),SUMIFS(全伝票!I:I,全伝票!$A:$A,$A32,全伝票!$C:$C,$C32)))</f>
        <v>31300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31300</v>
      </c>
      <c r="N32" s="108">
        <f t="shared" si="1"/>
        <v>0</v>
      </c>
      <c r="O32" s="25">
        <f t="shared" si="3"/>
        <v>0</v>
      </c>
      <c r="P32" s="25">
        <f t="shared" si="2"/>
        <v>0</v>
      </c>
      <c r="Q32" s="157">
        <f t="shared" si="3"/>
        <v>0</v>
      </c>
      <c r="R32" s="157">
        <f t="shared" si="4"/>
        <v>0</v>
      </c>
      <c r="S32" s="22">
        <f t="shared" si="5"/>
        <v>0</v>
      </c>
      <c r="T32" s="109">
        <f t="shared" si="6"/>
        <v>31300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204</v>
      </c>
      <c r="C33" s="163">
        <v>883081003</v>
      </c>
      <c r="D33" s="162" t="s">
        <v>609</v>
      </c>
      <c r="E33" s="158">
        <f>+IF($A33="",IF($C33="",SUMIFS(全伝票!I:I,全伝票!$B:$B,$B33),SUMIFS(全伝票!I:I,全伝票!$C:$C,$C33)),IF($C33="",SUMIFS(全伝票!I:I,全伝票!$A:$A,$A33,全伝票!$B:$B,$B33),SUMIFS(全伝票!I:I,全伝票!$A:$A,$A33,全伝票!$C:$C,$C33)))</f>
        <v>24960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24960</v>
      </c>
      <c r="K33" s="34">
        <f t="shared" si="0"/>
        <v>24960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2269</v>
      </c>
      <c r="S33" s="22">
        <f t="shared" si="5"/>
        <v>2269</v>
      </c>
      <c r="T33" s="109">
        <f t="shared" si="6"/>
        <v>22691</v>
      </c>
      <c r="U33" s="107">
        <f t="shared" si="7"/>
        <v>0</v>
      </c>
      <c r="V33" s="107">
        <f t="shared" si="8"/>
        <v>0</v>
      </c>
      <c r="W33" s="107">
        <f t="shared" si="9"/>
        <v>0</v>
      </c>
      <c r="X33" s="107">
        <f t="shared" si="9"/>
        <v>0</v>
      </c>
      <c r="Y33" s="107">
        <f t="shared" si="10"/>
        <v>-9.0909090909008228E-2</v>
      </c>
      <c r="Z33" s="106">
        <f t="shared" si="11"/>
        <v>0</v>
      </c>
      <c r="AA33" s="106">
        <f t="shared" si="12"/>
        <v>0</v>
      </c>
      <c r="AB33" s="106">
        <f t="shared" si="13"/>
        <v>0</v>
      </c>
      <c r="AC33" s="106">
        <f t="shared" si="13"/>
        <v>0</v>
      </c>
      <c r="AD33" s="106">
        <f t="shared" si="14"/>
        <v>0</v>
      </c>
    </row>
    <row r="34" spans="1:30">
      <c r="A34" s="165">
        <v>1</v>
      </c>
      <c r="B34" s="164" t="s">
        <v>182</v>
      </c>
      <c r="C34" s="163"/>
      <c r="D34" s="162" t="s">
        <v>53</v>
      </c>
      <c r="E34" s="158">
        <f>+IF($A34="",IF($C34="",SUMIFS(全伝票!I:I,全伝票!$B:$B,$B34),SUMIFS(全伝票!I:I,全伝票!$C:$C,$C34)),IF($C34="",SUMIFS(全伝票!I:I,全伝票!$A:$A,$A34,全伝票!$B:$B,$B34),SUMIFS(全伝票!I:I,全伝票!$A:$A,$A34,全伝票!$C:$C,$C34)))</f>
        <v>46163000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46163000</v>
      </c>
      <c r="N34" s="108">
        <f t="shared" si="1"/>
        <v>0</v>
      </c>
      <c r="O34" s="25">
        <f t="shared" si="3"/>
        <v>0</v>
      </c>
      <c r="P34" s="25">
        <f t="shared" si="2"/>
        <v>0</v>
      </c>
      <c r="Q34" s="157">
        <f t="shared" si="3"/>
        <v>0</v>
      </c>
      <c r="R34" s="157">
        <f t="shared" si="4"/>
        <v>0</v>
      </c>
      <c r="S34" s="22">
        <f t="shared" si="5"/>
        <v>0</v>
      </c>
      <c r="T34" s="109">
        <f t="shared" si="6"/>
        <v>46163000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181</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6557703864</v>
      </c>
      <c r="F36" s="152">
        <f t="shared" si="15"/>
        <v>0</v>
      </c>
      <c r="G36" s="151">
        <f t="shared" si="15"/>
        <v>0</v>
      </c>
      <c r="H36" s="151">
        <f t="shared" si="15"/>
        <v>518400</v>
      </c>
      <c r="I36" s="150">
        <f t="shared" ref="I36" si="16">SUM(I5:I35)</f>
        <v>144600</v>
      </c>
      <c r="J36" s="150">
        <f t="shared" si="15"/>
        <v>5718291420</v>
      </c>
      <c r="K36" s="74">
        <f t="shared" si="15"/>
        <v>5718954420</v>
      </c>
      <c r="L36" s="149">
        <f t="shared" si="15"/>
        <v>130669187</v>
      </c>
      <c r="M36" s="149">
        <f t="shared" si="15"/>
        <v>708080257</v>
      </c>
      <c r="N36" s="146">
        <f t="shared" si="15"/>
        <v>0</v>
      </c>
      <c r="O36" s="145">
        <f t="shared" si="15"/>
        <v>0</v>
      </c>
      <c r="P36" s="145">
        <f t="shared" si="15"/>
        <v>38400</v>
      </c>
      <c r="Q36" s="148">
        <f t="shared" ref="Q36" si="17">SUM(Q5:Q35)</f>
        <v>10711</v>
      </c>
      <c r="R36" s="148">
        <f t="shared" si="15"/>
        <v>519844675</v>
      </c>
      <c r="S36" s="144">
        <f t="shared" si="15"/>
        <v>519893786</v>
      </c>
      <c r="T36" s="147">
        <f t="shared" si="15"/>
        <v>6037810078</v>
      </c>
      <c r="U36" s="88" t="str">
        <f>+IF(F36=0,"",ROUND(F36*F$4/(100+F$4),7)-N36)</f>
        <v/>
      </c>
      <c r="V36" s="88"/>
      <c r="W36" s="88"/>
      <c r="X36" s="88"/>
      <c r="Y36" s="88"/>
      <c r="Z36" s="88"/>
      <c r="AA36" s="88"/>
      <c r="AB36" s="87"/>
      <c r="AC36" s="87"/>
      <c r="AD36" s="87"/>
    </row>
    <row r="37" spans="1:30">
      <c r="A37" s="143"/>
      <c r="B37" s="142"/>
      <c r="C37" s="141"/>
      <c r="D37" s="140" t="s">
        <v>1</v>
      </c>
      <c r="E37" s="136">
        <f t="shared" ref="E37:J37" si="18">+E36</f>
        <v>6557703864</v>
      </c>
      <c r="F37" s="139">
        <f t="shared" si="18"/>
        <v>0</v>
      </c>
      <c r="G37" s="138">
        <f t="shared" si="18"/>
        <v>0</v>
      </c>
      <c r="H37" s="138">
        <f t="shared" si="18"/>
        <v>518400</v>
      </c>
      <c r="I37" s="137">
        <f t="shared" si="18"/>
        <v>144600</v>
      </c>
      <c r="J37" s="137">
        <f t="shared" si="18"/>
        <v>5718291420</v>
      </c>
      <c r="K37" s="63">
        <f>SUM(F37:J37)</f>
        <v>5718954420</v>
      </c>
      <c r="L37" s="136">
        <f>+L36</f>
        <v>130669187</v>
      </c>
      <c r="M37" s="135">
        <f>+M36</f>
        <v>708080257</v>
      </c>
      <c r="N37" s="133">
        <f>+'3条支出'!N9</f>
        <v>0</v>
      </c>
      <c r="O37" s="132">
        <f>+'3条支出'!O9</f>
        <v>0</v>
      </c>
      <c r="P37" s="132">
        <f>+'3条支出'!P9</f>
        <v>38400</v>
      </c>
      <c r="Q37" s="132">
        <f>+'3条支出'!Q9</f>
        <v>10711</v>
      </c>
      <c r="R37" s="132">
        <f>+'3条支出'!R9</f>
        <v>519844675</v>
      </c>
      <c r="S37" s="131">
        <f>+'3条支出'!S9</f>
        <v>519893786</v>
      </c>
      <c r="T37" s="134">
        <f>+'3条支出'!T9</f>
        <v>6037810078</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129"/>
      <c r="H40" s="272"/>
      <c r="I40" s="272"/>
      <c r="J40" s="272"/>
      <c r="U40" s="88" t="str">
        <f>+IF(F40=0,"",ROUND(F40*F$4/(100+F$4),7)-N40)</f>
        <v/>
      </c>
      <c r="V40" s="88"/>
      <c r="W40" s="88"/>
      <c r="X40" s="88"/>
      <c r="Y40" s="88"/>
      <c r="Z40" s="88"/>
      <c r="AA40" s="88"/>
      <c r="AB40" s="87"/>
      <c r="AC40" s="87"/>
      <c r="AD40" s="87"/>
    </row>
    <row r="41" spans="1:30">
      <c r="G41" s="129"/>
      <c r="H41" s="272"/>
      <c r="I41" s="272"/>
      <c r="J41" s="272"/>
    </row>
    <row r="42" spans="1:30">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92" priority="3" stopIfTrue="1">
      <formula>LEN(TRIM(AE5))&gt;0</formula>
    </cfRule>
  </conditionalFormatting>
  <conditionalFormatting sqref="AE36:AI37">
    <cfRule type="notContainsBlanks" dxfId="91" priority="4" stopIfTrue="1">
      <formula>LEN(TRIM(AE36))&gt;0</formula>
    </cfRule>
  </conditionalFormatting>
  <conditionalFormatting sqref="Z5:AD35">
    <cfRule type="expression" dxfId="90" priority="2">
      <formula>ABS(Z5)=1</formula>
    </cfRule>
  </conditionalFormatting>
  <conditionalFormatting sqref="E38:T38">
    <cfRule type="cellIs" dxfId="89"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246</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245</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244</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243</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242</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241</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240</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239</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237</v>
      </c>
      <c r="C12" s="163" t="s">
        <v>238</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237</v>
      </c>
      <c r="C13" s="163" t="s">
        <v>236</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235</v>
      </c>
      <c r="C14" s="163"/>
      <c r="D14" s="162" t="s">
        <v>93</v>
      </c>
      <c r="E14" s="158">
        <f>+IF($A14="",IF($C14="",SUMIFS(全伝票!I:I,全伝票!$B:$B,$B14),SUMIFS(全伝票!I:I,全伝票!$C:$C,$C14)),IF($C14="",SUMIFS(全伝票!I:I,全伝票!$A:$A,$A14,全伝票!$B:$B,$B14),SUMIFS(全伝票!I:I,全伝票!$A:$A,$A14,全伝票!$C:$C,$C14)))</f>
        <v>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0</v>
      </c>
      <c r="S14" s="22">
        <f t="shared" si="5"/>
        <v>0</v>
      </c>
      <c r="T14" s="109">
        <f t="shared" si="6"/>
        <v>0</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v>1</v>
      </c>
      <c r="B15" s="164" t="s">
        <v>234</v>
      </c>
      <c r="C15" s="163"/>
      <c r="D15" s="162" t="s">
        <v>91</v>
      </c>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0</v>
      </c>
      <c r="K15" s="34">
        <f t="shared" si="0"/>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0</v>
      </c>
      <c r="S15" s="22">
        <f t="shared" si="5"/>
        <v>0</v>
      </c>
      <c r="T15" s="109">
        <f t="shared" si="6"/>
        <v>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3"/>
        <v>0</v>
      </c>
      <c r="AD15" s="106">
        <f t="shared" si="14"/>
        <v>0</v>
      </c>
    </row>
    <row r="16" spans="1:35">
      <c r="A16" s="165">
        <v>1</v>
      </c>
      <c r="B16" s="164" t="s">
        <v>233</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232</v>
      </c>
      <c r="C17" s="163"/>
      <c r="D17" s="162" t="s">
        <v>87</v>
      </c>
      <c r="E17" s="158">
        <f>+IF($A17="",IF($C17="",SUMIFS(全伝票!I:I,全伝票!$B:$B,$B17),SUMIFS(全伝票!I:I,全伝票!$C:$C,$C17)),IF($C17="",SUMIFS(全伝票!I:I,全伝票!$A:$A,$A17,全伝票!$B:$B,$B17),SUMIFS(全伝票!I:I,全伝票!$A:$A,$A17,全伝票!$C:$C,$C17)))</f>
        <v>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0</v>
      </c>
      <c r="K17" s="34">
        <f t="shared" si="0"/>
        <v>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0</v>
      </c>
      <c r="S17" s="22">
        <f t="shared" si="5"/>
        <v>0</v>
      </c>
      <c r="T17" s="109">
        <f t="shared" si="6"/>
        <v>0</v>
      </c>
      <c r="U17" s="107">
        <f t="shared" si="7"/>
        <v>0</v>
      </c>
      <c r="V17" s="107">
        <f t="shared" si="8"/>
        <v>0</v>
      </c>
      <c r="W17" s="107">
        <f t="shared" si="9"/>
        <v>0</v>
      </c>
      <c r="X17" s="107">
        <f t="shared" si="9"/>
        <v>0</v>
      </c>
      <c r="Y17" s="107">
        <f t="shared" si="10"/>
        <v>0</v>
      </c>
      <c r="Z17" s="106">
        <f t="shared" si="11"/>
        <v>0</v>
      </c>
      <c r="AA17" s="106">
        <f t="shared" si="12"/>
        <v>0</v>
      </c>
      <c r="AB17" s="106">
        <f t="shared" si="13"/>
        <v>0</v>
      </c>
      <c r="AC17" s="106">
        <f t="shared" si="13"/>
        <v>0</v>
      </c>
      <c r="AD17" s="106">
        <f t="shared" si="14"/>
        <v>0</v>
      </c>
    </row>
    <row r="18" spans="1:30">
      <c r="A18" s="165">
        <v>1</v>
      </c>
      <c r="B18" s="164" t="s">
        <v>231</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230</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229</v>
      </c>
      <c r="C20" s="163"/>
      <c r="D20" s="162" t="s">
        <v>81</v>
      </c>
      <c r="E20" s="158">
        <f>+IF($A20="",IF($C20="",SUMIFS(全伝票!I:I,全伝票!$B:$B,$B20),SUMIFS(全伝票!I:I,全伝票!$C:$C,$C20)),IF($C20="",SUMIFS(全伝票!I:I,全伝票!$A:$A,$A20,全伝票!$B:$B,$B20),SUMIFS(全伝票!I:I,全伝票!$A:$A,$A20,全伝票!$C:$C,$C20)))</f>
        <v>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0</v>
      </c>
      <c r="K20" s="34">
        <f t="shared" si="0"/>
        <v>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0</v>
      </c>
      <c r="S20" s="22">
        <f t="shared" si="5"/>
        <v>0</v>
      </c>
      <c r="T20" s="109">
        <f t="shared" si="6"/>
        <v>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228</v>
      </c>
      <c r="C21" s="163"/>
      <c r="D21" s="162" t="s">
        <v>79</v>
      </c>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227</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226</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225</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223</v>
      </c>
      <c r="C25" s="163" t="s">
        <v>224</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223</v>
      </c>
      <c r="C26" s="163" t="s">
        <v>222</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221</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220</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219</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218</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217</v>
      </c>
      <c r="C31" s="163"/>
      <c r="D31" s="162" t="s">
        <v>58</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216</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237</v>
      </c>
      <c r="C33" s="163">
        <v>883101003</v>
      </c>
      <c r="D33" s="162" t="s">
        <v>609</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215</v>
      </c>
      <c r="C34" s="163"/>
      <c r="D34" s="162" t="s">
        <v>53</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214</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0</v>
      </c>
      <c r="F36" s="152">
        <f t="shared" si="15"/>
        <v>0</v>
      </c>
      <c r="G36" s="151">
        <f t="shared" si="15"/>
        <v>0</v>
      </c>
      <c r="H36" s="151">
        <f t="shared" si="15"/>
        <v>0</v>
      </c>
      <c r="I36" s="150">
        <f t="shared" ref="I36" si="16">SUM(I5:I35)</f>
        <v>0</v>
      </c>
      <c r="J36" s="150">
        <f t="shared" si="15"/>
        <v>0</v>
      </c>
      <c r="K36" s="74">
        <f t="shared" si="15"/>
        <v>0</v>
      </c>
      <c r="L36" s="149">
        <f t="shared" si="15"/>
        <v>0</v>
      </c>
      <c r="M36" s="149">
        <f t="shared" si="15"/>
        <v>0</v>
      </c>
      <c r="N36" s="146">
        <f t="shared" si="15"/>
        <v>0</v>
      </c>
      <c r="O36" s="145">
        <f t="shared" si="15"/>
        <v>0</v>
      </c>
      <c r="P36" s="145">
        <f t="shared" si="15"/>
        <v>0</v>
      </c>
      <c r="Q36" s="148">
        <f t="shared" ref="Q36" si="17">SUM(Q5:Q35)</f>
        <v>0</v>
      </c>
      <c r="R36" s="148">
        <f t="shared" si="15"/>
        <v>0</v>
      </c>
      <c r="S36" s="144">
        <f t="shared" si="15"/>
        <v>0</v>
      </c>
      <c r="T36" s="147">
        <f t="shared" si="15"/>
        <v>0</v>
      </c>
      <c r="U36" s="88" t="str">
        <f>+IF(F36=0,"",ROUND(F36*F$4/(100+F$4),7)-N36)</f>
        <v/>
      </c>
      <c r="V36" s="88"/>
      <c r="W36" s="88"/>
      <c r="X36" s="88"/>
      <c r="Y36" s="88"/>
      <c r="Z36" s="88"/>
      <c r="AA36" s="88"/>
      <c r="AB36" s="87"/>
      <c r="AC36" s="87"/>
      <c r="AD36" s="87"/>
    </row>
    <row r="37" spans="1:30">
      <c r="A37" s="143"/>
      <c r="B37" s="142"/>
      <c r="C37" s="141"/>
      <c r="D37" s="140" t="s">
        <v>1</v>
      </c>
      <c r="E37" s="136">
        <f t="shared" ref="E37:J37" si="18">+E36</f>
        <v>0</v>
      </c>
      <c r="F37" s="139">
        <f t="shared" si="18"/>
        <v>0</v>
      </c>
      <c r="G37" s="138">
        <f t="shared" si="18"/>
        <v>0</v>
      </c>
      <c r="H37" s="138">
        <f t="shared" si="18"/>
        <v>0</v>
      </c>
      <c r="I37" s="137">
        <f t="shared" si="18"/>
        <v>0</v>
      </c>
      <c r="J37" s="137">
        <f t="shared" si="18"/>
        <v>0</v>
      </c>
      <c r="K37" s="63">
        <f>SUM(F37:J37)</f>
        <v>0</v>
      </c>
      <c r="L37" s="136">
        <f>+L36</f>
        <v>0</v>
      </c>
      <c r="M37" s="135">
        <f>+M36</f>
        <v>0</v>
      </c>
      <c r="N37" s="133">
        <f>+'3条支出'!N10</f>
        <v>0</v>
      </c>
      <c r="O37" s="132">
        <f>+'3条支出'!O10</f>
        <v>0</v>
      </c>
      <c r="P37" s="132">
        <f>+'3条支出'!P10</f>
        <v>0</v>
      </c>
      <c r="Q37" s="132">
        <f>+'3条支出'!Q10</f>
        <v>0</v>
      </c>
      <c r="R37" s="132">
        <f>+'3条支出'!R10</f>
        <v>0</v>
      </c>
      <c r="S37" s="131">
        <f>+'3条支出'!S10</f>
        <v>0</v>
      </c>
      <c r="T37" s="134">
        <f>+'3条支出'!T10</f>
        <v>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row r="42" spans="1:30">
      <c r="G42" s="272"/>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8" priority="3" stopIfTrue="1">
      <formula>LEN(TRIM(AE5))&gt;0</formula>
    </cfRule>
  </conditionalFormatting>
  <conditionalFormatting sqref="AE36:AI37">
    <cfRule type="notContainsBlanks" dxfId="87" priority="4" stopIfTrue="1">
      <formula>LEN(TRIM(AE36))&gt;0</formula>
    </cfRule>
  </conditionalFormatting>
  <conditionalFormatting sqref="Z5:AD35">
    <cfRule type="expression" dxfId="86" priority="2">
      <formula>ABS(Z5)=1</formula>
    </cfRule>
  </conditionalFormatting>
  <conditionalFormatting sqref="E38:T38">
    <cfRule type="cellIs" dxfId="85" priority="1" operator="notEqual">
      <formula>0</formula>
    </cfRule>
  </conditionalFormatting>
  <pageMargins left="0.39370078740157483" right="0.39370078740157483" top="0.59055118110236227" bottom="0.39370078740157483" header="0.39370078740157483" footer="0.19685039370078741"/>
  <pageSetup paperSize="9" scale="67" orientation="landscape" blackAndWhite="1" r:id="rId1"/>
  <headerFooter>
    <oddFooter>&amp;L&amp;8&amp;Z&amp;F&amp;A&amp;R&amp;8&amp;D&amp;T</oddFooter>
  </headerFooter>
</worksheet>
</file>

<file path=xl/worksheets/w1_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279</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278</v>
      </c>
      <c r="C5" s="175"/>
      <c r="D5" s="174" t="s">
        <v>112</v>
      </c>
      <c r="E5" s="170">
        <f>+IF($A5="",IF($C5="",SUMIFS(全伝票!I:I,全伝票!$B:$B,$B5),SUMIFS(全伝票!I:I,全伝票!$C:$C,$C5)),IF($C5="",SUMIFS(全伝票!I:I,全伝票!$A:$A,$A5,全伝票!$B:$B,$B5),SUMIFS(全伝票!I:I,全伝票!$A:$A,$A5,全伝票!$C:$C,$C5)))</f>
        <v>19274556</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19274556</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19274556</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277</v>
      </c>
      <c r="C6" s="163"/>
      <c r="D6" s="162" t="s">
        <v>110</v>
      </c>
      <c r="E6" s="158">
        <f>+IF($A6="",IF($C6="",SUMIFS(全伝票!I:I,全伝票!$B:$B,$B6),SUMIFS(全伝票!I:I,全伝票!$C:$C,$C6)),IF($C6="",SUMIFS(全伝票!I:I,全伝票!$A:$A,$A6,全伝票!$B:$B,$B6),SUMIFS(全伝票!I:I,全伝票!$A:$A,$A6,全伝票!$C:$C,$C6)))</f>
        <v>22985320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22985320</v>
      </c>
      <c r="N6" s="108">
        <f t="shared" si="1"/>
        <v>0</v>
      </c>
      <c r="O6" s="25">
        <f t="shared" si="3"/>
        <v>0</v>
      </c>
      <c r="P6" s="25">
        <f t="shared" si="2"/>
        <v>0</v>
      </c>
      <c r="Q6" s="157">
        <f t="shared" si="3"/>
        <v>0</v>
      </c>
      <c r="R6" s="157">
        <f t="shared" si="4"/>
        <v>0</v>
      </c>
      <c r="S6" s="22">
        <f t="shared" si="5"/>
        <v>0</v>
      </c>
      <c r="T6" s="109">
        <f t="shared" si="6"/>
        <v>22985320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276</v>
      </c>
      <c r="C7" s="163"/>
      <c r="D7" s="162" t="s">
        <v>108</v>
      </c>
      <c r="E7" s="158">
        <f>+IF($A7="",IF($C7="",SUMIFS(全伝票!I:I,全伝票!$B:$B,$B7),SUMIFS(全伝票!I:I,全伝票!$C:$C,$C7)),IF($C7="",SUMIFS(全伝票!I:I,全伝票!$A:$A,$A7,全伝票!$B:$B,$B7),SUMIFS(全伝票!I:I,全伝票!$A:$A,$A7,全伝票!$C:$C,$C7)))</f>
        <v>14699444</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517080</v>
      </c>
      <c r="K7" s="34">
        <f t="shared" si="0"/>
        <v>517080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14182364</v>
      </c>
      <c r="N7" s="108">
        <f t="shared" si="1"/>
        <v>0</v>
      </c>
      <c r="O7" s="25">
        <f t="shared" si="3"/>
        <v>0</v>
      </c>
      <c r="P7" s="25">
        <f t="shared" si="2"/>
        <v>0</v>
      </c>
      <c r="Q7" s="157">
        <f t="shared" si="3"/>
        <v>0</v>
      </c>
      <c r="R7" s="157">
        <f t="shared" si="4"/>
        <v>47007</v>
      </c>
      <c r="S7" s="22">
        <f t="shared" si="5"/>
        <v>47007</v>
      </c>
      <c r="T7" s="109">
        <f t="shared" si="6"/>
        <v>14652437</v>
      </c>
      <c r="U7" s="107">
        <f t="shared" si="7"/>
        <v>0</v>
      </c>
      <c r="V7" s="107">
        <f t="shared" si="8"/>
        <v>0</v>
      </c>
      <c r="W7" s="107">
        <f t="shared" si="9"/>
        <v>0</v>
      </c>
      <c r="X7" s="107">
        <f t="shared" si="9"/>
        <v>0</v>
      </c>
      <c r="Y7" s="107">
        <f t="shared" si="10"/>
        <v>-0.27272727272793418</v>
      </c>
      <c r="Z7" s="106">
        <f t="shared" si="11"/>
        <v>0</v>
      </c>
      <c r="AA7" s="106">
        <f t="shared" si="12"/>
        <v>0</v>
      </c>
      <c r="AB7" s="106">
        <f t="shared" si="13"/>
        <v>0</v>
      </c>
      <c r="AC7" s="106">
        <f t="shared" si="13"/>
        <v>0</v>
      </c>
      <c r="AD7" s="106">
        <f t="shared" si="14"/>
        <v>0</v>
      </c>
    </row>
    <row r="8" spans="1:35">
      <c r="A8" s="165">
        <v>1</v>
      </c>
      <c r="B8" s="164" t="s">
        <v>275</v>
      </c>
      <c r="C8" s="163"/>
      <c r="D8" s="162" t="s">
        <v>106</v>
      </c>
      <c r="E8" s="158">
        <f>+IF($A8="",IF($C8="",SUMIFS(全伝票!I:I,全伝票!$B:$B,$B8),SUMIFS(全伝票!I:I,全伝票!$C:$C,$C8)),IF($C8="",SUMIFS(全伝票!I:I,全伝票!$A:$A,$A8,全伝票!$B:$B,$B8),SUMIFS(全伝票!I:I,全伝票!$A:$A,$A8,全伝票!$C:$C,$C8)))</f>
        <v>9592854</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9532106</v>
      </c>
      <c r="M8" s="158">
        <f>+IF($A8="",IF($C8="",SUMIFS(全伝票!P:P,全伝票!$B:$B,$B8),SUMIFS(全伝票!P:P,全伝票!$C:$C,$C8)),IF($C8="",SUMIFS(全伝票!P:P,全伝票!$A:$A,$A8,全伝票!$B:$B,$B8),SUMIFS(全伝票!P:P,全伝票!$A:$A,$A8,全伝票!$C:$C,$C8)))</f>
        <v>60748</v>
      </c>
      <c r="N8" s="108">
        <f t="shared" si="1"/>
        <v>0</v>
      </c>
      <c r="O8" s="25">
        <f t="shared" si="3"/>
        <v>0</v>
      </c>
      <c r="P8" s="25">
        <f t="shared" si="2"/>
        <v>0</v>
      </c>
      <c r="Q8" s="157">
        <f t="shared" si="3"/>
        <v>0</v>
      </c>
      <c r="R8" s="157">
        <f t="shared" si="4"/>
        <v>0</v>
      </c>
      <c r="S8" s="22">
        <f t="shared" si="5"/>
        <v>0</v>
      </c>
      <c r="T8" s="109">
        <f t="shared" si="6"/>
        <v>9592854</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274</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273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272</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270</v>
      </c>
      <c r="C12" s="163" t="s">
        <v>271</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270</v>
      </c>
      <c r="C13" s="163" t="s">
        <v>269</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268</v>
      </c>
      <c r="C14" s="163"/>
      <c r="D14" s="162" t="s">
        <v>93</v>
      </c>
      <c r="E14" s="158">
        <f>+IF($A14="",IF($C14="",SUMIFS(全伝票!I:I,全伝票!$B:$B,$B14),SUMIFS(全伝票!I:I,全伝票!$C:$C,$C14)),IF($C14="",SUMIFS(全伝票!I:I,全伝票!$A:$A,$A14,全伝票!$B:$B,$B14),SUMIFS(全伝票!I:I,全伝票!$A:$A,$A14,全伝票!$C:$C,$C14)))</f>
        <v>524214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524214</v>
      </c>
      <c r="K14" s="34">
        <f t="shared" si="0"/>
        <v>524214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47656</v>
      </c>
      <c r="S14" s="22">
        <f t="shared" si="5"/>
        <v>47656</v>
      </c>
      <c r="T14" s="109">
        <f t="shared" si="6"/>
        <v>476558</v>
      </c>
      <c r="U14" s="107">
        <f t="shared" si="7"/>
        <v>0</v>
      </c>
      <c r="V14" s="107">
        <f t="shared" si="8"/>
        <v>0</v>
      </c>
      <c r="W14" s="107">
        <f t="shared" si="9"/>
        <v>0</v>
      </c>
      <c r="X14" s="107">
        <f t="shared" si="9"/>
        <v>0</v>
      </c>
      <c r="Y14" s="107">
        <f t="shared" si="10"/>
        <v>0.18181818181619747</v>
      </c>
      <c r="Z14" s="106">
        <f t="shared" si="11"/>
        <v>0</v>
      </c>
      <c r="AA14" s="106">
        <f t="shared" si="12"/>
        <v>0</v>
      </c>
      <c r="AB14" s="106">
        <f t="shared" si="13"/>
        <v>0</v>
      </c>
      <c r="AC14" s="106">
        <f t="shared" si="13"/>
        <v>0</v>
      </c>
      <c r="AD14" s="106">
        <f t="shared" si="14"/>
        <v>0</v>
      </c>
    </row>
    <row r="15" spans="1:35">
      <c r="A15" s="165">
        <v>1</v>
      </c>
      <c r="B15" s="164" t="s">
        <v>267</v>
      </c>
      <c r="C15" s="163"/>
      <c r="D15" s="162" t="s">
        <v>91</v>
      </c>
      <c r="E15" s="158">
        <f>+IF($A15="",IF($C15="",SUMIFS(全伝票!I:I,全伝票!$B:$B,$B15),SUMIFS(全伝票!I:I,全伝票!$C:$C,$C15)),IF($C15="",SUMIFS(全伝票!I:I,全伝票!$A:$A,$A15,全伝票!$B:$B,$B15),SUMIFS(全伝票!I:I,全伝票!$A:$A,$A15,全伝票!$C:$C,$C15)))</f>
        <v>14678</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14678</v>
      </c>
      <c r="K15" s="34">
        <f t="shared" si="0"/>
        <v>14678</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1334</v>
      </c>
      <c r="S15" s="22">
        <f t="shared" si="5"/>
        <v>1334</v>
      </c>
      <c r="T15" s="109">
        <f t="shared" si="6"/>
        <v>13344</v>
      </c>
      <c r="U15" s="107">
        <f t="shared" si="7"/>
        <v>0</v>
      </c>
      <c r="V15" s="107">
        <f t="shared" si="8"/>
        <v>0</v>
      </c>
      <c r="W15" s="107">
        <f t="shared" si="9"/>
        <v>0</v>
      </c>
      <c r="X15" s="107">
        <f t="shared" si="9"/>
        <v>0</v>
      </c>
      <c r="Y15" s="107">
        <f t="shared" si="10"/>
        <v>-0.36363636363626028</v>
      </c>
      <c r="Z15" s="106">
        <f t="shared" si="11"/>
        <v>0</v>
      </c>
      <c r="AA15" s="106">
        <f t="shared" si="12"/>
        <v>0</v>
      </c>
      <c r="AB15" s="106">
        <f t="shared" si="13"/>
        <v>0</v>
      </c>
      <c r="AC15" s="106">
        <f t="shared" si="13"/>
        <v>0</v>
      </c>
      <c r="AD15" s="106">
        <f t="shared" si="14"/>
        <v>0</v>
      </c>
    </row>
    <row r="16" spans="1:35">
      <c r="A16" s="165">
        <v>1</v>
      </c>
      <c r="B16" s="164" t="s">
        <v>266</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265</v>
      </c>
      <c r="C17" s="163"/>
      <c r="D17" s="162" t="s">
        <v>87</v>
      </c>
      <c r="E17" s="158">
        <f>+IF($A17="",IF($C17="",SUMIFS(全伝票!I:I,全伝票!$B:$B,$B17),SUMIFS(全伝票!I:I,全伝票!$C:$C,$C17)),IF($C17="",SUMIFS(全伝票!I:I,全伝票!$A:$A,$A17,全伝票!$B:$B,$B17),SUMIFS(全伝票!I:I,全伝票!$A:$A,$A17,全伝票!$C:$C,$C17)))</f>
        <v>265731</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265731</v>
      </c>
      <c r="K17" s="34">
        <f t="shared" si="0"/>
        <v>265731</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24157</v>
      </c>
      <c r="S17" s="22">
        <f t="shared" si="5"/>
        <v>24157</v>
      </c>
      <c r="T17" s="109">
        <f t="shared" si="6"/>
        <v>241574</v>
      </c>
      <c r="U17" s="107">
        <f t="shared" si="7"/>
        <v>0</v>
      </c>
      <c r="V17" s="107">
        <f t="shared" si="8"/>
        <v>0</v>
      </c>
      <c r="W17" s="107">
        <f t="shared" si="9"/>
        <v>0</v>
      </c>
      <c r="X17" s="107">
        <f t="shared" si="9"/>
        <v>0</v>
      </c>
      <c r="Y17" s="107">
        <f t="shared" si="10"/>
        <v>-0.36363636363603291</v>
      </c>
      <c r="Z17" s="106">
        <f t="shared" si="11"/>
        <v>0</v>
      </c>
      <c r="AA17" s="106">
        <f t="shared" si="12"/>
        <v>0</v>
      </c>
      <c r="AB17" s="106">
        <f t="shared" si="13"/>
        <v>0</v>
      </c>
      <c r="AC17" s="106">
        <f t="shared" si="13"/>
        <v>0</v>
      </c>
      <c r="AD17" s="106">
        <f t="shared" si="14"/>
        <v>0</v>
      </c>
    </row>
    <row r="18" spans="1:30">
      <c r="A18" s="165">
        <v>1</v>
      </c>
      <c r="B18" s="164" t="s">
        <v>264</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263</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262</v>
      </c>
      <c r="C20" s="163"/>
      <c r="D20" s="162" t="s">
        <v>81</v>
      </c>
      <c r="E20" s="158">
        <f>+IF($A20="",IF($C20="",SUMIFS(全伝票!I:I,全伝票!$B:$B,$B20),SUMIFS(全伝票!I:I,全伝票!$C:$C,$C20)),IF($C20="",SUMIFS(全伝票!I:I,全伝票!$A:$A,$A20,全伝票!$B:$B,$B20),SUMIFS(全伝票!I:I,全伝票!$A:$A,$A20,全伝票!$C:$C,$C20)))</f>
        <v>16474337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16474337</v>
      </c>
      <c r="K20" s="34">
        <f t="shared" si="0"/>
        <v>16474337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1497667</v>
      </c>
      <c r="S20" s="22">
        <f t="shared" si="5"/>
        <v>1497667</v>
      </c>
      <c r="T20" s="109">
        <f t="shared" si="6"/>
        <v>14976670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261</v>
      </c>
      <c r="C21" s="163"/>
      <c r="D21" s="162" t="s">
        <v>79</v>
      </c>
      <c r="E21" s="158">
        <f>+IF($A21="",IF($C21="",SUMIFS(全伝票!I:I,全伝票!$B:$B,$B21),SUMIFS(全伝票!I:I,全伝票!$C:$C,$C21)),IF($C21="",SUMIFS(全伝票!I:I,全伝票!$A:$A,$A21,全伝票!$B:$B,$B21),SUMIFS(全伝票!I:I,全伝票!$A:$A,$A21,全伝票!$C:$C,$C21)))</f>
        <v>116949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116949</v>
      </c>
      <c r="K21" s="34">
        <f t="shared" si="0"/>
        <v>116949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10632</v>
      </c>
      <c r="S21" s="22">
        <f t="shared" si="5"/>
        <v>10632</v>
      </c>
      <c r="T21" s="109">
        <f t="shared" si="6"/>
        <v>106317</v>
      </c>
      <c r="U21" s="107">
        <f t="shared" si="7"/>
        <v>0</v>
      </c>
      <c r="V21" s="107">
        <f t="shared" si="8"/>
        <v>0</v>
      </c>
      <c r="W21" s="107">
        <f t="shared" si="9"/>
        <v>0</v>
      </c>
      <c r="X21" s="107">
        <f t="shared" si="9"/>
        <v>0</v>
      </c>
      <c r="Y21" s="107">
        <f t="shared" si="10"/>
        <v>0.27272727272793418</v>
      </c>
      <c r="Z21" s="106">
        <f t="shared" si="11"/>
        <v>0</v>
      </c>
      <c r="AA21" s="106">
        <f t="shared" si="12"/>
        <v>0</v>
      </c>
      <c r="AB21" s="106">
        <f t="shared" si="13"/>
        <v>0</v>
      </c>
      <c r="AC21" s="106">
        <f t="shared" si="13"/>
        <v>0</v>
      </c>
      <c r="AD21" s="106">
        <f t="shared" si="14"/>
        <v>0</v>
      </c>
    </row>
    <row r="22" spans="1:30">
      <c r="A22" s="165">
        <v>1</v>
      </c>
      <c r="B22" s="164" t="s">
        <v>260</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259</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258</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256</v>
      </c>
      <c r="C25" s="163" t="s">
        <v>257</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256</v>
      </c>
      <c r="C26" s="163" t="s">
        <v>255</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254</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253</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252</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251</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250</v>
      </c>
      <c r="C31" s="163"/>
      <c r="D31" s="162" t="s">
        <v>58</v>
      </c>
      <c r="E31" s="158">
        <f>+IF($A31="",IF($C31="",SUMIFS(全伝票!I:I,全伝票!$B:$B,$B31),SUMIFS(全伝票!I:I,全伝票!$C:$C,$C31)),IF($C31="",SUMIFS(全伝票!I:I,全伝票!$A:$A,$A31,全伝票!$B:$B,$B31),SUMIFS(全伝票!I:I,全伝票!$A:$A,$A31,全伝票!$C:$C,$C31)))</f>
        <v>81986</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81986</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81986</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249</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270</v>
      </c>
      <c r="C33" s="163">
        <v>883121003</v>
      </c>
      <c r="D33" s="162" t="s">
        <v>609</v>
      </c>
      <c r="E33" s="158">
        <f>+IF($A33="",IF($C33="",SUMIFS(全伝票!I:I,全伝票!$B:$B,$B33),SUMIFS(全伝票!I:I,全伝票!$C:$C,$C33)),IF($C33="",SUMIFS(全伝票!I:I,全伝票!$A:$A,$A33,全伝票!$B:$B,$B33),SUMIFS(全伝票!I:I,全伝票!$A:$A,$A33,全伝票!$C:$C,$C33)))</f>
        <v>957480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957480</v>
      </c>
      <c r="K33" s="34">
        <f t="shared" si="0"/>
        <v>957480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87044</v>
      </c>
      <c r="S33" s="22">
        <f t="shared" si="5"/>
        <v>87044</v>
      </c>
      <c r="T33" s="109">
        <f t="shared" si="6"/>
        <v>870436</v>
      </c>
      <c r="U33" s="107">
        <f t="shared" si="7"/>
        <v>0</v>
      </c>
      <c r="V33" s="107">
        <f t="shared" si="8"/>
        <v>0</v>
      </c>
      <c r="W33" s="107">
        <f t="shared" si="9"/>
        <v>0</v>
      </c>
      <c r="X33" s="107">
        <f t="shared" si="9"/>
        <v>0</v>
      </c>
      <c r="Y33" s="107">
        <f t="shared" si="10"/>
        <v>0.36363636363239493</v>
      </c>
      <c r="Z33" s="106">
        <f t="shared" si="11"/>
        <v>0</v>
      </c>
      <c r="AA33" s="106">
        <f t="shared" si="12"/>
        <v>0</v>
      </c>
      <c r="AB33" s="106">
        <f t="shared" si="13"/>
        <v>0</v>
      </c>
      <c r="AC33" s="106">
        <f t="shared" si="13"/>
        <v>0</v>
      </c>
      <c r="AD33" s="106">
        <f t="shared" si="14"/>
        <v>0</v>
      </c>
    </row>
    <row r="34" spans="1:30">
      <c r="A34" s="165">
        <v>1</v>
      </c>
      <c r="B34" s="164" t="s">
        <v>248</v>
      </c>
      <c r="C34" s="163"/>
      <c r="D34" s="162" t="s">
        <v>53</v>
      </c>
      <c r="E34" s="158">
        <f>+IF($A34="",IF($C34="",SUMIFS(全伝票!I:I,全伝票!$B:$B,$B34),SUMIFS(全伝票!I:I,全伝票!$C:$C,$C34)),IF($C34="",SUMIFS(全伝票!I:I,全伝票!$A:$A,$A34,全伝票!$B:$B,$B34),SUMIFS(全伝票!I:I,全伝票!$A:$A,$A34,全伝票!$C:$C,$C34)))</f>
        <v>3862000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3862000</v>
      </c>
      <c r="N34" s="108">
        <f t="shared" si="1"/>
        <v>0</v>
      </c>
      <c r="O34" s="25">
        <f t="shared" si="3"/>
        <v>0</v>
      </c>
      <c r="P34" s="25">
        <f t="shared" si="2"/>
        <v>0</v>
      </c>
      <c r="Q34" s="157">
        <f t="shared" si="3"/>
        <v>0</v>
      </c>
      <c r="R34" s="157">
        <f t="shared" si="4"/>
        <v>0</v>
      </c>
      <c r="S34" s="22">
        <f t="shared" si="5"/>
        <v>0</v>
      </c>
      <c r="T34" s="109">
        <f t="shared" si="6"/>
        <v>3862000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247</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88849549</v>
      </c>
      <c r="F36" s="152">
        <f t="shared" si="15"/>
        <v>0</v>
      </c>
      <c r="G36" s="151">
        <f t="shared" si="15"/>
        <v>0</v>
      </c>
      <c r="H36" s="151">
        <f t="shared" si="15"/>
        <v>0</v>
      </c>
      <c r="I36" s="150">
        <f t="shared" ref="I36" si="16">SUM(I5:I35)</f>
        <v>0</v>
      </c>
      <c r="J36" s="150">
        <f t="shared" si="15"/>
        <v>18870469</v>
      </c>
      <c r="K36" s="74">
        <f t="shared" si="15"/>
        <v>18870469</v>
      </c>
      <c r="L36" s="149">
        <f t="shared" si="15"/>
        <v>9614092</v>
      </c>
      <c r="M36" s="149">
        <f t="shared" si="15"/>
        <v>60364988</v>
      </c>
      <c r="N36" s="146">
        <f t="shared" si="15"/>
        <v>0</v>
      </c>
      <c r="O36" s="145">
        <f t="shared" si="15"/>
        <v>0</v>
      </c>
      <c r="P36" s="145">
        <f t="shared" si="15"/>
        <v>0</v>
      </c>
      <c r="Q36" s="148">
        <f t="shared" ref="Q36" si="17">SUM(Q5:Q35)</f>
        <v>0</v>
      </c>
      <c r="R36" s="148">
        <f t="shared" si="15"/>
        <v>1715497</v>
      </c>
      <c r="S36" s="144">
        <f t="shared" si="15"/>
        <v>1715497</v>
      </c>
      <c r="T36" s="147">
        <f t="shared" si="15"/>
        <v>87134052</v>
      </c>
      <c r="U36" s="88" t="str">
        <f>+IF(F36=0,"",ROUND(F36*F$4/(100+F$4),7)-N36)</f>
        <v/>
      </c>
      <c r="V36" s="88"/>
      <c r="W36" s="88"/>
      <c r="X36" s="88"/>
      <c r="Y36" s="88"/>
      <c r="Z36" s="88"/>
      <c r="AA36" s="88"/>
      <c r="AB36" s="87"/>
      <c r="AC36" s="87"/>
      <c r="AD36" s="87"/>
    </row>
    <row r="37" spans="1:30">
      <c r="A37" s="143"/>
      <c r="B37" s="142"/>
      <c r="C37" s="141"/>
      <c r="D37" s="140" t="s">
        <v>1</v>
      </c>
      <c r="E37" s="136">
        <f t="shared" ref="E37:J37" si="18">+E36</f>
        <v>88849549</v>
      </c>
      <c r="F37" s="139">
        <f t="shared" si="18"/>
        <v>0</v>
      </c>
      <c r="G37" s="138">
        <f t="shared" si="18"/>
        <v>0</v>
      </c>
      <c r="H37" s="138">
        <f t="shared" si="18"/>
        <v>0</v>
      </c>
      <c r="I37" s="137">
        <f t="shared" si="18"/>
        <v>0</v>
      </c>
      <c r="J37" s="137">
        <f t="shared" si="18"/>
        <v>18870469</v>
      </c>
      <c r="K37" s="63">
        <f>SUM(F37:J37)</f>
        <v>18870469</v>
      </c>
      <c r="L37" s="136">
        <f>+L36</f>
        <v>9614092</v>
      </c>
      <c r="M37" s="135">
        <f>+M36</f>
        <v>60364988</v>
      </c>
      <c r="N37" s="133">
        <f>+'3条支出'!N11</f>
        <v>0</v>
      </c>
      <c r="O37" s="132">
        <f>+'3条支出'!O11</f>
        <v>0</v>
      </c>
      <c r="P37" s="132">
        <f>+'3条支出'!P11</f>
        <v>0</v>
      </c>
      <c r="Q37" s="132">
        <f>+'3条支出'!Q11</f>
        <v>0</v>
      </c>
      <c r="R37" s="132">
        <f>+'3条支出'!R11</f>
        <v>1715497</v>
      </c>
      <c r="S37" s="131">
        <f>+'3条支出'!S11</f>
        <v>1715497</v>
      </c>
      <c r="T37" s="134">
        <f>+'3条支出'!T11</f>
        <v>87134052</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4"/>
      <c r="I41" s="272"/>
      <c r="J41" s="274"/>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4" priority="3" stopIfTrue="1">
      <formula>LEN(TRIM(AE5))&gt;0</formula>
    </cfRule>
  </conditionalFormatting>
  <conditionalFormatting sqref="AE36:AI37">
    <cfRule type="notContainsBlanks" dxfId="83" priority="4" stopIfTrue="1">
      <formula>LEN(TRIM(AE36))&gt;0</formula>
    </cfRule>
  </conditionalFormatting>
  <conditionalFormatting sqref="Z5:AD35">
    <cfRule type="expression" dxfId="82" priority="2">
      <formula>ABS(Z5)=1</formula>
    </cfRule>
  </conditionalFormatting>
  <conditionalFormatting sqref="E38:T38">
    <cfRule type="cellIs" dxfId="81"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pane xSplit="5" ySplit="4" topLeftCell="F5" activePane="bottomRight" state="frozen"/>
      <selection activeCell="E30" sqref="E30"/>
      <selection pane="topRight" activeCell="E30" sqref="E30"/>
      <selection pane="bottomLeft" activeCell="E30" sqref="E30"/>
      <selection pane="bottomRight" activeCell="F5" sqref="F5"/>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312</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311</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310</v>
      </c>
      <c r="C6" s="163"/>
      <c r="D6" s="162" t="s">
        <v>110</v>
      </c>
      <c r="E6" s="158">
        <f>+IF($A6="",IF($C6="",SUMIFS(全伝票!I:I,全伝票!$B:$B,$B6),SUMIFS(全伝票!I:I,全伝票!$C:$C,$C6)),IF($C6="",SUMIFS(全伝票!I:I,全伝票!$A:$A,$A6,全伝票!$B:$B,$B6),SUMIFS(全伝票!I:I,全伝票!$A:$A,$A6,全伝票!$C:$C,$C6)))</f>
        <v>4418400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4418400</v>
      </c>
      <c r="N6" s="108">
        <f t="shared" si="1"/>
        <v>0</v>
      </c>
      <c r="O6" s="25">
        <f t="shared" si="3"/>
        <v>0</v>
      </c>
      <c r="P6" s="25">
        <f t="shared" si="2"/>
        <v>0</v>
      </c>
      <c r="Q6" s="157">
        <f t="shared" si="3"/>
        <v>0</v>
      </c>
      <c r="R6" s="157">
        <f t="shared" si="4"/>
        <v>0</v>
      </c>
      <c r="S6" s="22">
        <f t="shared" si="5"/>
        <v>0</v>
      </c>
      <c r="T6" s="109">
        <f t="shared" si="6"/>
        <v>4418400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309</v>
      </c>
      <c r="C7" s="163"/>
      <c r="D7" s="162" t="s">
        <v>108</v>
      </c>
      <c r="E7" s="158">
        <f>+IF($A7="",IF($C7="",SUMIFS(全伝票!I:I,全伝票!$B:$B,$B7),SUMIFS(全伝票!I:I,全伝票!$C:$C,$C7)),IF($C7="",SUMIFS(全伝票!I:I,全伝票!$A:$A,$A7,全伝票!$B:$B,$B7),SUMIFS(全伝票!I:I,全伝票!$A:$A,$A7,全伝票!$C:$C,$C7)))</f>
        <v>2835307</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2835307</v>
      </c>
      <c r="N7" s="108">
        <f t="shared" si="1"/>
        <v>0</v>
      </c>
      <c r="O7" s="25">
        <f t="shared" si="3"/>
        <v>0</v>
      </c>
      <c r="P7" s="25">
        <f t="shared" si="2"/>
        <v>0</v>
      </c>
      <c r="Q7" s="157">
        <f t="shared" si="3"/>
        <v>0</v>
      </c>
      <c r="R7" s="157">
        <f t="shared" si="4"/>
        <v>0</v>
      </c>
      <c r="S7" s="22">
        <f t="shared" si="5"/>
        <v>0</v>
      </c>
      <c r="T7" s="109">
        <f t="shared" si="6"/>
        <v>2835307</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308</v>
      </c>
      <c r="C8" s="163"/>
      <c r="D8" s="162" t="s">
        <v>106</v>
      </c>
      <c r="E8" s="158">
        <f>+IF($A8="",IF($C8="",SUMIFS(全伝票!I:I,全伝票!$B:$B,$B8),SUMIFS(全伝票!I:I,全伝票!$C:$C,$C8)),IF($C8="",SUMIFS(全伝票!I:I,全伝票!$A:$A,$A8,全伝票!$B:$B,$B8),SUMIFS(全伝票!I:I,全伝票!$A:$A,$A8,全伝票!$C:$C,$C8)))</f>
        <v>1569273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1562649</v>
      </c>
      <c r="M8" s="158">
        <f>+IF($A8="",IF($C8="",SUMIFS(全伝票!P:P,全伝票!$B:$B,$B8),SUMIFS(全伝票!P:P,全伝票!$C:$C,$C8)),IF($C8="",SUMIFS(全伝票!P:P,全伝票!$A:$A,$A8,全伝票!$B:$B,$B8),SUMIFS(全伝票!P:P,全伝票!$A:$A,$A8,全伝票!$C:$C,$C8)))</f>
        <v>6624</v>
      </c>
      <c r="N8" s="108">
        <f t="shared" si="1"/>
        <v>0</v>
      </c>
      <c r="O8" s="25">
        <f t="shared" si="3"/>
        <v>0</v>
      </c>
      <c r="P8" s="25">
        <f t="shared" si="2"/>
        <v>0</v>
      </c>
      <c r="Q8" s="157">
        <f t="shared" si="3"/>
        <v>0</v>
      </c>
      <c r="R8" s="157">
        <f t="shared" si="4"/>
        <v>0</v>
      </c>
      <c r="S8" s="22">
        <f t="shared" si="5"/>
        <v>0</v>
      </c>
      <c r="T8" s="109">
        <f t="shared" si="6"/>
        <v>1569273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307</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306</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305</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303</v>
      </c>
      <c r="C12" s="163" t="s">
        <v>304</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303</v>
      </c>
      <c r="C13" s="163" t="s">
        <v>302</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301</v>
      </c>
      <c r="C14" s="163"/>
      <c r="D14" s="162" t="s">
        <v>93</v>
      </c>
      <c r="E14" s="158">
        <f>+IF($A14="",IF($C14="",SUMIFS(全伝票!I:I,全伝票!$B:$B,$B14),SUMIFS(全伝票!I:I,全伝票!$C:$C,$C14)),IF($C14="",SUMIFS(全伝票!I:I,全伝票!$A:$A,$A14,全伝票!$B:$B,$B14),SUMIFS(全伝票!I:I,全伝票!$A:$A,$A14,全伝票!$C:$C,$C14)))</f>
        <v>314753</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314753</v>
      </c>
      <c r="K14" s="34">
        <f t="shared" si="0"/>
        <v>314753</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28614</v>
      </c>
      <c r="S14" s="22">
        <f t="shared" si="5"/>
        <v>28614</v>
      </c>
      <c r="T14" s="109">
        <f t="shared" si="6"/>
        <v>286139</v>
      </c>
      <c r="U14" s="107">
        <f t="shared" si="7"/>
        <v>0</v>
      </c>
      <c r="V14" s="107">
        <f t="shared" si="8"/>
        <v>0</v>
      </c>
      <c r="W14" s="107">
        <f t="shared" si="9"/>
        <v>0</v>
      </c>
      <c r="X14" s="107">
        <f t="shared" si="9"/>
        <v>0</v>
      </c>
      <c r="Y14" s="107">
        <f t="shared" si="10"/>
        <v>9.0909090908098733E-2</v>
      </c>
      <c r="Z14" s="106">
        <f t="shared" si="11"/>
        <v>0</v>
      </c>
      <c r="AA14" s="106">
        <f t="shared" si="12"/>
        <v>0</v>
      </c>
      <c r="AB14" s="106">
        <f t="shared" si="13"/>
        <v>0</v>
      </c>
      <c r="AC14" s="106">
        <f t="shared" si="13"/>
        <v>0</v>
      </c>
      <c r="AD14" s="106">
        <f t="shared" si="14"/>
        <v>0</v>
      </c>
    </row>
    <row r="15" spans="1:35">
      <c r="A15" s="165">
        <v>1</v>
      </c>
      <c r="B15" s="164" t="s">
        <v>300</v>
      </c>
      <c r="C15" s="163"/>
      <c r="D15" s="162" t="s">
        <v>91</v>
      </c>
      <c r="E15" s="158">
        <f>+IF($A15="",IF($C15="",SUMIFS(全伝票!I:I,全伝票!$B:$B,$B15),SUMIFS(全伝票!I:I,全伝票!$C:$C,$C15)),IF($C15="",SUMIFS(全伝票!I:I,全伝票!$A:$A,$A15,全伝票!$B:$B,$B15),SUMIFS(全伝票!I:I,全伝票!$A:$A,$A15,全伝票!$C:$C,$C15)))</f>
        <v>205816</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205816</v>
      </c>
      <c r="K15" s="34">
        <f t="shared" si="0"/>
        <v>205816</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18710</v>
      </c>
      <c r="S15" s="22">
        <f t="shared" si="5"/>
        <v>18710</v>
      </c>
      <c r="T15" s="109">
        <f t="shared" si="6"/>
        <v>187106</v>
      </c>
      <c r="U15" s="107">
        <f t="shared" si="7"/>
        <v>0</v>
      </c>
      <c r="V15" s="107">
        <f t="shared" si="8"/>
        <v>0</v>
      </c>
      <c r="W15" s="107">
        <f t="shared" si="9"/>
        <v>0</v>
      </c>
      <c r="X15" s="107">
        <f t="shared" si="9"/>
        <v>0</v>
      </c>
      <c r="Y15" s="107">
        <f t="shared" si="10"/>
        <v>-0.54545454545586836</v>
      </c>
      <c r="Z15" s="106">
        <f t="shared" si="11"/>
        <v>0</v>
      </c>
      <c r="AA15" s="106">
        <f t="shared" si="12"/>
        <v>0</v>
      </c>
      <c r="AB15" s="106">
        <f t="shared" si="13"/>
        <v>0</v>
      </c>
      <c r="AC15" s="106">
        <f t="shared" si="13"/>
        <v>0</v>
      </c>
      <c r="AD15" s="106">
        <f t="shared" si="14"/>
        <v>0</v>
      </c>
      <c r="AI15" s="2">
        <v>-1</v>
      </c>
    </row>
    <row r="16" spans="1:35">
      <c r="A16" s="165">
        <v>1</v>
      </c>
      <c r="B16" s="164" t="s">
        <v>299</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298</v>
      </c>
      <c r="C17" s="163"/>
      <c r="D17" s="162" t="s">
        <v>87</v>
      </c>
      <c r="E17" s="158">
        <f>+IF($A17="",IF($C17="",SUMIFS(全伝票!I:I,全伝票!$B:$B,$B17),SUMIFS(全伝票!I:I,全伝票!$C:$C,$C17)),IF($C17="",SUMIFS(全伝票!I:I,全伝票!$A:$A,$A17,全伝票!$B:$B,$B17),SUMIFS(全伝票!I:I,全伝票!$A:$A,$A17,全伝票!$C:$C,$C17)))</f>
        <v>25200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25200</v>
      </c>
      <c r="K17" s="34">
        <f t="shared" si="0"/>
        <v>25200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2291</v>
      </c>
      <c r="S17" s="22">
        <f t="shared" si="5"/>
        <v>2291</v>
      </c>
      <c r="T17" s="109">
        <f t="shared" si="6"/>
        <v>22909</v>
      </c>
      <c r="U17" s="107">
        <f t="shared" si="7"/>
        <v>0</v>
      </c>
      <c r="V17" s="107">
        <f t="shared" si="8"/>
        <v>0</v>
      </c>
      <c r="W17" s="107">
        <f t="shared" si="9"/>
        <v>0</v>
      </c>
      <c r="X17" s="107">
        <f t="shared" si="9"/>
        <v>0</v>
      </c>
      <c r="Y17" s="107">
        <f t="shared" si="10"/>
        <v>9.0909090909008228E-2</v>
      </c>
      <c r="Z17" s="106">
        <f t="shared" si="11"/>
        <v>0</v>
      </c>
      <c r="AA17" s="106">
        <f t="shared" si="12"/>
        <v>0</v>
      </c>
      <c r="AB17" s="106">
        <f t="shared" si="13"/>
        <v>0</v>
      </c>
      <c r="AC17" s="106">
        <f t="shared" si="13"/>
        <v>0</v>
      </c>
      <c r="AD17" s="106">
        <f t="shared" si="14"/>
        <v>0</v>
      </c>
    </row>
    <row r="18" spans="1:30">
      <c r="A18" s="165">
        <v>1</v>
      </c>
      <c r="B18" s="164" t="s">
        <v>297</v>
      </c>
      <c r="C18" s="163"/>
      <c r="D18" s="162" t="s">
        <v>85</v>
      </c>
      <c r="E18" s="158">
        <f>+IF($A18="",IF($C18="",SUMIFS(全伝票!I:I,全伝票!$B:$B,$B18),SUMIFS(全伝票!I:I,全伝票!$C:$C,$C18)),IF($C18="",SUMIFS(全伝票!I:I,全伝票!$A:$A,$A18,全伝票!$B:$B,$B18),SUMIFS(全伝票!I:I,全伝票!$A:$A,$A18,全伝票!$C:$C,$C18)))</f>
        <v>31159</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3839</v>
      </c>
      <c r="K18" s="34">
        <f t="shared" si="0"/>
        <v>3839</v>
      </c>
      <c r="L18" s="158">
        <f>+IF($A18="",IF($C18="",SUMIFS(全伝票!O:O,全伝票!$B:$B,$B18),SUMIFS(全伝票!O:O,全伝票!$C:$C,$C18)),IF($C18="",SUMIFS(全伝票!O:O,全伝票!$A:$A,$A18,全伝票!$B:$B,$B18),SUMIFS(全伝票!O:O,全伝票!$A:$A,$A18,全伝票!$C:$C,$C18)))</f>
        <v>12900</v>
      </c>
      <c r="M18" s="158">
        <f>+IF($A18="",IF($C18="",SUMIFS(全伝票!P:P,全伝票!$B:$B,$B18),SUMIFS(全伝票!P:P,全伝票!$C:$C,$C18)),IF($C18="",SUMIFS(全伝票!P:P,全伝票!$A:$A,$A18,全伝票!$B:$B,$B18),SUMIFS(全伝票!P:P,全伝票!$A:$A,$A18,全伝票!$C:$C,$C18)))</f>
        <v>14420</v>
      </c>
      <c r="N18" s="108">
        <f t="shared" si="1"/>
        <v>0</v>
      </c>
      <c r="O18" s="25">
        <f t="shared" si="3"/>
        <v>0</v>
      </c>
      <c r="P18" s="25">
        <f t="shared" si="2"/>
        <v>0</v>
      </c>
      <c r="Q18" s="157">
        <f t="shared" si="3"/>
        <v>0</v>
      </c>
      <c r="R18" s="157">
        <f t="shared" si="4"/>
        <v>349</v>
      </c>
      <c r="S18" s="22">
        <f t="shared" si="5"/>
        <v>349</v>
      </c>
      <c r="T18" s="109">
        <f t="shared" si="6"/>
        <v>30810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296</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295</v>
      </c>
      <c r="C20" s="163"/>
      <c r="D20" s="162" t="s">
        <v>81</v>
      </c>
      <c r="E20" s="158">
        <f>+IF($A20="",IF($C20="",SUMIFS(全伝票!I:I,全伝票!$B:$B,$B20),SUMIFS(全伝票!I:I,全伝票!$C:$C,$C20)),IF($C20="",SUMIFS(全伝票!I:I,全伝票!$A:$A,$A20,全伝票!$B:$B,$B20),SUMIFS(全伝票!I:I,全伝票!$A:$A,$A20,全伝票!$C:$C,$C20)))</f>
        <v>223630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223630</v>
      </c>
      <c r="K20" s="34">
        <f t="shared" si="0"/>
        <v>223630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20330</v>
      </c>
      <c r="S20" s="22">
        <f t="shared" si="5"/>
        <v>20330</v>
      </c>
      <c r="T20" s="109">
        <f t="shared" si="6"/>
        <v>203300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294</v>
      </c>
      <c r="C21" s="163"/>
      <c r="D21" s="162" t="s">
        <v>79</v>
      </c>
      <c r="E21" s="158">
        <f>+IF($A21="",IF($C21="",SUMIFS(全伝票!I:I,全伝票!$B:$B,$B21),SUMIFS(全伝票!I:I,全伝票!$C:$C,$C21)),IF($C21="",SUMIFS(全伝票!I:I,全伝票!$A:$A,$A21,全伝票!$B:$B,$B21),SUMIFS(全伝票!I:I,全伝票!$A:$A,$A21,全伝票!$C:$C,$C21)))</f>
        <v>190247</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190247</v>
      </c>
      <c r="K21" s="34">
        <f t="shared" si="0"/>
        <v>190247</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17295</v>
      </c>
      <c r="S21" s="22">
        <f t="shared" si="5"/>
        <v>17295</v>
      </c>
      <c r="T21" s="109">
        <f t="shared" si="6"/>
        <v>172952</v>
      </c>
      <c r="U21" s="107">
        <f t="shared" si="7"/>
        <v>0</v>
      </c>
      <c r="V21" s="107">
        <f t="shared" si="8"/>
        <v>0</v>
      </c>
      <c r="W21" s="107">
        <f t="shared" si="9"/>
        <v>0</v>
      </c>
      <c r="X21" s="107">
        <f t="shared" si="9"/>
        <v>0</v>
      </c>
      <c r="Y21" s="107">
        <f t="shared" si="10"/>
        <v>-0.18181818181983544</v>
      </c>
      <c r="Z21" s="106">
        <f t="shared" si="11"/>
        <v>0</v>
      </c>
      <c r="AA21" s="106">
        <f t="shared" si="12"/>
        <v>0</v>
      </c>
      <c r="AB21" s="106">
        <f t="shared" si="13"/>
        <v>0</v>
      </c>
      <c r="AC21" s="106">
        <f t="shared" si="13"/>
        <v>0</v>
      </c>
      <c r="AD21" s="106">
        <f t="shared" si="14"/>
        <v>0</v>
      </c>
    </row>
    <row r="22" spans="1:30">
      <c r="A22" s="165">
        <v>1</v>
      </c>
      <c r="B22" s="164" t="s">
        <v>293</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292</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291</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289</v>
      </c>
      <c r="C25" s="163" t="s">
        <v>290</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289</v>
      </c>
      <c r="C26" s="163" t="s">
        <v>288</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287</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286</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285</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284</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283</v>
      </c>
      <c r="C31" s="163"/>
      <c r="D31" s="162" t="s">
        <v>58</v>
      </c>
      <c r="E31" s="158">
        <f>+IF($A31="",IF($C31="",SUMIFS(全伝票!I:I,全伝票!$B:$B,$B31),SUMIFS(全伝票!I:I,全伝票!$C:$C,$C31)),IF($C31="",SUMIFS(全伝票!I:I,全伝票!$A:$A,$A31,全伝票!$B:$B,$B31),SUMIFS(全伝票!I:I,全伝票!$A:$A,$A31,全伝票!$C:$C,$C31)))</f>
        <v>97074</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97074</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97074</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282</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303</v>
      </c>
      <c r="C33" s="163">
        <v>883131003</v>
      </c>
      <c r="D33" s="162" t="s">
        <v>609</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281</v>
      </c>
      <c r="C34" s="163"/>
      <c r="D34" s="162" t="s">
        <v>53</v>
      </c>
      <c r="E34" s="158">
        <f>+IF($A34="",IF($C34="",SUMIFS(全伝票!I:I,全伝票!$B:$B,$B34),SUMIFS(全伝票!I:I,全伝票!$C:$C,$C34)),IF($C34="",SUMIFS(全伝票!I:I,全伝票!$A:$A,$A34,全伝票!$B:$B,$B34),SUMIFS(全伝票!I:I,全伝票!$A:$A,$A34,全伝票!$C:$C,$C34)))</f>
        <v>573000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573000</v>
      </c>
      <c r="N34" s="108">
        <f t="shared" si="1"/>
        <v>0</v>
      </c>
      <c r="O34" s="25">
        <f t="shared" si="3"/>
        <v>0</v>
      </c>
      <c r="P34" s="25">
        <f t="shared" si="2"/>
        <v>0</v>
      </c>
      <c r="Q34" s="157">
        <f t="shared" si="3"/>
        <v>0</v>
      </c>
      <c r="R34" s="157">
        <f t="shared" si="4"/>
        <v>0</v>
      </c>
      <c r="S34" s="22">
        <f t="shared" si="5"/>
        <v>0</v>
      </c>
      <c r="T34" s="109">
        <f t="shared" si="6"/>
        <v>573000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280</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10483859</v>
      </c>
      <c r="F36" s="152">
        <f t="shared" si="15"/>
        <v>0</v>
      </c>
      <c r="G36" s="151">
        <f t="shared" si="15"/>
        <v>0</v>
      </c>
      <c r="H36" s="151">
        <f t="shared" si="15"/>
        <v>0</v>
      </c>
      <c r="I36" s="150">
        <f t="shared" ref="I36" si="16">SUM(I5:I35)</f>
        <v>0</v>
      </c>
      <c r="J36" s="150">
        <f t="shared" si="15"/>
        <v>963485</v>
      </c>
      <c r="K36" s="74">
        <f t="shared" si="15"/>
        <v>963485</v>
      </c>
      <c r="L36" s="149">
        <f t="shared" si="15"/>
        <v>1672623</v>
      </c>
      <c r="M36" s="149">
        <f t="shared" si="15"/>
        <v>7847751</v>
      </c>
      <c r="N36" s="146">
        <f t="shared" si="15"/>
        <v>0</v>
      </c>
      <c r="O36" s="145">
        <f t="shared" si="15"/>
        <v>0</v>
      </c>
      <c r="P36" s="145">
        <f t="shared" si="15"/>
        <v>0</v>
      </c>
      <c r="Q36" s="148">
        <f t="shared" ref="Q36" si="17">SUM(Q5:Q35)</f>
        <v>0</v>
      </c>
      <c r="R36" s="148">
        <f t="shared" si="15"/>
        <v>87589</v>
      </c>
      <c r="S36" s="144">
        <f t="shared" si="15"/>
        <v>87589</v>
      </c>
      <c r="T36" s="147">
        <f t="shared" si="15"/>
        <v>10396270</v>
      </c>
      <c r="U36" s="88" t="str">
        <f>+IF(F36=0,"",ROUND(F36*F$4/(100+F$4),7)-N36)</f>
        <v/>
      </c>
      <c r="V36" s="88"/>
      <c r="W36" s="88"/>
      <c r="X36" s="88"/>
      <c r="Y36" s="88"/>
      <c r="Z36" s="88"/>
      <c r="AA36" s="88"/>
      <c r="AB36" s="87"/>
      <c r="AC36" s="87"/>
      <c r="AD36" s="87"/>
    </row>
    <row r="37" spans="1:30">
      <c r="A37" s="143"/>
      <c r="B37" s="142"/>
      <c r="C37" s="141"/>
      <c r="D37" s="140" t="s">
        <v>1</v>
      </c>
      <c r="E37" s="136">
        <f t="shared" ref="E37:J37" si="18">+E36</f>
        <v>10483859</v>
      </c>
      <c r="F37" s="139">
        <f t="shared" si="18"/>
        <v>0</v>
      </c>
      <c r="G37" s="138">
        <f t="shared" si="18"/>
        <v>0</v>
      </c>
      <c r="H37" s="138">
        <f t="shared" si="18"/>
        <v>0</v>
      </c>
      <c r="I37" s="137">
        <f t="shared" si="18"/>
        <v>0</v>
      </c>
      <c r="J37" s="137">
        <f t="shared" si="18"/>
        <v>963485</v>
      </c>
      <c r="K37" s="63">
        <f>SUM(F37:J37)</f>
        <v>963485</v>
      </c>
      <c r="L37" s="136">
        <f>+L36</f>
        <v>1672623</v>
      </c>
      <c r="M37" s="135">
        <f>+M36</f>
        <v>7847751</v>
      </c>
      <c r="N37" s="133">
        <f>+'3条支出'!N12</f>
        <v>0</v>
      </c>
      <c r="O37" s="132">
        <f>+'3条支出'!O12</f>
        <v>0</v>
      </c>
      <c r="P37" s="132">
        <f>+'3条支出'!P12</f>
        <v>0</v>
      </c>
      <c r="Q37" s="132">
        <f>+'3条支出'!Q12</f>
        <v>0</v>
      </c>
      <c r="R37" s="132">
        <f>+'3条支出'!R12</f>
        <v>87589</v>
      </c>
      <c r="S37" s="131">
        <f>+'3条支出'!S12</f>
        <v>87589</v>
      </c>
      <c r="T37" s="134">
        <f>+'3条支出'!T12</f>
        <v>10396270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0" priority="3" stopIfTrue="1">
      <formula>LEN(TRIM(AE5))&gt;0</formula>
    </cfRule>
  </conditionalFormatting>
  <conditionalFormatting sqref="AE36:AI37">
    <cfRule type="notContainsBlanks" dxfId="79" priority="4" stopIfTrue="1">
      <formula>LEN(TRIM(AE36))&gt;0</formula>
    </cfRule>
  </conditionalFormatting>
  <conditionalFormatting sqref="Z5:AD35">
    <cfRule type="expression" dxfId="78" priority="2">
      <formula>ABS(Z5)=1</formula>
    </cfRule>
  </conditionalFormatting>
  <conditionalFormatting sqref="E38:T38">
    <cfRule type="cellIs" dxfId="77"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55" zoomScaleNormal="55"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345</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344</v>
      </c>
      <c r="C5" s="175"/>
      <c r="D5" s="174" t="s">
        <v>112</v>
      </c>
      <c r="E5" s="170">
        <f>+IF($A5="",IF($C5="",SUMIFS(全伝票!I:I,全伝票!$B:$B,$B5),SUMIFS(全伝票!I:I,全伝票!$C:$C,$C5)),IF($C5="",SUMIFS(全伝票!I:I,全伝票!$A:$A,$A5,全伝票!$B:$B,$B5),SUMIFS(全伝票!I:I,全伝票!$A:$A,$A5,全伝票!$C:$C,$C5)))</f>
        <v>2132308</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2132308</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2132308</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343</v>
      </c>
      <c r="C6" s="163"/>
      <c r="D6" s="162" t="s">
        <v>110</v>
      </c>
      <c r="E6" s="158">
        <f>+IF($A6="",IF($C6="",SUMIFS(全伝票!I:I,全伝票!$B:$B,$B6),SUMIFS(全伝票!I:I,全伝票!$C:$C,$C6)),IF($C6="",SUMIFS(全伝票!I:I,全伝票!$A:$A,$A6,全伝票!$B:$B,$B6),SUMIFS(全伝票!I:I,全伝票!$A:$A,$A6,全伝票!$C:$C,$C6)))</f>
        <v>12502020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12502020</v>
      </c>
      <c r="N6" s="108">
        <f t="shared" si="1"/>
        <v>0</v>
      </c>
      <c r="O6" s="25">
        <f t="shared" si="3"/>
        <v>0</v>
      </c>
      <c r="P6" s="25">
        <f t="shared" si="2"/>
        <v>0</v>
      </c>
      <c r="Q6" s="157">
        <f t="shared" si="3"/>
        <v>0</v>
      </c>
      <c r="R6" s="157">
        <f t="shared" si="4"/>
        <v>0</v>
      </c>
      <c r="S6" s="22">
        <f t="shared" si="5"/>
        <v>0</v>
      </c>
      <c r="T6" s="109">
        <f t="shared" si="6"/>
        <v>12502020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342</v>
      </c>
      <c r="C7" s="163"/>
      <c r="D7" s="162" t="s">
        <v>108</v>
      </c>
      <c r="E7" s="158">
        <f>+IF($A7="",IF($C7="",SUMIFS(全伝票!I:I,全伝票!$B:$B,$B7),SUMIFS(全伝票!I:I,全伝票!$C:$C,$C7)),IF($C7="",SUMIFS(全伝票!I:I,全伝票!$A:$A,$A7,全伝票!$B:$B,$B7),SUMIFS(全伝票!I:I,全伝票!$A:$A,$A7,全伝票!$C:$C,$C7)))</f>
        <v>7395331</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587260</v>
      </c>
      <c r="K7" s="34">
        <f t="shared" si="0"/>
        <v>587260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6808071</v>
      </c>
      <c r="N7" s="108">
        <f t="shared" si="1"/>
        <v>0</v>
      </c>
      <c r="O7" s="25">
        <f t="shared" si="3"/>
        <v>0</v>
      </c>
      <c r="P7" s="25">
        <f t="shared" si="2"/>
        <v>0</v>
      </c>
      <c r="Q7" s="157">
        <f t="shared" si="3"/>
        <v>0</v>
      </c>
      <c r="R7" s="157">
        <f t="shared" si="4"/>
        <v>53387</v>
      </c>
      <c r="S7" s="22">
        <f t="shared" si="5"/>
        <v>53387</v>
      </c>
      <c r="T7" s="109">
        <f t="shared" si="6"/>
        <v>7341944</v>
      </c>
      <c r="U7" s="107">
        <f t="shared" si="7"/>
        <v>0</v>
      </c>
      <c r="V7" s="107">
        <f t="shared" si="8"/>
        <v>0</v>
      </c>
      <c r="W7" s="107">
        <f t="shared" si="9"/>
        <v>0</v>
      </c>
      <c r="X7" s="107">
        <f t="shared" si="9"/>
        <v>0</v>
      </c>
      <c r="Y7" s="107">
        <f t="shared" si="10"/>
        <v>-0.27272727272793418</v>
      </c>
      <c r="Z7" s="106">
        <f t="shared" si="11"/>
        <v>0</v>
      </c>
      <c r="AA7" s="106">
        <f t="shared" si="12"/>
        <v>0</v>
      </c>
      <c r="AB7" s="106">
        <f t="shared" si="13"/>
        <v>0</v>
      </c>
      <c r="AC7" s="106">
        <f t="shared" si="13"/>
        <v>0</v>
      </c>
      <c r="AD7" s="106">
        <f t="shared" si="14"/>
        <v>0</v>
      </c>
    </row>
    <row r="8" spans="1:35">
      <c r="A8" s="165">
        <v>1</v>
      </c>
      <c r="B8" s="164" t="s">
        <v>341</v>
      </c>
      <c r="C8" s="163"/>
      <c r="D8" s="162" t="s">
        <v>106</v>
      </c>
      <c r="E8" s="158">
        <f>+IF($A8="",IF($C8="",SUMIFS(全伝票!I:I,全伝票!$B:$B,$B8),SUMIFS(全伝票!I:I,全伝票!$C:$C,$C8)),IF($C8="",SUMIFS(全伝票!I:I,全伝票!$A:$A,$A8,全伝票!$B:$B,$B8),SUMIFS(全伝票!I:I,全伝票!$A:$A,$A8,全伝票!$C:$C,$C8)))</f>
        <v>4205489</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4184693</v>
      </c>
      <c r="M8" s="158">
        <f>+IF($A8="",IF($C8="",SUMIFS(全伝票!P:P,全伝票!$B:$B,$B8),SUMIFS(全伝票!P:P,全伝票!$C:$C,$C8)),IF($C8="",SUMIFS(全伝票!P:P,全伝票!$A:$A,$A8,全伝票!$B:$B,$B8),SUMIFS(全伝票!P:P,全伝票!$A:$A,$A8,全伝票!$C:$C,$C8)))</f>
        <v>20796</v>
      </c>
      <c r="N8" s="108">
        <f t="shared" si="1"/>
        <v>0</v>
      </c>
      <c r="O8" s="25">
        <f t="shared" si="3"/>
        <v>0</v>
      </c>
      <c r="P8" s="25">
        <f t="shared" si="2"/>
        <v>0</v>
      </c>
      <c r="Q8" s="157">
        <f t="shared" si="3"/>
        <v>0</v>
      </c>
      <c r="R8" s="157">
        <f t="shared" si="4"/>
        <v>0</v>
      </c>
      <c r="S8" s="22">
        <f t="shared" si="5"/>
        <v>0</v>
      </c>
      <c r="T8" s="109">
        <f t="shared" si="6"/>
        <v>4205489</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340</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339</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338</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336</v>
      </c>
      <c r="C12" s="163" t="s">
        <v>337</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336</v>
      </c>
      <c r="C13" s="163" t="s">
        <v>335</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334</v>
      </c>
      <c r="C14" s="163"/>
      <c r="D14" s="162" t="s">
        <v>93</v>
      </c>
      <c r="E14" s="158">
        <f>+IF($A14="",IF($C14="",SUMIFS(全伝票!I:I,全伝票!$B:$B,$B14),SUMIFS(全伝票!I:I,全伝票!$C:$C,$C14)),IF($C14="",SUMIFS(全伝票!I:I,全伝票!$A:$A,$A14,全伝票!$B:$B,$B14),SUMIFS(全伝票!I:I,全伝票!$A:$A,$A14,全伝票!$C:$C,$C14)))</f>
        <v>127781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127781</v>
      </c>
      <c r="K14" s="34">
        <f t="shared" si="0"/>
        <v>127781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11617</v>
      </c>
      <c r="S14" s="22">
        <f t="shared" si="5"/>
        <v>11617</v>
      </c>
      <c r="T14" s="109">
        <f t="shared" si="6"/>
        <v>116164</v>
      </c>
      <c r="U14" s="107">
        <f t="shared" si="7"/>
        <v>0</v>
      </c>
      <c r="V14" s="107">
        <f t="shared" si="8"/>
        <v>0</v>
      </c>
      <c r="W14" s="107">
        <f t="shared" si="9"/>
        <v>0</v>
      </c>
      <c r="X14" s="107">
        <f t="shared" si="9"/>
        <v>0</v>
      </c>
      <c r="Y14" s="107">
        <f t="shared" si="10"/>
        <v>0.54545454545404937</v>
      </c>
      <c r="Z14" s="106">
        <f t="shared" si="11"/>
        <v>0</v>
      </c>
      <c r="AA14" s="106">
        <f t="shared" si="12"/>
        <v>0</v>
      </c>
      <c r="AB14" s="106">
        <f t="shared" si="13"/>
        <v>0</v>
      </c>
      <c r="AC14" s="106">
        <f t="shared" si="13"/>
        <v>0</v>
      </c>
      <c r="AD14" s="106">
        <f t="shared" si="14"/>
        <v>0</v>
      </c>
      <c r="AI14" s="2">
        <v>1</v>
      </c>
    </row>
    <row r="15" spans="1:35">
      <c r="A15" s="165">
        <v>1</v>
      </c>
      <c r="B15" s="164" t="s">
        <v>333</v>
      </c>
      <c r="C15" s="163"/>
      <c r="D15" s="162" t="s">
        <v>91</v>
      </c>
      <c r="E15" s="158">
        <f>+IF($A15="",IF($C15="",SUMIFS(全伝票!I:I,全伝票!$B:$B,$B15),SUMIFS(全伝票!I:I,全伝票!$C:$C,$C15)),IF($C15="",SUMIFS(全伝票!I:I,全伝票!$A:$A,$A15,全伝票!$B:$B,$B15),SUMIFS(全伝票!I:I,全伝票!$A:$A,$A15,全伝票!$C:$C,$C15)))</f>
        <v>31107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31107</v>
      </c>
      <c r="K15" s="34">
        <f t="shared" si="0"/>
        <v>31107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2828</v>
      </c>
      <c r="S15" s="22">
        <f t="shared" si="5"/>
        <v>2828</v>
      </c>
      <c r="T15" s="109">
        <f t="shared" si="6"/>
        <v>28279</v>
      </c>
      <c r="U15" s="107">
        <f t="shared" si="7"/>
        <v>0</v>
      </c>
      <c r="V15" s="107">
        <f t="shared" si="8"/>
        <v>0</v>
      </c>
      <c r="W15" s="107">
        <f t="shared" si="9"/>
        <v>0</v>
      </c>
      <c r="X15" s="107">
        <f t="shared" si="9"/>
        <v>0</v>
      </c>
      <c r="Y15" s="107">
        <f t="shared" si="10"/>
        <v>9.0909090909008228E-2</v>
      </c>
      <c r="Z15" s="106">
        <f t="shared" si="11"/>
        <v>0</v>
      </c>
      <c r="AA15" s="106">
        <f t="shared" si="12"/>
        <v>0</v>
      </c>
      <c r="AB15" s="106">
        <f t="shared" si="13"/>
        <v>0</v>
      </c>
      <c r="AC15" s="106">
        <f t="shared" si="13"/>
        <v>0</v>
      </c>
      <c r="AD15" s="106">
        <f t="shared" si="14"/>
        <v>0</v>
      </c>
    </row>
    <row r="16" spans="1:35">
      <c r="A16" s="165">
        <v>1</v>
      </c>
      <c r="B16" s="164" t="s">
        <v>332</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331</v>
      </c>
      <c r="C17" s="163"/>
      <c r="D17" s="162" t="s">
        <v>87</v>
      </c>
      <c r="E17" s="158">
        <f>+IF($A17="",IF($C17="",SUMIFS(全伝票!I:I,全伝票!$B:$B,$B17),SUMIFS(全伝票!I:I,全伝票!$C:$C,$C17)),IF($C17="",SUMIFS(全伝票!I:I,全伝票!$A:$A,$A17,全伝票!$B:$B,$B17),SUMIFS(全伝票!I:I,全伝票!$A:$A,$A17,全伝票!$C:$C,$C17)))</f>
        <v>615774</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615774</v>
      </c>
      <c r="K17" s="34">
        <f t="shared" si="0"/>
        <v>615774</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55979</v>
      </c>
      <c r="S17" s="22">
        <f t="shared" si="5"/>
        <v>55979</v>
      </c>
      <c r="T17" s="109">
        <f t="shared" si="6"/>
        <v>559795</v>
      </c>
      <c r="U17" s="107">
        <f t="shared" si="7"/>
        <v>0</v>
      </c>
      <c r="V17" s="107">
        <f t="shared" si="8"/>
        <v>0</v>
      </c>
      <c r="W17" s="107">
        <f t="shared" si="9"/>
        <v>0</v>
      </c>
      <c r="X17" s="107">
        <f t="shared" si="9"/>
        <v>0</v>
      </c>
      <c r="Y17" s="107">
        <f t="shared" si="10"/>
        <v>-0.45454545454413164</v>
      </c>
      <c r="Z17" s="106">
        <f t="shared" si="11"/>
        <v>0</v>
      </c>
      <c r="AA17" s="106">
        <f t="shared" si="12"/>
        <v>0</v>
      </c>
      <c r="AB17" s="106">
        <f t="shared" si="13"/>
        <v>0</v>
      </c>
      <c r="AC17" s="106">
        <f t="shared" si="13"/>
        <v>0</v>
      </c>
      <c r="AD17" s="106">
        <f t="shared" si="14"/>
        <v>0</v>
      </c>
    </row>
    <row r="18" spans="1:30">
      <c r="A18" s="165">
        <v>1</v>
      </c>
      <c r="B18" s="164" t="s">
        <v>330</v>
      </c>
      <c r="C18" s="163"/>
      <c r="D18" s="162" t="s">
        <v>85</v>
      </c>
      <c r="E18" s="158">
        <f>+IF($A18="",IF($C18="",SUMIFS(全伝票!I:I,全伝票!$B:$B,$B18),SUMIFS(全伝票!I:I,全伝票!$C:$C,$C18)),IF($C18="",SUMIFS(全伝票!I:I,全伝票!$A:$A,$A18,全伝票!$B:$B,$B18),SUMIFS(全伝票!I:I,全伝票!$A:$A,$A18,全伝票!$C:$C,$C18)))</f>
        <v>1406</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1406</v>
      </c>
      <c r="K18" s="34">
        <f t="shared" si="0"/>
        <v>1406</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128</v>
      </c>
      <c r="S18" s="22">
        <f t="shared" si="5"/>
        <v>128</v>
      </c>
      <c r="T18" s="109">
        <f t="shared" si="6"/>
        <v>1278</v>
      </c>
      <c r="U18" s="107">
        <f t="shared" si="7"/>
        <v>0</v>
      </c>
      <c r="V18" s="107">
        <f t="shared" si="8"/>
        <v>0</v>
      </c>
      <c r="W18" s="107">
        <f t="shared" si="9"/>
        <v>0</v>
      </c>
      <c r="X18" s="107">
        <f t="shared" si="9"/>
        <v>0</v>
      </c>
      <c r="Y18" s="107">
        <f t="shared" si="10"/>
        <v>0.18181818181818699</v>
      </c>
      <c r="Z18" s="106">
        <f t="shared" si="11"/>
        <v>0</v>
      </c>
      <c r="AA18" s="106">
        <f t="shared" si="12"/>
        <v>0</v>
      </c>
      <c r="AB18" s="106">
        <f t="shared" si="13"/>
        <v>0</v>
      </c>
      <c r="AC18" s="106">
        <f t="shared" si="13"/>
        <v>0</v>
      </c>
      <c r="AD18" s="106">
        <f t="shared" si="14"/>
        <v>0</v>
      </c>
    </row>
    <row r="19" spans="1:30">
      <c r="A19" s="165">
        <v>1</v>
      </c>
      <c r="B19" s="164" t="s">
        <v>329</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328</v>
      </c>
      <c r="C20" s="163"/>
      <c r="D20" s="162" t="s">
        <v>81</v>
      </c>
      <c r="E20" s="158">
        <f>+IF($A20="",IF($C20="",SUMIFS(全伝票!I:I,全伝票!$B:$B,$B20),SUMIFS(全伝票!I:I,全伝票!$C:$C,$C20)),IF($C20="",SUMIFS(全伝票!I:I,全伝票!$A:$A,$A20,全伝票!$B:$B,$B20),SUMIFS(全伝票!I:I,全伝票!$A:$A,$A20,全伝票!$C:$C,$C20)))</f>
        <v>991166277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991166277</v>
      </c>
      <c r="K20" s="34">
        <f t="shared" si="0"/>
        <v>991166277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90106025</v>
      </c>
      <c r="S20" s="22">
        <f t="shared" si="5"/>
        <v>90106025</v>
      </c>
      <c r="T20" s="109">
        <f t="shared" si="6"/>
        <v>901060252</v>
      </c>
      <c r="U20" s="107">
        <f t="shared" si="7"/>
        <v>0</v>
      </c>
      <c r="V20" s="107">
        <f t="shared" si="8"/>
        <v>0</v>
      </c>
      <c r="W20" s="107">
        <f t="shared" si="9"/>
        <v>0</v>
      </c>
      <c r="X20" s="107">
        <f t="shared" si="9"/>
        <v>0</v>
      </c>
      <c r="Y20" s="107">
        <f t="shared" si="10"/>
        <v>-0.18181818723678589</v>
      </c>
      <c r="Z20" s="106">
        <f t="shared" si="11"/>
        <v>0</v>
      </c>
      <c r="AA20" s="106">
        <f t="shared" si="12"/>
        <v>0</v>
      </c>
      <c r="AB20" s="106">
        <f t="shared" si="13"/>
        <v>0</v>
      </c>
      <c r="AC20" s="106">
        <f t="shared" si="13"/>
        <v>0</v>
      </c>
      <c r="AD20" s="106">
        <f t="shared" si="14"/>
        <v>0</v>
      </c>
    </row>
    <row r="21" spans="1:30">
      <c r="A21" s="165">
        <v>1</v>
      </c>
      <c r="B21" s="164" t="s">
        <v>327</v>
      </c>
      <c r="C21" s="163"/>
      <c r="D21" s="162" t="s">
        <v>79</v>
      </c>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326</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325</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324</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322</v>
      </c>
      <c r="C25" s="163" t="s">
        <v>323</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322</v>
      </c>
      <c r="C26" s="163" t="s">
        <v>321</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320</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319</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318</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317</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316</v>
      </c>
      <c r="C31" s="163"/>
      <c r="D31" s="162" t="s">
        <v>58</v>
      </c>
      <c r="E31" s="158">
        <f>+IF($A31="",IF($C31="",SUMIFS(全伝票!I:I,全伝票!$B:$B,$B31),SUMIFS(全伝票!I:I,全伝票!$C:$C,$C31)),IF($C31="",SUMIFS(全伝票!I:I,全伝票!$A:$A,$A31,全伝票!$B:$B,$B31),SUMIFS(全伝票!I:I,全伝票!$A:$A,$A31,全伝票!$C:$C,$C31)))</f>
        <v>10540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10540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10540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315</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336</v>
      </c>
      <c r="C33" s="163">
        <v>883141003</v>
      </c>
      <c r="D33" s="162" t="s">
        <v>609</v>
      </c>
      <c r="E33" s="158">
        <f>+IF($A33="",IF($C33="",SUMIFS(全伝票!I:I,全伝票!$B:$B,$B33),SUMIFS(全伝票!I:I,全伝票!$C:$C,$C33)),IF($C33="",SUMIFS(全伝票!I:I,全伝票!$A:$A,$A33,全伝票!$B:$B,$B33),SUMIFS(全伝票!I:I,全伝票!$A:$A,$A33,全伝票!$C:$C,$C33)))</f>
        <v>258110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258110</v>
      </c>
      <c r="K33" s="34">
        <f t="shared" si="0"/>
        <v>258110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23465</v>
      </c>
      <c r="S33" s="22">
        <f t="shared" si="5"/>
        <v>23465</v>
      </c>
      <c r="T33" s="109">
        <f t="shared" si="6"/>
        <v>234645</v>
      </c>
      <c r="U33" s="107">
        <f t="shared" si="7"/>
        <v>0</v>
      </c>
      <c r="V33" s="107">
        <f t="shared" si="8"/>
        <v>0</v>
      </c>
      <c r="W33" s="107">
        <f t="shared" si="9"/>
        <v>0</v>
      </c>
      <c r="X33" s="107">
        <f t="shared" si="9"/>
        <v>0</v>
      </c>
      <c r="Y33" s="107">
        <f t="shared" si="10"/>
        <v>0.45454545454413164</v>
      </c>
      <c r="Z33" s="106">
        <f t="shared" si="11"/>
        <v>0</v>
      </c>
      <c r="AA33" s="106">
        <f t="shared" si="12"/>
        <v>0</v>
      </c>
      <c r="AB33" s="106">
        <f t="shared" si="13"/>
        <v>0</v>
      </c>
      <c r="AC33" s="106">
        <f t="shared" si="13"/>
        <v>0</v>
      </c>
      <c r="AD33" s="106">
        <f t="shared" si="14"/>
        <v>0</v>
      </c>
    </row>
    <row r="34" spans="1:30">
      <c r="A34" s="165">
        <v>1</v>
      </c>
      <c r="B34" s="164" t="s">
        <v>314</v>
      </c>
      <c r="C34" s="163"/>
      <c r="D34" s="162" t="s">
        <v>53</v>
      </c>
      <c r="E34" s="158">
        <f>+IF($A34="",IF($C34="",SUMIFS(全伝票!I:I,全伝票!$B:$B,$B34),SUMIFS(全伝票!I:I,全伝票!$C:$C,$C34)),IF($C34="",SUMIFS(全伝票!I:I,全伝票!$A:$A,$A34,全伝票!$B:$B,$B34),SUMIFS(全伝票!I:I,全伝票!$A:$A,$A34,全伝票!$C:$C,$C34)))</f>
        <v>1499000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1499000</v>
      </c>
      <c r="N34" s="108">
        <f t="shared" si="1"/>
        <v>0</v>
      </c>
      <c r="O34" s="25">
        <f t="shared" si="3"/>
        <v>0</v>
      </c>
      <c r="P34" s="25">
        <f t="shared" si="2"/>
        <v>0</v>
      </c>
      <c r="Q34" s="157">
        <f t="shared" si="3"/>
        <v>0</v>
      </c>
      <c r="R34" s="157">
        <f t="shared" si="4"/>
        <v>0</v>
      </c>
      <c r="S34" s="22">
        <f t="shared" si="5"/>
        <v>0</v>
      </c>
      <c r="T34" s="109">
        <f t="shared" si="6"/>
        <v>1499000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313</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1019945143</v>
      </c>
      <c r="F36" s="152">
        <f t="shared" si="15"/>
        <v>0</v>
      </c>
      <c r="G36" s="151">
        <f t="shared" si="15"/>
        <v>0</v>
      </c>
      <c r="H36" s="151">
        <f t="shared" si="15"/>
        <v>0</v>
      </c>
      <c r="I36" s="150">
        <f t="shared" ref="I36" si="16">SUM(I5:I35)</f>
        <v>0</v>
      </c>
      <c r="J36" s="150">
        <f t="shared" si="15"/>
        <v>992787715</v>
      </c>
      <c r="K36" s="74">
        <f t="shared" si="15"/>
        <v>992787715</v>
      </c>
      <c r="L36" s="149">
        <f t="shared" si="15"/>
        <v>4195233</v>
      </c>
      <c r="M36" s="149">
        <f t="shared" si="15"/>
        <v>22962195</v>
      </c>
      <c r="N36" s="146">
        <f t="shared" si="15"/>
        <v>0</v>
      </c>
      <c r="O36" s="145">
        <f t="shared" si="15"/>
        <v>0</v>
      </c>
      <c r="P36" s="145">
        <f t="shared" si="15"/>
        <v>0</v>
      </c>
      <c r="Q36" s="148">
        <f t="shared" ref="Q36" si="17">SUM(Q5:Q35)</f>
        <v>0</v>
      </c>
      <c r="R36" s="148">
        <f t="shared" si="15"/>
        <v>90253429</v>
      </c>
      <c r="S36" s="144">
        <f t="shared" si="15"/>
        <v>90253429</v>
      </c>
      <c r="T36" s="147">
        <f t="shared" si="15"/>
        <v>929691714</v>
      </c>
      <c r="U36" s="88" t="str">
        <f>+IF(F36=0,"",ROUND(F36*F$4/(100+F$4),7)-N36)</f>
        <v/>
      </c>
      <c r="V36" s="88"/>
      <c r="W36" s="88"/>
      <c r="X36" s="88"/>
      <c r="Y36" s="88"/>
      <c r="Z36" s="88"/>
      <c r="AA36" s="88"/>
      <c r="AB36" s="87"/>
      <c r="AC36" s="87"/>
      <c r="AD36" s="87"/>
    </row>
    <row r="37" spans="1:30">
      <c r="A37" s="143"/>
      <c r="B37" s="142"/>
      <c r="C37" s="141"/>
      <c r="D37" s="140" t="s">
        <v>1</v>
      </c>
      <c r="E37" s="136">
        <f t="shared" ref="E37:J37" si="18">+E36</f>
        <v>1019945143</v>
      </c>
      <c r="F37" s="139">
        <f t="shared" si="18"/>
        <v>0</v>
      </c>
      <c r="G37" s="138">
        <f t="shared" si="18"/>
        <v>0</v>
      </c>
      <c r="H37" s="138">
        <f t="shared" si="18"/>
        <v>0</v>
      </c>
      <c r="I37" s="137">
        <f t="shared" si="18"/>
        <v>0</v>
      </c>
      <c r="J37" s="137">
        <f t="shared" si="18"/>
        <v>992787715</v>
      </c>
      <c r="K37" s="63">
        <f>SUM(F37:J37)</f>
        <v>992787715</v>
      </c>
      <c r="L37" s="136">
        <f>+L36</f>
        <v>4195233</v>
      </c>
      <c r="M37" s="135">
        <f>+M36</f>
        <v>22962195</v>
      </c>
      <c r="N37" s="133">
        <f>+'3条支出'!N13</f>
        <v>0</v>
      </c>
      <c r="O37" s="132">
        <f>+'3条支出'!O13</f>
        <v>0</v>
      </c>
      <c r="P37" s="132">
        <f>+'3条支出'!P13</f>
        <v>0</v>
      </c>
      <c r="Q37" s="132">
        <f>+'3条支出'!Q13</f>
        <v>0</v>
      </c>
      <c r="R37" s="132">
        <f>+'3条支出'!R13</f>
        <v>90253429</v>
      </c>
      <c r="S37" s="131">
        <f>+'3条支出'!S13</f>
        <v>90253429</v>
      </c>
      <c r="T37" s="134">
        <f>+'3条支出'!T13</f>
        <v>929691714</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4"/>
      <c r="I41" s="272"/>
      <c r="J41" s="274"/>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76" priority="3" stopIfTrue="1">
      <formula>LEN(TRIM(AE5))&gt;0</formula>
    </cfRule>
  </conditionalFormatting>
  <conditionalFormatting sqref="AE36:AI37">
    <cfRule type="notContainsBlanks" dxfId="75" priority="4" stopIfTrue="1">
      <formula>LEN(TRIM(AE36))&gt;0</formula>
    </cfRule>
  </conditionalFormatting>
  <conditionalFormatting sqref="Z5:AD35">
    <cfRule type="expression" dxfId="74" priority="2">
      <formula>ABS(Z5)=1</formula>
    </cfRule>
  </conditionalFormatting>
  <conditionalFormatting sqref="E38:T38">
    <cfRule type="cellIs" dxfId="7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3"/>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379</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378</v>
      </c>
      <c r="C5" s="175"/>
      <c r="D5" s="174" t="s">
        <v>112</v>
      </c>
      <c r="E5" s="170">
        <f>+IF($A5="",IF($C5="",SUMIFS(全伝票!I:I,全伝票!$B:$B,$B5),SUMIFS(全伝票!I:I,全伝票!$C:$C,$C5)),IF($C5="",SUMIFS(全伝票!I:I,全伝票!$A:$A,$A5,全伝票!$B:$B,$B5),SUMIFS(全伝票!I:I,全伝票!$A:$A,$A5,全伝票!$C:$C,$C5)))</f>
        <v>8388763</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8388763</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8388763</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1</v>
      </c>
      <c r="B6" s="164" t="s">
        <v>377</v>
      </c>
      <c r="C6" s="163"/>
      <c r="D6" s="162" t="s">
        <v>110</v>
      </c>
      <c r="E6" s="158">
        <f>+IF($A6="",IF($C6="",SUMIFS(全伝票!I:I,全伝票!$B:$B,$B6),SUMIFS(全伝票!I:I,全伝票!$C:$C,$C6)),IF($C6="",SUMIFS(全伝票!I:I,全伝票!$A:$A,$A6,全伝票!$B:$B,$B6),SUMIFS(全伝票!I:I,全伝票!$A:$A,$A6,全伝票!$C:$C,$C6)))</f>
        <v>118729200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118729200</v>
      </c>
      <c r="N6" s="108">
        <f t="shared" si="1"/>
        <v>0</v>
      </c>
      <c r="O6" s="25">
        <f t="shared" si="3"/>
        <v>0</v>
      </c>
      <c r="P6" s="25">
        <f t="shared" si="2"/>
        <v>0</v>
      </c>
      <c r="Q6" s="157">
        <f t="shared" si="3"/>
        <v>0</v>
      </c>
      <c r="R6" s="157">
        <f t="shared" si="4"/>
        <v>0</v>
      </c>
      <c r="S6" s="22">
        <f t="shared" si="5"/>
        <v>0</v>
      </c>
      <c r="T6" s="109">
        <f t="shared" si="6"/>
        <v>118729200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1</v>
      </c>
      <c r="B7" s="164" t="s">
        <v>376</v>
      </c>
      <c r="C7" s="163"/>
      <c r="D7" s="162" t="s">
        <v>108</v>
      </c>
      <c r="E7" s="158">
        <f>+IF($A7="",IF($C7="",SUMIFS(全伝票!I:I,全伝票!$B:$B,$B7),SUMIFS(全伝票!I:I,全伝票!$C:$C,$C7)),IF($C7="",SUMIFS(全伝票!I:I,全伝票!$A:$A,$A7,全伝票!$B:$B,$B7),SUMIFS(全伝票!I:I,全伝票!$A:$A,$A7,全伝票!$C:$C,$C7)))</f>
        <v>90395023</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2558640</v>
      </c>
      <c r="K7" s="34">
        <f t="shared" si="0"/>
        <v>2558640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87836383</v>
      </c>
      <c r="N7" s="108">
        <f t="shared" si="1"/>
        <v>0</v>
      </c>
      <c r="O7" s="25">
        <f t="shared" si="3"/>
        <v>0</v>
      </c>
      <c r="P7" s="25">
        <f t="shared" si="2"/>
        <v>0</v>
      </c>
      <c r="Q7" s="157">
        <f t="shared" si="3"/>
        <v>0</v>
      </c>
      <c r="R7" s="157">
        <f t="shared" si="4"/>
        <v>232604</v>
      </c>
      <c r="S7" s="22">
        <f t="shared" si="5"/>
        <v>232604</v>
      </c>
      <c r="T7" s="109">
        <f t="shared" si="6"/>
        <v>90162419</v>
      </c>
      <c r="U7" s="107">
        <f t="shared" si="7"/>
        <v>0</v>
      </c>
      <c r="V7" s="107">
        <f t="shared" si="8"/>
        <v>0</v>
      </c>
      <c r="W7" s="107">
        <f t="shared" si="9"/>
        <v>0</v>
      </c>
      <c r="X7" s="107">
        <f t="shared" si="9"/>
        <v>0</v>
      </c>
      <c r="Y7" s="107">
        <f t="shared" si="10"/>
        <v>0.36363636364694685</v>
      </c>
      <c r="Z7" s="106">
        <f t="shared" si="11"/>
        <v>0</v>
      </c>
      <c r="AA7" s="106">
        <f t="shared" si="12"/>
        <v>0</v>
      </c>
      <c r="AB7" s="106">
        <f t="shared" si="13"/>
        <v>0</v>
      </c>
      <c r="AC7" s="106">
        <f t="shared" si="14"/>
        <v>0</v>
      </c>
      <c r="AD7" s="106">
        <f t="shared" si="15"/>
        <v>0</v>
      </c>
    </row>
    <row r="8" spans="1:35">
      <c r="A8" s="165">
        <v>1</v>
      </c>
      <c r="B8" s="164" t="s">
        <v>375</v>
      </c>
      <c r="C8" s="163"/>
      <c r="D8" s="162" t="s">
        <v>106</v>
      </c>
      <c r="E8" s="158">
        <f>+IF($A8="",IF($C8="",SUMIFS(全伝票!I:I,全伝票!$B:$B,$B8),SUMIFS(全伝票!I:I,全伝票!$C:$C,$C8)),IF($C8="",SUMIFS(全伝票!I:I,全伝票!$A:$A,$A8,全伝票!$B:$B,$B8),SUMIFS(全伝票!I:I,全伝票!$A:$A,$A8,全伝票!$C:$C,$C8)))</f>
        <v>47128075</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46938541</v>
      </c>
      <c r="M8" s="158">
        <f>+IF($A8="",IF($C8="",SUMIFS(全伝票!P:P,全伝票!$B:$B,$B8),SUMIFS(全伝票!P:P,全伝票!$C:$C,$C8)),IF($C8="",SUMIFS(全伝票!P:P,全伝票!$A:$A,$A8,全伝票!$B:$B,$B8),SUMIFS(全伝票!P:P,全伝票!$A:$A,$A8,全伝票!$C:$C,$C8)))</f>
        <v>189534</v>
      </c>
      <c r="N8" s="108">
        <f t="shared" si="1"/>
        <v>0</v>
      </c>
      <c r="O8" s="25">
        <f t="shared" si="3"/>
        <v>0</v>
      </c>
      <c r="P8" s="25">
        <f t="shared" si="2"/>
        <v>0</v>
      </c>
      <c r="Q8" s="157">
        <f t="shared" si="3"/>
        <v>0</v>
      </c>
      <c r="R8" s="157">
        <f t="shared" si="4"/>
        <v>0</v>
      </c>
      <c r="S8" s="22">
        <f t="shared" si="5"/>
        <v>0</v>
      </c>
      <c r="T8" s="109">
        <f t="shared" si="6"/>
        <v>47128075</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1</v>
      </c>
      <c r="B9" s="164" t="s">
        <v>374</v>
      </c>
      <c r="C9" s="163"/>
      <c r="D9" s="162" t="s">
        <v>104</v>
      </c>
      <c r="E9" s="158">
        <f>+IF($A9="",IF($C9="",SUMIFS(全伝票!I:I,全伝票!$B:$B,$B9),SUMIFS(全伝票!I:I,全伝票!$C:$C,$C9)),IF($C9="",SUMIFS(全伝票!I:I,全伝票!$A:$A,$A9,全伝票!$B:$B,$B9),SUMIFS(全伝票!I:I,全伝票!$A:$A,$A9,全伝票!$C:$C,$C9)))</f>
        <v>183360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183360</v>
      </c>
      <c r="N9" s="108">
        <f t="shared" si="1"/>
        <v>0</v>
      </c>
      <c r="O9" s="25">
        <f t="shared" si="3"/>
        <v>0</v>
      </c>
      <c r="P9" s="25">
        <f t="shared" si="2"/>
        <v>0</v>
      </c>
      <c r="Q9" s="157">
        <f t="shared" si="3"/>
        <v>0</v>
      </c>
      <c r="R9" s="157">
        <f t="shared" si="4"/>
        <v>0</v>
      </c>
      <c r="S9" s="22">
        <f t="shared" si="5"/>
        <v>0</v>
      </c>
      <c r="T9" s="109">
        <f t="shared" si="6"/>
        <v>183360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1</v>
      </c>
      <c r="B10" s="164" t="s">
        <v>373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1</v>
      </c>
      <c r="B11" s="164" t="s">
        <v>372</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1</v>
      </c>
      <c r="B12" s="164" t="s">
        <v>370</v>
      </c>
      <c r="C12" s="163" t="s">
        <v>371</v>
      </c>
      <c r="D12" s="162" t="s">
        <v>98</v>
      </c>
      <c r="E12" s="158">
        <f>+IF($A12="",IF($C12="",SUMIFS(全伝票!I:I,全伝票!$B:$B,$B12),SUMIFS(全伝票!I:I,全伝票!$C:$C,$C12)),IF($C12="",SUMIFS(全伝票!I:I,全伝票!$A:$A,$A12,全伝票!$B:$B,$B12),SUMIFS(全伝票!I:I,全伝票!$A:$A,$A12,全伝票!$C:$C,$C12)))</f>
        <v>3310372</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3284472</v>
      </c>
      <c r="K12" s="34">
        <f t="shared" si="0"/>
        <v>3284472</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25900</v>
      </c>
      <c r="N12" s="108">
        <f t="shared" si="1"/>
        <v>0</v>
      </c>
      <c r="O12" s="25">
        <f t="shared" si="3"/>
        <v>0</v>
      </c>
      <c r="P12" s="25">
        <f t="shared" si="2"/>
        <v>0</v>
      </c>
      <c r="Q12" s="157">
        <f t="shared" si="3"/>
        <v>0</v>
      </c>
      <c r="R12" s="157">
        <f t="shared" si="4"/>
        <v>298588</v>
      </c>
      <c r="S12" s="22">
        <f t="shared" si="5"/>
        <v>298588</v>
      </c>
      <c r="T12" s="109">
        <f t="shared" si="6"/>
        <v>3011784</v>
      </c>
      <c r="U12" s="107">
        <f t="shared" si="7"/>
        <v>0</v>
      </c>
      <c r="V12" s="107">
        <f t="shared" si="8"/>
        <v>0</v>
      </c>
      <c r="W12" s="107">
        <f t="shared" si="9"/>
        <v>0</v>
      </c>
      <c r="X12" s="107">
        <f t="shared" si="9"/>
        <v>0</v>
      </c>
      <c r="Y12" s="107">
        <f t="shared" si="10"/>
        <v>-0.36363636364694685</v>
      </c>
      <c r="Z12" s="106">
        <f t="shared" si="11"/>
        <v>0</v>
      </c>
      <c r="AA12" s="106">
        <f t="shared" si="12"/>
        <v>0</v>
      </c>
      <c r="AB12" s="106">
        <f t="shared" si="13"/>
        <v>0</v>
      </c>
      <c r="AC12" s="106">
        <f t="shared" si="14"/>
        <v>0</v>
      </c>
      <c r="AD12" s="106">
        <f t="shared" si="15"/>
        <v>0</v>
      </c>
    </row>
    <row r="13" spans="1:35">
      <c r="A13" s="165">
        <v>1</v>
      </c>
      <c r="B13" s="164" t="s">
        <v>370</v>
      </c>
      <c r="C13" s="163" t="s">
        <v>369</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1</v>
      </c>
      <c r="B14" s="164" t="s">
        <v>368</v>
      </c>
      <c r="C14" s="163"/>
      <c r="D14" s="162" t="s">
        <v>93</v>
      </c>
      <c r="E14" s="158">
        <f>+IF($A14="",IF($C14="",SUMIFS(全伝票!I:I,全伝票!$B:$B,$B14),SUMIFS(全伝票!I:I,全伝票!$C:$C,$C14)),IF($C14="",SUMIFS(全伝票!I:I,全伝票!$A:$A,$A14,全伝票!$B:$B,$B14),SUMIFS(全伝票!I:I,全伝票!$A:$A,$A14,全伝票!$C:$C,$C14)))</f>
        <v>6713734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317198</v>
      </c>
      <c r="J14" s="159">
        <f>+IF($A14="",IF($C14="",SUMIFS(全伝票!N:N,全伝票!$B:$B,$B14),SUMIFS(全伝票!N:N,全伝票!$C:$C,$C14)),IF($C14="",SUMIFS(全伝票!N:N,全伝票!$A:$A,$A14,全伝票!$B:$B,$B14),SUMIFS(全伝票!N:N,全伝票!$A:$A,$A14,全伝票!$C:$C,$C14)))</f>
        <v>6396536</v>
      </c>
      <c r="K14" s="34">
        <f t="shared" si="0"/>
        <v>6713734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23496</v>
      </c>
      <c r="R14" s="157">
        <f t="shared" si="4"/>
        <v>581503</v>
      </c>
      <c r="S14" s="22">
        <f t="shared" si="5"/>
        <v>604999</v>
      </c>
      <c r="T14" s="109">
        <f t="shared" si="6"/>
        <v>6108735</v>
      </c>
      <c r="U14" s="107">
        <f t="shared" si="7"/>
        <v>0</v>
      </c>
      <c r="V14" s="107">
        <f t="shared" si="8"/>
        <v>0</v>
      </c>
      <c r="W14" s="107">
        <f t="shared" si="9"/>
        <v>0</v>
      </c>
      <c r="X14" s="107">
        <f t="shared" si="9"/>
        <v>-0.14814814814963029</v>
      </c>
      <c r="Y14" s="107">
        <f t="shared" si="10"/>
        <v>-0.27272727270610631</v>
      </c>
      <c r="Z14" s="106">
        <f t="shared" si="11"/>
        <v>0</v>
      </c>
      <c r="AA14" s="106">
        <f t="shared" si="12"/>
        <v>0</v>
      </c>
      <c r="AB14" s="106">
        <f t="shared" si="13"/>
        <v>0</v>
      </c>
      <c r="AC14" s="106">
        <f t="shared" si="14"/>
        <v>0</v>
      </c>
      <c r="AD14" s="106">
        <f t="shared" si="15"/>
        <v>0</v>
      </c>
    </row>
    <row r="15" spans="1:35">
      <c r="A15" s="165">
        <v>1</v>
      </c>
      <c r="B15" s="164" t="s">
        <v>367</v>
      </c>
      <c r="C15" s="163"/>
      <c r="D15" s="162" t="s">
        <v>91</v>
      </c>
      <c r="E15" s="158">
        <f>+IF($A15="",IF($C15="",SUMIFS(全伝票!I:I,全伝票!$B:$B,$B15),SUMIFS(全伝票!I:I,全伝票!$C:$C,$C15)),IF($C15="",SUMIFS(全伝票!I:I,全伝票!$A:$A,$A15,全伝票!$B:$B,$B15),SUMIFS(全伝票!I:I,全伝票!$A:$A,$A15,全伝票!$C:$C,$C15)))</f>
        <v>256877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256877</v>
      </c>
      <c r="K15" s="34">
        <f t="shared" si="0"/>
        <v>256877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23353</v>
      </c>
      <c r="S15" s="22">
        <f t="shared" si="5"/>
        <v>23353</v>
      </c>
      <c r="T15" s="109">
        <f t="shared" si="6"/>
        <v>233524</v>
      </c>
      <c r="U15" s="107">
        <f t="shared" si="7"/>
        <v>0</v>
      </c>
      <c r="V15" s="107">
        <f t="shared" si="8"/>
        <v>0</v>
      </c>
      <c r="W15" s="107">
        <f t="shared" si="9"/>
        <v>0</v>
      </c>
      <c r="X15" s="107">
        <f t="shared" si="9"/>
        <v>0</v>
      </c>
      <c r="Y15" s="107">
        <f t="shared" si="10"/>
        <v>0.54545454545586836</v>
      </c>
      <c r="Z15" s="106">
        <f t="shared" si="11"/>
        <v>0</v>
      </c>
      <c r="AA15" s="106">
        <f t="shared" si="12"/>
        <v>0</v>
      </c>
      <c r="AB15" s="106">
        <f t="shared" si="13"/>
        <v>0</v>
      </c>
      <c r="AC15" s="106">
        <f t="shared" si="14"/>
        <v>0</v>
      </c>
      <c r="AD15" s="106">
        <f t="shared" si="15"/>
        <v>0</v>
      </c>
      <c r="AI15" s="2">
        <v>1</v>
      </c>
    </row>
    <row r="16" spans="1:35">
      <c r="A16" s="165">
        <v>1</v>
      </c>
      <c r="B16" s="164" t="s">
        <v>366</v>
      </c>
      <c r="C16" s="163"/>
      <c r="D16" s="162" t="s">
        <v>89</v>
      </c>
      <c r="E16" s="158">
        <f>+IF($A16="",IF($C16="",SUMIFS(全伝票!I:I,全伝票!$B:$B,$B16),SUMIFS(全伝票!I:I,全伝票!$C:$C,$C16)),IF($C16="",SUMIFS(全伝票!I:I,全伝票!$A:$A,$A16,全伝票!$B:$B,$B16),SUMIFS(全伝票!I:I,全伝票!$A:$A,$A16,全伝票!$C:$C,$C16)))</f>
        <v>42836</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42836</v>
      </c>
      <c r="K16" s="34">
        <f t="shared" si="0"/>
        <v>42836</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3894</v>
      </c>
      <c r="S16" s="22">
        <f t="shared" si="5"/>
        <v>3894</v>
      </c>
      <c r="T16" s="109">
        <f t="shared" si="6"/>
        <v>38942</v>
      </c>
      <c r="U16" s="107">
        <f t="shared" si="7"/>
        <v>0</v>
      </c>
      <c r="V16" s="107">
        <f t="shared" si="8"/>
        <v>0</v>
      </c>
      <c r="W16" s="107">
        <f t="shared" si="9"/>
        <v>0</v>
      </c>
      <c r="X16" s="107">
        <f t="shared" si="9"/>
        <v>0</v>
      </c>
      <c r="Y16" s="107">
        <f t="shared" si="10"/>
        <v>-0.18181818181801646</v>
      </c>
      <c r="Z16" s="106">
        <f t="shared" si="11"/>
        <v>0</v>
      </c>
      <c r="AA16" s="106">
        <f t="shared" si="12"/>
        <v>0</v>
      </c>
      <c r="AB16" s="106">
        <f t="shared" si="13"/>
        <v>0</v>
      </c>
      <c r="AC16" s="106">
        <f t="shared" si="14"/>
        <v>0</v>
      </c>
      <c r="AD16" s="106">
        <f t="shared" si="15"/>
        <v>0</v>
      </c>
    </row>
    <row r="17" spans="1:35">
      <c r="A17" s="165">
        <v>1</v>
      </c>
      <c r="B17" s="164" t="s">
        <v>365</v>
      </c>
      <c r="C17" s="163"/>
      <c r="D17" s="162" t="s">
        <v>87</v>
      </c>
      <c r="E17" s="158">
        <f>+IF($A17="",IF($C17="",SUMIFS(全伝票!I:I,全伝票!$B:$B,$B17),SUMIFS(全伝票!I:I,全伝票!$C:$C,$C17)),IF($C17="",SUMIFS(全伝票!I:I,全伝票!$A:$A,$A17,全伝票!$B:$B,$B17),SUMIFS(全伝票!I:I,全伝票!$A:$A,$A17,全伝票!$C:$C,$C17)))</f>
        <v>1404435</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1404435</v>
      </c>
      <c r="K17" s="34">
        <f t="shared" si="0"/>
        <v>1404435</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127676</v>
      </c>
      <c r="S17" s="22">
        <f t="shared" si="5"/>
        <v>127676</v>
      </c>
      <c r="T17" s="109">
        <f t="shared" si="6"/>
        <v>1276759</v>
      </c>
      <c r="U17" s="107">
        <f t="shared" si="7"/>
        <v>0</v>
      </c>
      <c r="V17" s="107">
        <f t="shared" si="8"/>
        <v>0</v>
      </c>
      <c r="W17" s="107">
        <f t="shared" si="9"/>
        <v>0</v>
      </c>
      <c r="X17" s="107">
        <f t="shared" si="9"/>
        <v>0</v>
      </c>
      <c r="Y17" s="107">
        <f t="shared" si="10"/>
        <v>9.0909090911736712E-2</v>
      </c>
      <c r="Z17" s="106">
        <f t="shared" si="11"/>
        <v>0</v>
      </c>
      <c r="AA17" s="106">
        <f t="shared" si="12"/>
        <v>0</v>
      </c>
      <c r="AB17" s="106">
        <f t="shared" si="13"/>
        <v>0</v>
      </c>
      <c r="AC17" s="106">
        <f t="shared" si="14"/>
        <v>0</v>
      </c>
      <c r="AD17" s="106">
        <f t="shared" si="15"/>
        <v>0</v>
      </c>
    </row>
    <row r="18" spans="1:35">
      <c r="A18" s="165">
        <v>1</v>
      </c>
      <c r="B18" s="164" t="s">
        <v>364</v>
      </c>
      <c r="C18" s="163"/>
      <c r="D18" s="162" t="s">
        <v>85</v>
      </c>
      <c r="E18" s="158">
        <f>+IF($A18="",IF($C18="",SUMIFS(全伝票!I:I,全伝票!$B:$B,$B18),SUMIFS(全伝票!I:I,全伝票!$C:$C,$C18)),IF($C18="",SUMIFS(全伝票!I:I,全伝票!$A:$A,$A18,全伝票!$B:$B,$B18),SUMIFS(全伝票!I:I,全伝票!$A:$A,$A18,全伝票!$C:$C,$C18)))</f>
        <v>190945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136081</v>
      </c>
      <c r="K18" s="34">
        <f t="shared" si="0"/>
        <v>136081</v>
      </c>
      <c r="L18" s="158">
        <f>+IF($A18="",IF($C18="",SUMIFS(全伝票!O:O,全伝票!$B:$B,$B18),SUMIFS(全伝票!O:O,全伝票!$C:$C,$C18)),IF($C18="",SUMIFS(全伝票!O:O,全伝票!$A:$A,$A18,全伝票!$B:$B,$B18),SUMIFS(全伝票!O:O,全伝票!$A:$A,$A18,全伝票!$C:$C,$C18)))</f>
        <v>54864</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12371</v>
      </c>
      <c r="S18" s="22">
        <f t="shared" si="5"/>
        <v>12371</v>
      </c>
      <c r="T18" s="109">
        <f t="shared" si="6"/>
        <v>178574</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4"/>
        <v>0</v>
      </c>
      <c r="AD18" s="106">
        <f t="shared" si="15"/>
        <v>0</v>
      </c>
    </row>
    <row r="19" spans="1:35">
      <c r="A19" s="165">
        <v>1</v>
      </c>
      <c r="B19" s="164" t="s">
        <v>363</v>
      </c>
      <c r="C19" s="163"/>
      <c r="D19" s="162" t="s">
        <v>83</v>
      </c>
      <c r="E19" s="158">
        <f>+IF($A19="",IF($C19="",SUMIFS(全伝票!I:I,全伝票!$B:$B,$B19),SUMIFS(全伝票!I:I,全伝票!$C:$C,$C19)),IF($C19="",SUMIFS(全伝票!I:I,全伝票!$A:$A,$A19,全伝票!$B:$B,$B19),SUMIFS(全伝票!I:I,全伝票!$A:$A,$A19,全伝票!$C:$C,$C19)))</f>
        <v>32908077</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32908077</v>
      </c>
      <c r="K19" s="34">
        <f t="shared" si="0"/>
        <v>32908077</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2991644</v>
      </c>
      <c r="S19" s="22">
        <f t="shared" si="5"/>
        <v>2991644</v>
      </c>
      <c r="T19" s="109">
        <f t="shared" si="6"/>
        <v>29916433</v>
      </c>
      <c r="U19" s="107">
        <f t="shared" si="7"/>
        <v>0</v>
      </c>
      <c r="V19" s="107">
        <f t="shared" si="8"/>
        <v>0</v>
      </c>
      <c r="W19" s="107">
        <f t="shared" si="9"/>
        <v>0</v>
      </c>
      <c r="X19" s="107">
        <f t="shared" si="9"/>
        <v>0</v>
      </c>
      <c r="Y19" s="107">
        <f t="shared" si="10"/>
        <v>0.63636363623663783</v>
      </c>
      <c r="Z19" s="106">
        <f t="shared" si="11"/>
        <v>0</v>
      </c>
      <c r="AA19" s="106">
        <f t="shared" si="12"/>
        <v>0</v>
      </c>
      <c r="AB19" s="106">
        <f t="shared" si="13"/>
        <v>0</v>
      </c>
      <c r="AC19" s="106">
        <f t="shared" si="14"/>
        <v>0</v>
      </c>
      <c r="AD19" s="106">
        <f t="shared" si="15"/>
        <v>0</v>
      </c>
      <c r="AI19" s="2">
        <v>1</v>
      </c>
    </row>
    <row r="20" spans="1:35">
      <c r="A20" s="165">
        <v>1</v>
      </c>
      <c r="B20" s="164" t="s">
        <v>362</v>
      </c>
      <c r="C20" s="163"/>
      <c r="D20" s="162" t="s">
        <v>81</v>
      </c>
      <c r="E20" s="158">
        <f>+IF($A20="",IF($C20="",SUMIFS(全伝票!I:I,全伝票!$B:$B,$B20),SUMIFS(全伝票!I:I,全伝票!$C:$C,$C20)),IF($C20="",SUMIFS(全伝票!I:I,全伝票!$A:$A,$A20,全伝票!$B:$B,$B20),SUMIFS(全伝票!I:I,全伝票!$A:$A,$A20,全伝票!$C:$C,$C20)))</f>
        <v>38947557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38947557</v>
      </c>
      <c r="K20" s="34">
        <f t="shared" si="0"/>
        <v>38947557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3540687</v>
      </c>
      <c r="S20" s="22">
        <f t="shared" si="5"/>
        <v>3540687</v>
      </c>
      <c r="T20" s="109">
        <f t="shared" si="6"/>
        <v>35406870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4"/>
        <v>0</v>
      </c>
      <c r="AD20" s="106">
        <f t="shared" si="15"/>
        <v>0</v>
      </c>
    </row>
    <row r="21" spans="1:35">
      <c r="A21" s="165">
        <v>1</v>
      </c>
      <c r="B21" s="164" t="s">
        <v>361</v>
      </c>
      <c r="C21" s="163"/>
      <c r="D21" s="162" t="s">
        <v>79</v>
      </c>
      <c r="E21" s="158">
        <f>+IF($A21="",IF($C21="",SUMIFS(全伝票!I:I,全伝票!$B:$B,$B21),SUMIFS(全伝票!I:I,全伝票!$C:$C,$C21)),IF($C21="",SUMIFS(全伝票!I:I,全伝票!$A:$A,$A21,全伝票!$B:$B,$B21),SUMIFS(全伝票!I:I,全伝票!$A:$A,$A21,全伝票!$C:$C,$C21)))</f>
        <v>1396111</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1396111</v>
      </c>
      <c r="K21" s="34">
        <f t="shared" si="0"/>
        <v>1396111</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126919</v>
      </c>
      <c r="S21" s="22">
        <f t="shared" si="5"/>
        <v>126919</v>
      </c>
      <c r="T21" s="109">
        <f t="shared" si="6"/>
        <v>1269192</v>
      </c>
      <c r="U21" s="107">
        <f t="shared" si="7"/>
        <v>0</v>
      </c>
      <c r="V21" s="107">
        <f t="shared" si="8"/>
        <v>0</v>
      </c>
      <c r="W21" s="107">
        <f t="shared" si="9"/>
        <v>0</v>
      </c>
      <c r="X21" s="107">
        <f t="shared" si="9"/>
        <v>0</v>
      </c>
      <c r="Y21" s="107">
        <f t="shared" si="10"/>
        <v>-0.18181818182347342</v>
      </c>
      <c r="Z21" s="106">
        <f t="shared" si="11"/>
        <v>0</v>
      </c>
      <c r="AA21" s="106">
        <f t="shared" si="12"/>
        <v>0</v>
      </c>
      <c r="AB21" s="106">
        <f t="shared" si="13"/>
        <v>0</v>
      </c>
      <c r="AC21" s="106">
        <f t="shared" si="14"/>
        <v>0</v>
      </c>
      <c r="AD21" s="106">
        <f t="shared" si="15"/>
        <v>0</v>
      </c>
    </row>
    <row r="22" spans="1:35">
      <c r="A22" s="165">
        <v>1</v>
      </c>
      <c r="B22" s="164" t="s">
        <v>360</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1</v>
      </c>
      <c r="B23" s="164" t="s">
        <v>359</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5">
      <c r="A24" s="165">
        <v>1</v>
      </c>
      <c r="B24" s="164" t="s">
        <v>358</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1</v>
      </c>
      <c r="B25" s="164" t="s">
        <v>356</v>
      </c>
      <c r="C25" s="163" t="s">
        <v>357</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5">
      <c r="A26" s="165">
        <v>1</v>
      </c>
      <c r="B26" s="164" t="s">
        <v>356</v>
      </c>
      <c r="C26" s="163" t="s">
        <v>355</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1</v>
      </c>
      <c r="B27" s="164" t="s">
        <v>354</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1</v>
      </c>
      <c r="B28" s="164" t="s">
        <v>353</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1</v>
      </c>
      <c r="B29" s="164" t="s">
        <v>352</v>
      </c>
      <c r="C29" s="163"/>
      <c r="D29" s="162" t="s">
        <v>62</v>
      </c>
      <c r="E29" s="158">
        <f>+IF($A29="",IF($C29="",SUMIFS(全伝票!I:I,全伝票!$B:$B,$B29),SUMIFS(全伝票!I:I,全伝票!$C:$C,$C29)),IF($C29="",SUMIFS(全伝票!I:I,全伝票!$A:$A,$A29,全伝票!$B:$B,$B29),SUMIFS(全伝票!I:I,全伝票!$A:$A,$A29,全伝票!$C:$C,$C29)))</f>
        <v>111850504</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106451181</v>
      </c>
      <c r="K29" s="34">
        <f t="shared" si="0"/>
        <v>106451181</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5399323</v>
      </c>
      <c r="N29" s="108">
        <f t="shared" si="1"/>
        <v>0</v>
      </c>
      <c r="O29" s="25">
        <f t="shared" si="3"/>
        <v>0</v>
      </c>
      <c r="P29" s="25">
        <f t="shared" si="2"/>
        <v>0</v>
      </c>
      <c r="Q29" s="157">
        <f t="shared" si="3"/>
        <v>0</v>
      </c>
      <c r="R29" s="157">
        <f>+ROUND(J29*J$4/(100+J$4),0)+AI29</f>
        <v>9677380</v>
      </c>
      <c r="S29" s="22">
        <f t="shared" si="5"/>
        <v>9677380</v>
      </c>
      <c r="T29" s="109">
        <f t="shared" si="6"/>
        <v>102173124</v>
      </c>
      <c r="U29" s="107">
        <f t="shared" si="7"/>
        <v>0</v>
      </c>
      <c r="V29" s="107">
        <f t="shared" si="8"/>
        <v>0</v>
      </c>
      <c r="W29" s="107">
        <f t="shared" si="9"/>
        <v>0</v>
      </c>
      <c r="X29" s="107">
        <f t="shared" si="9"/>
        <v>0</v>
      </c>
      <c r="Y29" s="107">
        <f t="shared" si="10"/>
        <v>-9.0909091755747795E-2</v>
      </c>
      <c r="Z29" s="106">
        <f t="shared" si="11"/>
        <v>0</v>
      </c>
      <c r="AA29" s="106">
        <f t="shared" si="12"/>
        <v>0</v>
      </c>
      <c r="AB29" s="106">
        <f t="shared" si="13"/>
        <v>0</v>
      </c>
      <c r="AC29" s="106">
        <f t="shared" si="14"/>
        <v>0</v>
      </c>
      <c r="AD29" s="106">
        <f t="shared" si="15"/>
        <v>0</v>
      </c>
    </row>
    <row r="30" spans="1:35">
      <c r="A30" s="165">
        <v>1</v>
      </c>
      <c r="B30" s="164">
        <v>8831636</v>
      </c>
      <c r="C30" s="163"/>
      <c r="D30" s="162" t="s">
        <v>867</v>
      </c>
      <c r="E30" s="158">
        <f>+IF($A30="",IF($C30="",SUMIFS(全伝票!I:I,全伝票!$B:$B,$B30),SUMIFS(全伝票!I:I,全伝票!$C:$C,$C30)),IF($C30="",SUMIFS(全伝票!I:I,全伝票!$A:$A,$A30,全伝票!$B:$B,$B30),SUMIFS(全伝票!I:I,全伝票!$A:$A,$A30,全伝票!$C:$C,$C30)))</f>
        <v>2892</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2892</v>
      </c>
      <c r="K30" s="34">
        <f t="shared" ref="K30" si="16">SUM(F30:J30)</f>
        <v>2892</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263</v>
      </c>
      <c r="S30" s="22">
        <f t="shared" ref="S30" si="22">SUM(N30:R30)</f>
        <v>263</v>
      </c>
      <c r="T30" s="109">
        <f t="shared" ref="T30" si="23">+E30-S30</f>
        <v>2629</v>
      </c>
      <c r="U30" s="107">
        <f t="shared" ref="U30" si="24">N30-F30*F$4/(100+F$4)</f>
        <v>0</v>
      </c>
      <c r="V30" s="107">
        <f t="shared" ref="V30" si="25">O30-G30*G$4/(100+G$4)</f>
        <v>0</v>
      </c>
      <c r="W30" s="107">
        <f t="shared" ref="W30" si="26">P30-H30*H$4/(100+H$4)</f>
        <v>0</v>
      </c>
      <c r="X30" s="107">
        <f t="shared" ref="X30" si="27">Q30-I30*I$4/(100+I$4)</f>
        <v>0</v>
      </c>
      <c r="Y30" s="107">
        <f t="shared" ref="Y30" si="28">R30-J30*J$4/(100+J$4)</f>
        <v>9.0909090909065071E-2</v>
      </c>
      <c r="Z30" s="106">
        <f t="shared" si="11"/>
        <v>0</v>
      </c>
      <c r="AA30" s="106">
        <f t="shared" si="12"/>
        <v>0</v>
      </c>
      <c r="AB30" s="106">
        <f t="shared" si="13"/>
        <v>0</v>
      </c>
      <c r="AC30" s="106">
        <f t="shared" si="14"/>
        <v>0</v>
      </c>
      <c r="AD30" s="106">
        <f t="shared" si="15"/>
        <v>0</v>
      </c>
    </row>
    <row r="31" spans="1:35">
      <c r="A31" s="165">
        <v>1</v>
      </c>
      <c r="B31" s="164" t="s">
        <v>351</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1</v>
      </c>
      <c r="B32" s="164" t="s">
        <v>350</v>
      </c>
      <c r="C32" s="163"/>
      <c r="D32" s="162" t="s">
        <v>58</v>
      </c>
      <c r="E32" s="158">
        <f>+IF($A32="",IF($C32="",SUMIFS(全伝票!I:I,全伝票!$B:$B,$B32),SUMIFS(全伝票!I:I,全伝票!$C:$C,$C32)),IF($C32="",SUMIFS(全伝票!I:I,全伝票!$A:$A,$A32,全伝票!$B:$B,$B32),SUMIFS(全伝票!I:I,全伝票!$A:$A,$A32,全伝票!$C:$C,$C32)))</f>
        <v>3828947</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3828947</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3828947</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1</v>
      </c>
      <c r="B33" s="164" t="s">
        <v>349</v>
      </c>
      <c r="C33" s="163"/>
      <c r="D33" s="162" t="s">
        <v>56</v>
      </c>
      <c r="E33" s="158">
        <f>+IF($A33="",IF($C33="",SUMIFS(全伝票!I:I,全伝票!$B:$B,$B33),SUMIFS(全伝票!I:I,全伝票!$C:$C,$C33)),IF($C33="",SUMIFS(全伝票!I:I,全伝票!$A:$A,$A33,全伝票!$B:$B,$B33),SUMIFS(全伝票!I:I,全伝票!$A:$A,$A33,全伝票!$C:$C,$C33)))</f>
        <v>16361</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5000</v>
      </c>
      <c r="M33" s="158">
        <f>+IF($A33="",IF($C33="",SUMIFS(全伝票!P:P,全伝票!$B:$B,$B33),SUMIFS(全伝票!P:P,全伝票!$C:$C,$C33)),IF($C33="",SUMIFS(全伝票!P:P,全伝票!$A:$A,$A33,全伝票!$B:$B,$B33),SUMIFS(全伝票!P:P,全伝票!$A:$A,$A33,全伝票!$C:$C,$C33)))</f>
        <v>11361</v>
      </c>
      <c r="N33" s="108">
        <f t="shared" si="1"/>
        <v>0</v>
      </c>
      <c r="O33" s="25">
        <f t="shared" si="3"/>
        <v>0</v>
      </c>
      <c r="P33" s="25">
        <f t="shared" si="2"/>
        <v>0</v>
      </c>
      <c r="Q33" s="157">
        <f t="shared" si="3"/>
        <v>0</v>
      </c>
      <c r="R33" s="157">
        <f t="shared" si="4"/>
        <v>0</v>
      </c>
      <c r="S33" s="22">
        <f t="shared" si="5"/>
        <v>0</v>
      </c>
      <c r="T33" s="109">
        <f t="shared" si="6"/>
        <v>16361</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1</v>
      </c>
      <c r="B34" s="164" t="s">
        <v>370</v>
      </c>
      <c r="C34" s="163">
        <v>883161003</v>
      </c>
      <c r="D34" s="162" t="s">
        <v>609</v>
      </c>
      <c r="E34" s="158">
        <f>+IF($A34="",IF($C34="",SUMIFS(全伝票!I:I,全伝票!$B:$B,$B34),SUMIFS(全伝票!I:I,全伝票!$C:$C,$C34)),IF($C34="",SUMIFS(全伝票!I:I,全伝票!$A:$A,$A34,全伝票!$B:$B,$B34),SUMIFS(全伝票!I:I,全伝票!$A:$A,$A34,全伝票!$C:$C,$C34)))</f>
        <v>422700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422700</v>
      </c>
      <c r="K34" s="34">
        <f t="shared" si="0"/>
        <v>422700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38427</v>
      </c>
      <c r="S34" s="22">
        <f t="shared" si="5"/>
        <v>38427</v>
      </c>
      <c r="T34" s="109">
        <f t="shared" si="6"/>
        <v>384273</v>
      </c>
      <c r="U34" s="107">
        <f t="shared" si="7"/>
        <v>0</v>
      </c>
      <c r="V34" s="107">
        <f t="shared" si="8"/>
        <v>0</v>
      </c>
      <c r="W34" s="107">
        <f t="shared" si="9"/>
        <v>0</v>
      </c>
      <c r="X34" s="107">
        <f t="shared" si="9"/>
        <v>0</v>
      </c>
      <c r="Y34" s="107">
        <f t="shared" si="10"/>
        <v>-0.27272727272793418</v>
      </c>
      <c r="Z34" s="106">
        <f t="shared" si="11"/>
        <v>0</v>
      </c>
      <c r="AA34" s="106">
        <f t="shared" si="12"/>
        <v>0</v>
      </c>
      <c r="AB34" s="106">
        <f t="shared" si="13"/>
        <v>0</v>
      </c>
      <c r="AC34" s="106">
        <f t="shared" si="14"/>
        <v>0</v>
      </c>
      <c r="AD34" s="106">
        <f t="shared" si="15"/>
        <v>0</v>
      </c>
    </row>
    <row r="35" spans="1:30">
      <c r="A35" s="165">
        <v>1</v>
      </c>
      <c r="B35" s="164" t="s">
        <v>347</v>
      </c>
      <c r="C35" s="163"/>
      <c r="D35" s="162" t="s">
        <v>53</v>
      </c>
      <c r="E35" s="158">
        <f>+IF($A35="",IF($C35="",SUMIFS(全伝票!I:I,全伝票!$B:$B,$B35),SUMIFS(全伝票!I:I,全伝票!$C:$C,$C35)),IF($C35="",SUMIFS(全伝票!I:I,全伝票!$A:$A,$A35,全伝票!$B:$B,$B35),SUMIFS(全伝票!I:I,全伝票!$A:$A,$A35,全伝票!$C:$C,$C35)))</f>
        <v>16172000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16172000</v>
      </c>
      <c r="N35" s="108">
        <f t="shared" si="1"/>
        <v>0</v>
      </c>
      <c r="O35" s="25">
        <f t="shared" si="3"/>
        <v>0</v>
      </c>
      <c r="P35" s="25">
        <f t="shared" si="2"/>
        <v>0</v>
      </c>
      <c r="Q35" s="157">
        <f t="shared" si="3"/>
        <v>0</v>
      </c>
      <c r="R35" s="157">
        <f t="shared" si="4"/>
        <v>0</v>
      </c>
      <c r="S35" s="22">
        <f t="shared" si="5"/>
        <v>0</v>
      </c>
      <c r="T35" s="109">
        <f t="shared" si="6"/>
        <v>16172000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c r="B36" s="164">
        <v>8831643</v>
      </c>
      <c r="C36" s="163"/>
      <c r="D36" s="162" t="s">
        <v>51</v>
      </c>
      <c r="E36" s="158">
        <f>+IF($A36="",IF($C36="",SUMIFS(全伝票!I:I,全伝票!$B:$B,$B36),SUMIFS(全伝票!I:I,全伝票!$C:$C,$C36)),IF($C36="",SUMIFS(全伝票!I:I,全伝票!$A:$A,$A36,全伝票!$B:$B,$B36),SUMIFS(全伝票!I:I,全伝票!$A:$A,$A36,全伝票!$C:$C,$C36)))</f>
        <v>1676445</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1676445</v>
      </c>
      <c r="N36" s="108">
        <f t="shared" si="1"/>
        <v>0</v>
      </c>
      <c r="O36" s="25">
        <f t="shared" si="3"/>
        <v>0</v>
      </c>
      <c r="P36" s="25">
        <f t="shared" si="2"/>
        <v>0</v>
      </c>
      <c r="Q36" s="157">
        <f t="shared" si="3"/>
        <v>0</v>
      </c>
      <c r="R36" s="157">
        <f t="shared" si="4"/>
        <v>0</v>
      </c>
      <c r="S36" s="22">
        <f t="shared" si="5"/>
        <v>0</v>
      </c>
      <c r="T36" s="109">
        <f t="shared" si="6"/>
        <v>1676445</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483965214</v>
      </c>
      <c r="F37" s="152">
        <f t="shared" si="29"/>
        <v>0</v>
      </c>
      <c r="G37" s="151">
        <f t="shared" si="29"/>
        <v>0</v>
      </c>
      <c r="H37" s="151">
        <f t="shared" si="29"/>
        <v>0</v>
      </c>
      <c r="I37" s="150">
        <f t="shared" ref="I37" si="30">SUM(I5:I36)</f>
        <v>317198</v>
      </c>
      <c r="J37" s="150">
        <f t="shared" si="29"/>
        <v>194208395</v>
      </c>
      <c r="K37" s="74">
        <f t="shared" si="29"/>
        <v>194525593</v>
      </c>
      <c r="L37" s="149">
        <f t="shared" si="29"/>
        <v>50827352</v>
      </c>
      <c r="M37" s="149">
        <f t="shared" si="29"/>
        <v>238612269</v>
      </c>
      <c r="N37" s="146">
        <f t="shared" si="29"/>
        <v>0</v>
      </c>
      <c r="O37" s="145">
        <f t="shared" si="29"/>
        <v>0</v>
      </c>
      <c r="P37" s="145">
        <f t="shared" si="29"/>
        <v>0</v>
      </c>
      <c r="Q37" s="148">
        <f t="shared" ref="Q37" si="31">SUM(Q5:Q36)</f>
        <v>23496</v>
      </c>
      <c r="R37" s="148">
        <f t="shared" si="29"/>
        <v>17655309</v>
      </c>
      <c r="S37" s="144">
        <f t="shared" si="29"/>
        <v>17678805</v>
      </c>
      <c r="T37" s="147">
        <f t="shared" si="29"/>
        <v>466286409</v>
      </c>
      <c r="U37" s="88" t="str">
        <f>+IF(F37=0,"",ROUND(F37*F$4/(100+F$4),7)-N37)</f>
        <v/>
      </c>
      <c r="V37" s="88"/>
      <c r="W37" s="88"/>
      <c r="X37" s="88"/>
      <c r="Y37" s="88"/>
      <c r="Z37" s="88"/>
      <c r="AA37" s="88"/>
      <c r="AB37" s="87"/>
      <c r="AC37" s="87"/>
      <c r="AD37" s="87"/>
    </row>
    <row r="38" spans="1:30">
      <c r="A38" s="143"/>
      <c r="B38" s="142"/>
      <c r="C38" s="141"/>
      <c r="D38" s="140" t="s">
        <v>1</v>
      </c>
      <c r="E38" s="136">
        <f t="shared" ref="E38:J38" si="32">+E37</f>
        <v>483965214</v>
      </c>
      <c r="F38" s="139">
        <f t="shared" si="32"/>
        <v>0</v>
      </c>
      <c r="G38" s="138">
        <f t="shared" si="32"/>
        <v>0</v>
      </c>
      <c r="H38" s="138">
        <f t="shared" si="32"/>
        <v>0</v>
      </c>
      <c r="I38" s="137">
        <f t="shared" si="32"/>
        <v>317198</v>
      </c>
      <c r="J38" s="137">
        <f t="shared" si="32"/>
        <v>194208395</v>
      </c>
      <c r="K38" s="63">
        <f>SUM(F38:J38)</f>
        <v>194525593</v>
      </c>
      <c r="L38" s="136">
        <f>+L37</f>
        <v>50827352</v>
      </c>
      <c r="M38" s="135">
        <f>+M37</f>
        <v>238612269</v>
      </c>
      <c r="N38" s="133">
        <f>+'3条支出'!N14</f>
        <v>0</v>
      </c>
      <c r="O38" s="132">
        <f>+'3条支出'!O14</f>
        <v>0</v>
      </c>
      <c r="P38" s="132">
        <f>+'3条支出'!P14</f>
        <v>0</v>
      </c>
      <c r="Q38" s="132">
        <f>+'3条支出'!Q14</f>
        <v>23496</v>
      </c>
      <c r="R38" s="132">
        <f>+'3条支出'!R14</f>
        <v>17655309</v>
      </c>
      <c r="S38" s="131">
        <f>+'3条支出'!S14</f>
        <v>17678805</v>
      </c>
      <c r="T38" s="134">
        <f>+'3条支出'!T14</f>
        <v>466286409</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4"/>
      <c r="I41" s="272"/>
      <c r="J41" s="274"/>
      <c r="U41" s="88" t="str">
        <f>+IF(F41=0,"",ROUND(F41*F$4/(100+F$4),7)-N41)</f>
        <v/>
      </c>
      <c r="V41" s="88"/>
      <c r="W41" s="88"/>
      <c r="X41" s="88"/>
      <c r="Y41" s="88"/>
      <c r="Z41" s="88"/>
      <c r="AA41" s="88"/>
      <c r="AB41" s="87"/>
      <c r="AC41" s="87"/>
      <c r="AD41" s="87"/>
    </row>
    <row r="42" spans="1:30">
      <c r="G42" s="273"/>
      <c r="H42" s="274"/>
      <c r="I42" s="272"/>
      <c r="J42" s="274"/>
    </row>
    <row r="43" spans="1:30">
      <c r="G43" s="272"/>
      <c r="H43" s="272"/>
      <c r="I43" s="272"/>
      <c r="J43"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29 AE31:AI36">
    <cfRule type="notContainsBlanks" dxfId="72" priority="5" stopIfTrue="1">
      <formula>LEN(TRIM(AE5))&gt;0</formula>
    </cfRule>
  </conditionalFormatting>
  <conditionalFormatting sqref="AE37:AI38">
    <cfRule type="notContainsBlanks" dxfId="71" priority="6" stopIfTrue="1">
      <formula>LEN(TRIM(AE37))&gt;0</formula>
    </cfRule>
  </conditionalFormatting>
  <conditionalFormatting sqref="Z5:AD29 Z31:AD36">
    <cfRule type="expression" dxfId="70" priority="4">
      <formula>ABS(Z5)=1</formula>
    </cfRule>
  </conditionalFormatting>
  <conditionalFormatting sqref="E39:T39">
    <cfRule type="cellIs" dxfId="69" priority="3" operator="notEqual">
      <formula>0</formula>
    </cfRule>
  </conditionalFormatting>
  <conditionalFormatting sqref="AE30:AI30">
    <cfRule type="notContainsBlanks" dxfId="68" priority="2" stopIfTrue="1">
      <formula>LEN(TRIM(AE30))&gt;0</formula>
    </cfRule>
  </conditionalFormatting>
  <conditionalFormatting sqref="Z30:AD30">
    <cfRule type="expression" dxfId="67"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413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2</v>
      </c>
      <c r="B5" s="176" t="s">
        <v>412</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2</v>
      </c>
      <c r="B6" s="164" t="s">
        <v>411</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2</v>
      </c>
      <c r="B7" s="164" t="s">
        <v>410</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2</v>
      </c>
      <c r="B8" s="164" t="s">
        <v>409</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2</v>
      </c>
      <c r="B9" s="164" t="s">
        <v>408</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2</v>
      </c>
      <c r="B10" s="164" t="s">
        <v>407</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2</v>
      </c>
      <c r="B11" s="164" t="s">
        <v>406</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2</v>
      </c>
      <c r="B12" s="164" t="s">
        <v>404</v>
      </c>
      <c r="C12" s="163" t="s">
        <v>405</v>
      </c>
      <c r="D12" s="162" t="s">
        <v>98</v>
      </c>
      <c r="E12" s="158">
        <f>+IF($A12="",IF($C12="",SUMIFS(全伝票!I:I,全伝票!$B:$B,$B12),SUMIFS(全伝票!I:I,全伝票!$C:$C,$C12)),IF($C12="",SUMIFS(全伝票!I:I,全伝票!$A:$A,$A12,全伝票!$B:$B,$B12),SUMIFS(全伝票!I:I,全伝票!$A:$A,$A12,全伝票!$C:$C,$C12)))</f>
        <v>3331</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3331</v>
      </c>
      <c r="K12" s="34">
        <f t="shared" si="0"/>
        <v>3331</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303</v>
      </c>
      <c r="S12" s="22">
        <f t="shared" si="5"/>
        <v>303</v>
      </c>
      <c r="T12" s="109">
        <f t="shared" si="6"/>
        <v>3028</v>
      </c>
      <c r="U12" s="107">
        <f t="shared" si="7"/>
        <v>0</v>
      </c>
      <c r="V12" s="107">
        <f t="shared" si="8"/>
        <v>0</v>
      </c>
      <c r="W12" s="107">
        <f t="shared" si="9"/>
        <v>0</v>
      </c>
      <c r="X12" s="107">
        <f t="shared" si="9"/>
        <v>0</v>
      </c>
      <c r="Y12" s="107">
        <f t="shared" si="10"/>
        <v>0.18181818181818699</v>
      </c>
      <c r="Z12" s="106">
        <f t="shared" si="11"/>
        <v>0</v>
      </c>
      <c r="AA12" s="106">
        <f t="shared" si="12"/>
        <v>0</v>
      </c>
      <c r="AB12" s="106">
        <f t="shared" si="13"/>
        <v>0</v>
      </c>
      <c r="AC12" s="106">
        <f t="shared" si="14"/>
        <v>0</v>
      </c>
      <c r="AD12" s="106">
        <f t="shared" si="15"/>
        <v>0</v>
      </c>
    </row>
    <row r="13" spans="1:35">
      <c r="A13" s="165">
        <v>2</v>
      </c>
      <c r="B13" s="164" t="s">
        <v>404</v>
      </c>
      <c r="C13" s="163" t="s">
        <v>403</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2</v>
      </c>
      <c r="B14" s="164" t="s">
        <v>402</v>
      </c>
      <c r="C14" s="163"/>
      <c r="D14" s="162" t="s">
        <v>93</v>
      </c>
      <c r="E14" s="158">
        <f>+IF($A14="",IF($C14="",SUMIFS(全伝票!I:I,全伝票!$B:$B,$B14),SUMIFS(全伝票!I:I,全伝票!$C:$C,$C14)),IF($C14="",SUMIFS(全伝票!I:I,全伝票!$A:$A,$A14,全伝票!$B:$B,$B14),SUMIFS(全伝票!I:I,全伝票!$A:$A,$A14,全伝票!$C:$C,$C14)))</f>
        <v>48450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2121</v>
      </c>
      <c r="J14" s="159">
        <f>+IF($A14="",IF($C14="",SUMIFS(全伝票!N:N,全伝票!$B:$B,$B14),SUMIFS(全伝票!N:N,全伝票!$C:$C,$C14)),IF($C14="",SUMIFS(全伝票!N:N,全伝票!$A:$A,$A14,全伝票!$B:$B,$B14),SUMIFS(全伝票!N:N,全伝票!$A:$A,$A14,全伝票!$C:$C,$C14)))</f>
        <v>46329</v>
      </c>
      <c r="K14" s="34">
        <f t="shared" si="0"/>
        <v>48450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157</v>
      </c>
      <c r="R14" s="157">
        <f t="shared" si="4"/>
        <v>4212</v>
      </c>
      <c r="S14" s="22">
        <f t="shared" si="5"/>
        <v>4369</v>
      </c>
      <c r="T14" s="109">
        <f t="shared" si="6"/>
        <v>44081</v>
      </c>
      <c r="U14" s="107">
        <f t="shared" si="7"/>
        <v>0</v>
      </c>
      <c r="V14" s="107">
        <f t="shared" si="8"/>
        <v>0</v>
      </c>
      <c r="W14" s="107">
        <f t="shared" si="9"/>
        <v>0</v>
      </c>
      <c r="X14" s="107">
        <f t="shared" si="9"/>
        <v>-0.11111111111111427</v>
      </c>
      <c r="Y14" s="107">
        <f t="shared" si="10"/>
        <v>0.27272727272702468</v>
      </c>
      <c r="Z14" s="106">
        <f t="shared" si="11"/>
        <v>0</v>
      </c>
      <c r="AA14" s="106">
        <f t="shared" si="12"/>
        <v>0</v>
      </c>
      <c r="AB14" s="106">
        <f t="shared" si="13"/>
        <v>0</v>
      </c>
      <c r="AC14" s="106">
        <f t="shared" si="14"/>
        <v>0</v>
      </c>
      <c r="AD14" s="106">
        <f t="shared" si="15"/>
        <v>0</v>
      </c>
    </row>
    <row r="15" spans="1:35">
      <c r="A15" s="165">
        <v>2</v>
      </c>
      <c r="B15" s="164" t="s">
        <v>401</v>
      </c>
      <c r="C15" s="163"/>
      <c r="D15" s="162" t="s">
        <v>91</v>
      </c>
      <c r="E15" s="158">
        <f>+IF($A15="",IF($C15="",SUMIFS(全伝票!I:I,全伝票!$B:$B,$B15),SUMIFS(全伝票!I:I,全伝票!$C:$C,$C15)),IF($C15="",SUMIFS(全伝票!I:I,全伝票!$A:$A,$A15,全伝票!$B:$B,$B15),SUMIFS(全伝票!I:I,全伝票!$A:$A,$A15,全伝票!$C:$C,$C15)))</f>
        <v>704</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704</v>
      </c>
      <c r="K15" s="34">
        <f t="shared" si="0"/>
        <v>704</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64</v>
      </c>
      <c r="S15" s="22">
        <f t="shared" si="5"/>
        <v>64</v>
      </c>
      <c r="T15" s="109">
        <f t="shared" si="6"/>
        <v>640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4"/>
        <v>0</v>
      </c>
      <c r="AD15" s="106">
        <f t="shared" si="15"/>
        <v>0</v>
      </c>
    </row>
    <row r="16" spans="1:35">
      <c r="A16" s="165">
        <v>2</v>
      </c>
      <c r="B16" s="164" t="s">
        <v>400</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4"/>
        <v>0</v>
      </c>
      <c r="AD16" s="106">
        <f t="shared" si="15"/>
        <v>0</v>
      </c>
    </row>
    <row r="17" spans="1:35">
      <c r="A17" s="165">
        <v>2</v>
      </c>
      <c r="B17" s="164" t="s">
        <v>399</v>
      </c>
      <c r="C17" s="163"/>
      <c r="D17" s="162" t="s">
        <v>87</v>
      </c>
      <c r="E17" s="158">
        <f>+IF($A17="",IF($C17="",SUMIFS(全伝票!I:I,全伝票!$B:$B,$B17),SUMIFS(全伝票!I:I,全伝票!$C:$C,$C17)),IF($C17="",SUMIFS(全伝票!I:I,全伝票!$A:$A,$A17,全伝票!$B:$B,$B17),SUMIFS(全伝票!I:I,全伝票!$A:$A,$A17,全伝票!$C:$C,$C17)))</f>
        <v>26746</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26746</v>
      </c>
      <c r="K17" s="34">
        <f t="shared" si="0"/>
        <v>26746</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2432</v>
      </c>
      <c r="S17" s="22">
        <f t="shared" si="5"/>
        <v>2432</v>
      </c>
      <c r="T17" s="109">
        <f t="shared" si="6"/>
        <v>24314</v>
      </c>
      <c r="U17" s="107">
        <f t="shared" si="7"/>
        <v>0</v>
      </c>
      <c r="V17" s="107">
        <f t="shared" si="8"/>
        <v>0</v>
      </c>
      <c r="W17" s="107">
        <f t="shared" si="9"/>
        <v>0</v>
      </c>
      <c r="X17" s="107">
        <f t="shared" si="9"/>
        <v>0</v>
      </c>
      <c r="Y17" s="107">
        <f t="shared" si="10"/>
        <v>0.54545454545450411</v>
      </c>
      <c r="Z17" s="106">
        <f t="shared" si="11"/>
        <v>0</v>
      </c>
      <c r="AA17" s="106">
        <f t="shared" si="12"/>
        <v>0</v>
      </c>
      <c r="AB17" s="106">
        <f t="shared" si="13"/>
        <v>0</v>
      </c>
      <c r="AC17" s="106">
        <f t="shared" si="14"/>
        <v>0</v>
      </c>
      <c r="AD17" s="106">
        <f t="shared" si="15"/>
        <v>0</v>
      </c>
      <c r="AI17" s="2">
        <v>1</v>
      </c>
    </row>
    <row r="18" spans="1:35">
      <c r="A18" s="165">
        <v>2</v>
      </c>
      <c r="B18" s="164" t="s">
        <v>398</v>
      </c>
      <c r="C18" s="163"/>
      <c r="D18" s="162" t="s">
        <v>85</v>
      </c>
      <c r="E18" s="158">
        <f>+IF($A18="",IF($C18="",SUMIFS(全伝票!I:I,全伝票!$B:$B,$B18),SUMIFS(全伝票!I:I,全伝票!$C:$C,$C18)),IF($C18="",SUMIFS(全伝票!I:I,全伝票!$A:$A,$A18,全伝票!$B:$B,$B18),SUMIFS(全伝票!I:I,全伝票!$A:$A,$A18,全伝票!$C:$C,$C18)))</f>
        <v>1304</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1246</v>
      </c>
      <c r="K18" s="34">
        <f t="shared" si="0"/>
        <v>1246</v>
      </c>
      <c r="L18" s="158">
        <f>+IF($A18="",IF($C18="",SUMIFS(全伝票!O:O,全伝票!$B:$B,$B18),SUMIFS(全伝票!O:O,全伝票!$C:$C,$C18)),IF($C18="",SUMIFS(全伝票!O:O,全伝票!$A:$A,$A18,全伝票!$B:$B,$B18),SUMIFS(全伝票!O:O,全伝票!$A:$A,$A18,全伝票!$C:$C,$C18)))</f>
        <v>58</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113</v>
      </c>
      <c r="S18" s="22">
        <f t="shared" si="5"/>
        <v>113</v>
      </c>
      <c r="T18" s="109">
        <f t="shared" si="6"/>
        <v>1191</v>
      </c>
      <c r="U18" s="107">
        <f t="shared" si="7"/>
        <v>0</v>
      </c>
      <c r="V18" s="107">
        <f t="shared" si="8"/>
        <v>0</v>
      </c>
      <c r="W18" s="107">
        <f t="shared" si="9"/>
        <v>0</v>
      </c>
      <c r="X18" s="107">
        <f t="shared" si="9"/>
        <v>0</v>
      </c>
      <c r="Y18" s="107">
        <f t="shared" si="10"/>
        <v>-0.27272727272726627</v>
      </c>
      <c r="Z18" s="106">
        <f t="shared" si="11"/>
        <v>0</v>
      </c>
      <c r="AA18" s="106">
        <f t="shared" si="12"/>
        <v>0</v>
      </c>
      <c r="AB18" s="106">
        <f t="shared" si="13"/>
        <v>0</v>
      </c>
      <c r="AC18" s="106">
        <f t="shared" si="14"/>
        <v>0</v>
      </c>
      <c r="AD18" s="106">
        <f t="shared" si="15"/>
        <v>0</v>
      </c>
    </row>
    <row r="19" spans="1:35">
      <c r="A19" s="165">
        <v>2</v>
      </c>
      <c r="B19" s="164" t="s">
        <v>397</v>
      </c>
      <c r="C19" s="163"/>
      <c r="D19" s="162" t="s">
        <v>83</v>
      </c>
      <c r="E19" s="158">
        <f>+IF($A19="",IF($C19="",SUMIFS(全伝票!I:I,全伝票!$B:$B,$B19),SUMIFS(全伝票!I:I,全伝票!$C:$C,$C19)),IF($C19="",SUMIFS(全伝票!I:I,全伝票!$A:$A,$A19,全伝票!$B:$B,$B19),SUMIFS(全伝票!I:I,全伝票!$A:$A,$A19,全伝票!$C:$C,$C19)))</f>
        <v>29450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2449</v>
      </c>
      <c r="K19" s="34">
        <f t="shared" si="0"/>
        <v>2449</v>
      </c>
      <c r="L19" s="158">
        <f>+IF($A19="",IF($C19="",SUMIFS(全伝票!O:O,全伝票!$B:$B,$B19),SUMIFS(全伝票!O:O,全伝票!$C:$C,$C19)),IF($C19="",SUMIFS(全伝票!O:O,全伝票!$A:$A,$A19,全伝票!$B:$B,$B19),SUMIFS(全伝票!O:O,全伝票!$A:$A,$A19,全伝票!$C:$C,$C19)))</f>
        <v>27001</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223</v>
      </c>
      <c r="S19" s="22">
        <f t="shared" si="5"/>
        <v>223</v>
      </c>
      <c r="T19" s="109">
        <f t="shared" si="6"/>
        <v>29227</v>
      </c>
      <c r="U19" s="107">
        <f t="shared" si="7"/>
        <v>0</v>
      </c>
      <c r="V19" s="107">
        <f t="shared" si="8"/>
        <v>0</v>
      </c>
      <c r="W19" s="107">
        <f t="shared" si="9"/>
        <v>0</v>
      </c>
      <c r="X19" s="107">
        <f t="shared" si="9"/>
        <v>0</v>
      </c>
      <c r="Y19" s="107">
        <f t="shared" si="10"/>
        <v>0.36363636363637397</v>
      </c>
      <c r="Z19" s="106">
        <f t="shared" si="11"/>
        <v>0</v>
      </c>
      <c r="AA19" s="106">
        <f t="shared" si="12"/>
        <v>0</v>
      </c>
      <c r="AB19" s="106">
        <f t="shared" si="13"/>
        <v>0</v>
      </c>
      <c r="AC19" s="106">
        <f t="shared" si="14"/>
        <v>0</v>
      </c>
      <c r="AD19" s="106">
        <f t="shared" si="15"/>
        <v>0</v>
      </c>
    </row>
    <row r="20" spans="1:35">
      <c r="A20" s="165">
        <v>2</v>
      </c>
      <c r="B20" s="164" t="s">
        <v>396</v>
      </c>
      <c r="C20" s="163"/>
      <c r="D20" s="162" t="s">
        <v>81</v>
      </c>
      <c r="E20" s="158">
        <f>+IF($A20="",IF($C20="",SUMIFS(全伝票!I:I,全伝票!$B:$B,$B20),SUMIFS(全伝票!I:I,全伝票!$C:$C,$C20)),IF($C20="",SUMIFS(全伝票!I:I,全伝票!$A:$A,$A20,全伝票!$B:$B,$B20),SUMIFS(全伝票!I:I,全伝票!$A:$A,$A20,全伝票!$C:$C,$C20)))</f>
        <v>84624500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84624500</v>
      </c>
      <c r="K20" s="34">
        <f t="shared" si="0"/>
        <v>84624500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7693136</v>
      </c>
      <c r="S20" s="22">
        <f t="shared" si="5"/>
        <v>7693136</v>
      </c>
      <c r="T20" s="109">
        <f t="shared" si="6"/>
        <v>76931364</v>
      </c>
      <c r="U20" s="107">
        <f t="shared" si="7"/>
        <v>0</v>
      </c>
      <c r="V20" s="107">
        <f t="shared" si="8"/>
        <v>0</v>
      </c>
      <c r="W20" s="107">
        <f t="shared" si="9"/>
        <v>0</v>
      </c>
      <c r="X20" s="107">
        <f t="shared" si="9"/>
        <v>0</v>
      </c>
      <c r="Y20" s="107">
        <f t="shared" si="10"/>
        <v>-0.36363636329770088</v>
      </c>
      <c r="Z20" s="106">
        <f t="shared" si="11"/>
        <v>0</v>
      </c>
      <c r="AA20" s="106">
        <f t="shared" si="12"/>
        <v>0</v>
      </c>
      <c r="AB20" s="106">
        <f t="shared" si="13"/>
        <v>0</v>
      </c>
      <c r="AC20" s="106">
        <f t="shared" si="14"/>
        <v>0</v>
      </c>
      <c r="AD20" s="106">
        <f t="shared" si="15"/>
        <v>0</v>
      </c>
    </row>
    <row r="21" spans="1:35">
      <c r="A21" s="165">
        <v>2</v>
      </c>
      <c r="B21" s="164" t="s">
        <v>395</v>
      </c>
      <c r="C21" s="163"/>
      <c r="D21" s="162" t="s">
        <v>79</v>
      </c>
      <c r="E21" s="158">
        <f>+IF($A21="",IF($C21="",SUMIFS(全伝票!I:I,全伝票!$B:$B,$B21),SUMIFS(全伝票!I:I,全伝票!$C:$C,$C21)),IF($C21="",SUMIFS(全伝票!I:I,全伝票!$A:$A,$A21,全伝票!$B:$B,$B21),SUMIFS(全伝票!I:I,全伝票!$A:$A,$A21,全伝票!$C:$C,$C21)))</f>
        <v>6873329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6873329</v>
      </c>
      <c r="K21" s="34">
        <f t="shared" si="0"/>
        <v>6873329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624848</v>
      </c>
      <c r="S21" s="22">
        <f t="shared" si="5"/>
        <v>624848</v>
      </c>
      <c r="T21" s="109">
        <f t="shared" si="6"/>
        <v>6248481</v>
      </c>
      <c r="U21" s="107">
        <f t="shared" si="7"/>
        <v>0</v>
      </c>
      <c r="V21" s="107">
        <f t="shared" si="8"/>
        <v>0</v>
      </c>
      <c r="W21" s="107">
        <f t="shared" si="9"/>
        <v>0</v>
      </c>
      <c r="X21" s="107">
        <f t="shared" si="9"/>
        <v>0</v>
      </c>
      <c r="Y21" s="107">
        <f t="shared" si="10"/>
        <v>-9.0909090940840542E-2</v>
      </c>
      <c r="Z21" s="106">
        <f t="shared" si="11"/>
        <v>0</v>
      </c>
      <c r="AA21" s="106">
        <f t="shared" si="12"/>
        <v>0</v>
      </c>
      <c r="AB21" s="106">
        <f t="shared" si="13"/>
        <v>0</v>
      </c>
      <c r="AC21" s="106">
        <f t="shared" si="14"/>
        <v>0</v>
      </c>
      <c r="AD21" s="106">
        <f t="shared" si="15"/>
        <v>0</v>
      </c>
    </row>
    <row r="22" spans="1:35">
      <c r="A22" s="165">
        <v>2</v>
      </c>
      <c r="B22" s="164" t="s">
        <v>394</v>
      </c>
      <c r="C22" s="163"/>
      <c r="D22" s="162" t="s">
        <v>77</v>
      </c>
      <c r="E22" s="158">
        <f>+IF($A22="",IF($C22="",SUMIFS(全伝票!I:I,全伝票!$B:$B,$B22),SUMIFS(全伝票!I:I,全伝票!$C:$C,$C22)),IF($C22="",SUMIFS(全伝票!I:I,全伝票!$A:$A,$A22,全伝票!$B:$B,$B22),SUMIFS(全伝票!I:I,全伝票!$A:$A,$A22,全伝票!$C:$C,$C22)))</f>
        <v>4513894</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4513894</v>
      </c>
      <c r="K22" s="34">
        <f t="shared" si="0"/>
        <v>4513894</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410354</v>
      </c>
      <c r="S22" s="22">
        <f t="shared" si="5"/>
        <v>410354</v>
      </c>
      <c r="T22" s="109">
        <f t="shared" si="6"/>
        <v>4103540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2</v>
      </c>
      <c r="B23" s="164" t="s">
        <v>393</v>
      </c>
      <c r="C23" s="163"/>
      <c r="D23" s="162" t="s">
        <v>75</v>
      </c>
      <c r="E23" s="158">
        <f>+IF($A23="",IF($C23="",SUMIFS(全伝票!I:I,全伝票!$B:$B,$B23),SUMIFS(全伝票!I:I,全伝票!$C:$C,$C23)),IF($C23="",SUMIFS(全伝票!I:I,全伝票!$A:$A,$A23,全伝票!$B:$B,$B23),SUMIFS(全伝票!I:I,全伝票!$A:$A,$A23,全伝票!$C:$C,$C23)))</f>
        <v>9753471</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9753471</v>
      </c>
      <c r="K23" s="34">
        <f t="shared" si="0"/>
        <v>9753471</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886679</v>
      </c>
      <c r="S23" s="22">
        <f t="shared" si="5"/>
        <v>886679</v>
      </c>
      <c r="T23" s="109">
        <f t="shared" si="6"/>
        <v>8866792</v>
      </c>
      <c r="U23" s="107">
        <f t="shared" si="7"/>
        <v>0</v>
      </c>
      <c r="V23" s="107">
        <f t="shared" si="8"/>
        <v>0</v>
      </c>
      <c r="W23" s="107">
        <f t="shared" si="9"/>
        <v>0</v>
      </c>
      <c r="X23" s="107">
        <f t="shared" si="9"/>
        <v>0</v>
      </c>
      <c r="Y23" s="107">
        <f t="shared" si="10"/>
        <v>-0.18181818176526576</v>
      </c>
      <c r="Z23" s="106">
        <f t="shared" si="11"/>
        <v>0</v>
      </c>
      <c r="AA23" s="106">
        <f t="shared" si="12"/>
        <v>0</v>
      </c>
      <c r="AB23" s="106">
        <f t="shared" si="13"/>
        <v>0</v>
      </c>
      <c r="AC23" s="106">
        <f t="shared" si="14"/>
        <v>0</v>
      </c>
      <c r="AD23" s="106">
        <f t="shared" si="15"/>
        <v>0</v>
      </c>
    </row>
    <row r="24" spans="1:35">
      <c r="A24" s="165">
        <v>2</v>
      </c>
      <c r="B24" s="164" t="s">
        <v>392</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2</v>
      </c>
      <c r="B25" s="164" t="s">
        <v>390</v>
      </c>
      <c r="C25" s="163" t="s">
        <v>391</v>
      </c>
      <c r="D25" s="162" t="s">
        <v>71</v>
      </c>
      <c r="E25" s="158">
        <f>+IF($A25="",IF($C25="",SUMIFS(全伝票!I:I,全伝票!$B:$B,$B25),SUMIFS(全伝票!I:I,全伝票!$C:$C,$C25)),IF($C25="",SUMIFS(全伝票!I:I,全伝票!$A:$A,$A25,全伝票!$B:$B,$B25),SUMIFS(全伝票!I:I,全伝票!$A:$A,$A25,全伝票!$C:$C,$C25)))</f>
        <v>39778</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39778</v>
      </c>
      <c r="K25" s="34">
        <f t="shared" si="0"/>
        <v>39778</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3616</v>
      </c>
      <c r="S25" s="22">
        <f t="shared" si="5"/>
        <v>3616</v>
      </c>
      <c r="T25" s="109">
        <f t="shared" si="6"/>
        <v>36162</v>
      </c>
      <c r="U25" s="107">
        <f t="shared" si="7"/>
        <v>0</v>
      </c>
      <c r="V25" s="107">
        <f t="shared" si="8"/>
        <v>0</v>
      </c>
      <c r="W25" s="107">
        <f t="shared" si="9"/>
        <v>0</v>
      </c>
      <c r="X25" s="107">
        <f t="shared" si="9"/>
        <v>0</v>
      </c>
      <c r="Y25" s="107">
        <f t="shared" si="10"/>
        <v>-0.18181818181801646</v>
      </c>
      <c r="Z25" s="106">
        <f t="shared" si="11"/>
        <v>0</v>
      </c>
      <c r="AA25" s="106">
        <f t="shared" si="12"/>
        <v>0</v>
      </c>
      <c r="AB25" s="106">
        <f t="shared" si="13"/>
        <v>0</v>
      </c>
      <c r="AC25" s="106">
        <f t="shared" si="14"/>
        <v>0</v>
      </c>
      <c r="AD25" s="106">
        <f t="shared" si="15"/>
        <v>0</v>
      </c>
    </row>
    <row r="26" spans="1:35">
      <c r="A26" s="165">
        <v>2</v>
      </c>
      <c r="B26" s="164" t="s">
        <v>390</v>
      </c>
      <c r="C26" s="163" t="s">
        <v>389</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2</v>
      </c>
      <c r="B27" s="164" t="s">
        <v>388</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2</v>
      </c>
      <c r="B28" s="164" t="s">
        <v>387</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2</v>
      </c>
      <c r="B29" s="164" t="s">
        <v>386</v>
      </c>
      <c r="C29" s="163"/>
      <c r="D29" s="162" t="s">
        <v>62</v>
      </c>
      <c r="E29" s="158">
        <f>+IF($A29="",IF($C29="",SUMIFS(全伝票!I:I,全伝票!$B:$B,$B29),SUMIFS(全伝票!I:I,全伝票!$C:$C,$C29)),IF($C29="",SUMIFS(全伝票!I:I,全伝票!$A:$A,$A29,全伝票!$B:$B,$B29),SUMIFS(全伝票!I:I,全伝票!$A:$A,$A29,全伝票!$C:$C,$C29)))</f>
        <v>998517</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966295</v>
      </c>
      <c r="K29" s="34">
        <f t="shared" si="0"/>
        <v>966295</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32222</v>
      </c>
      <c r="N29" s="108">
        <f t="shared" si="1"/>
        <v>0</v>
      </c>
      <c r="O29" s="25">
        <f t="shared" si="3"/>
        <v>0</v>
      </c>
      <c r="P29" s="25">
        <f t="shared" si="2"/>
        <v>0</v>
      </c>
      <c r="Q29" s="157">
        <f t="shared" si="3"/>
        <v>0</v>
      </c>
      <c r="R29" s="157">
        <f t="shared" si="4"/>
        <v>87845</v>
      </c>
      <c r="S29" s="22">
        <f t="shared" si="5"/>
        <v>87845</v>
      </c>
      <c r="T29" s="109">
        <f t="shared" si="6"/>
        <v>910672</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4"/>
        <v>0</v>
      </c>
      <c r="AD29" s="106">
        <f t="shared" si="15"/>
        <v>0</v>
      </c>
    </row>
    <row r="30" spans="1:35">
      <c r="A30" s="165">
        <v>2</v>
      </c>
      <c r="B30" s="164">
        <v>8831736</v>
      </c>
      <c r="C30" s="163"/>
      <c r="D30" s="162" t="s">
        <v>868</v>
      </c>
      <c r="E30" s="158">
        <f>+IF($A30="",IF($C30="",SUMIFS(全伝票!I:I,全伝票!$B:$B,$B30),SUMIFS(全伝票!I:I,全伝票!$C:$C,$C30)),IF($C30="",SUMIFS(全伝票!I:I,全伝票!$A:$A,$A30,全伝票!$B:$B,$B30),SUMIFS(全伝票!I:I,全伝票!$A:$A,$A30,全伝票!$C:$C,$C30)))</f>
        <v>26</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26</v>
      </c>
      <c r="K30" s="34">
        <f t="shared" ref="K30" si="16">SUM(F30:J30)</f>
        <v>26</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v>
      </c>
      <c r="S30" s="22">
        <f t="shared" ref="S30" si="22">SUM(N30:R30)</f>
        <v>2</v>
      </c>
      <c r="T30" s="109">
        <f t="shared" ref="T30" si="23">+E30-S30</f>
        <v>24</v>
      </c>
      <c r="U30" s="107">
        <f t="shared" ref="U30" si="24">N30-F30*F$4/(100+F$4)</f>
        <v>0</v>
      </c>
      <c r="V30" s="107">
        <f t="shared" ref="V30" si="25">O30-G30*G$4/(100+G$4)</f>
        <v>0</v>
      </c>
      <c r="W30" s="107">
        <f t="shared" ref="W30" si="26">P30-H30*H$4/(100+H$4)</f>
        <v>0</v>
      </c>
      <c r="X30" s="107">
        <f t="shared" ref="X30" si="27">Q30-I30*I$4/(100+I$4)</f>
        <v>0</v>
      </c>
      <c r="Y30" s="107">
        <f t="shared" ref="Y30" si="28">R30-J30*J$4/(100+J$4)</f>
        <v>-0.36363636363636376</v>
      </c>
      <c r="Z30" s="106">
        <f t="shared" si="11"/>
        <v>0</v>
      </c>
      <c r="AA30" s="106">
        <f t="shared" si="12"/>
        <v>0</v>
      </c>
      <c r="AB30" s="106">
        <f t="shared" si="13"/>
        <v>0</v>
      </c>
      <c r="AC30" s="106">
        <f t="shared" si="14"/>
        <v>0</v>
      </c>
      <c r="AD30" s="106">
        <f t="shared" si="15"/>
        <v>0</v>
      </c>
    </row>
    <row r="31" spans="1:35">
      <c r="A31" s="165">
        <v>2</v>
      </c>
      <c r="B31" s="164" t="s">
        <v>385</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2</v>
      </c>
      <c r="B32" s="164" t="s">
        <v>384</v>
      </c>
      <c r="C32" s="163"/>
      <c r="D32" s="162" t="s">
        <v>58</v>
      </c>
      <c r="E32" s="158">
        <f>+IF($A32="",IF($C32="",SUMIFS(全伝票!I:I,全伝票!$B:$B,$B32),SUMIFS(全伝票!I:I,全伝票!$C:$C,$C32)),IF($C32="",SUMIFS(全伝票!I:I,全伝票!$A:$A,$A32,全伝票!$B:$B,$B32),SUMIFS(全伝票!I:I,全伝票!$A:$A,$A32,全伝票!$C:$C,$C32)))</f>
        <v>77348</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77348</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77348</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2</v>
      </c>
      <c r="B33" s="164" t="s">
        <v>383</v>
      </c>
      <c r="C33" s="163"/>
      <c r="D33" s="162" t="s">
        <v>56</v>
      </c>
      <c r="E33" s="158">
        <f>+IF($A33="",IF($C33="",SUMIFS(全伝票!I:I,全伝票!$B:$B,$B33),SUMIFS(全伝票!I:I,全伝票!$C:$C,$C33)),IF($C33="",SUMIFS(全伝票!I:I,全伝票!$A:$A,$A33,全伝票!$B:$B,$B33),SUMIFS(全伝票!I:I,全伝票!$A:$A,$A33,全伝票!$C:$C,$C33)))</f>
        <v>58</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58</v>
      </c>
      <c r="N33" s="108">
        <f t="shared" si="1"/>
        <v>0</v>
      </c>
      <c r="O33" s="25">
        <f t="shared" si="3"/>
        <v>0</v>
      </c>
      <c r="P33" s="25">
        <f t="shared" si="2"/>
        <v>0</v>
      </c>
      <c r="Q33" s="157">
        <f t="shared" si="3"/>
        <v>0</v>
      </c>
      <c r="R33" s="157">
        <f t="shared" si="4"/>
        <v>0</v>
      </c>
      <c r="S33" s="22">
        <f t="shared" si="5"/>
        <v>0</v>
      </c>
      <c r="T33" s="109">
        <f t="shared" si="6"/>
        <v>58</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2</v>
      </c>
      <c r="B34" s="164" t="s">
        <v>404</v>
      </c>
      <c r="C34" s="163">
        <v>883171003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2</v>
      </c>
      <c r="B35" s="164" t="s">
        <v>381</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2</v>
      </c>
      <c r="B36" s="164" t="s">
        <v>380</v>
      </c>
      <c r="C36" s="163"/>
      <c r="D36" s="162" t="s">
        <v>51</v>
      </c>
      <c r="E36" s="158">
        <f>+IF($A36="",IF($C36="",SUMIFS(全伝票!I:I,全伝票!$B:$B,$B36),SUMIFS(全伝票!I:I,全伝票!$C:$C,$C36)),IF($C36="",SUMIFS(全伝票!I:I,全伝票!$A:$A,$A36,全伝票!$B:$B,$B36),SUMIFS(全伝票!I:I,全伝票!$A:$A,$A36,全伝票!$C:$C,$C36)))</f>
        <v>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0</v>
      </c>
      <c r="N36" s="108">
        <f t="shared" si="1"/>
        <v>0</v>
      </c>
      <c r="O36" s="25">
        <f t="shared" si="3"/>
        <v>0</v>
      </c>
      <c r="P36" s="25">
        <f t="shared" si="2"/>
        <v>0</v>
      </c>
      <c r="Q36" s="157">
        <f t="shared" si="3"/>
        <v>0</v>
      </c>
      <c r="R36" s="157">
        <f t="shared" si="4"/>
        <v>0</v>
      </c>
      <c r="S36" s="22">
        <f t="shared" si="5"/>
        <v>0</v>
      </c>
      <c r="T36" s="109">
        <f t="shared" si="6"/>
        <v>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106990906</v>
      </c>
      <c r="F37" s="152">
        <f t="shared" si="29"/>
        <v>0</v>
      </c>
      <c r="G37" s="151">
        <f t="shared" si="29"/>
        <v>0</v>
      </c>
      <c r="H37" s="151">
        <f t="shared" si="29"/>
        <v>0</v>
      </c>
      <c r="I37" s="150">
        <f t="shared" ref="I37" si="30">SUM(I5:I36)</f>
        <v>2121</v>
      </c>
      <c r="J37" s="150">
        <f t="shared" si="29"/>
        <v>106852098</v>
      </c>
      <c r="K37" s="74">
        <f t="shared" si="29"/>
        <v>106854219</v>
      </c>
      <c r="L37" s="149">
        <f t="shared" si="29"/>
        <v>104407</v>
      </c>
      <c r="M37" s="149">
        <f t="shared" si="29"/>
        <v>32280</v>
      </c>
      <c r="N37" s="146">
        <f t="shared" si="29"/>
        <v>0</v>
      </c>
      <c r="O37" s="145">
        <f t="shared" si="29"/>
        <v>0</v>
      </c>
      <c r="P37" s="145">
        <f t="shared" si="29"/>
        <v>0</v>
      </c>
      <c r="Q37" s="148">
        <f t="shared" ref="Q37" si="31">SUM(Q5:Q36)</f>
        <v>157</v>
      </c>
      <c r="R37" s="148">
        <f t="shared" si="29"/>
        <v>9713827</v>
      </c>
      <c r="S37" s="144">
        <f t="shared" si="29"/>
        <v>9713984</v>
      </c>
      <c r="T37" s="147">
        <f t="shared" si="29"/>
        <v>97276922</v>
      </c>
      <c r="U37" s="88" t="str">
        <f>+IF(F37=0,"",ROUND(F37*F$4/(100+F$4),7)-N37)</f>
        <v/>
      </c>
      <c r="V37" s="88"/>
      <c r="W37" s="88"/>
      <c r="X37" s="88"/>
      <c r="Y37" s="88"/>
      <c r="Z37" s="88"/>
      <c r="AA37" s="88"/>
      <c r="AB37" s="87"/>
      <c r="AC37" s="87"/>
      <c r="AD37" s="87"/>
    </row>
    <row r="38" spans="1:30">
      <c r="A38" s="143"/>
      <c r="B38" s="142"/>
      <c r="C38" s="141"/>
      <c r="D38" s="140" t="s">
        <v>1</v>
      </c>
      <c r="E38" s="136">
        <f t="shared" ref="E38:J38" si="32">+E37</f>
        <v>106990906</v>
      </c>
      <c r="F38" s="139">
        <f t="shared" si="32"/>
        <v>0</v>
      </c>
      <c r="G38" s="138">
        <f t="shared" si="32"/>
        <v>0</v>
      </c>
      <c r="H38" s="138">
        <f t="shared" si="32"/>
        <v>0</v>
      </c>
      <c r="I38" s="137">
        <f t="shared" si="32"/>
        <v>2121</v>
      </c>
      <c r="J38" s="137">
        <f t="shared" si="32"/>
        <v>106852098</v>
      </c>
      <c r="K38" s="63">
        <f>SUM(F38:J38)</f>
        <v>106854219</v>
      </c>
      <c r="L38" s="136">
        <f>+L37</f>
        <v>104407</v>
      </c>
      <c r="M38" s="135">
        <f>+M37</f>
        <v>32280</v>
      </c>
      <c r="N38" s="133">
        <f>+'3条支出'!N15</f>
        <v>0</v>
      </c>
      <c r="O38" s="132">
        <f>+'3条支出'!O15</f>
        <v>0</v>
      </c>
      <c r="P38" s="132">
        <f>+'3条支出'!P15</f>
        <v>0</v>
      </c>
      <c r="Q38" s="132">
        <f>+'3条支出'!Q15</f>
        <v>157</v>
      </c>
      <c r="R38" s="132">
        <f>+'3条支出'!R15</f>
        <v>9713827</v>
      </c>
      <c r="S38" s="131">
        <f>+'3条支出'!S15</f>
        <v>9713984</v>
      </c>
      <c r="T38" s="134">
        <f>+'3条支出'!T15</f>
        <v>97276922</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6">
    <cfRule type="notContainsBlanks" dxfId="66" priority="4" stopIfTrue="1">
      <formula>LEN(TRIM(AE5))&gt;0</formula>
    </cfRule>
  </conditionalFormatting>
  <conditionalFormatting sqref="AE37:AI38">
    <cfRule type="notContainsBlanks" dxfId="65" priority="5" stopIfTrue="1">
      <formula>LEN(TRIM(AE37))&gt;0</formula>
    </cfRule>
  </conditionalFormatting>
  <conditionalFormatting sqref="Z5:AD29 Z31:AD36">
    <cfRule type="expression" dxfId="64" priority="3">
      <formula>ABS(Z5)=1</formula>
    </cfRule>
  </conditionalFormatting>
  <conditionalFormatting sqref="E39:T39">
    <cfRule type="cellIs" dxfId="63" priority="2" operator="notEqual">
      <formula>0</formula>
    </cfRule>
  </conditionalFormatting>
  <conditionalFormatting sqref="Z30:AD30">
    <cfRule type="expression" dxfId="62"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447</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3</v>
      </c>
      <c r="B5" s="176" t="s">
        <v>446</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3</v>
      </c>
      <c r="B6" s="164" t="s">
        <v>445</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3</v>
      </c>
      <c r="B7" s="164" t="s">
        <v>444</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3</v>
      </c>
      <c r="B8" s="164" t="s">
        <v>443</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3</v>
      </c>
      <c r="B9" s="164" t="s">
        <v>442</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3</v>
      </c>
      <c r="B10" s="164" t="s">
        <v>441</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3</v>
      </c>
      <c r="B11" s="164" t="s">
        <v>440</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3</v>
      </c>
      <c r="B12" s="164" t="s">
        <v>438</v>
      </c>
      <c r="C12" s="163" t="s">
        <v>439</v>
      </c>
      <c r="D12" s="162" t="s">
        <v>98</v>
      </c>
      <c r="E12" s="158">
        <f>+IF($A12="",IF($C12="",SUMIFS(全伝票!I:I,全伝票!$B:$B,$B12),SUMIFS(全伝票!I:I,全伝票!$C:$C,$C12)),IF($C12="",SUMIFS(全伝票!I:I,全伝票!$A:$A,$A12,全伝票!$B:$B,$B12),SUMIFS(全伝票!I:I,全伝票!$A:$A,$A12,全伝票!$C:$C,$C12)))</f>
        <v>7966</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7966</v>
      </c>
      <c r="K12" s="34">
        <f t="shared" si="0"/>
        <v>7966</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724</v>
      </c>
      <c r="S12" s="22">
        <f t="shared" si="5"/>
        <v>724</v>
      </c>
      <c r="T12" s="109">
        <f t="shared" si="6"/>
        <v>7242</v>
      </c>
      <c r="U12" s="107">
        <f t="shared" si="7"/>
        <v>0</v>
      </c>
      <c r="V12" s="107">
        <f t="shared" si="8"/>
        <v>0</v>
      </c>
      <c r="W12" s="107">
        <f t="shared" si="9"/>
        <v>0</v>
      </c>
      <c r="X12" s="107">
        <f t="shared" si="9"/>
        <v>0</v>
      </c>
      <c r="Y12" s="107">
        <f t="shared" si="10"/>
        <v>-0.18181818181813014</v>
      </c>
      <c r="Z12" s="106">
        <f t="shared" si="11"/>
        <v>0</v>
      </c>
      <c r="AA12" s="106">
        <f t="shared" si="12"/>
        <v>0</v>
      </c>
      <c r="AB12" s="106">
        <f t="shared" si="13"/>
        <v>0</v>
      </c>
      <c r="AC12" s="106">
        <f t="shared" si="14"/>
        <v>0</v>
      </c>
      <c r="AD12" s="106">
        <f t="shared" si="15"/>
        <v>0</v>
      </c>
    </row>
    <row r="13" spans="1:35">
      <c r="A13" s="165">
        <v>3</v>
      </c>
      <c r="B13" s="164" t="s">
        <v>438</v>
      </c>
      <c r="C13" s="163" t="s">
        <v>437</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3</v>
      </c>
      <c r="B14" s="164" t="s">
        <v>436</v>
      </c>
      <c r="C14" s="163"/>
      <c r="D14" s="162" t="s">
        <v>93</v>
      </c>
      <c r="E14" s="158">
        <f>+IF($A14="",IF($C14="",SUMIFS(全伝票!I:I,全伝票!$B:$B,$B14),SUMIFS(全伝票!I:I,全伝票!$C:$C,$C14)),IF($C14="",SUMIFS(全伝票!I:I,全伝票!$A:$A,$A14,全伝票!$B:$B,$B14),SUMIFS(全伝票!I:I,全伝票!$A:$A,$A14,全伝票!$C:$C,$C14)))</f>
        <v>109131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5073</v>
      </c>
      <c r="J14" s="159">
        <f>+IF($A14="",IF($C14="",SUMIFS(全伝票!N:N,全伝票!$B:$B,$B14),SUMIFS(全伝票!N:N,全伝票!$C:$C,$C14)),IF($C14="",SUMIFS(全伝票!N:N,全伝票!$A:$A,$A14,全伝票!$B:$B,$B14),SUMIFS(全伝票!N:N,全伝票!$A:$A,$A14,全伝票!$C:$C,$C14)))</f>
        <v>104058</v>
      </c>
      <c r="K14" s="34">
        <f t="shared" si="0"/>
        <v>109131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376</v>
      </c>
      <c r="R14" s="157">
        <f t="shared" si="4"/>
        <v>9460</v>
      </c>
      <c r="S14" s="22">
        <f t="shared" si="5"/>
        <v>9836</v>
      </c>
      <c r="T14" s="109">
        <f t="shared" si="6"/>
        <v>99295</v>
      </c>
      <c r="U14" s="107">
        <f t="shared" si="7"/>
        <v>0</v>
      </c>
      <c r="V14" s="107">
        <f t="shared" si="8"/>
        <v>0</v>
      </c>
      <c r="W14" s="107">
        <f t="shared" si="9"/>
        <v>0</v>
      </c>
      <c r="X14" s="107">
        <f t="shared" si="9"/>
        <v>0.22222222222222854</v>
      </c>
      <c r="Y14" s="107">
        <f t="shared" si="10"/>
        <v>0.18181818181801646</v>
      </c>
      <c r="Z14" s="106">
        <f t="shared" si="11"/>
        <v>0</v>
      </c>
      <c r="AA14" s="106">
        <f t="shared" si="12"/>
        <v>0</v>
      </c>
      <c r="AB14" s="106">
        <f t="shared" si="13"/>
        <v>0</v>
      </c>
      <c r="AC14" s="106">
        <f t="shared" si="14"/>
        <v>0</v>
      </c>
      <c r="AD14" s="106">
        <f t="shared" si="15"/>
        <v>0</v>
      </c>
    </row>
    <row r="15" spans="1:35">
      <c r="A15" s="165">
        <v>3</v>
      </c>
      <c r="B15" s="164" t="s">
        <v>435</v>
      </c>
      <c r="C15" s="163"/>
      <c r="D15" s="162" t="s">
        <v>91</v>
      </c>
      <c r="E15" s="158">
        <f>+IF($A15="",IF($C15="",SUMIFS(全伝票!I:I,全伝票!$B:$B,$B15),SUMIFS(全伝票!I:I,全伝票!$C:$C,$C15)),IF($C15="",SUMIFS(全伝票!I:I,全伝票!$A:$A,$A15,全伝票!$B:$B,$B15),SUMIFS(全伝票!I:I,全伝票!$A:$A,$A15,全伝票!$C:$C,$C15)))</f>
        <v>1683</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1683</v>
      </c>
      <c r="K15" s="34">
        <f t="shared" si="0"/>
        <v>1683</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153</v>
      </c>
      <c r="S15" s="22">
        <f t="shared" si="5"/>
        <v>153</v>
      </c>
      <c r="T15" s="109">
        <f t="shared" si="6"/>
        <v>1530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4"/>
        <v>0</v>
      </c>
      <c r="AD15" s="106">
        <f t="shared" si="15"/>
        <v>0</v>
      </c>
    </row>
    <row r="16" spans="1:35">
      <c r="A16" s="165">
        <v>3</v>
      </c>
      <c r="B16" s="164" t="s">
        <v>434</v>
      </c>
      <c r="C16" s="163"/>
      <c r="D16" s="162" t="s">
        <v>89</v>
      </c>
      <c r="E16" s="158">
        <f>+IF($A16="",IF($C16="",SUMIFS(全伝票!I:I,全伝票!$B:$B,$B16),SUMIFS(全伝票!I:I,全伝票!$C:$C,$C16)),IF($C16="",SUMIFS(全伝票!I:I,全伝票!$A:$A,$A16,全伝票!$B:$B,$B16),SUMIFS(全伝票!I:I,全伝票!$A:$A,$A16,全伝票!$C:$C,$C16)))</f>
        <v>25581</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25581</v>
      </c>
      <c r="K16" s="34">
        <f t="shared" si="0"/>
        <v>25581</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2325</v>
      </c>
      <c r="S16" s="22">
        <f t="shared" si="5"/>
        <v>2325</v>
      </c>
      <c r="T16" s="109">
        <f t="shared" si="6"/>
        <v>23256</v>
      </c>
      <c r="U16" s="107">
        <f t="shared" si="7"/>
        <v>0</v>
      </c>
      <c r="V16" s="107">
        <f t="shared" si="8"/>
        <v>0</v>
      </c>
      <c r="W16" s="107">
        <f t="shared" si="9"/>
        <v>0</v>
      </c>
      <c r="X16" s="107">
        <f t="shared" si="9"/>
        <v>0</v>
      </c>
      <c r="Y16" s="107">
        <f t="shared" si="10"/>
        <v>-0.54545454545450411</v>
      </c>
      <c r="Z16" s="106">
        <f t="shared" si="11"/>
        <v>0</v>
      </c>
      <c r="AA16" s="106">
        <f t="shared" si="12"/>
        <v>0</v>
      </c>
      <c r="AB16" s="106">
        <f t="shared" si="13"/>
        <v>0</v>
      </c>
      <c r="AC16" s="106">
        <f t="shared" si="14"/>
        <v>0</v>
      </c>
      <c r="AD16" s="106">
        <f t="shared" si="15"/>
        <v>0</v>
      </c>
      <c r="AI16" s="2">
        <v>-1</v>
      </c>
    </row>
    <row r="17" spans="1:30">
      <c r="A17" s="165">
        <v>3</v>
      </c>
      <c r="B17" s="164" t="s">
        <v>433</v>
      </c>
      <c r="C17" s="163"/>
      <c r="D17" s="162" t="s">
        <v>87</v>
      </c>
      <c r="E17" s="158">
        <f>+IF($A17="",IF($C17="",SUMIFS(全伝票!I:I,全伝票!$B:$B,$B17),SUMIFS(全伝票!I:I,全伝票!$C:$C,$C17)),IF($C17="",SUMIFS(全伝票!I:I,全伝票!$A:$A,$A17,全伝票!$B:$B,$B17),SUMIFS(全伝票!I:I,全伝票!$A:$A,$A17,全伝票!$C:$C,$C17)))</f>
        <v>827</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827</v>
      </c>
      <c r="K17" s="34">
        <f t="shared" si="0"/>
        <v>827</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75</v>
      </c>
      <c r="S17" s="22">
        <f t="shared" si="5"/>
        <v>75</v>
      </c>
      <c r="T17" s="109">
        <f t="shared" si="6"/>
        <v>752</v>
      </c>
      <c r="U17" s="107">
        <f t="shared" si="7"/>
        <v>0</v>
      </c>
      <c r="V17" s="107">
        <f t="shared" si="8"/>
        <v>0</v>
      </c>
      <c r="W17" s="107">
        <f t="shared" si="9"/>
        <v>0</v>
      </c>
      <c r="X17" s="107">
        <f t="shared" si="9"/>
        <v>0</v>
      </c>
      <c r="Y17" s="107">
        <f t="shared" si="10"/>
        <v>-0.18181818181818699</v>
      </c>
      <c r="Z17" s="106">
        <f t="shared" si="11"/>
        <v>0</v>
      </c>
      <c r="AA17" s="106">
        <f t="shared" si="12"/>
        <v>0</v>
      </c>
      <c r="AB17" s="106">
        <f t="shared" si="13"/>
        <v>0</v>
      </c>
      <c r="AC17" s="106">
        <f t="shared" si="14"/>
        <v>0</v>
      </c>
      <c r="AD17" s="106">
        <f t="shared" si="15"/>
        <v>0</v>
      </c>
    </row>
    <row r="18" spans="1:30">
      <c r="A18" s="165">
        <v>3</v>
      </c>
      <c r="B18" s="164" t="s">
        <v>432</v>
      </c>
      <c r="C18" s="163"/>
      <c r="D18" s="162" t="s">
        <v>85</v>
      </c>
      <c r="E18" s="158">
        <f>+IF($A18="",IF($C18="",SUMIFS(全伝票!I:I,全伝票!$B:$B,$B18),SUMIFS(全伝票!I:I,全伝票!$C:$C,$C18)),IF($C18="",SUMIFS(全伝票!I:I,全伝票!$A:$A,$A18,全伝票!$B:$B,$B18),SUMIFS(全伝票!I:I,全伝票!$A:$A,$A18,全伝票!$C:$C,$C18)))</f>
        <v>14717</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2980</v>
      </c>
      <c r="K18" s="34">
        <f t="shared" si="0"/>
        <v>2980</v>
      </c>
      <c r="L18" s="158">
        <f>+IF($A18="",IF($C18="",SUMIFS(全伝票!O:O,全伝票!$B:$B,$B18),SUMIFS(全伝票!O:O,全伝票!$C:$C,$C18)),IF($C18="",SUMIFS(全伝票!O:O,全伝票!$A:$A,$A18,全伝票!$B:$B,$B18),SUMIFS(全伝票!O:O,全伝票!$A:$A,$A18,全伝票!$C:$C,$C18)))</f>
        <v>11737</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271</v>
      </c>
      <c r="S18" s="22">
        <f t="shared" si="5"/>
        <v>271</v>
      </c>
      <c r="T18" s="109">
        <f t="shared" si="6"/>
        <v>14446</v>
      </c>
      <c r="U18" s="107">
        <f t="shared" si="7"/>
        <v>0</v>
      </c>
      <c r="V18" s="107">
        <f t="shared" si="8"/>
        <v>0</v>
      </c>
      <c r="W18" s="107">
        <f t="shared" si="9"/>
        <v>0</v>
      </c>
      <c r="X18" s="107">
        <f t="shared" si="9"/>
        <v>0</v>
      </c>
      <c r="Y18" s="107">
        <f t="shared" si="10"/>
        <v>9.0909090909065071E-2</v>
      </c>
      <c r="Z18" s="106">
        <f t="shared" si="11"/>
        <v>0</v>
      </c>
      <c r="AA18" s="106">
        <f t="shared" si="12"/>
        <v>0</v>
      </c>
      <c r="AB18" s="106">
        <f t="shared" si="13"/>
        <v>0</v>
      </c>
      <c r="AC18" s="106">
        <f t="shared" si="14"/>
        <v>0</v>
      </c>
      <c r="AD18" s="106">
        <f t="shared" si="15"/>
        <v>0</v>
      </c>
    </row>
    <row r="19" spans="1:30">
      <c r="A19" s="165">
        <v>3</v>
      </c>
      <c r="B19" s="164" t="s">
        <v>431</v>
      </c>
      <c r="C19" s="163"/>
      <c r="D19" s="162" t="s">
        <v>83</v>
      </c>
      <c r="E19" s="158">
        <f>+IF($A19="",IF($C19="",SUMIFS(全伝票!I:I,全伝票!$B:$B,$B19),SUMIFS(全伝票!I:I,全伝票!$C:$C,$C19)),IF($C19="",SUMIFS(全伝票!I:I,全伝票!$A:$A,$A19,全伝票!$B:$B,$B19),SUMIFS(全伝票!I:I,全伝票!$A:$A,$A19,全伝票!$C:$C,$C19)))</f>
        <v>1186506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1184616</v>
      </c>
      <c r="K19" s="34">
        <f t="shared" si="0"/>
        <v>1184616</v>
      </c>
      <c r="L19" s="158">
        <f>+IF($A19="",IF($C19="",SUMIFS(全伝票!O:O,全伝票!$B:$B,$B19),SUMIFS(全伝票!O:O,全伝票!$C:$C,$C19)),IF($C19="",SUMIFS(全伝票!O:O,全伝票!$A:$A,$A19,全伝票!$B:$B,$B19),SUMIFS(全伝票!O:O,全伝票!$A:$A,$A19,全伝票!$C:$C,$C19)))</f>
        <v>1890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107692</v>
      </c>
      <c r="S19" s="22">
        <f t="shared" si="5"/>
        <v>107692</v>
      </c>
      <c r="T19" s="109">
        <f t="shared" si="6"/>
        <v>1078814</v>
      </c>
      <c r="U19" s="107">
        <f t="shared" si="7"/>
        <v>0</v>
      </c>
      <c r="V19" s="107">
        <f t="shared" si="8"/>
        <v>0</v>
      </c>
      <c r="W19" s="107">
        <f t="shared" si="9"/>
        <v>0</v>
      </c>
      <c r="X19" s="107">
        <f t="shared" si="9"/>
        <v>0</v>
      </c>
      <c r="Y19" s="107">
        <f t="shared" si="10"/>
        <v>-0.36363636363239493</v>
      </c>
      <c r="Z19" s="106">
        <f t="shared" si="11"/>
        <v>0</v>
      </c>
      <c r="AA19" s="106">
        <f t="shared" si="12"/>
        <v>0</v>
      </c>
      <c r="AB19" s="106">
        <f t="shared" si="13"/>
        <v>0</v>
      </c>
      <c r="AC19" s="106">
        <f t="shared" si="14"/>
        <v>0</v>
      </c>
      <c r="AD19" s="106">
        <f t="shared" si="15"/>
        <v>0</v>
      </c>
    </row>
    <row r="20" spans="1:30">
      <c r="A20" s="165">
        <v>3</v>
      </c>
      <c r="B20" s="164" t="s">
        <v>430</v>
      </c>
      <c r="C20" s="163"/>
      <c r="D20" s="162" t="s">
        <v>81</v>
      </c>
      <c r="E20" s="158">
        <f>+IF($A20="",IF($C20="",SUMIFS(全伝票!I:I,全伝票!$B:$B,$B20),SUMIFS(全伝票!I:I,全伝票!$C:$C,$C20)),IF($C20="",SUMIFS(全伝票!I:I,全伝票!$A:$A,$A20,全伝票!$B:$B,$B20),SUMIFS(全伝票!I:I,全伝票!$A:$A,$A20,全伝票!$C:$C,$C20)))</f>
        <v>212395907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212395907</v>
      </c>
      <c r="K20" s="34">
        <f t="shared" si="0"/>
        <v>212395907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19308719</v>
      </c>
      <c r="S20" s="22">
        <f t="shared" si="5"/>
        <v>19308719</v>
      </c>
      <c r="T20" s="109">
        <f t="shared" si="6"/>
        <v>193087188</v>
      </c>
      <c r="U20" s="107">
        <f t="shared" si="7"/>
        <v>0</v>
      </c>
      <c r="V20" s="107">
        <f t="shared" si="8"/>
        <v>0</v>
      </c>
      <c r="W20" s="107">
        <f t="shared" si="9"/>
        <v>0</v>
      </c>
      <c r="X20" s="107">
        <f t="shared" si="9"/>
        <v>0</v>
      </c>
      <c r="Y20" s="107">
        <f t="shared" si="10"/>
        <v>0.18181818351149559</v>
      </c>
      <c r="Z20" s="106">
        <f t="shared" si="11"/>
        <v>0</v>
      </c>
      <c r="AA20" s="106">
        <f t="shared" si="12"/>
        <v>0</v>
      </c>
      <c r="AB20" s="106">
        <f t="shared" si="13"/>
        <v>0</v>
      </c>
      <c r="AC20" s="106">
        <f t="shared" si="14"/>
        <v>0</v>
      </c>
      <c r="AD20" s="106">
        <f t="shared" si="15"/>
        <v>0</v>
      </c>
    </row>
    <row r="21" spans="1:30">
      <c r="A21" s="165">
        <v>3</v>
      </c>
      <c r="B21" s="164" t="s">
        <v>429</v>
      </c>
      <c r="C21" s="163"/>
      <c r="D21" s="162" t="s">
        <v>79</v>
      </c>
      <c r="E21" s="158">
        <f>+IF($A21="",IF($C21="",SUMIFS(全伝票!I:I,全伝票!$B:$B,$B21),SUMIFS(全伝票!I:I,全伝票!$C:$C,$C21)),IF($C21="",SUMIFS(全伝票!I:I,全伝票!$A:$A,$A21,全伝票!$B:$B,$B21),SUMIFS(全伝票!I:I,全伝票!$A:$A,$A21,全伝票!$C:$C,$C21)))</f>
        <v>16506765</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16506765</v>
      </c>
      <c r="K21" s="34">
        <f t="shared" si="0"/>
        <v>16506765</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1500615</v>
      </c>
      <c r="S21" s="22">
        <f t="shared" si="5"/>
        <v>1500615</v>
      </c>
      <c r="T21" s="109">
        <f t="shared" si="6"/>
        <v>15006150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4"/>
        <v>0</v>
      </c>
      <c r="AD21" s="106">
        <f t="shared" si="15"/>
        <v>0</v>
      </c>
    </row>
    <row r="22" spans="1:30">
      <c r="A22" s="165">
        <v>3</v>
      </c>
      <c r="B22" s="164" t="s">
        <v>428</v>
      </c>
      <c r="C22" s="163"/>
      <c r="D22" s="162" t="s">
        <v>77</v>
      </c>
      <c r="E22" s="158">
        <f>+IF($A22="",IF($C22="",SUMIFS(全伝票!I:I,全伝票!$B:$B,$B22),SUMIFS(全伝票!I:I,全伝票!$C:$C,$C22)),IF($C22="",SUMIFS(全伝票!I:I,全伝票!$A:$A,$A22,全伝票!$B:$B,$B22),SUMIFS(全伝票!I:I,全伝票!$A:$A,$A22,全伝票!$C:$C,$C22)))</f>
        <v>995500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995500</v>
      </c>
      <c r="K22" s="34">
        <f t="shared" si="0"/>
        <v>995500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90500</v>
      </c>
      <c r="S22" s="22">
        <f t="shared" si="5"/>
        <v>90500</v>
      </c>
      <c r="T22" s="109">
        <f t="shared" si="6"/>
        <v>905000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0">
      <c r="A23" s="165">
        <v>3</v>
      </c>
      <c r="B23" s="164" t="s">
        <v>427</v>
      </c>
      <c r="C23" s="163"/>
      <c r="D23" s="162" t="s">
        <v>75</v>
      </c>
      <c r="E23" s="158">
        <f>+IF($A23="",IF($C23="",SUMIFS(全伝票!I:I,全伝票!$B:$B,$B23),SUMIFS(全伝票!I:I,全伝票!$C:$C,$C23)),IF($C23="",SUMIFS(全伝票!I:I,全伝票!$A:$A,$A23,全伝票!$B:$B,$B23),SUMIFS(全伝票!I:I,全伝票!$A:$A,$A23,全伝票!$C:$C,$C23)))</f>
        <v>13807574</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13807574</v>
      </c>
      <c r="K23" s="34">
        <f t="shared" si="0"/>
        <v>13807574</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1255234</v>
      </c>
      <c r="S23" s="22">
        <f t="shared" si="5"/>
        <v>1255234</v>
      </c>
      <c r="T23" s="109">
        <f t="shared" si="6"/>
        <v>12552340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0">
      <c r="A24" s="165">
        <v>3</v>
      </c>
      <c r="B24" s="164" t="s">
        <v>426</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0">
      <c r="A25" s="165">
        <v>3</v>
      </c>
      <c r="B25" s="164" t="s">
        <v>424</v>
      </c>
      <c r="C25" s="163" t="s">
        <v>425</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0">
      <c r="A26" s="165">
        <v>3</v>
      </c>
      <c r="B26" s="164" t="s">
        <v>424</v>
      </c>
      <c r="C26" s="163" t="s">
        <v>423</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0">
      <c r="A27" s="165">
        <v>3</v>
      </c>
      <c r="B27" s="164" t="s">
        <v>422</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0">
      <c r="A28" s="165">
        <v>3</v>
      </c>
      <c r="B28" s="164" t="s">
        <v>421</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0">
      <c r="A29" s="165">
        <v>3</v>
      </c>
      <c r="B29" s="164" t="s">
        <v>420</v>
      </c>
      <c r="C29" s="163"/>
      <c r="D29" s="162" t="s">
        <v>62</v>
      </c>
      <c r="E29" s="158">
        <f>+IF($A29="",IF($C29="",SUMIFS(全伝票!I:I,全伝票!$B:$B,$B29),SUMIFS(全伝票!I:I,全伝票!$C:$C,$C29)),IF($C29="",SUMIFS(全伝票!I:I,全伝票!$A:$A,$A29,全伝票!$B:$B,$B29),SUMIFS(全伝票!I:I,全伝票!$A:$A,$A29,全伝票!$C:$C,$C29)))</f>
        <v>2416327</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2310867</v>
      </c>
      <c r="K29" s="34">
        <f t="shared" si="0"/>
        <v>2310867</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105460</v>
      </c>
      <c r="N29" s="108">
        <f t="shared" si="1"/>
        <v>0</v>
      </c>
      <c r="O29" s="25">
        <f t="shared" si="3"/>
        <v>0</v>
      </c>
      <c r="P29" s="25">
        <f t="shared" si="2"/>
        <v>0</v>
      </c>
      <c r="Q29" s="157">
        <f t="shared" si="3"/>
        <v>0</v>
      </c>
      <c r="R29" s="157">
        <f t="shared" si="4"/>
        <v>210079</v>
      </c>
      <c r="S29" s="22">
        <f t="shared" si="5"/>
        <v>210079</v>
      </c>
      <c r="T29" s="109">
        <f t="shared" si="6"/>
        <v>2206248</v>
      </c>
      <c r="U29" s="107">
        <f t="shared" si="7"/>
        <v>0</v>
      </c>
      <c r="V29" s="107">
        <f t="shared" si="8"/>
        <v>0</v>
      </c>
      <c r="W29" s="107">
        <f t="shared" si="9"/>
        <v>0</v>
      </c>
      <c r="X29" s="107">
        <f t="shared" si="9"/>
        <v>0</v>
      </c>
      <c r="Y29" s="107">
        <f t="shared" si="10"/>
        <v>0.18181818182347342</v>
      </c>
      <c r="Z29" s="106">
        <f t="shared" si="11"/>
        <v>0</v>
      </c>
      <c r="AA29" s="106">
        <f t="shared" si="12"/>
        <v>0</v>
      </c>
      <c r="AB29" s="106">
        <f t="shared" si="13"/>
        <v>0</v>
      </c>
      <c r="AC29" s="106">
        <f t="shared" si="14"/>
        <v>0</v>
      </c>
      <c r="AD29" s="106">
        <f t="shared" si="15"/>
        <v>0</v>
      </c>
    </row>
    <row r="30" spans="1:30">
      <c r="A30" s="165">
        <v>3</v>
      </c>
      <c r="B30" s="164">
        <v>8831836</v>
      </c>
      <c r="C30" s="163"/>
      <c r="D30" s="162" t="s">
        <v>868</v>
      </c>
      <c r="E30" s="158">
        <f>+IF($A30="",IF($C30="",SUMIFS(全伝票!I:I,全伝票!$B:$B,$B30),SUMIFS(全伝票!I:I,全伝票!$C:$C,$C30)),IF($C30="",SUMIFS(全伝票!I:I,全伝票!$A:$A,$A30,全伝票!$B:$B,$B30),SUMIFS(全伝票!I:I,全伝票!$A:$A,$A30,全伝票!$C:$C,$C30)))</f>
        <v>63</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63</v>
      </c>
      <c r="K30" s="34">
        <f t="shared" ref="K30" si="16">SUM(F30:J30)</f>
        <v>63</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6</v>
      </c>
      <c r="S30" s="22">
        <f t="shared" ref="S30" si="22">SUM(N30:R30)</f>
        <v>6</v>
      </c>
      <c r="T30" s="109">
        <f t="shared" ref="T30" si="23">+E30-S30</f>
        <v>57</v>
      </c>
      <c r="U30" s="107">
        <f t="shared" ref="U30" si="24">N30-F30*F$4/(100+F$4)</f>
        <v>0</v>
      </c>
      <c r="V30" s="107">
        <f t="shared" ref="V30" si="25">O30-G30*G$4/(100+G$4)</f>
        <v>0</v>
      </c>
      <c r="W30" s="107">
        <f t="shared" ref="W30" si="26">P30-H30*H$4/(100+H$4)</f>
        <v>0</v>
      </c>
      <c r="X30" s="107">
        <f t="shared" ref="X30" si="27">Q30-I30*I$4/(100+I$4)</f>
        <v>0</v>
      </c>
      <c r="Y30" s="107">
        <f t="shared" ref="Y30" si="28">R30-J30*J$4/(100+J$4)</f>
        <v>0.27272727272727249</v>
      </c>
      <c r="Z30" s="106">
        <f t="shared" si="11"/>
        <v>0</v>
      </c>
      <c r="AA30" s="106">
        <f t="shared" si="12"/>
        <v>0</v>
      </c>
      <c r="AB30" s="106">
        <f t="shared" si="13"/>
        <v>0</v>
      </c>
      <c r="AC30" s="106">
        <f t="shared" si="14"/>
        <v>0</v>
      </c>
      <c r="AD30" s="106">
        <f t="shared" si="15"/>
        <v>0</v>
      </c>
    </row>
    <row r="31" spans="1:30">
      <c r="A31" s="165">
        <v>3</v>
      </c>
      <c r="B31" s="164" t="s">
        <v>419</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0">
      <c r="A32" s="165">
        <v>3</v>
      </c>
      <c r="B32" s="164" t="s">
        <v>418</v>
      </c>
      <c r="C32" s="163"/>
      <c r="D32" s="162" t="s">
        <v>58</v>
      </c>
      <c r="E32" s="158">
        <f>+IF($A32="",IF($C32="",SUMIFS(全伝票!I:I,全伝票!$B:$B,$B32),SUMIFS(全伝票!I:I,全伝票!$C:$C,$C32)),IF($C32="",SUMIFS(全伝票!I:I,全伝票!$A:$A,$A32,全伝票!$B:$B,$B32),SUMIFS(全伝票!I:I,全伝票!$A:$A,$A32,全伝票!$C:$C,$C32)))</f>
        <v>169338</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169338</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169338</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3</v>
      </c>
      <c r="B33" s="164" t="s">
        <v>417</v>
      </c>
      <c r="C33" s="163"/>
      <c r="D33" s="162" t="s">
        <v>56</v>
      </c>
      <c r="E33" s="158">
        <f>+IF($A33="",IF($C33="",SUMIFS(全伝票!I:I,全伝票!$B:$B,$B33),SUMIFS(全伝票!I:I,全伝票!$C:$C,$C33)),IF($C33="",SUMIFS(全伝票!I:I,全伝票!$A:$A,$A33,全伝票!$B:$B,$B33),SUMIFS(全伝票!I:I,全伝票!$A:$A,$A33,全伝票!$C:$C,$C33)))</f>
        <v>139</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139</v>
      </c>
      <c r="N33" s="108">
        <f t="shared" si="1"/>
        <v>0</v>
      </c>
      <c r="O33" s="25">
        <f t="shared" si="3"/>
        <v>0</v>
      </c>
      <c r="P33" s="25">
        <f t="shared" si="2"/>
        <v>0</v>
      </c>
      <c r="Q33" s="157">
        <f t="shared" si="3"/>
        <v>0</v>
      </c>
      <c r="R33" s="157">
        <f t="shared" si="4"/>
        <v>0</v>
      </c>
      <c r="S33" s="22">
        <f t="shared" si="5"/>
        <v>0</v>
      </c>
      <c r="T33" s="109">
        <f t="shared" si="6"/>
        <v>139</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3</v>
      </c>
      <c r="B34" s="164" t="s">
        <v>438</v>
      </c>
      <c r="C34" s="163">
        <v>883181003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3</v>
      </c>
      <c r="B35" s="164" t="s">
        <v>415</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3</v>
      </c>
      <c r="B36" s="164" t="s">
        <v>414</v>
      </c>
      <c r="C36" s="163"/>
      <c r="D36" s="162" t="s">
        <v>51</v>
      </c>
      <c r="E36" s="158">
        <f>+IF($A36="",IF($C36="",SUMIFS(全伝票!I:I,全伝票!$B:$B,$B36),SUMIFS(全伝票!I:I,全伝票!$C:$C,$C36)),IF($C36="",SUMIFS(全伝票!I:I,全伝票!$A:$A,$A36,全伝票!$B:$B,$B36),SUMIFS(全伝票!I:I,全伝票!$A:$A,$A36,全伝票!$C:$C,$C36)))</f>
        <v>16000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16000</v>
      </c>
      <c r="N36" s="108">
        <f t="shared" si="1"/>
        <v>0</v>
      </c>
      <c r="O36" s="25">
        <f t="shared" si="3"/>
        <v>0</v>
      </c>
      <c r="P36" s="25">
        <f t="shared" si="2"/>
        <v>0</v>
      </c>
      <c r="Q36" s="157">
        <f t="shared" si="3"/>
        <v>0</v>
      </c>
      <c r="R36" s="157">
        <f t="shared" si="4"/>
        <v>0</v>
      </c>
      <c r="S36" s="22">
        <f t="shared" si="5"/>
        <v>0</v>
      </c>
      <c r="T36" s="109">
        <f t="shared" si="6"/>
        <v>16000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247654024</v>
      </c>
      <c r="F37" s="152">
        <f t="shared" si="29"/>
        <v>0</v>
      </c>
      <c r="G37" s="151">
        <f t="shared" si="29"/>
        <v>0</v>
      </c>
      <c r="H37" s="151">
        <f t="shared" si="29"/>
        <v>0</v>
      </c>
      <c r="I37" s="150">
        <f t="shared" ref="I37" si="30">SUM(I5:I36)</f>
        <v>5073</v>
      </c>
      <c r="J37" s="150">
        <f t="shared" si="29"/>
        <v>247344387</v>
      </c>
      <c r="K37" s="74">
        <f t="shared" si="29"/>
        <v>247349460</v>
      </c>
      <c r="L37" s="149">
        <f t="shared" si="29"/>
        <v>182965</v>
      </c>
      <c r="M37" s="149">
        <f t="shared" si="29"/>
        <v>121599</v>
      </c>
      <c r="N37" s="146">
        <f t="shared" si="29"/>
        <v>0</v>
      </c>
      <c r="O37" s="145">
        <f t="shared" si="29"/>
        <v>0</v>
      </c>
      <c r="P37" s="145">
        <f t="shared" si="29"/>
        <v>0</v>
      </c>
      <c r="Q37" s="148">
        <f t="shared" ref="Q37" si="31">SUM(Q5:Q36)</f>
        <v>376</v>
      </c>
      <c r="R37" s="148">
        <f t="shared" si="29"/>
        <v>22485853</v>
      </c>
      <c r="S37" s="144">
        <f t="shared" si="29"/>
        <v>22486229</v>
      </c>
      <c r="T37" s="147">
        <f t="shared" si="29"/>
        <v>225167795</v>
      </c>
      <c r="U37" s="88" t="str">
        <f>+IF(F37=0,"",ROUND(F37*F$4/(100+F$4),7)-N37)</f>
        <v/>
      </c>
      <c r="V37" s="88"/>
      <c r="W37" s="88"/>
      <c r="X37" s="88"/>
      <c r="Y37" s="88"/>
      <c r="Z37" s="88"/>
      <c r="AA37" s="88"/>
      <c r="AB37" s="87"/>
      <c r="AC37" s="87"/>
      <c r="AD37" s="87"/>
    </row>
    <row r="38" spans="1:30">
      <c r="A38" s="143"/>
      <c r="B38" s="142"/>
      <c r="C38" s="141"/>
      <c r="D38" s="140" t="s">
        <v>1</v>
      </c>
      <c r="E38" s="136">
        <f t="shared" ref="E38:J38" si="32">+E37</f>
        <v>247654024</v>
      </c>
      <c r="F38" s="139">
        <f t="shared" si="32"/>
        <v>0</v>
      </c>
      <c r="G38" s="138">
        <f t="shared" si="32"/>
        <v>0</v>
      </c>
      <c r="H38" s="138">
        <f t="shared" si="32"/>
        <v>0</v>
      </c>
      <c r="I38" s="137">
        <f t="shared" si="32"/>
        <v>5073</v>
      </c>
      <c r="J38" s="137">
        <f t="shared" si="32"/>
        <v>247344387</v>
      </c>
      <c r="K38" s="63">
        <f>SUM(F38:J38)</f>
        <v>247349460</v>
      </c>
      <c r="L38" s="136">
        <f>+L37</f>
        <v>182965</v>
      </c>
      <c r="M38" s="135">
        <f>+M37</f>
        <v>121599</v>
      </c>
      <c r="N38" s="133">
        <f>+'3条支出'!N16</f>
        <v>0</v>
      </c>
      <c r="O38" s="132">
        <f>+'3条支出'!O16</f>
        <v>0</v>
      </c>
      <c r="P38" s="132">
        <f>+'3条支出'!P16</f>
        <v>0</v>
      </c>
      <c r="Q38" s="132">
        <f>+'3条支出'!Q16</f>
        <v>376</v>
      </c>
      <c r="R38" s="132">
        <f>+'3条支出'!R16</f>
        <v>22485853</v>
      </c>
      <c r="S38" s="131">
        <f>+'3条支出'!S16</f>
        <v>22486229</v>
      </c>
      <c r="T38" s="134">
        <f>+'3条支出'!T16</f>
        <v>225167795</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6">
    <cfRule type="notContainsBlanks" dxfId="61" priority="4" stopIfTrue="1">
      <formula>LEN(TRIM(AE5))&gt;0</formula>
    </cfRule>
  </conditionalFormatting>
  <conditionalFormatting sqref="AE37:AI38">
    <cfRule type="notContainsBlanks" dxfId="60" priority="5" stopIfTrue="1">
      <formula>LEN(TRIM(AE37))&gt;0</formula>
    </cfRule>
  </conditionalFormatting>
  <conditionalFormatting sqref="Z5:AD29 Z31:AD36">
    <cfRule type="expression" dxfId="59" priority="3">
      <formula>ABS(Z5)=1</formula>
    </cfRule>
  </conditionalFormatting>
  <conditionalFormatting sqref="E39:T39">
    <cfRule type="cellIs" dxfId="58" priority="2" operator="notEqual">
      <formula>0</formula>
    </cfRule>
  </conditionalFormatting>
  <conditionalFormatting sqref="Z30:AD30">
    <cfRule type="expression" dxfId="57"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481</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4</v>
      </c>
      <c r="B5" s="176" t="s">
        <v>480</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4</v>
      </c>
      <c r="B6" s="164" t="s">
        <v>479</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4</v>
      </c>
      <c r="B7" s="164" t="s">
        <v>478</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4</v>
      </c>
      <c r="B8" s="164" t="s">
        <v>477</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4</v>
      </c>
      <c r="B9" s="164" t="s">
        <v>476</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4</v>
      </c>
      <c r="B10" s="164" t="s">
        <v>475</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4</v>
      </c>
      <c r="B11" s="164" t="s">
        <v>474</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4</v>
      </c>
      <c r="B12" s="164" t="s">
        <v>472</v>
      </c>
      <c r="C12" s="163" t="s">
        <v>473</v>
      </c>
      <c r="D12" s="162" t="s">
        <v>98</v>
      </c>
      <c r="E12" s="158">
        <f>+IF($A12="",IF($C12="",SUMIFS(全伝票!I:I,全伝票!$B:$B,$B12),SUMIFS(全伝票!I:I,全伝票!$C:$C,$C12)),IF($C12="",SUMIFS(全伝票!I:I,全伝票!$A:$A,$A12,全伝票!$B:$B,$B12),SUMIFS(全伝票!I:I,全伝票!$A:$A,$A12,全伝票!$C:$C,$C12)))</f>
        <v>2401</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2401</v>
      </c>
      <c r="K12" s="34">
        <f t="shared" si="0"/>
        <v>2401</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218</v>
      </c>
      <c r="S12" s="22">
        <f t="shared" si="5"/>
        <v>218</v>
      </c>
      <c r="T12" s="109">
        <f t="shared" si="6"/>
        <v>2183</v>
      </c>
      <c r="U12" s="107">
        <f t="shared" si="7"/>
        <v>0</v>
      </c>
      <c r="V12" s="107">
        <f t="shared" si="8"/>
        <v>0</v>
      </c>
      <c r="W12" s="107">
        <f t="shared" si="9"/>
        <v>0</v>
      </c>
      <c r="X12" s="107">
        <f t="shared" si="9"/>
        <v>0</v>
      </c>
      <c r="Y12" s="107">
        <f t="shared" si="10"/>
        <v>-0.27272727272728048</v>
      </c>
      <c r="Z12" s="106">
        <f t="shared" si="11"/>
        <v>0</v>
      </c>
      <c r="AA12" s="106">
        <f t="shared" si="12"/>
        <v>0</v>
      </c>
      <c r="AB12" s="106">
        <f t="shared" si="13"/>
        <v>0</v>
      </c>
      <c r="AC12" s="106">
        <f t="shared" si="14"/>
        <v>0</v>
      </c>
      <c r="AD12" s="106">
        <f t="shared" si="15"/>
        <v>0</v>
      </c>
    </row>
    <row r="13" spans="1:35">
      <c r="A13" s="165">
        <v>4</v>
      </c>
      <c r="B13" s="164" t="s">
        <v>472</v>
      </c>
      <c r="C13" s="163" t="s">
        <v>471</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4</v>
      </c>
      <c r="B14" s="164" t="s">
        <v>470</v>
      </c>
      <c r="C14" s="163"/>
      <c r="D14" s="162" t="s">
        <v>93</v>
      </c>
      <c r="E14" s="158">
        <f>+IF($A14="",IF($C14="",SUMIFS(全伝票!I:I,全伝票!$B:$B,$B14),SUMIFS(全伝票!I:I,全伝票!$C:$C,$C14)),IF($C14="",SUMIFS(全伝票!I:I,全伝票!$A:$A,$A14,全伝票!$B:$B,$B14),SUMIFS(全伝票!I:I,全伝票!$A:$A,$A14,全伝票!$C:$C,$C14)))</f>
        <v>36401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1529</v>
      </c>
      <c r="J14" s="159">
        <f>+IF($A14="",IF($C14="",SUMIFS(全伝票!N:N,全伝票!$B:$B,$B14),SUMIFS(全伝票!N:N,全伝票!$C:$C,$C14)),IF($C14="",SUMIFS(全伝票!N:N,全伝票!$A:$A,$A14,全伝票!$B:$B,$B14),SUMIFS(全伝票!N:N,全伝票!$A:$A,$A14,全伝票!$C:$C,$C14)))</f>
        <v>34872</v>
      </c>
      <c r="K14" s="34">
        <f t="shared" si="0"/>
        <v>36401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113</v>
      </c>
      <c r="R14" s="157">
        <f t="shared" si="4"/>
        <v>3170</v>
      </c>
      <c r="S14" s="22">
        <f t="shared" si="5"/>
        <v>3283</v>
      </c>
      <c r="T14" s="109">
        <f t="shared" si="6"/>
        <v>33118</v>
      </c>
      <c r="U14" s="107">
        <f t="shared" si="7"/>
        <v>0</v>
      </c>
      <c r="V14" s="107">
        <f t="shared" si="8"/>
        <v>0</v>
      </c>
      <c r="W14" s="107">
        <f t="shared" si="9"/>
        <v>0</v>
      </c>
      <c r="X14" s="107">
        <f t="shared" si="9"/>
        <v>-0.25925925925925242</v>
      </c>
      <c r="Y14" s="107">
        <f t="shared" si="10"/>
        <v>-0.18181818181801646</v>
      </c>
      <c r="Z14" s="106">
        <f t="shared" si="11"/>
        <v>0</v>
      </c>
      <c r="AA14" s="106">
        <f t="shared" si="12"/>
        <v>0</v>
      </c>
      <c r="AB14" s="106">
        <f t="shared" si="13"/>
        <v>0</v>
      </c>
      <c r="AC14" s="106">
        <f t="shared" si="14"/>
        <v>0</v>
      </c>
      <c r="AD14" s="106">
        <f t="shared" si="15"/>
        <v>0</v>
      </c>
    </row>
    <row r="15" spans="1:35">
      <c r="A15" s="165">
        <v>4</v>
      </c>
      <c r="B15" s="164" t="s">
        <v>469</v>
      </c>
      <c r="C15" s="163"/>
      <c r="D15" s="162" t="s">
        <v>91</v>
      </c>
      <c r="E15" s="158">
        <f>+IF($A15="",IF($C15="",SUMIFS(全伝票!I:I,全伝票!$B:$B,$B15),SUMIFS(全伝票!I:I,全伝票!$C:$C,$C15)),IF($C15="",SUMIFS(全伝票!I:I,全伝票!$A:$A,$A15,全伝票!$B:$B,$B15),SUMIFS(全伝票!I:I,全伝票!$A:$A,$A15,全伝票!$C:$C,$C15)))</f>
        <v>507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507</v>
      </c>
      <c r="K15" s="34">
        <f t="shared" si="0"/>
        <v>507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46</v>
      </c>
      <c r="S15" s="22">
        <f t="shared" si="5"/>
        <v>46</v>
      </c>
      <c r="T15" s="109">
        <f t="shared" si="6"/>
        <v>461</v>
      </c>
      <c r="U15" s="107">
        <f t="shared" si="7"/>
        <v>0</v>
      </c>
      <c r="V15" s="107">
        <f t="shared" si="8"/>
        <v>0</v>
      </c>
      <c r="W15" s="107">
        <f t="shared" si="9"/>
        <v>0</v>
      </c>
      <c r="X15" s="107">
        <f t="shared" si="9"/>
        <v>0</v>
      </c>
      <c r="Y15" s="107">
        <f t="shared" si="10"/>
        <v>-9.0909090909093493E-2</v>
      </c>
      <c r="Z15" s="106">
        <f t="shared" si="11"/>
        <v>0</v>
      </c>
      <c r="AA15" s="106">
        <f t="shared" si="12"/>
        <v>0</v>
      </c>
      <c r="AB15" s="106">
        <f t="shared" si="13"/>
        <v>0</v>
      </c>
      <c r="AC15" s="106">
        <f t="shared" si="14"/>
        <v>0</v>
      </c>
      <c r="AD15" s="106">
        <f t="shared" si="15"/>
        <v>0</v>
      </c>
    </row>
    <row r="16" spans="1:35">
      <c r="A16" s="165">
        <v>4</v>
      </c>
      <c r="B16" s="164" t="s">
        <v>468</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4"/>
        <v>0</v>
      </c>
      <c r="AD16" s="106">
        <f t="shared" si="15"/>
        <v>0</v>
      </c>
    </row>
    <row r="17" spans="1:35">
      <c r="A17" s="165">
        <v>4</v>
      </c>
      <c r="B17" s="164" t="s">
        <v>467</v>
      </c>
      <c r="C17" s="163"/>
      <c r="D17" s="162" t="s">
        <v>87</v>
      </c>
      <c r="E17" s="158">
        <f>+IF($A17="",IF($C17="",SUMIFS(全伝票!I:I,全伝票!$B:$B,$B17),SUMIFS(全伝票!I:I,全伝票!$C:$C,$C17)),IF($C17="",SUMIFS(全伝票!I:I,全伝票!$A:$A,$A17,全伝票!$B:$B,$B17),SUMIFS(全伝票!I:I,全伝票!$A:$A,$A17,全伝票!$C:$C,$C17)))</f>
        <v>249</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249</v>
      </c>
      <c r="K17" s="34">
        <f t="shared" si="0"/>
        <v>249</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23</v>
      </c>
      <c r="S17" s="22">
        <f t="shared" si="5"/>
        <v>23</v>
      </c>
      <c r="T17" s="109">
        <f t="shared" si="6"/>
        <v>226</v>
      </c>
      <c r="U17" s="107">
        <f t="shared" si="7"/>
        <v>0</v>
      </c>
      <c r="V17" s="107">
        <f t="shared" si="8"/>
        <v>0</v>
      </c>
      <c r="W17" s="107">
        <f t="shared" si="9"/>
        <v>0</v>
      </c>
      <c r="X17" s="107">
        <f t="shared" si="9"/>
        <v>0</v>
      </c>
      <c r="Y17" s="107">
        <f t="shared" si="10"/>
        <v>0.36363636363636331</v>
      </c>
      <c r="Z17" s="106">
        <f t="shared" si="11"/>
        <v>0</v>
      </c>
      <c r="AA17" s="106">
        <f t="shared" si="12"/>
        <v>0</v>
      </c>
      <c r="AB17" s="106">
        <f t="shared" si="13"/>
        <v>0</v>
      </c>
      <c r="AC17" s="106">
        <f t="shared" si="14"/>
        <v>0</v>
      </c>
      <c r="AD17" s="106">
        <f t="shared" si="15"/>
        <v>0</v>
      </c>
    </row>
    <row r="18" spans="1:35">
      <c r="A18" s="165">
        <v>4</v>
      </c>
      <c r="B18" s="164" t="s">
        <v>466</v>
      </c>
      <c r="C18" s="163"/>
      <c r="D18" s="162" t="s">
        <v>85</v>
      </c>
      <c r="E18" s="158">
        <f>+IF($A18="",IF($C18="",SUMIFS(全伝票!I:I,全伝票!$B:$B,$B18),SUMIFS(全伝票!I:I,全伝票!$C:$C,$C18)),IF($C18="",SUMIFS(全伝票!I:I,全伝票!$A:$A,$A18,全伝票!$B:$B,$B18),SUMIFS(全伝票!I:I,全伝票!$A:$A,$A18,全伝票!$C:$C,$C18)))</f>
        <v>5444939</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898</v>
      </c>
      <c r="K18" s="34">
        <f t="shared" si="0"/>
        <v>898</v>
      </c>
      <c r="L18" s="158">
        <f>+IF($A18="",IF($C18="",SUMIFS(全伝票!O:O,全伝票!$B:$B,$B18),SUMIFS(全伝票!O:O,全伝票!$C:$C,$C18)),IF($C18="",SUMIFS(全伝票!O:O,全伝票!$A:$A,$A18,全伝票!$B:$B,$B18),SUMIFS(全伝票!O:O,全伝票!$A:$A,$A18,全伝票!$C:$C,$C18)))</f>
        <v>5444041</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82</v>
      </c>
      <c r="S18" s="22">
        <f t="shared" si="5"/>
        <v>82</v>
      </c>
      <c r="T18" s="109">
        <f t="shared" si="6"/>
        <v>5444857</v>
      </c>
      <c r="U18" s="107">
        <f t="shared" si="7"/>
        <v>0</v>
      </c>
      <c r="V18" s="107">
        <f t="shared" si="8"/>
        <v>0</v>
      </c>
      <c r="W18" s="107">
        <f t="shared" si="9"/>
        <v>0</v>
      </c>
      <c r="X18" s="107">
        <f t="shared" si="9"/>
        <v>0</v>
      </c>
      <c r="Y18" s="107">
        <f t="shared" si="10"/>
        <v>0.36363636363635976</v>
      </c>
      <c r="Z18" s="106">
        <f t="shared" si="11"/>
        <v>0</v>
      </c>
      <c r="AA18" s="106">
        <f t="shared" si="12"/>
        <v>0</v>
      </c>
      <c r="AB18" s="106">
        <f t="shared" si="13"/>
        <v>0</v>
      </c>
      <c r="AC18" s="106">
        <f t="shared" si="14"/>
        <v>0</v>
      </c>
      <c r="AD18" s="106">
        <f t="shared" si="15"/>
        <v>0</v>
      </c>
    </row>
    <row r="19" spans="1:35">
      <c r="A19" s="165">
        <v>4</v>
      </c>
      <c r="B19" s="164" t="s">
        <v>465</v>
      </c>
      <c r="C19" s="163"/>
      <c r="D19" s="162" t="s">
        <v>83</v>
      </c>
      <c r="E19" s="158">
        <f>+IF($A19="",IF($C19="",SUMIFS(全伝票!I:I,全伝票!$B:$B,$B19),SUMIFS(全伝票!I:I,全伝票!$C:$C,$C19)),IF($C19="",SUMIFS(全伝票!I:I,全伝票!$A:$A,$A19,全伝票!$B:$B,$B19),SUMIFS(全伝票!I:I,全伝票!$A:$A,$A19,全伝票!$C:$C,$C19)))</f>
        <v>1905</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1765</v>
      </c>
      <c r="K19" s="34">
        <f t="shared" si="0"/>
        <v>1765</v>
      </c>
      <c r="L19" s="158">
        <f>+IF($A19="",IF($C19="",SUMIFS(全伝票!O:O,全伝票!$B:$B,$B19),SUMIFS(全伝票!O:O,全伝票!$C:$C,$C19)),IF($C19="",SUMIFS(全伝票!O:O,全伝票!$A:$A,$A19,全伝票!$B:$B,$B19),SUMIFS(全伝票!O:O,全伝票!$A:$A,$A19,全伝票!$C:$C,$C19)))</f>
        <v>140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160</v>
      </c>
      <c r="S19" s="22">
        <f t="shared" si="5"/>
        <v>160</v>
      </c>
      <c r="T19" s="109">
        <f t="shared" si="6"/>
        <v>1745</v>
      </c>
      <c r="U19" s="107">
        <f t="shared" si="7"/>
        <v>0</v>
      </c>
      <c r="V19" s="107">
        <f t="shared" si="8"/>
        <v>0</v>
      </c>
      <c r="W19" s="107">
        <f t="shared" si="9"/>
        <v>0</v>
      </c>
      <c r="X19" s="107">
        <f t="shared" si="9"/>
        <v>0</v>
      </c>
      <c r="Y19" s="107">
        <f t="shared" si="10"/>
        <v>-0.45454545454546746</v>
      </c>
      <c r="Z19" s="106">
        <f t="shared" si="11"/>
        <v>0</v>
      </c>
      <c r="AA19" s="106">
        <f t="shared" si="12"/>
        <v>0</v>
      </c>
      <c r="AB19" s="106">
        <f t="shared" si="13"/>
        <v>0</v>
      </c>
      <c r="AC19" s="106">
        <f t="shared" si="14"/>
        <v>0</v>
      </c>
      <c r="AD19" s="106">
        <f t="shared" si="15"/>
        <v>0</v>
      </c>
    </row>
    <row r="20" spans="1:35">
      <c r="A20" s="165">
        <v>4</v>
      </c>
      <c r="B20" s="164" t="s">
        <v>464</v>
      </c>
      <c r="C20" s="163"/>
      <c r="D20" s="162" t="s">
        <v>81</v>
      </c>
      <c r="E20" s="158">
        <f>+IF($A20="",IF($C20="",SUMIFS(全伝票!I:I,全伝票!$B:$B,$B20),SUMIFS(全伝票!I:I,全伝票!$C:$C,$C20)),IF($C20="",SUMIFS(全伝票!I:I,全伝票!$A:$A,$A20,全伝票!$B:$B,$B20),SUMIFS(全伝票!I:I,全伝票!$A:$A,$A20,全伝票!$C:$C,$C20)))</f>
        <v>65215024</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65215024</v>
      </c>
      <c r="K20" s="34">
        <f t="shared" si="0"/>
        <v>65215024</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5928638</v>
      </c>
      <c r="S20" s="22">
        <f t="shared" si="5"/>
        <v>5928638</v>
      </c>
      <c r="T20" s="109">
        <f t="shared" si="6"/>
        <v>59286386</v>
      </c>
      <c r="U20" s="107">
        <f t="shared" si="7"/>
        <v>0</v>
      </c>
      <c r="V20" s="107">
        <f t="shared" si="8"/>
        <v>0</v>
      </c>
      <c r="W20" s="107">
        <f t="shared" si="9"/>
        <v>0</v>
      </c>
      <c r="X20" s="107">
        <f t="shared" si="9"/>
        <v>0</v>
      </c>
      <c r="Y20" s="107">
        <f t="shared" si="10"/>
        <v>-0.5454545458778739</v>
      </c>
      <c r="Z20" s="106">
        <f t="shared" si="11"/>
        <v>0</v>
      </c>
      <c r="AA20" s="106">
        <f t="shared" si="12"/>
        <v>0</v>
      </c>
      <c r="AB20" s="106">
        <f t="shared" si="13"/>
        <v>0</v>
      </c>
      <c r="AC20" s="106">
        <f t="shared" si="14"/>
        <v>0</v>
      </c>
      <c r="AD20" s="106">
        <f t="shared" si="15"/>
        <v>0</v>
      </c>
      <c r="AI20" s="2">
        <v>-1</v>
      </c>
    </row>
    <row r="21" spans="1:35">
      <c r="A21" s="165">
        <v>4</v>
      </c>
      <c r="B21" s="164" t="s">
        <v>463</v>
      </c>
      <c r="C21" s="163"/>
      <c r="D21" s="162" t="s">
        <v>79</v>
      </c>
      <c r="E21" s="158">
        <f>+IF($A21="",IF($C21="",SUMIFS(全伝票!I:I,全伝票!$B:$B,$B21),SUMIFS(全伝票!I:I,全伝票!$C:$C,$C21)),IF($C21="",SUMIFS(全伝票!I:I,全伝票!$A:$A,$A21,全伝票!$B:$B,$B21),SUMIFS(全伝票!I:I,全伝票!$A:$A,$A21,全伝票!$C:$C,$C21)))</f>
        <v>4963548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4963548</v>
      </c>
      <c r="K21" s="34">
        <f t="shared" si="0"/>
        <v>4963548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451232</v>
      </c>
      <c r="S21" s="22">
        <f t="shared" si="5"/>
        <v>451232</v>
      </c>
      <c r="T21" s="109">
        <f t="shared" si="6"/>
        <v>4512316</v>
      </c>
      <c r="U21" s="107">
        <f t="shared" si="7"/>
        <v>0</v>
      </c>
      <c r="V21" s="107">
        <f t="shared" si="8"/>
        <v>0</v>
      </c>
      <c r="W21" s="107">
        <f t="shared" si="9"/>
        <v>0</v>
      </c>
      <c r="X21" s="107">
        <f t="shared" si="9"/>
        <v>0</v>
      </c>
      <c r="Y21" s="107">
        <f t="shared" si="10"/>
        <v>0.36363636364694685</v>
      </c>
      <c r="Z21" s="106">
        <f t="shared" si="11"/>
        <v>0</v>
      </c>
      <c r="AA21" s="106">
        <f t="shared" si="12"/>
        <v>0</v>
      </c>
      <c r="AB21" s="106">
        <f t="shared" si="13"/>
        <v>0</v>
      </c>
      <c r="AC21" s="106">
        <f t="shared" si="14"/>
        <v>0</v>
      </c>
      <c r="AD21" s="106">
        <f t="shared" si="15"/>
        <v>0</v>
      </c>
    </row>
    <row r="22" spans="1:35">
      <c r="A22" s="165">
        <v>4</v>
      </c>
      <c r="B22" s="164" t="s">
        <v>462</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4</v>
      </c>
      <c r="B23" s="164" t="s">
        <v>461</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5">
      <c r="A24" s="165">
        <v>4</v>
      </c>
      <c r="B24" s="164" t="s">
        <v>460</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4</v>
      </c>
      <c r="B25" s="164" t="s">
        <v>458</v>
      </c>
      <c r="C25" s="163" t="s">
        <v>459</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5">
      <c r="A26" s="165">
        <v>4</v>
      </c>
      <c r="B26" s="164" t="s">
        <v>458</v>
      </c>
      <c r="C26" s="163" t="s">
        <v>457</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4</v>
      </c>
      <c r="B27" s="164" t="s">
        <v>456</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4</v>
      </c>
      <c r="B28" s="164" t="s">
        <v>455</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4</v>
      </c>
      <c r="B29" s="164" t="s">
        <v>454</v>
      </c>
      <c r="C29" s="163"/>
      <c r="D29" s="162" t="s">
        <v>62</v>
      </c>
      <c r="E29" s="158">
        <f>+IF($A29="",IF($C29="",SUMIFS(全伝票!I:I,全伝票!$B:$B,$B29),SUMIFS(全伝票!I:I,全伝票!$C:$C,$C29)),IF($C29="",SUMIFS(全伝票!I:I,全伝票!$A:$A,$A29,全伝票!$B:$B,$B29),SUMIFS(全伝票!I:I,全伝票!$A:$A,$A29,全伝票!$C:$C,$C29)))</f>
        <v>719709</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696484</v>
      </c>
      <c r="K29" s="34">
        <f t="shared" si="0"/>
        <v>696484</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23225</v>
      </c>
      <c r="N29" s="108">
        <f t="shared" si="1"/>
        <v>0</v>
      </c>
      <c r="O29" s="25">
        <f t="shared" si="3"/>
        <v>0</v>
      </c>
      <c r="P29" s="25">
        <f t="shared" si="2"/>
        <v>0</v>
      </c>
      <c r="Q29" s="157">
        <f t="shared" si="3"/>
        <v>0</v>
      </c>
      <c r="R29" s="157">
        <f t="shared" si="4"/>
        <v>63317</v>
      </c>
      <c r="S29" s="22">
        <f t="shared" si="5"/>
        <v>63317</v>
      </c>
      <c r="T29" s="109">
        <f t="shared" si="6"/>
        <v>656392</v>
      </c>
      <c r="U29" s="107">
        <f t="shared" si="7"/>
        <v>0</v>
      </c>
      <c r="V29" s="107">
        <f t="shared" si="8"/>
        <v>0</v>
      </c>
      <c r="W29" s="107">
        <f t="shared" si="9"/>
        <v>0</v>
      </c>
      <c r="X29" s="107">
        <f t="shared" si="9"/>
        <v>0</v>
      </c>
      <c r="Y29" s="107">
        <f t="shared" si="10"/>
        <v>0.27272727272793418</v>
      </c>
      <c r="Z29" s="106">
        <f t="shared" si="11"/>
        <v>0</v>
      </c>
      <c r="AA29" s="106">
        <f t="shared" si="12"/>
        <v>0</v>
      </c>
      <c r="AB29" s="106">
        <f t="shared" si="13"/>
        <v>0</v>
      </c>
      <c r="AC29" s="106">
        <f t="shared" si="14"/>
        <v>0</v>
      </c>
      <c r="AD29" s="106">
        <f t="shared" si="15"/>
        <v>0</v>
      </c>
    </row>
    <row r="30" spans="1:35">
      <c r="A30" s="165">
        <v>4</v>
      </c>
      <c r="B30" s="164">
        <v>8831936</v>
      </c>
      <c r="C30" s="163"/>
      <c r="D30" s="162" t="s">
        <v>868</v>
      </c>
      <c r="E30" s="158">
        <f>+IF($A30="",IF($C30="",SUMIFS(全伝票!I:I,全伝票!$B:$B,$B30),SUMIFS(全伝票!I:I,全伝票!$C:$C,$C30)),IF($C30="",SUMIFS(全伝票!I:I,全伝票!$A:$A,$A30,全伝票!$B:$B,$B30),SUMIFS(全伝票!I:I,全伝票!$A:$A,$A30,全伝票!$C:$C,$C30)))</f>
        <v>19</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19</v>
      </c>
      <c r="K30" s="34">
        <f t="shared" ref="K30" si="16">SUM(F30:J30)</f>
        <v>19</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v>
      </c>
      <c r="S30" s="22">
        <f t="shared" ref="S30" si="22">SUM(N30:R30)</f>
        <v>2</v>
      </c>
      <c r="T30" s="109">
        <f t="shared" ref="T30" si="23">+E30-S30</f>
        <v>17</v>
      </c>
      <c r="U30" s="107">
        <f t="shared" ref="U30" si="24">N30-F30*F$4/(100+F$4)</f>
        <v>0</v>
      </c>
      <c r="V30" s="107">
        <f t="shared" ref="V30" si="25">O30-G30*G$4/(100+G$4)</f>
        <v>0</v>
      </c>
      <c r="W30" s="107">
        <f t="shared" ref="W30" si="26">P30-H30*H$4/(100+H$4)</f>
        <v>0</v>
      </c>
      <c r="X30" s="107">
        <f t="shared" ref="X30" si="27">Q30-I30*I$4/(100+I$4)</f>
        <v>0</v>
      </c>
      <c r="Y30" s="107">
        <f t="shared" ref="Y30" si="28">R30-J30*J$4/(100+J$4)</f>
        <v>0.27272727272727271</v>
      </c>
      <c r="Z30" s="106">
        <f t="shared" si="11"/>
        <v>0</v>
      </c>
      <c r="AA30" s="106">
        <f t="shared" si="12"/>
        <v>0</v>
      </c>
      <c r="AB30" s="106">
        <f t="shared" si="13"/>
        <v>0</v>
      </c>
      <c r="AC30" s="106">
        <f t="shared" si="14"/>
        <v>0</v>
      </c>
      <c r="AD30" s="106">
        <f t="shared" si="15"/>
        <v>0</v>
      </c>
    </row>
    <row r="31" spans="1:35">
      <c r="A31" s="165">
        <v>4</v>
      </c>
      <c r="B31" s="164" t="s">
        <v>453</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4</v>
      </c>
      <c r="B32" s="164" t="s">
        <v>452</v>
      </c>
      <c r="C32" s="163"/>
      <c r="D32" s="162" t="s">
        <v>58</v>
      </c>
      <c r="E32" s="158">
        <f>+IF($A32="",IF($C32="",SUMIFS(全伝票!I:I,全伝票!$B:$B,$B32),SUMIFS(全伝票!I:I,全伝票!$C:$C,$C32)),IF($C32="",SUMIFS(全伝票!I:I,全伝票!$A:$A,$A32,全伝票!$B:$B,$B32),SUMIFS(全伝票!I:I,全伝票!$A:$A,$A32,全伝票!$C:$C,$C32)))</f>
        <v>3586</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3586</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3586</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4</v>
      </c>
      <c r="B33" s="164" t="s">
        <v>451</v>
      </c>
      <c r="C33" s="163"/>
      <c r="D33" s="162" t="s">
        <v>56</v>
      </c>
      <c r="E33" s="158">
        <f>+IF($A33="",IF($C33="",SUMIFS(全伝票!I:I,全伝票!$B:$B,$B33),SUMIFS(全伝票!I:I,全伝票!$C:$C,$C33)),IF($C33="",SUMIFS(全伝票!I:I,全伝票!$A:$A,$A33,全伝票!$B:$B,$B33),SUMIFS(全伝票!I:I,全伝票!$A:$A,$A33,全伝票!$C:$C,$C33)))</f>
        <v>42</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42</v>
      </c>
      <c r="N33" s="108">
        <f t="shared" si="1"/>
        <v>0</v>
      </c>
      <c r="O33" s="25">
        <f t="shared" si="3"/>
        <v>0</v>
      </c>
      <c r="P33" s="25">
        <f t="shared" si="2"/>
        <v>0</v>
      </c>
      <c r="Q33" s="157">
        <f t="shared" si="3"/>
        <v>0</v>
      </c>
      <c r="R33" s="157">
        <f t="shared" si="4"/>
        <v>0</v>
      </c>
      <c r="S33" s="22">
        <f t="shared" si="5"/>
        <v>0</v>
      </c>
      <c r="T33" s="109">
        <f t="shared" si="6"/>
        <v>42</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4</v>
      </c>
      <c r="B34" s="164" t="s">
        <v>472</v>
      </c>
      <c r="C34" s="163">
        <v>883191003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4</v>
      </c>
      <c r="B35" s="164" t="s">
        <v>449</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4</v>
      </c>
      <c r="B36" s="164" t="s">
        <v>448</v>
      </c>
      <c r="C36" s="163"/>
      <c r="D36" s="162" t="s">
        <v>51</v>
      </c>
      <c r="E36" s="158">
        <f>+IF($A36="",IF($C36="",SUMIFS(全伝票!I:I,全伝票!$B:$B,$B36),SUMIFS(全伝票!I:I,全伝票!$C:$C,$C36)),IF($C36="",SUMIFS(全伝票!I:I,全伝票!$A:$A,$A36,全伝票!$B:$B,$B36),SUMIFS(全伝票!I:I,全伝票!$A:$A,$A36,全伝票!$C:$C,$C36)))</f>
        <v>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0</v>
      </c>
      <c r="N36" s="108">
        <f t="shared" si="1"/>
        <v>0</v>
      </c>
      <c r="O36" s="25">
        <f t="shared" si="3"/>
        <v>0</v>
      </c>
      <c r="P36" s="25">
        <f t="shared" si="2"/>
        <v>0</v>
      </c>
      <c r="Q36" s="157">
        <f t="shared" si="3"/>
        <v>0</v>
      </c>
      <c r="R36" s="157">
        <f t="shared" si="4"/>
        <v>0</v>
      </c>
      <c r="S36" s="22">
        <f t="shared" si="5"/>
        <v>0</v>
      </c>
      <c r="T36" s="109">
        <f t="shared" si="6"/>
        <v>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76388330</v>
      </c>
      <c r="F37" s="152">
        <f t="shared" si="29"/>
        <v>0</v>
      </c>
      <c r="G37" s="151">
        <f t="shared" si="29"/>
        <v>0</v>
      </c>
      <c r="H37" s="151">
        <f t="shared" si="29"/>
        <v>0</v>
      </c>
      <c r="I37" s="150">
        <f t="shared" ref="I37" si="30">SUM(I5:I36)</f>
        <v>1529</v>
      </c>
      <c r="J37" s="150">
        <f t="shared" si="29"/>
        <v>70915767</v>
      </c>
      <c r="K37" s="74">
        <f t="shared" si="29"/>
        <v>70917296</v>
      </c>
      <c r="L37" s="149">
        <f t="shared" si="29"/>
        <v>5447767</v>
      </c>
      <c r="M37" s="149">
        <f t="shared" si="29"/>
        <v>23267</v>
      </c>
      <c r="N37" s="146">
        <f t="shared" si="29"/>
        <v>0</v>
      </c>
      <c r="O37" s="145">
        <f t="shared" si="29"/>
        <v>0</v>
      </c>
      <c r="P37" s="145">
        <f t="shared" si="29"/>
        <v>0</v>
      </c>
      <c r="Q37" s="148">
        <f t="shared" ref="Q37" si="31">SUM(Q5:Q36)</f>
        <v>113</v>
      </c>
      <c r="R37" s="148">
        <f t="shared" si="29"/>
        <v>6446888</v>
      </c>
      <c r="S37" s="144">
        <f t="shared" si="29"/>
        <v>6447001</v>
      </c>
      <c r="T37" s="147">
        <f t="shared" si="29"/>
        <v>69941329</v>
      </c>
      <c r="U37" s="88" t="str">
        <f>+IF(F37=0,"",ROUND(F37*F$4/(100+F$4),7)-N37)</f>
        <v/>
      </c>
      <c r="V37" s="88"/>
      <c r="W37" s="88"/>
      <c r="X37" s="88"/>
      <c r="Y37" s="88"/>
      <c r="Z37" s="88"/>
      <c r="AA37" s="88"/>
      <c r="AB37" s="87"/>
      <c r="AC37" s="87"/>
      <c r="AD37" s="87"/>
    </row>
    <row r="38" spans="1:30">
      <c r="A38" s="143"/>
      <c r="B38" s="142"/>
      <c r="C38" s="141"/>
      <c r="D38" s="140" t="s">
        <v>1</v>
      </c>
      <c r="E38" s="136">
        <f t="shared" ref="E38:J38" si="32">+E37</f>
        <v>76388330</v>
      </c>
      <c r="F38" s="139">
        <f t="shared" si="32"/>
        <v>0</v>
      </c>
      <c r="G38" s="138">
        <f t="shared" si="32"/>
        <v>0</v>
      </c>
      <c r="H38" s="138">
        <f t="shared" si="32"/>
        <v>0</v>
      </c>
      <c r="I38" s="137">
        <f t="shared" si="32"/>
        <v>1529</v>
      </c>
      <c r="J38" s="137">
        <f t="shared" si="32"/>
        <v>70915767</v>
      </c>
      <c r="K38" s="63">
        <f>SUM(F38:J38)</f>
        <v>70917296</v>
      </c>
      <c r="L38" s="136">
        <f>+L37</f>
        <v>5447767</v>
      </c>
      <c r="M38" s="135">
        <f>+M37</f>
        <v>23267</v>
      </c>
      <c r="N38" s="133">
        <f>+'3条支出'!N17</f>
        <v>0</v>
      </c>
      <c r="O38" s="132">
        <f>+'3条支出'!O17</f>
        <v>0</v>
      </c>
      <c r="P38" s="132">
        <f>+'3条支出'!P17</f>
        <v>0</v>
      </c>
      <c r="Q38" s="132">
        <f>+'3条支出'!Q17</f>
        <v>113</v>
      </c>
      <c r="R38" s="132">
        <f>+'3条支出'!R17</f>
        <v>6446888</v>
      </c>
      <c r="S38" s="131">
        <f>+'3条支出'!S17</f>
        <v>6447001</v>
      </c>
      <c r="T38" s="134">
        <f>+'3条支出'!T17</f>
        <v>69941329</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29 AE31:AI36">
    <cfRule type="notContainsBlanks" dxfId="56" priority="5" stopIfTrue="1">
      <formula>LEN(TRIM(AE5))&gt;0</formula>
    </cfRule>
  </conditionalFormatting>
  <conditionalFormatting sqref="AE37:AI38">
    <cfRule type="notContainsBlanks" dxfId="55" priority="6" stopIfTrue="1">
      <formula>LEN(TRIM(AE37))&gt;0</formula>
    </cfRule>
  </conditionalFormatting>
  <conditionalFormatting sqref="Z5:AD29 Z31:AD36">
    <cfRule type="expression" dxfId="54" priority="4">
      <formula>ABS(Z5)=1</formula>
    </cfRule>
  </conditionalFormatting>
  <conditionalFormatting sqref="E39:T39">
    <cfRule type="cellIs" dxfId="53" priority="3" operator="notEqual">
      <formula>0</formula>
    </cfRule>
  </conditionalFormatting>
  <conditionalFormatting sqref="AE30:AI30">
    <cfRule type="notContainsBlanks" dxfId="52" priority="2" stopIfTrue="1">
      <formula>LEN(TRIM(AE30))&gt;0</formula>
    </cfRule>
  </conditionalFormatting>
  <conditionalFormatting sqref="Z30:AD30">
    <cfRule type="expression" dxfId="51"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482</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c r="C5" s="175"/>
      <c r="D5" s="174"/>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0</v>
      </c>
      <c r="N5" s="169">
        <f t="shared" ref="N5:N35" si="1">+ROUND(F5*F$4/(100+F$4),0)+AE5</f>
        <v>0</v>
      </c>
      <c r="O5" s="47">
        <f t="shared" ref="O5:O35" si="2">+ROUND(G5*G$4/(100+G$4),0)+AF5</f>
        <v>0</v>
      </c>
      <c r="P5" s="47">
        <f t="shared" ref="P5:Q35" si="3">+ROUND(H5*H$4/(100+H$4),0)+AG5</f>
        <v>0</v>
      </c>
      <c r="Q5" s="47">
        <f t="shared" si="3"/>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c r="B6" s="164"/>
      <c r="C6" s="163"/>
      <c r="D6" s="162"/>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2"/>
        <v>0</v>
      </c>
      <c r="P6" s="25">
        <f t="shared" si="3"/>
        <v>0</v>
      </c>
      <c r="Q6" s="25">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c r="B7" s="164"/>
      <c r="C7" s="163"/>
      <c r="D7" s="162"/>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2"/>
        <v>0</v>
      </c>
      <c r="P7" s="25">
        <f t="shared" si="3"/>
        <v>0</v>
      </c>
      <c r="Q7" s="25">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c r="B8" s="164"/>
      <c r="C8" s="163"/>
      <c r="D8" s="162"/>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2"/>
        <v>0</v>
      </c>
      <c r="P8" s="25">
        <f t="shared" si="3"/>
        <v>0</v>
      </c>
      <c r="Q8" s="25">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c r="B9" s="164"/>
      <c r="C9" s="163"/>
      <c r="D9" s="162"/>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2"/>
        <v>0</v>
      </c>
      <c r="P9" s="25">
        <f t="shared" si="3"/>
        <v>0</v>
      </c>
      <c r="Q9" s="25">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c r="B10" s="164"/>
      <c r="C10" s="163"/>
      <c r="D10" s="162"/>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1"/>
        <v>0</v>
      </c>
      <c r="O10" s="25">
        <f t="shared" si="2"/>
        <v>0</v>
      </c>
      <c r="P10" s="25">
        <f t="shared" si="3"/>
        <v>0</v>
      </c>
      <c r="Q10" s="25">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c r="B11" s="164"/>
      <c r="C11" s="163"/>
      <c r="D11" s="162"/>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2"/>
        <v>0</v>
      </c>
      <c r="P11" s="25">
        <f t="shared" si="3"/>
        <v>0</v>
      </c>
      <c r="Q11" s="25">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c r="B12" s="164"/>
      <c r="C12" s="163"/>
      <c r="D12" s="162"/>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2"/>
        <v>0</v>
      </c>
      <c r="P12" s="25">
        <f t="shared" si="3"/>
        <v>0</v>
      </c>
      <c r="Q12" s="25">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c r="B13" s="164"/>
      <c r="C13" s="163"/>
      <c r="D13" s="162"/>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60">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2"/>
        <v>0</v>
      </c>
      <c r="P13" s="25">
        <f t="shared" si="3"/>
        <v>0</v>
      </c>
      <c r="Q13" s="25">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c r="B14" s="164">
        <v>6155113</v>
      </c>
      <c r="C14" s="163"/>
      <c r="D14" s="162" t="s">
        <v>93</v>
      </c>
      <c r="E14" s="158">
        <f>+IF($A14="",IF($C14="",SUMIFS(全伝票!I:I,全伝票!$B:$B,$B14),SUMIFS(全伝票!I:I,全伝票!$C:$C,$C14)),IF($C14="",SUMIFS(全伝票!I:I,全伝票!$A:$A,$A14,全伝票!$B:$B,$B14),SUMIFS(全伝票!I:I,全伝票!$A:$A,$A14,全伝票!$C:$C,$C14)))</f>
        <v>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60">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2"/>
        <v>0</v>
      </c>
      <c r="P14" s="25">
        <f t="shared" si="3"/>
        <v>0</v>
      </c>
      <c r="Q14" s="25">
        <f t="shared" si="3"/>
        <v>0</v>
      </c>
      <c r="R14" s="157">
        <f t="shared" si="4"/>
        <v>0</v>
      </c>
      <c r="S14" s="22">
        <f t="shared" si="5"/>
        <v>0</v>
      </c>
      <c r="T14" s="109">
        <f t="shared" si="6"/>
        <v>0</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c r="B15" s="164"/>
      <c r="C15" s="163"/>
      <c r="D15" s="162"/>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60">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0</v>
      </c>
      <c r="K15" s="34">
        <f t="shared" si="0"/>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2"/>
        <v>0</v>
      </c>
      <c r="P15" s="25">
        <f t="shared" si="3"/>
        <v>0</v>
      </c>
      <c r="Q15" s="25">
        <f t="shared" si="3"/>
        <v>0</v>
      </c>
      <c r="R15" s="157">
        <f t="shared" si="4"/>
        <v>0</v>
      </c>
      <c r="S15" s="22">
        <f t="shared" si="5"/>
        <v>0</v>
      </c>
      <c r="T15" s="109">
        <f t="shared" si="6"/>
        <v>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3"/>
        <v>0</v>
      </c>
      <c r="AD15" s="106">
        <f t="shared" si="14"/>
        <v>0</v>
      </c>
    </row>
    <row r="16" spans="1:35">
      <c r="A16" s="165"/>
      <c r="B16" s="164"/>
      <c r="C16" s="163"/>
      <c r="D16" s="162"/>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60">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2"/>
        <v>0</v>
      </c>
      <c r="P16" s="25">
        <f t="shared" si="3"/>
        <v>0</v>
      </c>
      <c r="Q16" s="25">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c r="B17" s="164"/>
      <c r="C17" s="163"/>
      <c r="D17" s="162"/>
      <c r="E17" s="158">
        <f>+IF($A17="",IF($C17="",SUMIFS(全伝票!I:I,全伝票!$B:$B,$B17),SUMIFS(全伝票!I:I,全伝票!$C:$C,$C17)),IF($C17="",SUMIFS(全伝票!I:I,全伝票!$A:$A,$A17,全伝票!$B:$B,$B17),SUMIFS(全伝票!I:I,全伝票!$A:$A,$A17,全伝票!$C:$C,$C17)))</f>
        <v>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60">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0</v>
      </c>
      <c r="K17" s="34">
        <f t="shared" si="0"/>
        <v>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2"/>
        <v>0</v>
      </c>
      <c r="P17" s="25">
        <f t="shared" si="3"/>
        <v>0</v>
      </c>
      <c r="Q17" s="25">
        <f t="shared" si="3"/>
        <v>0</v>
      </c>
      <c r="R17" s="157">
        <f t="shared" si="4"/>
        <v>0</v>
      </c>
      <c r="S17" s="22">
        <f t="shared" si="5"/>
        <v>0</v>
      </c>
      <c r="T17" s="109">
        <f t="shared" si="6"/>
        <v>0</v>
      </c>
      <c r="U17" s="107">
        <f t="shared" si="7"/>
        <v>0</v>
      </c>
      <c r="V17" s="107">
        <f t="shared" si="8"/>
        <v>0</v>
      </c>
      <c r="W17" s="107">
        <f t="shared" si="9"/>
        <v>0</v>
      </c>
      <c r="X17" s="107">
        <f t="shared" si="9"/>
        <v>0</v>
      </c>
      <c r="Y17" s="107">
        <f t="shared" si="10"/>
        <v>0</v>
      </c>
      <c r="Z17" s="106">
        <f t="shared" si="11"/>
        <v>0</v>
      </c>
      <c r="AA17" s="106">
        <f t="shared" si="12"/>
        <v>0</v>
      </c>
      <c r="AB17" s="106">
        <f t="shared" si="13"/>
        <v>0</v>
      </c>
      <c r="AC17" s="106">
        <f t="shared" si="13"/>
        <v>0</v>
      </c>
      <c r="AD17" s="106">
        <f t="shared" si="14"/>
        <v>0</v>
      </c>
    </row>
    <row r="18" spans="1:30">
      <c r="A18" s="165"/>
      <c r="B18" s="164"/>
      <c r="C18" s="163"/>
      <c r="D18" s="162"/>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60">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2"/>
        <v>0</v>
      </c>
      <c r="P18" s="25">
        <f t="shared" si="3"/>
        <v>0</v>
      </c>
      <c r="Q18" s="25">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c r="B19" s="164"/>
      <c r="C19" s="163"/>
      <c r="D19" s="162"/>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60">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2"/>
        <v>0</v>
      </c>
      <c r="P19" s="25">
        <f t="shared" si="3"/>
        <v>0</v>
      </c>
      <c r="Q19" s="25">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c r="B20" s="164"/>
      <c r="C20" s="163"/>
      <c r="D20" s="162"/>
      <c r="E20" s="158">
        <f>+IF($A20="",IF($C20="",SUMIFS(全伝票!I:I,全伝票!$B:$B,$B20),SUMIFS(全伝票!I:I,全伝票!$C:$C,$C20)),IF($C20="",SUMIFS(全伝票!I:I,全伝票!$A:$A,$A20,全伝票!$B:$B,$B20),SUMIFS(全伝票!I:I,全伝票!$A:$A,$A20,全伝票!$C:$C,$C20)))</f>
        <v>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60">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0</v>
      </c>
      <c r="K20" s="34">
        <f t="shared" si="0"/>
        <v>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2"/>
        <v>0</v>
      </c>
      <c r="P20" s="25">
        <f t="shared" si="3"/>
        <v>0</v>
      </c>
      <c r="Q20" s="25">
        <f t="shared" si="3"/>
        <v>0</v>
      </c>
      <c r="R20" s="157">
        <f t="shared" si="4"/>
        <v>0</v>
      </c>
      <c r="S20" s="22">
        <f t="shared" si="5"/>
        <v>0</v>
      </c>
      <c r="T20" s="109">
        <f t="shared" si="6"/>
        <v>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c r="B21" s="164"/>
      <c r="C21" s="163"/>
      <c r="D21" s="162"/>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60">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2"/>
        <v>0</v>
      </c>
      <c r="P21" s="25">
        <f t="shared" si="3"/>
        <v>0</v>
      </c>
      <c r="Q21" s="25">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c r="B22" s="164"/>
      <c r="C22" s="163"/>
      <c r="D22" s="162"/>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60">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2"/>
        <v>0</v>
      </c>
      <c r="P22" s="25">
        <f t="shared" si="3"/>
        <v>0</v>
      </c>
      <c r="Q22" s="25">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c r="B23" s="164">
        <v>6155175</v>
      </c>
      <c r="C23" s="163">
        <v>615517583</v>
      </c>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60">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2"/>
        <v>0</v>
      </c>
      <c r="P23" s="25">
        <f t="shared" si="3"/>
        <v>0</v>
      </c>
      <c r="Q23" s="25">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c r="B24" s="164"/>
      <c r="C24" s="163"/>
      <c r="D24" s="162"/>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60">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2"/>
        <v>0</v>
      </c>
      <c r="P24" s="25">
        <f t="shared" si="3"/>
        <v>0</v>
      </c>
      <c r="Q24" s="25">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c r="B25" s="164"/>
      <c r="C25" s="163"/>
      <c r="D25" s="162"/>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60">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2"/>
        <v>0</v>
      </c>
      <c r="P25" s="25">
        <f t="shared" si="3"/>
        <v>0</v>
      </c>
      <c r="Q25" s="25">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c r="B26" s="164"/>
      <c r="C26" s="163"/>
      <c r="D26" s="162"/>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60">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2"/>
        <v>0</v>
      </c>
      <c r="P26" s="25">
        <f t="shared" si="3"/>
        <v>0</v>
      </c>
      <c r="Q26" s="25">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c r="B27" s="164"/>
      <c r="C27" s="163"/>
      <c r="D27" s="162"/>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60">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2"/>
        <v>0</v>
      </c>
      <c r="P27" s="25">
        <f t="shared" si="3"/>
        <v>0</v>
      </c>
      <c r="Q27" s="25">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c r="B28" s="164"/>
      <c r="C28" s="163"/>
      <c r="D28" s="162"/>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60">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2"/>
        <v>0</v>
      </c>
      <c r="P28" s="25">
        <f t="shared" si="3"/>
        <v>0</v>
      </c>
      <c r="Q28" s="25">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c r="B29" s="164"/>
      <c r="C29" s="163"/>
      <c r="D29" s="162"/>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60">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2"/>
        <v>0</v>
      </c>
      <c r="P29" s="25">
        <f t="shared" si="3"/>
        <v>0</v>
      </c>
      <c r="Q29" s="25">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c r="B30" s="164"/>
      <c r="C30" s="163"/>
      <c r="D30" s="162"/>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60">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2"/>
        <v>0</v>
      </c>
      <c r="P30" s="25">
        <f t="shared" si="3"/>
        <v>0</v>
      </c>
      <c r="Q30" s="25">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c r="B31" s="164"/>
      <c r="C31" s="163"/>
      <c r="D31" s="162"/>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60">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2"/>
        <v>0</v>
      </c>
      <c r="P31" s="25">
        <f t="shared" si="3"/>
        <v>0</v>
      </c>
      <c r="Q31" s="25">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c r="B32" s="164"/>
      <c r="C32" s="163"/>
      <c r="D32" s="162"/>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60">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2"/>
        <v>0</v>
      </c>
      <c r="P32" s="25">
        <f t="shared" si="3"/>
        <v>0</v>
      </c>
      <c r="Q32" s="25">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c r="B33" s="164"/>
      <c r="C33" s="163"/>
      <c r="D33" s="162"/>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60">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2"/>
        <v>0</v>
      </c>
      <c r="P33" s="25">
        <f t="shared" si="3"/>
        <v>0</v>
      </c>
      <c r="Q33" s="25">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c r="B34" s="164"/>
      <c r="C34" s="163"/>
      <c r="D34" s="162"/>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60">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2"/>
        <v>0</v>
      </c>
      <c r="P34" s="25">
        <f t="shared" si="3"/>
        <v>0</v>
      </c>
      <c r="Q34" s="25">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c r="C35" s="163"/>
      <c r="D35" s="162"/>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60">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2"/>
        <v>0</v>
      </c>
      <c r="P35" s="25">
        <f t="shared" si="3"/>
        <v>0</v>
      </c>
      <c r="Q35" s="25">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0</v>
      </c>
      <c r="F36" s="152">
        <f t="shared" si="15"/>
        <v>0</v>
      </c>
      <c r="G36" s="151">
        <f t="shared" si="15"/>
        <v>0</v>
      </c>
      <c r="H36" s="151">
        <f t="shared" si="15"/>
        <v>0</v>
      </c>
      <c r="I36" s="151">
        <f t="shared" ref="I36" si="16">SUM(I5:I35)</f>
        <v>0</v>
      </c>
      <c r="J36" s="150">
        <f t="shared" si="15"/>
        <v>0</v>
      </c>
      <c r="K36" s="74">
        <f t="shared" si="15"/>
        <v>0</v>
      </c>
      <c r="L36" s="149">
        <f t="shared" si="15"/>
        <v>0</v>
      </c>
      <c r="M36" s="149">
        <f t="shared" si="15"/>
        <v>0</v>
      </c>
      <c r="N36" s="146">
        <f t="shared" si="15"/>
        <v>0</v>
      </c>
      <c r="O36" s="145">
        <f t="shared" si="15"/>
        <v>0</v>
      </c>
      <c r="P36" s="145">
        <f t="shared" si="15"/>
        <v>0</v>
      </c>
      <c r="Q36" s="145">
        <f t="shared" ref="Q36" si="17">SUM(Q5:Q35)</f>
        <v>0</v>
      </c>
      <c r="R36" s="148">
        <f t="shared" si="15"/>
        <v>0</v>
      </c>
      <c r="S36" s="144">
        <f t="shared" si="15"/>
        <v>0</v>
      </c>
      <c r="T36" s="147">
        <f t="shared" si="15"/>
        <v>0</v>
      </c>
      <c r="U36" s="88" t="str">
        <f>+IF(F36=0,"",ROUND(F36*F$4/(100+F$4),7)-N36)</f>
        <v/>
      </c>
      <c r="V36" s="88"/>
      <c r="W36" s="88"/>
      <c r="X36" s="88"/>
      <c r="Y36" s="88"/>
      <c r="Z36" s="88"/>
      <c r="AA36" s="88"/>
      <c r="AB36" s="87"/>
      <c r="AC36" s="87"/>
      <c r="AD36" s="87"/>
    </row>
    <row r="37" spans="1:30">
      <c r="A37" s="143"/>
      <c r="B37" s="142"/>
      <c r="C37" s="141"/>
      <c r="D37" s="140" t="s">
        <v>1</v>
      </c>
      <c r="E37" s="136">
        <f t="shared" ref="E37:J37" si="18">+E36</f>
        <v>0</v>
      </c>
      <c r="F37" s="139">
        <f t="shared" si="18"/>
        <v>0</v>
      </c>
      <c r="G37" s="138">
        <f t="shared" si="18"/>
        <v>0</v>
      </c>
      <c r="H37" s="138">
        <f t="shared" si="18"/>
        <v>0</v>
      </c>
      <c r="I37" s="138">
        <f t="shared" si="18"/>
        <v>0</v>
      </c>
      <c r="J37" s="137">
        <f t="shared" si="18"/>
        <v>0</v>
      </c>
      <c r="K37" s="63">
        <f>SUM(F37:J37)</f>
        <v>0</v>
      </c>
      <c r="L37" s="136">
        <f>+L36</f>
        <v>0</v>
      </c>
      <c r="M37" s="135">
        <f>+M36</f>
        <v>0</v>
      </c>
      <c r="N37" s="133">
        <f>+'3条支出'!N18</f>
        <v>0</v>
      </c>
      <c r="O37" s="132">
        <f>+'3条支出'!O18</f>
        <v>0</v>
      </c>
      <c r="P37" s="132">
        <f>+'3条支出'!P18</f>
        <v>0</v>
      </c>
      <c r="Q37" s="132">
        <f>+'3条支出'!Q18</f>
        <v>0</v>
      </c>
      <c r="R37" s="132">
        <f>+'3条支出'!R18</f>
        <v>0</v>
      </c>
      <c r="S37" s="131">
        <f>+'3条支出'!S18</f>
        <v>0</v>
      </c>
      <c r="T37" s="134">
        <f>+'3条支出'!T18</f>
        <v>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L3:L4"/>
    <mergeCell ref="M3:M4"/>
    <mergeCell ref="N3:S3"/>
    <mergeCell ref="T3:T4"/>
    <mergeCell ref="F3:K3"/>
    <mergeCell ref="A3:A4"/>
    <mergeCell ref="B3:B4"/>
    <mergeCell ref="C3:C4"/>
    <mergeCell ref="D3:D4"/>
    <mergeCell ref="E3:E4"/>
  </mergeCells>
  <phoneticPr fontId="3"/>
  <conditionalFormatting sqref="AE36:AI37">
    <cfRule type="notContainsBlanks" dxfId="50" priority="4" stopIfTrue="1">
      <formula>LEN(TRIM(AE36))&gt;0</formula>
    </cfRule>
  </conditionalFormatting>
  <conditionalFormatting sqref="AE5:AI35">
    <cfRule type="notContainsBlanks" dxfId="49" priority="3" stopIfTrue="1">
      <formula>LEN(TRIM(AE5))&gt;0</formula>
    </cfRule>
  </conditionalFormatting>
  <conditionalFormatting sqref="Z5:AD35">
    <cfRule type="expression" dxfId="48" priority="2">
      <formula>ABS(Z5)=1</formula>
    </cfRule>
  </conditionalFormatting>
  <conditionalFormatting sqref="E38:T38">
    <cfRule type="cellIs" dxfId="47" priority="1" operator="notEqual">
      <formula>0</formula>
    </cfRule>
  </conditionalFormatting>
  <pageMargins left="0.39370078740157483" right="0.39370078740157483" top="0.59055118110236227" bottom="0.39370078740157483" header="0.39370078740157483" footer="0.19685039370078741"/>
  <pageSetup paperSize="9" scale="67" orientation="landscape" blackAndWhite="1" r:id="rId1"/>
  <headerFooter>
    <oddFooter>&amp;L&amp;8&amp;Z&amp;F&amp;A&amp;R&amp;8&amp;D&amp;T</oddFooter>
  </headerFooter>
</worksheet>
</file>

<file path=xl/worksheets/w1_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493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127">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c r="C5" s="175">
        <v>883204370</v>
      </c>
      <c r="D5" s="174" t="s">
        <v>492</v>
      </c>
      <c r="E5" s="170">
        <f>+IF($A5="",IF($C5="",SUMIFS(全伝票!I:I,全伝票!$B:$B,$B5),SUMIFS(全伝票!I:I,全伝票!$C:$C,$C5)),IF($C5="",SUMIFS(全伝票!I:I,全伝票!$A:$A,$A5,全伝票!$B:$B,$B5),SUMIFS(全伝票!I:I,全伝票!$A:$A,$A5,全伝票!$C:$C,$C5)))</f>
        <v>765123510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0</v>
      </c>
      <c r="K5" s="112">
        <f t="shared" ref="K5:K14" si="0">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765123510</v>
      </c>
      <c r="N5" s="169">
        <f t="shared" ref="N5:N14" si="1">+ROUND(F5*F$4/(100+F$4),0)+AE5</f>
        <v>0</v>
      </c>
      <c r="O5" s="47">
        <f t="shared" ref="O5:O14" si="2">+ROUND(G5*G$4/(100+G$4),0)+AF5</f>
        <v>0</v>
      </c>
      <c r="P5" s="47">
        <f t="shared" ref="P5:Q14" si="3">+ROUND(H5*H$4/(100+H$4),0)+AG5</f>
        <v>0</v>
      </c>
      <c r="Q5" s="47">
        <f t="shared" si="3"/>
        <v>0</v>
      </c>
      <c r="R5" s="168">
        <f t="shared" ref="R5:R14" si="4">+ROUND(J5*J$4/(100+J$4),0)+AI5</f>
        <v>0</v>
      </c>
      <c r="S5" s="167">
        <f t="shared" ref="S5:S14" si="5">SUM(N5:R5)</f>
        <v>0</v>
      </c>
      <c r="T5" s="166">
        <f t="shared" ref="T5:T14" si="6">+E5-S5</f>
        <v>765123510</v>
      </c>
      <c r="U5" s="107">
        <f t="shared" ref="U5:U14" si="7">N5-F5*F$4/(100+F$4)</f>
        <v>0</v>
      </c>
      <c r="V5" s="107">
        <f t="shared" ref="V5:V14" si="8">O5-G5*G$4/(100+G$4)</f>
        <v>0</v>
      </c>
      <c r="W5" s="107">
        <f t="shared" ref="W5:X14" si="9">P5-H5*H$4/(100+H$4)</f>
        <v>0</v>
      </c>
      <c r="X5" s="107">
        <f t="shared" si="9"/>
        <v>0</v>
      </c>
      <c r="Y5" s="107">
        <f t="shared" ref="Y5:Y14" si="10">R5-J5*J$4/(100+J$4)</f>
        <v>0</v>
      </c>
      <c r="Z5" s="106">
        <f t="shared" ref="Z5:Z14" si="11">+IF(N$38=0,0,IF(N$38&lt;0,-RANK(U5,U$5:U$35,0),RANK(U5,U$5:U$35,1)))</f>
        <v>0</v>
      </c>
      <c r="AA5" s="106">
        <f t="shared" ref="AA5:AA14" si="12">+IF(O$38=0,0,IF(O$38&lt;0,-RANK(V5,V$5:V$35,0),RANK(V5,V$5:V$35,1)))</f>
        <v>0</v>
      </c>
      <c r="AB5" s="106">
        <f t="shared" ref="AB5:AC14" si="13">+IF(P$38=0,0,IF(P$38&lt;0,-RANK(W5,W$5:W$35,0),RANK(W5,W$5:W$35,1)))</f>
        <v>0</v>
      </c>
      <c r="AC5" s="106">
        <f t="shared" si="13"/>
        <v>0</v>
      </c>
      <c r="AD5" s="106">
        <f t="shared" ref="AD5:AD14" si="14">+IF(R$38=0,0,IF(R$38&lt;0,-RANK(Y5,Y$5:Y$35,0),RANK(Y5,Y$5:Y$35,1)))</f>
        <v>0</v>
      </c>
    </row>
    <row r="6" spans="1:35">
      <c r="A6" s="165"/>
      <c r="B6" s="164"/>
      <c r="C6" s="163">
        <v>883204371</v>
      </c>
      <c r="D6" s="162" t="s">
        <v>491</v>
      </c>
      <c r="E6" s="158">
        <f>+IF($A6="",IF($C6="",SUMIFS(全伝票!I:I,全伝票!$B:$B,$B6),SUMIFS(全伝票!I:I,全伝票!$C:$C,$C6)),IF($C6="",SUMIFS(全伝票!I:I,全伝票!$A:$A,$A6,全伝票!$B:$B,$B6),SUMIFS(全伝票!I:I,全伝票!$A:$A,$A6,全伝票!$C:$C,$C6)))</f>
        <v>20697040924</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84">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20697040924</v>
      </c>
      <c r="N6" s="108">
        <f t="shared" si="1"/>
        <v>0</v>
      </c>
      <c r="O6" s="25">
        <f t="shared" si="2"/>
        <v>0</v>
      </c>
      <c r="P6" s="25">
        <f t="shared" si="3"/>
        <v>0</v>
      </c>
      <c r="Q6" s="25">
        <f t="shared" si="3"/>
        <v>0</v>
      </c>
      <c r="R6" s="157">
        <f t="shared" si="4"/>
        <v>0</v>
      </c>
      <c r="S6" s="22">
        <f t="shared" si="5"/>
        <v>0</v>
      </c>
      <c r="T6" s="109">
        <f t="shared" si="6"/>
        <v>20697040924</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c r="B7" s="164"/>
      <c r="C7" s="163">
        <v>883204372</v>
      </c>
      <c r="D7" s="162" t="s">
        <v>490</v>
      </c>
      <c r="E7" s="158">
        <f>+IF($A7="",IF($C7="",SUMIFS(全伝票!I:I,全伝票!$B:$B,$B7),SUMIFS(全伝票!I:I,全伝票!$C:$C,$C7)),IF($C7="",SUMIFS(全伝票!I:I,全伝票!$A:$A,$A7,全伝票!$B:$B,$B7),SUMIFS(全伝票!I:I,全伝票!$A:$A,$A7,全伝票!$C:$C,$C7)))</f>
        <v>4631704397</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4631704397</v>
      </c>
      <c r="N7" s="108">
        <f t="shared" si="1"/>
        <v>0</v>
      </c>
      <c r="O7" s="25">
        <f t="shared" si="2"/>
        <v>0</v>
      </c>
      <c r="P7" s="25">
        <f t="shared" si="3"/>
        <v>0</v>
      </c>
      <c r="Q7" s="25">
        <f t="shared" si="3"/>
        <v>0</v>
      </c>
      <c r="R7" s="157">
        <f t="shared" si="4"/>
        <v>0</v>
      </c>
      <c r="S7" s="22">
        <f t="shared" si="5"/>
        <v>0</v>
      </c>
      <c r="T7" s="109">
        <f t="shared" si="6"/>
        <v>4631704397</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c r="B8" s="164"/>
      <c r="C8" s="163">
        <v>883204373</v>
      </c>
      <c r="D8" s="162" t="s">
        <v>489</v>
      </c>
      <c r="E8" s="158">
        <f>+IF($A8="",IF($C8="",SUMIFS(全伝票!I:I,全伝票!$B:$B,$B8),SUMIFS(全伝票!I:I,全伝票!$C:$C,$C8)),IF($C8="",SUMIFS(全伝票!I:I,全伝票!$A:$A,$A8,全伝票!$B:$B,$B8),SUMIFS(全伝票!I:I,全伝票!$A:$A,$A8,全伝票!$C:$C,$C8)))</f>
        <v>4597053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84">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4597053</v>
      </c>
      <c r="N8" s="108">
        <f t="shared" si="1"/>
        <v>0</v>
      </c>
      <c r="O8" s="25">
        <f t="shared" si="2"/>
        <v>0</v>
      </c>
      <c r="P8" s="25">
        <f t="shared" si="3"/>
        <v>0</v>
      </c>
      <c r="Q8" s="25">
        <f t="shared" si="3"/>
        <v>0</v>
      </c>
      <c r="R8" s="157">
        <f t="shared" si="4"/>
        <v>0</v>
      </c>
      <c r="S8" s="22">
        <f t="shared" si="5"/>
        <v>0</v>
      </c>
      <c r="T8" s="109">
        <f t="shared" si="6"/>
        <v>4597053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c r="B9" s="164"/>
      <c r="C9" s="163">
        <v>883204374</v>
      </c>
      <c r="D9" s="162" t="s">
        <v>488</v>
      </c>
      <c r="E9" s="158">
        <f>+IF($A9="",IF($C9="",SUMIFS(全伝票!I:I,全伝票!$B:$B,$B9),SUMIFS(全伝票!I:I,全伝票!$C:$C,$C9)),IF($C9="",SUMIFS(全伝票!I:I,全伝票!$A:$A,$A9,全伝票!$B:$B,$B9),SUMIFS(全伝票!I:I,全伝票!$A:$A,$A9,全伝票!$C:$C,$C9)))</f>
        <v>5635044</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84">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5635044</v>
      </c>
      <c r="N9" s="108">
        <f t="shared" si="1"/>
        <v>0</v>
      </c>
      <c r="O9" s="25">
        <f t="shared" si="2"/>
        <v>0</v>
      </c>
      <c r="P9" s="25">
        <f t="shared" si="3"/>
        <v>0</v>
      </c>
      <c r="Q9" s="25">
        <f t="shared" si="3"/>
        <v>0</v>
      </c>
      <c r="R9" s="157">
        <f t="shared" si="4"/>
        <v>0</v>
      </c>
      <c r="S9" s="22">
        <f t="shared" si="5"/>
        <v>0</v>
      </c>
      <c r="T9" s="109">
        <f t="shared" si="6"/>
        <v>5635044</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c r="B10" s="164"/>
      <c r="C10" s="163">
        <v>883204475</v>
      </c>
      <c r="D10" s="162" t="s">
        <v>487</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84">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1"/>
        <v>0</v>
      </c>
      <c r="O10" s="25">
        <f t="shared" si="2"/>
        <v>0</v>
      </c>
      <c r="P10" s="25">
        <f t="shared" si="3"/>
        <v>0</v>
      </c>
      <c r="Q10" s="25">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c r="B11" s="164"/>
      <c r="C11" s="163">
        <v>883204476</v>
      </c>
      <c r="D11" s="162" t="s">
        <v>486</v>
      </c>
      <c r="E11" s="158">
        <f>+IF($A11="",IF($C11="",SUMIFS(全伝票!I:I,全伝票!$B:$B,$B11),SUMIFS(全伝票!I:I,全伝票!$C:$C,$C11)),IF($C11="",SUMIFS(全伝票!I:I,全伝票!$A:$A,$A11,全伝票!$B:$B,$B11),SUMIFS(全伝票!I:I,全伝票!$A:$A,$A11,全伝票!$C:$C,$C11)))</f>
        <v>238105</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84">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238105</v>
      </c>
      <c r="N11" s="108">
        <f t="shared" si="1"/>
        <v>0</v>
      </c>
      <c r="O11" s="25">
        <f t="shared" si="2"/>
        <v>0</v>
      </c>
      <c r="P11" s="25">
        <f t="shared" si="3"/>
        <v>0</v>
      </c>
      <c r="Q11" s="25">
        <f t="shared" si="3"/>
        <v>0</v>
      </c>
      <c r="R11" s="157">
        <f t="shared" si="4"/>
        <v>0</v>
      </c>
      <c r="S11" s="22">
        <f t="shared" si="5"/>
        <v>0</v>
      </c>
      <c r="T11" s="109">
        <f t="shared" si="6"/>
        <v>238105</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c r="B12" s="164"/>
      <c r="C12" s="163">
        <v>883204477</v>
      </c>
      <c r="D12" s="162" t="s">
        <v>485</v>
      </c>
      <c r="E12" s="158">
        <f>+IF($A12="",IF($C12="",SUMIFS(全伝票!I:I,全伝票!$B:$B,$B12),SUMIFS(全伝票!I:I,全伝票!$C:$C,$C12)),IF($C12="",SUMIFS(全伝票!I:I,全伝票!$A:$A,$A12,全伝票!$B:$B,$B12),SUMIFS(全伝票!I:I,全伝票!$A:$A,$A12,全伝票!$C:$C,$C12)))</f>
        <v>446892825</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84">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446892825</v>
      </c>
      <c r="N12" s="108">
        <f t="shared" si="1"/>
        <v>0</v>
      </c>
      <c r="O12" s="25">
        <f t="shared" si="2"/>
        <v>0</v>
      </c>
      <c r="P12" s="25">
        <f t="shared" si="3"/>
        <v>0</v>
      </c>
      <c r="Q12" s="25">
        <f t="shared" si="3"/>
        <v>0</v>
      </c>
      <c r="R12" s="157">
        <f t="shared" si="4"/>
        <v>0</v>
      </c>
      <c r="S12" s="22">
        <f t="shared" si="5"/>
        <v>0</v>
      </c>
      <c r="T12" s="109">
        <f t="shared" si="6"/>
        <v>446892825</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c r="B13" s="164"/>
      <c r="C13" s="163">
        <v>883204478</v>
      </c>
      <c r="D13" s="162" t="s">
        <v>484</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60">
        <f>+IF($A13="",IF($C13="",SUMIFS(全伝票!M:M,全伝票!$B:$B,$B13),SUMIFS(全伝票!M:M,全伝票!$C:$C,$C13)),IF($C13="",SUMIFS(全伝票!M:M,全伝票!$A:$A,$A13,全伝票!$B:$B,$B13),SUMIFS(全伝票!M:M,全伝票!$A:$A,$A13,全伝票!$C:$C,$C13)))</f>
        <v>0</v>
      </c>
      <c r="J13" s="184">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2"/>
        <v>0</v>
      </c>
      <c r="P13" s="25">
        <f t="shared" si="3"/>
        <v>0</v>
      </c>
      <c r="Q13" s="25">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c r="B14" s="164"/>
      <c r="C14" s="163">
        <v>883204479</v>
      </c>
      <c r="D14" s="162" t="s">
        <v>483</v>
      </c>
      <c r="E14" s="158">
        <f>+IF($A14="",IF($C14="",SUMIFS(全伝票!I:I,全伝票!$B:$B,$B14),SUMIFS(全伝票!I:I,全伝票!$C:$C,$C14)),IF($C14="",SUMIFS(全伝票!I:I,全伝票!$A:$A,$A14,全伝票!$B:$B,$B14),SUMIFS(全伝票!I:I,全伝票!$A:$A,$A14,全伝票!$C:$C,$C14)))</f>
        <v>210372</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60">
        <f>+IF($A14="",IF($C14="",SUMIFS(全伝票!M:M,全伝票!$B:$B,$B14),SUMIFS(全伝票!M:M,全伝票!$C:$C,$C14)),IF($C14="",SUMIFS(全伝票!M:M,全伝票!$A:$A,$A14,全伝票!$B:$B,$B14),SUMIFS(全伝票!M:M,全伝票!$A:$A,$A14,全伝票!$C:$C,$C14)))</f>
        <v>0</v>
      </c>
      <c r="J14" s="184">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210372</v>
      </c>
      <c r="N14" s="108">
        <f t="shared" si="1"/>
        <v>0</v>
      </c>
      <c r="O14" s="25">
        <f t="shared" si="2"/>
        <v>0</v>
      </c>
      <c r="P14" s="25">
        <f t="shared" si="3"/>
        <v>0</v>
      </c>
      <c r="Q14" s="25">
        <f t="shared" si="3"/>
        <v>0</v>
      </c>
      <c r="R14" s="157">
        <f t="shared" si="4"/>
        <v>0</v>
      </c>
      <c r="S14" s="22">
        <f t="shared" si="5"/>
        <v>0</v>
      </c>
      <c r="T14" s="109">
        <f t="shared" si="6"/>
        <v>210372</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c r="B15" s="164"/>
      <c r="C15" s="163"/>
      <c r="D15" s="162"/>
      <c r="E15" s="183"/>
      <c r="F15" s="108"/>
      <c r="G15" s="25"/>
      <c r="H15" s="25"/>
      <c r="I15" s="25"/>
      <c r="J15" s="22"/>
      <c r="K15" s="34"/>
      <c r="L15" s="183"/>
      <c r="M15" s="183"/>
      <c r="N15" s="108"/>
      <c r="O15" s="25"/>
      <c r="P15" s="25"/>
      <c r="Q15" s="25"/>
      <c r="R15" s="157"/>
      <c r="S15" s="22"/>
      <c r="T15" s="109"/>
      <c r="U15" s="107"/>
      <c r="V15" s="107"/>
      <c r="W15" s="107"/>
      <c r="X15" s="107"/>
      <c r="Y15" s="107"/>
      <c r="Z15" s="106"/>
      <c r="AA15" s="106"/>
      <c r="AB15" s="106"/>
      <c r="AC15" s="106"/>
      <c r="AD15" s="106"/>
    </row>
    <row r="16" spans="1:35">
      <c r="A16" s="165"/>
      <c r="B16" s="164"/>
      <c r="C16" s="163"/>
      <c r="D16" s="162"/>
      <c r="E16" s="183"/>
      <c r="F16" s="108"/>
      <c r="G16" s="25"/>
      <c r="H16" s="25"/>
      <c r="I16" s="25"/>
      <c r="J16" s="22"/>
      <c r="K16" s="34"/>
      <c r="L16" s="183"/>
      <c r="M16" s="183"/>
      <c r="N16" s="108"/>
      <c r="O16" s="25"/>
      <c r="P16" s="25"/>
      <c r="Q16" s="25"/>
      <c r="R16" s="157"/>
      <c r="S16" s="22"/>
      <c r="T16" s="109"/>
      <c r="U16" s="107"/>
      <c r="V16" s="107"/>
      <c r="W16" s="107"/>
      <c r="X16" s="107"/>
      <c r="Y16" s="107"/>
      <c r="Z16" s="106"/>
      <c r="AA16" s="106"/>
      <c r="AB16" s="106"/>
      <c r="AC16" s="106"/>
      <c r="AD16" s="106"/>
    </row>
    <row r="17" spans="1:30">
      <c r="A17" s="165"/>
      <c r="B17" s="164"/>
      <c r="C17" s="163"/>
      <c r="D17" s="162"/>
      <c r="E17" s="183"/>
      <c r="F17" s="108"/>
      <c r="G17" s="25"/>
      <c r="H17" s="25"/>
      <c r="I17" s="25"/>
      <c r="J17" s="22"/>
      <c r="K17" s="34"/>
      <c r="L17" s="183"/>
      <c r="M17" s="183"/>
      <c r="N17" s="108"/>
      <c r="O17" s="25"/>
      <c r="P17" s="25"/>
      <c r="Q17" s="25"/>
      <c r="R17" s="157"/>
      <c r="S17" s="22"/>
      <c r="T17" s="109"/>
      <c r="U17" s="107"/>
      <c r="V17" s="107"/>
      <c r="W17" s="107"/>
      <c r="X17" s="107"/>
      <c r="Y17" s="107"/>
      <c r="Z17" s="106"/>
      <c r="AA17" s="106"/>
      <c r="AB17" s="106"/>
      <c r="AC17" s="106"/>
      <c r="AD17" s="106"/>
    </row>
    <row r="18" spans="1:30">
      <c r="A18" s="165"/>
      <c r="B18" s="164"/>
      <c r="C18" s="163"/>
      <c r="D18" s="162"/>
      <c r="E18" s="183"/>
      <c r="F18" s="108"/>
      <c r="G18" s="25"/>
      <c r="H18" s="25"/>
      <c r="I18" s="25"/>
      <c r="J18" s="22"/>
      <c r="K18" s="34"/>
      <c r="L18" s="183"/>
      <c r="M18" s="183"/>
      <c r="N18" s="108"/>
      <c r="O18" s="25"/>
      <c r="P18" s="25"/>
      <c r="Q18" s="25"/>
      <c r="R18" s="157"/>
      <c r="S18" s="22"/>
      <c r="T18" s="109"/>
      <c r="U18" s="107"/>
      <c r="V18" s="107"/>
      <c r="W18" s="107"/>
      <c r="X18" s="107"/>
      <c r="Y18" s="107"/>
      <c r="Z18" s="106"/>
      <c r="AA18" s="106"/>
      <c r="AB18" s="106"/>
      <c r="AC18" s="106"/>
      <c r="AD18" s="106"/>
    </row>
    <row r="19" spans="1:30">
      <c r="A19" s="165"/>
      <c r="B19" s="164"/>
      <c r="C19" s="163"/>
      <c r="D19" s="162"/>
      <c r="E19" s="183"/>
      <c r="F19" s="108"/>
      <c r="G19" s="25"/>
      <c r="H19" s="25"/>
      <c r="I19" s="25"/>
      <c r="J19" s="22"/>
      <c r="K19" s="34"/>
      <c r="L19" s="183"/>
      <c r="M19" s="183"/>
      <c r="N19" s="108"/>
      <c r="O19" s="25"/>
      <c r="P19" s="25"/>
      <c r="Q19" s="25"/>
      <c r="R19" s="157"/>
      <c r="S19" s="22"/>
      <c r="T19" s="109"/>
      <c r="U19" s="107"/>
      <c r="V19" s="107"/>
      <c r="W19" s="107"/>
      <c r="X19" s="107"/>
      <c r="Y19" s="107"/>
      <c r="Z19" s="106"/>
      <c r="AA19" s="106"/>
      <c r="AB19" s="106"/>
      <c r="AC19" s="106"/>
      <c r="AD19" s="106"/>
    </row>
    <row r="20" spans="1:30">
      <c r="A20" s="165"/>
      <c r="B20" s="164"/>
      <c r="C20" s="163"/>
      <c r="D20" s="162"/>
      <c r="E20" s="183"/>
      <c r="F20" s="108"/>
      <c r="G20" s="25"/>
      <c r="H20" s="25"/>
      <c r="I20" s="25"/>
      <c r="J20" s="22"/>
      <c r="K20" s="34"/>
      <c r="L20" s="183"/>
      <c r="M20" s="183"/>
      <c r="N20" s="108"/>
      <c r="O20" s="25"/>
      <c r="P20" s="25"/>
      <c r="Q20" s="25"/>
      <c r="R20" s="157"/>
      <c r="S20" s="22"/>
      <c r="T20" s="109"/>
      <c r="U20" s="107"/>
      <c r="V20" s="107"/>
      <c r="W20" s="107"/>
      <c r="X20" s="107"/>
      <c r="Y20" s="107"/>
      <c r="Z20" s="106"/>
      <c r="AA20" s="106"/>
      <c r="AB20" s="106"/>
      <c r="AC20" s="106"/>
      <c r="AD20" s="106"/>
    </row>
    <row r="21" spans="1:30">
      <c r="A21" s="165"/>
      <c r="B21" s="164"/>
      <c r="C21" s="163"/>
      <c r="D21" s="162"/>
      <c r="E21" s="183"/>
      <c r="F21" s="108"/>
      <c r="G21" s="25"/>
      <c r="H21" s="25"/>
      <c r="I21" s="25"/>
      <c r="J21" s="22"/>
      <c r="K21" s="34"/>
      <c r="L21" s="183"/>
      <c r="M21" s="183"/>
      <c r="N21" s="108"/>
      <c r="O21" s="25"/>
      <c r="P21" s="25"/>
      <c r="Q21" s="25"/>
      <c r="R21" s="157"/>
      <c r="S21" s="22"/>
      <c r="T21" s="109"/>
      <c r="U21" s="107"/>
      <c r="V21" s="107"/>
      <c r="W21" s="107"/>
      <c r="X21" s="107"/>
      <c r="Y21" s="107"/>
      <c r="Z21" s="106"/>
      <c r="AA21" s="106"/>
      <c r="AB21" s="106"/>
      <c r="AC21" s="106"/>
      <c r="AD21" s="106"/>
    </row>
    <row r="22" spans="1:30">
      <c r="A22" s="165"/>
      <c r="B22" s="164"/>
      <c r="C22" s="163"/>
      <c r="D22" s="162"/>
      <c r="E22" s="183"/>
      <c r="F22" s="108"/>
      <c r="G22" s="25"/>
      <c r="H22" s="25"/>
      <c r="I22" s="25"/>
      <c r="J22" s="22"/>
      <c r="K22" s="34"/>
      <c r="L22" s="183"/>
      <c r="M22" s="183"/>
      <c r="N22" s="108"/>
      <c r="O22" s="25"/>
      <c r="P22" s="25"/>
      <c r="Q22" s="25"/>
      <c r="R22" s="157"/>
      <c r="S22" s="22"/>
      <c r="T22" s="109"/>
      <c r="U22" s="107"/>
      <c r="V22" s="107"/>
      <c r="W22" s="107"/>
      <c r="X22" s="107"/>
      <c r="Y22" s="107"/>
      <c r="Z22" s="106"/>
      <c r="AA22" s="106"/>
      <c r="AB22" s="106"/>
      <c r="AC22" s="106"/>
      <c r="AD22" s="106"/>
    </row>
    <row r="23" spans="1:30">
      <c r="A23" s="165"/>
      <c r="B23" s="164"/>
      <c r="C23" s="163"/>
      <c r="D23" s="162"/>
      <c r="E23" s="183"/>
      <c r="F23" s="108"/>
      <c r="G23" s="25"/>
      <c r="H23" s="25"/>
      <c r="I23" s="25"/>
      <c r="J23" s="22"/>
      <c r="K23" s="34"/>
      <c r="L23" s="183"/>
      <c r="M23" s="183"/>
      <c r="N23" s="108"/>
      <c r="O23" s="25"/>
      <c r="P23" s="25"/>
      <c r="Q23" s="25"/>
      <c r="R23" s="157"/>
      <c r="S23" s="22"/>
      <c r="T23" s="109"/>
      <c r="U23" s="107"/>
      <c r="V23" s="107"/>
      <c r="W23" s="107"/>
      <c r="X23" s="107"/>
      <c r="Y23" s="107"/>
      <c r="Z23" s="106"/>
      <c r="AA23" s="106"/>
      <c r="AB23" s="106"/>
      <c r="AC23" s="106"/>
      <c r="AD23" s="106"/>
    </row>
    <row r="24" spans="1:30">
      <c r="A24" s="165"/>
      <c r="B24" s="164"/>
      <c r="C24" s="163"/>
      <c r="D24" s="162"/>
      <c r="E24" s="183"/>
      <c r="F24" s="108"/>
      <c r="G24" s="25"/>
      <c r="H24" s="25"/>
      <c r="I24" s="25"/>
      <c r="J24" s="22"/>
      <c r="K24" s="34"/>
      <c r="L24" s="183"/>
      <c r="M24" s="183"/>
      <c r="N24" s="108"/>
      <c r="O24" s="25"/>
      <c r="P24" s="25"/>
      <c r="Q24" s="25"/>
      <c r="R24" s="157"/>
      <c r="S24" s="22"/>
      <c r="T24" s="109"/>
      <c r="U24" s="107"/>
      <c r="V24" s="107"/>
      <c r="W24" s="107"/>
      <c r="X24" s="107"/>
      <c r="Y24" s="107"/>
      <c r="Z24" s="106"/>
      <c r="AA24" s="106"/>
      <c r="AB24" s="106"/>
      <c r="AC24" s="106"/>
      <c r="AD24" s="106"/>
    </row>
    <row r="25" spans="1:30">
      <c r="A25" s="165"/>
      <c r="B25" s="164"/>
      <c r="C25" s="163"/>
      <c r="D25" s="162"/>
      <c r="E25" s="183"/>
      <c r="F25" s="108"/>
      <c r="G25" s="25"/>
      <c r="H25" s="25"/>
      <c r="I25" s="25"/>
      <c r="J25" s="22"/>
      <c r="K25" s="34"/>
      <c r="L25" s="183"/>
      <c r="M25" s="183"/>
      <c r="N25" s="108"/>
      <c r="O25" s="25"/>
      <c r="P25" s="25"/>
      <c r="Q25" s="25"/>
      <c r="R25" s="157"/>
      <c r="S25" s="22"/>
      <c r="T25" s="109"/>
      <c r="U25" s="107"/>
      <c r="V25" s="107"/>
      <c r="W25" s="107"/>
      <c r="X25" s="107"/>
      <c r="Y25" s="107"/>
      <c r="Z25" s="106"/>
      <c r="AA25" s="106"/>
      <c r="AB25" s="106"/>
      <c r="AC25" s="106"/>
      <c r="AD25" s="106"/>
    </row>
    <row r="26" spans="1:30">
      <c r="A26" s="165"/>
      <c r="B26" s="164"/>
      <c r="C26" s="163"/>
      <c r="D26" s="162"/>
      <c r="E26" s="183"/>
      <c r="F26" s="108"/>
      <c r="G26" s="25"/>
      <c r="H26" s="25"/>
      <c r="I26" s="25"/>
      <c r="J26" s="22"/>
      <c r="K26" s="34"/>
      <c r="L26" s="183"/>
      <c r="M26" s="183"/>
      <c r="N26" s="108"/>
      <c r="O26" s="25"/>
      <c r="P26" s="25"/>
      <c r="Q26" s="25"/>
      <c r="R26" s="157"/>
      <c r="S26" s="22"/>
      <c r="T26" s="109"/>
      <c r="U26" s="107"/>
      <c r="V26" s="107"/>
      <c r="W26" s="107"/>
      <c r="X26" s="107"/>
      <c r="Y26" s="107"/>
      <c r="Z26" s="106"/>
      <c r="AA26" s="106"/>
      <c r="AB26" s="106"/>
      <c r="AC26" s="106"/>
      <c r="AD26" s="106"/>
    </row>
    <row r="27" spans="1:30">
      <c r="A27" s="165"/>
      <c r="B27" s="164"/>
      <c r="C27" s="163"/>
      <c r="D27" s="162"/>
      <c r="E27" s="183"/>
      <c r="F27" s="108"/>
      <c r="G27" s="25"/>
      <c r="H27" s="25"/>
      <c r="I27" s="25"/>
      <c r="J27" s="22"/>
      <c r="K27" s="34"/>
      <c r="L27" s="183"/>
      <c r="M27" s="183"/>
      <c r="N27" s="108"/>
      <c r="O27" s="25"/>
      <c r="P27" s="25"/>
      <c r="Q27" s="25"/>
      <c r="R27" s="157"/>
      <c r="S27" s="22"/>
      <c r="T27" s="109"/>
      <c r="U27" s="107"/>
      <c r="V27" s="107"/>
      <c r="W27" s="107"/>
      <c r="X27" s="107"/>
      <c r="Y27" s="107"/>
      <c r="Z27" s="106"/>
      <c r="AA27" s="106"/>
      <c r="AB27" s="106"/>
      <c r="AC27" s="106"/>
      <c r="AD27" s="106"/>
    </row>
    <row r="28" spans="1:30">
      <c r="A28" s="165"/>
      <c r="B28" s="164"/>
      <c r="C28" s="163"/>
      <c r="D28" s="162"/>
      <c r="E28" s="183"/>
      <c r="F28" s="108"/>
      <c r="G28" s="25"/>
      <c r="H28" s="25"/>
      <c r="I28" s="25"/>
      <c r="J28" s="22"/>
      <c r="K28" s="34"/>
      <c r="L28" s="183"/>
      <c r="M28" s="183"/>
      <c r="N28" s="108"/>
      <c r="O28" s="25"/>
      <c r="P28" s="25"/>
      <c r="Q28" s="25"/>
      <c r="R28" s="157"/>
      <c r="S28" s="22"/>
      <c r="T28" s="109"/>
      <c r="U28" s="107"/>
      <c r="V28" s="107"/>
      <c r="W28" s="107"/>
      <c r="X28" s="107"/>
      <c r="Y28" s="107"/>
      <c r="Z28" s="106"/>
      <c r="AA28" s="106"/>
      <c r="AB28" s="106"/>
      <c r="AC28" s="106"/>
      <c r="AD28" s="106"/>
    </row>
    <row r="29" spans="1:30">
      <c r="A29" s="165"/>
      <c r="B29" s="164"/>
      <c r="C29" s="163"/>
      <c r="D29" s="162"/>
      <c r="E29" s="183"/>
      <c r="F29" s="108"/>
      <c r="G29" s="25"/>
      <c r="H29" s="25"/>
      <c r="I29" s="25"/>
      <c r="J29" s="22"/>
      <c r="K29" s="34"/>
      <c r="L29" s="183"/>
      <c r="M29" s="183"/>
      <c r="N29" s="108"/>
      <c r="O29" s="25"/>
      <c r="P29" s="25"/>
      <c r="Q29" s="25"/>
      <c r="R29" s="157"/>
      <c r="S29" s="22"/>
      <c r="T29" s="109"/>
      <c r="U29" s="107"/>
      <c r="V29" s="107"/>
      <c r="W29" s="107"/>
      <c r="X29" s="107"/>
      <c r="Y29" s="107"/>
      <c r="Z29" s="106"/>
      <c r="AA29" s="106"/>
      <c r="AB29" s="106"/>
      <c r="AC29" s="106"/>
      <c r="AD29" s="106"/>
    </row>
    <row r="30" spans="1:30">
      <c r="A30" s="165"/>
      <c r="B30" s="164"/>
      <c r="C30" s="163"/>
      <c r="D30" s="162"/>
      <c r="E30" s="183"/>
      <c r="F30" s="108"/>
      <c r="G30" s="25"/>
      <c r="H30" s="25"/>
      <c r="I30" s="25"/>
      <c r="J30" s="22"/>
      <c r="K30" s="34"/>
      <c r="L30" s="183"/>
      <c r="M30" s="183"/>
      <c r="N30" s="108"/>
      <c r="O30" s="25"/>
      <c r="P30" s="25"/>
      <c r="Q30" s="25"/>
      <c r="R30" s="157"/>
      <c r="S30" s="22"/>
      <c r="T30" s="109"/>
      <c r="U30" s="107"/>
      <c r="V30" s="107"/>
      <c r="W30" s="107"/>
      <c r="X30" s="107"/>
      <c r="Y30" s="107"/>
      <c r="Z30" s="106"/>
      <c r="AA30" s="106"/>
      <c r="AB30" s="106"/>
      <c r="AC30" s="106"/>
      <c r="AD30" s="106"/>
    </row>
    <row r="31" spans="1:30">
      <c r="A31" s="165"/>
      <c r="B31" s="164"/>
      <c r="C31" s="163"/>
      <c r="D31" s="162"/>
      <c r="E31" s="183"/>
      <c r="F31" s="108"/>
      <c r="G31" s="25"/>
      <c r="H31" s="25"/>
      <c r="I31" s="25"/>
      <c r="J31" s="22"/>
      <c r="K31" s="34"/>
      <c r="L31" s="183"/>
      <c r="M31" s="183"/>
      <c r="N31" s="108"/>
      <c r="O31" s="25"/>
      <c r="P31" s="25"/>
      <c r="Q31" s="25"/>
      <c r="R31" s="157"/>
      <c r="S31" s="22"/>
      <c r="T31" s="109"/>
      <c r="U31" s="107"/>
      <c r="V31" s="107"/>
      <c r="W31" s="107"/>
      <c r="X31" s="107"/>
      <c r="Y31" s="107"/>
      <c r="Z31" s="106"/>
      <c r="AA31" s="106"/>
      <c r="AB31" s="106"/>
      <c r="AC31" s="106"/>
      <c r="AD31" s="106"/>
    </row>
    <row r="32" spans="1:30">
      <c r="A32" s="165"/>
      <c r="B32" s="164"/>
      <c r="C32" s="163"/>
      <c r="D32" s="162"/>
      <c r="E32" s="183"/>
      <c r="F32" s="108"/>
      <c r="G32" s="25"/>
      <c r="H32" s="25"/>
      <c r="I32" s="25"/>
      <c r="J32" s="22"/>
      <c r="K32" s="34"/>
      <c r="L32" s="183"/>
      <c r="M32" s="183"/>
      <c r="N32" s="108"/>
      <c r="O32" s="25"/>
      <c r="P32" s="25"/>
      <c r="Q32" s="25"/>
      <c r="R32" s="157"/>
      <c r="S32" s="22"/>
      <c r="T32" s="109"/>
      <c r="U32" s="107"/>
      <c r="V32" s="107"/>
      <c r="W32" s="107"/>
      <c r="X32" s="107"/>
      <c r="Y32" s="107"/>
      <c r="Z32" s="106"/>
      <c r="AA32" s="106"/>
      <c r="AB32" s="106"/>
      <c r="AC32" s="106"/>
      <c r="AD32" s="106"/>
    </row>
    <row r="33" spans="1:30">
      <c r="A33" s="165"/>
      <c r="B33" s="164"/>
      <c r="C33" s="163"/>
      <c r="D33" s="162"/>
      <c r="E33" s="183"/>
      <c r="F33" s="108"/>
      <c r="G33" s="25"/>
      <c r="H33" s="25"/>
      <c r="I33" s="25"/>
      <c r="J33" s="22"/>
      <c r="K33" s="34"/>
      <c r="L33" s="183"/>
      <c r="M33" s="183"/>
      <c r="N33" s="108"/>
      <c r="O33" s="25"/>
      <c r="P33" s="25"/>
      <c r="Q33" s="25"/>
      <c r="R33" s="157"/>
      <c r="S33" s="22"/>
      <c r="T33" s="109"/>
      <c r="U33" s="107"/>
      <c r="V33" s="107"/>
      <c r="W33" s="107"/>
      <c r="X33" s="107"/>
      <c r="Y33" s="107"/>
      <c r="Z33" s="106"/>
      <c r="AA33" s="106"/>
      <c r="AB33" s="106"/>
      <c r="AC33" s="106"/>
      <c r="AD33" s="106"/>
    </row>
    <row r="34" spans="1:30">
      <c r="A34" s="165"/>
      <c r="B34" s="164"/>
      <c r="C34" s="163"/>
      <c r="D34" s="162"/>
      <c r="E34" s="183"/>
      <c r="F34" s="108"/>
      <c r="G34" s="25"/>
      <c r="H34" s="25"/>
      <c r="I34" s="25"/>
      <c r="J34" s="22"/>
      <c r="K34" s="34"/>
      <c r="L34" s="183"/>
      <c r="M34" s="183"/>
      <c r="N34" s="108"/>
      <c r="O34" s="25"/>
      <c r="P34" s="25"/>
      <c r="Q34" s="25"/>
      <c r="R34" s="157"/>
      <c r="S34" s="22"/>
      <c r="T34" s="109"/>
      <c r="U34" s="107"/>
      <c r="V34" s="107"/>
      <c r="W34" s="107"/>
      <c r="X34" s="107"/>
      <c r="Y34" s="107"/>
      <c r="Z34" s="106"/>
      <c r="AA34" s="106"/>
      <c r="AB34" s="106"/>
      <c r="AC34" s="106"/>
      <c r="AD34" s="106"/>
    </row>
    <row r="35" spans="1:30" ht="14.25" thickBot="1">
      <c r="A35" s="165"/>
      <c r="B35" s="164"/>
      <c r="C35" s="163"/>
      <c r="D35" s="162"/>
      <c r="E35" s="183"/>
      <c r="F35" s="108"/>
      <c r="G35" s="25"/>
      <c r="H35" s="25"/>
      <c r="I35" s="25"/>
      <c r="J35" s="22"/>
      <c r="K35" s="34"/>
      <c r="L35" s="183"/>
      <c r="M35" s="183"/>
      <c r="N35" s="108"/>
      <c r="O35" s="25"/>
      <c r="P35" s="25"/>
      <c r="Q35" s="25"/>
      <c r="R35" s="157"/>
      <c r="S35" s="22"/>
      <c r="T35" s="109"/>
      <c r="U35" s="107"/>
      <c r="V35" s="107"/>
      <c r="W35" s="107"/>
      <c r="X35" s="107"/>
      <c r="Y35" s="107"/>
      <c r="Z35" s="106"/>
      <c r="AA35" s="106"/>
      <c r="AB35" s="106"/>
      <c r="AC35" s="106"/>
      <c r="AD35" s="106"/>
    </row>
    <row r="36" spans="1:30" ht="14.25" thickTop="1">
      <c r="A36" s="156"/>
      <c r="B36" s="155"/>
      <c r="C36" s="154"/>
      <c r="D36" s="153" t="s">
        <v>2</v>
      </c>
      <c r="E36" s="149">
        <f t="shared" ref="E36:T36" si="15">SUM(E5:E35)</f>
        <v>26551442230</v>
      </c>
      <c r="F36" s="152">
        <f t="shared" si="15"/>
        <v>0</v>
      </c>
      <c r="G36" s="151">
        <f t="shared" si="15"/>
        <v>0</v>
      </c>
      <c r="H36" s="151">
        <f t="shared" si="15"/>
        <v>0</v>
      </c>
      <c r="I36" s="151">
        <f t="shared" ref="I36" si="16">SUM(I5:I35)</f>
        <v>0</v>
      </c>
      <c r="J36" s="182">
        <f t="shared" si="15"/>
        <v>0</v>
      </c>
      <c r="K36" s="74">
        <f t="shared" si="15"/>
        <v>0</v>
      </c>
      <c r="L36" s="149">
        <f t="shared" si="15"/>
        <v>0</v>
      </c>
      <c r="M36" s="149">
        <f t="shared" si="15"/>
        <v>26551442230</v>
      </c>
      <c r="N36" s="146">
        <f t="shared" si="15"/>
        <v>0</v>
      </c>
      <c r="O36" s="145">
        <f t="shared" si="15"/>
        <v>0</v>
      </c>
      <c r="P36" s="145">
        <f t="shared" si="15"/>
        <v>0</v>
      </c>
      <c r="Q36" s="145">
        <f t="shared" ref="Q36" si="17">SUM(Q5:Q35)</f>
        <v>0</v>
      </c>
      <c r="R36" s="148">
        <f t="shared" si="15"/>
        <v>0</v>
      </c>
      <c r="S36" s="144">
        <f t="shared" si="15"/>
        <v>0</v>
      </c>
      <c r="T36" s="147">
        <f t="shared" si="15"/>
        <v>26551442230</v>
      </c>
      <c r="U36" s="88" t="str">
        <f>+IF(F36=0,"",ROUND(F36*F$4/(100+F$4),7)-N36)</f>
        <v/>
      </c>
      <c r="V36" s="88"/>
      <c r="W36" s="88"/>
      <c r="X36" s="88"/>
      <c r="Y36" s="88"/>
      <c r="Z36" s="88"/>
      <c r="AA36" s="88"/>
      <c r="AB36" s="87"/>
      <c r="AC36" s="87"/>
      <c r="AD36" s="87"/>
    </row>
    <row r="37" spans="1:30">
      <c r="A37" s="143"/>
      <c r="B37" s="142"/>
      <c r="C37" s="141"/>
      <c r="D37" s="140" t="s">
        <v>1</v>
      </c>
      <c r="E37" s="136">
        <f t="shared" ref="E37:J37" si="18">+E36</f>
        <v>26551442230</v>
      </c>
      <c r="F37" s="139">
        <f t="shared" si="18"/>
        <v>0</v>
      </c>
      <c r="G37" s="138">
        <f t="shared" si="18"/>
        <v>0</v>
      </c>
      <c r="H37" s="138">
        <f t="shared" si="18"/>
        <v>0</v>
      </c>
      <c r="I37" s="138">
        <f t="shared" si="18"/>
        <v>0</v>
      </c>
      <c r="J37" s="181">
        <f t="shared" si="18"/>
        <v>0</v>
      </c>
      <c r="K37" s="63">
        <f>SUM(F37:J37)</f>
        <v>0</v>
      </c>
      <c r="L37" s="136">
        <f>+L36</f>
        <v>0</v>
      </c>
      <c r="M37" s="135">
        <f>+M36</f>
        <v>26551442230</v>
      </c>
      <c r="N37" s="133">
        <f>+'3条支出'!N19</f>
        <v>0</v>
      </c>
      <c r="O37" s="132">
        <f>+'3条支出'!O19</f>
        <v>0</v>
      </c>
      <c r="P37" s="132">
        <f>+'3条支出'!P19</f>
        <v>0</v>
      </c>
      <c r="Q37" s="132">
        <f>+'3条支出'!Q19</f>
        <v>0</v>
      </c>
      <c r="R37" s="132">
        <f>+'3条支出'!R19</f>
        <v>0</v>
      </c>
      <c r="S37" s="131">
        <f>+'3条支出'!S19</f>
        <v>0</v>
      </c>
      <c r="T37" s="134">
        <f>+'3条支出'!T19</f>
        <v>26551442230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46" priority="4" stopIfTrue="1">
      <formula>LEN(TRIM(AE36))&gt;0</formula>
    </cfRule>
  </conditionalFormatting>
  <conditionalFormatting sqref="AE5:AI35">
    <cfRule type="notContainsBlanks" dxfId="45" priority="3" stopIfTrue="1">
      <formula>LEN(TRIM(AE5))&gt;0</formula>
    </cfRule>
  </conditionalFormatting>
  <conditionalFormatting sqref="Z5:AD35">
    <cfRule type="expression" dxfId="44" priority="2">
      <formula>ABS(Z5)=1</formula>
    </cfRule>
  </conditionalFormatting>
  <conditionalFormatting sqref="E38:T38">
    <cfRule type="cellIs" dxfId="4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election activeCell="E30" sqref="E30"/>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496</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127">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v>8832246</v>
      </c>
      <c r="C5" s="175"/>
      <c r="D5" s="174" t="s">
        <v>495</v>
      </c>
      <c r="E5" s="170">
        <f>+IF($A5="",IF($C5="",SUMIFS(全伝票!I:I,全伝票!$B:$B,$B5),SUMIFS(全伝票!I:I,全伝票!$C:$C,$C5)),IF($C5="",SUMIFS(全伝票!I:I,全伝票!$A:$A,$A5,全伝票!$B:$B,$B5),SUMIFS(全伝票!I:I,全伝票!$A:$A,$A5,全伝票!$C:$C,$C5)))</f>
        <v>503761871</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0</v>
      </c>
      <c r="K5" s="112">
        <f>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503761871</v>
      </c>
      <c r="N5" s="169">
        <f>+ROUND(F5*F$4/(100+F$4),0)+AE5</f>
        <v>0</v>
      </c>
      <c r="O5" s="47">
        <f>+ROUND(G5*G$4/(100+G$4),0)+AF5</f>
        <v>0</v>
      </c>
      <c r="P5" s="47">
        <f>+ROUND(H5*H$4/(100+H$4),0)+AG5</f>
        <v>0</v>
      </c>
      <c r="Q5" s="47">
        <f>+ROUND(I5*I$4/(100+I$4),0)+AH5</f>
        <v>0</v>
      </c>
      <c r="R5" s="168">
        <f>+ROUND(J5*J$4/(100+J$4),0)+AI5</f>
        <v>0</v>
      </c>
      <c r="S5" s="167">
        <f>SUM(N5:R5)</f>
        <v>0</v>
      </c>
      <c r="T5" s="166">
        <f>+E5-S5</f>
        <v>503761871</v>
      </c>
      <c r="U5" s="107">
        <f>N5-F5*F$4/(100+F$4)</f>
        <v>0</v>
      </c>
      <c r="V5" s="107">
        <f>O5-G5*G$4/(100+G$4)</f>
        <v>0</v>
      </c>
      <c r="W5" s="107">
        <f>P5-H5*H$4/(100+H$4)</f>
        <v>0</v>
      </c>
      <c r="X5" s="107">
        <f>Q5-I5*I$4/(100+I$4)</f>
        <v>0</v>
      </c>
      <c r="Y5" s="107">
        <f>R5-J5*J$4/(100+J$4)</f>
        <v>0</v>
      </c>
      <c r="Z5" s="106">
        <f>+IF(N$38=0,0,IF(N$38&lt;0,-RANK(U5,U$5:U$35,0),RANK(U5,U$5:U$35,1)))</f>
        <v>0</v>
      </c>
      <c r="AA5" s="106">
        <f>+IF(O$38=0,0,IF(O$38&lt;0,-RANK(V5,V$5:V$35,0),RANK(V5,V$5:V$35,1)))</f>
        <v>0</v>
      </c>
      <c r="AB5" s="106">
        <f>+IF(P$38=0,0,IF(P$38&lt;0,-RANK(W5,W$5:W$35,0),RANK(W5,W$5:W$35,1)))</f>
        <v>0</v>
      </c>
      <c r="AC5" s="106">
        <f>+IF(Q$38=0,0,IF(Q$38&lt;0,-RANK(X5,X$5:X$35,0),RANK(X5,X$5:X$35,1)))</f>
        <v>0</v>
      </c>
      <c r="AD5" s="106">
        <f>+IF(R$38=0,0,IF(R$38&lt;0,-RANK(Y5,Y$5:Y$35,0),RANK(Y5,Y$5:Y$35,1)))</f>
        <v>0</v>
      </c>
    </row>
    <row r="6" spans="1:35">
      <c r="A6" s="165"/>
      <c r="B6" s="164"/>
      <c r="C6" s="163"/>
      <c r="D6" s="162"/>
      <c r="E6" s="183"/>
      <c r="F6" s="108"/>
      <c r="G6" s="25"/>
      <c r="H6" s="25"/>
      <c r="I6" s="25"/>
      <c r="J6" s="22"/>
      <c r="K6" s="34"/>
      <c r="L6" s="183"/>
      <c r="M6" s="183"/>
      <c r="N6" s="108"/>
      <c r="O6" s="25"/>
      <c r="P6" s="25"/>
      <c r="Q6" s="25"/>
      <c r="R6" s="157"/>
      <c r="S6" s="22"/>
      <c r="T6" s="109"/>
      <c r="U6" s="107"/>
      <c r="V6" s="107"/>
      <c r="W6" s="107"/>
      <c r="X6" s="107"/>
      <c r="Y6" s="107"/>
      <c r="Z6" s="106"/>
      <c r="AA6" s="106"/>
      <c r="AB6" s="106"/>
      <c r="AC6" s="106"/>
      <c r="AD6" s="106"/>
    </row>
    <row r="7" spans="1:35">
      <c r="A7" s="165"/>
      <c r="B7" s="164">
        <v>8832247</v>
      </c>
      <c r="C7" s="163"/>
      <c r="D7" s="162" t="s">
        <v>494</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34">
        <f>SUM(F7:J7)</f>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+ROUND(F7*F$4/(100+F$4),0)+AE7</f>
        <v>0</v>
      </c>
      <c r="O7" s="25">
        <f>+ROUND(G7*G$4/(100+G$4),0)+AF7</f>
        <v>0</v>
      </c>
      <c r="P7" s="25">
        <f>+ROUND(H7*H$4/(100+H$4),0)+AG7</f>
        <v>0</v>
      </c>
      <c r="Q7" s="25">
        <f>+ROUND(I7*I$4/(100+I$4),0)+AH7</f>
        <v>0</v>
      </c>
      <c r="R7" s="157">
        <f>+ROUND(J7*J$4/(100+J$4),0)+AI7</f>
        <v>0</v>
      </c>
      <c r="S7" s="22">
        <f>SUM(N7:R7)</f>
        <v>0</v>
      </c>
      <c r="T7" s="109">
        <f>+E7-S7</f>
        <v>0</v>
      </c>
      <c r="U7" s="107">
        <f>N7-F7*F$4/(100+F$4)</f>
        <v>0</v>
      </c>
      <c r="V7" s="107">
        <f>O7-G7*G$4/(100+G$4)</f>
        <v>0</v>
      </c>
      <c r="W7" s="107">
        <f>P7-H7*H$4/(100+H$4)</f>
        <v>0</v>
      </c>
      <c r="X7" s="107">
        <f>Q7-I7*I$4/(100+I$4)</f>
        <v>0</v>
      </c>
      <c r="Y7" s="107">
        <f>R7-J7*J$4/(100+J$4)</f>
        <v>0</v>
      </c>
      <c r="Z7" s="106">
        <f>+IF(N$38=0,0,IF(N$38&lt;0,-RANK(U7,U$5:U$35,0),RANK(U7,U$5:U$35,1)))</f>
        <v>0</v>
      </c>
      <c r="AA7" s="106">
        <f>+IF(O$38=0,0,IF(O$38&lt;0,-RANK(V7,V$5:V$35,0),RANK(V7,V$5:V$35,1)))</f>
        <v>0</v>
      </c>
      <c r="AB7" s="106">
        <f>+IF(P$38=0,0,IF(P$38&lt;0,-RANK(W7,W$5:W$35,0),RANK(W7,W$5:W$35,1)))</f>
        <v>0</v>
      </c>
      <c r="AC7" s="106">
        <f>+IF(Q$38=0,0,IF(Q$38&lt;0,-RANK(X7,X$5:X$35,0),RANK(X7,X$5:X$35,1)))</f>
        <v>0</v>
      </c>
      <c r="AD7" s="106">
        <f>+IF(R$38=0,0,IF(R$38&lt;0,-RANK(Y7,Y$5:Y$35,0),RANK(Y7,Y$5:Y$35,1)))</f>
        <v>0</v>
      </c>
    </row>
    <row r="8" spans="1:35">
      <c r="A8" s="165"/>
      <c r="B8" s="164"/>
      <c r="C8" s="163"/>
      <c r="D8" s="162"/>
      <c r="E8" s="183"/>
      <c r="F8" s="108"/>
      <c r="G8" s="25"/>
      <c r="H8" s="25"/>
      <c r="I8" s="25"/>
      <c r="J8" s="22"/>
      <c r="K8" s="34"/>
      <c r="L8" s="183"/>
      <c r="M8" s="183"/>
      <c r="N8" s="108"/>
      <c r="O8" s="25"/>
      <c r="P8" s="25"/>
      <c r="Q8" s="25"/>
      <c r="R8" s="157"/>
      <c r="S8" s="22"/>
      <c r="T8" s="109"/>
      <c r="U8" s="107"/>
      <c r="V8" s="107"/>
      <c r="W8" s="107"/>
      <c r="X8" s="107"/>
      <c r="Y8" s="107"/>
      <c r="Z8" s="106"/>
      <c r="AA8" s="106"/>
      <c r="AB8" s="106"/>
      <c r="AC8" s="106"/>
      <c r="AD8" s="106"/>
    </row>
    <row r="9" spans="1:35">
      <c r="A9" s="165"/>
      <c r="B9" s="164"/>
      <c r="C9" s="163"/>
      <c r="D9" s="162"/>
      <c r="E9" s="183"/>
      <c r="F9" s="108"/>
      <c r="G9" s="25"/>
      <c r="H9" s="25"/>
      <c r="I9" s="25"/>
      <c r="J9" s="22"/>
      <c r="K9" s="34"/>
      <c r="L9" s="183"/>
      <c r="M9" s="183"/>
      <c r="N9" s="108"/>
      <c r="O9" s="25"/>
      <c r="P9" s="25"/>
      <c r="Q9" s="25"/>
      <c r="R9" s="157"/>
      <c r="S9" s="22"/>
      <c r="T9" s="109"/>
      <c r="U9" s="107"/>
      <c r="V9" s="107"/>
      <c r="W9" s="107"/>
      <c r="X9" s="107"/>
      <c r="Y9" s="107"/>
      <c r="Z9" s="106"/>
      <c r="AA9" s="106"/>
      <c r="AB9" s="106"/>
      <c r="AC9" s="106"/>
      <c r="AD9" s="106"/>
    </row>
    <row r="10" spans="1:35">
      <c r="A10" s="165"/>
      <c r="B10" s="164"/>
      <c r="C10" s="163"/>
      <c r="D10" s="162"/>
      <c r="E10" s="183"/>
      <c r="F10" s="108"/>
      <c r="G10" s="25"/>
      <c r="H10" s="25"/>
      <c r="I10" s="25"/>
      <c r="J10" s="22"/>
      <c r="K10" s="34"/>
      <c r="L10" s="183"/>
      <c r="M10" s="183"/>
      <c r="N10" s="108"/>
      <c r="O10" s="25"/>
      <c r="P10" s="25"/>
      <c r="Q10" s="25"/>
      <c r="R10" s="157"/>
      <c r="S10" s="22"/>
      <c r="T10" s="109"/>
      <c r="U10" s="107"/>
      <c r="V10" s="107"/>
      <c r="W10" s="107"/>
      <c r="X10" s="107"/>
      <c r="Y10" s="107"/>
      <c r="Z10" s="106"/>
      <c r="AA10" s="106"/>
      <c r="AB10" s="106"/>
      <c r="AC10" s="106"/>
      <c r="AD10" s="106"/>
    </row>
    <row r="11" spans="1:35">
      <c r="A11" s="165"/>
      <c r="B11" s="164"/>
      <c r="C11" s="163"/>
      <c r="D11" s="162"/>
      <c r="E11" s="183"/>
      <c r="F11" s="108"/>
      <c r="G11" s="25"/>
      <c r="H11" s="25"/>
      <c r="I11" s="25"/>
      <c r="J11" s="22"/>
      <c r="K11" s="34"/>
      <c r="L11" s="183"/>
      <c r="M11" s="183"/>
      <c r="N11" s="108"/>
      <c r="O11" s="25"/>
      <c r="P11" s="25"/>
      <c r="Q11" s="25"/>
      <c r="R11" s="157"/>
      <c r="S11" s="22"/>
      <c r="T11" s="109"/>
      <c r="U11" s="107"/>
      <c r="V11" s="107"/>
      <c r="W11" s="107"/>
      <c r="X11" s="107"/>
      <c r="Y11" s="107"/>
      <c r="Z11" s="106"/>
      <c r="AA11" s="106"/>
      <c r="AB11" s="106"/>
      <c r="AC11" s="106"/>
      <c r="AD11" s="106"/>
    </row>
    <row r="12" spans="1:35">
      <c r="A12" s="165"/>
      <c r="B12" s="164"/>
      <c r="C12" s="163"/>
      <c r="D12" s="162"/>
      <c r="E12" s="183"/>
      <c r="F12" s="108"/>
      <c r="G12" s="25"/>
      <c r="H12" s="25"/>
      <c r="I12" s="25"/>
      <c r="J12" s="22"/>
      <c r="K12" s="34"/>
      <c r="L12" s="183"/>
      <c r="M12" s="183"/>
      <c r="N12" s="108"/>
      <c r="O12" s="25"/>
      <c r="P12" s="25"/>
      <c r="Q12" s="25"/>
      <c r="R12" s="157"/>
      <c r="S12" s="22"/>
      <c r="T12" s="109"/>
      <c r="U12" s="107"/>
      <c r="V12" s="107"/>
      <c r="W12" s="107"/>
      <c r="X12" s="107"/>
      <c r="Y12" s="107"/>
      <c r="Z12" s="106"/>
      <c r="AA12" s="106"/>
      <c r="AB12" s="106"/>
      <c r="AC12" s="106"/>
      <c r="AD12" s="106"/>
    </row>
    <row r="13" spans="1:35">
      <c r="A13" s="165"/>
      <c r="B13" s="164"/>
      <c r="C13" s="163"/>
      <c r="D13" s="162"/>
      <c r="E13" s="183"/>
      <c r="F13" s="108"/>
      <c r="G13" s="25"/>
      <c r="H13" s="25"/>
      <c r="I13" s="25"/>
      <c r="J13" s="22"/>
      <c r="K13" s="34"/>
      <c r="L13" s="183"/>
      <c r="M13" s="183"/>
      <c r="N13" s="108"/>
      <c r="O13" s="25"/>
      <c r="P13" s="25"/>
      <c r="Q13" s="25"/>
      <c r="R13" s="157"/>
      <c r="S13" s="22"/>
      <c r="T13" s="109"/>
      <c r="U13" s="107"/>
      <c r="V13" s="107"/>
      <c r="W13" s="107"/>
      <c r="X13" s="107"/>
      <c r="Y13" s="107"/>
      <c r="Z13" s="106"/>
      <c r="AA13" s="106"/>
      <c r="AB13" s="106"/>
      <c r="AC13" s="106"/>
      <c r="AD13" s="106"/>
    </row>
    <row r="14" spans="1:35">
      <c r="A14" s="165"/>
      <c r="B14" s="164"/>
      <c r="C14" s="163"/>
      <c r="D14" s="162"/>
      <c r="E14" s="183"/>
      <c r="F14" s="108"/>
      <c r="G14" s="25"/>
      <c r="H14" s="25"/>
      <c r="I14" s="25"/>
      <c r="J14" s="22"/>
      <c r="K14" s="34"/>
      <c r="L14" s="183"/>
      <c r="M14" s="183"/>
      <c r="N14" s="108"/>
      <c r="O14" s="25"/>
      <c r="P14" s="25"/>
      <c r="Q14" s="25"/>
      <c r="R14" s="157"/>
      <c r="S14" s="22"/>
      <c r="T14" s="109"/>
      <c r="U14" s="107"/>
      <c r="V14" s="107"/>
      <c r="W14" s="107"/>
      <c r="X14" s="107"/>
      <c r="Y14" s="107"/>
      <c r="Z14" s="106"/>
      <c r="AA14" s="106"/>
      <c r="AB14" s="106"/>
      <c r="AC14" s="106"/>
      <c r="AD14" s="106"/>
    </row>
    <row r="15" spans="1:35">
      <c r="A15" s="165"/>
      <c r="B15" s="164"/>
      <c r="C15" s="163"/>
      <c r="D15" s="162"/>
      <c r="E15" s="183"/>
      <c r="F15" s="108"/>
      <c r="G15" s="25"/>
      <c r="H15" s="25"/>
      <c r="I15" s="25"/>
      <c r="J15" s="22"/>
      <c r="K15" s="34"/>
      <c r="L15" s="183"/>
      <c r="M15" s="183"/>
      <c r="N15" s="108"/>
      <c r="O15" s="25"/>
      <c r="P15" s="25"/>
      <c r="Q15" s="25"/>
      <c r="R15" s="157"/>
      <c r="S15" s="22"/>
      <c r="T15" s="109"/>
      <c r="U15" s="107"/>
      <c r="V15" s="107"/>
      <c r="W15" s="107"/>
      <c r="X15" s="107"/>
      <c r="Y15" s="107"/>
      <c r="Z15" s="106"/>
      <c r="AA15" s="106"/>
      <c r="AB15" s="106"/>
      <c r="AC15" s="106"/>
      <c r="AD15" s="106"/>
    </row>
    <row r="16" spans="1:35">
      <c r="A16" s="165"/>
      <c r="B16" s="164"/>
      <c r="C16" s="163"/>
      <c r="D16" s="162"/>
      <c r="E16" s="183"/>
      <c r="F16" s="108"/>
      <c r="G16" s="25"/>
      <c r="H16" s="25"/>
      <c r="I16" s="25"/>
      <c r="J16" s="22"/>
      <c r="K16" s="34"/>
      <c r="L16" s="183"/>
      <c r="M16" s="183"/>
      <c r="N16" s="108"/>
      <c r="O16" s="25"/>
      <c r="P16" s="25"/>
      <c r="Q16" s="25"/>
      <c r="R16" s="157"/>
      <c r="S16" s="22"/>
      <c r="T16" s="109"/>
      <c r="U16" s="107"/>
      <c r="V16" s="107"/>
      <c r="W16" s="107"/>
      <c r="X16" s="107"/>
      <c r="Y16" s="107"/>
      <c r="Z16" s="106"/>
      <c r="AA16" s="106"/>
      <c r="AB16" s="106"/>
      <c r="AC16" s="106"/>
      <c r="AD16" s="106"/>
    </row>
    <row r="17" spans="1:30">
      <c r="A17" s="165"/>
      <c r="B17" s="164"/>
      <c r="C17" s="163"/>
      <c r="D17" s="162"/>
      <c r="E17" s="183"/>
      <c r="F17" s="108"/>
      <c r="G17" s="25"/>
      <c r="H17" s="25"/>
      <c r="I17" s="25"/>
      <c r="J17" s="22"/>
      <c r="K17" s="34"/>
      <c r="L17" s="183"/>
      <c r="M17" s="183"/>
      <c r="N17" s="108"/>
      <c r="O17" s="25"/>
      <c r="P17" s="25"/>
      <c r="Q17" s="25"/>
      <c r="R17" s="157"/>
      <c r="S17" s="22"/>
      <c r="T17" s="109"/>
      <c r="U17" s="107"/>
      <c r="V17" s="107"/>
      <c r="W17" s="107"/>
      <c r="X17" s="107"/>
      <c r="Y17" s="107"/>
      <c r="Z17" s="106"/>
      <c r="AA17" s="106"/>
      <c r="AB17" s="106"/>
      <c r="AC17" s="106"/>
      <c r="AD17" s="106"/>
    </row>
    <row r="18" spans="1:30">
      <c r="A18" s="165"/>
      <c r="B18" s="164"/>
      <c r="C18" s="163"/>
      <c r="D18" s="162"/>
      <c r="E18" s="183"/>
      <c r="F18" s="108"/>
      <c r="G18" s="25"/>
      <c r="H18" s="25"/>
      <c r="I18" s="25"/>
      <c r="J18" s="22"/>
      <c r="K18" s="34"/>
      <c r="L18" s="183"/>
      <c r="M18" s="183"/>
      <c r="N18" s="108"/>
      <c r="O18" s="25"/>
      <c r="P18" s="25"/>
      <c r="Q18" s="25"/>
      <c r="R18" s="157"/>
      <c r="S18" s="22"/>
      <c r="T18" s="109"/>
      <c r="U18" s="107"/>
      <c r="V18" s="107"/>
      <c r="W18" s="107"/>
      <c r="X18" s="107"/>
      <c r="Y18" s="107"/>
      <c r="Z18" s="106"/>
      <c r="AA18" s="106"/>
      <c r="AB18" s="106"/>
      <c r="AC18" s="106"/>
      <c r="AD18" s="106"/>
    </row>
    <row r="19" spans="1:30">
      <c r="A19" s="165"/>
      <c r="B19" s="164"/>
      <c r="C19" s="163"/>
      <c r="D19" s="162"/>
      <c r="E19" s="183"/>
      <c r="F19" s="108"/>
      <c r="G19" s="25"/>
      <c r="H19" s="25"/>
      <c r="I19" s="25"/>
      <c r="J19" s="22"/>
      <c r="K19" s="34"/>
      <c r="L19" s="183"/>
      <c r="M19" s="183"/>
      <c r="N19" s="108"/>
      <c r="O19" s="25"/>
      <c r="P19" s="25"/>
      <c r="Q19" s="25"/>
      <c r="R19" s="157"/>
      <c r="S19" s="22"/>
      <c r="T19" s="109"/>
      <c r="U19" s="107"/>
      <c r="V19" s="107"/>
      <c r="W19" s="107"/>
      <c r="X19" s="107"/>
      <c r="Y19" s="107"/>
      <c r="Z19" s="106"/>
      <c r="AA19" s="106"/>
      <c r="AB19" s="106"/>
      <c r="AC19" s="106"/>
      <c r="AD19" s="106"/>
    </row>
    <row r="20" spans="1:30">
      <c r="A20" s="165"/>
      <c r="B20" s="164"/>
      <c r="C20" s="163"/>
      <c r="D20" s="162"/>
      <c r="E20" s="183"/>
      <c r="F20" s="108"/>
      <c r="G20" s="25"/>
      <c r="H20" s="25"/>
      <c r="I20" s="25"/>
      <c r="J20" s="22"/>
      <c r="K20" s="34"/>
      <c r="L20" s="183"/>
      <c r="M20" s="183"/>
      <c r="N20" s="108"/>
      <c r="O20" s="25"/>
      <c r="P20" s="25"/>
      <c r="Q20" s="25"/>
      <c r="R20" s="157"/>
      <c r="S20" s="22"/>
      <c r="T20" s="109"/>
      <c r="U20" s="107"/>
      <c r="V20" s="107"/>
      <c r="W20" s="107"/>
      <c r="X20" s="107"/>
      <c r="Y20" s="107"/>
      <c r="Z20" s="106"/>
      <c r="AA20" s="106"/>
      <c r="AB20" s="106"/>
      <c r="AC20" s="106"/>
      <c r="AD20" s="106"/>
    </row>
    <row r="21" spans="1:30">
      <c r="A21" s="165"/>
      <c r="B21" s="164"/>
      <c r="C21" s="163"/>
      <c r="D21" s="162"/>
      <c r="E21" s="183"/>
      <c r="F21" s="108"/>
      <c r="G21" s="25"/>
      <c r="H21" s="25"/>
      <c r="I21" s="25"/>
      <c r="J21" s="22"/>
      <c r="K21" s="34"/>
      <c r="L21" s="183"/>
      <c r="M21" s="183"/>
      <c r="N21" s="108"/>
      <c r="O21" s="25"/>
      <c r="P21" s="25"/>
      <c r="Q21" s="25"/>
      <c r="R21" s="157"/>
      <c r="S21" s="22"/>
      <c r="T21" s="109"/>
      <c r="U21" s="107"/>
      <c r="V21" s="107"/>
      <c r="W21" s="107"/>
      <c r="X21" s="107"/>
      <c r="Y21" s="107"/>
      <c r="Z21" s="106"/>
      <c r="AA21" s="106"/>
      <c r="AB21" s="106"/>
      <c r="AC21" s="106"/>
      <c r="AD21" s="106"/>
    </row>
    <row r="22" spans="1:30">
      <c r="A22" s="165"/>
      <c r="B22" s="164"/>
      <c r="C22" s="163"/>
      <c r="D22" s="162"/>
      <c r="E22" s="183"/>
      <c r="F22" s="108"/>
      <c r="G22" s="25"/>
      <c r="H22" s="25"/>
      <c r="I22" s="25"/>
      <c r="J22" s="22"/>
      <c r="K22" s="34"/>
      <c r="L22" s="183"/>
      <c r="M22" s="183"/>
      <c r="N22" s="108"/>
      <c r="O22" s="25"/>
      <c r="P22" s="25"/>
      <c r="Q22" s="25"/>
      <c r="R22" s="157"/>
      <c r="S22" s="22"/>
      <c r="T22" s="109"/>
      <c r="U22" s="107"/>
      <c r="V22" s="107"/>
      <c r="W22" s="107"/>
      <c r="X22" s="107"/>
      <c r="Y22" s="107"/>
      <c r="Z22" s="106"/>
      <c r="AA22" s="106"/>
      <c r="AB22" s="106"/>
      <c r="AC22" s="106"/>
      <c r="AD22" s="106"/>
    </row>
    <row r="23" spans="1:30">
      <c r="A23" s="165"/>
      <c r="B23" s="164"/>
      <c r="C23" s="163"/>
      <c r="D23" s="162"/>
      <c r="E23" s="183"/>
      <c r="F23" s="108"/>
      <c r="G23" s="25"/>
      <c r="H23" s="25"/>
      <c r="I23" s="25"/>
      <c r="J23" s="22"/>
      <c r="K23" s="34"/>
      <c r="L23" s="183"/>
      <c r="M23" s="183"/>
      <c r="N23" s="108"/>
      <c r="O23" s="25"/>
      <c r="P23" s="25"/>
      <c r="Q23" s="25"/>
      <c r="R23" s="157"/>
      <c r="S23" s="22"/>
      <c r="T23" s="109"/>
      <c r="U23" s="107"/>
      <c r="V23" s="107"/>
      <c r="W23" s="107"/>
      <c r="X23" s="107"/>
      <c r="Y23" s="107"/>
      <c r="Z23" s="106"/>
      <c r="AA23" s="106"/>
      <c r="AB23" s="106"/>
      <c r="AC23" s="106"/>
      <c r="AD23" s="106"/>
    </row>
    <row r="24" spans="1:30">
      <c r="A24" s="165"/>
      <c r="B24" s="164"/>
      <c r="C24" s="163"/>
      <c r="D24" s="162"/>
      <c r="E24" s="183"/>
      <c r="F24" s="108"/>
      <c r="G24" s="25"/>
      <c r="H24" s="25"/>
      <c r="I24" s="25"/>
      <c r="J24" s="22"/>
      <c r="K24" s="34"/>
      <c r="L24" s="183"/>
      <c r="M24" s="183"/>
      <c r="N24" s="108"/>
      <c r="O24" s="25"/>
      <c r="P24" s="25"/>
      <c r="Q24" s="25"/>
      <c r="R24" s="157"/>
      <c r="S24" s="22"/>
      <c r="T24" s="109"/>
      <c r="U24" s="107"/>
      <c r="V24" s="107"/>
      <c r="W24" s="107"/>
      <c r="X24" s="107"/>
      <c r="Y24" s="107"/>
      <c r="Z24" s="106"/>
      <c r="AA24" s="106"/>
      <c r="AB24" s="106"/>
      <c r="AC24" s="106"/>
      <c r="AD24" s="106"/>
    </row>
    <row r="25" spans="1:30">
      <c r="A25" s="165"/>
      <c r="B25" s="164"/>
      <c r="C25" s="163"/>
      <c r="D25" s="162"/>
      <c r="E25" s="183"/>
      <c r="F25" s="108"/>
      <c r="G25" s="25"/>
      <c r="H25" s="25"/>
      <c r="I25" s="25"/>
      <c r="J25" s="22"/>
      <c r="K25" s="34"/>
      <c r="L25" s="183"/>
      <c r="M25" s="183"/>
      <c r="N25" s="108"/>
      <c r="O25" s="25"/>
      <c r="P25" s="25"/>
      <c r="Q25" s="25"/>
      <c r="R25" s="157"/>
      <c r="S25" s="22"/>
      <c r="T25" s="109"/>
      <c r="U25" s="107"/>
      <c r="V25" s="107"/>
      <c r="W25" s="107"/>
      <c r="X25" s="107"/>
      <c r="Y25" s="107"/>
      <c r="Z25" s="106"/>
      <c r="AA25" s="106"/>
      <c r="AB25" s="106"/>
      <c r="AC25" s="106"/>
      <c r="AD25" s="106"/>
    </row>
    <row r="26" spans="1:30">
      <c r="A26" s="165"/>
      <c r="B26" s="164"/>
      <c r="C26" s="163"/>
      <c r="D26" s="162"/>
      <c r="E26" s="183"/>
      <c r="F26" s="108"/>
      <c r="G26" s="25"/>
      <c r="H26" s="25"/>
      <c r="I26" s="25"/>
      <c r="J26" s="22"/>
      <c r="K26" s="34"/>
      <c r="L26" s="183"/>
      <c r="M26" s="183"/>
      <c r="N26" s="108"/>
      <c r="O26" s="25"/>
      <c r="P26" s="25"/>
      <c r="Q26" s="25"/>
      <c r="R26" s="157"/>
      <c r="S26" s="22"/>
      <c r="T26" s="109"/>
      <c r="U26" s="107"/>
      <c r="V26" s="107"/>
      <c r="W26" s="107"/>
      <c r="X26" s="107"/>
      <c r="Y26" s="107"/>
      <c r="Z26" s="106"/>
      <c r="AA26" s="106"/>
      <c r="AB26" s="106"/>
      <c r="AC26" s="106"/>
      <c r="AD26" s="106"/>
    </row>
    <row r="27" spans="1:30">
      <c r="A27" s="165"/>
      <c r="B27" s="164"/>
      <c r="C27" s="163"/>
      <c r="D27" s="162"/>
      <c r="E27" s="183"/>
      <c r="F27" s="108"/>
      <c r="G27" s="25"/>
      <c r="H27" s="25"/>
      <c r="I27" s="25"/>
      <c r="J27" s="22"/>
      <c r="K27" s="34"/>
      <c r="L27" s="183"/>
      <c r="M27" s="183"/>
      <c r="N27" s="108"/>
      <c r="O27" s="25"/>
      <c r="P27" s="25"/>
      <c r="Q27" s="25"/>
      <c r="R27" s="157"/>
      <c r="S27" s="22"/>
      <c r="T27" s="109"/>
      <c r="U27" s="107"/>
      <c r="V27" s="107"/>
      <c r="W27" s="107"/>
      <c r="X27" s="107"/>
      <c r="Y27" s="107"/>
      <c r="Z27" s="106"/>
      <c r="AA27" s="106"/>
      <c r="AB27" s="106"/>
      <c r="AC27" s="106"/>
      <c r="AD27" s="106"/>
    </row>
    <row r="28" spans="1:30">
      <c r="A28" s="165"/>
      <c r="B28" s="164"/>
      <c r="C28" s="163"/>
      <c r="D28" s="162"/>
      <c r="E28" s="183"/>
      <c r="F28" s="108"/>
      <c r="G28" s="25"/>
      <c r="H28" s="25"/>
      <c r="I28" s="25"/>
      <c r="J28" s="22"/>
      <c r="K28" s="34"/>
      <c r="L28" s="183"/>
      <c r="M28" s="183"/>
      <c r="N28" s="108"/>
      <c r="O28" s="25"/>
      <c r="P28" s="25"/>
      <c r="Q28" s="25"/>
      <c r="R28" s="157"/>
      <c r="S28" s="22"/>
      <c r="T28" s="109"/>
      <c r="U28" s="107"/>
      <c r="V28" s="107"/>
      <c r="W28" s="107"/>
      <c r="X28" s="107"/>
      <c r="Y28" s="107"/>
      <c r="Z28" s="106"/>
      <c r="AA28" s="106"/>
      <c r="AB28" s="106"/>
      <c r="AC28" s="106"/>
      <c r="AD28" s="106"/>
    </row>
    <row r="29" spans="1:30">
      <c r="A29" s="165"/>
      <c r="B29" s="164"/>
      <c r="C29" s="163"/>
      <c r="D29" s="162"/>
      <c r="E29" s="183"/>
      <c r="F29" s="108"/>
      <c r="G29" s="25"/>
      <c r="H29" s="25"/>
      <c r="I29" s="25"/>
      <c r="J29" s="22"/>
      <c r="K29" s="34"/>
      <c r="L29" s="183"/>
      <c r="M29" s="183"/>
      <c r="N29" s="108"/>
      <c r="O29" s="25"/>
      <c r="P29" s="25"/>
      <c r="Q29" s="25"/>
      <c r="R29" s="157"/>
      <c r="S29" s="22"/>
      <c r="T29" s="109"/>
      <c r="U29" s="107"/>
      <c r="V29" s="107"/>
      <c r="W29" s="107"/>
      <c r="X29" s="107"/>
      <c r="Y29" s="107"/>
      <c r="Z29" s="106"/>
      <c r="AA29" s="106"/>
      <c r="AB29" s="106"/>
      <c r="AC29" s="106"/>
      <c r="AD29" s="106"/>
    </row>
    <row r="30" spans="1:30">
      <c r="A30" s="165"/>
      <c r="B30" s="164"/>
      <c r="C30" s="163"/>
      <c r="D30" s="162"/>
      <c r="E30" s="183"/>
      <c r="F30" s="108"/>
      <c r="G30" s="25"/>
      <c r="H30" s="25"/>
      <c r="I30" s="25"/>
      <c r="J30" s="22"/>
      <c r="K30" s="34"/>
      <c r="L30" s="183"/>
      <c r="M30" s="183"/>
      <c r="N30" s="108"/>
      <c r="O30" s="25"/>
      <c r="P30" s="25"/>
      <c r="Q30" s="25"/>
      <c r="R30" s="157"/>
      <c r="S30" s="22"/>
      <c r="T30" s="109"/>
      <c r="U30" s="107"/>
      <c r="V30" s="107"/>
      <c r="W30" s="107"/>
      <c r="X30" s="107"/>
      <c r="Y30" s="107"/>
      <c r="Z30" s="106"/>
      <c r="AA30" s="106"/>
      <c r="AB30" s="106"/>
      <c r="AC30" s="106"/>
      <c r="AD30" s="106"/>
    </row>
    <row r="31" spans="1:30">
      <c r="A31" s="165"/>
      <c r="B31" s="164"/>
      <c r="C31" s="163"/>
      <c r="D31" s="162"/>
      <c r="E31" s="183"/>
      <c r="F31" s="108"/>
      <c r="G31" s="25"/>
      <c r="H31" s="25"/>
      <c r="I31" s="25"/>
      <c r="J31" s="22"/>
      <c r="K31" s="34"/>
      <c r="L31" s="183"/>
      <c r="M31" s="183"/>
      <c r="N31" s="108"/>
      <c r="O31" s="25"/>
      <c r="P31" s="25"/>
      <c r="Q31" s="25"/>
      <c r="R31" s="157"/>
      <c r="S31" s="22"/>
      <c r="T31" s="109"/>
      <c r="U31" s="107"/>
      <c r="V31" s="107"/>
      <c r="W31" s="107"/>
      <c r="X31" s="107"/>
      <c r="Y31" s="107"/>
      <c r="Z31" s="106"/>
      <c r="AA31" s="106"/>
      <c r="AB31" s="106"/>
      <c r="AC31" s="106"/>
      <c r="AD31" s="106"/>
    </row>
    <row r="32" spans="1:30">
      <c r="A32" s="165"/>
      <c r="B32" s="164"/>
      <c r="C32" s="163"/>
      <c r="D32" s="162"/>
      <c r="E32" s="183"/>
      <c r="F32" s="108"/>
      <c r="G32" s="25"/>
      <c r="H32" s="25"/>
      <c r="I32" s="25"/>
      <c r="J32" s="22"/>
      <c r="K32" s="34"/>
      <c r="L32" s="183"/>
      <c r="M32" s="183"/>
      <c r="N32" s="108"/>
      <c r="O32" s="25"/>
      <c r="P32" s="25"/>
      <c r="Q32" s="25"/>
      <c r="R32" s="157"/>
      <c r="S32" s="22"/>
      <c r="T32" s="109"/>
      <c r="U32" s="107"/>
      <c r="V32" s="107"/>
      <c r="W32" s="107"/>
      <c r="X32" s="107"/>
      <c r="Y32" s="107"/>
      <c r="Z32" s="106"/>
      <c r="AA32" s="106"/>
      <c r="AB32" s="106"/>
      <c r="AC32" s="106"/>
      <c r="AD32" s="106"/>
    </row>
    <row r="33" spans="1:30">
      <c r="A33" s="165"/>
      <c r="B33" s="164"/>
      <c r="C33" s="163"/>
      <c r="D33" s="162"/>
      <c r="E33" s="183"/>
      <c r="F33" s="108"/>
      <c r="G33" s="25"/>
      <c r="H33" s="25"/>
      <c r="I33" s="25"/>
      <c r="J33" s="22"/>
      <c r="K33" s="34"/>
      <c r="L33" s="183"/>
      <c r="M33" s="183"/>
      <c r="N33" s="108"/>
      <c r="O33" s="25"/>
      <c r="P33" s="25"/>
      <c r="Q33" s="25"/>
      <c r="R33" s="157"/>
      <c r="S33" s="22"/>
      <c r="T33" s="109"/>
      <c r="U33" s="107"/>
      <c r="V33" s="107"/>
      <c r="W33" s="107"/>
      <c r="X33" s="107"/>
      <c r="Y33" s="107"/>
      <c r="Z33" s="106"/>
      <c r="AA33" s="106"/>
      <c r="AB33" s="106"/>
      <c r="AC33" s="106"/>
      <c r="AD33" s="106"/>
    </row>
    <row r="34" spans="1:30">
      <c r="A34" s="165"/>
      <c r="B34" s="164"/>
      <c r="C34" s="163"/>
      <c r="D34" s="162"/>
      <c r="E34" s="183"/>
      <c r="F34" s="108"/>
      <c r="G34" s="25"/>
      <c r="H34" s="25"/>
      <c r="I34" s="25"/>
      <c r="J34" s="22"/>
      <c r="K34" s="34"/>
      <c r="L34" s="183"/>
      <c r="M34" s="183"/>
      <c r="N34" s="108"/>
      <c r="O34" s="25"/>
      <c r="P34" s="25"/>
      <c r="Q34" s="25"/>
      <c r="R34" s="157"/>
      <c r="S34" s="22"/>
      <c r="T34" s="109"/>
      <c r="U34" s="107"/>
      <c r="V34" s="107"/>
      <c r="W34" s="107"/>
      <c r="X34" s="107"/>
      <c r="Y34" s="107"/>
      <c r="Z34" s="106"/>
      <c r="AA34" s="106"/>
      <c r="AB34" s="106"/>
      <c r="AC34" s="106"/>
      <c r="AD34" s="106"/>
    </row>
    <row r="35" spans="1:30" ht="14.25" thickBot="1">
      <c r="A35" s="165"/>
      <c r="B35" s="164"/>
      <c r="C35" s="163"/>
      <c r="D35" s="162"/>
      <c r="E35" s="183"/>
      <c r="F35" s="108"/>
      <c r="G35" s="25"/>
      <c r="H35" s="25"/>
      <c r="I35" s="25"/>
      <c r="J35" s="22"/>
      <c r="K35" s="34"/>
      <c r="L35" s="183"/>
      <c r="M35" s="183"/>
      <c r="N35" s="108"/>
      <c r="O35" s="25"/>
      <c r="P35" s="25"/>
      <c r="Q35" s="25"/>
      <c r="R35" s="157"/>
      <c r="S35" s="22"/>
      <c r="T35" s="109"/>
      <c r="U35" s="107"/>
      <c r="V35" s="107"/>
      <c r="W35" s="107"/>
      <c r="X35" s="107"/>
      <c r="Y35" s="107"/>
      <c r="Z35" s="106"/>
      <c r="AA35" s="106"/>
      <c r="AB35" s="106"/>
      <c r="AC35" s="106"/>
      <c r="AD35" s="106"/>
    </row>
    <row r="36" spans="1:30" ht="14.25" thickTop="1">
      <c r="A36" s="156"/>
      <c r="B36" s="155"/>
      <c r="C36" s="154"/>
      <c r="D36" s="153" t="s">
        <v>2</v>
      </c>
      <c r="E36" s="149">
        <f t="shared" ref="E36:T36" si="0">SUM(E5:E35)</f>
        <v>503761871</v>
      </c>
      <c r="F36" s="152">
        <f t="shared" si="0"/>
        <v>0</v>
      </c>
      <c r="G36" s="151">
        <f t="shared" si="0"/>
        <v>0</v>
      </c>
      <c r="H36" s="151">
        <f t="shared" si="0"/>
        <v>0</v>
      </c>
      <c r="I36" s="151">
        <f t="shared" ref="I36" si="1">SUM(I5:I35)</f>
        <v>0</v>
      </c>
      <c r="J36" s="182">
        <f t="shared" si="0"/>
        <v>0</v>
      </c>
      <c r="K36" s="74">
        <f t="shared" si="0"/>
        <v>0</v>
      </c>
      <c r="L36" s="149">
        <f t="shared" si="0"/>
        <v>0</v>
      </c>
      <c r="M36" s="149">
        <f t="shared" si="0"/>
        <v>503761871</v>
      </c>
      <c r="N36" s="146">
        <f t="shared" si="0"/>
        <v>0</v>
      </c>
      <c r="O36" s="145">
        <f t="shared" si="0"/>
        <v>0</v>
      </c>
      <c r="P36" s="145">
        <f t="shared" si="0"/>
        <v>0</v>
      </c>
      <c r="Q36" s="145">
        <f t="shared" ref="Q36" si="2">SUM(Q5:Q35)</f>
        <v>0</v>
      </c>
      <c r="R36" s="148">
        <f t="shared" si="0"/>
        <v>0</v>
      </c>
      <c r="S36" s="144">
        <f t="shared" si="0"/>
        <v>0</v>
      </c>
      <c r="T36" s="147">
        <f t="shared" si="0"/>
        <v>503761871</v>
      </c>
      <c r="U36" s="88" t="str">
        <f>+IF(F36=0,"",ROUND(F36*F$4/(100+F$4),7)-N36)</f>
        <v/>
      </c>
      <c r="V36" s="88"/>
      <c r="W36" s="88"/>
      <c r="X36" s="88"/>
      <c r="Y36" s="88"/>
      <c r="Z36" s="88"/>
      <c r="AA36" s="88"/>
      <c r="AB36" s="87"/>
      <c r="AC36" s="87"/>
      <c r="AD36" s="87"/>
    </row>
    <row r="37" spans="1:30">
      <c r="A37" s="143"/>
      <c r="B37" s="142"/>
      <c r="C37" s="141"/>
      <c r="D37" s="140" t="s">
        <v>1</v>
      </c>
      <c r="E37" s="136">
        <f t="shared" ref="E37:J37" si="3">+E36</f>
        <v>503761871</v>
      </c>
      <c r="F37" s="139">
        <f t="shared" si="3"/>
        <v>0</v>
      </c>
      <c r="G37" s="138">
        <f t="shared" si="3"/>
        <v>0</v>
      </c>
      <c r="H37" s="138">
        <f t="shared" si="3"/>
        <v>0</v>
      </c>
      <c r="I37" s="138">
        <f t="shared" si="3"/>
        <v>0</v>
      </c>
      <c r="J37" s="181">
        <f t="shared" si="3"/>
        <v>0</v>
      </c>
      <c r="K37" s="63">
        <f>SUM(F37:J37)</f>
        <v>0</v>
      </c>
      <c r="L37" s="136">
        <f>+L36</f>
        <v>0</v>
      </c>
      <c r="M37" s="135">
        <f>+M36</f>
        <v>503761871</v>
      </c>
      <c r="N37" s="133">
        <f>+'3条支出'!N20</f>
        <v>0</v>
      </c>
      <c r="O37" s="132">
        <f>+'3条支出'!O20</f>
        <v>0</v>
      </c>
      <c r="P37" s="132">
        <f>+'3条支出'!P20</f>
        <v>0</v>
      </c>
      <c r="Q37" s="132">
        <f>+'3条支出'!Q20</f>
        <v>0</v>
      </c>
      <c r="R37" s="132">
        <f>+'3条支出'!R20</f>
        <v>0</v>
      </c>
      <c r="S37" s="131">
        <f>+'3条支出'!S20</f>
        <v>0</v>
      </c>
      <c r="T37" s="134">
        <f>+'3条支出'!T20</f>
        <v>503761871</v>
      </c>
      <c r="U37" s="88" t="str">
        <f>+IF(F37=0,"",ROUND(F37*F$4/(100+F$4),7)-N37)</f>
        <v/>
      </c>
      <c r="V37" s="88"/>
      <c r="W37" s="88"/>
      <c r="X37" s="88"/>
      <c r="Y37" s="88"/>
      <c r="Z37" s="88"/>
      <c r="AA37" s="88"/>
      <c r="AB37" s="87"/>
      <c r="AC37" s="87"/>
      <c r="AD37" s="87"/>
    </row>
    <row r="38" spans="1:30">
      <c r="E38" s="4">
        <f t="shared" ref="E38:T38" si="4">+E37-E36</f>
        <v>0</v>
      </c>
      <c r="F38" s="4">
        <f t="shared" si="4"/>
        <v>0</v>
      </c>
      <c r="G38" s="4">
        <f t="shared" si="4"/>
        <v>0</v>
      </c>
      <c r="H38" s="4">
        <f t="shared" si="4"/>
        <v>0</v>
      </c>
      <c r="I38" s="4">
        <f t="shared" ref="I38" si="5">+I37-I36</f>
        <v>0</v>
      </c>
      <c r="J38" s="4">
        <f t="shared" si="4"/>
        <v>0</v>
      </c>
      <c r="K38" s="4">
        <f t="shared" si="4"/>
        <v>0</v>
      </c>
      <c r="L38" s="4">
        <f t="shared" si="4"/>
        <v>0</v>
      </c>
      <c r="M38" s="4">
        <f t="shared" si="4"/>
        <v>0</v>
      </c>
      <c r="N38" s="4">
        <f t="shared" si="4"/>
        <v>0</v>
      </c>
      <c r="O38" s="4">
        <f t="shared" si="4"/>
        <v>0</v>
      </c>
      <c r="P38" s="4">
        <f t="shared" si="4"/>
        <v>0</v>
      </c>
      <c r="Q38" s="4">
        <f t="shared" ref="Q38" si="6">+Q37-Q36</f>
        <v>0</v>
      </c>
      <c r="R38" s="4">
        <f t="shared" si="4"/>
        <v>0</v>
      </c>
      <c r="S38" s="4">
        <f t="shared" si="4"/>
        <v>0</v>
      </c>
      <c r="T38" s="4">
        <f t="shared" si="4"/>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42" priority="4" stopIfTrue="1">
      <formula>LEN(TRIM(AE36))&gt;0</formula>
    </cfRule>
  </conditionalFormatting>
  <conditionalFormatting sqref="AE5:AI35">
    <cfRule type="notContainsBlanks" dxfId="41" priority="3" stopIfTrue="1">
      <formula>LEN(TRIM(AE5))&gt;0</formula>
    </cfRule>
  </conditionalFormatting>
  <conditionalFormatting sqref="Z5:AD35">
    <cfRule type="expression" dxfId="40" priority="2">
      <formula>ABS(Z5)=1</formula>
    </cfRule>
  </conditionalFormatting>
  <conditionalFormatting sqref="E38:T38">
    <cfRule type="cellIs" dxfId="39"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w1_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election activeCell="E30" sqref="E30"/>
    </sheetView>
  </sheetViews>
  <sheetFormatPr defaultColWidth="9" defaultRowHeight="13.5" outlineLevelCol="1"/>
  <cols>
    <col min="1" max="1" width="4.375" style="1" customWidth="1"/>
    <col min="2" max="3" width="6.25" style="1" customWidth="1"/>
    <col min="4" max="4" width="16" style="1" customWidth="1"/>
    <col min="5" max="5" width="13.625" style="1" customWidth="1"/>
    <col min="6" max="6" width="8.375" style="1" hidden="1" customWidth="1" outlineLevel="1"/>
    <col min="7" max="7" width="9.25" style="1" bestFit="1" customWidth="1" collapsed="1"/>
    <col min="8" max="9" width="12.625" style="1" customWidth="1"/>
    <col min="10" max="10" width="12.375" style="1" customWidth="1"/>
    <col min="11" max="11" width="13.625" style="3" customWidth="1"/>
    <col min="12" max="12" width="12.625" style="1" customWidth="1"/>
    <col min="13" max="13" width="13.625" style="1" customWidth="1"/>
    <col min="14" max="14" width="8.375" style="3" hidden="1" customWidth="1" outlineLevel="1"/>
    <col min="15" max="15" width="6.875" style="3" bestFit="1" customWidth="1" collapsed="1"/>
    <col min="16" max="19" width="10.625" style="3" customWidth="1"/>
    <col min="20" max="20" width="13.625" style="1" customWidth="1"/>
    <col min="21" max="21" width="9.875" style="2" bestFit="1" customWidth="1"/>
    <col min="22" max="25" width="7.125" style="2" customWidth="1"/>
    <col min="26" max="30" width="6.375" style="2" customWidth="1"/>
    <col min="31" max="35" width="5.75" style="2" customWidth="1"/>
    <col min="36" max="16384" width="9" style="1"/>
  </cols>
  <sheetData>
    <row r="1" spans="1:35">
      <c r="D1" s="1" t="str">
        <f>+'3条支出'!D1</f>
        <v>令和５年度決算　消費税算出資料</v>
      </c>
      <c r="T1" s="221"/>
    </row>
    <row r="2" spans="1:35">
      <c r="D2" s="1" t="s">
        <v>509</v>
      </c>
      <c r="V2" s="122"/>
      <c r="W2" s="122"/>
      <c r="X2" s="261"/>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127">
        <v>10</v>
      </c>
      <c r="K4" s="123" t="s">
        <v>2</v>
      </c>
      <c r="L4" s="312"/>
      <c r="M4" s="312"/>
      <c r="N4" s="126">
        <v>3</v>
      </c>
      <c r="O4" s="125">
        <v>5</v>
      </c>
      <c r="P4" s="125">
        <v>8</v>
      </c>
      <c r="Q4" s="269">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220"/>
      <c r="B5" s="219"/>
      <c r="C5" s="218"/>
      <c r="D5" s="217" t="s">
        <v>508</v>
      </c>
      <c r="E5" s="216">
        <f t="shared" ref="E5:S5" si="0">+SUM(E6:E12)</f>
        <v>3945961149</v>
      </c>
      <c r="F5" s="169">
        <f t="shared" si="0"/>
        <v>0</v>
      </c>
      <c r="G5" s="47">
        <f t="shared" si="0"/>
        <v>0</v>
      </c>
      <c r="H5" s="47">
        <f t="shared" si="0"/>
        <v>0</v>
      </c>
      <c r="I5" s="47">
        <f t="shared" ref="I5" si="1">+SUM(I6:I12)</f>
        <v>0</v>
      </c>
      <c r="J5" s="167">
        <f t="shared" si="0"/>
        <v>61813753</v>
      </c>
      <c r="K5" s="167">
        <f t="shared" si="0"/>
        <v>61813753</v>
      </c>
      <c r="L5" s="216">
        <f t="shared" si="0"/>
        <v>3884147396</v>
      </c>
      <c r="M5" s="216">
        <f t="shared" si="0"/>
        <v>0</v>
      </c>
      <c r="N5" s="169">
        <f t="shared" si="0"/>
        <v>0</v>
      </c>
      <c r="O5" s="47">
        <f t="shared" si="0"/>
        <v>0</v>
      </c>
      <c r="P5" s="47">
        <f t="shared" si="0"/>
        <v>0</v>
      </c>
      <c r="Q5" s="47">
        <f t="shared" ref="Q5" si="2">+SUM(Q6:Q12)</f>
        <v>0</v>
      </c>
      <c r="R5" s="168">
        <f t="shared" si="0"/>
        <v>5619432</v>
      </c>
      <c r="S5" s="167">
        <f t="shared" si="0"/>
        <v>5619432</v>
      </c>
      <c r="T5" s="215">
        <f t="shared" ref="T5:T12" si="3">+E5-S5</f>
        <v>3940341717</v>
      </c>
      <c r="U5" s="107"/>
      <c r="V5" s="107"/>
      <c r="W5" s="107"/>
      <c r="X5" s="107"/>
      <c r="Y5" s="107"/>
      <c r="Z5" s="106"/>
      <c r="AA5" s="106"/>
      <c r="AB5" s="106"/>
      <c r="AC5" s="106"/>
      <c r="AD5" s="106"/>
    </row>
    <row r="6" spans="1:35">
      <c r="A6" s="205"/>
      <c r="B6" s="204"/>
      <c r="C6" s="203">
        <v>884025180</v>
      </c>
      <c r="D6" s="202" t="s">
        <v>507</v>
      </c>
      <c r="E6" s="158">
        <f>+IF($A6="",IF($C6="",SUMIFS(全伝票!I:I,全伝票!$B:$B,$B6),SUMIFS(全伝票!I:I,全伝票!$C:$C,$C6)),IF($C6="",SUMIFS(全伝票!I:I,全伝票!$A:$A,$A6,全伝票!$B:$B,$B6),SUMIFS(全伝票!I:I,全伝票!$A:$A,$A6,全伝票!$C:$C,$C6)))</f>
        <v>3884144913</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84">
        <f>+IF($A6="",IF($C6="",SUMIFS(全伝票!N:N,全伝票!$B:$B,$B6),SUMIFS(全伝票!N:N,全伝票!$C:$C,$C6)),IF($C6="",SUMIFS(全伝票!N:N,全伝票!$A:$A,$A6,全伝票!$B:$B,$B6),SUMIFS(全伝票!N:N,全伝票!$A:$A,$A6,全伝票!$C:$C,$C6)))</f>
        <v>0</v>
      </c>
      <c r="K6" s="22">
        <f t="shared" ref="K6:K12" si="4">SUM(F6:J6)</f>
        <v>0</v>
      </c>
      <c r="L6" s="158">
        <f>+IF($A6="",IF($C6="",SUMIFS(全伝票!O:O,全伝票!$B:$B,$B6),SUMIFS(全伝票!O:O,全伝票!$C:$C,$C6)),IF($C6="",SUMIFS(全伝票!O:O,全伝票!$A:$A,$A6,全伝票!$B:$B,$B6),SUMIFS(全伝票!O:O,全伝票!$A:$A,$A6,全伝票!$C:$C,$C6)))</f>
        <v>3884144913</v>
      </c>
      <c r="M6" s="158">
        <f>+IF($A6="",IF($C6="",SUMIFS(全伝票!P:P,全伝票!$B:$B,$B6),SUMIFS(全伝票!P:P,全伝票!$C:$C,$C6)),IF($C6="",SUMIFS(全伝票!P:P,全伝票!$A:$A,$A6,全伝票!$B:$B,$B6),SUMIFS(全伝票!P:P,全伝票!$A:$A,$A6,全伝票!$C:$C,$C6)))</f>
        <v>0</v>
      </c>
      <c r="N6" s="108">
        <f t="shared" ref="N6:Q12" si="5">+ROUND(F6*F$4/(100+F$4),0)+AE6</f>
        <v>0</v>
      </c>
      <c r="O6" s="25">
        <f t="shared" si="5"/>
        <v>0</v>
      </c>
      <c r="P6" s="25">
        <f t="shared" si="5"/>
        <v>0</v>
      </c>
      <c r="Q6" s="25">
        <f t="shared" si="5"/>
        <v>0</v>
      </c>
      <c r="R6" s="157">
        <f t="shared" ref="R6:R12" si="6">+ROUND(J6*J$4/(100+J$4),0)+AI6</f>
        <v>0</v>
      </c>
      <c r="S6" s="22">
        <f t="shared" ref="S6:S12" si="7">SUM(N6:R6)</f>
        <v>0</v>
      </c>
      <c r="T6" s="201">
        <f t="shared" si="3"/>
        <v>3884144913</v>
      </c>
      <c r="U6" s="107">
        <f t="shared" ref="U6:X12" si="8">N6-F6*F$4/(100+F$4)</f>
        <v>0</v>
      </c>
      <c r="V6" s="107">
        <f t="shared" si="8"/>
        <v>0</v>
      </c>
      <c r="W6" s="107">
        <f t="shared" si="8"/>
        <v>0</v>
      </c>
      <c r="X6" s="107">
        <f t="shared" si="8"/>
        <v>0</v>
      </c>
      <c r="Y6" s="107">
        <f t="shared" ref="Y6:Y12" si="9">R6-J6*J$4/(100+J$4)</f>
        <v>0</v>
      </c>
      <c r="Z6" s="106">
        <f t="shared" ref="Z6:AC12" si="10">+IF(N$38=0,0,IF(N$38&lt;0,-RANK(U6,U$5:U$35,0),RANK(U6,U$5:U$35,1)))</f>
        <v>0</v>
      </c>
      <c r="AA6" s="106">
        <f t="shared" si="10"/>
        <v>0</v>
      </c>
      <c r="AB6" s="106">
        <f t="shared" si="10"/>
        <v>0</v>
      </c>
      <c r="AC6" s="106">
        <f t="shared" si="10"/>
        <v>0</v>
      </c>
      <c r="AD6" s="106">
        <f t="shared" ref="AD6:AD12" si="11">+IF(R$38=0,0,IF(R$38&lt;0,-RANK(Y6,Y$5:Y$35,0),RANK(Y6,Y$5:Y$35,1)))</f>
        <v>0</v>
      </c>
    </row>
    <row r="7" spans="1:35">
      <c r="A7" s="205"/>
      <c r="B7" s="204"/>
      <c r="C7" s="203">
        <v>884025181</v>
      </c>
      <c r="D7" s="202" t="s">
        <v>506</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22">
        <f t="shared" si="4"/>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5"/>
        <v>0</v>
      </c>
      <c r="O7" s="25">
        <f t="shared" si="5"/>
        <v>0</v>
      </c>
      <c r="P7" s="25">
        <f t="shared" si="5"/>
        <v>0</v>
      </c>
      <c r="Q7" s="25">
        <f t="shared" si="5"/>
        <v>0</v>
      </c>
      <c r="R7" s="157">
        <f t="shared" si="6"/>
        <v>0</v>
      </c>
      <c r="S7" s="22">
        <f t="shared" si="7"/>
        <v>0</v>
      </c>
      <c r="T7" s="201">
        <f t="shared" si="3"/>
        <v>0</v>
      </c>
      <c r="U7" s="107">
        <f t="shared" si="8"/>
        <v>0</v>
      </c>
      <c r="V7" s="107">
        <f t="shared" si="8"/>
        <v>0</v>
      </c>
      <c r="W7" s="107">
        <f t="shared" si="8"/>
        <v>0</v>
      </c>
      <c r="X7" s="107">
        <f t="shared" si="8"/>
        <v>0</v>
      </c>
      <c r="Y7" s="107">
        <f t="shared" si="9"/>
        <v>0</v>
      </c>
      <c r="Z7" s="106">
        <f t="shared" si="10"/>
        <v>0</v>
      </c>
      <c r="AA7" s="106">
        <f t="shared" si="10"/>
        <v>0</v>
      </c>
      <c r="AB7" s="106">
        <f t="shared" si="10"/>
        <v>0</v>
      </c>
      <c r="AC7" s="106">
        <f t="shared" si="10"/>
        <v>0</v>
      </c>
      <c r="AD7" s="106">
        <f t="shared" si="11"/>
        <v>0</v>
      </c>
    </row>
    <row r="8" spans="1:35">
      <c r="A8" s="205"/>
      <c r="B8" s="204"/>
      <c r="C8" s="203">
        <v>884025182</v>
      </c>
      <c r="D8" s="202" t="s">
        <v>505</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84">
        <f>+IF($A8="",IF($C8="",SUMIFS(全伝票!N:N,全伝票!$B:$B,$B8),SUMIFS(全伝票!N:N,全伝票!$C:$C,$C8)),IF($C8="",SUMIFS(全伝票!N:N,全伝票!$A:$A,$A8,全伝票!$B:$B,$B8),SUMIFS(全伝票!N:N,全伝票!$A:$A,$A8,全伝票!$C:$C,$C8)))</f>
        <v>0</v>
      </c>
      <c r="K8" s="22">
        <f t="shared" si="4"/>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5"/>
        <v>0</v>
      </c>
      <c r="O8" s="25">
        <f t="shared" si="5"/>
        <v>0</v>
      </c>
      <c r="P8" s="25">
        <f t="shared" si="5"/>
        <v>0</v>
      </c>
      <c r="Q8" s="25">
        <f t="shared" si="5"/>
        <v>0</v>
      </c>
      <c r="R8" s="157">
        <f t="shared" si="6"/>
        <v>0</v>
      </c>
      <c r="S8" s="22">
        <f t="shared" si="7"/>
        <v>0</v>
      </c>
      <c r="T8" s="201">
        <f t="shared" si="3"/>
        <v>0</v>
      </c>
      <c r="U8" s="107">
        <f t="shared" si="8"/>
        <v>0</v>
      </c>
      <c r="V8" s="107">
        <f t="shared" si="8"/>
        <v>0</v>
      </c>
      <c r="W8" s="107">
        <f t="shared" si="8"/>
        <v>0</v>
      </c>
      <c r="X8" s="107">
        <f t="shared" si="8"/>
        <v>0</v>
      </c>
      <c r="Y8" s="107">
        <f t="shared" si="9"/>
        <v>0</v>
      </c>
      <c r="Z8" s="106">
        <f t="shared" si="10"/>
        <v>0</v>
      </c>
      <c r="AA8" s="106">
        <f t="shared" si="10"/>
        <v>0</v>
      </c>
      <c r="AB8" s="106">
        <f t="shared" si="10"/>
        <v>0</v>
      </c>
      <c r="AC8" s="106">
        <f t="shared" si="10"/>
        <v>0</v>
      </c>
      <c r="AD8" s="106">
        <f t="shared" si="11"/>
        <v>0</v>
      </c>
    </row>
    <row r="9" spans="1:35">
      <c r="A9" s="205"/>
      <c r="B9" s="204"/>
      <c r="C9" s="203">
        <v>884025200</v>
      </c>
      <c r="D9" s="202" t="s">
        <v>504</v>
      </c>
      <c r="E9" s="158">
        <f>+IF($A9="",IF($C9="",SUMIFS(全伝票!I:I,全伝票!$B:$B,$B9),SUMIFS(全伝票!I:I,全伝票!$C:$C,$C9)),IF($C9="",SUMIFS(全伝票!I:I,全伝票!$A:$A,$A9,全伝票!$B:$B,$B9),SUMIFS(全伝票!I:I,全伝票!$A:$A,$A9,全伝票!$C:$C,$C9)))</f>
        <v>61813753</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84">
        <f>+IF($A9="",IF($C9="",SUMIFS(全伝票!N:N,全伝票!$B:$B,$B9),SUMIFS(全伝票!N:N,全伝票!$C:$C,$C9)),IF($C9="",SUMIFS(全伝票!N:N,全伝票!$A:$A,$A9,全伝票!$B:$B,$B9),SUMIFS(全伝票!N:N,全伝票!$A:$A,$A9,全伝票!$C:$C,$C9)))</f>
        <v>61813753</v>
      </c>
      <c r="K9" s="22">
        <f t="shared" si="4"/>
        <v>61813753</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5"/>
        <v>0</v>
      </c>
      <c r="O9" s="25">
        <f t="shared" si="5"/>
        <v>0</v>
      </c>
      <c r="P9" s="25">
        <f t="shared" si="5"/>
        <v>0</v>
      </c>
      <c r="Q9" s="25">
        <f t="shared" si="5"/>
        <v>0</v>
      </c>
      <c r="R9" s="157">
        <f t="shared" si="6"/>
        <v>5619432</v>
      </c>
      <c r="S9" s="22">
        <f t="shared" si="7"/>
        <v>5619432</v>
      </c>
      <c r="T9" s="201">
        <f t="shared" si="3"/>
        <v>56194321</v>
      </c>
      <c r="U9" s="107">
        <f t="shared" si="8"/>
        <v>0</v>
      </c>
      <c r="V9" s="107">
        <f t="shared" si="8"/>
        <v>0</v>
      </c>
      <c r="W9" s="107">
        <f t="shared" si="8"/>
        <v>0</v>
      </c>
      <c r="X9" s="107">
        <f t="shared" si="8"/>
        <v>0</v>
      </c>
      <c r="Y9" s="107">
        <f t="shared" si="9"/>
        <v>-9.090909082442522E-2</v>
      </c>
      <c r="Z9" s="106">
        <f t="shared" si="10"/>
        <v>0</v>
      </c>
      <c r="AA9" s="106">
        <f t="shared" si="10"/>
        <v>0</v>
      </c>
      <c r="AB9" s="106">
        <f t="shared" si="10"/>
        <v>0</v>
      </c>
      <c r="AC9" s="106">
        <f t="shared" si="10"/>
        <v>0</v>
      </c>
      <c r="AD9" s="106">
        <f t="shared" si="11"/>
        <v>0</v>
      </c>
    </row>
    <row r="10" spans="1:35">
      <c r="A10" s="205"/>
      <c r="B10" s="204"/>
      <c r="C10" s="203">
        <v>884025300</v>
      </c>
      <c r="D10" s="202" t="s">
        <v>503</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84">
        <f>+IF($A10="",IF($C10="",SUMIFS(全伝票!N:N,全伝票!$B:$B,$B10),SUMIFS(全伝票!N:N,全伝票!$C:$C,$C10)),IF($C10="",SUMIFS(全伝票!N:N,全伝票!$A:$A,$A10,全伝票!$B:$B,$B10),SUMIFS(全伝票!N:N,全伝票!$A:$A,$A10,全伝票!$C:$C,$C10)))</f>
        <v>0</v>
      </c>
      <c r="K10" s="22">
        <f t="shared" si="4"/>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5"/>
        <v>0</v>
      </c>
      <c r="O10" s="25">
        <f t="shared" si="5"/>
        <v>0</v>
      </c>
      <c r="P10" s="25">
        <f t="shared" si="5"/>
        <v>0</v>
      </c>
      <c r="Q10" s="25">
        <f t="shared" si="5"/>
        <v>0</v>
      </c>
      <c r="R10" s="157">
        <f t="shared" si="6"/>
        <v>0</v>
      </c>
      <c r="S10" s="22">
        <f t="shared" si="7"/>
        <v>0</v>
      </c>
      <c r="T10" s="201">
        <f t="shared" si="3"/>
        <v>0</v>
      </c>
      <c r="U10" s="107">
        <f t="shared" si="8"/>
        <v>0</v>
      </c>
      <c r="V10" s="107">
        <f t="shared" si="8"/>
        <v>0</v>
      </c>
      <c r="W10" s="107">
        <f t="shared" si="8"/>
        <v>0</v>
      </c>
      <c r="X10" s="107">
        <f t="shared" si="8"/>
        <v>0</v>
      </c>
      <c r="Y10" s="107">
        <f t="shared" si="9"/>
        <v>0</v>
      </c>
      <c r="Z10" s="106">
        <f t="shared" si="10"/>
        <v>0</v>
      </c>
      <c r="AA10" s="106">
        <f t="shared" si="10"/>
        <v>0</v>
      </c>
      <c r="AB10" s="106">
        <f t="shared" si="10"/>
        <v>0</v>
      </c>
      <c r="AC10" s="106">
        <f t="shared" si="10"/>
        <v>0</v>
      </c>
      <c r="AD10" s="106">
        <f t="shared" si="11"/>
        <v>0</v>
      </c>
    </row>
    <row r="11" spans="1:35">
      <c r="A11" s="205"/>
      <c r="B11" s="204"/>
      <c r="C11" s="203">
        <v>884025400</v>
      </c>
      <c r="D11" s="202" t="s">
        <v>502</v>
      </c>
      <c r="E11" s="158">
        <f>+IF($A11="",IF($C11="",SUMIFS(全伝票!I:I,全伝票!$B:$B,$B11),SUMIFS(全伝票!I:I,全伝票!$C:$C,$C11)),IF($C11="",SUMIFS(全伝票!I:I,全伝票!$A:$A,$A11,全伝票!$B:$B,$B11),SUMIFS(全伝票!I:I,全伝票!$A:$A,$A11,全伝票!$C:$C,$C11)))</f>
        <v>2483</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84">
        <f>+IF($A11="",IF($C11="",SUMIFS(全伝票!N:N,全伝票!$B:$B,$B11),SUMIFS(全伝票!N:N,全伝票!$C:$C,$C11)),IF($C11="",SUMIFS(全伝票!N:N,全伝票!$A:$A,$A11,全伝票!$B:$B,$B11),SUMIFS(全伝票!N:N,全伝票!$A:$A,$A11,全伝票!$C:$C,$C11)))</f>
        <v>0</v>
      </c>
      <c r="K11" s="22">
        <f t="shared" si="4"/>
        <v>0</v>
      </c>
      <c r="L11" s="158">
        <f>+IF($A11="",IF($C11="",SUMIFS(全伝票!O:O,全伝票!$B:$B,$B11),SUMIFS(全伝票!O:O,全伝票!$C:$C,$C11)),IF($C11="",SUMIFS(全伝票!O:O,全伝票!$A:$A,$A11,全伝票!$B:$B,$B11),SUMIFS(全伝票!O:O,全伝票!$A:$A,$A11,全伝票!$C:$C,$C11)))</f>
        <v>2483</v>
      </c>
      <c r="M11" s="158">
        <f>+IF($A11="",IF($C11="",SUMIFS(全伝票!P:P,全伝票!$B:$B,$B11),SUMIFS(全伝票!P:P,全伝票!$C:$C,$C11)),IF($C11="",SUMIFS(全伝票!P:P,全伝票!$A:$A,$A11,全伝票!$B:$B,$B11),SUMIFS(全伝票!P:P,全伝票!$A:$A,$A11,全伝票!$C:$C,$C11)))</f>
        <v>0</v>
      </c>
      <c r="N11" s="108">
        <f t="shared" si="5"/>
        <v>0</v>
      </c>
      <c r="O11" s="25">
        <f t="shared" si="5"/>
        <v>0</v>
      </c>
      <c r="P11" s="25">
        <f t="shared" si="5"/>
        <v>0</v>
      </c>
      <c r="Q11" s="25">
        <f t="shared" si="5"/>
        <v>0</v>
      </c>
      <c r="R11" s="157">
        <f t="shared" si="6"/>
        <v>0</v>
      </c>
      <c r="S11" s="22">
        <f t="shared" si="7"/>
        <v>0</v>
      </c>
      <c r="T11" s="201">
        <f t="shared" si="3"/>
        <v>2483</v>
      </c>
      <c r="U11" s="107">
        <f t="shared" si="8"/>
        <v>0</v>
      </c>
      <c r="V11" s="107">
        <f t="shared" si="8"/>
        <v>0</v>
      </c>
      <c r="W11" s="107">
        <f t="shared" si="8"/>
        <v>0</v>
      </c>
      <c r="X11" s="107">
        <f t="shared" si="8"/>
        <v>0</v>
      </c>
      <c r="Y11" s="107">
        <f t="shared" si="9"/>
        <v>0</v>
      </c>
      <c r="Z11" s="106">
        <f t="shared" si="10"/>
        <v>0</v>
      </c>
      <c r="AA11" s="106">
        <f t="shared" si="10"/>
        <v>0</v>
      </c>
      <c r="AB11" s="106">
        <f t="shared" si="10"/>
        <v>0</v>
      </c>
      <c r="AC11" s="106">
        <f t="shared" si="10"/>
        <v>0</v>
      </c>
      <c r="AD11" s="106">
        <f t="shared" si="11"/>
        <v>0</v>
      </c>
    </row>
    <row r="12" spans="1:35">
      <c r="A12" s="205"/>
      <c r="B12" s="204"/>
      <c r="C12" s="203">
        <v>884025500</v>
      </c>
      <c r="D12" s="202" t="s">
        <v>501</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84">
        <f>+IF($A12="",IF($C12="",SUMIFS(全伝票!N:N,全伝票!$B:$B,$B12),SUMIFS(全伝票!N:N,全伝票!$C:$C,$C12)),IF($C12="",SUMIFS(全伝票!N:N,全伝票!$A:$A,$A12,全伝票!$B:$B,$B12),SUMIFS(全伝票!N:N,全伝票!$A:$A,$A12,全伝票!$C:$C,$C12)))</f>
        <v>0</v>
      </c>
      <c r="K12" s="22">
        <f t="shared" si="4"/>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5"/>
        <v>0</v>
      </c>
      <c r="O12" s="25">
        <f t="shared" si="5"/>
        <v>0</v>
      </c>
      <c r="P12" s="25">
        <f t="shared" si="5"/>
        <v>0</v>
      </c>
      <c r="Q12" s="25">
        <f t="shared" si="5"/>
        <v>0</v>
      </c>
      <c r="R12" s="157">
        <f t="shared" si="6"/>
        <v>0</v>
      </c>
      <c r="S12" s="22">
        <f t="shared" si="7"/>
        <v>0</v>
      </c>
      <c r="T12" s="201">
        <f t="shared" si="3"/>
        <v>0</v>
      </c>
      <c r="U12" s="107">
        <f t="shared" si="8"/>
        <v>0</v>
      </c>
      <c r="V12" s="107">
        <f t="shared" si="8"/>
        <v>0</v>
      </c>
      <c r="W12" s="107">
        <f t="shared" si="8"/>
        <v>0</v>
      </c>
      <c r="X12" s="107">
        <f t="shared" si="8"/>
        <v>0</v>
      </c>
      <c r="Y12" s="107">
        <f t="shared" si="9"/>
        <v>0</v>
      </c>
      <c r="Z12" s="106">
        <f t="shared" si="10"/>
        <v>0</v>
      </c>
      <c r="AA12" s="106">
        <f t="shared" si="10"/>
        <v>0</v>
      </c>
      <c r="AB12" s="106">
        <f t="shared" si="10"/>
        <v>0</v>
      </c>
      <c r="AC12" s="106">
        <f t="shared" si="10"/>
        <v>0</v>
      </c>
      <c r="AD12" s="106">
        <f t="shared" si="11"/>
        <v>0</v>
      </c>
    </row>
    <row r="13" spans="1:35">
      <c r="A13" s="205"/>
      <c r="B13" s="204"/>
      <c r="C13" s="203"/>
      <c r="D13" s="202"/>
      <c r="E13" s="183"/>
      <c r="F13" s="108"/>
      <c r="G13" s="25"/>
      <c r="H13" s="25"/>
      <c r="I13" s="25"/>
      <c r="J13" s="22"/>
      <c r="K13" s="22"/>
      <c r="L13" s="183"/>
      <c r="M13" s="183"/>
      <c r="N13" s="108"/>
      <c r="O13" s="25"/>
      <c r="P13" s="25"/>
      <c r="Q13" s="25"/>
      <c r="R13" s="157"/>
      <c r="S13" s="22"/>
      <c r="T13" s="201"/>
      <c r="U13" s="107"/>
      <c r="V13" s="107"/>
      <c r="W13" s="107"/>
      <c r="X13" s="107"/>
      <c r="Y13" s="107"/>
      <c r="Z13" s="106"/>
      <c r="AA13" s="106"/>
      <c r="AB13" s="106"/>
      <c r="AC13" s="106"/>
      <c r="AD13" s="106"/>
    </row>
    <row r="14" spans="1:35">
      <c r="A14" s="205"/>
      <c r="B14" s="204"/>
      <c r="C14" s="203"/>
      <c r="D14" s="202" t="s">
        <v>500</v>
      </c>
      <c r="E14" s="183">
        <f>+SUM(E15:E17)</f>
        <v>9224169</v>
      </c>
      <c r="F14" s="108">
        <f t="shared" ref="F14:J14" si="12">+SUM(F15:F17)</f>
        <v>0</v>
      </c>
      <c r="G14" s="25">
        <f t="shared" si="12"/>
        <v>0</v>
      </c>
      <c r="H14" s="25">
        <f t="shared" si="12"/>
        <v>23932</v>
      </c>
      <c r="I14" s="25">
        <f t="shared" si="12"/>
        <v>0</v>
      </c>
      <c r="J14" s="22">
        <f t="shared" si="12"/>
        <v>5368538</v>
      </c>
      <c r="K14" s="22">
        <f t="shared" ref="K14:S14" si="13">+SUM(K15:K18)</f>
        <v>5392470</v>
      </c>
      <c r="L14" s="183">
        <f t="shared" si="13"/>
        <v>0</v>
      </c>
      <c r="M14" s="183">
        <f t="shared" si="13"/>
        <v>3831699</v>
      </c>
      <c r="N14" s="108">
        <f t="shared" si="13"/>
        <v>0</v>
      </c>
      <c r="O14" s="25">
        <f t="shared" si="13"/>
        <v>0</v>
      </c>
      <c r="P14" s="25">
        <f t="shared" si="13"/>
        <v>1773</v>
      </c>
      <c r="Q14" s="25">
        <f t="shared" ref="Q14" si="14">+SUM(Q15:Q18)</f>
        <v>0</v>
      </c>
      <c r="R14" s="157">
        <f t="shared" si="13"/>
        <v>488049</v>
      </c>
      <c r="S14" s="22">
        <f t="shared" si="13"/>
        <v>489822</v>
      </c>
      <c r="T14" s="214">
        <f>+SUM(T15:T19)</f>
        <v>221221824</v>
      </c>
      <c r="U14" s="107"/>
      <c r="V14" s="107"/>
      <c r="W14" s="107"/>
      <c r="X14" s="107"/>
      <c r="Y14" s="107"/>
      <c r="Z14" s="106"/>
      <c r="AA14" s="106"/>
      <c r="AB14" s="106"/>
      <c r="AC14" s="106"/>
      <c r="AD14" s="106"/>
    </row>
    <row r="15" spans="1:35">
      <c r="A15" s="205"/>
      <c r="B15" s="204">
        <v>8840662</v>
      </c>
      <c r="C15" s="203"/>
      <c r="D15" s="202" t="s">
        <v>499</v>
      </c>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60">
        <f>+IF($A15="",IF($C15="",SUMIFS(全伝票!M:M,全伝票!$B:$B,$B15),SUMIFS(全伝票!M:M,全伝票!$C:$C,$C15)),IF($C15="",SUMIFS(全伝票!M:M,全伝票!$A:$A,$A15,全伝票!$B:$B,$B15),SUMIFS(全伝票!M:M,全伝票!$A:$A,$A15,全伝票!$C:$C,$C15)))</f>
        <v>0</v>
      </c>
      <c r="J15" s="184">
        <f>+IF($A15="",IF($C15="",SUMIFS(全伝票!N:N,全伝票!$B:$B,$B15),SUMIFS(全伝票!N:N,全伝票!$C:$C,$C15)),IF($C15="",SUMIFS(全伝票!N:N,全伝票!$A:$A,$A15,全伝票!$B:$B,$B15),SUMIFS(全伝票!N:N,全伝票!$A:$A,$A15,全伝票!$C:$C,$C15)))</f>
        <v>0</v>
      </c>
      <c r="K15" s="22">
        <f>SUM(F15:J15)</f>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ref="N15:Q16" si="15">+ROUND(F15*F$4/(100+F$4),0)+AE15</f>
        <v>0</v>
      </c>
      <c r="O15" s="25">
        <f t="shared" si="15"/>
        <v>0</v>
      </c>
      <c r="P15" s="25">
        <f t="shared" si="15"/>
        <v>0</v>
      </c>
      <c r="Q15" s="25">
        <f t="shared" si="15"/>
        <v>0</v>
      </c>
      <c r="R15" s="157">
        <f>+ROUND(J15*J$4/(100+J$4),0)+AI15</f>
        <v>0</v>
      </c>
      <c r="S15" s="22">
        <f>SUM(N15:R15)</f>
        <v>0</v>
      </c>
      <c r="T15" s="201">
        <f>+E15-S15</f>
        <v>0</v>
      </c>
      <c r="U15" s="107">
        <f t="shared" ref="U15:X16" si="16">N15-F15*F$4/(100+F$4)</f>
        <v>0</v>
      </c>
      <c r="V15" s="107">
        <f t="shared" si="16"/>
        <v>0</v>
      </c>
      <c r="W15" s="107">
        <f t="shared" si="16"/>
        <v>0</v>
      </c>
      <c r="X15" s="107">
        <f t="shared" si="16"/>
        <v>0</v>
      </c>
      <c r="Y15" s="107">
        <f>R15-J15*J$4/(100+J$4)</f>
        <v>0</v>
      </c>
      <c r="Z15" s="106">
        <f t="shared" ref="Z15:AC16" si="17">+IF(N$38=0,0,IF(N$38&lt;0,-RANK(U15,U$5:U$35,0),RANK(U15,U$5:U$35,1)))</f>
        <v>0</v>
      </c>
      <c r="AA15" s="106">
        <f t="shared" si="17"/>
        <v>0</v>
      </c>
      <c r="AB15" s="106">
        <f t="shared" si="17"/>
        <v>0</v>
      </c>
      <c r="AC15" s="106">
        <f t="shared" si="17"/>
        <v>0</v>
      </c>
      <c r="AD15" s="106">
        <f>+IF(R$38=0,0,IF(R$38&lt;0,-RANK(Y15,Y$5:Y$35,0),RANK(Y15,Y$5:Y$35,1)))</f>
        <v>0</v>
      </c>
    </row>
    <row r="16" spans="1:35">
      <c r="A16" s="205"/>
      <c r="B16" s="204">
        <v>8840663</v>
      </c>
      <c r="C16" s="203"/>
      <c r="D16" s="202" t="s">
        <v>498</v>
      </c>
      <c r="E16" s="158">
        <f>+IF($A16="",IF($C16="",SUMIFS(全伝票!I:I,全伝票!$B:$B,$B16),SUMIFS(全伝票!I:I,全伝票!$C:$C,$C16)),IF($C16="",SUMIFS(全伝票!I:I,全伝票!$A:$A,$A16,全伝票!$B:$B,$B16),SUMIFS(全伝票!I:I,全伝票!$A:$A,$A16,全伝票!$C:$C,$C16)))</f>
        <v>9224169</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23932</v>
      </c>
      <c r="I16" s="160">
        <f>+IF($A16="",IF($C16="",SUMIFS(全伝票!M:M,全伝票!$B:$B,$B16),SUMIFS(全伝票!M:M,全伝票!$C:$C,$C16)),IF($C16="",SUMIFS(全伝票!M:M,全伝票!$A:$A,$A16,全伝票!$B:$B,$B16),SUMIFS(全伝票!M:M,全伝票!$A:$A,$A16,全伝票!$C:$C,$C16)))</f>
        <v>0</v>
      </c>
      <c r="J16" s="184">
        <f>+IF($A16="",IF($C16="",SUMIFS(全伝票!N:N,全伝票!$B:$B,$B16),SUMIFS(全伝票!N:N,全伝票!$C:$C,$C16)),IF($C16="",SUMIFS(全伝票!N:N,全伝票!$A:$A,$A16,全伝票!$B:$B,$B16),SUMIFS(全伝票!N:N,全伝票!$A:$A,$A16,全伝票!$C:$C,$C16)))</f>
        <v>5368538</v>
      </c>
      <c r="K16" s="22">
        <f>SUM(F16:J16)</f>
        <v>5392470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3831699</v>
      </c>
      <c r="N16" s="108">
        <f t="shared" si="15"/>
        <v>0</v>
      </c>
      <c r="O16" s="25">
        <f t="shared" si="15"/>
        <v>0</v>
      </c>
      <c r="P16" s="25">
        <f t="shared" si="15"/>
        <v>1773</v>
      </c>
      <c r="Q16" s="25">
        <f t="shared" si="15"/>
        <v>0</v>
      </c>
      <c r="R16" s="157">
        <f>+ROUND(J16*J$4/(100+J$4),0)+AI16</f>
        <v>488049</v>
      </c>
      <c r="S16" s="22">
        <f>SUM(N16:R16)</f>
        <v>489822</v>
      </c>
      <c r="T16" s="201">
        <f>+E16-S16</f>
        <v>8734347</v>
      </c>
      <c r="U16" s="107">
        <f t="shared" si="16"/>
        <v>0</v>
      </c>
      <c r="V16" s="107">
        <f t="shared" si="16"/>
        <v>0</v>
      </c>
      <c r="W16" s="107">
        <f t="shared" si="16"/>
        <v>0.25925925925935189</v>
      </c>
      <c r="X16" s="107">
        <f t="shared" si="16"/>
        <v>0</v>
      </c>
      <c r="Y16" s="107">
        <f>R16-J16*J$4/(100+J$4)</f>
        <v>9.0909090882632881E-2</v>
      </c>
      <c r="Z16" s="106">
        <f t="shared" si="17"/>
        <v>0</v>
      </c>
      <c r="AA16" s="106">
        <f t="shared" si="17"/>
        <v>0</v>
      </c>
      <c r="AB16" s="106">
        <f t="shared" si="17"/>
        <v>0</v>
      </c>
      <c r="AC16" s="106">
        <f t="shared" si="17"/>
        <v>0</v>
      </c>
      <c r="AD16" s="106">
        <f>+IF(R$38=0,0,IF(R$38&lt;0,-RANK(Y16,Y$5:Y$35,0),RANK(Y16,Y$5:Y$35,1)))</f>
        <v>0</v>
      </c>
    </row>
    <row r="17" spans="1:30">
      <c r="A17" s="205"/>
      <c r="B17" s="204"/>
      <c r="C17" s="203"/>
      <c r="D17" s="235" t="s">
        <v>552</v>
      </c>
      <c r="E17" s="183"/>
      <c r="F17" s="108"/>
      <c r="G17" s="25"/>
      <c r="H17" s="25"/>
      <c r="I17" s="25"/>
      <c r="J17" s="22"/>
      <c r="K17" s="22"/>
      <c r="L17" s="183"/>
      <c r="M17" s="183"/>
      <c r="N17" s="108"/>
      <c r="O17" s="25"/>
      <c r="P17" s="25"/>
      <c r="Q17" s="25"/>
      <c r="R17" s="157"/>
      <c r="S17" s="22"/>
      <c r="T17" s="213">
        <f>+'3条収入'!AH69</f>
        <v>210253123</v>
      </c>
      <c r="U17" s="107"/>
      <c r="V17" s="107"/>
      <c r="W17" s="107"/>
      <c r="X17" s="107"/>
      <c r="Y17" s="107"/>
      <c r="Z17" s="106"/>
      <c r="AA17" s="106"/>
      <c r="AB17" s="106"/>
      <c r="AC17" s="106"/>
      <c r="AD17" s="106"/>
    </row>
    <row r="18" spans="1:30">
      <c r="A18" s="205"/>
      <c r="B18" s="204"/>
      <c r="C18" s="203"/>
      <c r="D18" s="235" t="s">
        <v>553</v>
      </c>
      <c r="E18" s="183"/>
      <c r="F18" s="108"/>
      <c r="G18" s="25"/>
      <c r="H18" s="25"/>
      <c r="I18" s="25"/>
      <c r="J18" s="22"/>
      <c r="K18" s="22"/>
      <c r="L18" s="183"/>
      <c r="M18" s="183"/>
      <c r="N18" s="108"/>
      <c r="O18" s="25"/>
      <c r="P18" s="25"/>
      <c r="Q18" s="25"/>
      <c r="R18" s="157"/>
      <c r="S18" s="22"/>
      <c r="T18" s="212">
        <f>+消費税!Z122</f>
        <v>2233725</v>
      </c>
      <c r="U18" s="107"/>
      <c r="V18" s="107"/>
      <c r="W18" s="107"/>
      <c r="X18" s="107"/>
      <c r="Y18" s="107"/>
      <c r="Z18" s="106"/>
      <c r="AA18" s="106"/>
      <c r="AB18" s="106"/>
      <c r="AC18" s="106"/>
      <c r="AD18" s="106"/>
    </row>
    <row r="19" spans="1:30">
      <c r="A19" s="205"/>
      <c r="B19" s="204"/>
      <c r="C19" s="203"/>
      <c r="D19" s="202" t="s">
        <v>879</v>
      </c>
      <c r="E19" s="183"/>
      <c r="F19" s="108"/>
      <c r="G19" s="25"/>
      <c r="H19" s="25"/>
      <c r="I19" s="25"/>
      <c r="J19" s="22"/>
      <c r="K19" s="22"/>
      <c r="L19" s="183"/>
      <c r="M19" s="183"/>
      <c r="N19" s="108"/>
      <c r="O19" s="25"/>
      <c r="P19" s="25"/>
      <c r="Q19" s="25"/>
      <c r="R19" s="157"/>
      <c r="S19" s="22"/>
      <c r="T19" s="212">
        <f>+消費税!Z123</f>
        <v>629</v>
      </c>
      <c r="U19" s="107"/>
      <c r="V19" s="107"/>
      <c r="W19" s="107"/>
      <c r="X19" s="107"/>
      <c r="Y19" s="107"/>
      <c r="Z19" s="106"/>
      <c r="AA19" s="106"/>
      <c r="AB19" s="106"/>
      <c r="AC19" s="106"/>
      <c r="AD19" s="106"/>
    </row>
    <row r="20" spans="1:30">
      <c r="A20" s="205"/>
      <c r="B20" s="204"/>
      <c r="C20" s="203"/>
      <c r="D20" s="211" t="s">
        <v>497</v>
      </c>
      <c r="E20" s="101">
        <f>+SUM(K20:M20)</f>
        <v>9198273</v>
      </c>
      <c r="F20" s="210"/>
      <c r="G20" s="209"/>
      <c r="H20" s="209"/>
      <c r="I20" s="209"/>
      <c r="J20" s="208">
        <v>5368538</v>
      </c>
      <c r="K20" s="34">
        <f>SUM(F20:J20)</f>
        <v>5368538</v>
      </c>
      <c r="L20" s="207"/>
      <c r="M20" s="207">
        <f>3783528+16247+29960</f>
        <v>3829735</v>
      </c>
      <c r="N20" s="108">
        <f>+ROUND(F20*F$4/(100+F$4),0)+AE20</f>
        <v>0</v>
      </c>
      <c r="O20" s="25">
        <f>+ROUND(G20*G$4/(100+G$4),0)+AF20</f>
        <v>0</v>
      </c>
      <c r="P20" s="25">
        <f>+ROUND(H20*H$4/(100+H$4),0)+AG20</f>
        <v>0</v>
      </c>
      <c r="Q20" s="25">
        <f>+ROUND(I20*I$4/(100+I$4),0)+AH20</f>
        <v>0</v>
      </c>
      <c r="R20" s="157">
        <f>+ROUND(J20*J$4/(100+J$4),0)+AI20</f>
        <v>488049</v>
      </c>
      <c r="S20" s="22">
        <f>SUM(N20:R20)</f>
        <v>488049</v>
      </c>
      <c r="T20" s="201">
        <f>+E20-S20</f>
        <v>8710224</v>
      </c>
      <c r="U20" s="107">
        <f t="shared" ref="U20" si="18">N20-F20*F$4/(100+F$4)</f>
        <v>0</v>
      </c>
      <c r="V20" s="107">
        <f t="shared" ref="V20" si="19">O20-G20*G$4/(100+G$4)</f>
        <v>0</v>
      </c>
      <c r="W20" s="107">
        <f t="shared" ref="W20:X20" si="20">P20-H20*H$4/(100+H$4)</f>
        <v>0</v>
      </c>
      <c r="X20" s="107">
        <f t="shared" si="20"/>
        <v>0</v>
      </c>
      <c r="Y20" s="107">
        <f t="shared" ref="Y20" si="21">R20-J20*J$4/(100+J$4)</f>
        <v>9.0909090882632881E-2</v>
      </c>
      <c r="Z20" s="106">
        <f t="shared" ref="Z20" si="22">+IF(N$38=0,0,IF(N$38&lt;0,-RANK(U20,U$5:U$35,0),RANK(U20,U$5:U$35,1)))</f>
        <v>0</v>
      </c>
      <c r="AA20" s="106">
        <f t="shared" ref="AA20" si="23">+IF(O$38=0,0,IF(O$38&lt;0,-RANK(V20,V$5:V$35,0),RANK(V20,V$5:V$35,1)))</f>
        <v>0</v>
      </c>
      <c r="AB20" s="106">
        <f t="shared" ref="AB20:AC20" si="24">+IF(P$38=0,0,IF(P$38&lt;0,-RANK(W20,W$5:W$35,0),RANK(W20,W$5:W$35,1)))</f>
        <v>0</v>
      </c>
      <c r="AC20" s="106">
        <f t="shared" si="24"/>
        <v>0</v>
      </c>
      <c r="AD20" s="106">
        <f t="shared" ref="AD20" si="25">+IF(R$38=0,0,IF(R$38&lt;0,-RANK(Y20,Y$5:Y$35,0),RANK(Y20,Y$5:Y$35,1)))</f>
        <v>0</v>
      </c>
    </row>
    <row r="21" spans="1:30">
      <c r="A21" s="205"/>
      <c r="B21" s="204"/>
      <c r="C21" s="203"/>
      <c r="D21" s="202"/>
      <c r="E21" s="183"/>
      <c r="F21" s="108"/>
      <c r="G21" s="25"/>
      <c r="H21" s="25"/>
      <c r="I21" s="25"/>
      <c r="J21" s="22"/>
      <c r="K21" s="22"/>
      <c r="L21" s="183"/>
      <c r="M21" s="183"/>
      <c r="N21" s="108"/>
      <c r="O21" s="25"/>
      <c r="P21" s="25"/>
      <c r="Q21" s="25"/>
      <c r="R21" s="157"/>
      <c r="S21" s="22"/>
      <c r="T21" s="201"/>
      <c r="U21" s="107"/>
      <c r="V21" s="107"/>
      <c r="W21" s="107"/>
      <c r="X21" s="107"/>
      <c r="Y21" s="107"/>
      <c r="Z21" s="106"/>
      <c r="AA21" s="106"/>
      <c r="AB21" s="106"/>
      <c r="AC21" s="106"/>
      <c r="AD21" s="106"/>
    </row>
    <row r="22" spans="1:30">
      <c r="A22" s="205"/>
      <c r="B22" s="204"/>
      <c r="C22" s="203"/>
      <c r="D22" s="202" t="s">
        <v>33</v>
      </c>
      <c r="E22" s="206">
        <f>+消費税!Z118+消費税!AF118</f>
        <v>343538729</v>
      </c>
      <c r="F22" s="108"/>
      <c r="G22" s="25"/>
      <c r="H22" s="25"/>
      <c r="I22" s="25"/>
      <c r="J22" s="22"/>
      <c r="K22" s="22"/>
      <c r="L22" s="183"/>
      <c r="M22" s="183"/>
      <c r="N22" s="108"/>
      <c r="O22" s="25"/>
      <c r="P22" s="25"/>
      <c r="Q22" s="25"/>
      <c r="R22" s="157"/>
      <c r="S22" s="22"/>
      <c r="T22" s="201"/>
      <c r="U22" s="107"/>
      <c r="V22" s="107"/>
      <c r="W22" s="107"/>
      <c r="X22" s="107"/>
      <c r="Y22" s="107"/>
      <c r="Z22" s="106"/>
      <c r="AA22" s="106"/>
      <c r="AB22" s="106"/>
      <c r="AC22" s="106"/>
      <c r="AD22" s="106"/>
    </row>
    <row r="23" spans="1:30">
      <c r="A23" s="205"/>
      <c r="B23" s="204"/>
      <c r="C23" s="203"/>
      <c r="D23" s="202"/>
      <c r="E23" s="183"/>
      <c r="F23" s="108"/>
      <c r="G23" s="25"/>
      <c r="H23" s="25"/>
      <c r="I23" s="25"/>
      <c r="J23" s="22"/>
      <c r="K23" s="22"/>
      <c r="L23" s="183"/>
      <c r="M23" s="183"/>
      <c r="N23" s="108"/>
      <c r="O23" s="25"/>
      <c r="P23" s="25"/>
      <c r="Q23" s="25"/>
      <c r="R23" s="157"/>
      <c r="S23" s="22"/>
      <c r="T23" s="201"/>
      <c r="U23" s="107"/>
      <c r="V23" s="107"/>
      <c r="W23" s="107"/>
      <c r="X23" s="107"/>
      <c r="Y23" s="107"/>
      <c r="Z23" s="106"/>
      <c r="AA23" s="106"/>
      <c r="AB23" s="106"/>
      <c r="AC23" s="106"/>
      <c r="AD23" s="106"/>
    </row>
    <row r="24" spans="1:30">
      <c r="A24" s="205"/>
      <c r="B24" s="204"/>
      <c r="C24" s="203"/>
      <c r="D24" s="202"/>
      <c r="E24" s="183"/>
      <c r="F24" s="108"/>
      <c r="G24" s="25"/>
      <c r="H24" s="25"/>
      <c r="I24" s="25"/>
      <c r="J24" s="22"/>
      <c r="K24" s="22"/>
      <c r="L24" s="183"/>
      <c r="M24" s="183"/>
      <c r="N24" s="108"/>
      <c r="O24" s="25"/>
      <c r="P24" s="25"/>
      <c r="Q24" s="25"/>
      <c r="R24" s="157"/>
      <c r="S24" s="22"/>
      <c r="T24" s="201"/>
      <c r="U24" s="107"/>
      <c r="V24" s="107"/>
      <c r="W24" s="107"/>
      <c r="X24" s="107"/>
      <c r="Y24" s="107"/>
      <c r="Z24" s="106"/>
      <c r="AA24" s="106"/>
      <c r="AB24" s="106"/>
      <c r="AC24" s="106"/>
      <c r="AD24" s="106"/>
    </row>
    <row r="25" spans="1:30">
      <c r="A25" s="205"/>
      <c r="B25" s="204"/>
      <c r="C25" s="203"/>
      <c r="D25" s="202"/>
      <c r="E25" s="183"/>
      <c r="F25" s="108"/>
      <c r="G25" s="25"/>
      <c r="H25" s="25"/>
      <c r="I25" s="25"/>
      <c r="J25" s="22"/>
      <c r="K25" s="22"/>
      <c r="L25" s="183"/>
      <c r="M25" s="183"/>
      <c r="N25" s="108"/>
      <c r="O25" s="25"/>
      <c r="P25" s="25"/>
      <c r="Q25" s="25"/>
      <c r="R25" s="157"/>
      <c r="S25" s="22"/>
      <c r="T25" s="201"/>
      <c r="U25" s="107"/>
      <c r="V25" s="107"/>
      <c r="W25" s="107"/>
      <c r="X25" s="107"/>
      <c r="Y25" s="107"/>
      <c r="Z25" s="106"/>
      <c r="AA25" s="106"/>
      <c r="AB25" s="106"/>
      <c r="AC25" s="106"/>
      <c r="AD25" s="106"/>
    </row>
    <row r="26" spans="1:30">
      <c r="A26" s="205"/>
      <c r="B26" s="204"/>
      <c r="C26" s="203"/>
      <c r="D26" s="202"/>
      <c r="E26" s="183"/>
      <c r="F26" s="108"/>
      <c r="G26" s="25"/>
      <c r="H26" s="25"/>
      <c r="I26" s="25"/>
      <c r="J26" s="22"/>
      <c r="K26" s="22"/>
      <c r="L26" s="183"/>
      <c r="M26" s="183"/>
      <c r="N26" s="108"/>
      <c r="O26" s="25"/>
      <c r="P26" s="25"/>
      <c r="Q26" s="25"/>
      <c r="R26" s="157"/>
      <c r="S26" s="22"/>
      <c r="T26" s="201"/>
      <c r="U26" s="107"/>
      <c r="V26" s="107"/>
      <c r="W26" s="107"/>
      <c r="X26" s="107"/>
      <c r="Y26" s="107"/>
      <c r="Z26" s="106"/>
      <c r="AA26" s="106"/>
      <c r="AB26" s="106"/>
      <c r="AC26" s="106"/>
      <c r="AD26" s="106"/>
    </row>
    <row r="27" spans="1:30">
      <c r="A27" s="205"/>
      <c r="B27" s="204"/>
      <c r="C27" s="203"/>
      <c r="D27" s="202"/>
      <c r="E27" s="183"/>
      <c r="F27" s="108"/>
      <c r="G27" s="25"/>
      <c r="H27" s="25"/>
      <c r="I27" s="25"/>
      <c r="J27" s="22"/>
      <c r="K27" s="22"/>
      <c r="L27" s="183"/>
      <c r="M27" s="183"/>
      <c r="N27" s="108"/>
      <c r="O27" s="25"/>
      <c r="P27" s="25"/>
      <c r="Q27" s="25"/>
      <c r="R27" s="157"/>
      <c r="S27" s="22"/>
      <c r="T27" s="201"/>
      <c r="U27" s="107"/>
      <c r="V27" s="107"/>
      <c r="W27" s="107"/>
      <c r="X27" s="107"/>
      <c r="Y27" s="107"/>
      <c r="Z27" s="106"/>
      <c r="AA27" s="106"/>
      <c r="AB27" s="106"/>
      <c r="AC27" s="106"/>
      <c r="AD27" s="106"/>
    </row>
    <row r="28" spans="1:30">
      <c r="A28" s="205"/>
      <c r="B28" s="204"/>
      <c r="C28" s="203"/>
      <c r="D28" s="202"/>
      <c r="E28" s="183"/>
      <c r="F28" s="108"/>
      <c r="G28" s="25"/>
      <c r="H28" s="25"/>
      <c r="I28" s="25"/>
      <c r="J28" s="22"/>
      <c r="K28" s="22"/>
      <c r="L28" s="183"/>
      <c r="M28" s="183"/>
      <c r="N28" s="108"/>
      <c r="O28" s="25"/>
      <c r="P28" s="25"/>
      <c r="Q28" s="25"/>
      <c r="R28" s="157"/>
      <c r="S28" s="22"/>
      <c r="T28" s="201"/>
      <c r="U28" s="107"/>
      <c r="V28" s="107"/>
      <c r="W28" s="107"/>
      <c r="X28" s="107"/>
      <c r="Y28" s="107"/>
      <c r="Z28" s="106"/>
      <c r="AA28" s="106"/>
      <c r="AB28" s="106"/>
      <c r="AC28" s="106"/>
      <c r="AD28" s="106"/>
    </row>
    <row r="29" spans="1:30">
      <c r="A29" s="205"/>
      <c r="B29" s="204"/>
      <c r="C29" s="203"/>
      <c r="D29" s="202"/>
      <c r="E29" s="183"/>
      <c r="F29" s="108"/>
      <c r="G29" s="25"/>
      <c r="H29" s="25"/>
      <c r="I29" s="25"/>
      <c r="J29" s="22"/>
      <c r="K29" s="22"/>
      <c r="L29" s="183"/>
      <c r="M29" s="183"/>
      <c r="N29" s="108"/>
      <c r="O29" s="25"/>
      <c r="P29" s="25"/>
      <c r="Q29" s="25"/>
      <c r="R29" s="157"/>
      <c r="S29" s="22"/>
      <c r="T29" s="201"/>
      <c r="U29" s="107"/>
      <c r="V29" s="107"/>
      <c r="W29" s="107"/>
      <c r="X29" s="107"/>
      <c r="Y29" s="107"/>
      <c r="Z29" s="106"/>
      <c r="AA29" s="106"/>
      <c r="AB29" s="106"/>
      <c r="AC29" s="106"/>
      <c r="AD29" s="106"/>
    </row>
    <row r="30" spans="1:30">
      <c r="A30" s="205"/>
      <c r="B30" s="204"/>
      <c r="C30" s="203"/>
      <c r="D30" s="202"/>
      <c r="E30" s="183"/>
      <c r="F30" s="108"/>
      <c r="G30" s="25"/>
      <c r="H30" s="25"/>
      <c r="I30" s="25"/>
      <c r="J30" s="22"/>
      <c r="K30" s="22"/>
      <c r="L30" s="183"/>
      <c r="M30" s="183"/>
      <c r="N30" s="108"/>
      <c r="O30" s="25"/>
      <c r="P30" s="25"/>
      <c r="Q30" s="25"/>
      <c r="R30" s="157"/>
      <c r="S30" s="22"/>
      <c r="T30" s="201"/>
      <c r="U30" s="107"/>
      <c r="V30" s="107"/>
      <c r="W30" s="107"/>
      <c r="X30" s="107"/>
      <c r="Y30" s="107"/>
      <c r="Z30" s="106"/>
      <c r="AA30" s="106"/>
      <c r="AB30" s="106"/>
      <c r="AC30" s="106"/>
      <c r="AD30" s="106"/>
    </row>
    <row r="31" spans="1:30">
      <c r="A31" s="205"/>
      <c r="B31" s="204"/>
      <c r="C31" s="203"/>
      <c r="D31" s="202"/>
      <c r="E31" s="183"/>
      <c r="F31" s="108"/>
      <c r="G31" s="25"/>
      <c r="H31" s="25"/>
      <c r="I31" s="25"/>
      <c r="J31" s="22"/>
      <c r="K31" s="22"/>
      <c r="L31" s="183"/>
      <c r="M31" s="183"/>
      <c r="N31" s="108"/>
      <c r="O31" s="25"/>
      <c r="P31" s="25"/>
      <c r="Q31" s="25"/>
      <c r="R31" s="157"/>
      <c r="S31" s="22"/>
      <c r="T31" s="201"/>
      <c r="U31" s="107"/>
      <c r="V31" s="107"/>
      <c r="W31" s="107"/>
      <c r="X31" s="107"/>
      <c r="Y31" s="107"/>
      <c r="Z31" s="106"/>
      <c r="AA31" s="106"/>
      <c r="AB31" s="106"/>
      <c r="AC31" s="106"/>
      <c r="AD31" s="106"/>
    </row>
    <row r="32" spans="1:30">
      <c r="A32" s="205"/>
      <c r="B32" s="204"/>
      <c r="C32" s="203"/>
      <c r="D32" s="202"/>
      <c r="E32" s="183"/>
      <c r="F32" s="108"/>
      <c r="G32" s="25"/>
      <c r="H32" s="25"/>
      <c r="I32" s="25"/>
      <c r="J32" s="22"/>
      <c r="K32" s="22"/>
      <c r="L32" s="183"/>
      <c r="M32" s="183"/>
      <c r="N32" s="108"/>
      <c r="O32" s="25"/>
      <c r="P32" s="25"/>
      <c r="Q32" s="25"/>
      <c r="R32" s="157"/>
      <c r="S32" s="22"/>
      <c r="T32" s="201"/>
      <c r="U32" s="107"/>
      <c r="V32" s="107"/>
      <c r="W32" s="107"/>
      <c r="X32" s="107"/>
      <c r="Y32" s="107"/>
      <c r="Z32" s="106"/>
      <c r="AA32" s="106"/>
      <c r="AB32" s="106"/>
      <c r="AC32" s="106"/>
      <c r="AD32" s="106"/>
    </row>
    <row r="33" spans="1:30">
      <c r="A33" s="205"/>
      <c r="B33" s="204"/>
      <c r="C33" s="203"/>
      <c r="D33" s="202"/>
      <c r="E33" s="183"/>
      <c r="F33" s="108"/>
      <c r="G33" s="25"/>
      <c r="H33" s="25"/>
      <c r="I33" s="25"/>
      <c r="J33" s="22"/>
      <c r="K33" s="22"/>
      <c r="L33" s="183"/>
      <c r="M33" s="183"/>
      <c r="N33" s="108"/>
      <c r="O33" s="25"/>
      <c r="P33" s="25"/>
      <c r="Q33" s="25"/>
      <c r="R33" s="157"/>
      <c r="S33" s="22"/>
      <c r="T33" s="201"/>
      <c r="U33" s="107"/>
      <c r="V33" s="107"/>
      <c r="W33" s="107"/>
      <c r="X33" s="107"/>
      <c r="Y33" s="107"/>
      <c r="Z33" s="106"/>
      <c r="AA33" s="106"/>
      <c r="AB33" s="106"/>
      <c r="AC33" s="106"/>
      <c r="AD33" s="106"/>
    </row>
    <row r="34" spans="1:30">
      <c r="A34" s="205"/>
      <c r="B34" s="204"/>
      <c r="C34" s="203"/>
      <c r="D34" s="202"/>
      <c r="E34" s="183"/>
      <c r="F34" s="108"/>
      <c r="G34" s="25"/>
      <c r="H34" s="25"/>
      <c r="I34" s="25"/>
      <c r="J34" s="22"/>
      <c r="K34" s="22"/>
      <c r="L34" s="183"/>
      <c r="M34" s="183"/>
      <c r="N34" s="108"/>
      <c r="O34" s="25"/>
      <c r="P34" s="25"/>
      <c r="Q34" s="25"/>
      <c r="R34" s="157"/>
      <c r="S34" s="22"/>
      <c r="T34" s="201"/>
      <c r="U34" s="107"/>
      <c r="V34" s="107"/>
      <c r="W34" s="107"/>
      <c r="X34" s="107"/>
      <c r="Y34" s="107"/>
      <c r="Z34" s="106"/>
      <c r="AA34" s="106"/>
      <c r="AB34" s="106"/>
      <c r="AC34" s="106"/>
      <c r="AD34" s="106"/>
    </row>
    <row r="35" spans="1:30" ht="14.25" thickBot="1">
      <c r="A35" s="205"/>
      <c r="B35" s="204"/>
      <c r="C35" s="203"/>
      <c r="D35" s="202"/>
      <c r="E35" s="183"/>
      <c r="F35" s="108"/>
      <c r="G35" s="25"/>
      <c r="H35" s="25"/>
      <c r="I35" s="25"/>
      <c r="J35" s="22"/>
      <c r="K35" s="22"/>
      <c r="L35" s="183"/>
      <c r="M35" s="183"/>
      <c r="N35" s="108"/>
      <c r="O35" s="25"/>
      <c r="P35" s="25"/>
      <c r="Q35" s="25"/>
      <c r="R35" s="157"/>
      <c r="S35" s="22"/>
      <c r="T35" s="201"/>
      <c r="U35" s="107"/>
      <c r="V35" s="107"/>
      <c r="W35" s="107"/>
      <c r="X35" s="107"/>
      <c r="Y35" s="107"/>
      <c r="Z35" s="106"/>
      <c r="AA35" s="106"/>
      <c r="AB35" s="106"/>
      <c r="AC35" s="106"/>
      <c r="AD35" s="106"/>
    </row>
    <row r="36" spans="1:30" ht="14.25" thickTop="1">
      <c r="A36" s="200"/>
      <c r="B36" s="199"/>
      <c r="C36" s="198"/>
      <c r="D36" s="197" t="s">
        <v>2</v>
      </c>
      <c r="E36" s="195">
        <f t="shared" ref="E36:T36" si="26">SUM(E5,E14)</f>
        <v>3955185318</v>
      </c>
      <c r="F36" s="196">
        <f t="shared" si="26"/>
        <v>0</v>
      </c>
      <c r="G36" s="18">
        <f t="shared" si="26"/>
        <v>0</v>
      </c>
      <c r="H36" s="18">
        <f t="shared" si="26"/>
        <v>23932</v>
      </c>
      <c r="I36" s="18">
        <f t="shared" ref="I36" si="27">SUM(I5,I14)</f>
        <v>0</v>
      </c>
      <c r="J36" s="15">
        <f t="shared" si="26"/>
        <v>67182291</v>
      </c>
      <c r="K36" s="144">
        <f t="shared" si="26"/>
        <v>67206223</v>
      </c>
      <c r="L36" s="195">
        <f t="shared" si="26"/>
        <v>3884147396</v>
      </c>
      <c r="M36" s="195">
        <f t="shared" si="26"/>
        <v>3831699</v>
      </c>
      <c r="N36" s="146">
        <f t="shared" si="26"/>
        <v>0</v>
      </c>
      <c r="O36" s="145">
        <f t="shared" si="26"/>
        <v>0</v>
      </c>
      <c r="P36" s="145">
        <f t="shared" si="26"/>
        <v>1773</v>
      </c>
      <c r="Q36" s="145">
        <f t="shared" ref="Q36" si="28">SUM(Q5,Q14)</f>
        <v>0</v>
      </c>
      <c r="R36" s="148">
        <f t="shared" si="26"/>
        <v>6107481</v>
      </c>
      <c r="S36" s="144">
        <f t="shared" si="26"/>
        <v>6109254</v>
      </c>
      <c r="T36" s="147">
        <f t="shared" si="26"/>
        <v>4161563541</v>
      </c>
      <c r="U36" s="88" t="str">
        <f>+IF(F36=0,"",ROUND(F36*F$4/(100+F$4),7)-N36)</f>
        <v/>
      </c>
      <c r="V36" s="88"/>
      <c r="W36" s="88"/>
      <c r="X36" s="88"/>
      <c r="Y36" s="88"/>
      <c r="Z36" s="88"/>
      <c r="AA36" s="88"/>
      <c r="AB36" s="87"/>
      <c r="AC36" s="87"/>
      <c r="AD36" s="87"/>
    </row>
    <row r="37" spans="1:30">
      <c r="A37" s="194"/>
      <c r="B37" s="193"/>
      <c r="C37" s="192"/>
      <c r="D37" s="191" t="s">
        <v>1</v>
      </c>
      <c r="E37" s="188">
        <f t="shared" ref="E37:J37" si="29">+E36</f>
        <v>3955185318</v>
      </c>
      <c r="F37" s="190">
        <f t="shared" si="29"/>
        <v>0</v>
      </c>
      <c r="G37" s="189">
        <f t="shared" si="29"/>
        <v>0</v>
      </c>
      <c r="H37" s="189">
        <f t="shared" si="29"/>
        <v>23932</v>
      </c>
      <c r="I37" s="189">
        <f t="shared" si="29"/>
        <v>0</v>
      </c>
      <c r="J37" s="7">
        <f t="shared" si="29"/>
        <v>67182291</v>
      </c>
      <c r="K37" s="66">
        <f>SUM(F37:J37)</f>
        <v>67206223</v>
      </c>
      <c r="L37" s="188">
        <f>+L36</f>
        <v>3884147396</v>
      </c>
      <c r="M37" s="135">
        <f>+M36</f>
        <v>3831699</v>
      </c>
      <c r="N37" s="133">
        <f>+'3条支出'!N22</f>
        <v>0</v>
      </c>
      <c r="O37" s="132">
        <f>+'3条支出'!O22</f>
        <v>0</v>
      </c>
      <c r="P37" s="132">
        <f>+'3条支出'!P22</f>
        <v>1773</v>
      </c>
      <c r="Q37" s="132">
        <f>+'3条支出'!Q22</f>
        <v>0</v>
      </c>
      <c r="R37" s="132">
        <f>+'3条支出'!R22</f>
        <v>6107481</v>
      </c>
      <c r="S37" s="131">
        <f>+'3条支出'!S22</f>
        <v>6109254</v>
      </c>
      <c r="T37" s="134">
        <f>+'3条支出'!T22</f>
        <v>4161563541</v>
      </c>
      <c r="U37" s="88" t="str">
        <f>+IF(F37=0,"",ROUND(F37*F$4/(100+F$4),7)-N37)</f>
        <v/>
      </c>
      <c r="V37" s="88"/>
      <c r="W37" s="88"/>
      <c r="X37" s="88"/>
      <c r="Y37" s="88"/>
      <c r="Z37" s="88"/>
      <c r="AA37" s="88"/>
      <c r="AB37" s="87"/>
      <c r="AC37" s="87"/>
      <c r="AD37" s="87"/>
    </row>
    <row r="38" spans="1:30">
      <c r="E38" s="4">
        <f t="shared" ref="E38:T38" si="30">+E37-E36</f>
        <v>0</v>
      </c>
      <c r="F38" s="4">
        <f t="shared" si="30"/>
        <v>0</v>
      </c>
      <c r="G38" s="4">
        <f t="shared" si="30"/>
        <v>0</v>
      </c>
      <c r="H38" s="4">
        <f t="shared" si="30"/>
        <v>0</v>
      </c>
      <c r="I38" s="4">
        <f t="shared" ref="I38" si="31">+I37-I36</f>
        <v>0</v>
      </c>
      <c r="J38" s="4">
        <f t="shared" si="30"/>
        <v>0</v>
      </c>
      <c r="K38" s="4">
        <f t="shared" si="30"/>
        <v>0</v>
      </c>
      <c r="L38" s="4">
        <f t="shared" si="30"/>
        <v>0</v>
      </c>
      <c r="M38" s="4">
        <f t="shared" si="30"/>
        <v>0</v>
      </c>
      <c r="N38" s="4">
        <f t="shared" si="30"/>
        <v>0</v>
      </c>
      <c r="O38" s="4">
        <f t="shared" si="30"/>
        <v>0</v>
      </c>
      <c r="P38" s="4">
        <f t="shared" si="30"/>
        <v>0</v>
      </c>
      <c r="Q38" s="4">
        <f t="shared" ref="Q38" si="32">+Q37-Q36</f>
        <v>0</v>
      </c>
      <c r="R38" s="4">
        <f t="shared" si="30"/>
        <v>0</v>
      </c>
      <c r="S38" s="4">
        <f t="shared" si="30"/>
        <v>0</v>
      </c>
      <c r="T38" s="4">
        <f t="shared" si="30"/>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C39" s="61">
        <v>884055900</v>
      </c>
      <c r="D39" s="58" t="s">
        <v>32</v>
      </c>
      <c r="E39" s="187">
        <f>+SUMIFS(全伝票!I:I,全伝票!$C:$C,$C39)</f>
        <v>42630200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62"/>
      <c r="F40" s="62"/>
      <c r="G40" s="186"/>
      <c r="H40" s="62"/>
      <c r="I40" s="62"/>
      <c r="U40" s="88" t="str">
        <f>+IF(F40=0,"",ROUND(F40*F$4/(100+F$4),7)-N40)</f>
        <v/>
      </c>
      <c r="V40" s="88"/>
      <c r="W40" s="88"/>
      <c r="X40" s="88"/>
      <c r="Y40" s="88"/>
      <c r="Z40" s="88"/>
      <c r="AA40" s="88"/>
      <c r="AB40" s="87"/>
      <c r="AC40" s="87"/>
      <c r="AD40" s="87"/>
    </row>
    <row r="41" spans="1:30">
      <c r="E41" s="62"/>
      <c r="F41" s="62"/>
      <c r="G41" s="186"/>
      <c r="H41" s="62"/>
      <c r="I41" s="62"/>
    </row>
    <row r="42" spans="1:30">
      <c r="E42" s="62"/>
      <c r="F42" s="62"/>
      <c r="G42" s="62"/>
      <c r="H42" s="62"/>
      <c r="I42" s="6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38" priority="5" stopIfTrue="1">
      <formula>LEN(TRIM(AE36))&gt;0</formula>
    </cfRule>
  </conditionalFormatting>
  <conditionalFormatting sqref="AE5:AI35">
    <cfRule type="notContainsBlanks" dxfId="37" priority="4" stopIfTrue="1">
      <formula>LEN(TRIM(AE5))&gt;0</formula>
    </cfRule>
  </conditionalFormatting>
  <conditionalFormatting sqref="Z5:AD19 Z21:AD35">
    <cfRule type="expression" dxfId="36" priority="3">
      <formula>ABS(Z5)=1</formula>
    </cfRule>
  </conditionalFormatting>
  <conditionalFormatting sqref="E38:T38">
    <cfRule type="cellIs" dxfId="35" priority="2" operator="notEqual">
      <formula>0</formula>
    </cfRule>
  </conditionalFormatting>
  <conditionalFormatting sqref="Z20:AD20">
    <cfRule type="expression" dxfId="34" priority="1">
      <formula>ABS(Z20)=1</formula>
    </cfRule>
  </conditionalFormatting>
  <pageMargins left="0.39370078740157483" right="0.39370078740157483" top="0.78740157480314965" bottom="0.39370078740157483" header="0.39370078740157483" footer="0.19685039370078741"/>
  <pageSetup paperSize="9" scale="79" orientation="landscape" blackAndWhite="1" r:id="rId1"/>
  <headerFooter>
    <oddFooter>&amp;L&amp;8&amp;Z&amp;F&amp;A&amp;R&amp;8&amp;D&amp;T</oddFooter>
  </headerFooter>
  <legacyDrawing r:id="rId2"/>
</worksheet>
</file>

<file path=xl/worksheets/w1_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I44"/>
  <sheetViews>
    <sheetView zoomScale="55" zoomScaleNormal="55" workbookViewId="0">
      <selection activeCell="E30" sqref="E30"/>
    </sheetView>
  </sheetViews>
  <sheetFormatPr defaultColWidth="9" defaultRowHeight="13.5" outlineLevelCol="1"/>
  <cols>
    <col min="1" max="1" width="4.375" style="1" customWidth="1"/>
    <col min="2" max="3" width="6.25" style="1" customWidth="1"/>
    <col min="4" max="4" width="39" style="1" customWidth="1"/>
    <col min="5" max="5" width="13.625" style="1" customWidth="1"/>
    <col min="6" max="6" width="12.625" style="1" customWidth="1" outlineLevel="1"/>
    <col min="7" max="9" width="12.625" style="1" customWidth="1"/>
    <col min="10" max="10" width="12.375" style="1" customWidth="1"/>
    <col min="11" max="11" width="13.625" style="3" customWidth="1"/>
    <col min="12" max="12" width="12.625" style="1" customWidth="1"/>
    <col min="13" max="13" width="13.625" style="1" customWidth="1"/>
    <col min="14" max="14" width="9.25" style="3" customWidth="1" outlineLevel="1"/>
    <col min="15" max="18" width="9.25" style="3" customWidth="1"/>
    <col min="19" max="19" width="9.25" style="3" bestFit="1" customWidth="1"/>
    <col min="20" max="20" width="13.625" style="1" customWidth="1"/>
    <col min="21" max="25" width="7.125" style="2" customWidth="1"/>
    <col min="26" max="30" width="6.375" style="2" customWidth="1"/>
    <col min="31" max="35" width="5.75" style="2" customWidth="1"/>
    <col min="36" max="16384" width="9" style="1"/>
  </cols>
  <sheetData>
    <row r="1" spans="1:35">
      <c r="D1" s="1" t="str">
        <f>+'3条支出'!D1</f>
        <v>令和５年度決算　消費税算出資料</v>
      </c>
    </row>
    <row r="2" spans="1:35">
      <c r="D2" s="1" t="s">
        <v>528</v>
      </c>
      <c r="V2" s="122"/>
      <c r="W2" s="122"/>
      <c r="X2" s="261"/>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127">
        <v>10</v>
      </c>
      <c r="K4" s="123" t="s">
        <v>2</v>
      </c>
      <c r="L4" s="312"/>
      <c r="M4" s="312"/>
      <c r="N4" s="126">
        <v>3</v>
      </c>
      <c r="O4" s="125">
        <v>5</v>
      </c>
      <c r="P4" s="125">
        <v>8</v>
      </c>
      <c r="Q4" s="269">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220"/>
      <c r="B5" s="219">
        <v>8850606</v>
      </c>
      <c r="C5" s="218"/>
      <c r="D5" s="223" t="s">
        <v>527</v>
      </c>
      <c r="E5" s="170">
        <f>+IF($A5="",IF($C5="",SUMIFS(全伝票!I:I,全伝票!$B:$B,$B5),SUMIFS(全伝票!I:I,全伝票!$C:$C,$C5)),IF($C5="",SUMIFS(全伝票!I:I,全伝票!$A:$A,$A5,全伝票!$B:$B,$B5),SUMIFS(全伝票!I:I,全伝票!$A:$A,$A5,全伝票!$C:$C,$C5)))</f>
        <v>10679943</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15407</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10640333</v>
      </c>
      <c r="K5" s="167">
        <f>SUM(F5:J5)</f>
        <v>10655740</v>
      </c>
      <c r="L5" s="170">
        <f>+IF($A5="",IF($C5="",SUMIFS(全伝票!O:O,全伝票!$B:$B,$B5),SUMIFS(全伝票!O:O,全伝票!$C:$C,$C5)),IF($C5="",SUMIFS(全伝票!O:O,全伝票!$A:$A,$A5,全伝票!$B:$B,$B5),SUMIFS(全伝票!O:O,全伝票!$A:$A,$A5,全伝票!$C:$C,$C5)))</f>
        <v>6023</v>
      </c>
      <c r="M5" s="170">
        <f>+IF($A5="",IF($C5="",SUMIFS(全伝票!P:P,全伝票!$B:$B,$B5),SUMIFS(全伝票!P:P,全伝票!$C:$C,$C5)),IF($C5="",SUMIFS(全伝票!P:P,全伝票!$A:$A,$A5,全伝票!$B:$B,$B5),SUMIFS(全伝票!P:P,全伝票!$A:$A,$A5,全伝票!$C:$C,$C5)))</f>
        <v>18180</v>
      </c>
      <c r="N5" s="169">
        <f t="shared" ref="N5:Q11" si="0">+ROUND(F5*F$4/(100+F$4),0)+AE5</f>
        <v>0</v>
      </c>
      <c r="O5" s="47">
        <f t="shared" si="0"/>
        <v>0</v>
      </c>
      <c r="P5" s="47">
        <f t="shared" si="0"/>
        <v>1141</v>
      </c>
      <c r="Q5" s="47">
        <f t="shared" si="0"/>
        <v>0</v>
      </c>
      <c r="R5" s="168">
        <f>+ROUND(J5*J$4/(100+J$4),0)+AI5</f>
        <v>967303</v>
      </c>
      <c r="S5" s="167">
        <f>SUM(N5:R5)</f>
        <v>968444</v>
      </c>
      <c r="T5" s="215">
        <f>+E5-S5</f>
        <v>9711499</v>
      </c>
      <c r="U5" s="107"/>
      <c r="V5" s="107"/>
      <c r="W5" s="107"/>
      <c r="X5" s="107"/>
      <c r="Y5" s="107"/>
      <c r="Z5" s="106"/>
      <c r="AA5" s="106"/>
      <c r="AB5" s="106"/>
      <c r="AC5" s="106"/>
      <c r="AD5" s="106"/>
    </row>
    <row r="6" spans="1:35">
      <c r="A6" s="205"/>
      <c r="B6" s="204"/>
      <c r="C6" s="203"/>
      <c r="D6" s="222" t="s">
        <v>526</v>
      </c>
      <c r="E6" s="101">
        <f>+SUM(K6:M6)</f>
        <v>5557247</v>
      </c>
      <c r="F6" s="90">
        <f>+F5-SUM(F7:F11)</f>
        <v>0</v>
      </c>
      <c r="G6" s="89">
        <f t="shared" ref="G6:H6" si="1">+G5-SUM(G7:G11)</f>
        <v>0</v>
      </c>
      <c r="H6" s="89">
        <f t="shared" si="1"/>
        <v>4690</v>
      </c>
      <c r="I6" s="89">
        <f t="shared" ref="I6" si="2">+I5-SUM(I7:I11)</f>
        <v>0</v>
      </c>
      <c r="J6" s="34">
        <f>+J5-SUM(J7:J11)</f>
        <v>5552557</v>
      </c>
      <c r="K6" s="22">
        <f t="shared" ref="K6" si="3">SUM(F6:J6)</f>
        <v>5557247</v>
      </c>
      <c r="L6" s="101">
        <f t="shared" ref="L6:M6" si="4">+L5-SUM(L7:L11)</f>
        <v>0</v>
      </c>
      <c r="M6" s="101">
        <f t="shared" si="4"/>
        <v>0</v>
      </c>
      <c r="N6" s="108">
        <f t="shared" si="0"/>
        <v>0</v>
      </c>
      <c r="O6" s="25">
        <f t="shared" si="0"/>
        <v>0</v>
      </c>
      <c r="P6" s="25">
        <f>+ROUND(H6*H$4/(100+H$4),0)+AG6</f>
        <v>347</v>
      </c>
      <c r="Q6" s="25">
        <f t="shared" si="0"/>
        <v>0</v>
      </c>
      <c r="R6" s="157">
        <f>+ROUND(J6*J$4/(100+J$4),0)+AI6</f>
        <v>504778</v>
      </c>
      <c r="S6" s="22">
        <f>SUM(N6:R6)</f>
        <v>505125</v>
      </c>
      <c r="T6" s="201">
        <f>+E6-S6</f>
        <v>5052122</v>
      </c>
      <c r="U6" s="107">
        <f t="shared" ref="U6:X11" si="5">N6-F6*F$4/(100+F$4)</f>
        <v>0</v>
      </c>
      <c r="V6" s="107">
        <f t="shared" si="5"/>
        <v>0</v>
      </c>
      <c r="W6" s="107">
        <f t="shared" si="5"/>
        <v>-0.40740740740739056</v>
      </c>
      <c r="X6" s="107">
        <f t="shared" si="5"/>
        <v>0</v>
      </c>
      <c r="Y6" s="107">
        <f>R6-J6*J$4/(100+J$4)</f>
        <v>9.0909090882632881E-2</v>
      </c>
      <c r="Z6" s="106">
        <f t="shared" ref="Z6:AD8" si="6">+IF(N$40=0,0,IF(N$40&lt;0,-RANK(U6,U$5:U$37,0),RANK(U6,U$5:U$37,1)))</f>
        <v>0</v>
      </c>
      <c r="AA6" s="106">
        <f t="shared" si="6"/>
        <v>0</v>
      </c>
      <c r="AB6" s="106">
        <f t="shared" si="6"/>
        <v>0</v>
      </c>
      <c r="AC6" s="106">
        <f t="shared" si="6"/>
        <v>0</v>
      </c>
      <c r="AD6" s="106">
        <f t="shared" si="6"/>
        <v>0</v>
      </c>
    </row>
    <row r="7" spans="1:35">
      <c r="A7" s="205"/>
      <c r="B7" s="204"/>
      <c r="C7" s="203"/>
      <c r="D7" s="222" t="s">
        <v>525</v>
      </c>
      <c r="E7" s="101">
        <f>+SUM(K7:M7)</f>
        <v>5097903</v>
      </c>
      <c r="F7" s="210"/>
      <c r="G7" s="209">
        <v>0</v>
      </c>
      <c r="H7" s="209">
        <v>10717</v>
      </c>
      <c r="I7" s="209"/>
      <c r="J7" s="208">
        <v>5087186</v>
      </c>
      <c r="K7" s="22">
        <f t="shared" ref="K7:K11" si="7">SUM(F7:J7)</f>
        <v>5097903</v>
      </c>
      <c r="L7" s="207"/>
      <c r="M7" s="207"/>
      <c r="N7" s="108">
        <f t="shared" si="0"/>
        <v>0</v>
      </c>
      <c r="O7" s="25">
        <f t="shared" si="0"/>
        <v>0</v>
      </c>
      <c r="P7" s="25">
        <f>+ROUND(H7*H$4/(100+H$4),0)+AG7</f>
        <v>794</v>
      </c>
      <c r="Q7" s="25">
        <f t="shared" si="0"/>
        <v>0</v>
      </c>
      <c r="R7" s="157">
        <f>+ROUND(J7*J$4/(100+J$4),0)+AI7</f>
        <v>462471</v>
      </c>
      <c r="S7" s="22">
        <f>SUM(N7:R7)</f>
        <v>463265</v>
      </c>
      <c r="T7" s="201">
        <f>+E7-S7</f>
        <v>4634638</v>
      </c>
      <c r="U7" s="107">
        <f t="shared" si="5"/>
        <v>0</v>
      </c>
      <c r="V7" s="107">
        <f t="shared" si="5"/>
        <v>0</v>
      </c>
      <c r="W7" s="107">
        <f t="shared" si="5"/>
        <v>0.14814814814815236</v>
      </c>
      <c r="X7" s="107">
        <f t="shared" si="5"/>
        <v>0</v>
      </c>
      <c r="Y7" s="107">
        <f>R7-J7*J$4/(100+J$4)</f>
        <v>-0.45454545452957973</v>
      </c>
      <c r="Z7" s="106">
        <f t="shared" si="6"/>
        <v>0</v>
      </c>
      <c r="AA7" s="106">
        <f t="shared" si="6"/>
        <v>0</v>
      </c>
      <c r="AB7" s="106">
        <f t="shared" si="6"/>
        <v>0</v>
      </c>
      <c r="AC7" s="106">
        <f t="shared" si="6"/>
        <v>0</v>
      </c>
      <c r="AD7" s="106">
        <f t="shared" si="6"/>
        <v>0</v>
      </c>
    </row>
    <row r="8" spans="1:35">
      <c r="A8" s="205"/>
      <c r="B8" s="204"/>
      <c r="C8" s="203"/>
      <c r="D8" s="222" t="s">
        <v>550</v>
      </c>
      <c r="E8" s="101">
        <f>+SUM(K8:M8)</f>
        <v>590</v>
      </c>
      <c r="F8" s="210"/>
      <c r="G8" s="209">
        <v>0</v>
      </c>
      <c r="H8" s="209"/>
      <c r="I8" s="209"/>
      <c r="J8" s="208">
        <v>590</v>
      </c>
      <c r="K8" s="22">
        <f t="shared" si="7"/>
        <v>590</v>
      </c>
      <c r="L8" s="207"/>
      <c r="M8" s="207"/>
      <c r="N8" s="108">
        <f t="shared" si="0"/>
        <v>0</v>
      </c>
      <c r="O8" s="25">
        <f t="shared" si="0"/>
        <v>0</v>
      </c>
      <c r="P8" s="25">
        <f t="shared" si="0"/>
        <v>0</v>
      </c>
      <c r="Q8" s="25">
        <f t="shared" si="0"/>
        <v>0</v>
      </c>
      <c r="R8" s="157">
        <f>+ROUND(J8*J$4/(100+J$4),0)+AI8</f>
        <v>54</v>
      </c>
      <c r="S8" s="22">
        <f>SUM(N8:R8)</f>
        <v>54</v>
      </c>
      <c r="T8" s="201">
        <f>+E8-S8</f>
        <v>536</v>
      </c>
      <c r="U8" s="107">
        <f t="shared" si="5"/>
        <v>0</v>
      </c>
      <c r="V8" s="107">
        <f t="shared" si="5"/>
        <v>0</v>
      </c>
      <c r="W8" s="107">
        <f t="shared" si="5"/>
        <v>0</v>
      </c>
      <c r="X8" s="107">
        <f t="shared" si="5"/>
        <v>0</v>
      </c>
      <c r="Y8" s="107">
        <f>R8-J8*J$4/(100+J$4)</f>
        <v>0.36363636363636687</v>
      </c>
      <c r="Z8" s="106">
        <f t="shared" si="6"/>
        <v>0</v>
      </c>
      <c r="AA8" s="106">
        <f t="shared" si="6"/>
        <v>0</v>
      </c>
      <c r="AB8" s="106">
        <f t="shared" si="6"/>
        <v>0</v>
      </c>
      <c r="AC8" s="106">
        <f t="shared" si="6"/>
        <v>0</v>
      </c>
      <c r="AD8" s="106">
        <f t="shared" si="6"/>
        <v>0</v>
      </c>
    </row>
    <row r="9" spans="1:35">
      <c r="A9" s="205"/>
      <c r="B9" s="204"/>
      <c r="C9" s="203"/>
      <c r="D9" s="222" t="s">
        <v>607</v>
      </c>
      <c r="E9" s="101">
        <f t="shared" ref="E9:E10" si="8">+SUM(K9:M9)</f>
        <v>0</v>
      </c>
      <c r="F9" s="210"/>
      <c r="G9" s="209"/>
      <c r="H9" s="209"/>
      <c r="I9" s="209"/>
      <c r="J9" s="208"/>
      <c r="K9" s="22"/>
      <c r="L9" s="207"/>
      <c r="M9" s="207"/>
      <c r="N9" s="108"/>
      <c r="O9" s="25"/>
      <c r="P9" s="25"/>
      <c r="Q9" s="25"/>
      <c r="R9" s="157"/>
      <c r="S9" s="22"/>
      <c r="T9" s="201"/>
      <c r="U9" s="107"/>
      <c r="V9" s="107"/>
      <c r="W9" s="107"/>
      <c r="X9" s="107"/>
      <c r="Y9" s="107"/>
      <c r="Z9" s="106"/>
      <c r="AA9" s="106"/>
      <c r="AB9" s="106"/>
      <c r="AC9" s="106"/>
      <c r="AD9" s="106"/>
    </row>
    <row r="10" spans="1:35">
      <c r="A10" s="205"/>
      <c r="B10" s="204"/>
      <c r="C10" s="203"/>
      <c r="D10" s="222" t="s">
        <v>869</v>
      </c>
      <c r="E10" s="101">
        <f t="shared" si="8"/>
        <v>6023</v>
      </c>
      <c r="F10" s="210"/>
      <c r="G10" s="209"/>
      <c r="H10" s="209"/>
      <c r="I10" s="209"/>
      <c r="J10" s="208"/>
      <c r="K10" s="22"/>
      <c r="L10" s="207">
        <v>6023</v>
      </c>
      <c r="M10" s="207"/>
      <c r="N10" s="108"/>
      <c r="O10" s="25"/>
      <c r="P10" s="25"/>
      <c r="Q10" s="25"/>
      <c r="R10" s="157"/>
      <c r="S10" s="22"/>
      <c r="T10" s="201"/>
      <c r="U10" s="107"/>
      <c r="V10" s="107"/>
      <c r="W10" s="107"/>
      <c r="X10" s="107"/>
      <c r="Y10" s="107"/>
      <c r="Z10" s="106"/>
      <c r="AA10" s="106"/>
      <c r="AB10" s="106"/>
      <c r="AC10" s="106"/>
      <c r="AD10" s="106"/>
    </row>
    <row r="11" spans="1:35">
      <c r="A11" s="205"/>
      <c r="B11" s="204"/>
      <c r="C11" s="203"/>
      <c r="D11" s="222" t="s">
        <v>870</v>
      </c>
      <c r="E11" s="101">
        <f>+SUM(K11:M11)</f>
        <v>18180</v>
      </c>
      <c r="F11" s="210"/>
      <c r="G11" s="209"/>
      <c r="H11" s="209"/>
      <c r="I11" s="209"/>
      <c r="J11" s="208"/>
      <c r="K11" s="22">
        <f t="shared" si="7"/>
        <v>0</v>
      </c>
      <c r="L11" s="207"/>
      <c r="M11" s="207">
        <v>18180</v>
      </c>
      <c r="N11" s="108">
        <f t="shared" si="0"/>
        <v>0</v>
      </c>
      <c r="O11" s="25">
        <f t="shared" si="0"/>
        <v>0</v>
      </c>
      <c r="P11" s="25">
        <f>+ROUND(H11*H$4/(100+H$4),0)+AG11</f>
        <v>0</v>
      </c>
      <c r="Q11" s="25">
        <f t="shared" si="0"/>
        <v>0</v>
      </c>
      <c r="R11" s="157">
        <f>+ROUND(J11*J$4/(100+J$4),0)+AI11</f>
        <v>0</v>
      </c>
      <c r="S11" s="22">
        <f>SUM(N11:R11)</f>
        <v>0</v>
      </c>
      <c r="T11" s="201">
        <f>+E11-S11</f>
        <v>18180</v>
      </c>
      <c r="U11" s="107">
        <f t="shared" si="5"/>
        <v>0</v>
      </c>
      <c r="V11" s="107">
        <f t="shared" si="5"/>
        <v>0</v>
      </c>
      <c r="W11" s="107">
        <f t="shared" si="5"/>
        <v>0</v>
      </c>
      <c r="X11" s="107">
        <f t="shared" si="5"/>
        <v>0</v>
      </c>
      <c r="Y11" s="107">
        <f>R11-J11*J$4/(100+J$4)</f>
        <v>0</v>
      </c>
      <c r="Z11" s="106">
        <f>+IF(N$40=0,0,IF(N$40&lt;0,-RANK(U11,U$5:U$37,0),RANK(U11,U$5:U$37,1)))</f>
        <v>0</v>
      </c>
      <c r="AA11" s="106">
        <f>+IF(O$40=0,0,IF(O$40&lt;0,-RANK(V11,V$5:V$37,0),RANK(V11,V$5:V$37,1)))</f>
        <v>0</v>
      </c>
      <c r="AB11" s="106">
        <f>+IF(P$40=0,0,IF(P$40&lt;0,-RANK(W11,W$5:W$37,0),RANK(W11,W$5:W$37,1)))</f>
        <v>0</v>
      </c>
      <c r="AC11" s="106">
        <f>+IF(Q$40=0,0,IF(Q$40&lt;0,-RANK(X11,X$5:X$37,0),RANK(X11,X$5:X$37,1)))</f>
        <v>0</v>
      </c>
      <c r="AD11" s="106">
        <f>+IF(R$40=0,0,IF(R$40&lt;0,-RANK(Y11,Y$5:Y$37,0),RANK(Y11,Y$5:Y$37,1)))</f>
        <v>0</v>
      </c>
    </row>
    <row r="12" spans="1:35">
      <c r="A12" s="205"/>
      <c r="B12" s="204"/>
      <c r="C12" s="203"/>
      <c r="D12" s="222" t="s">
        <v>524</v>
      </c>
      <c r="E12" s="183">
        <f t="shared" ref="E12:T12" si="9">+E5-SUM(E6:E11)</f>
        <v>0</v>
      </c>
      <c r="F12" s="108">
        <f t="shared" si="9"/>
        <v>0</v>
      </c>
      <c r="G12" s="25">
        <f t="shared" si="9"/>
        <v>0</v>
      </c>
      <c r="H12" s="25">
        <f t="shared" si="9"/>
        <v>0</v>
      </c>
      <c r="I12" s="25">
        <f t="shared" ref="I12" si="10">+I5-SUM(I6:I11)</f>
        <v>0</v>
      </c>
      <c r="J12" s="22">
        <f t="shared" si="9"/>
        <v>0</v>
      </c>
      <c r="K12" s="22">
        <f t="shared" si="9"/>
        <v>0</v>
      </c>
      <c r="L12" s="183">
        <f t="shared" si="9"/>
        <v>0</v>
      </c>
      <c r="M12" s="183">
        <f t="shared" si="9"/>
        <v>0</v>
      </c>
      <c r="N12" s="108">
        <f t="shared" si="9"/>
        <v>0</v>
      </c>
      <c r="O12" s="25">
        <f t="shared" si="9"/>
        <v>0</v>
      </c>
      <c r="P12" s="25">
        <f>+P5-SUM(P6:P11)+AG12</f>
        <v>0</v>
      </c>
      <c r="Q12" s="25">
        <f t="shared" ref="Q12" si="11">+Q5-SUM(Q6:Q11)</f>
        <v>0</v>
      </c>
      <c r="R12" s="157">
        <f t="shared" si="9"/>
        <v>0</v>
      </c>
      <c r="S12" s="22">
        <f>+S5-SUM(S6:S11)</f>
        <v>0</v>
      </c>
      <c r="T12" s="201">
        <f t="shared" si="9"/>
        <v>6023</v>
      </c>
      <c r="U12" s="107"/>
      <c r="V12" s="107"/>
      <c r="W12" s="107"/>
      <c r="X12" s="107"/>
      <c r="Y12" s="107"/>
      <c r="Z12" s="106"/>
      <c r="AA12" s="106"/>
      <c r="AB12" s="106"/>
      <c r="AC12" s="106"/>
      <c r="AD12" s="106"/>
    </row>
    <row r="13" spans="1:35">
      <c r="A13" s="205"/>
      <c r="B13" s="204"/>
      <c r="C13" s="203"/>
      <c r="D13" s="222"/>
      <c r="E13" s="183"/>
      <c r="F13" s="108"/>
      <c r="G13" s="25"/>
      <c r="H13" s="25"/>
      <c r="I13" s="25"/>
      <c r="J13" s="22"/>
      <c r="K13" s="22"/>
      <c r="L13" s="183"/>
      <c r="M13" s="183"/>
      <c r="N13" s="108"/>
      <c r="O13" s="25"/>
      <c r="P13" s="25"/>
      <c r="Q13" s="25"/>
      <c r="R13" s="157"/>
      <c r="S13" s="22"/>
      <c r="T13" s="201"/>
      <c r="U13" s="107"/>
      <c r="V13" s="107"/>
      <c r="W13" s="107"/>
      <c r="X13" s="107"/>
      <c r="Y13" s="107"/>
      <c r="Z13" s="106"/>
      <c r="AA13" s="106"/>
      <c r="AB13" s="106"/>
      <c r="AC13" s="106"/>
      <c r="AD13" s="106"/>
    </row>
    <row r="14" spans="1:35">
      <c r="A14" s="205"/>
      <c r="B14" s="204">
        <v>8850808</v>
      </c>
      <c r="C14" s="203"/>
      <c r="D14" s="222" t="s">
        <v>523</v>
      </c>
      <c r="E14" s="158">
        <f>+SUMIFS(全伝票!I:I,全伝票!$B:$B,$B14)</f>
        <v>0</v>
      </c>
      <c r="F14" s="161">
        <f>+SUMIFS(全伝票!J:J,全伝票!$B:$B,$B14)</f>
        <v>0</v>
      </c>
      <c r="G14" s="160">
        <f>+SUMIFS(全伝票!K:K,全伝票!$B:$B,$B14)</f>
        <v>0</v>
      </c>
      <c r="H14" s="160">
        <f>+SUMIFS(全伝票!L:L,全伝票!$B:$B,$B14)</f>
        <v>0</v>
      </c>
      <c r="I14" s="160">
        <f>+SUMIFS(全伝票!M:M,全伝票!$B:$B,$B14)</f>
        <v>0</v>
      </c>
      <c r="J14" s="184">
        <f>+SUMIFS(全伝票!N:N,全伝票!$B:$B,$B14)</f>
        <v>0</v>
      </c>
      <c r="K14" s="22">
        <f t="shared" ref="K14:K29" si="12">SUM(F14:J14)</f>
        <v>0</v>
      </c>
      <c r="L14" s="158">
        <f>+SUMIFS(全伝票!O:O,全伝票!$B:$B,$B14)</f>
        <v>0</v>
      </c>
      <c r="M14" s="158">
        <f>+SUMIFS(全伝票!P:P,全伝票!$B:$B,$B14)</f>
        <v>0</v>
      </c>
      <c r="N14" s="108">
        <f t="shared" ref="N14:N29" si="13">+ROUND(F14*F$4/(100+F$4),0)+AE14</f>
        <v>0</v>
      </c>
      <c r="O14" s="25">
        <f t="shared" ref="O14:O29" si="14">+ROUND(G14*G$4/(100+G$4),0)+AF14</f>
        <v>0</v>
      </c>
      <c r="P14" s="25">
        <f t="shared" ref="P14:Q29" si="15">+ROUND(H14*H$4/(100+H$4),0)+AG14</f>
        <v>0</v>
      </c>
      <c r="Q14" s="25">
        <f t="shared" si="15"/>
        <v>0</v>
      </c>
      <c r="R14" s="157">
        <f t="shared" ref="R14:R29" si="16">+ROUND(J14*J$4/(100+J$4),0)+AI14</f>
        <v>0</v>
      </c>
      <c r="S14" s="22">
        <f t="shared" ref="S14:S29" si="17">SUM(N14:R14)</f>
        <v>0</v>
      </c>
      <c r="T14" s="201">
        <f t="shared" ref="T14:T29" si="18">+E14-S14</f>
        <v>0</v>
      </c>
      <c r="U14" s="107"/>
      <c r="V14" s="107"/>
      <c r="W14" s="107"/>
      <c r="X14" s="107"/>
      <c r="Y14" s="107"/>
      <c r="Z14" s="106"/>
      <c r="AA14" s="106"/>
      <c r="AB14" s="106"/>
      <c r="AC14" s="106"/>
      <c r="AD14" s="106"/>
    </row>
    <row r="15" spans="1:35">
      <c r="A15" s="205"/>
      <c r="B15" s="204"/>
      <c r="C15" s="203"/>
      <c r="D15" s="222" t="s">
        <v>522</v>
      </c>
      <c r="E15" s="101">
        <f t="shared" ref="E15:E29" si="19">+SUM(K15:M15)</f>
        <v>0</v>
      </c>
      <c r="F15" s="210"/>
      <c r="G15" s="209"/>
      <c r="H15" s="209"/>
      <c r="I15" s="209"/>
      <c r="J15" s="208"/>
      <c r="K15" s="22">
        <f t="shared" si="12"/>
        <v>0</v>
      </c>
      <c r="L15" s="207"/>
      <c r="M15" s="207"/>
      <c r="N15" s="108">
        <f t="shared" si="13"/>
        <v>0</v>
      </c>
      <c r="O15" s="25">
        <f t="shared" si="14"/>
        <v>0</v>
      </c>
      <c r="P15" s="25">
        <f t="shared" si="15"/>
        <v>0</v>
      </c>
      <c r="Q15" s="25">
        <f t="shared" si="15"/>
        <v>0</v>
      </c>
      <c r="R15" s="157">
        <f t="shared" si="16"/>
        <v>0</v>
      </c>
      <c r="S15" s="22">
        <f t="shared" si="17"/>
        <v>0</v>
      </c>
      <c r="T15" s="201">
        <f t="shared" si="18"/>
        <v>0</v>
      </c>
      <c r="U15" s="107">
        <f t="shared" ref="U15:U29" si="20">N15-F15*F$4/(100+F$4)</f>
        <v>0</v>
      </c>
      <c r="V15" s="107">
        <f t="shared" ref="V15:V29" si="21">O15-G15*G$4/(100+G$4)</f>
        <v>0</v>
      </c>
      <c r="W15" s="107">
        <f t="shared" ref="W15:X29" si="22">P15-H15*H$4/(100+H$4)</f>
        <v>0</v>
      </c>
      <c r="X15" s="107">
        <f t="shared" si="22"/>
        <v>0</v>
      </c>
      <c r="Y15" s="107">
        <f t="shared" ref="Y15:Y29" si="23">R15-J15*J$4/(100+J$4)</f>
        <v>0</v>
      </c>
      <c r="Z15" s="106">
        <f t="shared" ref="Z15:Z29" si="24">+IF(N$40=0,0,IF(N$40&lt;0,-RANK(U15,U$5:U$37,0),RANK(U15,U$5:U$37,1)))</f>
        <v>0</v>
      </c>
      <c r="AA15" s="106">
        <f t="shared" ref="AA15:AA29" si="25">+IF(O$40=0,0,IF(O$40&lt;0,-RANK(V15,V$5:V$37,0),RANK(V15,V$5:V$37,1)))</f>
        <v>0</v>
      </c>
      <c r="AB15" s="106">
        <f t="shared" ref="AB15:AB29" si="26">+IF(P$40=0,0,IF(P$40&lt;0,-RANK(W15,W$5:W$37,0),RANK(W15,W$5:W$37,1)))</f>
        <v>0</v>
      </c>
      <c r="AC15" s="106">
        <f t="shared" ref="AC15:AC29" si="27">+IF(Q$40=0,0,IF(Q$40&lt;0,-RANK(X15,X$5:X$37,0),RANK(X15,X$5:X$37,1)))</f>
        <v>0</v>
      </c>
      <c r="AD15" s="106">
        <f t="shared" ref="AD15:AD29" si="28">+IF(R$40=0,0,IF(R$40&lt;0,-RANK(Y15,Y$5:Y$37,0),RANK(Y15,Y$5:Y$37,1)))</f>
        <v>0</v>
      </c>
    </row>
    <row r="16" spans="1:35">
      <c r="A16" s="205"/>
      <c r="B16" s="204"/>
      <c r="C16" s="203"/>
      <c r="D16" s="222" t="s">
        <v>521</v>
      </c>
      <c r="E16" s="101">
        <f t="shared" si="19"/>
        <v>0</v>
      </c>
      <c r="F16" s="210"/>
      <c r="G16" s="209"/>
      <c r="H16" s="209"/>
      <c r="I16" s="209"/>
      <c r="J16" s="208"/>
      <c r="K16" s="22">
        <f t="shared" si="12"/>
        <v>0</v>
      </c>
      <c r="L16" s="207"/>
      <c r="M16" s="207"/>
      <c r="N16" s="108">
        <f t="shared" si="13"/>
        <v>0</v>
      </c>
      <c r="O16" s="25">
        <f t="shared" si="14"/>
        <v>0</v>
      </c>
      <c r="P16" s="25">
        <f t="shared" si="15"/>
        <v>0</v>
      </c>
      <c r="Q16" s="25">
        <f t="shared" si="15"/>
        <v>0</v>
      </c>
      <c r="R16" s="157">
        <f t="shared" si="16"/>
        <v>0</v>
      </c>
      <c r="S16" s="22">
        <f t="shared" si="17"/>
        <v>0</v>
      </c>
      <c r="T16" s="201">
        <f t="shared" si="18"/>
        <v>0</v>
      </c>
      <c r="U16" s="107">
        <f t="shared" si="20"/>
        <v>0</v>
      </c>
      <c r="V16" s="107">
        <f t="shared" si="21"/>
        <v>0</v>
      </c>
      <c r="W16" s="107">
        <f t="shared" si="22"/>
        <v>0</v>
      </c>
      <c r="X16" s="107">
        <f t="shared" si="22"/>
        <v>0</v>
      </c>
      <c r="Y16" s="107">
        <f t="shared" si="23"/>
        <v>0</v>
      </c>
      <c r="Z16" s="106">
        <f t="shared" si="24"/>
        <v>0</v>
      </c>
      <c r="AA16" s="106">
        <f t="shared" si="25"/>
        <v>0</v>
      </c>
      <c r="AB16" s="106">
        <f t="shared" si="26"/>
        <v>0</v>
      </c>
      <c r="AC16" s="106">
        <f t="shared" si="27"/>
        <v>0</v>
      </c>
      <c r="AD16" s="106">
        <f t="shared" si="28"/>
        <v>0</v>
      </c>
    </row>
    <row r="17" spans="1:30">
      <c r="A17" s="205"/>
      <c r="B17" s="204"/>
      <c r="C17" s="203"/>
      <c r="D17" s="222" t="s">
        <v>520</v>
      </c>
      <c r="E17" s="101">
        <f t="shared" si="19"/>
        <v>0</v>
      </c>
      <c r="F17" s="210"/>
      <c r="G17" s="209"/>
      <c r="H17" s="209"/>
      <c r="I17" s="209"/>
      <c r="J17" s="208"/>
      <c r="K17" s="22">
        <f t="shared" si="12"/>
        <v>0</v>
      </c>
      <c r="L17" s="207"/>
      <c r="M17" s="207"/>
      <c r="N17" s="108">
        <f t="shared" si="13"/>
        <v>0</v>
      </c>
      <c r="O17" s="25">
        <f t="shared" si="14"/>
        <v>0</v>
      </c>
      <c r="P17" s="25">
        <f t="shared" si="15"/>
        <v>0</v>
      </c>
      <c r="Q17" s="25">
        <f t="shared" si="15"/>
        <v>0</v>
      </c>
      <c r="R17" s="157">
        <f t="shared" si="16"/>
        <v>0</v>
      </c>
      <c r="S17" s="22">
        <f t="shared" si="17"/>
        <v>0</v>
      </c>
      <c r="T17" s="201">
        <f t="shared" si="18"/>
        <v>0</v>
      </c>
      <c r="U17" s="107">
        <f t="shared" si="20"/>
        <v>0</v>
      </c>
      <c r="V17" s="107">
        <f t="shared" si="21"/>
        <v>0</v>
      </c>
      <c r="W17" s="107">
        <f t="shared" si="22"/>
        <v>0</v>
      </c>
      <c r="X17" s="107">
        <f t="shared" si="22"/>
        <v>0</v>
      </c>
      <c r="Y17" s="107">
        <f t="shared" si="23"/>
        <v>0</v>
      </c>
      <c r="Z17" s="106">
        <f t="shared" si="24"/>
        <v>0</v>
      </c>
      <c r="AA17" s="106">
        <f t="shared" si="25"/>
        <v>0</v>
      </c>
      <c r="AB17" s="106">
        <f t="shared" si="26"/>
        <v>0</v>
      </c>
      <c r="AC17" s="106">
        <f t="shared" si="27"/>
        <v>0</v>
      </c>
      <c r="AD17" s="106">
        <f t="shared" si="28"/>
        <v>0</v>
      </c>
    </row>
    <row r="18" spans="1:30">
      <c r="A18" s="205"/>
      <c r="B18" s="204"/>
      <c r="C18" s="203"/>
      <c r="D18" s="222" t="s">
        <v>519</v>
      </c>
      <c r="E18" s="101">
        <f t="shared" si="19"/>
        <v>0</v>
      </c>
      <c r="F18" s="210"/>
      <c r="G18" s="209"/>
      <c r="H18" s="209"/>
      <c r="I18" s="209"/>
      <c r="J18" s="208"/>
      <c r="K18" s="22">
        <f t="shared" si="12"/>
        <v>0</v>
      </c>
      <c r="L18" s="207"/>
      <c r="M18" s="207"/>
      <c r="N18" s="108">
        <f t="shared" si="13"/>
        <v>0</v>
      </c>
      <c r="O18" s="25">
        <f t="shared" si="14"/>
        <v>0</v>
      </c>
      <c r="P18" s="25">
        <f t="shared" si="15"/>
        <v>0</v>
      </c>
      <c r="Q18" s="25">
        <f t="shared" si="15"/>
        <v>0</v>
      </c>
      <c r="R18" s="157">
        <f t="shared" si="16"/>
        <v>0</v>
      </c>
      <c r="S18" s="22">
        <f t="shared" si="17"/>
        <v>0</v>
      </c>
      <c r="T18" s="201">
        <f t="shared" si="18"/>
        <v>0</v>
      </c>
      <c r="U18" s="107">
        <f t="shared" si="20"/>
        <v>0</v>
      </c>
      <c r="V18" s="107">
        <f t="shared" si="21"/>
        <v>0</v>
      </c>
      <c r="W18" s="107">
        <f t="shared" si="22"/>
        <v>0</v>
      </c>
      <c r="X18" s="107">
        <f t="shared" si="22"/>
        <v>0</v>
      </c>
      <c r="Y18" s="107">
        <f t="shared" si="23"/>
        <v>0</v>
      </c>
      <c r="Z18" s="106">
        <f t="shared" si="24"/>
        <v>0</v>
      </c>
      <c r="AA18" s="106">
        <f t="shared" si="25"/>
        <v>0</v>
      </c>
      <c r="AB18" s="106">
        <f t="shared" si="26"/>
        <v>0</v>
      </c>
      <c r="AC18" s="106">
        <f t="shared" si="27"/>
        <v>0</v>
      </c>
      <c r="AD18" s="106">
        <f t="shared" si="28"/>
        <v>0</v>
      </c>
    </row>
    <row r="19" spans="1:30">
      <c r="A19" s="205"/>
      <c r="B19" s="204"/>
      <c r="C19" s="203"/>
      <c r="D19" s="222" t="s">
        <v>605</v>
      </c>
      <c r="E19" s="101">
        <f t="shared" si="19"/>
        <v>0</v>
      </c>
      <c r="F19" s="210"/>
      <c r="G19" s="209"/>
      <c r="H19" s="209"/>
      <c r="I19" s="209"/>
      <c r="J19" s="208"/>
      <c r="K19" s="22">
        <f t="shared" si="12"/>
        <v>0</v>
      </c>
      <c r="L19" s="207"/>
      <c r="M19" s="207"/>
      <c r="N19" s="108">
        <f t="shared" si="13"/>
        <v>0</v>
      </c>
      <c r="O19" s="25">
        <f t="shared" si="14"/>
        <v>0</v>
      </c>
      <c r="P19" s="25">
        <f t="shared" si="15"/>
        <v>0</v>
      </c>
      <c r="Q19" s="25">
        <f t="shared" si="15"/>
        <v>0</v>
      </c>
      <c r="R19" s="157">
        <f t="shared" si="16"/>
        <v>0</v>
      </c>
      <c r="S19" s="22">
        <f t="shared" si="17"/>
        <v>0</v>
      </c>
      <c r="T19" s="201">
        <f t="shared" si="18"/>
        <v>0</v>
      </c>
      <c r="U19" s="107">
        <f t="shared" si="20"/>
        <v>0</v>
      </c>
      <c r="V19" s="107">
        <f t="shared" si="21"/>
        <v>0</v>
      </c>
      <c r="W19" s="107">
        <f t="shared" si="22"/>
        <v>0</v>
      </c>
      <c r="X19" s="107">
        <f t="shared" si="22"/>
        <v>0</v>
      </c>
      <c r="Y19" s="107">
        <f t="shared" si="23"/>
        <v>0</v>
      </c>
      <c r="Z19" s="106">
        <f t="shared" si="24"/>
        <v>0</v>
      </c>
      <c r="AA19" s="106">
        <f t="shared" si="25"/>
        <v>0</v>
      </c>
      <c r="AB19" s="106">
        <f t="shared" si="26"/>
        <v>0</v>
      </c>
      <c r="AC19" s="106">
        <f t="shared" si="27"/>
        <v>0</v>
      </c>
      <c r="AD19" s="106">
        <f t="shared" si="28"/>
        <v>0</v>
      </c>
    </row>
    <row r="20" spans="1:30">
      <c r="A20" s="205"/>
      <c r="B20" s="204"/>
      <c r="C20" s="203"/>
      <c r="D20" s="222" t="s">
        <v>606</v>
      </c>
      <c r="E20" s="101">
        <f t="shared" si="19"/>
        <v>0</v>
      </c>
      <c r="F20" s="210"/>
      <c r="G20" s="209"/>
      <c r="H20" s="209"/>
      <c r="I20" s="209"/>
      <c r="J20" s="208"/>
      <c r="K20" s="22">
        <f t="shared" si="12"/>
        <v>0</v>
      </c>
      <c r="L20" s="207"/>
      <c r="M20" s="207"/>
      <c r="N20" s="108">
        <f t="shared" si="13"/>
        <v>0</v>
      </c>
      <c r="O20" s="25">
        <f t="shared" si="14"/>
        <v>0</v>
      </c>
      <c r="P20" s="25">
        <f t="shared" si="15"/>
        <v>0</v>
      </c>
      <c r="Q20" s="25">
        <f t="shared" si="15"/>
        <v>0</v>
      </c>
      <c r="R20" s="157">
        <f t="shared" si="16"/>
        <v>0</v>
      </c>
      <c r="S20" s="22">
        <f t="shared" si="17"/>
        <v>0</v>
      </c>
      <c r="T20" s="201">
        <f t="shared" si="18"/>
        <v>0</v>
      </c>
      <c r="U20" s="107">
        <f t="shared" si="20"/>
        <v>0</v>
      </c>
      <c r="V20" s="107">
        <f t="shared" si="21"/>
        <v>0</v>
      </c>
      <c r="W20" s="107">
        <f t="shared" si="22"/>
        <v>0</v>
      </c>
      <c r="X20" s="107">
        <f t="shared" si="22"/>
        <v>0</v>
      </c>
      <c r="Y20" s="107">
        <f t="shared" si="23"/>
        <v>0</v>
      </c>
      <c r="Z20" s="106">
        <f t="shared" si="24"/>
        <v>0</v>
      </c>
      <c r="AA20" s="106">
        <f t="shared" si="25"/>
        <v>0</v>
      </c>
      <c r="AB20" s="106">
        <f t="shared" si="26"/>
        <v>0</v>
      </c>
      <c r="AC20" s="106">
        <f t="shared" si="27"/>
        <v>0</v>
      </c>
      <c r="AD20" s="106">
        <f t="shared" si="28"/>
        <v>0</v>
      </c>
    </row>
    <row r="21" spans="1:30">
      <c r="A21" s="205"/>
      <c r="B21" s="204"/>
      <c r="C21" s="203"/>
      <c r="D21" s="222" t="s">
        <v>518</v>
      </c>
      <c r="E21" s="101">
        <f t="shared" si="19"/>
        <v>0</v>
      </c>
      <c r="F21" s="210"/>
      <c r="G21" s="209"/>
      <c r="H21" s="209"/>
      <c r="I21" s="209"/>
      <c r="J21" s="208"/>
      <c r="K21" s="22">
        <f t="shared" si="12"/>
        <v>0</v>
      </c>
      <c r="L21" s="207"/>
      <c r="M21" s="207"/>
      <c r="N21" s="108">
        <f t="shared" si="13"/>
        <v>0</v>
      </c>
      <c r="O21" s="25">
        <f t="shared" si="14"/>
        <v>0</v>
      </c>
      <c r="P21" s="25">
        <f t="shared" si="15"/>
        <v>0</v>
      </c>
      <c r="Q21" s="25">
        <f t="shared" si="15"/>
        <v>0</v>
      </c>
      <c r="R21" s="157">
        <f t="shared" si="16"/>
        <v>0</v>
      </c>
      <c r="S21" s="22">
        <f t="shared" si="17"/>
        <v>0</v>
      </c>
      <c r="T21" s="201">
        <f t="shared" si="18"/>
        <v>0</v>
      </c>
      <c r="U21" s="107">
        <f t="shared" si="20"/>
        <v>0</v>
      </c>
      <c r="V21" s="107">
        <f t="shared" si="21"/>
        <v>0</v>
      </c>
      <c r="W21" s="107">
        <f t="shared" si="22"/>
        <v>0</v>
      </c>
      <c r="X21" s="107">
        <f t="shared" si="22"/>
        <v>0</v>
      </c>
      <c r="Y21" s="107">
        <f t="shared" si="23"/>
        <v>0</v>
      </c>
      <c r="Z21" s="106">
        <f t="shared" si="24"/>
        <v>0</v>
      </c>
      <c r="AA21" s="106">
        <f t="shared" si="25"/>
        <v>0</v>
      </c>
      <c r="AB21" s="106">
        <f t="shared" si="26"/>
        <v>0</v>
      </c>
      <c r="AC21" s="106">
        <f t="shared" si="27"/>
        <v>0</v>
      </c>
      <c r="AD21" s="106">
        <f t="shared" si="28"/>
        <v>0</v>
      </c>
    </row>
    <row r="22" spans="1:30">
      <c r="A22" s="205"/>
      <c r="B22" s="204"/>
      <c r="C22" s="203"/>
      <c r="D22" s="222" t="s">
        <v>551</v>
      </c>
      <c r="E22" s="101">
        <f t="shared" si="19"/>
        <v>0</v>
      </c>
      <c r="F22" s="210"/>
      <c r="G22" s="209"/>
      <c r="H22" s="209"/>
      <c r="I22" s="209"/>
      <c r="J22" s="208"/>
      <c r="K22" s="22">
        <f t="shared" si="12"/>
        <v>0</v>
      </c>
      <c r="L22" s="207"/>
      <c r="M22" s="207"/>
      <c r="N22" s="108">
        <f t="shared" si="13"/>
        <v>0</v>
      </c>
      <c r="O22" s="25">
        <f t="shared" si="14"/>
        <v>0</v>
      </c>
      <c r="P22" s="25">
        <f t="shared" si="15"/>
        <v>0</v>
      </c>
      <c r="Q22" s="25">
        <f t="shared" si="15"/>
        <v>0</v>
      </c>
      <c r="R22" s="157">
        <f t="shared" si="16"/>
        <v>0</v>
      </c>
      <c r="S22" s="22">
        <f t="shared" si="17"/>
        <v>0</v>
      </c>
      <c r="T22" s="201">
        <f t="shared" si="18"/>
        <v>0</v>
      </c>
      <c r="U22" s="107">
        <f t="shared" si="20"/>
        <v>0</v>
      </c>
      <c r="V22" s="107">
        <f t="shared" si="21"/>
        <v>0</v>
      </c>
      <c r="W22" s="107">
        <f t="shared" si="22"/>
        <v>0</v>
      </c>
      <c r="X22" s="107">
        <f t="shared" si="22"/>
        <v>0</v>
      </c>
      <c r="Y22" s="107">
        <f t="shared" si="23"/>
        <v>0</v>
      </c>
      <c r="Z22" s="106">
        <f t="shared" si="24"/>
        <v>0</v>
      </c>
      <c r="AA22" s="106">
        <f t="shared" si="25"/>
        <v>0</v>
      </c>
      <c r="AB22" s="106">
        <f t="shared" si="26"/>
        <v>0</v>
      </c>
      <c r="AC22" s="106">
        <f t="shared" si="27"/>
        <v>0</v>
      </c>
      <c r="AD22" s="106">
        <f t="shared" si="28"/>
        <v>0</v>
      </c>
    </row>
    <row r="23" spans="1:30">
      <c r="A23" s="205"/>
      <c r="B23" s="204"/>
      <c r="C23" s="203"/>
      <c r="D23" s="222" t="s">
        <v>517</v>
      </c>
      <c r="E23" s="101">
        <f t="shared" si="19"/>
        <v>0</v>
      </c>
      <c r="F23" s="210"/>
      <c r="G23" s="209"/>
      <c r="H23" s="209"/>
      <c r="I23" s="209"/>
      <c r="J23" s="208"/>
      <c r="K23" s="22">
        <f t="shared" si="12"/>
        <v>0</v>
      </c>
      <c r="L23" s="207"/>
      <c r="M23" s="207"/>
      <c r="N23" s="108">
        <f t="shared" si="13"/>
        <v>0</v>
      </c>
      <c r="O23" s="25">
        <f t="shared" si="14"/>
        <v>0</v>
      </c>
      <c r="P23" s="25">
        <f t="shared" si="15"/>
        <v>0</v>
      </c>
      <c r="Q23" s="25">
        <f t="shared" si="15"/>
        <v>0</v>
      </c>
      <c r="R23" s="157">
        <f t="shared" si="16"/>
        <v>0</v>
      </c>
      <c r="S23" s="22">
        <f t="shared" si="17"/>
        <v>0</v>
      </c>
      <c r="T23" s="201">
        <f t="shared" si="18"/>
        <v>0</v>
      </c>
      <c r="U23" s="107">
        <f t="shared" si="20"/>
        <v>0</v>
      </c>
      <c r="V23" s="107">
        <f t="shared" si="21"/>
        <v>0</v>
      </c>
      <c r="W23" s="107">
        <f t="shared" si="22"/>
        <v>0</v>
      </c>
      <c r="X23" s="107">
        <f t="shared" si="22"/>
        <v>0</v>
      </c>
      <c r="Y23" s="107">
        <f t="shared" si="23"/>
        <v>0</v>
      </c>
      <c r="Z23" s="106">
        <f t="shared" si="24"/>
        <v>0</v>
      </c>
      <c r="AA23" s="106">
        <f t="shared" si="25"/>
        <v>0</v>
      </c>
      <c r="AB23" s="106">
        <f t="shared" si="26"/>
        <v>0</v>
      </c>
      <c r="AC23" s="106">
        <f t="shared" si="27"/>
        <v>0</v>
      </c>
      <c r="AD23" s="106">
        <f t="shared" si="28"/>
        <v>0</v>
      </c>
    </row>
    <row r="24" spans="1:30">
      <c r="A24" s="205"/>
      <c r="B24" s="204"/>
      <c r="C24" s="203"/>
      <c r="D24" s="222" t="s">
        <v>516</v>
      </c>
      <c r="E24" s="101">
        <f t="shared" si="19"/>
        <v>0</v>
      </c>
      <c r="F24" s="210"/>
      <c r="G24" s="209"/>
      <c r="H24" s="209"/>
      <c r="I24" s="209"/>
      <c r="J24" s="208"/>
      <c r="K24" s="22">
        <f t="shared" si="12"/>
        <v>0</v>
      </c>
      <c r="L24" s="207"/>
      <c r="M24" s="207"/>
      <c r="N24" s="108">
        <f t="shared" si="13"/>
        <v>0</v>
      </c>
      <c r="O24" s="25">
        <f t="shared" si="14"/>
        <v>0</v>
      </c>
      <c r="P24" s="25">
        <f t="shared" si="15"/>
        <v>0</v>
      </c>
      <c r="Q24" s="25">
        <f t="shared" si="15"/>
        <v>0</v>
      </c>
      <c r="R24" s="157">
        <f t="shared" si="16"/>
        <v>0</v>
      </c>
      <c r="S24" s="22">
        <f t="shared" si="17"/>
        <v>0</v>
      </c>
      <c r="T24" s="201">
        <f t="shared" si="18"/>
        <v>0</v>
      </c>
      <c r="U24" s="107">
        <f t="shared" si="20"/>
        <v>0</v>
      </c>
      <c r="V24" s="107">
        <f t="shared" si="21"/>
        <v>0</v>
      </c>
      <c r="W24" s="107">
        <f t="shared" si="22"/>
        <v>0</v>
      </c>
      <c r="X24" s="107">
        <f t="shared" si="22"/>
        <v>0</v>
      </c>
      <c r="Y24" s="107">
        <f t="shared" si="23"/>
        <v>0</v>
      </c>
      <c r="Z24" s="106">
        <f t="shared" si="24"/>
        <v>0</v>
      </c>
      <c r="AA24" s="106">
        <f t="shared" si="25"/>
        <v>0</v>
      </c>
      <c r="AB24" s="106">
        <f t="shared" si="26"/>
        <v>0</v>
      </c>
      <c r="AC24" s="106">
        <f t="shared" si="27"/>
        <v>0</v>
      </c>
      <c r="AD24" s="106">
        <f t="shared" si="28"/>
        <v>0</v>
      </c>
    </row>
    <row r="25" spans="1:30">
      <c r="A25" s="205"/>
      <c r="B25" s="204"/>
      <c r="C25" s="203"/>
      <c r="D25" s="222" t="s">
        <v>515</v>
      </c>
      <c r="E25" s="101">
        <f t="shared" si="19"/>
        <v>0</v>
      </c>
      <c r="F25" s="210"/>
      <c r="G25" s="209"/>
      <c r="H25" s="209"/>
      <c r="I25" s="209"/>
      <c r="J25" s="208"/>
      <c r="K25" s="22">
        <f t="shared" si="12"/>
        <v>0</v>
      </c>
      <c r="L25" s="207"/>
      <c r="M25" s="207"/>
      <c r="N25" s="108">
        <f t="shared" si="13"/>
        <v>0</v>
      </c>
      <c r="O25" s="25">
        <f t="shared" si="14"/>
        <v>0</v>
      </c>
      <c r="P25" s="25">
        <f t="shared" si="15"/>
        <v>0</v>
      </c>
      <c r="Q25" s="25">
        <f t="shared" si="15"/>
        <v>0</v>
      </c>
      <c r="R25" s="157">
        <f t="shared" si="16"/>
        <v>0</v>
      </c>
      <c r="S25" s="22">
        <f t="shared" si="17"/>
        <v>0</v>
      </c>
      <c r="T25" s="201">
        <f t="shared" si="18"/>
        <v>0</v>
      </c>
      <c r="U25" s="107">
        <f t="shared" si="20"/>
        <v>0</v>
      </c>
      <c r="V25" s="107">
        <f t="shared" si="21"/>
        <v>0</v>
      </c>
      <c r="W25" s="107">
        <f t="shared" si="22"/>
        <v>0</v>
      </c>
      <c r="X25" s="107">
        <f t="shared" si="22"/>
        <v>0</v>
      </c>
      <c r="Y25" s="107">
        <f t="shared" si="23"/>
        <v>0</v>
      </c>
      <c r="Z25" s="106">
        <f t="shared" si="24"/>
        <v>0</v>
      </c>
      <c r="AA25" s="106">
        <f t="shared" si="25"/>
        <v>0</v>
      </c>
      <c r="AB25" s="106">
        <f t="shared" si="26"/>
        <v>0</v>
      </c>
      <c r="AC25" s="106">
        <f t="shared" si="27"/>
        <v>0</v>
      </c>
      <c r="AD25" s="106">
        <f t="shared" si="28"/>
        <v>0</v>
      </c>
    </row>
    <row r="26" spans="1:30">
      <c r="A26" s="205"/>
      <c r="B26" s="204"/>
      <c r="C26" s="203"/>
      <c r="D26" s="222" t="s">
        <v>514</v>
      </c>
      <c r="E26" s="101">
        <f t="shared" si="19"/>
        <v>0</v>
      </c>
      <c r="F26" s="210"/>
      <c r="G26" s="209"/>
      <c r="H26" s="209"/>
      <c r="I26" s="209"/>
      <c r="J26" s="208"/>
      <c r="K26" s="22">
        <f t="shared" si="12"/>
        <v>0</v>
      </c>
      <c r="L26" s="207"/>
      <c r="M26" s="207"/>
      <c r="N26" s="108">
        <f t="shared" si="13"/>
        <v>0</v>
      </c>
      <c r="O26" s="25">
        <f t="shared" si="14"/>
        <v>0</v>
      </c>
      <c r="P26" s="25">
        <f t="shared" si="15"/>
        <v>0</v>
      </c>
      <c r="Q26" s="25">
        <f t="shared" si="15"/>
        <v>0</v>
      </c>
      <c r="R26" s="157">
        <f t="shared" si="16"/>
        <v>0</v>
      </c>
      <c r="S26" s="22">
        <f t="shared" si="17"/>
        <v>0</v>
      </c>
      <c r="T26" s="201">
        <f t="shared" si="18"/>
        <v>0</v>
      </c>
      <c r="U26" s="107">
        <f t="shared" si="20"/>
        <v>0</v>
      </c>
      <c r="V26" s="107">
        <f t="shared" si="21"/>
        <v>0</v>
      </c>
      <c r="W26" s="107">
        <f t="shared" si="22"/>
        <v>0</v>
      </c>
      <c r="X26" s="107">
        <f t="shared" si="22"/>
        <v>0</v>
      </c>
      <c r="Y26" s="107">
        <f t="shared" si="23"/>
        <v>0</v>
      </c>
      <c r="Z26" s="106">
        <f t="shared" si="24"/>
        <v>0</v>
      </c>
      <c r="AA26" s="106">
        <f t="shared" si="25"/>
        <v>0</v>
      </c>
      <c r="AB26" s="106">
        <f t="shared" si="26"/>
        <v>0</v>
      </c>
      <c r="AC26" s="106">
        <f t="shared" si="27"/>
        <v>0</v>
      </c>
      <c r="AD26" s="106">
        <f t="shared" si="28"/>
        <v>0</v>
      </c>
    </row>
    <row r="27" spans="1:30">
      <c r="A27" s="205"/>
      <c r="B27" s="204"/>
      <c r="C27" s="203"/>
      <c r="D27" s="222" t="s">
        <v>513</v>
      </c>
      <c r="E27" s="101">
        <f t="shared" si="19"/>
        <v>0</v>
      </c>
      <c r="F27" s="210"/>
      <c r="G27" s="209"/>
      <c r="H27" s="209"/>
      <c r="I27" s="209"/>
      <c r="J27" s="208"/>
      <c r="K27" s="22">
        <f t="shared" si="12"/>
        <v>0</v>
      </c>
      <c r="L27" s="207"/>
      <c r="M27" s="207"/>
      <c r="N27" s="108">
        <f t="shared" si="13"/>
        <v>0</v>
      </c>
      <c r="O27" s="25">
        <f t="shared" si="14"/>
        <v>0</v>
      </c>
      <c r="P27" s="25">
        <f t="shared" si="15"/>
        <v>0</v>
      </c>
      <c r="Q27" s="25">
        <f t="shared" si="15"/>
        <v>0</v>
      </c>
      <c r="R27" s="157">
        <f t="shared" si="16"/>
        <v>0</v>
      </c>
      <c r="S27" s="22">
        <f t="shared" si="17"/>
        <v>0</v>
      </c>
      <c r="T27" s="201">
        <f t="shared" si="18"/>
        <v>0</v>
      </c>
      <c r="U27" s="107">
        <f t="shared" si="20"/>
        <v>0</v>
      </c>
      <c r="V27" s="107">
        <f t="shared" si="21"/>
        <v>0</v>
      </c>
      <c r="W27" s="107">
        <f t="shared" si="22"/>
        <v>0</v>
      </c>
      <c r="X27" s="107">
        <f t="shared" si="22"/>
        <v>0</v>
      </c>
      <c r="Y27" s="107">
        <f t="shared" si="23"/>
        <v>0</v>
      </c>
      <c r="Z27" s="106">
        <f t="shared" si="24"/>
        <v>0</v>
      </c>
      <c r="AA27" s="106">
        <f t="shared" si="25"/>
        <v>0</v>
      </c>
      <c r="AB27" s="106">
        <f t="shared" si="26"/>
        <v>0</v>
      </c>
      <c r="AC27" s="106">
        <f t="shared" si="27"/>
        <v>0</v>
      </c>
      <c r="AD27" s="106">
        <f t="shared" si="28"/>
        <v>0</v>
      </c>
    </row>
    <row r="28" spans="1:30">
      <c r="A28" s="205"/>
      <c r="B28" s="204"/>
      <c r="C28" s="203"/>
      <c r="D28" s="222" t="s">
        <v>611</v>
      </c>
      <c r="E28" s="101">
        <f>+SUM(K28:M28)</f>
        <v>0</v>
      </c>
      <c r="F28" s="210"/>
      <c r="G28" s="209"/>
      <c r="H28" s="209"/>
      <c r="I28" s="209"/>
      <c r="J28" s="208"/>
      <c r="K28" s="22">
        <f t="shared" si="12"/>
        <v>0</v>
      </c>
      <c r="L28" s="207"/>
      <c r="M28" s="207"/>
      <c r="N28" s="108">
        <f t="shared" si="13"/>
        <v>0</v>
      </c>
      <c r="O28" s="25">
        <f t="shared" si="14"/>
        <v>0</v>
      </c>
      <c r="P28" s="25">
        <f t="shared" si="15"/>
        <v>0</v>
      </c>
      <c r="Q28" s="25">
        <f t="shared" si="15"/>
        <v>0</v>
      </c>
      <c r="R28" s="157">
        <f t="shared" si="16"/>
        <v>0</v>
      </c>
      <c r="S28" s="22">
        <f t="shared" si="17"/>
        <v>0</v>
      </c>
      <c r="T28" s="201">
        <f t="shared" si="18"/>
        <v>0</v>
      </c>
      <c r="U28" s="107">
        <f t="shared" si="20"/>
        <v>0</v>
      </c>
      <c r="V28" s="107">
        <f t="shared" si="21"/>
        <v>0</v>
      </c>
      <c r="W28" s="107">
        <f t="shared" si="22"/>
        <v>0</v>
      </c>
      <c r="X28" s="107">
        <f t="shared" si="22"/>
        <v>0</v>
      </c>
      <c r="Y28" s="107">
        <f t="shared" si="23"/>
        <v>0</v>
      </c>
      <c r="Z28" s="106">
        <f t="shared" si="24"/>
        <v>0</v>
      </c>
      <c r="AA28" s="106">
        <f t="shared" si="25"/>
        <v>0</v>
      </c>
      <c r="AB28" s="106">
        <f t="shared" si="26"/>
        <v>0</v>
      </c>
      <c r="AC28" s="106">
        <f t="shared" si="27"/>
        <v>0</v>
      </c>
      <c r="AD28" s="106">
        <f t="shared" si="28"/>
        <v>0</v>
      </c>
    </row>
    <row r="29" spans="1:30">
      <c r="A29" s="205"/>
      <c r="B29" s="204"/>
      <c r="C29" s="203"/>
      <c r="D29" s="222" t="s">
        <v>630</v>
      </c>
      <c r="E29" s="101">
        <f t="shared" si="19"/>
        <v>0</v>
      </c>
      <c r="F29" s="210"/>
      <c r="G29" s="209"/>
      <c r="H29" s="209"/>
      <c r="I29" s="209"/>
      <c r="J29" s="208"/>
      <c r="K29" s="22">
        <f t="shared" si="12"/>
        <v>0</v>
      </c>
      <c r="L29" s="207"/>
      <c r="M29" s="207"/>
      <c r="N29" s="108">
        <f t="shared" si="13"/>
        <v>0</v>
      </c>
      <c r="O29" s="25">
        <f t="shared" si="14"/>
        <v>0</v>
      </c>
      <c r="P29" s="25">
        <f t="shared" si="15"/>
        <v>0</v>
      </c>
      <c r="Q29" s="25">
        <f t="shared" si="15"/>
        <v>0</v>
      </c>
      <c r="R29" s="157">
        <f t="shared" si="16"/>
        <v>0</v>
      </c>
      <c r="S29" s="22">
        <f t="shared" si="17"/>
        <v>0</v>
      </c>
      <c r="T29" s="201">
        <f t="shared" si="18"/>
        <v>0</v>
      </c>
      <c r="U29" s="107">
        <f t="shared" si="20"/>
        <v>0</v>
      </c>
      <c r="V29" s="107">
        <f t="shared" si="21"/>
        <v>0</v>
      </c>
      <c r="W29" s="107">
        <f t="shared" si="22"/>
        <v>0</v>
      </c>
      <c r="X29" s="107">
        <f t="shared" si="22"/>
        <v>0</v>
      </c>
      <c r="Y29" s="107">
        <f t="shared" si="23"/>
        <v>0</v>
      </c>
      <c r="Z29" s="106">
        <f t="shared" si="24"/>
        <v>0</v>
      </c>
      <c r="AA29" s="106">
        <f t="shared" si="25"/>
        <v>0</v>
      </c>
      <c r="AB29" s="106">
        <f t="shared" si="26"/>
        <v>0</v>
      </c>
      <c r="AC29" s="106">
        <f t="shared" si="27"/>
        <v>0</v>
      </c>
      <c r="AD29" s="106">
        <f t="shared" si="28"/>
        <v>0</v>
      </c>
    </row>
    <row r="30" spans="1:30">
      <c r="A30" s="205"/>
      <c r="B30" s="204"/>
      <c r="C30" s="203"/>
      <c r="D30" s="202" t="s">
        <v>512</v>
      </c>
      <c r="E30" s="183">
        <f t="shared" ref="E30:T30" si="29">+E14-SUM(E15:E29)</f>
        <v>0</v>
      </c>
      <c r="F30" s="108">
        <f t="shared" si="29"/>
        <v>0</v>
      </c>
      <c r="G30" s="25">
        <f t="shared" si="29"/>
        <v>0</v>
      </c>
      <c r="H30" s="25">
        <f t="shared" si="29"/>
        <v>0</v>
      </c>
      <c r="I30" s="25">
        <f t="shared" ref="I30" si="30">+I14-SUM(I15:I29)</f>
        <v>0</v>
      </c>
      <c r="J30" s="22">
        <f t="shared" si="29"/>
        <v>0</v>
      </c>
      <c r="K30" s="22">
        <f t="shared" si="29"/>
        <v>0</v>
      </c>
      <c r="L30" s="183">
        <f t="shared" si="29"/>
        <v>0</v>
      </c>
      <c r="M30" s="183">
        <f t="shared" si="29"/>
        <v>0</v>
      </c>
      <c r="N30" s="108">
        <f t="shared" si="29"/>
        <v>0</v>
      </c>
      <c r="O30" s="25">
        <f t="shared" si="29"/>
        <v>0</v>
      </c>
      <c r="P30" s="25">
        <f t="shared" si="29"/>
        <v>0</v>
      </c>
      <c r="Q30" s="25">
        <f t="shared" ref="Q30" si="31">+Q14-SUM(Q15:Q29)</f>
        <v>0</v>
      </c>
      <c r="R30" s="157">
        <f t="shared" si="29"/>
        <v>0</v>
      </c>
      <c r="S30" s="22">
        <f t="shared" si="29"/>
        <v>0</v>
      </c>
      <c r="T30" s="201">
        <f t="shared" si="29"/>
        <v>0</v>
      </c>
      <c r="U30" s="107"/>
      <c r="V30" s="107"/>
      <c r="W30" s="107"/>
      <c r="X30" s="107"/>
      <c r="Y30" s="107"/>
      <c r="Z30" s="106"/>
      <c r="AA30" s="106"/>
      <c r="AB30" s="106"/>
      <c r="AC30" s="106"/>
      <c r="AD30" s="106"/>
    </row>
    <row r="31" spans="1:30">
      <c r="A31" s="205"/>
      <c r="B31" s="204"/>
      <c r="C31" s="203"/>
      <c r="D31" s="202"/>
      <c r="E31" s="183"/>
      <c r="F31" s="108"/>
      <c r="G31" s="25"/>
      <c r="H31" s="25"/>
      <c r="I31" s="25"/>
      <c r="J31" s="22"/>
      <c r="K31" s="22"/>
      <c r="L31" s="183"/>
      <c r="M31" s="183"/>
      <c r="N31" s="108">
        <f>+ROUND(F31*F$4/(100+F$4),0)+AA31</f>
        <v>0</v>
      </c>
      <c r="O31" s="25">
        <f>+ROUND(G31*G$4/(100+G$4),0)+AB31</f>
        <v>0</v>
      </c>
      <c r="P31" s="25">
        <f>+ROUND(H31*H$4/(100+H$4),0)+AD31</f>
        <v>0</v>
      </c>
      <c r="Q31" s="25">
        <f>+ROUND(I31*I$4/(100+I$4),0)+AE31</f>
        <v>0</v>
      </c>
      <c r="R31" s="157">
        <f>+ROUND(J31*J$4/(100+J$4),0)+AE31</f>
        <v>0</v>
      </c>
      <c r="S31" s="22"/>
      <c r="T31" s="201"/>
      <c r="U31" s="107"/>
      <c r="V31" s="107"/>
      <c r="W31" s="107"/>
      <c r="X31" s="107"/>
      <c r="Y31" s="107"/>
      <c r="Z31" s="106"/>
      <c r="AA31" s="106"/>
      <c r="AB31" s="106"/>
      <c r="AC31" s="106"/>
      <c r="AD31" s="106"/>
    </row>
    <row r="32" spans="1:30">
      <c r="A32" s="205"/>
      <c r="B32" s="204">
        <v>8850202</v>
      </c>
      <c r="C32" s="203"/>
      <c r="D32" s="202" t="s">
        <v>511</v>
      </c>
      <c r="E32" s="158">
        <f>+IF($A32="",IF($C32="",SUMIFS(全伝票!I:I,全伝票!$B:$B,$B32),SUMIFS(全伝票!I:I,全伝票!$C:$C,$C32)),IF($C32="",SUMIFS(全伝票!I:I,全伝票!$A:$A,$A32,全伝票!$B:$B,$B32),SUMIFS(全伝票!I:I,全伝票!$A:$A,$A32,全伝票!$C:$C,$C32)))</f>
        <v>10315355</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60">
        <f>+IF($A32="",IF($C32="",SUMIFS(全伝票!M:M,全伝票!$B:$B,$B32),SUMIFS(全伝票!M:M,全伝票!$C:$C,$C32)),IF($C32="",SUMIFS(全伝票!M:M,全伝票!$A:$A,$A32,全伝票!$B:$B,$B32),SUMIFS(全伝票!M:M,全伝票!$A:$A,$A32,全伝票!$C:$C,$C32)))</f>
        <v>0</v>
      </c>
      <c r="J32" s="184">
        <f>+IF($A32="",IF($C32="",SUMIFS(全伝票!N:N,全伝票!$B:$B,$B32),SUMIFS(全伝票!N:N,全伝票!$C:$C,$C32)),IF($C32="",SUMIFS(全伝票!N:N,全伝票!$A:$A,$A32,全伝票!$B:$B,$B32),SUMIFS(全伝票!N:N,全伝票!$A:$A,$A32,全伝票!$C:$C,$C32)))</f>
        <v>0</v>
      </c>
      <c r="K32" s="22">
        <f>SUM(F32:J32)</f>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10315355</v>
      </c>
      <c r="N32" s="108">
        <f>+ROUND(F32*F$4/(100+F$4),0)+AE32</f>
        <v>0</v>
      </c>
      <c r="O32" s="25">
        <f>+ROUND(G32*G$4/(100+G$4),0)+AF32</f>
        <v>0</v>
      </c>
      <c r="P32" s="25">
        <f>+ROUND(H32*H$4/(100+H$4),0)+AG32</f>
        <v>0</v>
      </c>
      <c r="Q32" s="25">
        <f>+ROUND(I32*I$4/(100+I$4),0)+AH32</f>
        <v>0</v>
      </c>
      <c r="R32" s="157">
        <f>+ROUND(J32*J$4/(100+J$4),0)+AI32</f>
        <v>0</v>
      </c>
      <c r="S32" s="22">
        <f>SUM(N32:R32)</f>
        <v>0</v>
      </c>
      <c r="T32" s="201">
        <f>+E32-S32</f>
        <v>10315355</v>
      </c>
      <c r="U32" s="107">
        <f>N32-F32*F$4/(100+F$4)</f>
        <v>0</v>
      </c>
      <c r="V32" s="107">
        <f>O32-G32*G$4/(100+G$4)</f>
        <v>0</v>
      </c>
      <c r="W32" s="107">
        <f>P32-H32*H$4/(100+H$4)</f>
        <v>0</v>
      </c>
      <c r="X32" s="107">
        <f>Q32-I32*I$4/(100+I$4)</f>
        <v>0</v>
      </c>
      <c r="Y32" s="107">
        <f>R32-J32*J$4/(100+J$4)</f>
        <v>0</v>
      </c>
      <c r="Z32" s="106">
        <f>+IF(N$40=0,0,IF(N$40&lt;0,-RANK(U32,U$5:U$37,0),RANK(U32,U$5:U$37,1)))</f>
        <v>0</v>
      </c>
      <c r="AA32" s="106">
        <f>+IF(O$40=0,0,IF(O$40&lt;0,-RANK(V32,V$5:V$37,0),RANK(V32,V$5:V$37,1)))</f>
        <v>0</v>
      </c>
      <c r="AB32" s="106">
        <f>+IF(P$40=0,0,IF(P$40&lt;0,-RANK(W32,W$5:W$37,0),RANK(W32,W$5:W$37,1)))</f>
        <v>0</v>
      </c>
      <c r="AC32" s="106">
        <f>+IF(Q$40=0,0,IF(Q$40&lt;0,-RANK(X32,X$5:X$37,0),RANK(X32,X$5:X$37,1)))</f>
        <v>0</v>
      </c>
      <c r="AD32" s="106">
        <f>+IF(R$40=0,0,IF(R$40&lt;0,-RANK(Y32,Y$5:Y$37,0),RANK(Y32,Y$5:Y$37,1)))</f>
        <v>0</v>
      </c>
    </row>
    <row r="33" spans="1:30">
      <c r="A33" s="205"/>
      <c r="B33" s="204"/>
      <c r="C33" s="203"/>
      <c r="D33" s="202"/>
      <c r="E33" s="183"/>
      <c r="F33" s="108"/>
      <c r="G33" s="25"/>
      <c r="H33" s="25"/>
      <c r="I33" s="25"/>
      <c r="J33" s="22"/>
      <c r="K33" s="22"/>
      <c r="L33" s="183"/>
      <c r="M33" s="183"/>
      <c r="N33" s="108"/>
      <c r="O33" s="25"/>
      <c r="P33" s="25"/>
      <c r="Q33" s="25"/>
      <c r="R33" s="157"/>
      <c r="S33" s="22"/>
      <c r="T33" s="201"/>
      <c r="U33" s="107"/>
      <c r="V33" s="107"/>
      <c r="W33" s="107"/>
      <c r="X33" s="107"/>
      <c r="Y33" s="107"/>
      <c r="Z33" s="106"/>
      <c r="AA33" s="106"/>
      <c r="AB33" s="106"/>
      <c r="AC33" s="106"/>
      <c r="AD33" s="106"/>
    </row>
    <row r="34" spans="1:30">
      <c r="A34" s="205"/>
      <c r="B34" s="204">
        <v>8851010</v>
      </c>
      <c r="C34" s="203"/>
      <c r="D34" s="102" t="s">
        <v>510</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60">
        <f>+IF($A34="",IF($C34="",SUMIFS(全伝票!M:M,全伝票!$B:$B,$B34),SUMIFS(全伝票!M:M,全伝票!$C:$C,$C34)),IF($C34="",SUMIFS(全伝票!M:M,全伝票!$A:$A,$A34,全伝票!$B:$B,$B34),SUMIFS(全伝票!M:M,全伝票!$A:$A,$A34,全伝票!$C:$C,$C34)))</f>
        <v>0</v>
      </c>
      <c r="J34" s="184">
        <f>+IF($A34="",IF($C34="",SUMIFS(全伝票!N:N,全伝票!$B:$B,$B34),SUMIFS(全伝票!N:N,全伝票!$C:$C,$C34)),IF($C34="",SUMIFS(全伝票!N:N,全伝票!$A:$A,$A34,全伝票!$B:$B,$B34),SUMIFS(全伝票!N:N,全伝票!$A:$A,$A34,全伝票!$C:$C,$C34)))</f>
        <v>0</v>
      </c>
      <c r="K34" s="22">
        <f>SUM(F34:J34)</f>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+ROUND(F34*F$4/(100+F$4),0)+AE34</f>
        <v>0</v>
      </c>
      <c r="O34" s="25">
        <f>+ROUND(G34*G$4/(100+G$4),0)+AF34</f>
        <v>0</v>
      </c>
      <c r="P34" s="25">
        <f>+ROUND(H34*H$4/(100+H$4),0)+AG34</f>
        <v>0</v>
      </c>
      <c r="Q34" s="25">
        <f>+ROUND(I34*I$4/(100+I$4),0)+AH34</f>
        <v>0</v>
      </c>
      <c r="R34" s="157">
        <f>+ROUND(J34*J$4/(100+J$4),0)+AI34</f>
        <v>0</v>
      </c>
      <c r="S34" s="22">
        <f>SUM(N34:R34)</f>
        <v>0</v>
      </c>
      <c r="T34" s="201">
        <f>+E34-S34</f>
        <v>0</v>
      </c>
      <c r="U34" s="107">
        <f>N34-F34*F$4/(100+F$4)</f>
        <v>0</v>
      </c>
      <c r="V34" s="107">
        <f>O34-G34*G$4/(100+G$4)</f>
        <v>0</v>
      </c>
      <c r="W34" s="107">
        <f>P34-H34*H$4/(100+H$4)</f>
        <v>0</v>
      </c>
      <c r="X34" s="107">
        <f>Q34-I34*I$4/(100+I$4)</f>
        <v>0</v>
      </c>
      <c r="Y34" s="107">
        <f>R34-J34*J$4/(100+J$4)</f>
        <v>0</v>
      </c>
      <c r="Z34" s="106">
        <f>+IF(N$40=0,0,IF(N$40&lt;0,-RANK(U34,U$5:U$37,0),RANK(U34,U$5:U$37,1)))</f>
        <v>0</v>
      </c>
      <c r="AA34" s="106">
        <f>+IF(O$40=0,0,IF(O$40&lt;0,-RANK(V34,V$5:V$37,0),RANK(V34,V$5:V$37,1)))</f>
        <v>0</v>
      </c>
      <c r="AB34" s="106">
        <f>+IF(P$40=0,0,IF(P$40&lt;0,-RANK(W34,W$5:W$37,0),RANK(W34,W$5:W$37,1)))</f>
        <v>0</v>
      </c>
      <c r="AC34" s="106">
        <f>+IF(Q$40=0,0,IF(Q$40&lt;0,-RANK(X34,X$5:X$37,0),RANK(X34,X$5:X$37,1)))</f>
        <v>0</v>
      </c>
      <c r="AD34" s="106">
        <f>+IF(R$40=0,0,IF(R$40&lt;0,-RANK(Y34,Y$5:Y$37,0),RANK(Y34,Y$5:Y$37,1)))</f>
        <v>0</v>
      </c>
    </row>
    <row r="35" spans="1:30">
      <c r="A35" s="205"/>
      <c r="B35" s="204"/>
      <c r="C35" s="203"/>
      <c r="D35" s="202"/>
      <c r="E35" s="183"/>
      <c r="F35" s="108"/>
      <c r="G35" s="25"/>
      <c r="H35" s="25"/>
      <c r="I35" s="25"/>
      <c r="J35" s="22"/>
      <c r="K35" s="22"/>
      <c r="L35" s="183"/>
      <c r="M35" s="183"/>
      <c r="N35" s="108"/>
      <c r="O35" s="25"/>
      <c r="P35" s="25"/>
      <c r="Q35" s="25"/>
      <c r="R35" s="157"/>
      <c r="S35" s="22"/>
      <c r="T35" s="201"/>
      <c r="U35" s="107"/>
      <c r="V35" s="107"/>
      <c r="W35" s="107"/>
      <c r="X35" s="107"/>
      <c r="Y35" s="107"/>
      <c r="Z35" s="106"/>
      <c r="AA35" s="106"/>
      <c r="AB35" s="106"/>
      <c r="AC35" s="106"/>
      <c r="AD35" s="106"/>
    </row>
    <row r="36" spans="1:30">
      <c r="A36" s="205"/>
      <c r="B36" s="204"/>
      <c r="C36" s="203"/>
      <c r="D36" s="202"/>
      <c r="E36" s="183"/>
      <c r="F36" s="108"/>
      <c r="G36" s="25"/>
      <c r="H36" s="25"/>
      <c r="I36" s="25"/>
      <c r="J36" s="22"/>
      <c r="K36" s="22"/>
      <c r="L36" s="183"/>
      <c r="M36" s="183"/>
      <c r="N36" s="108"/>
      <c r="O36" s="25"/>
      <c r="P36" s="25"/>
      <c r="Q36" s="25"/>
      <c r="R36" s="157"/>
      <c r="S36" s="22"/>
      <c r="T36" s="201"/>
      <c r="U36" s="107"/>
      <c r="V36" s="107"/>
      <c r="W36" s="107"/>
      <c r="X36" s="107"/>
      <c r="Y36" s="107"/>
      <c r="Z36" s="106"/>
      <c r="AA36" s="106"/>
      <c r="AB36" s="106"/>
      <c r="AC36" s="106"/>
      <c r="AD36" s="106"/>
    </row>
    <row r="37" spans="1:30" ht="14.25" thickBot="1">
      <c r="A37" s="205"/>
      <c r="B37" s="204"/>
      <c r="C37" s="203"/>
      <c r="D37" s="202"/>
      <c r="E37" s="183"/>
      <c r="F37" s="108"/>
      <c r="G37" s="25"/>
      <c r="H37" s="25"/>
      <c r="I37" s="25"/>
      <c r="J37" s="22"/>
      <c r="K37" s="22"/>
      <c r="L37" s="183"/>
      <c r="M37" s="183"/>
      <c r="N37" s="108"/>
      <c r="O37" s="25"/>
      <c r="P37" s="25"/>
      <c r="Q37" s="25"/>
      <c r="R37" s="157"/>
      <c r="S37" s="22"/>
      <c r="T37" s="201"/>
      <c r="U37" s="107"/>
      <c r="V37" s="107"/>
      <c r="W37" s="107"/>
      <c r="X37" s="107"/>
      <c r="Y37" s="107"/>
      <c r="Z37" s="106"/>
      <c r="AA37" s="106"/>
      <c r="AB37" s="106"/>
      <c r="AC37" s="106"/>
      <c r="AD37" s="106"/>
    </row>
    <row r="38" spans="1:30" ht="14.25" thickTop="1">
      <c r="A38" s="200"/>
      <c r="B38" s="199"/>
      <c r="C38" s="198"/>
      <c r="D38" s="197" t="s">
        <v>2</v>
      </c>
      <c r="E38" s="195">
        <f t="shared" ref="E38:T38" si="32">SUM(E5,E14,E32,E34)</f>
        <v>20995298</v>
      </c>
      <c r="F38" s="196">
        <f t="shared" si="32"/>
        <v>0</v>
      </c>
      <c r="G38" s="18">
        <f t="shared" si="32"/>
        <v>0</v>
      </c>
      <c r="H38" s="18">
        <f t="shared" si="32"/>
        <v>15407</v>
      </c>
      <c r="I38" s="18">
        <f t="shared" ref="I38" si="33">SUM(I5,I14,I32,I34)</f>
        <v>0</v>
      </c>
      <c r="J38" s="15">
        <f t="shared" si="32"/>
        <v>10640333</v>
      </c>
      <c r="K38" s="144">
        <f t="shared" si="32"/>
        <v>10655740</v>
      </c>
      <c r="L38" s="195">
        <f t="shared" si="32"/>
        <v>6023</v>
      </c>
      <c r="M38" s="195">
        <f t="shared" si="32"/>
        <v>10333535</v>
      </c>
      <c r="N38" s="146">
        <f t="shared" si="32"/>
        <v>0</v>
      </c>
      <c r="O38" s="145">
        <f t="shared" si="32"/>
        <v>0</v>
      </c>
      <c r="P38" s="145">
        <f t="shared" si="32"/>
        <v>1141</v>
      </c>
      <c r="Q38" s="145">
        <f t="shared" ref="Q38" si="34">SUM(Q5,Q14,Q32,Q34)</f>
        <v>0</v>
      </c>
      <c r="R38" s="148">
        <f t="shared" si="32"/>
        <v>967303</v>
      </c>
      <c r="S38" s="144">
        <f t="shared" si="32"/>
        <v>968444</v>
      </c>
      <c r="T38" s="147">
        <f t="shared" si="32"/>
        <v>20026854</v>
      </c>
      <c r="U38" s="88" t="str">
        <f>+IF(F38=0,"",ROUND(F38*F$4/(100+F$4),7)-N38)</f>
        <v/>
      </c>
      <c r="V38" s="88"/>
      <c r="W38" s="88"/>
      <c r="X38" s="88"/>
      <c r="Y38" s="88"/>
      <c r="Z38" s="88"/>
      <c r="AA38" s="88"/>
      <c r="AB38" s="87"/>
      <c r="AC38" s="87"/>
      <c r="AD38" s="87"/>
    </row>
    <row r="39" spans="1:30">
      <c r="A39" s="194"/>
      <c r="B39" s="193"/>
      <c r="C39" s="192"/>
      <c r="D39" s="191" t="s">
        <v>1</v>
      </c>
      <c r="E39" s="188">
        <f t="shared" ref="E39:J39" si="35">+E38</f>
        <v>20995298</v>
      </c>
      <c r="F39" s="190">
        <f t="shared" si="35"/>
        <v>0</v>
      </c>
      <c r="G39" s="189">
        <f t="shared" si="35"/>
        <v>0</v>
      </c>
      <c r="H39" s="189">
        <f t="shared" si="35"/>
        <v>15407</v>
      </c>
      <c r="I39" s="189">
        <f t="shared" si="35"/>
        <v>0</v>
      </c>
      <c r="J39" s="7">
        <f t="shared" si="35"/>
        <v>10640333</v>
      </c>
      <c r="K39" s="66">
        <f>SUM(F39:J39)</f>
        <v>10655740</v>
      </c>
      <c r="L39" s="188">
        <f>+L38</f>
        <v>6023</v>
      </c>
      <c r="M39" s="135">
        <f>+M38</f>
        <v>10333535</v>
      </c>
      <c r="N39" s="133">
        <f>+'3条支出'!N27</f>
        <v>0</v>
      </c>
      <c r="O39" s="132">
        <f>+'3条支出'!O27</f>
        <v>0</v>
      </c>
      <c r="P39" s="132">
        <f>+'3条支出'!P27</f>
        <v>1141</v>
      </c>
      <c r="Q39" s="132">
        <f>+'3条支出'!Q27</f>
        <v>0</v>
      </c>
      <c r="R39" s="132">
        <f>+'3条支出'!R27</f>
        <v>967303</v>
      </c>
      <c r="S39" s="131">
        <f>+'3条支出'!S27</f>
        <v>968444</v>
      </c>
      <c r="T39" s="134">
        <f>+'3条支出'!T27</f>
        <v>20026854</v>
      </c>
      <c r="U39" s="88" t="str">
        <f>+IF(F39=0,"",ROUND(F39*F$4/(100+F$4),7)-N39)</f>
        <v/>
      </c>
      <c r="V39" s="88"/>
      <c r="W39" s="88"/>
      <c r="X39" s="88"/>
      <c r="Y39" s="88"/>
      <c r="Z39" s="88"/>
      <c r="AA39" s="88"/>
      <c r="AB39" s="87"/>
      <c r="AC39" s="87"/>
      <c r="AD39" s="87"/>
    </row>
    <row r="40" spans="1:30">
      <c r="E40" s="4">
        <f t="shared" ref="E40:T40" si="36">+E39-E38</f>
        <v>0</v>
      </c>
      <c r="F40" s="4">
        <f t="shared" si="36"/>
        <v>0</v>
      </c>
      <c r="G40" s="4">
        <f t="shared" si="36"/>
        <v>0</v>
      </c>
      <c r="H40" s="4">
        <f t="shared" si="36"/>
        <v>0</v>
      </c>
      <c r="I40" s="4">
        <f t="shared" ref="I40" si="37">+I39-I38</f>
        <v>0</v>
      </c>
      <c r="J40" s="4">
        <f t="shared" si="36"/>
        <v>0</v>
      </c>
      <c r="K40" s="4">
        <f t="shared" si="36"/>
        <v>0</v>
      </c>
      <c r="L40" s="4">
        <f t="shared" si="36"/>
        <v>0</v>
      </c>
      <c r="M40" s="4">
        <f t="shared" si="36"/>
        <v>0</v>
      </c>
      <c r="N40" s="4">
        <f t="shared" si="36"/>
        <v>0</v>
      </c>
      <c r="O40" s="4">
        <f t="shared" si="36"/>
        <v>0</v>
      </c>
      <c r="P40" s="4">
        <f t="shared" si="36"/>
        <v>0</v>
      </c>
      <c r="Q40" s="4">
        <f t="shared" ref="Q40" si="38">+Q39-Q38</f>
        <v>0</v>
      </c>
      <c r="R40" s="4">
        <f t="shared" si="36"/>
        <v>0</v>
      </c>
      <c r="S40" s="4">
        <f t="shared" si="36"/>
        <v>0</v>
      </c>
      <c r="T40" s="4">
        <f t="shared" si="36"/>
        <v>0</v>
      </c>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U41" s="88" t="str">
        <f>+IF(F41=0,"",ROUND(F41*F$4/(100+F$4),7)-N41)</f>
        <v/>
      </c>
      <c r="V41" s="88" t="str">
        <f>+IF(G41=0,"",ROUND(G41*G$4/(100+G$4),7)-O41)</f>
        <v/>
      </c>
      <c r="W41" s="88" t="str">
        <f>+IF(H41=0,"",ROUND(H41*H$4/(100+H$4),7)-P41)</f>
        <v/>
      </c>
      <c r="X41" s="88"/>
      <c r="Y41" s="88" t="str">
        <f>+IF(J41=0,"",ROUND(J41*J$4/(100+J$4),7)-R41)</f>
        <v/>
      </c>
      <c r="Z41" s="88"/>
      <c r="AA41" s="88"/>
      <c r="AB41" s="87" t="str">
        <f>+IF(SUM(U41:Y41)=0,"",SUM(U41:Y41))</f>
        <v/>
      </c>
      <c r="AC41" s="87"/>
      <c r="AD41" s="87"/>
    </row>
    <row r="42" spans="1:30">
      <c r="E42" s="62"/>
      <c r="F42" s="62"/>
      <c r="G42" s="186"/>
      <c r="H42" s="62"/>
      <c r="I42" s="62"/>
      <c r="U42" s="88" t="str">
        <f>+IF(F42=0,"",ROUND(F42*F$4/(100+F$4),7)-N42)</f>
        <v/>
      </c>
      <c r="V42" s="88"/>
      <c r="W42" s="88"/>
      <c r="X42" s="88"/>
      <c r="Y42" s="88"/>
      <c r="Z42" s="88"/>
      <c r="AA42" s="88"/>
      <c r="AB42" s="87"/>
      <c r="AC42" s="87"/>
      <c r="AD42" s="87"/>
    </row>
    <row r="43" spans="1:30">
      <c r="E43" s="62"/>
      <c r="F43" s="62"/>
      <c r="G43" s="186"/>
      <c r="H43" s="62"/>
      <c r="I43" s="62"/>
    </row>
    <row r="44" spans="1:30">
      <c r="E44" s="62"/>
      <c r="F44" s="62"/>
      <c r="G44" s="62"/>
      <c r="H44" s="62"/>
      <c r="I44" s="6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8:AI39">
    <cfRule type="notContainsBlanks" dxfId="33" priority="7" stopIfTrue="1">
      <formula>LEN(TRIM(AE38))&gt;0</formula>
    </cfRule>
  </conditionalFormatting>
  <conditionalFormatting sqref="AE5:AI28 AE30:AI37 AF29:AI29">
    <cfRule type="notContainsBlanks" dxfId="32" priority="6" stopIfTrue="1">
      <formula>LEN(TRIM(AE5))&gt;0</formula>
    </cfRule>
  </conditionalFormatting>
  <conditionalFormatting sqref="Z5:AD28 Z30:AD37">
    <cfRule type="expression" dxfId="31" priority="5">
      <formula>ABS(Z5)=1</formula>
    </cfRule>
  </conditionalFormatting>
  <conditionalFormatting sqref="AE29">
    <cfRule type="notContainsBlanks" dxfId="30" priority="4" stopIfTrue="1">
      <formula>LEN(TRIM(AE29))&gt;0</formula>
    </cfRule>
  </conditionalFormatting>
  <conditionalFormatting sqref="Z29:AD29">
    <cfRule type="expression" dxfId="29" priority="3">
      <formula>ABS(Z29)=1</formula>
    </cfRule>
  </conditionalFormatting>
  <conditionalFormatting sqref="E40:T40">
    <cfRule type="cellIs" dxfId="28" priority="2" operator="notEqual">
      <formula>0</formula>
    </cfRule>
  </conditionalFormatting>
  <conditionalFormatting sqref="O12:T12 O30:T30">
    <cfRule type="cellIs" dxfId="27" priority="1" operator="notEqual">
      <formula>0</formula>
    </cfRule>
  </conditionalFormatting>
  <pageMargins left="0.39370078740157483" right="0.39370078740157483" top="0.78740157480314965" bottom="0.39370078740157483" header="0.39370078740157483" footer="0.19685039370078741"/>
  <pageSetup paperSize="9" scale="63" orientation="landscape" blackAndWhite="1" r:id="rId1"/>
  <headerFooter>
    <oddFooter>&amp;L&amp;8&amp;Z&amp;F&amp;A&amp;R&amp;8&amp;D&amp;T</oddFooter>
  </headerFooter>
  <drawing r:id="rId2"/>
  <legacyDrawing r:id="rId3"/>
</worksheet>
</file>

<file path=xl/worksheets/w1_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I46"/>
  <sheetViews>
    <sheetView workbookViewId="0">
      <selection activeCell="T27" sqref="T27"/>
    </sheetView>
  </sheetViews>
  <sheetFormatPr defaultColWidth="9" defaultRowHeight="13.5"/>
  <cols>
    <col min="1" max="3" width="3.375" style="1" customWidth="1"/>
    <col min="4" max="4" width="16" style="1" customWidth="1"/>
    <col min="5" max="5" width="13.625" style="1" customWidth="1"/>
    <col min="6" max="9" width="12.625" style="1" customWidth="1"/>
    <col min="10" max="10" width="12.375" style="1" customWidth="1"/>
    <col min="11" max="11" width="13.625" style="1" customWidth="1"/>
    <col min="12" max="12" width="12.625" style="1" customWidth="1"/>
    <col min="13" max="13" width="13.625" style="1" customWidth="1"/>
    <col min="14" max="17" width="12.625" style="3" customWidth="1"/>
    <col min="18" max="18" width="10.625" style="3" customWidth="1"/>
    <col min="19" max="19" width="12.625" style="3" customWidth="1"/>
    <col min="20" max="20" width="13.625" style="1" customWidth="1"/>
    <col min="21" max="25" width="7.125" style="2" customWidth="1"/>
    <col min="26" max="30" width="6.375" style="2" customWidth="1"/>
    <col min="31" max="35" width="5.75" style="2" customWidth="1"/>
    <col min="36" max="95" width="10.625" style="1" customWidth="1"/>
    <col min="96" max="16384" width="9" style="1"/>
  </cols>
  <sheetData>
    <row r="1" spans="1:35">
      <c r="D1" s="228" t="s">
        <v>610</v>
      </c>
    </row>
    <row r="2" spans="1:35">
      <c r="D2" s="1" t="s">
        <v>543</v>
      </c>
      <c r="V2" s="230"/>
      <c r="W2" s="230"/>
      <c r="X2" s="261"/>
      <c r="Y2" s="230"/>
      <c r="Z2" s="230"/>
      <c r="AA2" s="230"/>
      <c r="AB2" s="230"/>
      <c r="AC2" s="261"/>
      <c r="AD2" s="230"/>
      <c r="AE2" s="230"/>
      <c r="AF2" s="230"/>
      <c r="AG2" s="230"/>
      <c r="AH2" s="261"/>
      <c r="AI2" s="230"/>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51">
        <v>10</v>
      </c>
      <c r="K4" s="127" t="s">
        <v>2</v>
      </c>
      <c r="L4" s="312"/>
      <c r="M4" s="312"/>
      <c r="N4" s="126">
        <v>3</v>
      </c>
      <c r="O4" s="125">
        <v>5</v>
      </c>
      <c r="P4" s="125">
        <v>8</v>
      </c>
      <c r="Q4" s="269">
        <v>8</v>
      </c>
      <c r="R4" s="124">
        <v>10</v>
      </c>
      <c r="S4" s="123" t="s">
        <v>2</v>
      </c>
      <c r="T4" s="312"/>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s="62" customFormat="1">
      <c r="A5" s="120"/>
      <c r="B5" s="119"/>
      <c r="C5" s="118"/>
      <c r="D5" s="117" t="s">
        <v>23</v>
      </c>
      <c r="E5" s="116">
        <f t="shared" ref="E5:T5" si="0">+SUM(E6:E20)</f>
        <v>38667473149</v>
      </c>
      <c r="F5" s="115">
        <f t="shared" si="0"/>
        <v>0</v>
      </c>
      <c r="G5" s="114">
        <f t="shared" si="0"/>
        <v>0</v>
      </c>
      <c r="H5" s="114">
        <f t="shared" si="0"/>
        <v>1196802</v>
      </c>
      <c r="I5" s="114">
        <f t="shared" ref="I5" si="1">+SUM(I6:I20)</f>
        <v>500878</v>
      </c>
      <c r="J5" s="113">
        <f t="shared" si="0"/>
        <v>9029006334</v>
      </c>
      <c r="K5" s="112">
        <f t="shared" si="0"/>
        <v>9030704014</v>
      </c>
      <c r="L5" s="116">
        <f t="shared" si="0"/>
        <v>417951500</v>
      </c>
      <c r="M5" s="116">
        <f t="shared" si="0"/>
        <v>29218817635</v>
      </c>
      <c r="N5" s="115">
        <f t="shared" ref="N5:S5" si="2">+SUM(N6:N20)</f>
        <v>0</v>
      </c>
      <c r="O5" s="114">
        <f t="shared" si="2"/>
        <v>0</v>
      </c>
      <c r="P5" s="114">
        <f t="shared" si="2"/>
        <v>88652</v>
      </c>
      <c r="Q5" s="114">
        <f t="shared" ref="Q5" si="3">+SUM(Q6:Q20)</f>
        <v>37102</v>
      </c>
      <c r="R5" s="113">
        <f t="shared" si="2"/>
        <v>820818757</v>
      </c>
      <c r="S5" s="112">
        <f t="shared" si="2"/>
        <v>820944511</v>
      </c>
      <c r="T5" s="111">
        <f t="shared" si="0"/>
        <v>37846528638</v>
      </c>
      <c r="U5" s="107"/>
      <c r="V5" s="107"/>
      <c r="W5" s="107"/>
      <c r="X5" s="107"/>
      <c r="Y5" s="107"/>
      <c r="Z5" s="106"/>
      <c r="AA5" s="106"/>
      <c r="AB5" s="106"/>
      <c r="AC5" s="106"/>
      <c r="AD5" s="106"/>
      <c r="AE5" s="2"/>
      <c r="AF5" s="2"/>
      <c r="AG5" s="2"/>
      <c r="AH5" s="2"/>
      <c r="AI5" s="2"/>
    </row>
    <row r="6" spans="1:35" s="62" customFormat="1">
      <c r="A6" s="105"/>
      <c r="B6" s="104"/>
      <c r="C6" s="103"/>
      <c r="D6" s="102" t="s">
        <v>22</v>
      </c>
      <c r="E6" s="101">
        <f>+管!E36</f>
        <v>611819957</v>
      </c>
      <c r="F6" s="90">
        <f>+管!F36</f>
        <v>0</v>
      </c>
      <c r="G6" s="89">
        <f>+管!G36</f>
        <v>0</v>
      </c>
      <c r="H6" s="89">
        <f>+管!H36</f>
        <v>678402</v>
      </c>
      <c r="I6" s="89">
        <f>+管!I36</f>
        <v>0</v>
      </c>
      <c r="J6" s="92">
        <f>+管!J36</f>
        <v>518156070</v>
      </c>
      <c r="K6" s="34">
        <f>+管!K36</f>
        <v>518834472</v>
      </c>
      <c r="L6" s="101">
        <f>+管!L36</f>
        <v>20454735</v>
      </c>
      <c r="M6" s="101">
        <f>+管!M36</f>
        <v>72530750</v>
      </c>
      <c r="N6" s="90">
        <f>+管!N36</f>
        <v>0</v>
      </c>
      <c r="O6" s="89">
        <f>+管!O36</f>
        <v>0</v>
      </c>
      <c r="P6" s="89">
        <f>+管!P36</f>
        <v>50252</v>
      </c>
      <c r="Q6" s="89">
        <f>+管!Q36</f>
        <v>0</v>
      </c>
      <c r="R6" s="92">
        <f>+管!R36</f>
        <v>47105097</v>
      </c>
      <c r="S6" s="34">
        <f>+管!S36</f>
        <v>47155349</v>
      </c>
      <c r="T6" s="109">
        <f t="shared" ref="T6:T20" si="4">+E6-S6</f>
        <v>564664608</v>
      </c>
      <c r="U6" s="107">
        <f>N6-F6*F$4/(100+F$4)</f>
        <v>0</v>
      </c>
      <c r="V6" s="107">
        <f>O6-G6*G$4/(100+G$4)</f>
        <v>0</v>
      </c>
      <c r="W6" s="107">
        <f>P6-H6*H$4/(100+H$4)</f>
        <v>0</v>
      </c>
      <c r="X6" s="107">
        <f>Q6-I6*I$4/(100+I$4)</f>
        <v>0</v>
      </c>
      <c r="Y6" s="107">
        <f>R6-J6*J$4/(100+J$4)</f>
        <v>-0.27272727340459824</v>
      </c>
      <c r="Z6" s="106">
        <f t="shared" ref="Z6:Z14" si="5">+IF(N$43=0,0,IF(N$43&lt;0,-RANK(U6,U$5:U$40,0),RANK(U6,U$5:U$40,1)))</f>
        <v>0</v>
      </c>
      <c r="AA6" s="106">
        <f t="shared" ref="AA6:AA14" si="6">+IF(O$43=0,0,IF(O$43&lt;0,-RANK(V6,V$5:V$40,0),RANK(V6,V$5:V$40,1)))</f>
        <v>0</v>
      </c>
      <c r="AB6" s="106">
        <f t="shared" ref="AB6:AC14" si="7">+IF(P$43=0,0,IF(P$43&lt;0,-RANK(W6,W$5:W$40,0),RANK(W6,W$5:W$40,1)))</f>
        <v>0</v>
      </c>
      <c r="AC6" s="106">
        <f t="shared" si="7"/>
        <v>0</v>
      </c>
      <c r="AD6" s="106">
        <f t="shared" ref="AD6:AD14" si="8">+IF(R$43=0,0,IF(R$43&lt;0,-RANK(Y6,Y$5:Y$40,0),RANK(Y6,Y$5:Y$40,1)))</f>
        <v>0</v>
      </c>
      <c r="AE6" s="2"/>
      <c r="AF6" s="2"/>
      <c r="AG6" s="2"/>
      <c r="AH6" s="2"/>
      <c r="AI6" s="2"/>
    </row>
    <row r="7" spans="1:35" s="62" customFormat="1">
      <c r="A7" s="105"/>
      <c r="B7" s="104"/>
      <c r="C7" s="103"/>
      <c r="D7" s="102" t="s">
        <v>21</v>
      </c>
      <c r="E7" s="101">
        <f>+水質!E36</f>
        <v>52443869</v>
      </c>
      <c r="F7" s="90">
        <f>+水質!F36</f>
        <v>0</v>
      </c>
      <c r="G7" s="89">
        <f>+水質!G36</f>
        <v>0</v>
      </c>
      <c r="H7" s="89">
        <f>+水質!H36</f>
        <v>0</v>
      </c>
      <c r="I7" s="89">
        <f>+水質!I36</f>
        <v>0</v>
      </c>
      <c r="J7" s="92">
        <f>+水質!J36</f>
        <v>12436317</v>
      </c>
      <c r="K7" s="34">
        <f>+水質!K36</f>
        <v>12436317</v>
      </c>
      <c r="L7" s="101">
        <f>+水質!L36</f>
        <v>6197563</v>
      </c>
      <c r="M7" s="101">
        <f>+水質!M36</f>
        <v>33809989</v>
      </c>
      <c r="N7" s="90">
        <f>+水質!N36</f>
        <v>0</v>
      </c>
      <c r="O7" s="89">
        <f>+水質!O36</f>
        <v>0</v>
      </c>
      <c r="P7" s="89">
        <f>+水質!P36</f>
        <v>0</v>
      </c>
      <c r="Q7" s="89">
        <f>+水質!Q36</f>
        <v>0</v>
      </c>
      <c r="R7" s="92">
        <f>+水質!R36</f>
        <v>1130574</v>
      </c>
      <c r="S7" s="34">
        <f>+水質!S36</f>
        <v>1130574</v>
      </c>
      <c r="T7" s="109">
        <f t="shared" si="4"/>
        <v>51313295</v>
      </c>
      <c r="U7" s="107">
        <f t="shared" ref="U7:X14" si="9">N7-F7*F$4/(100+F$4)-AE7</f>
        <v>0</v>
      </c>
      <c r="V7" s="107">
        <f t="shared" si="9"/>
        <v>0</v>
      </c>
      <c r="W7" s="107">
        <f t="shared" si="9"/>
        <v>0</v>
      </c>
      <c r="X7" s="107">
        <f t="shared" si="9"/>
        <v>0</v>
      </c>
      <c r="Y7" s="107">
        <f t="shared" ref="Y7:Y14" si="10">R7-J7*J$4/(100+J$4)-AI7</f>
        <v>-0.27272727270610631</v>
      </c>
      <c r="Z7" s="106">
        <f t="shared" si="5"/>
        <v>0</v>
      </c>
      <c r="AA7" s="106">
        <f t="shared" si="6"/>
        <v>0</v>
      </c>
      <c r="AB7" s="106">
        <f t="shared" si="7"/>
        <v>0</v>
      </c>
      <c r="AC7" s="106">
        <f t="shared" si="7"/>
        <v>0</v>
      </c>
      <c r="AD7" s="106">
        <f t="shared" si="8"/>
        <v>0</v>
      </c>
      <c r="AE7" s="2"/>
      <c r="AF7" s="2"/>
      <c r="AG7" s="2"/>
      <c r="AH7" s="2"/>
      <c r="AI7" s="2"/>
    </row>
    <row r="8" spans="1:35" s="62" customFormat="1">
      <c r="A8" s="105"/>
      <c r="B8" s="104"/>
      <c r="C8" s="103"/>
      <c r="D8" s="102" t="s">
        <v>20</v>
      </c>
      <c r="E8" s="101">
        <f>+ポ!E36</f>
        <v>2356040225</v>
      </c>
      <c r="F8" s="90">
        <f>+ポ!F36</f>
        <v>0</v>
      </c>
      <c r="G8" s="89">
        <f>+ポ!G36</f>
        <v>0</v>
      </c>
      <c r="H8" s="89">
        <f>+ポ!H36</f>
        <v>0</v>
      </c>
      <c r="I8" s="89">
        <f>+ポ!I36</f>
        <v>30357</v>
      </c>
      <c r="J8" s="92">
        <f>+ポ!J36</f>
        <v>1148180103</v>
      </c>
      <c r="K8" s="34">
        <f>+ポ!K36</f>
        <v>1148210460</v>
      </c>
      <c r="L8" s="101">
        <f>+ポ!L36</f>
        <v>188585576</v>
      </c>
      <c r="M8" s="101">
        <f>+ポ!M36</f>
        <v>1019244189</v>
      </c>
      <c r="N8" s="90">
        <f>+ポ!N36</f>
        <v>0</v>
      </c>
      <c r="O8" s="89">
        <f>+ポ!O36</f>
        <v>0</v>
      </c>
      <c r="P8" s="89">
        <f>+ポ!P36</f>
        <v>0</v>
      </c>
      <c r="Q8" s="89">
        <f>+ポ!Q36</f>
        <v>2249</v>
      </c>
      <c r="R8" s="92">
        <f>+ポ!R36</f>
        <v>104380009</v>
      </c>
      <c r="S8" s="34">
        <f>+ポ!S36</f>
        <v>104382258</v>
      </c>
      <c r="T8" s="109">
        <f t="shared" si="4"/>
        <v>2251657967</v>
      </c>
      <c r="U8" s="107">
        <f t="shared" si="9"/>
        <v>0</v>
      </c>
      <c r="V8" s="107">
        <f t="shared" si="9"/>
        <v>0</v>
      </c>
      <c r="W8" s="107">
        <f t="shared" si="9"/>
        <v>0</v>
      </c>
      <c r="X8" s="107">
        <f t="shared" si="9"/>
        <v>0.33333333333348492</v>
      </c>
      <c r="Y8" s="107">
        <f t="shared" si="10"/>
        <v>-0.36363635957241058</v>
      </c>
      <c r="Z8" s="106">
        <f t="shared" si="5"/>
        <v>0</v>
      </c>
      <c r="AA8" s="106">
        <f t="shared" si="6"/>
        <v>0</v>
      </c>
      <c r="AB8" s="106">
        <f t="shared" si="7"/>
        <v>0</v>
      </c>
      <c r="AC8" s="106">
        <f t="shared" si="7"/>
        <v>0</v>
      </c>
      <c r="AD8" s="106">
        <f t="shared" si="8"/>
        <v>0</v>
      </c>
      <c r="AE8" s="2"/>
      <c r="AF8" s="2"/>
      <c r="AG8" s="2"/>
      <c r="AH8" s="2"/>
      <c r="AI8" s="2"/>
    </row>
    <row r="9" spans="1:35" s="62" customFormat="1">
      <c r="A9" s="105"/>
      <c r="B9" s="104"/>
      <c r="C9" s="103"/>
      <c r="D9" s="102" t="s">
        <v>19</v>
      </c>
      <c r="E9" s="101">
        <f>+処!E36</f>
        <v>6557703864</v>
      </c>
      <c r="F9" s="90">
        <f>+処!F36</f>
        <v>0</v>
      </c>
      <c r="G9" s="89">
        <f>+処!G36</f>
        <v>0</v>
      </c>
      <c r="H9" s="89">
        <f>+処!H36</f>
        <v>518400</v>
      </c>
      <c r="I9" s="89">
        <f>+処!I36</f>
        <v>144600</v>
      </c>
      <c r="J9" s="92">
        <f>+処!J36</f>
        <v>5718291420</v>
      </c>
      <c r="K9" s="34">
        <f>+処!K36</f>
        <v>5718954420</v>
      </c>
      <c r="L9" s="101">
        <f>+処!L36</f>
        <v>130669187</v>
      </c>
      <c r="M9" s="101">
        <f>+処!M36</f>
        <v>708080257</v>
      </c>
      <c r="N9" s="90">
        <f>+処!N36</f>
        <v>0</v>
      </c>
      <c r="O9" s="89">
        <f>+処!O36</f>
        <v>0</v>
      </c>
      <c r="P9" s="89">
        <f>+処!P36</f>
        <v>38400</v>
      </c>
      <c r="Q9" s="89">
        <f>+処!Q36</f>
        <v>10711</v>
      </c>
      <c r="R9" s="92">
        <f>+処!R36</f>
        <v>519844675</v>
      </c>
      <c r="S9" s="34">
        <f>+処!S36</f>
        <v>519893786</v>
      </c>
      <c r="T9" s="109">
        <f t="shared" si="4"/>
        <v>6037810078</v>
      </c>
      <c r="U9" s="107">
        <f t="shared" si="9"/>
        <v>0</v>
      </c>
      <c r="V9" s="107">
        <f t="shared" si="9"/>
        <v>0</v>
      </c>
      <c r="W9" s="107">
        <f t="shared" si="9"/>
        <v>0</v>
      </c>
      <c r="X9" s="107">
        <f t="shared" si="9"/>
        <v>-0.11111111111131322</v>
      </c>
      <c r="Y9" s="107">
        <f t="shared" si="10"/>
        <v>0.45454543828964233</v>
      </c>
      <c r="Z9" s="106">
        <f t="shared" si="5"/>
        <v>0</v>
      </c>
      <c r="AA9" s="106">
        <f t="shared" si="6"/>
        <v>0</v>
      </c>
      <c r="AB9" s="106">
        <f t="shared" si="7"/>
        <v>0</v>
      </c>
      <c r="AC9" s="106">
        <f t="shared" si="7"/>
        <v>0</v>
      </c>
      <c r="AD9" s="106">
        <f t="shared" si="8"/>
        <v>0</v>
      </c>
      <c r="AE9" s="2"/>
      <c r="AF9" s="2"/>
      <c r="AG9" s="2"/>
      <c r="AH9" s="2"/>
      <c r="AI9" s="2"/>
    </row>
    <row r="10" spans="1:35" s="62" customFormat="1">
      <c r="A10" s="105"/>
      <c r="B10" s="104"/>
      <c r="C10" s="103"/>
      <c r="D10" s="102" t="s">
        <v>18</v>
      </c>
      <c r="E10" s="101">
        <f>+受工!E36</f>
        <v>0</v>
      </c>
      <c r="F10" s="90">
        <f>+受工!F36</f>
        <v>0</v>
      </c>
      <c r="G10" s="89">
        <f>+受工!G36</f>
        <v>0</v>
      </c>
      <c r="H10" s="89">
        <f>+受工!H36</f>
        <v>0</v>
      </c>
      <c r="I10" s="89">
        <f>+受工!I36</f>
        <v>0</v>
      </c>
      <c r="J10" s="92">
        <f>+受工!J36</f>
        <v>0</v>
      </c>
      <c r="K10" s="34">
        <f>+受工!K36</f>
        <v>0</v>
      </c>
      <c r="L10" s="101">
        <f>+受工!L36</f>
        <v>0</v>
      </c>
      <c r="M10" s="101">
        <f>+受工!M36</f>
        <v>0</v>
      </c>
      <c r="N10" s="90">
        <f>+受工!N36</f>
        <v>0</v>
      </c>
      <c r="O10" s="89">
        <f>+受工!O36</f>
        <v>0</v>
      </c>
      <c r="P10" s="89">
        <f>+受工!P36</f>
        <v>0</v>
      </c>
      <c r="Q10" s="89">
        <f>+受工!Q36</f>
        <v>0</v>
      </c>
      <c r="R10" s="92">
        <f>+受工!R36</f>
        <v>0</v>
      </c>
      <c r="S10" s="34">
        <f>+受工!S36</f>
        <v>0</v>
      </c>
      <c r="T10" s="109">
        <f t="shared" si="4"/>
        <v>0</v>
      </c>
      <c r="U10" s="107">
        <f t="shared" si="9"/>
        <v>0</v>
      </c>
      <c r="V10" s="107">
        <f t="shared" si="9"/>
        <v>0</v>
      </c>
      <c r="W10" s="107">
        <f t="shared" si="9"/>
        <v>0</v>
      </c>
      <c r="X10" s="107">
        <f t="shared" si="9"/>
        <v>0</v>
      </c>
      <c r="Y10" s="107">
        <f t="shared" si="10"/>
        <v>0</v>
      </c>
      <c r="Z10" s="106">
        <f t="shared" si="5"/>
        <v>0</v>
      </c>
      <c r="AA10" s="106">
        <f t="shared" si="6"/>
        <v>0</v>
      </c>
      <c r="AB10" s="106">
        <f t="shared" si="7"/>
        <v>0</v>
      </c>
      <c r="AC10" s="106">
        <f t="shared" si="7"/>
        <v>0</v>
      </c>
      <c r="AD10" s="106">
        <f t="shared" si="8"/>
        <v>0</v>
      </c>
      <c r="AE10" s="2"/>
      <c r="AF10" s="2"/>
      <c r="AG10" s="2"/>
      <c r="AH10" s="2"/>
      <c r="AI10" s="2"/>
    </row>
    <row r="11" spans="1:35" s="62" customFormat="1">
      <c r="A11" s="105"/>
      <c r="B11" s="104"/>
      <c r="C11" s="103"/>
      <c r="D11" s="102" t="s">
        <v>17</v>
      </c>
      <c r="E11" s="101">
        <f>+普及!E36</f>
        <v>88849549</v>
      </c>
      <c r="F11" s="90">
        <f>+普及!F36</f>
        <v>0</v>
      </c>
      <c r="G11" s="89">
        <f>+普及!G36</f>
        <v>0</v>
      </c>
      <c r="H11" s="89">
        <f>+普及!H36</f>
        <v>0</v>
      </c>
      <c r="I11" s="89">
        <f>+普及!I36</f>
        <v>0</v>
      </c>
      <c r="J11" s="92">
        <f>+普及!J36</f>
        <v>18870469</v>
      </c>
      <c r="K11" s="34">
        <f>+普及!K36</f>
        <v>18870469</v>
      </c>
      <c r="L11" s="101">
        <f>+普及!L36</f>
        <v>9614092</v>
      </c>
      <c r="M11" s="101">
        <f>+普及!M36</f>
        <v>60364988</v>
      </c>
      <c r="N11" s="90">
        <f>+普及!N36</f>
        <v>0</v>
      </c>
      <c r="O11" s="89">
        <f>+普及!O36</f>
        <v>0</v>
      </c>
      <c r="P11" s="89">
        <f>+普及!P36</f>
        <v>0</v>
      </c>
      <c r="Q11" s="89">
        <f>+普及!Q36</f>
        <v>0</v>
      </c>
      <c r="R11" s="92">
        <f>+普及!R36</f>
        <v>1715497</v>
      </c>
      <c r="S11" s="34">
        <f>+普及!S36</f>
        <v>1715497</v>
      </c>
      <c r="T11" s="109">
        <f t="shared" si="4"/>
        <v>87134052</v>
      </c>
      <c r="U11" s="107">
        <f t="shared" si="9"/>
        <v>0</v>
      </c>
      <c r="V11" s="107">
        <f t="shared" si="9"/>
        <v>0</v>
      </c>
      <c r="W11" s="107">
        <f t="shared" si="9"/>
        <v>0</v>
      </c>
      <c r="X11" s="107">
        <f t="shared" si="9"/>
        <v>0</v>
      </c>
      <c r="Y11" s="107">
        <f t="shared" si="10"/>
        <v>-0.18181818188168108</v>
      </c>
      <c r="Z11" s="106">
        <f t="shared" si="5"/>
        <v>0</v>
      </c>
      <c r="AA11" s="106">
        <f t="shared" si="6"/>
        <v>0</v>
      </c>
      <c r="AB11" s="106">
        <f t="shared" si="7"/>
        <v>0</v>
      </c>
      <c r="AC11" s="106">
        <f t="shared" si="7"/>
        <v>0</v>
      </c>
      <c r="AD11" s="106">
        <f t="shared" si="8"/>
        <v>0</v>
      </c>
      <c r="AE11" s="2"/>
      <c r="AF11" s="2"/>
      <c r="AG11" s="2"/>
      <c r="AH11" s="2"/>
      <c r="AI11" s="2"/>
    </row>
    <row r="12" spans="1:35" s="62" customFormat="1">
      <c r="A12" s="105"/>
      <c r="B12" s="104"/>
      <c r="C12" s="103"/>
      <c r="D12" s="102" t="s">
        <v>16</v>
      </c>
      <c r="E12" s="101">
        <f>+貸付!E36</f>
        <v>10483859</v>
      </c>
      <c r="F12" s="90">
        <f>+貸付!F36</f>
        <v>0</v>
      </c>
      <c r="G12" s="89">
        <f>+貸付!G36</f>
        <v>0</v>
      </c>
      <c r="H12" s="89">
        <f>+貸付!H36</f>
        <v>0</v>
      </c>
      <c r="I12" s="89">
        <f>+貸付!I36</f>
        <v>0</v>
      </c>
      <c r="J12" s="92">
        <f>+貸付!J36</f>
        <v>963485</v>
      </c>
      <c r="K12" s="34">
        <f>+貸付!K36</f>
        <v>963485</v>
      </c>
      <c r="L12" s="101">
        <f>+貸付!L36</f>
        <v>1672623</v>
      </c>
      <c r="M12" s="101">
        <f>+貸付!M36</f>
        <v>7847751</v>
      </c>
      <c r="N12" s="90">
        <f>+貸付!N36</f>
        <v>0</v>
      </c>
      <c r="O12" s="89">
        <f>+貸付!O36</f>
        <v>0</v>
      </c>
      <c r="P12" s="89">
        <f>+貸付!P36</f>
        <v>0</v>
      </c>
      <c r="Q12" s="89">
        <f>+貸付!Q36</f>
        <v>0</v>
      </c>
      <c r="R12" s="92">
        <f>+貸付!R36</f>
        <v>87589</v>
      </c>
      <c r="S12" s="34">
        <f>+貸付!S36</f>
        <v>87589</v>
      </c>
      <c r="T12" s="109">
        <f t="shared" si="4"/>
        <v>10396270</v>
      </c>
      <c r="U12" s="107">
        <f t="shared" si="9"/>
        <v>0</v>
      </c>
      <c r="V12" s="107">
        <f t="shared" si="9"/>
        <v>0</v>
      </c>
      <c r="W12" s="107">
        <f t="shared" si="9"/>
        <v>0</v>
      </c>
      <c r="X12" s="107">
        <f t="shared" si="9"/>
        <v>0</v>
      </c>
      <c r="Y12" s="107">
        <f t="shared" si="10"/>
        <v>-0.54545454545586836</v>
      </c>
      <c r="Z12" s="106">
        <f t="shared" si="5"/>
        <v>0</v>
      </c>
      <c r="AA12" s="106">
        <f t="shared" si="6"/>
        <v>0</v>
      </c>
      <c r="AB12" s="106">
        <f t="shared" si="7"/>
        <v>0</v>
      </c>
      <c r="AC12" s="106">
        <f t="shared" si="7"/>
        <v>0</v>
      </c>
      <c r="AD12" s="106">
        <f t="shared" si="8"/>
        <v>0</v>
      </c>
      <c r="AE12" s="2"/>
      <c r="AF12" s="2"/>
      <c r="AG12" s="2"/>
      <c r="AH12" s="2"/>
      <c r="AI12" s="2"/>
    </row>
    <row r="13" spans="1:35" s="62" customFormat="1">
      <c r="A13" s="105"/>
      <c r="B13" s="104"/>
      <c r="C13" s="103"/>
      <c r="D13" s="102" t="s">
        <v>15</v>
      </c>
      <c r="E13" s="101">
        <f>+業務!E36</f>
        <v>1019945143</v>
      </c>
      <c r="F13" s="90">
        <f>+業務!F36</f>
        <v>0</v>
      </c>
      <c r="G13" s="89">
        <f>+業務!G36</f>
        <v>0</v>
      </c>
      <c r="H13" s="89">
        <f>+業務!H36</f>
        <v>0</v>
      </c>
      <c r="I13" s="89">
        <f>+業務!I36</f>
        <v>0</v>
      </c>
      <c r="J13" s="92">
        <f>+業務!J36</f>
        <v>992787715</v>
      </c>
      <c r="K13" s="34">
        <f>+業務!K36</f>
        <v>992787715</v>
      </c>
      <c r="L13" s="101">
        <f>+業務!L36</f>
        <v>4195233</v>
      </c>
      <c r="M13" s="101">
        <f>+業務!M36</f>
        <v>22962195</v>
      </c>
      <c r="N13" s="90">
        <f>+業務!N36</f>
        <v>0</v>
      </c>
      <c r="O13" s="89">
        <f>+業務!O36</f>
        <v>0</v>
      </c>
      <c r="P13" s="89">
        <f>+業務!P36</f>
        <v>0</v>
      </c>
      <c r="Q13" s="89">
        <f>+業務!Q36</f>
        <v>0</v>
      </c>
      <c r="R13" s="92">
        <f>+業務!R36</f>
        <v>90253429</v>
      </c>
      <c r="S13" s="34">
        <f>+業務!S36</f>
        <v>90253429</v>
      </c>
      <c r="T13" s="109">
        <f t="shared" si="4"/>
        <v>929691714</v>
      </c>
      <c r="U13" s="107">
        <f t="shared" si="9"/>
        <v>0</v>
      </c>
      <c r="V13" s="107">
        <f t="shared" si="9"/>
        <v>0</v>
      </c>
      <c r="W13" s="107">
        <f t="shared" si="9"/>
        <v>0</v>
      </c>
      <c r="X13" s="107">
        <f t="shared" si="9"/>
        <v>0</v>
      </c>
      <c r="Y13" s="107">
        <f t="shared" si="10"/>
        <v>0.36363635957241058</v>
      </c>
      <c r="Z13" s="106">
        <f t="shared" si="5"/>
        <v>0</v>
      </c>
      <c r="AA13" s="106">
        <f t="shared" si="6"/>
        <v>0</v>
      </c>
      <c r="AB13" s="106">
        <f t="shared" si="7"/>
        <v>0</v>
      </c>
      <c r="AC13" s="106">
        <f t="shared" si="7"/>
        <v>0</v>
      </c>
      <c r="AD13" s="106">
        <f t="shared" si="8"/>
        <v>0</v>
      </c>
      <c r="AE13" s="2"/>
      <c r="AF13" s="2"/>
      <c r="AG13" s="2"/>
      <c r="AH13" s="2"/>
      <c r="AI13" s="2"/>
    </row>
    <row r="14" spans="1:35" s="62" customFormat="1">
      <c r="A14" s="105"/>
      <c r="B14" s="104"/>
      <c r="C14" s="103"/>
      <c r="D14" s="102" t="s">
        <v>14</v>
      </c>
      <c r="E14" s="101">
        <f>+'総係(共通按分後)'!E37</f>
        <v>914982582</v>
      </c>
      <c r="F14" s="90">
        <f>+'総係(共通按分後)'!F37</f>
        <v>0</v>
      </c>
      <c r="G14" s="89">
        <f>+'総係(共通按分後)'!G37</f>
        <v>0</v>
      </c>
      <c r="H14" s="89">
        <f>+'総係(共通按分後)'!H37</f>
        <v>0</v>
      </c>
      <c r="I14" s="89">
        <f>+'総係(共通按分後)'!I37</f>
        <v>325921</v>
      </c>
      <c r="J14" s="92">
        <f>+'総係(共通按分後)'!J37</f>
        <v>619320755</v>
      </c>
      <c r="K14" s="34">
        <f>+'総係(共通按分後)'!K37</f>
        <v>619646676</v>
      </c>
      <c r="L14" s="101">
        <f>+'総係(共通按分後)'!L37</f>
        <v>56562491</v>
      </c>
      <c r="M14" s="101">
        <f>+'総係(共通按分後)'!M37</f>
        <v>238773415</v>
      </c>
      <c r="N14" s="90">
        <f>+'総係(共通按分後)'!N37</f>
        <v>0</v>
      </c>
      <c r="O14" s="89">
        <f>+'総係(共通按分後)'!O37</f>
        <v>0</v>
      </c>
      <c r="P14" s="89">
        <f>+'総係(共通按分後)'!P37</f>
        <v>0</v>
      </c>
      <c r="Q14" s="89">
        <f>+'総係(共通按分後)'!Q37</f>
        <v>24142</v>
      </c>
      <c r="R14" s="92">
        <f>+'総係(共通按分後)'!R37</f>
        <v>56301887</v>
      </c>
      <c r="S14" s="34">
        <f>+'総係(共通按分後)'!S37</f>
        <v>56326029</v>
      </c>
      <c r="T14" s="109">
        <f t="shared" si="4"/>
        <v>858656553</v>
      </c>
      <c r="U14" s="107">
        <f t="shared" si="9"/>
        <v>0</v>
      </c>
      <c r="V14" s="107">
        <f t="shared" si="9"/>
        <v>0</v>
      </c>
      <c r="W14" s="107">
        <f t="shared" si="9"/>
        <v>0</v>
      </c>
      <c r="X14" s="107">
        <f t="shared" si="9"/>
        <v>-0.2962962962956226</v>
      </c>
      <c r="Y14" s="107">
        <f t="shared" si="10"/>
        <v>0.18181817978620529</v>
      </c>
      <c r="Z14" s="106">
        <f t="shared" si="5"/>
        <v>0</v>
      </c>
      <c r="AA14" s="106">
        <f t="shared" si="6"/>
        <v>0</v>
      </c>
      <c r="AB14" s="106">
        <f t="shared" si="7"/>
        <v>0</v>
      </c>
      <c r="AC14" s="106">
        <f t="shared" si="7"/>
        <v>0</v>
      </c>
      <c r="AD14" s="106">
        <f t="shared" si="8"/>
        <v>0</v>
      </c>
      <c r="AE14" s="2"/>
      <c r="AF14" s="2"/>
      <c r="AG14" s="2"/>
      <c r="AH14" s="2"/>
      <c r="AI14" s="2"/>
    </row>
    <row r="15" spans="1:35" s="62" customFormat="1">
      <c r="A15" s="105"/>
      <c r="B15" s="104"/>
      <c r="C15" s="103"/>
      <c r="D15" s="102" t="s">
        <v>13</v>
      </c>
      <c r="E15" s="101">
        <f>+'特環(共通按分後)'!E37</f>
        <v>0</v>
      </c>
      <c r="F15" s="90">
        <f>+'特環(共通按分後)'!F37</f>
        <v>0</v>
      </c>
      <c r="G15" s="89">
        <f>+'特環(共通按分後)'!G37</f>
        <v>0</v>
      </c>
      <c r="H15" s="89">
        <f>+'特環(共通按分後)'!H37</f>
        <v>0</v>
      </c>
      <c r="I15" s="89">
        <f>+'特環(共通按分後)'!I37</f>
        <v>0</v>
      </c>
      <c r="J15" s="92">
        <f>+'特環(共通按分後)'!J37</f>
        <v>0</v>
      </c>
      <c r="K15" s="34">
        <f>+'特環(共通按分後)'!K37</f>
        <v>0</v>
      </c>
      <c r="L15" s="101">
        <f>+'特環(共通按分後)'!L37</f>
        <v>0</v>
      </c>
      <c r="M15" s="101">
        <f>+'特環(共通按分後)'!M37</f>
        <v>0</v>
      </c>
      <c r="N15" s="90">
        <f>+'特環(共通按分後)'!N37</f>
        <v>0</v>
      </c>
      <c r="O15" s="89">
        <f>+'特環(共通按分後)'!O37</f>
        <v>0</v>
      </c>
      <c r="P15" s="89">
        <f>+'特環(共通按分後)'!P37</f>
        <v>0</v>
      </c>
      <c r="Q15" s="89">
        <f>+'特環(共通按分後)'!Q37</f>
        <v>0</v>
      </c>
      <c r="R15" s="92">
        <f>+'特環(共通按分後)'!R37</f>
        <v>0</v>
      </c>
      <c r="S15" s="34">
        <f>+'特環(共通按分後)'!S37</f>
        <v>0</v>
      </c>
      <c r="T15" s="109">
        <f t="shared" si="4"/>
        <v>0</v>
      </c>
      <c r="U15" s="225"/>
      <c r="V15" s="226"/>
      <c r="W15" s="226"/>
      <c r="X15" s="226"/>
      <c r="Y15" s="226"/>
      <c r="Z15" s="227"/>
      <c r="AA15" s="227"/>
      <c r="AB15" s="227"/>
      <c r="AC15" s="227"/>
      <c r="AD15" s="227"/>
      <c r="AE15" s="2"/>
      <c r="AF15" s="2"/>
      <c r="AG15" s="2"/>
      <c r="AH15" s="2"/>
      <c r="AI15" s="2"/>
    </row>
    <row r="16" spans="1:35" s="62" customFormat="1">
      <c r="A16" s="105"/>
      <c r="B16" s="104"/>
      <c r="C16" s="103"/>
      <c r="D16" s="102" t="s">
        <v>12</v>
      </c>
      <c r="E16" s="101">
        <f>+'農集(共通按分後)'!E37</f>
        <v>0</v>
      </c>
      <c r="F16" s="90">
        <f>+'農集(共通按分後)'!F37</f>
        <v>0</v>
      </c>
      <c r="G16" s="89">
        <f>+'農集(共通按分後)'!G37</f>
        <v>0</v>
      </c>
      <c r="H16" s="89">
        <f>+'農集(共通按分後)'!H37</f>
        <v>0</v>
      </c>
      <c r="I16" s="89">
        <f>+'農集(共通按分後)'!I37</f>
        <v>0</v>
      </c>
      <c r="J16" s="92">
        <f>+'農集(共通按分後)'!J37</f>
        <v>0</v>
      </c>
      <c r="K16" s="34">
        <f>+'農集(共通按分後)'!K37</f>
        <v>0</v>
      </c>
      <c r="L16" s="101">
        <f>+'農集(共通按分後)'!L37</f>
        <v>0</v>
      </c>
      <c r="M16" s="101">
        <f>+'農集(共通按分後)'!M37</f>
        <v>0</v>
      </c>
      <c r="N16" s="90">
        <f>+'農集(共通按分後)'!N37</f>
        <v>0</v>
      </c>
      <c r="O16" s="89">
        <f>+'農集(共通按分後)'!O37</f>
        <v>0</v>
      </c>
      <c r="P16" s="89">
        <f>+'農集(共通按分後)'!P37</f>
        <v>0</v>
      </c>
      <c r="Q16" s="89">
        <f>+'農集(共通按分後)'!Q37</f>
        <v>0</v>
      </c>
      <c r="R16" s="92">
        <f>+'農集(共通按分後)'!R37</f>
        <v>0</v>
      </c>
      <c r="S16" s="34">
        <f>+'農集(共通按分後)'!S37</f>
        <v>0</v>
      </c>
      <c r="T16" s="109">
        <f t="shared" si="4"/>
        <v>0</v>
      </c>
      <c r="U16" s="225"/>
      <c r="V16" s="226"/>
      <c r="W16" s="226"/>
      <c r="X16" s="226"/>
      <c r="Y16" s="226"/>
      <c r="Z16" s="227"/>
      <c r="AA16" s="227"/>
      <c r="AB16" s="227"/>
      <c r="AC16" s="227"/>
      <c r="AD16" s="227"/>
      <c r="AE16" s="2"/>
      <c r="AF16" s="2"/>
      <c r="AG16" s="2"/>
      <c r="AH16" s="2"/>
      <c r="AI16" s="2"/>
    </row>
    <row r="17" spans="1:35" s="62" customFormat="1">
      <c r="A17" s="105"/>
      <c r="B17" s="104"/>
      <c r="C17" s="103"/>
      <c r="D17" s="102" t="s">
        <v>11</v>
      </c>
      <c r="E17" s="101">
        <f>+'浄化(共通按分後)'!E37</f>
        <v>0</v>
      </c>
      <c r="F17" s="90">
        <f>+'浄化(共通按分後)'!F37</f>
        <v>0</v>
      </c>
      <c r="G17" s="89">
        <f>+'浄化(共通按分後)'!G37</f>
        <v>0</v>
      </c>
      <c r="H17" s="89">
        <f>+'浄化(共通按分後)'!H37</f>
        <v>0</v>
      </c>
      <c r="I17" s="89">
        <f>+'浄化(共通按分後)'!I37</f>
        <v>0</v>
      </c>
      <c r="J17" s="92">
        <f>+'浄化(共通按分後)'!J37</f>
        <v>0</v>
      </c>
      <c r="K17" s="34">
        <f>+'浄化(共通按分後)'!K37</f>
        <v>0</v>
      </c>
      <c r="L17" s="101">
        <f>+'浄化(共通按分後)'!L37</f>
        <v>0</v>
      </c>
      <c r="M17" s="101">
        <f>+'浄化(共通按分後)'!M37</f>
        <v>0</v>
      </c>
      <c r="N17" s="90">
        <f>+'浄化(共通按分後)'!N37</f>
        <v>0</v>
      </c>
      <c r="O17" s="89">
        <f>+'浄化(共通按分後)'!O37</f>
        <v>0</v>
      </c>
      <c r="P17" s="89">
        <f>+'浄化(共通按分後)'!P37</f>
        <v>0</v>
      </c>
      <c r="Q17" s="89">
        <f>+'浄化(共通按分後)'!Q37</f>
        <v>0</v>
      </c>
      <c r="R17" s="92">
        <f>+'浄化(共通按分後)'!R37</f>
        <v>0</v>
      </c>
      <c r="S17" s="34">
        <f>+'浄化(共通按分後)'!S37</f>
        <v>0</v>
      </c>
      <c r="T17" s="109">
        <f t="shared" si="4"/>
        <v>0</v>
      </c>
      <c r="U17" s="225"/>
      <c r="V17" s="226"/>
      <c r="W17" s="226"/>
      <c r="X17" s="226"/>
      <c r="Y17" s="226"/>
      <c r="Z17" s="227"/>
      <c r="AA17" s="227"/>
      <c r="AB17" s="227"/>
      <c r="AC17" s="227"/>
      <c r="AD17" s="227"/>
      <c r="AE17" s="2"/>
      <c r="AF17" s="2"/>
      <c r="AG17" s="2"/>
      <c r="AH17" s="2"/>
      <c r="AI17" s="2"/>
    </row>
    <row r="18" spans="1:35" s="62" customFormat="1">
      <c r="A18" s="105"/>
      <c r="B18" s="104"/>
      <c r="C18" s="103"/>
      <c r="D18" s="102" t="s">
        <v>10</v>
      </c>
      <c r="E18" s="101">
        <f>+災!E36</f>
        <v>0</v>
      </c>
      <c r="F18" s="90">
        <f>+災!F36</f>
        <v>0</v>
      </c>
      <c r="G18" s="89">
        <f>+災!G36</f>
        <v>0</v>
      </c>
      <c r="H18" s="89">
        <f>+災!H36</f>
        <v>0</v>
      </c>
      <c r="I18" s="89">
        <f>+災!I36</f>
        <v>0</v>
      </c>
      <c r="J18" s="92">
        <f>+災!J36</f>
        <v>0</v>
      </c>
      <c r="K18" s="34">
        <f>+災!K36</f>
        <v>0</v>
      </c>
      <c r="L18" s="101">
        <f>+災!L36</f>
        <v>0</v>
      </c>
      <c r="M18" s="101">
        <f>+災!M36</f>
        <v>0</v>
      </c>
      <c r="N18" s="90">
        <f>+災!N36</f>
        <v>0</v>
      </c>
      <c r="O18" s="89">
        <f>+災!O36</f>
        <v>0</v>
      </c>
      <c r="P18" s="89">
        <f>+災!P36</f>
        <v>0</v>
      </c>
      <c r="Q18" s="89">
        <f>+災!Q36</f>
        <v>0</v>
      </c>
      <c r="R18" s="92">
        <f>+災!R36</f>
        <v>0</v>
      </c>
      <c r="S18" s="34">
        <f>+災!S36</f>
        <v>0</v>
      </c>
      <c r="T18" s="109">
        <f t="shared" si="4"/>
        <v>0</v>
      </c>
      <c r="U18" s="107">
        <f t="shared" ref="U18:X20" si="11">N18-F18*F$4/(100+F$4)-AE18</f>
        <v>0</v>
      </c>
      <c r="V18" s="107">
        <f t="shared" si="11"/>
        <v>0</v>
      </c>
      <c r="W18" s="107">
        <f t="shared" si="11"/>
        <v>0</v>
      </c>
      <c r="X18" s="107">
        <f t="shared" si="11"/>
        <v>0</v>
      </c>
      <c r="Y18" s="107">
        <f>R18-J18*J$4/(100+J$4)-AI18</f>
        <v>0</v>
      </c>
      <c r="Z18" s="106">
        <f t="shared" ref="Z18:AC20" si="12">+IF(N$43=0,0,IF(N$43&lt;0,-RANK(U18,U$5:U$40,0),RANK(U18,U$5:U$40,1)))</f>
        <v>0</v>
      </c>
      <c r="AA18" s="106">
        <f t="shared" si="12"/>
        <v>0</v>
      </c>
      <c r="AB18" s="106">
        <f t="shared" si="12"/>
        <v>0</v>
      </c>
      <c r="AC18" s="106">
        <f t="shared" si="12"/>
        <v>0</v>
      </c>
      <c r="AD18" s="106">
        <f>+IF(R$43=0,0,IF(R$43&lt;0,-RANK(Y18,Y$5:Y$40,0),RANK(Y18,Y$5:Y$40,1)))</f>
        <v>0</v>
      </c>
      <c r="AE18" s="2"/>
      <c r="AF18" s="2"/>
      <c r="AG18" s="2"/>
      <c r="AH18" s="2"/>
      <c r="AI18" s="2"/>
    </row>
    <row r="19" spans="1:35" s="62" customFormat="1">
      <c r="A19" s="105"/>
      <c r="B19" s="104"/>
      <c r="C19" s="103"/>
      <c r="D19" s="102" t="s">
        <v>39</v>
      </c>
      <c r="E19" s="101">
        <f>+減価!E36</f>
        <v>26551442230</v>
      </c>
      <c r="F19" s="90">
        <f>+減価!F36</f>
        <v>0</v>
      </c>
      <c r="G19" s="89">
        <f>+減価!G36</f>
        <v>0</v>
      </c>
      <c r="H19" s="89">
        <f>+減価!H36</f>
        <v>0</v>
      </c>
      <c r="I19" s="89">
        <f>+減価!I36</f>
        <v>0</v>
      </c>
      <c r="J19" s="92">
        <f>+減価!J36</f>
        <v>0</v>
      </c>
      <c r="K19" s="34">
        <f>+減価!K36</f>
        <v>0</v>
      </c>
      <c r="L19" s="101">
        <f>+減価!L36</f>
        <v>0</v>
      </c>
      <c r="M19" s="101">
        <f>+減価!M36</f>
        <v>26551442230</v>
      </c>
      <c r="N19" s="90">
        <f>+減価!N36</f>
        <v>0</v>
      </c>
      <c r="O19" s="89">
        <f>+減価!O36</f>
        <v>0</v>
      </c>
      <c r="P19" s="89">
        <f>+減価!P36</f>
        <v>0</v>
      </c>
      <c r="Q19" s="89">
        <f>+減価!Q36</f>
        <v>0</v>
      </c>
      <c r="R19" s="92">
        <f>+減価!R36</f>
        <v>0</v>
      </c>
      <c r="S19" s="34">
        <f>+減価!S36</f>
        <v>0</v>
      </c>
      <c r="T19" s="109">
        <f t="shared" si="4"/>
        <v>26551442230</v>
      </c>
      <c r="U19" s="107">
        <f t="shared" si="11"/>
        <v>0</v>
      </c>
      <c r="V19" s="107">
        <f t="shared" si="11"/>
        <v>0</v>
      </c>
      <c r="W19" s="107">
        <f t="shared" si="11"/>
        <v>0</v>
      </c>
      <c r="X19" s="107">
        <f t="shared" si="11"/>
        <v>0</v>
      </c>
      <c r="Y19" s="107">
        <f>R19-J19*J$4/(100+J$4)-AI19</f>
        <v>0</v>
      </c>
      <c r="Z19" s="106">
        <f t="shared" si="12"/>
        <v>0</v>
      </c>
      <c r="AA19" s="106">
        <f t="shared" si="12"/>
        <v>0</v>
      </c>
      <c r="AB19" s="106">
        <f t="shared" si="12"/>
        <v>0</v>
      </c>
      <c r="AC19" s="106">
        <f t="shared" si="12"/>
        <v>0</v>
      </c>
      <c r="AD19" s="106">
        <f>+IF(R$43=0,0,IF(R$43&lt;0,-RANK(Y19,Y$5:Y$40,0),RANK(Y19,Y$5:Y$40,1)))</f>
        <v>0</v>
      </c>
      <c r="AE19" s="2"/>
      <c r="AF19" s="2"/>
      <c r="AG19" s="2"/>
      <c r="AH19" s="2"/>
      <c r="AI19" s="2"/>
    </row>
    <row r="20" spans="1:35" s="62" customFormat="1">
      <c r="A20" s="105"/>
      <c r="B20" s="104"/>
      <c r="C20" s="103"/>
      <c r="D20" s="102" t="s">
        <v>38</v>
      </c>
      <c r="E20" s="101">
        <f>+減耗!E36</f>
        <v>503761871</v>
      </c>
      <c r="F20" s="90">
        <f>+減耗!F36</f>
        <v>0</v>
      </c>
      <c r="G20" s="89">
        <f>+減耗!G36</f>
        <v>0</v>
      </c>
      <c r="H20" s="89">
        <f>+減耗!H36</f>
        <v>0</v>
      </c>
      <c r="I20" s="89">
        <f>+減耗!I36</f>
        <v>0</v>
      </c>
      <c r="J20" s="92">
        <f>+減耗!J36</f>
        <v>0</v>
      </c>
      <c r="K20" s="34">
        <f>+減耗!K36</f>
        <v>0</v>
      </c>
      <c r="L20" s="101">
        <f>+減耗!L36</f>
        <v>0</v>
      </c>
      <c r="M20" s="101">
        <f>+減耗!M36</f>
        <v>503761871</v>
      </c>
      <c r="N20" s="90">
        <f>+減耗!N36</f>
        <v>0</v>
      </c>
      <c r="O20" s="89">
        <f>+減耗!O36</f>
        <v>0</v>
      </c>
      <c r="P20" s="89">
        <f>+減耗!P36</f>
        <v>0</v>
      </c>
      <c r="Q20" s="89">
        <f>+減耗!Q36</f>
        <v>0</v>
      </c>
      <c r="R20" s="92">
        <f>+減耗!R36</f>
        <v>0</v>
      </c>
      <c r="S20" s="34">
        <f>+減耗!S36</f>
        <v>0</v>
      </c>
      <c r="T20" s="109">
        <f t="shared" si="4"/>
        <v>503761871</v>
      </c>
      <c r="U20" s="107">
        <f t="shared" si="11"/>
        <v>0</v>
      </c>
      <c r="V20" s="107">
        <f t="shared" si="11"/>
        <v>0</v>
      </c>
      <c r="W20" s="107">
        <f t="shared" si="11"/>
        <v>0</v>
      </c>
      <c r="X20" s="107">
        <f t="shared" si="11"/>
        <v>0</v>
      </c>
      <c r="Y20" s="107">
        <f>R20-J20*J$4/(100+J$4)-AI20</f>
        <v>0</v>
      </c>
      <c r="Z20" s="106">
        <f t="shared" si="12"/>
        <v>0</v>
      </c>
      <c r="AA20" s="106">
        <f t="shared" si="12"/>
        <v>0</v>
      </c>
      <c r="AB20" s="106">
        <f t="shared" si="12"/>
        <v>0</v>
      </c>
      <c r="AC20" s="106">
        <f t="shared" si="12"/>
        <v>0</v>
      </c>
      <c r="AD20" s="106">
        <f>+IF(R$43=0,0,IF(R$43&lt;0,-RANK(Y20,Y$5:Y$40,0),RANK(Y20,Y$5:Y$40,1)))</f>
        <v>0</v>
      </c>
      <c r="AE20" s="2"/>
      <c r="AF20" s="2"/>
      <c r="AG20" s="2"/>
      <c r="AH20" s="2"/>
      <c r="AI20" s="2"/>
    </row>
    <row r="21" spans="1:35" s="62" customFormat="1">
      <c r="A21" s="105"/>
      <c r="B21" s="104"/>
      <c r="C21" s="103"/>
      <c r="D21" s="102"/>
      <c r="E21" s="101"/>
      <c r="F21" s="90"/>
      <c r="G21" s="89"/>
      <c r="H21" s="89"/>
      <c r="I21" s="89"/>
      <c r="J21" s="92"/>
      <c r="K21" s="34"/>
      <c r="L21" s="101"/>
      <c r="M21" s="101"/>
      <c r="N21" s="90"/>
      <c r="O21" s="89"/>
      <c r="P21" s="89"/>
      <c r="Q21" s="89"/>
      <c r="R21" s="92"/>
      <c r="S21" s="34"/>
      <c r="T21" s="91"/>
      <c r="U21" s="107"/>
      <c r="V21" s="107"/>
      <c r="W21" s="107"/>
      <c r="X21" s="107"/>
      <c r="Y21" s="107"/>
      <c r="Z21" s="106"/>
      <c r="AA21" s="106"/>
      <c r="AB21" s="106"/>
      <c r="AC21" s="106"/>
      <c r="AD21" s="106"/>
      <c r="AE21" s="2"/>
      <c r="AF21" s="2"/>
      <c r="AG21" s="2"/>
      <c r="AH21" s="2"/>
      <c r="AI21" s="2"/>
    </row>
    <row r="22" spans="1:35" s="62" customFormat="1">
      <c r="A22" s="105"/>
      <c r="B22" s="104"/>
      <c r="C22" s="103"/>
      <c r="D22" s="110" t="s">
        <v>8</v>
      </c>
      <c r="E22" s="101">
        <f t="shared" ref="E22:T22" si="13">+SUM(E23:E25)</f>
        <v>3955185318</v>
      </c>
      <c r="F22" s="90">
        <f t="shared" si="13"/>
        <v>0</v>
      </c>
      <c r="G22" s="89">
        <f t="shared" si="13"/>
        <v>0</v>
      </c>
      <c r="H22" s="89">
        <f t="shared" si="13"/>
        <v>23932</v>
      </c>
      <c r="I22" s="89">
        <f t="shared" ref="I22" si="14">+SUM(I23:I25)</f>
        <v>0</v>
      </c>
      <c r="J22" s="92">
        <f t="shared" si="13"/>
        <v>67182291</v>
      </c>
      <c r="K22" s="34">
        <f t="shared" si="13"/>
        <v>67206223</v>
      </c>
      <c r="L22" s="101">
        <f t="shared" si="13"/>
        <v>3884147396</v>
      </c>
      <c r="M22" s="101">
        <f t="shared" si="13"/>
        <v>3831699</v>
      </c>
      <c r="N22" s="90">
        <f t="shared" ref="N22:S22" si="15">+SUM(N23:N25)</f>
        <v>0</v>
      </c>
      <c r="O22" s="89">
        <f t="shared" si="15"/>
        <v>0</v>
      </c>
      <c r="P22" s="89">
        <f t="shared" si="15"/>
        <v>1773</v>
      </c>
      <c r="Q22" s="89">
        <f t="shared" ref="Q22" si="16">+SUM(Q23:Q25)</f>
        <v>0</v>
      </c>
      <c r="R22" s="92">
        <f t="shared" si="15"/>
        <v>6107481</v>
      </c>
      <c r="S22" s="34">
        <f t="shared" si="15"/>
        <v>6109254</v>
      </c>
      <c r="T22" s="91">
        <f t="shared" si="13"/>
        <v>4161563541</v>
      </c>
      <c r="U22" s="107">
        <f t="shared" ref="U22:X24" si="17">N22-F22*F$4/(100+F$4)-AE22</f>
        <v>0</v>
      </c>
      <c r="V22" s="107">
        <f t="shared" si="17"/>
        <v>0</v>
      </c>
      <c r="W22" s="107">
        <f t="shared" si="17"/>
        <v>0.25925925925935189</v>
      </c>
      <c r="X22" s="107">
        <f t="shared" si="17"/>
        <v>0</v>
      </c>
      <c r="Y22" s="107">
        <f>R22-J22*J$4/(100+J$4)-AI22</f>
        <v>0</v>
      </c>
      <c r="Z22" s="106">
        <f t="shared" ref="Z22:AC24" si="18">+IF(N$43=0,0,IF(N$43&lt;0,-RANK(U22,U$5:U$40,0),RANK(U22,U$5:U$40,1)))</f>
        <v>0</v>
      </c>
      <c r="AA22" s="106">
        <f t="shared" si="18"/>
        <v>0</v>
      </c>
      <c r="AB22" s="106">
        <f t="shared" si="18"/>
        <v>0</v>
      </c>
      <c r="AC22" s="106">
        <f t="shared" si="18"/>
        <v>0</v>
      </c>
      <c r="AD22" s="106">
        <f>+IF(R$43=0,0,IF(R$43&lt;0,-RANK(Y22,Y$5:Y$40,0),RANK(Y22,Y$5:Y$40,1)))</f>
        <v>0</v>
      </c>
      <c r="AE22" s="2"/>
      <c r="AF22" s="2"/>
      <c r="AG22" s="2"/>
      <c r="AH22" s="2"/>
      <c r="AI22" s="2"/>
    </row>
    <row r="23" spans="1:35" s="62" customFormat="1">
      <c r="A23" s="105"/>
      <c r="B23" s="104"/>
      <c r="C23" s="103"/>
      <c r="D23" s="102" t="s">
        <v>37</v>
      </c>
      <c r="E23" s="101">
        <f>+営外!E5</f>
        <v>3945961149</v>
      </c>
      <c r="F23" s="90">
        <f>+営外!F5</f>
        <v>0</v>
      </c>
      <c r="G23" s="89">
        <f>+営外!G5</f>
        <v>0</v>
      </c>
      <c r="H23" s="89">
        <f>+営外!H5</f>
        <v>0</v>
      </c>
      <c r="I23" s="89">
        <f>+営外!I5</f>
        <v>0</v>
      </c>
      <c r="J23" s="92">
        <f>+営外!J5</f>
        <v>61813753</v>
      </c>
      <c r="K23" s="34">
        <f>+営外!K5</f>
        <v>61813753</v>
      </c>
      <c r="L23" s="101">
        <f>+営外!L5</f>
        <v>3884147396</v>
      </c>
      <c r="M23" s="101">
        <f>+営外!M5</f>
        <v>0</v>
      </c>
      <c r="N23" s="90">
        <f>+営外!N5</f>
        <v>0</v>
      </c>
      <c r="O23" s="89">
        <f>+営外!O5</f>
        <v>0</v>
      </c>
      <c r="P23" s="89">
        <f>+営外!P5</f>
        <v>0</v>
      </c>
      <c r="Q23" s="89">
        <f>+営外!Q5</f>
        <v>0</v>
      </c>
      <c r="R23" s="92">
        <f>+営外!R5</f>
        <v>5619432</v>
      </c>
      <c r="S23" s="34">
        <f>+営外!S5</f>
        <v>5619432</v>
      </c>
      <c r="T23" s="109">
        <f>+E23-S23</f>
        <v>3940341717</v>
      </c>
      <c r="U23" s="107">
        <f t="shared" si="17"/>
        <v>0</v>
      </c>
      <c r="V23" s="107">
        <f t="shared" si="17"/>
        <v>0</v>
      </c>
      <c r="W23" s="107">
        <f t="shared" si="17"/>
        <v>0</v>
      </c>
      <c r="X23" s="107">
        <f t="shared" si="17"/>
        <v>0</v>
      </c>
      <c r="Y23" s="107">
        <f>R23-J23*J$4/(100+J$4)-AI23</f>
        <v>-9.090909082442522E-2</v>
      </c>
      <c r="Z23" s="106">
        <f t="shared" si="18"/>
        <v>0</v>
      </c>
      <c r="AA23" s="106">
        <f t="shared" si="18"/>
        <v>0</v>
      </c>
      <c r="AB23" s="106">
        <f t="shared" si="18"/>
        <v>0</v>
      </c>
      <c r="AC23" s="106">
        <f t="shared" si="18"/>
        <v>0</v>
      </c>
      <c r="AD23" s="106">
        <f>+IF(R$43=0,0,IF(R$43&lt;0,-RANK(Y23,Y$5:Y$40,0),RANK(Y23,Y$5:Y$40,1)))</f>
        <v>0</v>
      </c>
      <c r="AE23" s="2"/>
      <c r="AF23" s="2"/>
      <c r="AG23" s="2"/>
      <c r="AH23" s="2"/>
      <c r="AI23" s="2"/>
    </row>
    <row r="24" spans="1:35" s="62" customFormat="1">
      <c r="A24" s="105"/>
      <c r="B24" s="104"/>
      <c r="C24" s="103"/>
      <c r="D24" s="102" t="s">
        <v>6</v>
      </c>
      <c r="E24" s="101">
        <f>+営外!E14</f>
        <v>9224169</v>
      </c>
      <c r="F24" s="90">
        <f>+営外!F14</f>
        <v>0</v>
      </c>
      <c r="G24" s="89">
        <f>+営外!G14</f>
        <v>0</v>
      </c>
      <c r="H24" s="89">
        <f>+営外!H14</f>
        <v>23932</v>
      </c>
      <c r="I24" s="89">
        <f>+営外!I14</f>
        <v>0</v>
      </c>
      <c r="J24" s="92">
        <f>+営外!J14</f>
        <v>5368538</v>
      </c>
      <c r="K24" s="34">
        <f>+営外!K14</f>
        <v>5392470</v>
      </c>
      <c r="L24" s="101">
        <f>+営外!L14</f>
        <v>0</v>
      </c>
      <c r="M24" s="101">
        <f>+営外!M14</f>
        <v>3831699</v>
      </c>
      <c r="N24" s="90">
        <f>+営外!N14</f>
        <v>0</v>
      </c>
      <c r="O24" s="89">
        <f>+営外!O14</f>
        <v>0</v>
      </c>
      <c r="P24" s="89">
        <f>+営外!P14</f>
        <v>1773</v>
      </c>
      <c r="Q24" s="89">
        <f>+営外!Q14</f>
        <v>0</v>
      </c>
      <c r="R24" s="92">
        <f>+営外!R14</f>
        <v>488049</v>
      </c>
      <c r="S24" s="34">
        <f>+営外!S14</f>
        <v>489822</v>
      </c>
      <c r="T24" s="109">
        <f>+E24-S24</f>
        <v>8734347</v>
      </c>
      <c r="U24" s="107">
        <f t="shared" si="17"/>
        <v>0</v>
      </c>
      <c r="V24" s="107">
        <f t="shared" si="17"/>
        <v>0</v>
      </c>
      <c r="W24" s="107">
        <f t="shared" si="17"/>
        <v>0.25925925925935189</v>
      </c>
      <c r="X24" s="107">
        <f t="shared" si="17"/>
        <v>0</v>
      </c>
      <c r="Y24" s="107">
        <f>R24-J24*J$4/(100+J$4)-AI24</f>
        <v>9.0909090882632881E-2</v>
      </c>
      <c r="Z24" s="106">
        <f t="shared" si="18"/>
        <v>0</v>
      </c>
      <c r="AA24" s="106">
        <f t="shared" si="18"/>
        <v>0</v>
      </c>
      <c r="AB24" s="106">
        <f t="shared" si="18"/>
        <v>0</v>
      </c>
      <c r="AC24" s="106">
        <f t="shared" si="18"/>
        <v>0</v>
      </c>
      <c r="AD24" s="106">
        <f>+IF(R$43=0,0,IF(R$43&lt;0,-RANK(Y24,Y$5:Y$40,0),RANK(Y24,Y$5:Y$40,1)))</f>
        <v>0</v>
      </c>
      <c r="AE24" s="2"/>
      <c r="AF24" s="2"/>
      <c r="AG24" s="2"/>
      <c r="AH24" s="2"/>
      <c r="AI24" s="2"/>
    </row>
    <row r="25" spans="1:35" s="62" customFormat="1">
      <c r="A25" s="105"/>
      <c r="B25" s="104"/>
      <c r="C25" s="103"/>
      <c r="D25" s="102" t="s">
        <v>537</v>
      </c>
      <c r="E25" s="101"/>
      <c r="F25" s="90"/>
      <c r="G25" s="89"/>
      <c r="H25" s="89"/>
      <c r="I25" s="89"/>
      <c r="J25" s="92"/>
      <c r="K25" s="34"/>
      <c r="L25" s="101"/>
      <c r="M25" s="101"/>
      <c r="N25" s="90"/>
      <c r="O25" s="89"/>
      <c r="P25" s="89"/>
      <c r="Q25" s="89"/>
      <c r="R25" s="92"/>
      <c r="S25" s="34"/>
      <c r="T25" s="91">
        <f>+SUM(営外!T17:T19)</f>
        <v>212487477</v>
      </c>
      <c r="U25" s="107"/>
      <c r="V25" s="107"/>
      <c r="W25" s="107"/>
      <c r="X25" s="107"/>
      <c r="Y25" s="107"/>
      <c r="Z25" s="106"/>
      <c r="AA25" s="106"/>
      <c r="AB25" s="106"/>
      <c r="AC25" s="106"/>
      <c r="AD25" s="106"/>
      <c r="AE25" s="2"/>
      <c r="AF25" s="2"/>
      <c r="AG25" s="2"/>
      <c r="AH25" s="2"/>
      <c r="AI25" s="2"/>
    </row>
    <row r="26" spans="1:35" s="62" customFormat="1">
      <c r="A26" s="105"/>
      <c r="B26" s="104"/>
      <c r="C26" s="103"/>
      <c r="D26" s="102"/>
      <c r="E26" s="101"/>
      <c r="F26" s="90"/>
      <c r="G26" s="89"/>
      <c r="H26" s="89"/>
      <c r="I26" s="89"/>
      <c r="J26" s="92"/>
      <c r="K26" s="34"/>
      <c r="L26" s="101"/>
      <c r="M26" s="101"/>
      <c r="N26" s="90"/>
      <c r="O26" s="89"/>
      <c r="P26" s="89"/>
      <c r="Q26" s="89"/>
      <c r="R26" s="92"/>
      <c r="S26" s="34"/>
      <c r="T26" s="91"/>
      <c r="U26" s="107"/>
      <c r="V26" s="107"/>
      <c r="W26" s="107"/>
      <c r="X26" s="107"/>
      <c r="Y26" s="107"/>
      <c r="Z26" s="106"/>
      <c r="AA26" s="106"/>
      <c r="AB26" s="106"/>
      <c r="AC26" s="106"/>
      <c r="AD26" s="106"/>
      <c r="AE26" s="2"/>
      <c r="AF26" s="2"/>
      <c r="AG26" s="2"/>
      <c r="AH26" s="2"/>
      <c r="AI26" s="2"/>
    </row>
    <row r="27" spans="1:35" s="62" customFormat="1">
      <c r="A27" s="105"/>
      <c r="B27" s="104"/>
      <c r="C27" s="103"/>
      <c r="D27" s="110" t="s">
        <v>5</v>
      </c>
      <c r="E27" s="101">
        <f t="shared" ref="E27:T27" si="19">+SUM(E28:E31)</f>
        <v>20995298</v>
      </c>
      <c r="F27" s="90">
        <f t="shared" si="19"/>
        <v>0</v>
      </c>
      <c r="G27" s="89">
        <f t="shared" si="19"/>
        <v>0</v>
      </c>
      <c r="H27" s="89">
        <f t="shared" si="19"/>
        <v>15407</v>
      </c>
      <c r="I27" s="89">
        <f t="shared" ref="I27" si="20">+SUM(I28:I31)</f>
        <v>0</v>
      </c>
      <c r="J27" s="92">
        <f t="shared" si="19"/>
        <v>10640333</v>
      </c>
      <c r="K27" s="34">
        <f t="shared" si="19"/>
        <v>10655740</v>
      </c>
      <c r="L27" s="101">
        <f t="shared" si="19"/>
        <v>6023</v>
      </c>
      <c r="M27" s="101">
        <f t="shared" si="19"/>
        <v>10333535</v>
      </c>
      <c r="N27" s="90">
        <f t="shared" ref="N27:S27" si="21">+SUM(N28:N31)</f>
        <v>0</v>
      </c>
      <c r="O27" s="89">
        <f t="shared" si="21"/>
        <v>0</v>
      </c>
      <c r="P27" s="89">
        <f t="shared" si="21"/>
        <v>1141</v>
      </c>
      <c r="Q27" s="89">
        <f t="shared" ref="Q27" si="22">+SUM(Q28:Q31)</f>
        <v>0</v>
      </c>
      <c r="R27" s="92">
        <f t="shared" si="21"/>
        <v>967303</v>
      </c>
      <c r="S27" s="34">
        <f t="shared" si="21"/>
        <v>968444</v>
      </c>
      <c r="T27" s="91">
        <f t="shared" si="19"/>
        <v>20026854</v>
      </c>
      <c r="U27" s="107">
        <f t="shared" ref="U27:X31" si="23">N27-F27*F$4/(100+F$4)-AE27</f>
        <v>0</v>
      </c>
      <c r="V27" s="107">
        <f t="shared" si="23"/>
        <v>0</v>
      </c>
      <c r="W27" s="107">
        <f t="shared" si="23"/>
        <v>-0.25925925925935189</v>
      </c>
      <c r="X27" s="107">
        <f t="shared" si="23"/>
        <v>0</v>
      </c>
      <c r="Y27" s="107">
        <f>R27-J27*J$4/(100+J$4)-AI27</f>
        <v>0</v>
      </c>
      <c r="Z27" s="106"/>
      <c r="AA27" s="106"/>
      <c r="AB27" s="106"/>
      <c r="AC27" s="106"/>
      <c r="AD27" s="106"/>
      <c r="AE27" s="2"/>
      <c r="AF27" s="2"/>
      <c r="AG27" s="2"/>
      <c r="AH27" s="2"/>
      <c r="AI27" s="2"/>
    </row>
    <row r="28" spans="1:35" s="62" customFormat="1">
      <c r="A28" s="105"/>
      <c r="B28" s="104"/>
      <c r="C28" s="103"/>
      <c r="D28" s="102" t="s">
        <v>36</v>
      </c>
      <c r="E28" s="101">
        <f>+特損!E5</f>
        <v>10679943</v>
      </c>
      <c r="F28" s="90">
        <f>+特損!F5</f>
        <v>0</v>
      </c>
      <c r="G28" s="89">
        <f>+特損!G5</f>
        <v>0</v>
      </c>
      <c r="H28" s="89">
        <f>+特損!H5</f>
        <v>15407</v>
      </c>
      <c r="I28" s="89">
        <f>+特損!I5</f>
        <v>0</v>
      </c>
      <c r="J28" s="92">
        <f>+特損!J5</f>
        <v>10640333</v>
      </c>
      <c r="K28" s="34">
        <f>+特損!K5</f>
        <v>10655740</v>
      </c>
      <c r="L28" s="101">
        <f>+特損!L5</f>
        <v>6023</v>
      </c>
      <c r="M28" s="101">
        <f>+特損!M5</f>
        <v>18180</v>
      </c>
      <c r="N28" s="90">
        <f>+特損!N5</f>
        <v>0</v>
      </c>
      <c r="O28" s="89">
        <f>+特損!O5</f>
        <v>0</v>
      </c>
      <c r="P28" s="89">
        <f>+特損!P5</f>
        <v>1141</v>
      </c>
      <c r="Q28" s="89">
        <f>+特損!Q5</f>
        <v>0</v>
      </c>
      <c r="R28" s="92">
        <f>+特損!R5</f>
        <v>967303</v>
      </c>
      <c r="S28" s="34">
        <f>+特損!S5</f>
        <v>968444</v>
      </c>
      <c r="T28" s="109">
        <f>+E28-S28</f>
        <v>9711499</v>
      </c>
      <c r="U28" s="107">
        <f t="shared" si="23"/>
        <v>0</v>
      </c>
      <c r="V28" s="107">
        <f t="shared" si="23"/>
        <v>0</v>
      </c>
      <c r="W28" s="107">
        <f t="shared" si="23"/>
        <v>-0.25925925925935189</v>
      </c>
      <c r="X28" s="107">
        <f t="shared" si="23"/>
        <v>0</v>
      </c>
      <c r="Y28" s="107">
        <f>R28-J28*J$4/(100+J$4)-AI28</f>
        <v>0</v>
      </c>
      <c r="Z28" s="106">
        <f t="shared" ref="Z28:AC31" si="24">+IF(N$43=0,0,IF(N$43&lt;0,-RANK(U28,U$5:U$40,0),RANK(U28,U$5:U$40,1)))</f>
        <v>0</v>
      </c>
      <c r="AA28" s="106">
        <f t="shared" si="24"/>
        <v>0</v>
      </c>
      <c r="AB28" s="106">
        <f t="shared" si="24"/>
        <v>0</v>
      </c>
      <c r="AC28" s="106">
        <f t="shared" si="24"/>
        <v>0</v>
      </c>
      <c r="AD28" s="106">
        <f>+IF(R$43=0,0,IF(R$43&lt;0,-RANK(Y28,Y$5:Y$40,0),RANK(Y28,Y$5:Y$40,1)))</f>
        <v>0</v>
      </c>
      <c r="AE28" s="2"/>
      <c r="AF28" s="2"/>
      <c r="AG28" s="2"/>
      <c r="AH28" s="2"/>
      <c r="AI28" s="2"/>
    </row>
    <row r="29" spans="1:35" s="62" customFormat="1">
      <c r="A29" s="105"/>
      <c r="B29" s="104"/>
      <c r="C29" s="103"/>
      <c r="D29" s="102" t="s">
        <v>3</v>
      </c>
      <c r="E29" s="101">
        <f>+特損!E14</f>
        <v>0</v>
      </c>
      <c r="F29" s="90">
        <f>+特損!F14</f>
        <v>0</v>
      </c>
      <c r="G29" s="89">
        <f>+特損!G14</f>
        <v>0</v>
      </c>
      <c r="H29" s="89">
        <f>+特損!H14</f>
        <v>0</v>
      </c>
      <c r="I29" s="89">
        <f>+特損!I14</f>
        <v>0</v>
      </c>
      <c r="J29" s="92">
        <f>+特損!J14</f>
        <v>0</v>
      </c>
      <c r="K29" s="34">
        <f>+特損!K14</f>
        <v>0</v>
      </c>
      <c r="L29" s="101">
        <f>+特損!L14</f>
        <v>0</v>
      </c>
      <c r="M29" s="101">
        <f>+特損!M14</f>
        <v>0</v>
      </c>
      <c r="N29" s="90">
        <f>+特損!N14</f>
        <v>0</v>
      </c>
      <c r="O29" s="89">
        <f>+特損!O14</f>
        <v>0</v>
      </c>
      <c r="P29" s="89">
        <f>+特損!P14</f>
        <v>0</v>
      </c>
      <c r="Q29" s="89">
        <f>+特損!Q14</f>
        <v>0</v>
      </c>
      <c r="R29" s="92">
        <f>+特損!R14</f>
        <v>0</v>
      </c>
      <c r="S29" s="34">
        <f>+特損!S14</f>
        <v>0</v>
      </c>
      <c r="T29" s="109">
        <f>+E29-S29</f>
        <v>0</v>
      </c>
      <c r="U29" s="107">
        <f t="shared" si="23"/>
        <v>0</v>
      </c>
      <c r="V29" s="107">
        <f t="shared" si="23"/>
        <v>0</v>
      </c>
      <c r="W29" s="107">
        <f t="shared" si="23"/>
        <v>0</v>
      </c>
      <c r="X29" s="107">
        <f t="shared" si="23"/>
        <v>0</v>
      </c>
      <c r="Y29" s="107">
        <f>R29-J29*J$4/(100+J$4)-AI29</f>
        <v>0</v>
      </c>
      <c r="Z29" s="106">
        <f t="shared" si="24"/>
        <v>0</v>
      </c>
      <c r="AA29" s="106">
        <f t="shared" si="24"/>
        <v>0</v>
      </c>
      <c r="AB29" s="106">
        <f t="shared" si="24"/>
        <v>0</v>
      </c>
      <c r="AC29" s="106">
        <f t="shared" si="24"/>
        <v>0</v>
      </c>
      <c r="AD29" s="106">
        <f>+IF(R$43=0,0,IF(R$43&lt;0,-RANK(Y29,Y$5:Y$40,0),RANK(Y29,Y$5:Y$40,1)))</f>
        <v>0</v>
      </c>
      <c r="AE29" s="2"/>
      <c r="AF29" s="2"/>
      <c r="AG29" s="2"/>
      <c r="AH29" s="2"/>
      <c r="AI29" s="2"/>
    </row>
    <row r="30" spans="1:35" s="62" customFormat="1">
      <c r="A30" s="105"/>
      <c r="B30" s="104"/>
      <c r="C30" s="103"/>
      <c r="D30" s="102" t="s">
        <v>35</v>
      </c>
      <c r="E30" s="101">
        <f>+特損!E32</f>
        <v>10315355</v>
      </c>
      <c r="F30" s="90">
        <f>+特損!F32</f>
        <v>0</v>
      </c>
      <c r="G30" s="89">
        <f>+特損!G32</f>
        <v>0</v>
      </c>
      <c r="H30" s="89">
        <f>+特損!H32</f>
        <v>0</v>
      </c>
      <c r="I30" s="89">
        <f>+特損!I32</f>
        <v>0</v>
      </c>
      <c r="J30" s="92">
        <f>+特損!J32</f>
        <v>0</v>
      </c>
      <c r="K30" s="34">
        <f>+特損!K32</f>
        <v>0</v>
      </c>
      <c r="L30" s="101">
        <f>+特損!L32</f>
        <v>0</v>
      </c>
      <c r="M30" s="101">
        <f>+特損!M32</f>
        <v>10315355</v>
      </c>
      <c r="N30" s="90">
        <f>+特損!N32</f>
        <v>0</v>
      </c>
      <c r="O30" s="89">
        <f>+特損!O32</f>
        <v>0</v>
      </c>
      <c r="P30" s="89">
        <f>+特損!P32</f>
        <v>0</v>
      </c>
      <c r="Q30" s="89">
        <f>+特損!Q32</f>
        <v>0</v>
      </c>
      <c r="R30" s="92">
        <f>+特損!R32</f>
        <v>0</v>
      </c>
      <c r="S30" s="34">
        <f>+特損!S32</f>
        <v>0</v>
      </c>
      <c r="T30" s="109">
        <f>+E30-S30</f>
        <v>10315355</v>
      </c>
      <c r="U30" s="107">
        <f t="shared" si="23"/>
        <v>0</v>
      </c>
      <c r="V30" s="107">
        <f t="shared" si="23"/>
        <v>0</v>
      </c>
      <c r="W30" s="107">
        <f t="shared" si="23"/>
        <v>0</v>
      </c>
      <c r="X30" s="107">
        <f t="shared" si="23"/>
        <v>0</v>
      </c>
      <c r="Y30" s="107">
        <f>R30-J30*J$4/(100+J$4)-AI30</f>
        <v>0</v>
      </c>
      <c r="Z30" s="106">
        <f t="shared" si="24"/>
        <v>0</v>
      </c>
      <c r="AA30" s="106">
        <f t="shared" si="24"/>
        <v>0</v>
      </c>
      <c r="AB30" s="106">
        <f t="shared" si="24"/>
        <v>0</v>
      </c>
      <c r="AC30" s="106">
        <f t="shared" si="24"/>
        <v>0</v>
      </c>
      <c r="AD30" s="106">
        <f>+IF(R$43=0,0,IF(R$43&lt;0,-RANK(Y30,Y$5:Y$40,0),RANK(Y30,Y$5:Y$40,1)))</f>
        <v>0</v>
      </c>
      <c r="AE30" s="2"/>
      <c r="AF30" s="2"/>
      <c r="AG30" s="2"/>
      <c r="AH30" s="2"/>
      <c r="AI30" s="2"/>
    </row>
    <row r="31" spans="1:35" s="62" customFormat="1">
      <c r="A31" s="105"/>
      <c r="B31" s="104"/>
      <c r="C31" s="103"/>
      <c r="D31" s="102" t="s">
        <v>34</v>
      </c>
      <c r="E31" s="101">
        <f>+特損!E34</f>
        <v>0</v>
      </c>
      <c r="F31" s="90">
        <f>+特損!F34</f>
        <v>0</v>
      </c>
      <c r="G31" s="89">
        <f>+特損!G34</f>
        <v>0</v>
      </c>
      <c r="H31" s="89">
        <f>+特損!H34</f>
        <v>0</v>
      </c>
      <c r="I31" s="89">
        <f>+特損!I34</f>
        <v>0</v>
      </c>
      <c r="J31" s="92">
        <f>+特損!J34</f>
        <v>0</v>
      </c>
      <c r="K31" s="34">
        <f>+特損!K34</f>
        <v>0</v>
      </c>
      <c r="L31" s="101">
        <f>+特損!L34</f>
        <v>0</v>
      </c>
      <c r="M31" s="101">
        <f>+特損!M34</f>
        <v>0</v>
      </c>
      <c r="N31" s="90">
        <f>+特損!N34</f>
        <v>0</v>
      </c>
      <c r="O31" s="89">
        <f>+特損!O34</f>
        <v>0</v>
      </c>
      <c r="P31" s="89">
        <f>+特損!P34</f>
        <v>0</v>
      </c>
      <c r="Q31" s="89">
        <f>+特損!Q34</f>
        <v>0</v>
      </c>
      <c r="R31" s="92">
        <f>+特損!R34</f>
        <v>0</v>
      </c>
      <c r="S31" s="34">
        <f>+特損!S34</f>
        <v>0</v>
      </c>
      <c r="T31" s="109">
        <f>+E31-S31</f>
        <v>0</v>
      </c>
      <c r="U31" s="107">
        <f t="shared" si="23"/>
        <v>0</v>
      </c>
      <c r="V31" s="107">
        <f t="shared" si="23"/>
        <v>0</v>
      </c>
      <c r="W31" s="107">
        <f t="shared" si="23"/>
        <v>0</v>
      </c>
      <c r="X31" s="107">
        <f t="shared" si="23"/>
        <v>0</v>
      </c>
      <c r="Y31" s="107">
        <f>R31-J31*J$4/(100+J$4)-AI31</f>
        <v>0</v>
      </c>
      <c r="Z31" s="106">
        <f t="shared" si="24"/>
        <v>0</v>
      </c>
      <c r="AA31" s="106">
        <f t="shared" si="24"/>
        <v>0</v>
      </c>
      <c r="AB31" s="106">
        <f t="shared" si="24"/>
        <v>0</v>
      </c>
      <c r="AC31" s="106">
        <f t="shared" si="24"/>
        <v>0</v>
      </c>
      <c r="AD31" s="106">
        <f>+IF(R$43=0,0,IF(R$43&lt;0,-RANK(Y31,Y$5:Y$40,0),RANK(Y31,Y$5:Y$40,1)))</f>
        <v>0</v>
      </c>
      <c r="AE31" s="2"/>
      <c r="AF31" s="2"/>
      <c r="AG31" s="2"/>
      <c r="AH31" s="2"/>
      <c r="AI31" s="2"/>
    </row>
    <row r="32" spans="1:35" s="62" customFormat="1" hidden="1">
      <c r="A32" s="105"/>
      <c r="B32" s="104"/>
      <c r="C32" s="103"/>
      <c r="D32" s="102"/>
      <c r="E32" s="101"/>
      <c r="F32" s="90"/>
      <c r="G32" s="89"/>
      <c r="H32" s="89"/>
      <c r="I32" s="89"/>
      <c r="J32" s="92"/>
      <c r="K32" s="34"/>
      <c r="L32" s="101"/>
      <c r="M32" s="101"/>
      <c r="N32" s="90"/>
      <c r="O32" s="89"/>
      <c r="P32" s="89"/>
      <c r="Q32" s="89"/>
      <c r="R32" s="92"/>
      <c r="S32" s="34"/>
      <c r="T32" s="91"/>
      <c r="U32" s="107"/>
      <c r="V32" s="107"/>
      <c r="W32" s="107"/>
      <c r="X32" s="107"/>
      <c r="Y32" s="107"/>
      <c r="Z32" s="106"/>
      <c r="AA32" s="106"/>
      <c r="AB32" s="106"/>
      <c r="AC32" s="106"/>
      <c r="AD32" s="106"/>
      <c r="AE32" s="2"/>
      <c r="AF32" s="2"/>
      <c r="AG32" s="2"/>
      <c r="AH32" s="2"/>
      <c r="AI32" s="2"/>
    </row>
    <row r="33" spans="1:35" s="62" customFormat="1" hidden="1">
      <c r="A33" s="105"/>
      <c r="B33" s="104"/>
      <c r="C33" s="103"/>
      <c r="D33" s="102"/>
      <c r="E33" s="101"/>
      <c r="F33" s="90"/>
      <c r="G33" s="89"/>
      <c r="H33" s="89"/>
      <c r="I33" s="89"/>
      <c r="J33" s="92"/>
      <c r="K33" s="34"/>
      <c r="L33" s="101"/>
      <c r="M33" s="101"/>
      <c r="N33" s="90"/>
      <c r="O33" s="89"/>
      <c r="P33" s="89"/>
      <c r="Q33" s="89"/>
      <c r="R33" s="92"/>
      <c r="S33" s="34"/>
      <c r="T33" s="91"/>
      <c r="U33" s="107"/>
      <c r="V33" s="107"/>
      <c r="W33" s="107"/>
      <c r="X33" s="107"/>
      <c r="Y33" s="107"/>
      <c r="Z33" s="106"/>
      <c r="AA33" s="106"/>
      <c r="AB33" s="106"/>
      <c r="AC33" s="106"/>
      <c r="AD33" s="106"/>
      <c r="AE33" s="2"/>
      <c r="AF33" s="2"/>
      <c r="AG33" s="2"/>
      <c r="AH33" s="2"/>
      <c r="AI33" s="2"/>
    </row>
    <row r="34" spans="1:35" s="62" customFormat="1" hidden="1">
      <c r="A34" s="105"/>
      <c r="B34" s="104"/>
      <c r="C34" s="103"/>
      <c r="D34" s="102"/>
      <c r="E34" s="101"/>
      <c r="F34" s="90"/>
      <c r="G34" s="89"/>
      <c r="H34" s="89"/>
      <c r="I34" s="89"/>
      <c r="J34" s="92"/>
      <c r="K34" s="34"/>
      <c r="L34" s="101"/>
      <c r="M34" s="101"/>
      <c r="N34" s="90"/>
      <c r="O34" s="89"/>
      <c r="P34" s="89"/>
      <c r="Q34" s="89"/>
      <c r="R34" s="92"/>
      <c r="S34" s="34"/>
      <c r="T34" s="91"/>
      <c r="U34" s="107"/>
      <c r="V34" s="107"/>
      <c r="W34" s="107"/>
      <c r="X34" s="107"/>
      <c r="Y34" s="107"/>
      <c r="Z34" s="106"/>
      <c r="AA34" s="106"/>
      <c r="AB34" s="106"/>
      <c r="AC34" s="106"/>
      <c r="AD34" s="106"/>
      <c r="AE34" s="2"/>
      <c r="AF34" s="2"/>
      <c r="AG34" s="2"/>
      <c r="AH34" s="2"/>
      <c r="AI34" s="2"/>
    </row>
    <row r="35" spans="1:35" s="62" customFormat="1" hidden="1">
      <c r="A35" s="105"/>
      <c r="B35" s="104"/>
      <c r="C35" s="103"/>
      <c r="D35" s="102"/>
      <c r="E35" s="101"/>
      <c r="F35" s="90"/>
      <c r="G35" s="89"/>
      <c r="H35" s="89"/>
      <c r="I35" s="89"/>
      <c r="J35" s="92"/>
      <c r="K35" s="34"/>
      <c r="L35" s="101"/>
      <c r="M35" s="101"/>
      <c r="N35" s="90"/>
      <c r="O35" s="89"/>
      <c r="P35" s="89"/>
      <c r="Q35" s="89"/>
      <c r="R35" s="92"/>
      <c r="S35" s="34"/>
      <c r="T35" s="91"/>
      <c r="U35" s="107"/>
      <c r="V35" s="107"/>
      <c r="W35" s="107"/>
      <c r="X35" s="107"/>
      <c r="Y35" s="107"/>
      <c r="Z35" s="106"/>
      <c r="AA35" s="106"/>
      <c r="AB35" s="106"/>
      <c r="AC35" s="106"/>
      <c r="AD35" s="106"/>
      <c r="AE35" s="2"/>
      <c r="AF35" s="2"/>
      <c r="AG35" s="2"/>
      <c r="AH35" s="2"/>
      <c r="AI35" s="2"/>
    </row>
    <row r="36" spans="1:35" s="62" customFormat="1" hidden="1">
      <c r="A36" s="105"/>
      <c r="B36" s="104"/>
      <c r="C36" s="103"/>
      <c r="D36" s="102"/>
      <c r="E36" s="101"/>
      <c r="F36" s="90"/>
      <c r="G36" s="89"/>
      <c r="H36" s="89"/>
      <c r="I36" s="89"/>
      <c r="J36" s="92"/>
      <c r="K36" s="34"/>
      <c r="L36" s="101"/>
      <c r="M36" s="101"/>
      <c r="N36" s="90"/>
      <c r="O36" s="89"/>
      <c r="P36" s="89"/>
      <c r="Q36" s="89"/>
      <c r="R36" s="92"/>
      <c r="S36" s="34"/>
      <c r="T36" s="91"/>
      <c r="U36" s="88" t="str">
        <f t="shared" ref="U36:V39" si="25">+IF(F36=0,"",ROUND(F36*F$4/(100+F$4),7)-N36)</f>
        <v/>
      </c>
      <c r="V36" s="88" t="str">
        <f t="shared" si="25"/>
        <v/>
      </c>
      <c r="W36" s="88"/>
      <c r="X36" s="88"/>
      <c r="Y36" s="88" t="str">
        <f>+IF(J36=0,"",ROUND(J36*J$4/(100+J$4),7)-R36)</f>
        <v/>
      </c>
      <c r="Z36" s="88"/>
      <c r="AA36" s="88"/>
      <c r="AB36" s="87" t="str">
        <f>+IF(SUM(U36:Y36)=0,"",SUM(U36:Y36))</f>
        <v/>
      </c>
      <c r="AC36" s="87"/>
      <c r="AD36" s="87"/>
      <c r="AE36" s="2"/>
      <c r="AF36" s="2"/>
      <c r="AG36" s="2"/>
      <c r="AH36" s="2"/>
      <c r="AI36" s="2"/>
    </row>
    <row r="37" spans="1:35" s="62" customFormat="1" hidden="1">
      <c r="A37" s="105"/>
      <c r="B37" s="104"/>
      <c r="C37" s="103"/>
      <c r="D37" s="102"/>
      <c r="E37" s="101"/>
      <c r="F37" s="90"/>
      <c r="G37" s="89"/>
      <c r="H37" s="89"/>
      <c r="I37" s="89"/>
      <c r="J37" s="92"/>
      <c r="K37" s="34"/>
      <c r="L37" s="101"/>
      <c r="M37" s="101"/>
      <c r="N37" s="90"/>
      <c r="O37" s="89"/>
      <c r="P37" s="89"/>
      <c r="Q37" s="89"/>
      <c r="R37" s="92"/>
      <c r="S37" s="34"/>
      <c r="T37" s="91"/>
      <c r="U37" s="88" t="str">
        <f t="shared" si="25"/>
        <v/>
      </c>
      <c r="V37" s="88" t="str">
        <f t="shared" si="25"/>
        <v/>
      </c>
      <c r="W37" s="88"/>
      <c r="X37" s="88"/>
      <c r="Y37" s="88"/>
      <c r="Z37" s="88"/>
      <c r="AA37" s="88"/>
      <c r="AB37" s="87"/>
      <c r="AC37" s="87"/>
      <c r="AD37" s="87"/>
      <c r="AE37" s="2"/>
      <c r="AF37" s="2"/>
      <c r="AG37" s="2"/>
      <c r="AH37" s="2"/>
      <c r="AI37" s="2"/>
    </row>
    <row r="38" spans="1:35" s="62" customFormat="1" hidden="1">
      <c r="A38" s="105"/>
      <c r="B38" s="104"/>
      <c r="C38" s="103"/>
      <c r="D38" s="102"/>
      <c r="E38" s="101"/>
      <c r="F38" s="90"/>
      <c r="G38" s="89"/>
      <c r="H38" s="89"/>
      <c r="I38" s="89"/>
      <c r="J38" s="92"/>
      <c r="K38" s="34"/>
      <c r="L38" s="101"/>
      <c r="M38" s="101"/>
      <c r="N38" s="90"/>
      <c r="O38" s="89"/>
      <c r="P38" s="89"/>
      <c r="Q38" s="89"/>
      <c r="R38" s="92"/>
      <c r="S38" s="34"/>
      <c r="T38" s="91"/>
      <c r="U38" s="88" t="str">
        <f t="shared" si="25"/>
        <v/>
      </c>
      <c r="V38" s="88" t="str">
        <f t="shared" si="25"/>
        <v/>
      </c>
      <c r="W38" s="88" t="str">
        <f>+IF(H38=0,"",ROUND(H38*H$4/(100+H$4),7)-P38)</f>
        <v/>
      </c>
      <c r="X38" s="88"/>
      <c r="Y38" s="88" t="str">
        <f>+IF(J38=0,"",ROUND(J38*J$4/(100+J$4),7)-R38)</f>
        <v/>
      </c>
      <c r="Z38" s="88"/>
      <c r="AA38" s="88"/>
      <c r="AB38" s="87" t="str">
        <f>+IF(SUM(U38:Y38)=0,"",SUM(U38:Y38))</f>
        <v/>
      </c>
      <c r="AC38" s="87"/>
      <c r="AD38" s="87"/>
      <c r="AE38" s="2"/>
      <c r="AF38" s="2"/>
      <c r="AG38" s="2"/>
      <c r="AH38" s="2"/>
      <c r="AI38" s="2"/>
    </row>
    <row r="39" spans="1:35" s="62" customFormat="1" hidden="1">
      <c r="A39" s="105"/>
      <c r="B39" s="104"/>
      <c r="C39" s="103"/>
      <c r="D39" s="102"/>
      <c r="E39" s="101"/>
      <c r="F39" s="90"/>
      <c r="G39" s="89"/>
      <c r="H39" s="89"/>
      <c r="I39" s="89"/>
      <c r="J39" s="92"/>
      <c r="K39" s="34"/>
      <c r="L39" s="101"/>
      <c r="M39" s="101"/>
      <c r="N39" s="90"/>
      <c r="O39" s="89"/>
      <c r="P39" s="89"/>
      <c r="Q39" s="89"/>
      <c r="R39" s="92"/>
      <c r="S39" s="34"/>
      <c r="T39" s="91"/>
      <c r="U39" s="88" t="str">
        <f t="shared" si="25"/>
        <v/>
      </c>
      <c r="V39" s="88" t="str">
        <f t="shared" si="25"/>
        <v/>
      </c>
      <c r="W39" s="88" t="str">
        <f>+IF(H39=0,"",ROUND(H39*H$4/(100+H$4),7)-P39)</f>
        <v/>
      </c>
      <c r="X39" s="88"/>
      <c r="Y39" s="88" t="str">
        <f>+IF(J39=0,"",ROUND(J39*J$4/(100+J$4),7)-R39)</f>
        <v/>
      </c>
      <c r="Z39" s="88"/>
      <c r="AA39" s="88"/>
      <c r="AB39" s="87" t="str">
        <f>+IF(SUM(U39:Y39)=0,"",SUM(U39:Y39))</f>
        <v/>
      </c>
      <c r="AC39" s="87"/>
      <c r="AD39" s="87"/>
      <c r="AE39" s="2"/>
      <c r="AF39" s="2"/>
      <c r="AG39" s="2"/>
      <c r="AH39" s="2"/>
      <c r="AI39" s="2"/>
    </row>
    <row r="40" spans="1:35" s="62" customFormat="1" ht="14.25" thickBot="1">
      <c r="A40" s="100"/>
      <c r="B40" s="99"/>
      <c r="C40" s="98"/>
      <c r="D40" s="97"/>
      <c r="E40" s="93"/>
      <c r="F40" s="96"/>
      <c r="G40" s="95"/>
      <c r="H40" s="95"/>
      <c r="I40" s="95"/>
      <c r="J40" s="94"/>
      <c r="K40" s="34"/>
      <c r="L40" s="93"/>
      <c r="M40" s="93"/>
      <c r="N40" s="90"/>
      <c r="O40" s="89"/>
      <c r="P40" s="89"/>
      <c r="Q40" s="89"/>
      <c r="R40" s="92"/>
      <c r="S40" s="34"/>
      <c r="T40" s="91"/>
      <c r="U40" s="88" t="str">
        <f>+IF(F40=0,"",ROUND(F40*F$4/(100+F$4),7)-N40)</f>
        <v/>
      </c>
      <c r="V40" s="88"/>
      <c r="W40" s="88"/>
      <c r="X40" s="88"/>
      <c r="Y40" s="88"/>
      <c r="Z40" s="88"/>
      <c r="AA40" s="88"/>
      <c r="AB40" s="87"/>
      <c r="AC40" s="87"/>
      <c r="AD40" s="87"/>
      <c r="AE40" s="2"/>
      <c r="AF40" s="2"/>
      <c r="AG40" s="2"/>
      <c r="AH40" s="2"/>
      <c r="AI40" s="2"/>
    </row>
    <row r="41" spans="1:35" s="62" customFormat="1" ht="14.25" thickTop="1">
      <c r="A41" s="86"/>
      <c r="B41" s="85"/>
      <c r="C41" s="84"/>
      <c r="D41" s="83" t="s">
        <v>2</v>
      </c>
      <c r="E41" s="79">
        <f t="shared" ref="E41:T41" si="26">+SUM(E5,E22,E27)</f>
        <v>42643653765</v>
      </c>
      <c r="F41" s="82">
        <f t="shared" si="26"/>
        <v>0</v>
      </c>
      <c r="G41" s="81">
        <f t="shared" si="26"/>
        <v>0</v>
      </c>
      <c r="H41" s="81">
        <f t="shared" si="26"/>
        <v>1236141</v>
      </c>
      <c r="I41" s="81">
        <f t="shared" ref="I41" si="27">+SUM(I5,I22,I27)</f>
        <v>500878</v>
      </c>
      <c r="J41" s="80">
        <f t="shared" si="26"/>
        <v>9106828958</v>
      </c>
      <c r="K41" s="74">
        <f t="shared" si="26"/>
        <v>9108565977</v>
      </c>
      <c r="L41" s="79">
        <f t="shared" si="26"/>
        <v>4302104919</v>
      </c>
      <c r="M41" s="79">
        <f t="shared" si="26"/>
        <v>29232982869</v>
      </c>
      <c r="N41" s="76">
        <f t="shared" si="26"/>
        <v>0</v>
      </c>
      <c r="O41" s="75">
        <f t="shared" si="26"/>
        <v>0</v>
      </c>
      <c r="P41" s="75">
        <f t="shared" si="26"/>
        <v>91566</v>
      </c>
      <c r="Q41" s="75">
        <f t="shared" ref="Q41" si="28">+SUM(Q5,Q22,Q27)</f>
        <v>37102</v>
      </c>
      <c r="R41" s="78">
        <f t="shared" si="26"/>
        <v>827893541</v>
      </c>
      <c r="S41" s="74">
        <f t="shared" si="26"/>
        <v>828022209</v>
      </c>
      <c r="T41" s="77">
        <f t="shared" si="26"/>
        <v>42028119033</v>
      </c>
      <c r="U41" s="2"/>
      <c r="V41" s="2"/>
      <c r="W41" s="2"/>
      <c r="X41" s="2"/>
      <c r="Y41" s="2"/>
      <c r="Z41" s="2"/>
      <c r="AA41" s="2"/>
      <c r="AB41" s="2"/>
      <c r="AC41" s="2"/>
      <c r="AD41" s="2"/>
      <c r="AE41" s="2"/>
      <c r="AF41" s="2"/>
      <c r="AG41" s="2"/>
      <c r="AH41" s="2"/>
      <c r="AI41" s="2"/>
    </row>
    <row r="42" spans="1:35" s="62" customFormat="1">
      <c r="A42" s="73"/>
      <c r="B42" s="72"/>
      <c r="C42" s="71"/>
      <c r="D42" s="70" t="s">
        <v>1</v>
      </c>
      <c r="E42" s="65">
        <f t="shared" ref="E42:J42" si="29">+E41</f>
        <v>42643653765</v>
      </c>
      <c r="F42" s="69">
        <f t="shared" si="29"/>
        <v>0</v>
      </c>
      <c r="G42" s="68">
        <f t="shared" si="29"/>
        <v>0</v>
      </c>
      <c r="H42" s="68">
        <f t="shared" si="29"/>
        <v>1236141</v>
      </c>
      <c r="I42" s="68">
        <f t="shared" si="29"/>
        <v>500878</v>
      </c>
      <c r="J42" s="67">
        <f t="shared" si="29"/>
        <v>9106828958</v>
      </c>
      <c r="K42" s="63">
        <f>SUM(F42:J42)</f>
        <v>9108565977</v>
      </c>
      <c r="L42" s="65">
        <f>+L41</f>
        <v>4302104919</v>
      </c>
      <c r="M42" s="65">
        <f>+M41</f>
        <v>29232982869</v>
      </c>
      <c r="N42" s="64">
        <f>+ROUNDDOWN(F42*F$4/(100+F$4),0)</f>
        <v>0</v>
      </c>
      <c r="O42" s="64">
        <f>+ROUNDDOWN(G42*G$4/(100+G$4),0)</f>
        <v>0</v>
      </c>
      <c r="P42" s="64">
        <f>+ROUNDDOWN(H42*H$4/(100+H$4),0)</f>
        <v>91566</v>
      </c>
      <c r="Q42" s="64">
        <f>+ROUNDDOWN(I42*I$4/(100+I$4),0)</f>
        <v>37102</v>
      </c>
      <c r="R42" s="64">
        <f>+ROUNDDOWN(J42*J$4/(100+J$4),0)</f>
        <v>827893541</v>
      </c>
      <c r="S42" s="66">
        <f>SUM(N42:R42)</f>
        <v>828022209</v>
      </c>
      <c r="T42" s="65">
        <f>+E42-S42</f>
        <v>41815631556</v>
      </c>
      <c r="U42" s="2"/>
      <c r="V42" s="2"/>
      <c r="W42" s="2"/>
      <c r="X42" s="2"/>
      <c r="Y42" s="2"/>
      <c r="Z42" s="2"/>
      <c r="AA42" s="2"/>
      <c r="AB42" s="2"/>
      <c r="AC42" s="2"/>
      <c r="AD42" s="2"/>
      <c r="AE42" s="2"/>
      <c r="AF42" s="2"/>
      <c r="AG42" s="2"/>
      <c r="AH42" s="2"/>
      <c r="AI42" s="2"/>
    </row>
    <row r="43" spans="1:35">
      <c r="E43" s="4">
        <f t="shared" ref="E43:T43" si="30">+E42-E41</f>
        <v>0</v>
      </c>
      <c r="F43" s="4">
        <f t="shared" si="30"/>
        <v>0</v>
      </c>
      <c r="G43" s="4">
        <f t="shared" si="30"/>
        <v>0</v>
      </c>
      <c r="H43" s="4">
        <f t="shared" si="30"/>
        <v>0</v>
      </c>
      <c r="I43" s="4">
        <f t="shared" ref="I43" si="31">+I42-I41</f>
        <v>0</v>
      </c>
      <c r="J43" s="4">
        <f t="shared" si="30"/>
        <v>0</v>
      </c>
      <c r="K43" s="4">
        <f t="shared" si="30"/>
        <v>0</v>
      </c>
      <c r="L43" s="4">
        <f t="shared" si="30"/>
        <v>0</v>
      </c>
      <c r="M43" s="4">
        <f t="shared" si="30"/>
        <v>0</v>
      </c>
      <c r="N43" s="4">
        <f t="shared" si="30"/>
        <v>0</v>
      </c>
      <c r="O43" s="4">
        <f t="shared" si="30"/>
        <v>0</v>
      </c>
      <c r="P43" s="4">
        <f t="shared" si="30"/>
        <v>0</v>
      </c>
      <c r="Q43" s="4">
        <f t="shared" ref="Q43" si="32">+Q42-Q41</f>
        <v>0</v>
      </c>
      <c r="R43" s="4">
        <f t="shared" si="30"/>
        <v>0</v>
      </c>
      <c r="S43" s="4">
        <f t="shared" si="30"/>
        <v>0</v>
      </c>
      <c r="T43" s="4">
        <f t="shared" si="30"/>
        <v>-212487477</v>
      </c>
    </row>
    <row r="44" spans="1:35">
      <c r="V44" s="130"/>
    </row>
    <row r="45" spans="1:35">
      <c r="D45" s="1" t="s">
        <v>548</v>
      </c>
      <c r="P45" s="54"/>
      <c r="Q45" s="54"/>
      <c r="R45" s="54"/>
      <c r="S45" s="54"/>
      <c r="T45" s="54"/>
      <c r="U45" s="316"/>
      <c r="V45" s="316"/>
      <c r="W45" s="316"/>
      <c r="X45" s="316"/>
      <c r="Y45" s="316"/>
    </row>
    <row r="46" spans="1:35">
      <c r="D46" s="1" t="s">
        <v>2</v>
      </c>
      <c r="E46" s="4">
        <f>+E41-'3条支出'!E41</f>
        <v>-15892</v>
      </c>
      <c r="F46" s="1">
        <f>+F41-'3条支出'!F41</f>
        <v>0</v>
      </c>
      <c r="G46" s="1">
        <f>+G41-'3条支出'!G41</f>
        <v>0</v>
      </c>
      <c r="H46" s="1">
        <f>+H41-'3条支出'!H41</f>
        <v>0</v>
      </c>
      <c r="I46" s="1">
        <f>+I41-'3条支出'!I41</f>
        <v>0</v>
      </c>
      <c r="J46" s="1">
        <f>+J41-'3条支出'!J41</f>
        <v>108</v>
      </c>
      <c r="K46" s="1">
        <f>+K41-'3条支出'!K41</f>
        <v>108</v>
      </c>
      <c r="L46" s="1">
        <f>+L41-'3条支出'!L41</f>
        <v>0</v>
      </c>
      <c r="M46" s="1">
        <f>+M41-'3条支出'!M41</f>
        <v>-16000</v>
      </c>
      <c r="N46" s="3">
        <f>+N41-'3条支出'!N41</f>
        <v>0</v>
      </c>
      <c r="O46" s="3">
        <f>+O41-'3条支出'!O41</f>
        <v>0</v>
      </c>
      <c r="P46" s="3">
        <f>+P41-'3条支出'!P41</f>
        <v>0</v>
      </c>
      <c r="Q46" s="3">
        <f>+Q41-'3条支出'!Q41</f>
        <v>0</v>
      </c>
      <c r="R46" s="3">
        <f>+R41-'3条支出'!R41</f>
        <v>10</v>
      </c>
      <c r="S46" s="3">
        <f>+S41-'3条支出'!S41</f>
        <v>10</v>
      </c>
      <c r="T46" s="1">
        <f>+T41-'3条支出'!T41</f>
        <v>-15902</v>
      </c>
    </row>
  </sheetData>
  <mergeCells count="14">
    <mergeCell ref="AE3:AI3"/>
    <mergeCell ref="U45:Y45"/>
    <mergeCell ref="L3:L4"/>
    <mergeCell ref="M3:M4"/>
    <mergeCell ref="N3:S3"/>
    <mergeCell ref="T3:T4"/>
    <mergeCell ref="U3:Y3"/>
    <mergeCell ref="Z3:AD3"/>
    <mergeCell ref="F3:K3"/>
    <mergeCell ref="A3:A4"/>
    <mergeCell ref="B3:B4"/>
    <mergeCell ref="C3:C4"/>
    <mergeCell ref="D3:D4"/>
    <mergeCell ref="E3:E4"/>
  </mergeCells>
  <phoneticPr fontId="3"/>
  <conditionalFormatting sqref="AE36:AI37">
    <cfRule type="notContainsBlanks" dxfId="26" priority="5" stopIfTrue="1">
      <formula>LEN(TRIM(AE36))&gt;0</formula>
    </cfRule>
  </conditionalFormatting>
  <conditionalFormatting sqref="AE5:AI35">
    <cfRule type="notContainsBlanks" dxfId="25" priority="4" stopIfTrue="1">
      <formula>LEN(TRIM(AE5))&gt;0</formula>
    </cfRule>
  </conditionalFormatting>
  <conditionalFormatting sqref="Z18:AD35 Z5:AD14">
    <cfRule type="expression" dxfId="24" priority="3">
      <formula>ABS(Z5)=1</formula>
    </cfRule>
  </conditionalFormatting>
  <conditionalFormatting sqref="Z15:AD17">
    <cfRule type="expression" dxfId="23" priority="2">
      <formula>ABS(Z15)=1</formula>
    </cfRule>
  </conditionalFormatting>
  <conditionalFormatting sqref="E43:S43">
    <cfRule type="cellIs" dxfId="22" priority="1" operator="notEqual">
      <formula>0</formula>
    </cfRule>
  </conditionalFormatting>
  <pageMargins left="0.39370078740157483" right="0.39370078740157483" top="0.59055118110236227" bottom="0.39370078740157483" header="0.39370078740157483" footer="0.19685039370078741"/>
  <pageSetup paperSize="9" scale="85" fitToHeight="2" orientation="landscape" blackAndWhite="1" r:id="rId1"/>
  <headerFooter>
    <oddFooter>&amp;L&amp;8&amp;Z&amp;F&amp;A&amp;R&amp;8&amp;D&amp;T</oddFooter>
  </headerFooter>
  <rowBreaks count="1" manualBreakCount="1">
    <brk id="44" min="3" max="17" man="1"/>
  </rowBreaks>
  <drawing r:id="rId2"/>
  <legacyDrawing r:id="rId3"/>
</worksheet>
</file>

<file path=xl/worksheets/w1_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2"/>
  <sheetViews>
    <sheetView topLeftCell="A10" workbookViewId="0">
      <selection activeCell="E34" sqref="E34"/>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544</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1</v>
      </c>
      <c r="B5" s="176" t="s">
        <v>378</v>
      </c>
      <c r="C5" s="175"/>
      <c r="D5" s="174" t="s">
        <v>112</v>
      </c>
      <c r="E5" s="170">
        <f>+総係!E5+SUM(特環:浄化!E5)-SUM('特環(共通按分後):浄化(共通按分後)'!E5)</f>
        <v>8388763</v>
      </c>
      <c r="F5" s="173">
        <f>+総係!F5+SUM(特環:浄化!F5)-SUM('特環(共通按分後):浄化(共通按分後)'!F5)</f>
        <v>0</v>
      </c>
      <c r="G5" s="172">
        <f>+総係!G5+SUM(特環:浄化!G5)-SUM('特環(共通按分後):浄化(共通按分後)'!G5)</f>
        <v>0</v>
      </c>
      <c r="H5" s="275">
        <f>+総係!H5+SUM(特環:浄化!H5)-SUM('特環(共通按分後):浄化(共通按分後)'!H5)</f>
        <v>0</v>
      </c>
      <c r="I5" s="270">
        <f>+総係!I5+SUM(特環:浄化!I5)-SUM('特環(共通按分後):浄化(共通按分後)'!I5)</f>
        <v>0</v>
      </c>
      <c r="J5" s="171">
        <f>+総係!J5+SUM(特環:浄化!J5)-SUM('特環(共通按分後):浄化(共通按分後)'!J5)</f>
        <v>0</v>
      </c>
      <c r="K5" s="112">
        <f>+総係!K5+SUM(特環:浄化!K5)-SUM('特環(共通按分後):浄化(共通按分後)'!K5)</f>
        <v>0</v>
      </c>
      <c r="L5" s="170">
        <f>+総係!L5+SUM(特環:浄化!L5)-SUM('特環(共通按分後):浄化(共通按分後)'!L5)</f>
        <v>0</v>
      </c>
      <c r="M5" s="277">
        <f>+総係!M5+SUM(特環:浄化!M5)-SUM('特環(共通按分後):浄化(共通按分後)'!M5)</f>
        <v>8388763</v>
      </c>
      <c r="N5" s="169">
        <f>+総係!N5+SUM(特環:浄化!N5)-SUM('特環(共通按分後):浄化(共通按分後)'!N5)</f>
        <v>0</v>
      </c>
      <c r="O5" s="47">
        <f>+総係!O5+SUM(特環:浄化!O5)-SUM('特環(共通按分後):浄化(共通按分後)'!O5)</f>
        <v>0</v>
      </c>
      <c r="P5" s="47">
        <f>+総係!P5+SUM(特環:浄化!P5)-SUM('特環(共通按分後):浄化(共通按分後)'!P5)</f>
        <v>0</v>
      </c>
      <c r="Q5" s="168">
        <f>+総係!Q5+SUM(特環:浄化!Q5)-SUM('特環(共通按分後):浄化(共通按分後)'!Q5)</f>
        <v>0</v>
      </c>
      <c r="R5" s="168">
        <f>+総係!R5+SUM(特環:浄化!R5)-SUM('特環(共通按分後):浄化(共通按分後)'!R5)</f>
        <v>0</v>
      </c>
      <c r="S5" s="167">
        <f>+総係!S5+SUM(特環:浄化!S5)-SUM('特環(共通按分後):浄化(共通按分後)'!S5)</f>
        <v>0</v>
      </c>
      <c r="T5" s="166">
        <f>+総係!T5+SUM(特環:浄化!T5)-SUM('特環(共通按分後):浄化(共通按分後)'!T5)</f>
        <v>8388763</v>
      </c>
      <c r="U5" s="107">
        <f t="shared" ref="U5:U36" si="0">N5-F5*F$4/(100+F$4)</f>
        <v>0</v>
      </c>
      <c r="V5" s="107">
        <f t="shared" ref="V5:V36" si="1">O5-G5*G$4/(100+G$4)</f>
        <v>0</v>
      </c>
      <c r="W5" s="107">
        <f t="shared" ref="W5:X36" si="2">P5-H5*H$4/(100+H$4)</f>
        <v>0</v>
      </c>
      <c r="X5" s="107">
        <f t="shared" si="2"/>
        <v>0</v>
      </c>
      <c r="Y5" s="107">
        <f t="shared" ref="Y5:Y36" si="3">R5-J5*J$4/(100+J$4)</f>
        <v>0</v>
      </c>
      <c r="Z5" s="106">
        <f t="shared" ref="Z5:Z36" si="4">+IF(N$39=0,0,IF(N$39&lt;0,-RANK(U5,U$5:U$36,0),RANK(U5,U$5:U$36,1)))</f>
        <v>0</v>
      </c>
      <c r="AA5" s="106">
        <f t="shared" ref="AA5:AA36" si="5">+IF(O$39=0,0,IF(O$39&lt;0,-RANK(V5,V$5:V$36,0),RANK(V5,V$5:V$36,1)))</f>
        <v>0</v>
      </c>
      <c r="AB5" s="106">
        <f t="shared" ref="AB5:AB36" si="6">+IF(P$39=0,0,IF(P$39&lt;0,-RANK(W5,W$5:W$36,0),RANK(W5,W$5:W$36,1)))</f>
        <v>0</v>
      </c>
      <c r="AC5" s="106">
        <f t="shared" ref="AC5:AC36" si="7">+IF(Q$39=0,0,IF(Q$39&lt;0,-RANK(X5,X$5:X$36,0),RANK(X5,X$5:X$36,1)))</f>
        <v>0</v>
      </c>
      <c r="AD5" s="106">
        <f t="shared" ref="AD5:AD36" si="8">+IF(R$39=0,0,IF(R$39&lt;0,-RANK(Y5,Y$5:Y$36,0),RANK(Y5,Y$5:Y$36,1)))</f>
        <v>0</v>
      </c>
    </row>
    <row r="6" spans="1:35">
      <c r="A6" s="165">
        <v>1</v>
      </c>
      <c r="B6" s="164" t="s">
        <v>377</v>
      </c>
      <c r="C6" s="163"/>
      <c r="D6" s="162" t="s">
        <v>110</v>
      </c>
      <c r="E6" s="158">
        <f>+総係!E6+SUM(特環:浄化!E6)-SUM('特環(共通按分後):浄化(共通按分後)'!E6)</f>
        <v>118729200</v>
      </c>
      <c r="F6" s="161">
        <f>+総係!F6+SUM(特環:浄化!F6)-SUM('特環(共通按分後):浄化(共通按分後)'!F6)</f>
        <v>0</v>
      </c>
      <c r="G6" s="160">
        <f>+総係!G6+SUM(特環:浄化!G6)-SUM('特環(共通按分後):浄化(共通按分後)'!G6)</f>
        <v>0</v>
      </c>
      <c r="H6" s="160">
        <f>+総係!H6+SUM(特環:浄化!H6)-SUM('特環(共通按分後):浄化(共通按分後)'!H6)</f>
        <v>0</v>
      </c>
      <c r="I6" s="159">
        <f>+総係!I6+SUM(特環:浄化!I6)-SUM('特環(共通按分後):浄化(共通按分後)'!I6)</f>
        <v>0</v>
      </c>
      <c r="J6" s="159">
        <f>+総係!J6+SUM(特環:浄化!J6)-SUM('特環(共通按分後):浄化(共通按分後)'!J6)</f>
        <v>0</v>
      </c>
      <c r="K6" s="34">
        <f>+総係!K6+SUM(特環:浄化!K6)-SUM('特環(共通按分後):浄化(共通按分後)'!K6)</f>
        <v>0</v>
      </c>
      <c r="L6" s="158">
        <f>+総係!L6+SUM(特環:浄化!L6)-SUM('特環(共通按分後):浄化(共通按分後)'!L6)</f>
        <v>0</v>
      </c>
      <c r="M6" s="158">
        <f>+総係!M6+SUM(特環:浄化!M6)-SUM('特環(共通按分後):浄化(共通按分後)'!M6)</f>
        <v>118729200</v>
      </c>
      <c r="N6" s="108">
        <f>+総係!N6+SUM(特環:浄化!N6)-SUM('特環(共通按分後):浄化(共通按分後)'!N6)</f>
        <v>0</v>
      </c>
      <c r="O6" s="25">
        <f>+総係!O6+SUM(特環:浄化!O6)-SUM('特環(共通按分後):浄化(共通按分後)'!O6)</f>
        <v>0</v>
      </c>
      <c r="P6" s="25">
        <f>+総係!P6+SUM(特環:浄化!P6)-SUM('特環(共通按分後):浄化(共通按分後)'!P6)</f>
        <v>0</v>
      </c>
      <c r="Q6" s="157">
        <f>+総係!Q6+SUM(特環:浄化!Q6)-SUM('特環(共通按分後):浄化(共通按分後)'!Q6)</f>
        <v>0</v>
      </c>
      <c r="R6" s="157">
        <f>+総係!R6+SUM(特環:浄化!R6)-SUM('特環(共通按分後):浄化(共通按分後)'!R6)</f>
        <v>0</v>
      </c>
      <c r="S6" s="22">
        <f>+総係!S6+SUM(特環:浄化!S6)-SUM('特環(共通按分後):浄化(共通按分後)'!S6)</f>
        <v>0</v>
      </c>
      <c r="T6" s="109">
        <f>+総係!T6+SUM(特環:浄化!T6)-SUM('特環(共通按分後):浄化(共通按分後)'!T6)</f>
        <v>118729200</v>
      </c>
      <c r="U6" s="107">
        <f t="shared" si="0"/>
        <v>0</v>
      </c>
      <c r="V6" s="107">
        <f t="shared" si="1"/>
        <v>0</v>
      </c>
      <c r="W6" s="107">
        <f t="shared" si="2"/>
        <v>0</v>
      </c>
      <c r="X6" s="107">
        <f t="shared" si="2"/>
        <v>0</v>
      </c>
      <c r="Y6" s="107">
        <f t="shared" si="3"/>
        <v>0</v>
      </c>
      <c r="Z6" s="106">
        <f t="shared" si="4"/>
        <v>0</v>
      </c>
      <c r="AA6" s="106">
        <f t="shared" si="5"/>
        <v>0</v>
      </c>
      <c r="AB6" s="106">
        <f t="shared" si="6"/>
        <v>0</v>
      </c>
      <c r="AC6" s="106">
        <f t="shared" si="7"/>
        <v>0</v>
      </c>
      <c r="AD6" s="106">
        <f t="shared" si="8"/>
        <v>0</v>
      </c>
    </row>
    <row r="7" spans="1:35">
      <c r="A7" s="165">
        <v>1</v>
      </c>
      <c r="B7" s="164" t="s">
        <v>376</v>
      </c>
      <c r="C7" s="163"/>
      <c r="D7" s="162" t="s">
        <v>108</v>
      </c>
      <c r="E7" s="158">
        <f>+総係!E7+SUM(特環:浄化!E7)-SUM('特環(共通按分後):浄化(共通按分後)'!E7)</f>
        <v>90395023</v>
      </c>
      <c r="F7" s="161">
        <f>+総係!F7+SUM(特環:浄化!F7)-SUM('特環(共通按分後):浄化(共通按分後)'!F7)</f>
        <v>0</v>
      </c>
      <c r="G7" s="160">
        <f>+総係!G7+SUM(特環:浄化!G7)-SUM('特環(共通按分後):浄化(共通按分後)'!G7)</f>
        <v>0</v>
      </c>
      <c r="H7" s="160">
        <f>+総係!H7+SUM(特環:浄化!H7)-SUM('特環(共通按分後):浄化(共通按分後)'!H7)</f>
        <v>0</v>
      </c>
      <c r="I7" s="159">
        <f>+総係!I7+SUM(特環:浄化!I7)-SUM('特環(共通按分後):浄化(共通按分後)'!I7)</f>
        <v>0</v>
      </c>
      <c r="J7" s="159">
        <f>+総係!J7+SUM(特環:浄化!J7)-SUM('特環(共通按分後):浄化(共通按分後)'!J7)</f>
        <v>2558640</v>
      </c>
      <c r="K7" s="34">
        <f>+総係!K7+SUM(特環:浄化!K7)-SUM('特環(共通按分後):浄化(共通按分後)'!K7)</f>
        <v>2558640</v>
      </c>
      <c r="L7" s="158">
        <f>+総係!L7+SUM(特環:浄化!L7)-SUM('特環(共通按分後):浄化(共通按分後)'!L7)</f>
        <v>0</v>
      </c>
      <c r="M7" s="158">
        <f>+総係!M7+SUM(特環:浄化!M7)-SUM('特環(共通按分後):浄化(共通按分後)'!M7)</f>
        <v>87836383</v>
      </c>
      <c r="N7" s="108">
        <f>+総係!N7+SUM(特環:浄化!N7)-SUM('特環(共通按分後):浄化(共通按分後)'!N7)</f>
        <v>0</v>
      </c>
      <c r="O7" s="25">
        <f>+総係!O7+SUM(特環:浄化!O7)-SUM('特環(共通按分後):浄化(共通按分後)'!O7)</f>
        <v>0</v>
      </c>
      <c r="P7" s="25">
        <f>+総係!P7+SUM(特環:浄化!P7)-SUM('特環(共通按分後):浄化(共通按分後)'!P7)</f>
        <v>0</v>
      </c>
      <c r="Q7" s="157">
        <f>+総係!Q7+SUM(特環:浄化!Q7)-SUM('特環(共通按分後):浄化(共通按分後)'!Q7)</f>
        <v>0</v>
      </c>
      <c r="R7" s="157">
        <f>+総係!R7+SUM(特環:浄化!R7)-SUM('特環(共通按分後):浄化(共通按分後)'!R7)</f>
        <v>232604</v>
      </c>
      <c r="S7" s="22">
        <f>+総係!S7+SUM(特環:浄化!S7)-SUM('特環(共通按分後):浄化(共通按分後)'!S7)</f>
        <v>232604</v>
      </c>
      <c r="T7" s="109">
        <f>+総係!T7+SUM(特環:浄化!T7)-SUM('特環(共通按分後):浄化(共通按分後)'!T7)</f>
        <v>90162419</v>
      </c>
      <c r="U7" s="107">
        <f t="shared" si="0"/>
        <v>0</v>
      </c>
      <c r="V7" s="107">
        <f t="shared" si="1"/>
        <v>0</v>
      </c>
      <c r="W7" s="107">
        <f t="shared" si="2"/>
        <v>0</v>
      </c>
      <c r="X7" s="107">
        <f t="shared" si="2"/>
        <v>0</v>
      </c>
      <c r="Y7" s="107">
        <f t="shared" si="3"/>
        <v>0.36363636364694685</v>
      </c>
      <c r="Z7" s="106">
        <f t="shared" si="4"/>
        <v>0</v>
      </c>
      <c r="AA7" s="106">
        <f t="shared" si="5"/>
        <v>0</v>
      </c>
      <c r="AB7" s="106">
        <f t="shared" si="6"/>
        <v>0</v>
      </c>
      <c r="AC7" s="106">
        <f t="shared" si="7"/>
        <v>0</v>
      </c>
      <c r="AD7" s="106">
        <f t="shared" si="8"/>
        <v>0</v>
      </c>
    </row>
    <row r="8" spans="1:35">
      <c r="A8" s="165">
        <v>1</v>
      </c>
      <c r="B8" s="164" t="s">
        <v>375</v>
      </c>
      <c r="C8" s="163"/>
      <c r="D8" s="162" t="s">
        <v>106</v>
      </c>
      <c r="E8" s="158">
        <f>+総係!E8+SUM(特環:浄化!E8)-SUM('特環(共通按分後):浄化(共通按分後)'!E8)</f>
        <v>47128075</v>
      </c>
      <c r="F8" s="161">
        <f>+総係!F8+SUM(特環:浄化!F8)-SUM('特環(共通按分後):浄化(共通按分後)'!F8)</f>
        <v>0</v>
      </c>
      <c r="G8" s="160">
        <f>+総係!G8+SUM(特環:浄化!G8)-SUM('特環(共通按分後):浄化(共通按分後)'!G8)</f>
        <v>0</v>
      </c>
      <c r="H8" s="160">
        <f>+総係!H8+SUM(特環:浄化!H8)-SUM('特環(共通按分後):浄化(共通按分後)'!H8)</f>
        <v>0</v>
      </c>
      <c r="I8" s="159">
        <f>+総係!I8+SUM(特環:浄化!I8)-SUM('特環(共通按分後):浄化(共通按分後)'!I8)</f>
        <v>0</v>
      </c>
      <c r="J8" s="159">
        <f>+総係!J8+SUM(特環:浄化!J8)-SUM('特環(共通按分後):浄化(共通按分後)'!J8)</f>
        <v>0</v>
      </c>
      <c r="K8" s="34">
        <f>+総係!K8+SUM(特環:浄化!K8)-SUM('特環(共通按分後):浄化(共通按分後)'!K8)</f>
        <v>0</v>
      </c>
      <c r="L8" s="158">
        <f>+総係!L8+SUM(特環:浄化!L8)-SUM('特環(共通按分後):浄化(共通按分後)'!L8)</f>
        <v>46938541</v>
      </c>
      <c r="M8" s="158">
        <f>+総係!M8+SUM(特環:浄化!M8)-SUM('特環(共通按分後):浄化(共通按分後)'!M8)</f>
        <v>189534</v>
      </c>
      <c r="N8" s="108">
        <f>+総係!N8+SUM(特環:浄化!N8)-SUM('特環(共通按分後):浄化(共通按分後)'!N8)</f>
        <v>0</v>
      </c>
      <c r="O8" s="25">
        <f>+総係!O8+SUM(特環:浄化!O8)-SUM('特環(共通按分後):浄化(共通按分後)'!O8)</f>
        <v>0</v>
      </c>
      <c r="P8" s="25">
        <f>+総係!P8+SUM(特環:浄化!P8)-SUM('特環(共通按分後):浄化(共通按分後)'!P8)</f>
        <v>0</v>
      </c>
      <c r="Q8" s="157">
        <f>+総係!Q8+SUM(特環:浄化!Q8)-SUM('特環(共通按分後):浄化(共通按分後)'!Q8)</f>
        <v>0</v>
      </c>
      <c r="R8" s="157">
        <f>+総係!R8+SUM(特環:浄化!R8)-SUM('特環(共通按分後):浄化(共通按分後)'!R8)</f>
        <v>0</v>
      </c>
      <c r="S8" s="22">
        <f>+総係!S8+SUM(特環:浄化!S8)-SUM('特環(共通按分後):浄化(共通按分後)'!S8)</f>
        <v>0</v>
      </c>
      <c r="T8" s="109">
        <f>+総係!T8+SUM(特環:浄化!T8)-SUM('特環(共通按分後):浄化(共通按分後)'!T8)</f>
        <v>47128075</v>
      </c>
      <c r="U8" s="107">
        <f t="shared" si="0"/>
        <v>0</v>
      </c>
      <c r="V8" s="107">
        <f t="shared" si="1"/>
        <v>0</v>
      </c>
      <c r="W8" s="107">
        <f t="shared" si="2"/>
        <v>0</v>
      </c>
      <c r="X8" s="107">
        <f t="shared" si="2"/>
        <v>0</v>
      </c>
      <c r="Y8" s="107">
        <f t="shared" si="3"/>
        <v>0</v>
      </c>
      <c r="Z8" s="106">
        <f t="shared" si="4"/>
        <v>0</v>
      </c>
      <c r="AA8" s="106">
        <f t="shared" si="5"/>
        <v>0</v>
      </c>
      <c r="AB8" s="106">
        <f t="shared" si="6"/>
        <v>0</v>
      </c>
      <c r="AC8" s="106">
        <f t="shared" si="7"/>
        <v>0</v>
      </c>
      <c r="AD8" s="106">
        <f t="shared" si="8"/>
        <v>0</v>
      </c>
    </row>
    <row r="9" spans="1:35">
      <c r="A9" s="165">
        <v>1</v>
      </c>
      <c r="B9" s="164" t="s">
        <v>374</v>
      </c>
      <c r="C9" s="163"/>
      <c r="D9" s="162" t="s">
        <v>104</v>
      </c>
      <c r="E9" s="158">
        <f>+総係!E9+SUM(特環:浄化!E9)-SUM('特環(共通按分後):浄化(共通按分後)'!E9)</f>
        <v>183360</v>
      </c>
      <c r="F9" s="161">
        <f>+総係!F9+SUM(特環:浄化!F9)-SUM('特環(共通按分後):浄化(共通按分後)'!F9)</f>
        <v>0</v>
      </c>
      <c r="G9" s="160">
        <f>+総係!G9+SUM(特環:浄化!G9)-SUM('特環(共通按分後):浄化(共通按分後)'!G9)</f>
        <v>0</v>
      </c>
      <c r="H9" s="160">
        <f>+総係!H9+SUM(特環:浄化!H9)-SUM('特環(共通按分後):浄化(共通按分後)'!H9)</f>
        <v>0</v>
      </c>
      <c r="I9" s="159">
        <f>+総係!I9+SUM(特環:浄化!I9)-SUM('特環(共通按分後):浄化(共通按分後)'!I9)</f>
        <v>0</v>
      </c>
      <c r="J9" s="159">
        <f>+総係!J9+SUM(特環:浄化!J9)-SUM('特環(共通按分後):浄化(共通按分後)'!J9)</f>
        <v>0</v>
      </c>
      <c r="K9" s="34">
        <f>+総係!K9+SUM(特環:浄化!K9)-SUM('特環(共通按分後):浄化(共通按分後)'!K9)</f>
        <v>0</v>
      </c>
      <c r="L9" s="158">
        <f>+総係!L9+SUM(特環:浄化!L9)-SUM('特環(共通按分後):浄化(共通按分後)'!L9)</f>
        <v>0</v>
      </c>
      <c r="M9" s="158">
        <f>+総係!M9+SUM(特環:浄化!M9)-SUM('特環(共通按分後):浄化(共通按分後)'!M9)</f>
        <v>183360</v>
      </c>
      <c r="N9" s="108">
        <f>+総係!N9+SUM(特環:浄化!N9)-SUM('特環(共通按分後):浄化(共通按分後)'!N9)</f>
        <v>0</v>
      </c>
      <c r="O9" s="25">
        <f>+総係!O9+SUM(特環:浄化!O9)-SUM('特環(共通按分後):浄化(共通按分後)'!O9)</f>
        <v>0</v>
      </c>
      <c r="P9" s="25">
        <f>+総係!P9+SUM(特環:浄化!P9)-SUM('特環(共通按分後):浄化(共通按分後)'!P9)</f>
        <v>0</v>
      </c>
      <c r="Q9" s="157">
        <f>+総係!Q9+SUM(特環:浄化!Q9)-SUM('特環(共通按分後):浄化(共通按分後)'!Q9)</f>
        <v>0</v>
      </c>
      <c r="R9" s="157">
        <f>+総係!R9+SUM(特環:浄化!R9)-SUM('特環(共通按分後):浄化(共通按分後)'!R9)</f>
        <v>0</v>
      </c>
      <c r="S9" s="22">
        <f>+総係!S9+SUM(特環:浄化!S9)-SUM('特環(共通按分後):浄化(共通按分後)'!S9)</f>
        <v>0</v>
      </c>
      <c r="T9" s="109">
        <f>+総係!T9+SUM(特環:浄化!T9)-SUM('特環(共通按分後):浄化(共通按分後)'!T9)</f>
        <v>183360</v>
      </c>
      <c r="U9" s="107">
        <f t="shared" si="0"/>
        <v>0</v>
      </c>
      <c r="V9" s="107">
        <f t="shared" si="1"/>
        <v>0</v>
      </c>
      <c r="W9" s="107">
        <f t="shared" si="2"/>
        <v>0</v>
      </c>
      <c r="X9" s="107">
        <f t="shared" si="2"/>
        <v>0</v>
      </c>
      <c r="Y9" s="107">
        <f t="shared" si="3"/>
        <v>0</v>
      </c>
      <c r="Z9" s="106">
        <f t="shared" si="4"/>
        <v>0</v>
      </c>
      <c r="AA9" s="106">
        <f t="shared" si="5"/>
        <v>0</v>
      </c>
      <c r="AB9" s="106">
        <f t="shared" si="6"/>
        <v>0</v>
      </c>
      <c r="AC9" s="106">
        <f t="shared" si="7"/>
        <v>0</v>
      </c>
      <c r="AD9" s="106">
        <f t="shared" si="8"/>
        <v>0</v>
      </c>
    </row>
    <row r="10" spans="1:35">
      <c r="A10" s="165">
        <v>1</v>
      </c>
      <c r="B10" s="164" t="s">
        <v>373</v>
      </c>
      <c r="C10" s="163"/>
      <c r="D10" s="162" t="s">
        <v>102</v>
      </c>
      <c r="E10" s="158">
        <f>+総係!E10+SUM(特環:浄化!E10)-SUM('特環(共通按分後):浄化(共通按分後)'!E10)</f>
        <v>0</v>
      </c>
      <c r="F10" s="161">
        <f>+総係!F10+SUM(特環:浄化!F10)-SUM('特環(共通按分後):浄化(共通按分後)'!F10)</f>
        <v>0</v>
      </c>
      <c r="G10" s="160">
        <f>+総係!G10+SUM(特環:浄化!G10)-SUM('特環(共通按分後):浄化(共通按分後)'!G10)</f>
        <v>0</v>
      </c>
      <c r="H10" s="276">
        <f>+総係!H10+SUM(特環:浄化!H10)-SUM('特環(共通按分後):浄化(共通按分後)'!H10)</f>
        <v>0</v>
      </c>
      <c r="I10" s="271">
        <f>+総係!I10+SUM(特環:浄化!I10)-SUM('特環(共通按分後):浄化(共通按分後)'!I10)</f>
        <v>0</v>
      </c>
      <c r="J10" s="159">
        <f>+総係!J10+SUM(特環:浄化!J10)-SUM('特環(共通按分後):浄化(共通按分後)'!J10)</f>
        <v>0</v>
      </c>
      <c r="K10" s="34">
        <f>+総係!K10+SUM(特環:浄化!K10)-SUM('特環(共通按分後):浄化(共通按分後)'!K10)</f>
        <v>0</v>
      </c>
      <c r="L10" s="158">
        <f>+総係!L10+SUM(特環:浄化!L10)-SUM('特環(共通按分後):浄化(共通按分後)'!L10)</f>
        <v>0</v>
      </c>
      <c r="M10" s="278">
        <f>+総係!M10+SUM(特環:浄化!M10)-SUM('特環(共通按分後):浄化(共通按分後)'!M10)</f>
        <v>0</v>
      </c>
      <c r="N10" s="108">
        <f>+総係!N10+SUM(特環:浄化!N10)-SUM('特環(共通按分後):浄化(共通按分後)'!N10)</f>
        <v>0</v>
      </c>
      <c r="O10" s="25">
        <f>+総係!O10+SUM(特環:浄化!O10)-SUM('特環(共通按分後):浄化(共通按分後)'!O10)</f>
        <v>0</v>
      </c>
      <c r="P10" s="25">
        <f>+総係!P10+SUM(特環:浄化!P10)-SUM('特環(共通按分後):浄化(共通按分後)'!P10)</f>
        <v>0</v>
      </c>
      <c r="Q10" s="157">
        <f>+総係!Q10+SUM(特環:浄化!Q10)-SUM('特環(共通按分後):浄化(共通按分後)'!Q10)</f>
        <v>0</v>
      </c>
      <c r="R10" s="157">
        <f>+総係!R10+SUM(特環:浄化!R10)-SUM('特環(共通按分後):浄化(共通按分後)'!R10)</f>
        <v>0</v>
      </c>
      <c r="S10" s="22">
        <f>+総係!S10+SUM(特環:浄化!S10)-SUM('特環(共通按分後):浄化(共通按分後)'!S10)</f>
        <v>0</v>
      </c>
      <c r="T10" s="109">
        <f>+総係!T10+SUM(特環:浄化!T10)-SUM('特環(共通按分後):浄化(共通按分後)'!T10)</f>
        <v>0</v>
      </c>
      <c r="U10" s="107">
        <f t="shared" si="0"/>
        <v>0</v>
      </c>
      <c r="V10" s="107">
        <f t="shared" si="1"/>
        <v>0</v>
      </c>
      <c r="W10" s="107">
        <f t="shared" si="2"/>
        <v>0</v>
      </c>
      <c r="X10" s="107">
        <f t="shared" si="2"/>
        <v>0</v>
      </c>
      <c r="Y10" s="107">
        <f t="shared" si="3"/>
        <v>0</v>
      </c>
      <c r="Z10" s="106">
        <f t="shared" si="4"/>
        <v>0</v>
      </c>
      <c r="AA10" s="106">
        <f t="shared" si="5"/>
        <v>0</v>
      </c>
      <c r="AB10" s="106">
        <f t="shared" si="6"/>
        <v>0</v>
      </c>
      <c r="AC10" s="106">
        <f t="shared" si="7"/>
        <v>0</v>
      </c>
      <c r="AD10" s="106">
        <f t="shared" si="8"/>
        <v>0</v>
      </c>
    </row>
    <row r="11" spans="1:35">
      <c r="A11" s="165">
        <v>1</v>
      </c>
      <c r="B11" s="164" t="s">
        <v>372</v>
      </c>
      <c r="C11" s="163"/>
      <c r="D11" s="162" t="s">
        <v>100</v>
      </c>
      <c r="E11" s="158">
        <f>+総係!E11+SUM(特環:浄化!E11)-SUM('特環(共通按分後):浄化(共通按分後)'!E11)</f>
        <v>0</v>
      </c>
      <c r="F11" s="161">
        <f>+総係!F11+SUM(特環:浄化!F11)-SUM('特環(共通按分後):浄化(共通按分後)'!F11)</f>
        <v>0</v>
      </c>
      <c r="G11" s="160">
        <f>+総係!G11+SUM(特環:浄化!G11)-SUM('特環(共通按分後):浄化(共通按分後)'!G11)</f>
        <v>0</v>
      </c>
      <c r="H11" s="160">
        <f>+総係!H11+SUM(特環:浄化!H11)-SUM('特環(共通按分後):浄化(共通按分後)'!H11)</f>
        <v>0</v>
      </c>
      <c r="I11" s="159">
        <f>+総係!I11+SUM(特環:浄化!I11)-SUM('特環(共通按分後):浄化(共通按分後)'!I11)</f>
        <v>0</v>
      </c>
      <c r="J11" s="159">
        <f>+総係!J11+SUM(特環:浄化!J11)-SUM('特環(共通按分後):浄化(共通按分後)'!J11)</f>
        <v>0</v>
      </c>
      <c r="K11" s="34">
        <f>+総係!K11+SUM(特環:浄化!K11)-SUM('特環(共通按分後):浄化(共通按分後)'!K11)</f>
        <v>0</v>
      </c>
      <c r="L11" s="158">
        <f>+総係!L11+SUM(特環:浄化!L11)-SUM('特環(共通按分後):浄化(共通按分後)'!L11)</f>
        <v>0</v>
      </c>
      <c r="M11" s="158">
        <f>+総係!M11+SUM(特環:浄化!M11)-SUM('特環(共通按分後):浄化(共通按分後)'!M11)</f>
        <v>0</v>
      </c>
      <c r="N11" s="108">
        <f>+総係!N11+SUM(特環:浄化!N11)-SUM('特環(共通按分後):浄化(共通按分後)'!N11)</f>
        <v>0</v>
      </c>
      <c r="O11" s="25">
        <f>+総係!O11+SUM(特環:浄化!O11)-SUM('特環(共通按分後):浄化(共通按分後)'!O11)</f>
        <v>0</v>
      </c>
      <c r="P11" s="25">
        <f>+総係!P11+SUM(特環:浄化!P11)-SUM('特環(共通按分後):浄化(共通按分後)'!P11)</f>
        <v>0</v>
      </c>
      <c r="Q11" s="157">
        <f>+総係!Q11+SUM(特環:浄化!Q11)-SUM('特環(共通按分後):浄化(共通按分後)'!Q11)</f>
        <v>0</v>
      </c>
      <c r="R11" s="157">
        <f>+総係!R11+SUM(特環:浄化!R11)-SUM('特環(共通按分後):浄化(共通按分後)'!R11)</f>
        <v>0</v>
      </c>
      <c r="S11" s="22">
        <f>+総係!S11+SUM(特環:浄化!S11)-SUM('特環(共通按分後):浄化(共通按分後)'!S11)</f>
        <v>0</v>
      </c>
      <c r="T11" s="109">
        <f>+総係!T11+SUM(特環:浄化!T11)-SUM('特環(共通按分後):浄化(共通按分後)'!T11)</f>
        <v>0</v>
      </c>
      <c r="U11" s="107">
        <f t="shared" si="0"/>
        <v>0</v>
      </c>
      <c r="V11" s="107">
        <f t="shared" si="1"/>
        <v>0</v>
      </c>
      <c r="W11" s="107">
        <f t="shared" si="2"/>
        <v>0</v>
      </c>
      <c r="X11" s="107">
        <f t="shared" si="2"/>
        <v>0</v>
      </c>
      <c r="Y11" s="107">
        <f t="shared" si="3"/>
        <v>0</v>
      </c>
      <c r="Z11" s="106">
        <f t="shared" si="4"/>
        <v>0</v>
      </c>
      <c r="AA11" s="106">
        <f t="shared" si="5"/>
        <v>0</v>
      </c>
      <c r="AB11" s="106">
        <f t="shared" si="6"/>
        <v>0</v>
      </c>
      <c r="AC11" s="106">
        <f t="shared" si="7"/>
        <v>0</v>
      </c>
      <c r="AD11" s="106">
        <f t="shared" si="8"/>
        <v>0</v>
      </c>
    </row>
    <row r="12" spans="1:35">
      <c r="A12" s="165">
        <v>1</v>
      </c>
      <c r="B12" s="164" t="s">
        <v>370</v>
      </c>
      <c r="C12" s="163" t="s">
        <v>371</v>
      </c>
      <c r="D12" s="162" t="s">
        <v>98</v>
      </c>
      <c r="E12" s="158">
        <f>+総係!E12+SUM(特環:浄化!E12)-SUM('特環(共通按分後):浄化(共通按分後)'!E12)</f>
        <v>3324070</v>
      </c>
      <c r="F12" s="161">
        <f>+総係!F12+SUM(特環:浄化!F12)-SUM('特環(共通按分後):浄化(共通按分後)'!F12)</f>
        <v>0</v>
      </c>
      <c r="G12" s="160">
        <f>+総係!G12+SUM(特環:浄化!G12)-SUM('特環(共通按分後):浄化(共通按分後)'!G12)</f>
        <v>0</v>
      </c>
      <c r="H12" s="160">
        <f>+総係!H12+SUM(特環:浄化!H12)-SUM('特環(共通按分後):浄化(共通按分後)'!H12)</f>
        <v>0</v>
      </c>
      <c r="I12" s="159">
        <f>+総係!I12+SUM(特環:浄化!I12)-SUM('特環(共通按分後):浄化(共通按分後)'!I12)</f>
        <v>0</v>
      </c>
      <c r="J12" s="159">
        <f>+総係!J12+SUM(特環:浄化!J12)-SUM('特環(共通按分後):浄化(共通按分後)'!J12)</f>
        <v>3298170</v>
      </c>
      <c r="K12" s="34">
        <f>+総係!K12+SUM(特環:浄化!K12)-SUM('特環(共通按分後):浄化(共通按分後)'!K12)</f>
        <v>3298170</v>
      </c>
      <c r="L12" s="158">
        <f>+総係!L12+SUM(特環:浄化!L12)-SUM('特環(共通按分後):浄化(共通按分後)'!L12)</f>
        <v>0</v>
      </c>
      <c r="M12" s="158">
        <f>+総係!M12+SUM(特環:浄化!M12)-SUM('特環(共通按分後):浄化(共通按分後)'!M12)</f>
        <v>25900</v>
      </c>
      <c r="N12" s="108">
        <f>+総係!N12+SUM(特環:浄化!N12)-SUM('特環(共通按分後):浄化(共通按分後)'!N12)</f>
        <v>0</v>
      </c>
      <c r="O12" s="25">
        <f>+総係!O12+SUM(特環:浄化!O12)-SUM('特環(共通按分後):浄化(共通按分後)'!O12)</f>
        <v>0</v>
      </c>
      <c r="P12" s="25">
        <f>+総係!P12+SUM(特環:浄化!P12)-SUM('特環(共通按分後):浄化(共通按分後)'!P12)</f>
        <v>0</v>
      </c>
      <c r="Q12" s="157">
        <f>+総係!Q12+SUM(特環:浄化!Q12)-SUM('特環(共通按分後):浄化(共通按分後)'!Q12)</f>
        <v>0</v>
      </c>
      <c r="R12" s="157">
        <f>+総係!R12+SUM(特環:浄化!R12)-SUM('特環(共通按分後):浄化(共通按分後)'!R12)</f>
        <v>299833</v>
      </c>
      <c r="S12" s="22">
        <f>+総係!S12+SUM(特環:浄化!S12)-SUM('特環(共通按分後):浄化(共通按分後)'!S12)</f>
        <v>299833</v>
      </c>
      <c r="T12" s="109">
        <f>+総係!T12+SUM(特環:浄化!T12)-SUM('特環(共通按分後):浄化(共通按分後)'!T12)</f>
        <v>3024237</v>
      </c>
      <c r="U12" s="107">
        <f t="shared" si="0"/>
        <v>0</v>
      </c>
      <c r="V12" s="107">
        <f t="shared" si="1"/>
        <v>0</v>
      </c>
      <c r="W12" s="107">
        <f t="shared" si="2"/>
        <v>0</v>
      </c>
      <c r="X12" s="107">
        <f t="shared" si="2"/>
        <v>0</v>
      </c>
      <c r="Y12" s="107">
        <f t="shared" si="3"/>
        <v>-0.63636363635305315</v>
      </c>
      <c r="Z12" s="106">
        <f t="shared" si="4"/>
        <v>0</v>
      </c>
      <c r="AA12" s="106">
        <f t="shared" si="5"/>
        <v>0</v>
      </c>
      <c r="AB12" s="106">
        <f t="shared" si="6"/>
        <v>0</v>
      </c>
      <c r="AC12" s="106">
        <f t="shared" si="7"/>
        <v>0</v>
      </c>
      <c r="AD12" s="106">
        <f t="shared" si="8"/>
        <v>0</v>
      </c>
    </row>
    <row r="13" spans="1:35">
      <c r="A13" s="165">
        <v>1</v>
      </c>
      <c r="B13" s="164" t="s">
        <v>370</v>
      </c>
      <c r="C13" s="163" t="s">
        <v>369</v>
      </c>
      <c r="D13" s="162" t="s">
        <v>95</v>
      </c>
      <c r="E13" s="158">
        <f>+総係!E13+SUM(特環:浄化!E13)-SUM('特環(共通按分後):浄化(共通按分後)'!E13)</f>
        <v>0</v>
      </c>
      <c r="F13" s="161">
        <f>+総係!F13+SUM(特環:浄化!F13)-SUM('特環(共通按分後):浄化(共通按分後)'!F13)</f>
        <v>0</v>
      </c>
      <c r="G13" s="160">
        <f>+総係!G13+SUM(特環:浄化!G13)-SUM('特環(共通按分後):浄化(共通按分後)'!G13)</f>
        <v>0</v>
      </c>
      <c r="H13" s="160">
        <f>+総係!H13+SUM(特環:浄化!H13)-SUM('特環(共通按分後):浄化(共通按分後)'!H13)</f>
        <v>0</v>
      </c>
      <c r="I13" s="159">
        <f>+総係!I13+SUM(特環:浄化!I13)-SUM('特環(共通按分後):浄化(共通按分後)'!I13)</f>
        <v>0</v>
      </c>
      <c r="J13" s="159">
        <f>+総係!J13+SUM(特環:浄化!J13)-SUM('特環(共通按分後):浄化(共通按分後)'!J13)</f>
        <v>0</v>
      </c>
      <c r="K13" s="34">
        <f>+総係!K13+SUM(特環:浄化!K13)-SUM('特環(共通按分後):浄化(共通按分後)'!K13)</f>
        <v>0</v>
      </c>
      <c r="L13" s="158">
        <f>+総係!L13+SUM(特環:浄化!L13)-SUM('特環(共通按分後):浄化(共通按分後)'!L13)</f>
        <v>0</v>
      </c>
      <c r="M13" s="158">
        <f>+総係!M13+SUM(特環:浄化!M13)-SUM('特環(共通按分後):浄化(共通按分後)'!M13)</f>
        <v>0</v>
      </c>
      <c r="N13" s="108">
        <f>+総係!N13+SUM(特環:浄化!N13)-SUM('特環(共通按分後):浄化(共通按分後)'!N13)</f>
        <v>0</v>
      </c>
      <c r="O13" s="25">
        <f>+総係!O13+SUM(特環:浄化!O13)-SUM('特環(共通按分後):浄化(共通按分後)'!O13)</f>
        <v>0</v>
      </c>
      <c r="P13" s="25">
        <f>+総係!P13+SUM(特環:浄化!P13)-SUM('特環(共通按分後):浄化(共通按分後)'!P13)</f>
        <v>0</v>
      </c>
      <c r="Q13" s="157">
        <f>+総係!Q13+SUM(特環:浄化!Q13)-SUM('特環(共通按分後):浄化(共通按分後)'!Q13)</f>
        <v>0</v>
      </c>
      <c r="R13" s="157">
        <f>+総係!R13+SUM(特環:浄化!R13)-SUM('特環(共通按分後):浄化(共通按分後)'!R13)</f>
        <v>0</v>
      </c>
      <c r="S13" s="22">
        <f>+総係!S13+SUM(特環:浄化!S13)-SUM('特環(共通按分後):浄化(共通按分後)'!S13)</f>
        <v>0</v>
      </c>
      <c r="T13" s="109">
        <f>+総係!T13+SUM(特環:浄化!T13)-SUM('特環(共通按分後):浄化(共通按分後)'!T13)</f>
        <v>0</v>
      </c>
      <c r="U13" s="107">
        <f t="shared" si="0"/>
        <v>0</v>
      </c>
      <c r="V13" s="107">
        <f t="shared" si="1"/>
        <v>0</v>
      </c>
      <c r="W13" s="107">
        <f t="shared" si="2"/>
        <v>0</v>
      </c>
      <c r="X13" s="107">
        <f t="shared" si="2"/>
        <v>0</v>
      </c>
      <c r="Y13" s="107">
        <f t="shared" si="3"/>
        <v>0</v>
      </c>
      <c r="Z13" s="106">
        <f t="shared" si="4"/>
        <v>0</v>
      </c>
      <c r="AA13" s="106">
        <f t="shared" si="5"/>
        <v>0</v>
      </c>
      <c r="AB13" s="106">
        <f t="shared" si="6"/>
        <v>0</v>
      </c>
      <c r="AC13" s="106">
        <f t="shared" si="7"/>
        <v>0</v>
      </c>
      <c r="AD13" s="106">
        <f t="shared" si="8"/>
        <v>0</v>
      </c>
    </row>
    <row r="14" spans="1:35">
      <c r="A14" s="165">
        <v>1</v>
      </c>
      <c r="B14" s="164" t="s">
        <v>368</v>
      </c>
      <c r="C14" s="163"/>
      <c r="D14" s="162" t="s">
        <v>93</v>
      </c>
      <c r="E14" s="158">
        <f>+総係!E14+SUM(特環:浄化!E14)-SUM('特環(共通按分後):浄化(共通按分後)'!E14)</f>
        <v>6907716</v>
      </c>
      <c r="F14" s="161">
        <f>+総係!F14+SUM(特環:浄化!F14)-SUM('特環(共通按分後):浄化(共通按分後)'!F14)</f>
        <v>0</v>
      </c>
      <c r="G14" s="160">
        <f>+総係!G14+SUM(特環:浄化!G14)-SUM('特環(共通按分後):浄化(共通按分後)'!G14)</f>
        <v>0</v>
      </c>
      <c r="H14" s="160">
        <f>+総係!H14+SUM(特環:浄化!H14)-SUM('特環(共通按分後):浄化(共通按分後)'!H14)</f>
        <v>0</v>
      </c>
      <c r="I14" s="159">
        <f>+総係!I14+SUM(特環:浄化!I14)-SUM('特環(共通按分後):浄化(共通按分後)'!I14)</f>
        <v>325921</v>
      </c>
      <c r="J14" s="159">
        <f>+総係!J14+SUM(特環:浄化!J14)-SUM('特環(共通按分後):浄化(共通按分後)'!J14)</f>
        <v>6581795</v>
      </c>
      <c r="K14" s="34">
        <f>+総係!K14+SUM(特環:浄化!K14)-SUM('特環(共通按分後):浄化(共通按分後)'!K14)</f>
        <v>6907716</v>
      </c>
      <c r="L14" s="158">
        <f>+総係!L14+SUM(特環:浄化!L14)-SUM('特環(共通按分後):浄化(共通按分後)'!L14)</f>
        <v>0</v>
      </c>
      <c r="M14" s="158">
        <f>+総係!M14+SUM(特環:浄化!M14)-SUM('特環(共通按分後):浄化(共通按分後)'!M14)</f>
        <v>0</v>
      </c>
      <c r="N14" s="108">
        <f>+総係!N14+SUM(特環:浄化!N14)-SUM('特環(共通按分後):浄化(共通按分後)'!N14)</f>
        <v>0</v>
      </c>
      <c r="O14" s="25">
        <f>+総係!O14+SUM(特環:浄化!O14)-SUM('特環(共通按分後):浄化(共通按分後)'!O14)</f>
        <v>0</v>
      </c>
      <c r="P14" s="25">
        <f>+総係!P14+SUM(特環:浄化!P14)-SUM('特環(共通按分後):浄化(共通按分後)'!P14)</f>
        <v>0</v>
      </c>
      <c r="Q14" s="157">
        <f>+総係!Q14+SUM(特環:浄化!Q14)-SUM('特環(共通按分後):浄化(共通按分後)'!Q14)</f>
        <v>24142</v>
      </c>
      <c r="R14" s="157">
        <f>+総係!R14+SUM(特環:浄化!R14)-SUM('特環(共通按分後):浄化(共通按分後)'!R14)</f>
        <v>598345</v>
      </c>
      <c r="S14" s="22">
        <f>+総係!S14+SUM(特環:浄化!S14)-SUM('特環(共通按分後):浄化(共通按分後)'!S14)</f>
        <v>622487</v>
      </c>
      <c r="T14" s="109">
        <f>+総係!T14+SUM(特環:浄化!T14)-SUM('特環(共通按分後):浄化(共通按分後)'!T14)</f>
        <v>6285229</v>
      </c>
      <c r="U14" s="107">
        <f t="shared" si="0"/>
        <v>0</v>
      </c>
      <c r="V14" s="107">
        <f t="shared" si="1"/>
        <v>0</v>
      </c>
      <c r="W14" s="107">
        <f t="shared" si="2"/>
        <v>0</v>
      </c>
      <c r="X14" s="107">
        <f t="shared" si="2"/>
        <v>-0.2962962962956226</v>
      </c>
      <c r="Y14" s="107">
        <f t="shared" si="3"/>
        <v>0</v>
      </c>
      <c r="Z14" s="106">
        <f t="shared" si="4"/>
        <v>0</v>
      </c>
      <c r="AA14" s="106">
        <f t="shared" si="5"/>
        <v>0</v>
      </c>
      <c r="AB14" s="106">
        <f t="shared" si="6"/>
        <v>0</v>
      </c>
      <c r="AC14" s="106">
        <f t="shared" si="7"/>
        <v>0</v>
      </c>
      <c r="AD14" s="106">
        <f t="shared" si="8"/>
        <v>0</v>
      </c>
    </row>
    <row r="15" spans="1:35">
      <c r="A15" s="165">
        <v>1</v>
      </c>
      <c r="B15" s="164" t="s">
        <v>367</v>
      </c>
      <c r="C15" s="163"/>
      <c r="D15" s="162" t="s">
        <v>91</v>
      </c>
      <c r="E15" s="158">
        <f>+総係!E15+SUM(特環:浄化!E15)-SUM('特環(共通按分後):浄化(共通按分後)'!E15)</f>
        <v>259771</v>
      </c>
      <c r="F15" s="161">
        <f>+総係!F15+SUM(特環:浄化!F15)-SUM('特環(共通按分後):浄化(共通按分後)'!F15)</f>
        <v>0</v>
      </c>
      <c r="G15" s="160">
        <f>+総係!G15+SUM(特環:浄化!G15)-SUM('特環(共通按分後):浄化(共通按分後)'!G15)</f>
        <v>0</v>
      </c>
      <c r="H15" s="160">
        <f>+総係!H15+SUM(特環:浄化!H15)-SUM('特環(共通按分後):浄化(共通按分後)'!H15)</f>
        <v>0</v>
      </c>
      <c r="I15" s="159">
        <f>+総係!I15+SUM(特環:浄化!I15)-SUM('特環(共通按分後):浄化(共通按分後)'!I15)</f>
        <v>0</v>
      </c>
      <c r="J15" s="159">
        <f>+総係!J15+SUM(特環:浄化!J15)-SUM('特環(共通按分後):浄化(共通按分後)'!J15)</f>
        <v>259771</v>
      </c>
      <c r="K15" s="34">
        <f>+総係!K15+SUM(特環:浄化!K15)-SUM('特環(共通按分後):浄化(共通按分後)'!K15)</f>
        <v>259771</v>
      </c>
      <c r="L15" s="158">
        <f>+総係!L15+SUM(特環:浄化!L15)-SUM('特環(共通按分後):浄化(共通按分後)'!L15)</f>
        <v>0</v>
      </c>
      <c r="M15" s="158">
        <f>+総係!M15+SUM(特環:浄化!M15)-SUM('特環(共通按分後):浄化(共通按分後)'!M15)</f>
        <v>0</v>
      </c>
      <c r="N15" s="108">
        <f>+総係!N15+SUM(特環:浄化!N15)-SUM('特環(共通按分後):浄化(共通按分後)'!N15)</f>
        <v>0</v>
      </c>
      <c r="O15" s="25">
        <f>+総係!O15+SUM(特環:浄化!O15)-SUM('特環(共通按分後):浄化(共通按分後)'!O15)</f>
        <v>0</v>
      </c>
      <c r="P15" s="25">
        <f>+総係!P15+SUM(特環:浄化!P15)-SUM('特環(共通按分後):浄化(共通按分後)'!P15)</f>
        <v>0</v>
      </c>
      <c r="Q15" s="157">
        <f>+総係!Q15+SUM(特環:浄化!Q15)-SUM('特環(共通按分後):浄化(共通按分後)'!Q15)</f>
        <v>0</v>
      </c>
      <c r="R15" s="157">
        <f>+総係!R15+SUM(特環:浄化!R15)-SUM('特環(共通按分後):浄化(共通按分後)'!R15)</f>
        <v>23616</v>
      </c>
      <c r="S15" s="22">
        <f>+総係!S15+SUM(特環:浄化!S15)-SUM('特環(共通按分後):浄化(共通按分後)'!S15)</f>
        <v>23616</v>
      </c>
      <c r="T15" s="109">
        <f>+総係!T15+SUM(特環:浄化!T15)-SUM('特環(共通按分後):浄化(共通按分後)'!T15)</f>
        <v>236155</v>
      </c>
      <c r="U15" s="107">
        <f t="shared" si="0"/>
        <v>0</v>
      </c>
      <c r="V15" s="107">
        <f t="shared" si="1"/>
        <v>0</v>
      </c>
      <c r="W15" s="107">
        <f t="shared" si="2"/>
        <v>0</v>
      </c>
      <c r="X15" s="107">
        <f t="shared" si="2"/>
        <v>0</v>
      </c>
      <c r="Y15" s="107">
        <f t="shared" si="3"/>
        <v>0.45454545454413164</v>
      </c>
      <c r="Z15" s="106">
        <f t="shared" si="4"/>
        <v>0</v>
      </c>
      <c r="AA15" s="106">
        <f t="shared" si="5"/>
        <v>0</v>
      </c>
      <c r="AB15" s="106">
        <f t="shared" si="6"/>
        <v>0</v>
      </c>
      <c r="AC15" s="106">
        <f t="shared" si="7"/>
        <v>0</v>
      </c>
      <c r="AD15" s="106">
        <f t="shared" si="8"/>
        <v>0</v>
      </c>
    </row>
    <row r="16" spans="1:35">
      <c r="A16" s="165">
        <v>1</v>
      </c>
      <c r="B16" s="164" t="s">
        <v>366</v>
      </c>
      <c r="C16" s="163"/>
      <c r="D16" s="162" t="s">
        <v>89</v>
      </c>
      <c r="E16" s="158">
        <f>+総係!E16+SUM(特環:浄化!E16)-SUM('特環(共通按分後):浄化(共通按分後)'!E16)</f>
        <v>68417</v>
      </c>
      <c r="F16" s="161">
        <f>+総係!F16+SUM(特環:浄化!F16)-SUM('特環(共通按分後):浄化(共通按分後)'!F16)</f>
        <v>0</v>
      </c>
      <c r="G16" s="160">
        <f>+総係!G16+SUM(特環:浄化!G16)-SUM('特環(共通按分後):浄化(共通按分後)'!G16)</f>
        <v>0</v>
      </c>
      <c r="H16" s="160">
        <f>+総係!H16+SUM(特環:浄化!H16)-SUM('特環(共通按分後):浄化(共通按分後)'!H16)</f>
        <v>0</v>
      </c>
      <c r="I16" s="159">
        <f>+総係!I16+SUM(特環:浄化!I16)-SUM('特環(共通按分後):浄化(共通按分後)'!I16)</f>
        <v>0</v>
      </c>
      <c r="J16" s="159">
        <f>+総係!J16+SUM(特環:浄化!J16)-SUM('特環(共通按分後):浄化(共通按分後)'!J16)</f>
        <v>68417</v>
      </c>
      <c r="K16" s="34">
        <f>+総係!K16+SUM(特環:浄化!K16)-SUM('特環(共通按分後):浄化(共通按分後)'!K16)</f>
        <v>68417</v>
      </c>
      <c r="L16" s="158">
        <f>+総係!L16+SUM(特環:浄化!L16)-SUM('特環(共通按分後):浄化(共通按分後)'!L16)</f>
        <v>0</v>
      </c>
      <c r="M16" s="158">
        <f>+総係!M16+SUM(特環:浄化!M16)-SUM('特環(共通按分後):浄化(共通按分後)'!M16)</f>
        <v>0</v>
      </c>
      <c r="N16" s="108">
        <f>+総係!N16+SUM(特環:浄化!N16)-SUM('特環(共通按分後):浄化(共通按分後)'!N16)</f>
        <v>0</v>
      </c>
      <c r="O16" s="25">
        <f>+総係!O16+SUM(特環:浄化!O16)-SUM('特環(共通按分後):浄化(共通按分後)'!O16)</f>
        <v>0</v>
      </c>
      <c r="P16" s="25">
        <f>+総係!P16+SUM(特環:浄化!P16)-SUM('特環(共通按分後):浄化(共通按分後)'!P16)</f>
        <v>0</v>
      </c>
      <c r="Q16" s="157">
        <f>+総係!Q16+SUM(特環:浄化!Q16)-SUM('特環(共通按分後):浄化(共通按分後)'!Q16)</f>
        <v>0</v>
      </c>
      <c r="R16" s="157">
        <f>+総係!R16+SUM(特環:浄化!R16)-SUM('特環(共通按分後):浄化(共通按分後)'!R16)</f>
        <v>6219</v>
      </c>
      <c r="S16" s="22">
        <f>+総係!S16+SUM(特環:浄化!S16)-SUM('特環(共通按分後):浄化(共通按分後)'!S16)</f>
        <v>6219</v>
      </c>
      <c r="T16" s="109">
        <f>+総係!T16+SUM(特環:浄化!T16)-SUM('特環(共通按分後):浄化(共通按分後)'!T16)</f>
        <v>62198</v>
      </c>
      <c r="U16" s="107">
        <f t="shared" si="0"/>
        <v>0</v>
      </c>
      <c r="V16" s="107">
        <f t="shared" si="1"/>
        <v>0</v>
      </c>
      <c r="W16" s="107">
        <f t="shared" si="2"/>
        <v>0</v>
      </c>
      <c r="X16" s="107">
        <f t="shared" si="2"/>
        <v>0</v>
      </c>
      <c r="Y16" s="107">
        <f t="shared" si="3"/>
        <v>-0.72727272727297532</v>
      </c>
      <c r="Z16" s="106">
        <f t="shared" si="4"/>
        <v>0</v>
      </c>
      <c r="AA16" s="106">
        <f t="shared" si="5"/>
        <v>0</v>
      </c>
      <c r="AB16" s="106">
        <f t="shared" si="6"/>
        <v>0</v>
      </c>
      <c r="AC16" s="106">
        <f t="shared" si="7"/>
        <v>0</v>
      </c>
      <c r="AD16" s="106">
        <f t="shared" si="8"/>
        <v>0</v>
      </c>
    </row>
    <row r="17" spans="1:33">
      <c r="A17" s="165">
        <v>1</v>
      </c>
      <c r="B17" s="164" t="s">
        <v>365</v>
      </c>
      <c r="C17" s="163"/>
      <c r="D17" s="162" t="s">
        <v>87</v>
      </c>
      <c r="E17" s="158">
        <f>+総係!E17+SUM(特環:浄化!E17)-SUM('特環(共通按分後):浄化(共通按分後)'!E17)</f>
        <v>1432257</v>
      </c>
      <c r="F17" s="161">
        <f>+総係!F17+SUM(特環:浄化!F17)-SUM('特環(共通按分後):浄化(共通按分後)'!F17)</f>
        <v>0</v>
      </c>
      <c r="G17" s="160">
        <f>+総係!G17+SUM(特環:浄化!G17)-SUM('特環(共通按分後):浄化(共通按分後)'!G17)</f>
        <v>0</v>
      </c>
      <c r="H17" s="160">
        <f>+総係!H17+SUM(特環:浄化!H17)-SUM('特環(共通按分後):浄化(共通按分後)'!H17)</f>
        <v>0</v>
      </c>
      <c r="I17" s="159">
        <f>+総係!I17+SUM(特環:浄化!I17)-SUM('特環(共通按分後):浄化(共通按分後)'!I17)</f>
        <v>0</v>
      </c>
      <c r="J17" s="159">
        <f>+総係!J17+SUM(特環:浄化!J17)-SUM('特環(共通按分後):浄化(共通按分後)'!J17)</f>
        <v>1432257</v>
      </c>
      <c r="K17" s="34">
        <f>+総係!K17+SUM(特環:浄化!K17)-SUM('特環(共通按分後):浄化(共通按分後)'!K17)</f>
        <v>1432257</v>
      </c>
      <c r="L17" s="158">
        <f>+総係!L17+SUM(特環:浄化!L17)-SUM('特環(共通按分後):浄化(共通按分後)'!L17)</f>
        <v>0</v>
      </c>
      <c r="M17" s="158">
        <f>+総係!M17+SUM(特環:浄化!M17)-SUM('特環(共通按分後):浄化(共通按分後)'!M17)</f>
        <v>0</v>
      </c>
      <c r="N17" s="108">
        <f>+総係!N17+SUM(特環:浄化!N17)-SUM('特環(共通按分後):浄化(共通按分後)'!N17)</f>
        <v>0</v>
      </c>
      <c r="O17" s="25">
        <f>+総係!O17+SUM(特環:浄化!O17)-SUM('特環(共通按分後):浄化(共通按分後)'!O17)</f>
        <v>0</v>
      </c>
      <c r="P17" s="25">
        <f>+総係!P17+SUM(特環:浄化!P17)-SUM('特環(共通按分後):浄化(共通按分後)'!P17)</f>
        <v>0</v>
      </c>
      <c r="Q17" s="157">
        <f>+総係!Q17+SUM(特環:浄化!Q17)-SUM('特環(共通按分後):浄化(共通按分後)'!Q17)</f>
        <v>0</v>
      </c>
      <c r="R17" s="157">
        <f>+総係!R17+SUM(特環:浄化!R17)-SUM('特環(共通按分後):浄化(共通按分後)'!R17)</f>
        <v>130206</v>
      </c>
      <c r="S17" s="22">
        <f>+総係!S17+SUM(特環:浄化!S17)-SUM('特環(共通按分後):浄化(共通按分後)'!S17)</f>
        <v>130206</v>
      </c>
      <c r="T17" s="109">
        <f>+総係!T17+SUM(特環:浄化!T17)-SUM('特環(共通按分後):浄化(共通按分後)'!T17)</f>
        <v>1302051</v>
      </c>
      <c r="U17" s="107">
        <f t="shared" si="0"/>
        <v>0</v>
      </c>
      <c r="V17" s="107">
        <f t="shared" si="1"/>
        <v>0</v>
      </c>
      <c r="W17" s="107">
        <f t="shared" si="2"/>
        <v>0</v>
      </c>
      <c r="X17" s="107">
        <f t="shared" si="2"/>
        <v>0</v>
      </c>
      <c r="Y17" s="107">
        <f t="shared" si="3"/>
        <v>0.81818181817652658</v>
      </c>
      <c r="Z17" s="106">
        <f t="shared" si="4"/>
        <v>0</v>
      </c>
      <c r="AA17" s="106">
        <f t="shared" si="5"/>
        <v>0</v>
      </c>
      <c r="AB17" s="106">
        <f t="shared" si="6"/>
        <v>0</v>
      </c>
      <c r="AC17" s="106">
        <f t="shared" si="7"/>
        <v>0</v>
      </c>
      <c r="AD17" s="106">
        <f t="shared" si="8"/>
        <v>0</v>
      </c>
    </row>
    <row r="18" spans="1:33">
      <c r="A18" s="165">
        <v>1</v>
      </c>
      <c r="B18" s="164" t="s">
        <v>364</v>
      </c>
      <c r="C18" s="163"/>
      <c r="D18" s="162" t="s">
        <v>85</v>
      </c>
      <c r="E18" s="158">
        <f>+総係!E18+SUM(特環:浄化!E18)-SUM('特環(共通按分後):浄化(共通按分後)'!E18)</f>
        <v>5651905</v>
      </c>
      <c r="F18" s="161">
        <f>+総係!F18+SUM(特環:浄化!F18)-SUM('特環(共通按分後):浄化(共通按分後)'!F18)</f>
        <v>0</v>
      </c>
      <c r="G18" s="160">
        <f>+総係!G18+SUM(特環:浄化!G18)-SUM('特環(共通按分後):浄化(共通按分後)'!G18)</f>
        <v>0</v>
      </c>
      <c r="H18" s="160">
        <f>+総係!H18+SUM(特環:浄化!H18)-SUM('特環(共通按分後):浄化(共通按分後)'!H18)</f>
        <v>0</v>
      </c>
      <c r="I18" s="159">
        <f>+総係!I18+SUM(特環:浄化!I18)-SUM('特環(共通按分後):浄化(共通按分後)'!I18)</f>
        <v>0</v>
      </c>
      <c r="J18" s="159">
        <f>+総係!J18+SUM(特環:浄化!J18)-SUM('特環(共通按分後):浄化(共通按分後)'!J18)</f>
        <v>141205</v>
      </c>
      <c r="K18" s="34">
        <f>+総係!K18+SUM(特環:浄化!K18)-SUM('特環(共通按分後):浄化(共通按分後)'!K18)</f>
        <v>141205</v>
      </c>
      <c r="L18" s="158">
        <f>+総係!L18+SUM(特環:浄化!L18)-SUM('特環(共通按分後):浄化(共通按分後)'!L18)</f>
        <v>5510700</v>
      </c>
      <c r="M18" s="158">
        <f>+総係!M18+SUM(特環:浄化!M18)-SUM('特環(共通按分後):浄化(共通按分後)'!M18)</f>
        <v>0</v>
      </c>
      <c r="N18" s="108">
        <f>+総係!N18+SUM(特環:浄化!N18)-SUM('特環(共通按分後):浄化(共通按分後)'!N18)</f>
        <v>0</v>
      </c>
      <c r="O18" s="25">
        <f>+総係!O18+SUM(特環:浄化!O18)-SUM('特環(共通按分後):浄化(共通按分後)'!O18)</f>
        <v>0</v>
      </c>
      <c r="P18" s="25">
        <f>+総係!P18+SUM(特環:浄化!P18)-SUM('特環(共通按分後):浄化(共通按分後)'!P18)</f>
        <v>0</v>
      </c>
      <c r="Q18" s="157">
        <f>+総係!Q18+SUM(特環:浄化!Q18)-SUM('特環(共通按分後):浄化(共通按分後)'!Q18)</f>
        <v>0</v>
      </c>
      <c r="R18" s="157">
        <f>+総係!R18+SUM(特環:浄化!R18)-SUM('特環(共通按分後):浄化(共通按分後)'!R18)</f>
        <v>12837</v>
      </c>
      <c r="S18" s="22">
        <f>+総係!S18+SUM(特環:浄化!S18)-SUM('特環(共通按分後):浄化(共通按分後)'!S18)</f>
        <v>12837</v>
      </c>
      <c r="T18" s="109">
        <f>+総係!T18+SUM(特環:浄化!T18)-SUM('特環(共通按分後):浄化(共通按分後)'!T18)</f>
        <v>5639068</v>
      </c>
      <c r="U18" s="107">
        <f t="shared" si="0"/>
        <v>0</v>
      </c>
      <c r="V18" s="107">
        <f t="shared" si="1"/>
        <v>0</v>
      </c>
      <c r="W18" s="107">
        <f t="shared" si="2"/>
        <v>0</v>
      </c>
      <c r="X18" s="107">
        <f t="shared" si="2"/>
        <v>0</v>
      </c>
      <c r="Y18" s="107">
        <f t="shared" si="3"/>
        <v>0.18181818181801646</v>
      </c>
      <c r="Z18" s="106">
        <f t="shared" si="4"/>
        <v>0</v>
      </c>
      <c r="AA18" s="106">
        <f t="shared" si="5"/>
        <v>0</v>
      </c>
      <c r="AB18" s="106">
        <f t="shared" si="6"/>
        <v>0</v>
      </c>
      <c r="AC18" s="106">
        <f t="shared" si="7"/>
        <v>0</v>
      </c>
      <c r="AD18" s="106">
        <f t="shared" si="8"/>
        <v>0</v>
      </c>
    </row>
    <row r="19" spans="1:33">
      <c r="A19" s="165">
        <v>1</v>
      </c>
      <c r="B19" s="164" t="s">
        <v>363</v>
      </c>
      <c r="C19" s="163"/>
      <c r="D19" s="162" t="s">
        <v>83</v>
      </c>
      <c r="E19" s="158">
        <f>+総係!E19+SUM(特環:浄化!E19)-SUM('特環(共通按分後):浄化(共通按分後)'!E19)</f>
        <v>34125938</v>
      </c>
      <c r="F19" s="161">
        <f>+総係!F19+SUM(特環:浄化!F19)-SUM('特環(共通按分後):浄化(共通按分後)'!F19)</f>
        <v>0</v>
      </c>
      <c r="G19" s="160">
        <f>+総係!G19+SUM(特環:浄化!G19)-SUM('特環(共通按分後):浄化(共通按分後)'!G19)</f>
        <v>0</v>
      </c>
      <c r="H19" s="160">
        <f>+総係!H19+SUM(特環:浄化!H19)-SUM('特環(共通按分後):浄化(共通按分後)'!H19)</f>
        <v>0</v>
      </c>
      <c r="I19" s="159">
        <f>+総係!I19+SUM(特環:浄化!I19)-SUM('特環(共通按分後):浄化(共通按分後)'!I19)</f>
        <v>0</v>
      </c>
      <c r="J19" s="159">
        <f>+総係!J19+SUM(特環:浄化!J19)-SUM('特環(共通按分後):浄化(共通按分後)'!J19)</f>
        <v>34096907</v>
      </c>
      <c r="K19" s="34">
        <f>+総係!K19+SUM(特環:浄化!K19)-SUM('特環(共通按分後):浄化(共通按分後)'!K19)</f>
        <v>34096907</v>
      </c>
      <c r="L19" s="158">
        <f>+総係!L19+SUM(特環:浄化!L19)-SUM('特環(共通按分後):浄化(共通按分後)'!L19)</f>
        <v>29031</v>
      </c>
      <c r="M19" s="158">
        <f>+総係!M19+SUM(特環:浄化!M19)-SUM('特環(共通按分後):浄化(共通按分後)'!M19)</f>
        <v>0</v>
      </c>
      <c r="N19" s="108">
        <f>+総係!N19+SUM(特環:浄化!N19)-SUM('特環(共通按分後):浄化(共通按分後)'!N19)</f>
        <v>0</v>
      </c>
      <c r="O19" s="25">
        <f>+総係!O19+SUM(特環:浄化!O19)-SUM('特環(共通按分後):浄化(共通按分後)'!O19)</f>
        <v>0</v>
      </c>
      <c r="P19" s="25">
        <f>+総係!P19+SUM(特環:浄化!P19)-SUM('特環(共通按分後):浄化(共通按分後)'!P19)</f>
        <v>0</v>
      </c>
      <c r="Q19" s="157">
        <f>+総係!Q19+SUM(特環:浄化!Q19)-SUM('特環(共通按分後):浄化(共通按分後)'!Q19)</f>
        <v>0</v>
      </c>
      <c r="R19" s="157">
        <f>+総係!R19+SUM(特環:浄化!R19)-SUM('特環(共通按分後):浄化(共通按分後)'!R19)</f>
        <v>3099719</v>
      </c>
      <c r="S19" s="22">
        <f>+総係!S19+SUM(特環:浄化!S19)-SUM('特環(共通按分後):浄化(共通按分後)'!S19)</f>
        <v>3099719</v>
      </c>
      <c r="T19" s="109">
        <f>+総係!T19+SUM(特環:浄化!T19)-SUM('特環(共通按分後):浄化(共通按分後)'!T19)</f>
        <v>31026219</v>
      </c>
      <c r="U19" s="107">
        <f t="shared" si="0"/>
        <v>0</v>
      </c>
      <c r="V19" s="107">
        <f t="shared" si="1"/>
        <v>0</v>
      </c>
      <c r="W19" s="107">
        <f t="shared" si="2"/>
        <v>0</v>
      </c>
      <c r="X19" s="107">
        <f t="shared" si="2"/>
        <v>0</v>
      </c>
      <c r="Y19" s="107">
        <f t="shared" si="3"/>
        <v>0.18181818164885044</v>
      </c>
      <c r="Z19" s="106">
        <f t="shared" si="4"/>
        <v>0</v>
      </c>
      <c r="AA19" s="106">
        <f t="shared" si="5"/>
        <v>0</v>
      </c>
      <c r="AB19" s="106">
        <f t="shared" si="6"/>
        <v>0</v>
      </c>
      <c r="AC19" s="106">
        <f t="shared" si="7"/>
        <v>0</v>
      </c>
      <c r="AD19" s="106">
        <f t="shared" si="8"/>
        <v>0</v>
      </c>
    </row>
    <row r="20" spans="1:33">
      <c r="A20" s="165">
        <v>1</v>
      </c>
      <c r="B20" s="164" t="s">
        <v>362</v>
      </c>
      <c r="C20" s="163"/>
      <c r="D20" s="162" t="s">
        <v>81</v>
      </c>
      <c r="E20" s="158">
        <f>+総係!E20+SUM(特環:浄化!E20)-SUM('特環(共通按分後):浄化(共通按分後)'!E20)</f>
        <v>401182988</v>
      </c>
      <c r="F20" s="161">
        <f>+総係!F20+SUM(特環:浄化!F20)-SUM('特環(共通按分後):浄化(共通按分後)'!F20)</f>
        <v>0</v>
      </c>
      <c r="G20" s="160">
        <f>+総係!G20+SUM(特環:浄化!G20)-SUM('特環(共通按分後):浄化(共通按分後)'!G20)</f>
        <v>0</v>
      </c>
      <c r="H20" s="160">
        <f>+総係!H20+SUM(特環:浄化!H20)-SUM('特環(共通按分後):浄化(共通按分後)'!H20)</f>
        <v>0</v>
      </c>
      <c r="I20" s="159">
        <f>+総係!I20+SUM(特環:浄化!I20)-SUM('特環(共通按分後):浄化(共通按分後)'!I20)</f>
        <v>0</v>
      </c>
      <c r="J20" s="159">
        <f>+総係!J20+SUM(特環:浄化!J20)-SUM('特環(共通按分後):浄化(共通按分後)'!J20)</f>
        <v>401182988</v>
      </c>
      <c r="K20" s="34">
        <f>+総係!K20+SUM(特環:浄化!K20)-SUM('特環(共通按分後):浄化(共通按分後)'!K20)</f>
        <v>401182988</v>
      </c>
      <c r="L20" s="158">
        <f>+総係!L20+SUM(特環:浄化!L20)-SUM('特環(共通按分後):浄化(共通按分後)'!L20)</f>
        <v>0</v>
      </c>
      <c r="M20" s="158">
        <f>+総係!M20+SUM(特環:浄化!M20)-SUM('特環(共通按分後):浄化(共通按分後)'!M20)</f>
        <v>0</v>
      </c>
      <c r="N20" s="108">
        <f>+総係!N20+SUM(特環:浄化!N20)-SUM('特環(共通按分後):浄化(共通按分後)'!N20)</f>
        <v>0</v>
      </c>
      <c r="O20" s="25">
        <f>+総係!O20+SUM(特環:浄化!O20)-SUM('特環(共通按分後):浄化(共通按分後)'!O20)</f>
        <v>0</v>
      </c>
      <c r="P20" s="25">
        <f>+総係!P20+SUM(特環:浄化!P20)-SUM('特環(共通按分後):浄化(共通按分後)'!P20)</f>
        <v>0</v>
      </c>
      <c r="Q20" s="157">
        <f>+総係!Q20+SUM(特環:浄化!Q20)-SUM('特環(共通按分後):浄化(共通按分後)'!Q20)</f>
        <v>0</v>
      </c>
      <c r="R20" s="157">
        <f>+総係!R20+SUM(特環:浄化!R20)-SUM('特環(共通按分後):浄化(共通按分後)'!R20)</f>
        <v>36471180</v>
      </c>
      <c r="S20" s="22">
        <f>+総係!S20+SUM(特環:浄化!S20)-SUM('特環(共通按分後):浄化(共通按分後)'!S20)</f>
        <v>36471180</v>
      </c>
      <c r="T20" s="109">
        <f>+総係!T20+SUM(特環:浄化!T20)-SUM('特環(共通按分後):浄化(共通按分後)'!T20)</f>
        <v>364711808</v>
      </c>
      <c r="U20" s="107">
        <f t="shared" si="0"/>
        <v>0</v>
      </c>
      <c r="V20" s="107">
        <f t="shared" si="1"/>
        <v>0</v>
      </c>
      <c r="W20" s="107">
        <f t="shared" si="2"/>
        <v>0</v>
      </c>
      <c r="X20" s="107">
        <f t="shared" si="2"/>
        <v>0</v>
      </c>
      <c r="Y20" s="107">
        <f t="shared" si="3"/>
        <v>-0.72727272659540176</v>
      </c>
      <c r="Z20" s="106">
        <f t="shared" si="4"/>
        <v>0</v>
      </c>
      <c r="AA20" s="106">
        <f t="shared" si="5"/>
        <v>0</v>
      </c>
      <c r="AB20" s="106">
        <f t="shared" si="6"/>
        <v>0</v>
      </c>
      <c r="AC20" s="106">
        <f t="shared" si="7"/>
        <v>0</v>
      </c>
      <c r="AD20" s="106">
        <f t="shared" si="8"/>
        <v>0</v>
      </c>
      <c r="AG20" s="2">
        <v>1</v>
      </c>
    </row>
    <row r="21" spans="1:33">
      <c r="A21" s="165">
        <v>1</v>
      </c>
      <c r="B21" s="164" t="s">
        <v>361</v>
      </c>
      <c r="C21" s="163"/>
      <c r="D21" s="162" t="s">
        <v>79</v>
      </c>
      <c r="E21" s="158">
        <f>+総係!E21+SUM(特環:浄化!E21)-SUM('特環(共通按分後):浄化(共通按分後)'!E21)</f>
        <v>29739753</v>
      </c>
      <c r="F21" s="161">
        <f>+総係!F21+SUM(特環:浄化!F21)-SUM('特環(共通按分後):浄化(共通按分後)'!F21)</f>
        <v>0</v>
      </c>
      <c r="G21" s="160">
        <f>+総係!G21+SUM(特環:浄化!G21)-SUM('特環(共通按分後):浄化(共通按分後)'!G21)</f>
        <v>0</v>
      </c>
      <c r="H21" s="160">
        <f>+総係!H21+SUM(特環:浄化!H21)-SUM('特環(共通按分後):浄化(共通按分後)'!H21)</f>
        <v>0</v>
      </c>
      <c r="I21" s="159">
        <f>+総係!I21+SUM(特環:浄化!I21)-SUM('特環(共通按分後):浄化(共通按分後)'!I21)</f>
        <v>0</v>
      </c>
      <c r="J21" s="159">
        <f>+総係!J21+SUM(特環:浄化!J21)-SUM('特環(共通按分後):浄化(共通按分後)'!J21)</f>
        <v>29739753</v>
      </c>
      <c r="K21" s="34">
        <f>+総係!K21+SUM(特環:浄化!K21)-SUM('特環(共通按分後):浄化(共通按分後)'!K21)</f>
        <v>29739753</v>
      </c>
      <c r="L21" s="158">
        <f>+総係!L21+SUM(特環:浄化!L21)-SUM('特環(共通按分後):浄化(共通按分後)'!L21)</f>
        <v>0</v>
      </c>
      <c r="M21" s="158">
        <f>+総係!M21+SUM(特環:浄化!M21)-SUM('特環(共通按分後):浄化(共通按分後)'!M21)</f>
        <v>0</v>
      </c>
      <c r="N21" s="108">
        <f>+総係!N21+SUM(特環:浄化!N21)-SUM('特環(共通按分後):浄化(共通按分後)'!N21)</f>
        <v>0</v>
      </c>
      <c r="O21" s="25">
        <f>+総係!O21+SUM(特環:浄化!O21)-SUM('特環(共通按分後):浄化(共通按分後)'!O21)</f>
        <v>0</v>
      </c>
      <c r="P21" s="25">
        <f>+総係!P21+SUM(特環:浄化!P21)-SUM('特環(共通按分後):浄化(共通按分後)'!P21)</f>
        <v>0</v>
      </c>
      <c r="Q21" s="157">
        <f>+総係!Q21+SUM(特環:浄化!Q21)-SUM('特環(共通按分後):浄化(共通按分後)'!Q21)</f>
        <v>0</v>
      </c>
      <c r="R21" s="157">
        <f>+総係!R21+SUM(特環:浄化!R21)-SUM('特環(共通按分後):浄化(共通按分後)'!R21)</f>
        <v>2703614</v>
      </c>
      <c r="S21" s="22">
        <f>+総係!S21+SUM(特環:浄化!S21)-SUM('特環(共通按分後):浄化(共通按分後)'!S21)</f>
        <v>2703614</v>
      </c>
      <c r="T21" s="109">
        <f>+総係!T21+SUM(特環:浄化!T21)-SUM('特環(共通按分後):浄化(共通按分後)'!T21)</f>
        <v>27036139</v>
      </c>
      <c r="U21" s="107">
        <f t="shared" si="0"/>
        <v>0</v>
      </c>
      <c r="V21" s="107">
        <f t="shared" si="1"/>
        <v>0</v>
      </c>
      <c r="W21" s="107">
        <f t="shared" si="2"/>
        <v>0</v>
      </c>
      <c r="X21" s="107">
        <f t="shared" si="2"/>
        <v>0</v>
      </c>
      <c r="Y21" s="107">
        <f t="shared" si="3"/>
        <v>9.090909082442522E-2</v>
      </c>
      <c r="Z21" s="106">
        <f t="shared" si="4"/>
        <v>0</v>
      </c>
      <c r="AA21" s="106">
        <f t="shared" si="5"/>
        <v>0</v>
      </c>
      <c r="AB21" s="106">
        <f t="shared" si="6"/>
        <v>0</v>
      </c>
      <c r="AC21" s="106">
        <f t="shared" si="7"/>
        <v>0</v>
      </c>
      <c r="AD21" s="106">
        <f t="shared" si="8"/>
        <v>0</v>
      </c>
    </row>
    <row r="22" spans="1:33">
      <c r="A22" s="165">
        <v>1</v>
      </c>
      <c r="B22" s="164" t="s">
        <v>360</v>
      </c>
      <c r="C22" s="163"/>
      <c r="D22" s="162" t="s">
        <v>77</v>
      </c>
      <c r="E22" s="158">
        <f>+総係!E22+SUM(特環:浄化!E22)-SUM('特環(共通按分後):浄化(共通按分後)'!E22)</f>
        <v>5509394</v>
      </c>
      <c r="F22" s="161">
        <f>+総係!F22+SUM(特環:浄化!F22)-SUM('特環(共通按分後):浄化(共通按分後)'!F22)</f>
        <v>0</v>
      </c>
      <c r="G22" s="160">
        <f>+総係!G22+SUM(特環:浄化!G22)-SUM('特環(共通按分後):浄化(共通按分後)'!G22)</f>
        <v>0</v>
      </c>
      <c r="H22" s="160">
        <f>+総係!H22+SUM(特環:浄化!H22)-SUM('特環(共通按分後):浄化(共通按分後)'!H22)</f>
        <v>0</v>
      </c>
      <c r="I22" s="159">
        <f>+総係!I22+SUM(特環:浄化!I22)-SUM('特環(共通按分後):浄化(共通按分後)'!I22)</f>
        <v>0</v>
      </c>
      <c r="J22" s="159">
        <f>+総係!J22+SUM(特環:浄化!J22)-SUM('特環(共通按分後):浄化(共通按分後)'!J22)</f>
        <v>5509394</v>
      </c>
      <c r="K22" s="34">
        <f>+総係!K22+SUM(特環:浄化!K22)-SUM('特環(共通按分後):浄化(共通按分後)'!K22)</f>
        <v>5509394</v>
      </c>
      <c r="L22" s="158">
        <f>+総係!L22+SUM(特環:浄化!L22)-SUM('特環(共通按分後):浄化(共通按分後)'!L22)</f>
        <v>0</v>
      </c>
      <c r="M22" s="158">
        <f>+総係!M22+SUM(特環:浄化!M22)-SUM('特環(共通按分後):浄化(共通按分後)'!M22)</f>
        <v>0</v>
      </c>
      <c r="N22" s="108">
        <f>+総係!N22+SUM(特環:浄化!N22)-SUM('特環(共通按分後):浄化(共通按分後)'!N22)</f>
        <v>0</v>
      </c>
      <c r="O22" s="25">
        <f>+総係!O22+SUM(特環:浄化!O22)-SUM('特環(共通按分後):浄化(共通按分後)'!O22)</f>
        <v>0</v>
      </c>
      <c r="P22" s="25">
        <f>+総係!P22+SUM(特環:浄化!P22)-SUM('特環(共通按分後):浄化(共通按分後)'!P22)</f>
        <v>0</v>
      </c>
      <c r="Q22" s="157">
        <f>+総係!Q22+SUM(特環:浄化!Q22)-SUM('特環(共通按分後):浄化(共通按分後)'!Q22)</f>
        <v>0</v>
      </c>
      <c r="R22" s="157">
        <f>+総係!R22+SUM(特環:浄化!R22)-SUM('特環(共通按分後):浄化(共通按分後)'!R22)</f>
        <v>500854</v>
      </c>
      <c r="S22" s="22">
        <f>+総係!S22+SUM(特環:浄化!S22)-SUM('特環(共通按分後):浄化(共通按分後)'!S22)</f>
        <v>500854</v>
      </c>
      <c r="T22" s="109">
        <f>+総係!T22+SUM(特環:浄化!T22)-SUM('特環(共通按分後):浄化(共通按分後)'!T22)</f>
        <v>5008540</v>
      </c>
      <c r="U22" s="107">
        <f t="shared" si="0"/>
        <v>0</v>
      </c>
      <c r="V22" s="107">
        <f t="shared" si="1"/>
        <v>0</v>
      </c>
      <c r="W22" s="107">
        <f t="shared" si="2"/>
        <v>0</v>
      </c>
      <c r="X22" s="107">
        <f t="shared" si="2"/>
        <v>0</v>
      </c>
      <c r="Y22" s="107">
        <f t="shared" si="3"/>
        <v>0</v>
      </c>
      <c r="Z22" s="106">
        <f t="shared" si="4"/>
        <v>0</v>
      </c>
      <c r="AA22" s="106">
        <f t="shared" si="5"/>
        <v>0</v>
      </c>
      <c r="AB22" s="106">
        <f t="shared" si="6"/>
        <v>0</v>
      </c>
      <c r="AC22" s="106">
        <f t="shared" si="7"/>
        <v>0</v>
      </c>
      <c r="AD22" s="106">
        <f t="shared" si="8"/>
        <v>0</v>
      </c>
    </row>
    <row r="23" spans="1:33">
      <c r="A23" s="165">
        <v>1</v>
      </c>
      <c r="B23" s="164" t="s">
        <v>359</v>
      </c>
      <c r="C23" s="163"/>
      <c r="D23" s="162" t="s">
        <v>75</v>
      </c>
      <c r="E23" s="158">
        <f>+総係!E23+SUM(特環:浄化!E23)-SUM('特環(共通按分後):浄化(共通按分後)'!E23)</f>
        <v>23561045</v>
      </c>
      <c r="F23" s="161">
        <f>+総係!F23+SUM(特環:浄化!F23)-SUM('特環(共通按分後):浄化(共通按分後)'!F23)</f>
        <v>0</v>
      </c>
      <c r="G23" s="160">
        <f>+総係!G23+SUM(特環:浄化!G23)-SUM('特環(共通按分後):浄化(共通按分後)'!G23)</f>
        <v>0</v>
      </c>
      <c r="H23" s="160">
        <f>+総係!H23+SUM(特環:浄化!H23)-SUM('特環(共通按分後):浄化(共通按分後)'!H23)</f>
        <v>0</v>
      </c>
      <c r="I23" s="159">
        <f>+総係!I23+SUM(特環:浄化!I23)-SUM('特環(共通按分後):浄化(共通按分後)'!I23)</f>
        <v>0</v>
      </c>
      <c r="J23" s="159">
        <f>+総係!J23+SUM(特環:浄化!J23)-SUM('特環(共通按分後):浄化(共通按分後)'!J23)</f>
        <v>23561045</v>
      </c>
      <c r="K23" s="34">
        <f>+総係!K23+SUM(特環:浄化!K23)-SUM('特環(共通按分後):浄化(共通按分後)'!K23)</f>
        <v>23561045</v>
      </c>
      <c r="L23" s="158">
        <f>+総係!L23+SUM(特環:浄化!L23)-SUM('特環(共通按分後):浄化(共通按分後)'!L23)</f>
        <v>0</v>
      </c>
      <c r="M23" s="158">
        <f>+総係!M23+SUM(特環:浄化!M23)-SUM('特環(共通按分後):浄化(共通按分後)'!M23)</f>
        <v>0</v>
      </c>
      <c r="N23" s="108">
        <f>+総係!N23+SUM(特環:浄化!N23)-SUM('特環(共通按分後):浄化(共通按分後)'!N23)</f>
        <v>0</v>
      </c>
      <c r="O23" s="25">
        <f>+総係!O23+SUM(特環:浄化!O23)-SUM('特環(共通按分後):浄化(共通按分後)'!O23)</f>
        <v>0</v>
      </c>
      <c r="P23" s="25">
        <f>+総係!P23+SUM(特環:浄化!P23)-SUM('特環(共通按分後):浄化(共通按分後)'!P23)</f>
        <v>0</v>
      </c>
      <c r="Q23" s="157">
        <f>+総係!Q23+SUM(特環:浄化!Q23)-SUM('特環(共通按分後):浄化(共通按分後)'!Q23)</f>
        <v>0</v>
      </c>
      <c r="R23" s="157">
        <f>+総係!R23+SUM(特環:浄化!R23)-SUM('特環(共通按分後):浄化(共通按分後)'!R23)</f>
        <v>2141913</v>
      </c>
      <c r="S23" s="22">
        <f>+総係!S23+SUM(特環:浄化!S23)-SUM('特環(共通按分後):浄化(共通按分後)'!S23)</f>
        <v>2141913</v>
      </c>
      <c r="T23" s="109">
        <f>+総係!T23+SUM(特環:浄化!T23)-SUM('特環(共通按分後):浄化(共通按分後)'!T23)</f>
        <v>21419132</v>
      </c>
      <c r="U23" s="107">
        <f t="shared" si="0"/>
        <v>0</v>
      </c>
      <c r="V23" s="107">
        <f t="shared" si="1"/>
        <v>0</v>
      </c>
      <c r="W23" s="107">
        <f t="shared" si="2"/>
        <v>0</v>
      </c>
      <c r="X23" s="107">
        <f t="shared" si="2"/>
        <v>0</v>
      </c>
      <c r="Y23" s="107">
        <f t="shared" si="3"/>
        <v>-0.18181818164885044</v>
      </c>
      <c r="Z23" s="106">
        <f t="shared" si="4"/>
        <v>0</v>
      </c>
      <c r="AA23" s="106">
        <f t="shared" si="5"/>
        <v>0</v>
      </c>
      <c r="AB23" s="106">
        <f t="shared" si="6"/>
        <v>0</v>
      </c>
      <c r="AC23" s="106">
        <f t="shared" si="7"/>
        <v>0</v>
      </c>
      <c r="AD23" s="106">
        <f t="shared" si="8"/>
        <v>0</v>
      </c>
    </row>
    <row r="24" spans="1:33">
      <c r="A24" s="165">
        <v>1</v>
      </c>
      <c r="B24" s="164" t="s">
        <v>358</v>
      </c>
      <c r="C24" s="163"/>
      <c r="D24" s="162" t="s">
        <v>73</v>
      </c>
      <c r="E24" s="158">
        <f>+総係!E24+SUM(特環:浄化!E24)-SUM('特環(共通按分後):浄化(共通按分後)'!E24)</f>
        <v>0</v>
      </c>
      <c r="F24" s="161">
        <f>+総係!F24+SUM(特環:浄化!F24)-SUM('特環(共通按分後):浄化(共通按分後)'!F24)</f>
        <v>0</v>
      </c>
      <c r="G24" s="160">
        <f>+総係!G24+SUM(特環:浄化!G24)-SUM('特環(共通按分後):浄化(共通按分後)'!G24)</f>
        <v>0</v>
      </c>
      <c r="H24" s="160">
        <f>+総係!H24+SUM(特環:浄化!H24)-SUM('特環(共通按分後):浄化(共通按分後)'!H24)</f>
        <v>0</v>
      </c>
      <c r="I24" s="159">
        <f>+総係!I24+SUM(特環:浄化!I24)-SUM('特環(共通按分後):浄化(共通按分後)'!I24)</f>
        <v>0</v>
      </c>
      <c r="J24" s="159">
        <f>+総係!J24+SUM(特環:浄化!J24)-SUM('特環(共通按分後):浄化(共通按分後)'!J24)</f>
        <v>0</v>
      </c>
      <c r="K24" s="34">
        <f>+総係!K24+SUM(特環:浄化!K24)-SUM('特環(共通按分後):浄化(共通按分後)'!K24)</f>
        <v>0</v>
      </c>
      <c r="L24" s="158">
        <f>+総係!L24+SUM(特環:浄化!L24)-SUM('特環(共通按分後):浄化(共通按分後)'!L24)</f>
        <v>0</v>
      </c>
      <c r="M24" s="158">
        <f>+総係!M24+SUM(特環:浄化!M24)-SUM('特環(共通按分後):浄化(共通按分後)'!M24)</f>
        <v>0</v>
      </c>
      <c r="N24" s="108">
        <f>+総係!N24+SUM(特環:浄化!N24)-SUM('特環(共通按分後):浄化(共通按分後)'!N24)</f>
        <v>0</v>
      </c>
      <c r="O24" s="25">
        <f>+総係!O24+SUM(特環:浄化!O24)-SUM('特環(共通按分後):浄化(共通按分後)'!O24)</f>
        <v>0</v>
      </c>
      <c r="P24" s="25">
        <f>+総係!P24+SUM(特環:浄化!P24)-SUM('特環(共通按分後):浄化(共通按分後)'!P24)</f>
        <v>0</v>
      </c>
      <c r="Q24" s="157">
        <f>+総係!Q24+SUM(特環:浄化!Q24)-SUM('特環(共通按分後):浄化(共通按分後)'!Q24)</f>
        <v>0</v>
      </c>
      <c r="R24" s="157">
        <f>+総係!R24+SUM(特環:浄化!R24)-SUM('特環(共通按分後):浄化(共通按分後)'!R24)</f>
        <v>0</v>
      </c>
      <c r="S24" s="22">
        <f>+総係!S24+SUM(特環:浄化!S24)-SUM('特環(共通按分後):浄化(共通按分後)'!S24)</f>
        <v>0</v>
      </c>
      <c r="T24" s="109">
        <f>+総係!T24+SUM(特環:浄化!T24)-SUM('特環(共通按分後):浄化(共通按分後)'!T24)</f>
        <v>0</v>
      </c>
      <c r="U24" s="107">
        <f t="shared" si="0"/>
        <v>0</v>
      </c>
      <c r="V24" s="107">
        <f t="shared" si="1"/>
        <v>0</v>
      </c>
      <c r="W24" s="107">
        <f t="shared" si="2"/>
        <v>0</v>
      </c>
      <c r="X24" s="107">
        <f t="shared" si="2"/>
        <v>0</v>
      </c>
      <c r="Y24" s="107">
        <f t="shared" si="3"/>
        <v>0</v>
      </c>
      <c r="Z24" s="106">
        <f t="shared" si="4"/>
        <v>0</v>
      </c>
      <c r="AA24" s="106">
        <f t="shared" si="5"/>
        <v>0</v>
      </c>
      <c r="AB24" s="106">
        <f t="shared" si="6"/>
        <v>0</v>
      </c>
      <c r="AC24" s="106">
        <f t="shared" si="7"/>
        <v>0</v>
      </c>
      <c r="AD24" s="106">
        <f t="shared" si="8"/>
        <v>0</v>
      </c>
    </row>
    <row r="25" spans="1:33">
      <c r="A25" s="165">
        <v>1</v>
      </c>
      <c r="B25" s="164" t="s">
        <v>356</v>
      </c>
      <c r="C25" s="163" t="s">
        <v>357</v>
      </c>
      <c r="D25" s="162" t="s">
        <v>71</v>
      </c>
      <c r="E25" s="158">
        <f>+総係!E25+SUM(特環:浄化!E25)-SUM('特環(共通按分後):浄化(共通按分後)'!E25)</f>
        <v>39778</v>
      </c>
      <c r="F25" s="161">
        <f>+総係!F25+SUM(特環:浄化!F25)-SUM('特環(共通按分後):浄化(共通按分後)'!F25)</f>
        <v>0</v>
      </c>
      <c r="G25" s="160">
        <f>+総係!G25+SUM(特環:浄化!G25)-SUM('特環(共通按分後):浄化(共通按分後)'!G25)</f>
        <v>0</v>
      </c>
      <c r="H25" s="160">
        <f>+総係!H25+SUM(特環:浄化!H25)-SUM('特環(共通按分後):浄化(共通按分後)'!H25)</f>
        <v>0</v>
      </c>
      <c r="I25" s="159">
        <f>+総係!I25+SUM(特環:浄化!I25)-SUM('特環(共通按分後):浄化(共通按分後)'!I25)</f>
        <v>0</v>
      </c>
      <c r="J25" s="159">
        <f>+総係!J25+SUM(特環:浄化!J25)-SUM('特環(共通按分後):浄化(共通按分後)'!J25)</f>
        <v>39778</v>
      </c>
      <c r="K25" s="34">
        <f>+総係!K25+SUM(特環:浄化!K25)-SUM('特環(共通按分後):浄化(共通按分後)'!K25)</f>
        <v>39778</v>
      </c>
      <c r="L25" s="158">
        <f>+総係!L25+SUM(特環:浄化!L25)-SUM('特環(共通按分後):浄化(共通按分後)'!L25)</f>
        <v>0</v>
      </c>
      <c r="M25" s="158">
        <f>+総係!M25+SUM(特環:浄化!M25)-SUM('特環(共通按分後):浄化(共通按分後)'!M25)</f>
        <v>0</v>
      </c>
      <c r="N25" s="108">
        <f>+総係!N25+SUM(特環:浄化!N25)-SUM('特環(共通按分後):浄化(共通按分後)'!N25)</f>
        <v>0</v>
      </c>
      <c r="O25" s="25">
        <f>+総係!O25+SUM(特環:浄化!O25)-SUM('特環(共通按分後):浄化(共通按分後)'!O25)</f>
        <v>0</v>
      </c>
      <c r="P25" s="25">
        <f>+総係!P25+SUM(特環:浄化!P25)-SUM('特環(共通按分後):浄化(共通按分後)'!P25)</f>
        <v>0</v>
      </c>
      <c r="Q25" s="157">
        <f>+総係!Q25+SUM(特環:浄化!Q25)-SUM('特環(共通按分後):浄化(共通按分後)'!Q25)</f>
        <v>0</v>
      </c>
      <c r="R25" s="157">
        <f>+総係!R25+SUM(特環:浄化!R25)-SUM('特環(共通按分後):浄化(共通按分後)'!R25)</f>
        <v>3616</v>
      </c>
      <c r="S25" s="22">
        <f>+総係!S25+SUM(特環:浄化!S25)-SUM('特環(共通按分後):浄化(共通按分後)'!S25)</f>
        <v>3616</v>
      </c>
      <c r="T25" s="109">
        <f>+総係!T25+SUM(特環:浄化!T25)-SUM('特環(共通按分後):浄化(共通按分後)'!T25)</f>
        <v>36162</v>
      </c>
      <c r="U25" s="107">
        <f t="shared" si="0"/>
        <v>0</v>
      </c>
      <c r="V25" s="107">
        <f t="shared" si="1"/>
        <v>0</v>
      </c>
      <c r="W25" s="107">
        <f t="shared" si="2"/>
        <v>0</v>
      </c>
      <c r="X25" s="107">
        <f t="shared" si="2"/>
        <v>0</v>
      </c>
      <c r="Y25" s="107">
        <f t="shared" si="3"/>
        <v>-0.18181818181801646</v>
      </c>
      <c r="Z25" s="106">
        <f t="shared" si="4"/>
        <v>0</v>
      </c>
      <c r="AA25" s="106">
        <f t="shared" si="5"/>
        <v>0</v>
      </c>
      <c r="AB25" s="106">
        <f t="shared" si="6"/>
        <v>0</v>
      </c>
      <c r="AC25" s="106">
        <f t="shared" si="7"/>
        <v>0</v>
      </c>
      <c r="AD25" s="106">
        <f t="shared" si="8"/>
        <v>0</v>
      </c>
    </row>
    <row r="26" spans="1:33">
      <c r="A26" s="165">
        <v>1</v>
      </c>
      <c r="B26" s="164" t="s">
        <v>356</v>
      </c>
      <c r="C26" s="163" t="s">
        <v>355</v>
      </c>
      <c r="D26" s="162" t="s">
        <v>68</v>
      </c>
      <c r="E26" s="158">
        <f>+総係!E26+SUM(特環:浄化!E26)-SUM('特環(共通按分後):浄化(共通按分後)'!E26)</f>
        <v>0</v>
      </c>
      <c r="F26" s="161">
        <f>+総係!F26+SUM(特環:浄化!F26)-SUM('特環(共通按分後):浄化(共通按分後)'!F26)</f>
        <v>0</v>
      </c>
      <c r="G26" s="160">
        <f>+総係!G26+SUM(特環:浄化!G26)-SUM('特環(共通按分後):浄化(共通按分後)'!G26)</f>
        <v>0</v>
      </c>
      <c r="H26" s="160">
        <f>+総係!H26+SUM(特環:浄化!H26)-SUM('特環(共通按分後):浄化(共通按分後)'!H26)</f>
        <v>0</v>
      </c>
      <c r="I26" s="159">
        <f>+総係!I26+SUM(特環:浄化!I26)-SUM('特環(共通按分後):浄化(共通按分後)'!I26)</f>
        <v>0</v>
      </c>
      <c r="J26" s="159">
        <f>+総係!J26+SUM(特環:浄化!J26)-SUM('特環(共通按分後):浄化(共通按分後)'!J26)</f>
        <v>0</v>
      </c>
      <c r="K26" s="34">
        <f>+総係!K26+SUM(特環:浄化!K26)-SUM('特環(共通按分後):浄化(共通按分後)'!K26)</f>
        <v>0</v>
      </c>
      <c r="L26" s="158">
        <f>+総係!L26+SUM(特環:浄化!L26)-SUM('特環(共通按分後):浄化(共通按分後)'!L26)</f>
        <v>0</v>
      </c>
      <c r="M26" s="158">
        <f>+総係!M26+SUM(特環:浄化!M26)-SUM('特環(共通按分後):浄化(共通按分後)'!M26)</f>
        <v>0</v>
      </c>
      <c r="N26" s="108">
        <f>+総係!N26+SUM(特環:浄化!N26)-SUM('特環(共通按分後):浄化(共通按分後)'!N26)</f>
        <v>0</v>
      </c>
      <c r="O26" s="25">
        <f>+総係!O26+SUM(特環:浄化!O26)-SUM('特環(共通按分後):浄化(共通按分後)'!O26)</f>
        <v>0</v>
      </c>
      <c r="P26" s="25">
        <f>+総係!P26+SUM(特環:浄化!P26)-SUM('特環(共通按分後):浄化(共通按分後)'!P26)</f>
        <v>0</v>
      </c>
      <c r="Q26" s="157">
        <f>+総係!Q26+SUM(特環:浄化!Q26)-SUM('特環(共通按分後):浄化(共通按分後)'!Q26)</f>
        <v>0</v>
      </c>
      <c r="R26" s="157">
        <f>+総係!R26+SUM(特環:浄化!R26)-SUM('特環(共通按分後):浄化(共通按分後)'!R26)</f>
        <v>0</v>
      </c>
      <c r="S26" s="22">
        <f>+総係!S26+SUM(特環:浄化!S26)-SUM('特環(共通按分後):浄化(共通按分後)'!S26)</f>
        <v>0</v>
      </c>
      <c r="T26" s="109">
        <f>+総係!T26+SUM(特環:浄化!T26)-SUM('特環(共通按分後):浄化(共通按分後)'!T26)</f>
        <v>0</v>
      </c>
      <c r="U26" s="107">
        <f t="shared" si="0"/>
        <v>0</v>
      </c>
      <c r="V26" s="107">
        <f t="shared" si="1"/>
        <v>0</v>
      </c>
      <c r="W26" s="107">
        <f t="shared" si="2"/>
        <v>0</v>
      </c>
      <c r="X26" s="107">
        <f t="shared" si="2"/>
        <v>0</v>
      </c>
      <c r="Y26" s="107">
        <f t="shared" si="3"/>
        <v>0</v>
      </c>
      <c r="Z26" s="106">
        <f t="shared" si="4"/>
        <v>0</v>
      </c>
      <c r="AA26" s="106">
        <f t="shared" si="5"/>
        <v>0</v>
      </c>
      <c r="AB26" s="106">
        <f t="shared" si="6"/>
        <v>0</v>
      </c>
      <c r="AC26" s="106">
        <f t="shared" si="7"/>
        <v>0</v>
      </c>
      <c r="AD26" s="106">
        <f t="shared" si="8"/>
        <v>0</v>
      </c>
    </row>
    <row r="27" spans="1:33">
      <c r="A27" s="165">
        <v>1</v>
      </c>
      <c r="B27" s="164" t="s">
        <v>354</v>
      </c>
      <c r="C27" s="163"/>
      <c r="D27" s="162" t="s">
        <v>66</v>
      </c>
      <c r="E27" s="158">
        <f>+総係!E27+SUM(特環:浄化!E27)-SUM('特環(共通按分後):浄化(共通按分後)'!E27)</f>
        <v>0</v>
      </c>
      <c r="F27" s="161">
        <f>+総係!F27+SUM(特環:浄化!F27)-SUM('特環(共通按分後):浄化(共通按分後)'!F27)</f>
        <v>0</v>
      </c>
      <c r="G27" s="160">
        <f>+総係!G27+SUM(特環:浄化!G27)-SUM('特環(共通按分後):浄化(共通按分後)'!G27)</f>
        <v>0</v>
      </c>
      <c r="H27" s="160">
        <f>+総係!H27+SUM(特環:浄化!H27)-SUM('特環(共通按分後):浄化(共通按分後)'!H27)</f>
        <v>0</v>
      </c>
      <c r="I27" s="159">
        <f>+総係!I27+SUM(特環:浄化!I27)-SUM('特環(共通按分後):浄化(共通按分後)'!I27)</f>
        <v>0</v>
      </c>
      <c r="J27" s="159">
        <f>+総係!J27+SUM(特環:浄化!J27)-SUM('特環(共通按分後):浄化(共通按分後)'!J27)</f>
        <v>0</v>
      </c>
      <c r="K27" s="34">
        <f>+総係!K27+SUM(特環:浄化!K27)-SUM('特環(共通按分後):浄化(共通按分後)'!K27)</f>
        <v>0</v>
      </c>
      <c r="L27" s="158">
        <f>+総係!L27+SUM(特環:浄化!L27)-SUM('特環(共通按分後):浄化(共通按分後)'!L27)</f>
        <v>0</v>
      </c>
      <c r="M27" s="158">
        <f>+総係!M27+SUM(特環:浄化!M27)-SUM('特環(共通按分後):浄化(共通按分後)'!M27)</f>
        <v>0</v>
      </c>
      <c r="N27" s="108">
        <f>+総係!N27+SUM(特環:浄化!N27)-SUM('特環(共通按分後):浄化(共通按分後)'!N27)</f>
        <v>0</v>
      </c>
      <c r="O27" s="25">
        <f>+総係!O27+SUM(特環:浄化!O27)-SUM('特環(共通按分後):浄化(共通按分後)'!O27)</f>
        <v>0</v>
      </c>
      <c r="P27" s="25">
        <f>+総係!P27+SUM(特環:浄化!P27)-SUM('特環(共通按分後):浄化(共通按分後)'!P27)</f>
        <v>0</v>
      </c>
      <c r="Q27" s="157">
        <f>+総係!Q27+SUM(特環:浄化!Q27)-SUM('特環(共通按分後):浄化(共通按分後)'!Q27)</f>
        <v>0</v>
      </c>
      <c r="R27" s="157">
        <f>+総係!R27+SUM(特環:浄化!R27)-SUM('特環(共通按分後):浄化(共通按分後)'!R27)</f>
        <v>0</v>
      </c>
      <c r="S27" s="22">
        <f>+総係!S27+SUM(特環:浄化!S27)-SUM('特環(共通按分後):浄化(共通按分後)'!S27)</f>
        <v>0</v>
      </c>
      <c r="T27" s="109">
        <f>+総係!T27+SUM(特環:浄化!T27)-SUM('特環(共通按分後):浄化(共通按分後)'!T27)</f>
        <v>0</v>
      </c>
      <c r="U27" s="107">
        <f t="shared" si="0"/>
        <v>0</v>
      </c>
      <c r="V27" s="107">
        <f t="shared" si="1"/>
        <v>0</v>
      </c>
      <c r="W27" s="107">
        <f t="shared" si="2"/>
        <v>0</v>
      </c>
      <c r="X27" s="107">
        <f t="shared" si="2"/>
        <v>0</v>
      </c>
      <c r="Y27" s="107">
        <f t="shared" si="3"/>
        <v>0</v>
      </c>
      <c r="Z27" s="106">
        <f t="shared" si="4"/>
        <v>0</v>
      </c>
      <c r="AA27" s="106">
        <f t="shared" si="5"/>
        <v>0</v>
      </c>
      <c r="AB27" s="106">
        <f t="shared" si="6"/>
        <v>0</v>
      </c>
      <c r="AC27" s="106">
        <f t="shared" si="7"/>
        <v>0</v>
      </c>
      <c r="AD27" s="106">
        <f t="shared" si="8"/>
        <v>0</v>
      </c>
    </row>
    <row r="28" spans="1:33">
      <c r="A28" s="165">
        <v>1</v>
      </c>
      <c r="B28" s="164" t="s">
        <v>353</v>
      </c>
      <c r="C28" s="163"/>
      <c r="D28" s="162" t="s">
        <v>64</v>
      </c>
      <c r="E28" s="158">
        <f>+総係!E28+SUM(特環:浄化!E28)-SUM('特環(共通按分後):浄化(共通按分後)'!E28)</f>
        <v>0</v>
      </c>
      <c r="F28" s="161">
        <f>+総係!F28+SUM(特環:浄化!F28)-SUM('特環(共通按分後):浄化(共通按分後)'!F28)</f>
        <v>0</v>
      </c>
      <c r="G28" s="160">
        <f>+総係!G28+SUM(特環:浄化!G28)-SUM('特環(共通按分後):浄化(共通按分後)'!G28)</f>
        <v>0</v>
      </c>
      <c r="H28" s="160">
        <f>+総係!H28+SUM(特環:浄化!H28)-SUM('特環(共通按分後):浄化(共通按分後)'!H28)</f>
        <v>0</v>
      </c>
      <c r="I28" s="159">
        <f>+総係!I28+SUM(特環:浄化!I28)-SUM('特環(共通按分後):浄化(共通按分後)'!I28)</f>
        <v>0</v>
      </c>
      <c r="J28" s="159">
        <f>+総係!J28+SUM(特環:浄化!J28)-SUM('特環(共通按分後):浄化(共通按分後)'!J28)</f>
        <v>0</v>
      </c>
      <c r="K28" s="34">
        <f>+総係!K28+SUM(特環:浄化!K28)-SUM('特環(共通按分後):浄化(共通按分後)'!K28)</f>
        <v>0</v>
      </c>
      <c r="L28" s="158">
        <f>+総係!L28+SUM(特環:浄化!L28)-SUM('特環(共通按分後):浄化(共通按分後)'!L28)</f>
        <v>0</v>
      </c>
      <c r="M28" s="158">
        <f>+総係!M28+SUM(特環:浄化!M28)-SUM('特環(共通按分後):浄化(共通按分後)'!M28)</f>
        <v>0</v>
      </c>
      <c r="N28" s="108">
        <f>+総係!N28+SUM(特環:浄化!N28)-SUM('特環(共通按分後):浄化(共通按分後)'!N28)</f>
        <v>0</v>
      </c>
      <c r="O28" s="25">
        <f>+総係!O28+SUM(特環:浄化!O28)-SUM('特環(共通按分後):浄化(共通按分後)'!O28)</f>
        <v>0</v>
      </c>
      <c r="P28" s="25">
        <f>+総係!P28+SUM(特環:浄化!P28)-SUM('特環(共通按分後):浄化(共通按分後)'!P28)</f>
        <v>0</v>
      </c>
      <c r="Q28" s="157">
        <f>+総係!Q28+SUM(特環:浄化!Q28)-SUM('特環(共通按分後):浄化(共通按分後)'!Q28)</f>
        <v>0</v>
      </c>
      <c r="R28" s="157">
        <f>+総係!R28+SUM(特環:浄化!R28)-SUM('特環(共通按分後):浄化(共通按分後)'!R28)</f>
        <v>0</v>
      </c>
      <c r="S28" s="22">
        <f>+総係!S28+SUM(特環:浄化!S28)-SUM('特環(共通按分後):浄化(共通按分後)'!S28)</f>
        <v>0</v>
      </c>
      <c r="T28" s="109">
        <f>+総係!T28+SUM(特環:浄化!T28)-SUM('特環(共通按分後):浄化(共通按分後)'!T28)</f>
        <v>0</v>
      </c>
      <c r="U28" s="107">
        <f t="shared" si="0"/>
        <v>0</v>
      </c>
      <c r="V28" s="107">
        <f t="shared" si="1"/>
        <v>0</v>
      </c>
      <c r="W28" s="107">
        <f t="shared" si="2"/>
        <v>0</v>
      </c>
      <c r="X28" s="107">
        <f t="shared" si="2"/>
        <v>0</v>
      </c>
      <c r="Y28" s="107">
        <f t="shared" si="3"/>
        <v>0</v>
      </c>
      <c r="Z28" s="106">
        <f t="shared" si="4"/>
        <v>0</v>
      </c>
      <c r="AA28" s="106">
        <f t="shared" si="5"/>
        <v>0</v>
      </c>
      <c r="AB28" s="106">
        <f t="shared" si="6"/>
        <v>0</v>
      </c>
      <c r="AC28" s="106">
        <f t="shared" si="7"/>
        <v>0</v>
      </c>
      <c r="AD28" s="106">
        <f t="shared" si="8"/>
        <v>0</v>
      </c>
    </row>
    <row r="29" spans="1:33">
      <c r="A29" s="165">
        <v>1</v>
      </c>
      <c r="B29" s="164" t="s">
        <v>352</v>
      </c>
      <c r="C29" s="163"/>
      <c r="D29" s="162" t="s">
        <v>62</v>
      </c>
      <c r="E29" s="158">
        <f>+総係!E29+SUM(特環:浄化!E29)-SUM('特環(共通按分後):浄化(共通按分後)'!E29)</f>
        <v>115985057</v>
      </c>
      <c r="F29" s="161">
        <f>+総係!F29+SUM(特環:浄化!F29)-SUM('特環(共通按分後):浄化(共通按分後)'!F29)</f>
        <v>0</v>
      </c>
      <c r="G29" s="160">
        <f>+総係!G29+SUM(特環:浄化!G29)-SUM('特環(共通按分後):浄化(共通按分後)'!G29)</f>
        <v>0</v>
      </c>
      <c r="H29" s="160">
        <f>+総係!H29+SUM(特環:浄化!H29)-SUM('特環(共通按分後):浄化(共通按分後)'!H29)</f>
        <v>0</v>
      </c>
      <c r="I29" s="159">
        <f>+総係!I29+SUM(特環:浄化!I29)-SUM('特環(共通按分後):浄化(共通按分後)'!I29)</f>
        <v>0</v>
      </c>
      <c r="J29" s="159">
        <f>+総係!J29+SUM(特環:浄化!J29)-SUM('特環(共通按分後):浄化(共通按分後)'!J29)</f>
        <v>110424827</v>
      </c>
      <c r="K29" s="34">
        <f>+総係!K29+SUM(特環:浄化!K29)-SUM('特環(共通按分後):浄化(共通按分後)'!K29)</f>
        <v>110424827</v>
      </c>
      <c r="L29" s="158">
        <f>+総係!L29+SUM(特環:浄化!L29)-SUM('特環(共通按分後):浄化(共通按分後)'!L29)</f>
        <v>0</v>
      </c>
      <c r="M29" s="158">
        <f>+総係!M29+SUM(特環:浄化!M29)-SUM('特環(共通按分後):浄化(共通按分後)'!M29)</f>
        <v>5560230</v>
      </c>
      <c r="N29" s="108">
        <f>+総係!N29+SUM(特環:浄化!N29)-SUM('特環(共通按分後):浄化(共通按分後)'!N29)</f>
        <v>0</v>
      </c>
      <c r="O29" s="25">
        <f>+総係!O29+SUM(特環:浄化!O29)-SUM('特環(共通按分後):浄化(共通按分後)'!O29)</f>
        <v>0</v>
      </c>
      <c r="P29" s="25">
        <f>+総係!P29+SUM(特環:浄化!P29)-SUM('特環(共通按分後):浄化(共通按分後)'!P29)</f>
        <v>0</v>
      </c>
      <c r="Q29" s="157">
        <f>+総係!Q29+SUM(特環:浄化!Q29)-SUM('特環(共通按分後):浄化(共通按分後)'!Q29)</f>
        <v>0</v>
      </c>
      <c r="R29" s="157">
        <f>+総係!R29+SUM(特環:浄化!R29)-SUM('特環(共通按分後):浄化(共通按分後)'!R29)</f>
        <v>10038621</v>
      </c>
      <c r="S29" s="22">
        <f>+総係!S29+SUM(特環:浄化!S29)-SUM('特環(共通按分後):浄化(共通按分後)'!S29)</f>
        <v>10038621</v>
      </c>
      <c r="T29" s="109">
        <f>+総係!T29+SUM(特環:浄化!T29)-SUM('特環(共通按分後):浄化(共通按分後)'!T29)</f>
        <v>105946436</v>
      </c>
      <c r="U29" s="107">
        <f t="shared" si="0"/>
        <v>0</v>
      </c>
      <c r="V29" s="107">
        <f t="shared" si="1"/>
        <v>0</v>
      </c>
      <c r="W29" s="107">
        <f t="shared" si="2"/>
        <v>0</v>
      </c>
      <c r="X29" s="107">
        <f t="shared" si="2"/>
        <v>0</v>
      </c>
      <c r="Y29" s="107">
        <f t="shared" si="3"/>
        <v>0.36363636329770088</v>
      </c>
      <c r="Z29" s="106">
        <f t="shared" si="4"/>
        <v>0</v>
      </c>
      <c r="AA29" s="106">
        <f t="shared" si="5"/>
        <v>0</v>
      </c>
      <c r="AB29" s="106">
        <f t="shared" si="6"/>
        <v>0</v>
      </c>
      <c r="AC29" s="106">
        <f t="shared" si="7"/>
        <v>0</v>
      </c>
      <c r="AD29" s="106">
        <f t="shared" si="8"/>
        <v>0</v>
      </c>
    </row>
    <row r="30" spans="1:33">
      <c r="A30" s="165"/>
      <c r="B30" s="164">
        <v>8831636</v>
      </c>
      <c r="C30" s="163"/>
      <c r="D30" s="162" t="s">
        <v>868</v>
      </c>
      <c r="E30" s="158">
        <f>+総係!E30+SUM(特環:浄化!E30)-SUM('特環(共通按分後):浄化(共通按分後)'!E30)</f>
        <v>3000</v>
      </c>
      <c r="F30" s="161">
        <f>+総係!F30+SUM(特環:浄化!F30)-SUM('特環(共通按分後):浄化(共通按分後)'!F30)</f>
        <v>0</v>
      </c>
      <c r="G30" s="160">
        <f>+総係!G30+SUM(特環:浄化!G30)-SUM('特環(共通按分後):浄化(共通按分後)'!G30)</f>
        <v>0</v>
      </c>
      <c r="H30" s="160">
        <f>+総係!H30+SUM(特環:浄化!H30)-SUM('特環(共通按分後):浄化(共通按分後)'!H30)</f>
        <v>0</v>
      </c>
      <c r="I30" s="159">
        <f>+総係!I30+SUM(特環:浄化!I30)-SUM('特環(共通按分後):浄化(共通按分後)'!I30)</f>
        <v>0</v>
      </c>
      <c r="J30" s="159">
        <f>+総係!J30+SUM(特環:浄化!J30)-SUM('特環(共通按分後):浄化(共通按分後)'!J30)</f>
        <v>3000</v>
      </c>
      <c r="K30" s="34">
        <f>+総係!K30+SUM(特環:浄化!K30)-SUM('特環(共通按分後):浄化(共通按分後)'!K30)</f>
        <v>3000</v>
      </c>
      <c r="L30" s="158">
        <f>+総係!L30+SUM(特環:浄化!L30)-SUM('特環(共通按分後):浄化(共通按分後)'!L30)</f>
        <v>0</v>
      </c>
      <c r="M30" s="158">
        <f>+総係!M30+SUM(特環:浄化!M30)-SUM('特環(共通按分後):浄化(共通按分後)'!M30)</f>
        <v>0</v>
      </c>
      <c r="N30" s="108">
        <f>+総係!N30+SUM(特環:浄化!N30)-SUM('特環(共通按分後):浄化(共通按分後)'!N30)</f>
        <v>0</v>
      </c>
      <c r="O30" s="25">
        <f>+総係!O30+SUM(特環:浄化!O30)-SUM('特環(共通按分後):浄化(共通按分後)'!O30)</f>
        <v>0</v>
      </c>
      <c r="P30" s="25">
        <f>+総係!P30+SUM(特環:浄化!P30)-SUM('特環(共通按分後):浄化(共通按分後)'!P30)</f>
        <v>0</v>
      </c>
      <c r="Q30" s="157">
        <f>+総係!Q30+SUM(特環:浄化!Q30)-SUM('特環(共通按分後):浄化(共通按分後)'!Q30)</f>
        <v>0</v>
      </c>
      <c r="R30" s="157">
        <f>+総係!R30+SUM(特環:浄化!R30)-SUM('特環(共通按分後):浄化(共通按分後)'!R30)</f>
        <v>273</v>
      </c>
      <c r="S30" s="22">
        <f>+総係!S30+SUM(特環:浄化!S30)-SUM('特環(共通按分後):浄化(共通按分後)'!S30)</f>
        <v>273</v>
      </c>
      <c r="T30" s="109">
        <f>+総係!T30+SUM(特環:浄化!T30)-SUM('特環(共通按分後):浄化(共通按分後)'!T30)</f>
        <v>2727</v>
      </c>
      <c r="U30" s="107">
        <f t="shared" ref="U30" si="9">N30-F30*F$4/(100+F$4)</f>
        <v>0</v>
      </c>
      <c r="V30" s="107">
        <f t="shared" ref="V30" si="10">O30-G30*G$4/(100+G$4)</f>
        <v>0</v>
      </c>
      <c r="W30" s="107">
        <f t="shared" ref="W30" si="11">P30-H30*H$4/(100+H$4)</f>
        <v>0</v>
      </c>
      <c r="X30" s="107">
        <f t="shared" ref="X30" si="12">Q30-I30*I$4/(100+I$4)</f>
        <v>0</v>
      </c>
      <c r="Y30" s="107">
        <f t="shared" ref="Y30" si="13">R30-J30*J$4/(100+J$4)</f>
        <v>0.27272727272725206</v>
      </c>
      <c r="Z30" s="106">
        <f t="shared" si="4"/>
        <v>0</v>
      </c>
      <c r="AA30" s="106">
        <f t="shared" si="5"/>
        <v>0</v>
      </c>
      <c r="AB30" s="106">
        <f t="shared" si="6"/>
        <v>0</v>
      </c>
      <c r="AC30" s="106">
        <f t="shared" si="7"/>
        <v>0</v>
      </c>
      <c r="AD30" s="106">
        <f t="shared" si="8"/>
        <v>0</v>
      </c>
    </row>
    <row r="31" spans="1:33">
      <c r="A31" s="165">
        <v>1</v>
      </c>
      <c r="B31" s="164" t="s">
        <v>351</v>
      </c>
      <c r="C31" s="163"/>
      <c r="D31" s="162" t="s">
        <v>60</v>
      </c>
      <c r="E31" s="158">
        <f>+総係!E31+SUM(特環:浄化!E30)-SUM('特環(共通按分後):浄化(共通按分後)'!E31)</f>
        <v>108</v>
      </c>
      <c r="F31" s="161">
        <f>+総係!F31+SUM(特環:浄化!F30)-SUM('特環(共通按分後):浄化(共通按分後)'!F31)</f>
        <v>0</v>
      </c>
      <c r="G31" s="160">
        <f>+総係!G31+SUM(特環:浄化!G30)-SUM('特環(共通按分後):浄化(共通按分後)'!G31)</f>
        <v>0</v>
      </c>
      <c r="H31" s="160">
        <f>+総係!H31+SUM(特環:浄化!H30)-SUM('特環(共通按分後):浄化(共通按分後)'!H31)</f>
        <v>0</v>
      </c>
      <c r="I31" s="159">
        <f>+総係!I31+SUM(特環:浄化!I30)-SUM('特環(共通按分後):浄化(共通按分後)'!I31)</f>
        <v>0</v>
      </c>
      <c r="J31" s="159">
        <f>+総係!J31+SUM(特環:浄化!J30)-SUM('特環(共通按分後):浄化(共通按分後)'!J31)</f>
        <v>108</v>
      </c>
      <c r="K31" s="34">
        <f>+総係!K31+SUM(特環:浄化!K30)-SUM('特環(共通按分後):浄化(共通按分後)'!K31)</f>
        <v>108</v>
      </c>
      <c r="L31" s="158">
        <f>+総係!L31+SUM(特環:浄化!L30)-SUM('特環(共通按分後):浄化(共通按分後)'!L31)</f>
        <v>0</v>
      </c>
      <c r="M31" s="158">
        <f>+総係!M31+SUM(特環:浄化!M30)-SUM('特環(共通按分後):浄化(共通按分後)'!M31)</f>
        <v>0</v>
      </c>
      <c r="N31" s="108">
        <f>+総係!N31+SUM(特環:浄化!N30)-SUM('特環(共通按分後):浄化(共通按分後)'!N31)</f>
        <v>0</v>
      </c>
      <c r="O31" s="25">
        <f>+総係!O31+SUM(特環:浄化!O30)-SUM('特環(共通按分後):浄化(共通按分後)'!O31)</f>
        <v>0</v>
      </c>
      <c r="P31" s="25">
        <f>+総係!P31+SUM(特環:浄化!P30)-SUM('特環(共通按分後):浄化(共通按分後)'!P31)</f>
        <v>0</v>
      </c>
      <c r="Q31" s="157">
        <f>+総係!Q31+SUM(特環:浄化!Q30)-SUM('特環(共通按分後):浄化(共通按分後)'!Q31)</f>
        <v>0</v>
      </c>
      <c r="R31" s="157">
        <f>+総係!R31+SUM(特環:浄化!R30)-SUM('特環(共通按分後):浄化(共通按分後)'!R31)</f>
        <v>10</v>
      </c>
      <c r="S31" s="22">
        <f>+総係!S31+SUM(特環:浄化!S30)-SUM('特環(共通按分後):浄化(共通按分後)'!S31)</f>
        <v>10</v>
      </c>
      <c r="T31" s="109">
        <f>+総係!T31+SUM(特環:浄化!T30)-SUM('特環(共通按分後):浄化(共通按分後)'!T31)</f>
        <v>98</v>
      </c>
      <c r="U31" s="107">
        <f t="shared" si="0"/>
        <v>0</v>
      </c>
      <c r="V31" s="107">
        <f t="shared" si="1"/>
        <v>0</v>
      </c>
      <c r="W31" s="107">
        <f t="shared" si="2"/>
        <v>0</v>
      </c>
      <c r="X31" s="107">
        <f t="shared" si="2"/>
        <v>0</v>
      </c>
      <c r="Y31" s="107">
        <f t="shared" si="3"/>
        <v>0.18181818181818166</v>
      </c>
      <c r="Z31" s="106">
        <f t="shared" si="4"/>
        <v>0</v>
      </c>
      <c r="AA31" s="106">
        <f t="shared" si="5"/>
        <v>0</v>
      </c>
      <c r="AB31" s="106">
        <f t="shared" si="6"/>
        <v>0</v>
      </c>
      <c r="AC31" s="106">
        <f t="shared" si="7"/>
        <v>0</v>
      </c>
      <c r="AD31" s="106">
        <f t="shared" si="8"/>
        <v>0</v>
      </c>
    </row>
    <row r="32" spans="1:33">
      <c r="A32" s="165">
        <v>1</v>
      </c>
      <c r="B32" s="164" t="s">
        <v>350</v>
      </c>
      <c r="C32" s="163"/>
      <c r="D32" s="162" t="s">
        <v>58</v>
      </c>
      <c r="E32" s="158">
        <f>+総係!E32+SUM(特環:浄化!E31)-SUM('特環(共通按分後):浄化(共通按分後)'!E32)</f>
        <v>3828947</v>
      </c>
      <c r="F32" s="161">
        <f>+総係!F32+SUM(特環:浄化!F31)-SUM('特環(共通按分後):浄化(共通按分後)'!F32)</f>
        <v>0</v>
      </c>
      <c r="G32" s="160">
        <f>+総係!G32+SUM(特環:浄化!G31)-SUM('特環(共通按分後):浄化(共通按分後)'!G32)</f>
        <v>0</v>
      </c>
      <c r="H32" s="160">
        <f>+総係!H32+SUM(特環:浄化!H31)-SUM('特環(共通按分後):浄化(共通按分後)'!H32)</f>
        <v>0</v>
      </c>
      <c r="I32" s="159">
        <f>+総係!I32+SUM(特環:浄化!I31)-SUM('特環(共通按分後):浄化(共通按分後)'!I32)</f>
        <v>0</v>
      </c>
      <c r="J32" s="159">
        <f>+総係!J32+SUM(特環:浄化!J31)-SUM('特環(共通按分後):浄化(共通按分後)'!J32)</f>
        <v>0</v>
      </c>
      <c r="K32" s="34">
        <f>+総係!K32+SUM(特環:浄化!K31)-SUM('特環(共通按分後):浄化(共通按分後)'!K32)</f>
        <v>0</v>
      </c>
      <c r="L32" s="158">
        <f>+総係!L32+SUM(特環:浄化!L31)-SUM('特環(共通按分後):浄化(共通按分後)'!L32)</f>
        <v>3828947</v>
      </c>
      <c r="M32" s="158">
        <f>+総係!M32+SUM(特環:浄化!M31)-SUM('特環(共通按分後):浄化(共通按分後)'!M32)</f>
        <v>0</v>
      </c>
      <c r="N32" s="108">
        <f>+総係!N32+SUM(特環:浄化!N31)-SUM('特環(共通按分後):浄化(共通按分後)'!N32)</f>
        <v>0</v>
      </c>
      <c r="O32" s="25">
        <f>+総係!O32+SUM(特環:浄化!O31)-SUM('特環(共通按分後):浄化(共通按分後)'!O32)</f>
        <v>0</v>
      </c>
      <c r="P32" s="25">
        <f>+総係!P32+SUM(特環:浄化!P31)-SUM('特環(共通按分後):浄化(共通按分後)'!P32)</f>
        <v>0</v>
      </c>
      <c r="Q32" s="157">
        <f>+総係!Q32+SUM(特環:浄化!Q31)-SUM('特環(共通按分後):浄化(共通按分後)'!Q32)</f>
        <v>0</v>
      </c>
      <c r="R32" s="157">
        <f>+総係!R32+SUM(特環:浄化!R31)-SUM('特環(共通按分後):浄化(共通按分後)'!R32)</f>
        <v>0</v>
      </c>
      <c r="S32" s="22">
        <f>+総係!S32+SUM(特環:浄化!S31)-SUM('特環(共通按分後):浄化(共通按分後)'!S32)</f>
        <v>0</v>
      </c>
      <c r="T32" s="109">
        <f>+総係!T32+SUM(特環:浄化!T31)-SUM('特環(共通按分後):浄化(共通按分後)'!T32)</f>
        <v>3828947</v>
      </c>
      <c r="U32" s="107">
        <f t="shared" si="0"/>
        <v>0</v>
      </c>
      <c r="V32" s="107">
        <f t="shared" si="1"/>
        <v>0</v>
      </c>
      <c r="W32" s="107">
        <f t="shared" si="2"/>
        <v>0</v>
      </c>
      <c r="X32" s="107">
        <f t="shared" si="2"/>
        <v>0</v>
      </c>
      <c r="Y32" s="107">
        <f t="shared" si="3"/>
        <v>0</v>
      </c>
      <c r="Z32" s="106">
        <f t="shared" si="4"/>
        <v>0</v>
      </c>
      <c r="AA32" s="106">
        <f t="shared" si="5"/>
        <v>0</v>
      </c>
      <c r="AB32" s="106">
        <f t="shared" si="6"/>
        <v>0</v>
      </c>
      <c r="AC32" s="106">
        <f t="shared" si="7"/>
        <v>0</v>
      </c>
      <c r="AD32" s="106">
        <f t="shared" si="8"/>
        <v>0</v>
      </c>
    </row>
    <row r="33" spans="1:30">
      <c r="A33" s="165">
        <v>1</v>
      </c>
      <c r="B33" s="164" t="s">
        <v>349</v>
      </c>
      <c r="C33" s="163"/>
      <c r="D33" s="162" t="s">
        <v>56</v>
      </c>
      <c r="E33" s="158">
        <f>+総係!E33+SUM(特環:浄化!E32)-SUM('特環(共通按分後):浄化(共通按分後)'!E33)</f>
        <v>266633</v>
      </c>
      <c r="F33" s="161">
        <f>+総係!F33+SUM(特環:浄化!F32)-SUM('特環(共通按分後):浄化(共通按分後)'!F33)</f>
        <v>0</v>
      </c>
      <c r="G33" s="160">
        <f>+総係!G33+SUM(特環:浄化!G32)-SUM('特環(共通按分後):浄化(共通按分後)'!G33)</f>
        <v>0</v>
      </c>
      <c r="H33" s="160">
        <f>+総係!H33+SUM(特環:浄化!H32)-SUM('特環(共通按分後):浄化(共通按分後)'!H33)</f>
        <v>0</v>
      </c>
      <c r="I33" s="159">
        <f>+総係!I33+SUM(特環:浄化!I32)-SUM('特環(共通按分後):浄化(共通按分後)'!I33)</f>
        <v>0</v>
      </c>
      <c r="J33" s="159">
        <f>+総係!J33+SUM(特環:浄化!J32)-SUM('特環(共通按分後):浄化(共通按分後)'!J33)</f>
        <v>0</v>
      </c>
      <c r="K33" s="34">
        <f>+総係!K33+SUM(特環:浄化!K32)-SUM('特環(共通按分後):浄化(共通按分後)'!K33)</f>
        <v>0</v>
      </c>
      <c r="L33" s="158">
        <f>+総係!L33+SUM(特環:浄化!L32)-SUM('特環(共通按分後):浄化(共通按分後)'!L33)</f>
        <v>255272</v>
      </c>
      <c r="M33" s="158">
        <f>+総係!M33+SUM(特環:浄化!M32)-SUM('特環(共通按分後):浄化(共通按分後)'!M33)</f>
        <v>11361</v>
      </c>
      <c r="N33" s="108">
        <f>+総係!N33+SUM(特環:浄化!N32)-SUM('特環(共通按分後):浄化(共通按分後)'!N33)</f>
        <v>0</v>
      </c>
      <c r="O33" s="25">
        <f>+総係!O33+SUM(特環:浄化!O32)-SUM('特環(共通按分後):浄化(共通按分後)'!O33)</f>
        <v>0</v>
      </c>
      <c r="P33" s="25">
        <f>+総係!P33+SUM(特環:浄化!P32)-SUM('特環(共通按分後):浄化(共通按分後)'!P33)</f>
        <v>0</v>
      </c>
      <c r="Q33" s="157">
        <f>+総係!Q33+SUM(特環:浄化!Q32)-SUM('特環(共通按分後):浄化(共通按分後)'!Q33)</f>
        <v>0</v>
      </c>
      <c r="R33" s="157">
        <f>+総係!R33+SUM(特環:浄化!R32)-SUM('特環(共通按分後):浄化(共通按分後)'!R33)</f>
        <v>0</v>
      </c>
      <c r="S33" s="22">
        <f>+総係!S33+SUM(特環:浄化!S32)-SUM('特環(共通按分後):浄化(共通按分後)'!S33)</f>
        <v>0</v>
      </c>
      <c r="T33" s="109">
        <f>+総係!T33+SUM(特環:浄化!T32)-SUM('特環(共通按分後):浄化(共通按分後)'!T33)</f>
        <v>266633</v>
      </c>
      <c r="U33" s="107">
        <f t="shared" si="0"/>
        <v>0</v>
      </c>
      <c r="V33" s="107">
        <f t="shared" si="1"/>
        <v>0</v>
      </c>
      <c r="W33" s="107">
        <f t="shared" si="2"/>
        <v>0</v>
      </c>
      <c r="X33" s="107">
        <f t="shared" si="2"/>
        <v>0</v>
      </c>
      <c r="Y33" s="107">
        <f t="shared" si="3"/>
        <v>0</v>
      </c>
      <c r="Z33" s="106">
        <f t="shared" si="4"/>
        <v>0</v>
      </c>
      <c r="AA33" s="106">
        <f t="shared" si="5"/>
        <v>0</v>
      </c>
      <c r="AB33" s="106">
        <f t="shared" si="6"/>
        <v>0</v>
      </c>
      <c r="AC33" s="106">
        <f t="shared" si="7"/>
        <v>0</v>
      </c>
      <c r="AD33" s="106">
        <f t="shared" si="8"/>
        <v>0</v>
      </c>
    </row>
    <row r="34" spans="1:30">
      <c r="A34" s="165">
        <v>1</v>
      </c>
      <c r="B34" s="164" t="s">
        <v>348</v>
      </c>
      <c r="C34" s="163"/>
      <c r="D34" s="162" t="s">
        <v>55</v>
      </c>
      <c r="E34" s="158">
        <f>+総係!E34+SUM(特環:浄化!E33)-SUM('特環(共通按分後):浄化(共通按分後)'!E34)</f>
        <v>422939</v>
      </c>
      <c r="F34" s="161">
        <f>+総係!F34+SUM(特環:浄化!F33)-SUM('特環(共通按分後):浄化(共通按分後)'!F34)</f>
        <v>0</v>
      </c>
      <c r="G34" s="160">
        <f>+総係!G34+SUM(特環:浄化!G33)-SUM('特環(共通按分後):浄化(共通按分後)'!G34)</f>
        <v>0</v>
      </c>
      <c r="H34" s="160">
        <f>+総係!H34+SUM(特環:浄化!H33)-SUM('特環(共通按分後):浄化(共通按分後)'!H34)</f>
        <v>0</v>
      </c>
      <c r="I34" s="159">
        <f>+総係!I34+SUM(特環:浄化!I33)-SUM('特環(共通按分後):浄化(共通按分後)'!I34)</f>
        <v>0</v>
      </c>
      <c r="J34" s="159">
        <f>+総係!J34+SUM(特環:浄化!J33)-SUM('特環(共通按分後):浄化(共通按分後)'!J34)</f>
        <v>422700</v>
      </c>
      <c r="K34" s="34">
        <f>+総係!K34+SUM(特環:浄化!K33)-SUM('特環(共通按分後):浄化(共通按分後)'!K34)</f>
        <v>422700</v>
      </c>
      <c r="L34" s="158">
        <f>+総係!L34+SUM(特環:浄化!L33)-SUM('特環(共通按分後):浄化(共通按分後)'!L34)</f>
        <v>0</v>
      </c>
      <c r="M34" s="158">
        <f>+総係!M34+SUM(特環:浄化!M33)-SUM('特環(共通按分後):浄化(共通按分後)'!M34)</f>
        <v>239</v>
      </c>
      <c r="N34" s="108">
        <f>+総係!N34+SUM(特環:浄化!N33)-SUM('特環(共通按分後):浄化(共通按分後)'!N34)</f>
        <v>0</v>
      </c>
      <c r="O34" s="25">
        <f>+総係!O34+SUM(特環:浄化!O33)-SUM('特環(共通按分後):浄化(共通按分後)'!O34)</f>
        <v>0</v>
      </c>
      <c r="P34" s="25">
        <f>+総係!P34+SUM(特環:浄化!P33)-SUM('特環(共通按分後):浄化(共通按分後)'!P34)</f>
        <v>0</v>
      </c>
      <c r="Q34" s="157">
        <f>+総係!Q34+SUM(特環:浄化!Q33)-SUM('特環(共通按分後):浄化(共通按分後)'!Q34)</f>
        <v>0</v>
      </c>
      <c r="R34" s="157">
        <f>+総係!R34+SUM(特環:浄化!R33)-SUM('特環(共通按分後):浄化(共通按分後)'!R34)</f>
        <v>38427</v>
      </c>
      <c r="S34" s="22">
        <f>+総係!S34+SUM(特環:浄化!S33)-SUM('特環(共通按分後):浄化(共通按分後)'!S34)</f>
        <v>38427</v>
      </c>
      <c r="T34" s="109">
        <f>+総係!T34+SUM(特環:浄化!T33)-SUM('特環(共通按分後):浄化(共通按分後)'!T34)</f>
        <v>384512</v>
      </c>
      <c r="U34" s="107">
        <f t="shared" si="0"/>
        <v>0</v>
      </c>
      <c r="V34" s="107">
        <f t="shared" si="1"/>
        <v>0</v>
      </c>
      <c r="W34" s="107">
        <f t="shared" si="2"/>
        <v>0</v>
      </c>
      <c r="X34" s="107">
        <f t="shared" si="2"/>
        <v>0</v>
      </c>
      <c r="Y34" s="107">
        <f t="shared" si="3"/>
        <v>-0.27272727272793418</v>
      </c>
      <c r="Z34" s="106">
        <f t="shared" si="4"/>
        <v>0</v>
      </c>
      <c r="AA34" s="106">
        <f t="shared" si="5"/>
        <v>0</v>
      </c>
      <c r="AB34" s="106">
        <f t="shared" si="6"/>
        <v>0</v>
      </c>
      <c r="AC34" s="106">
        <f t="shared" si="7"/>
        <v>0</v>
      </c>
      <c r="AD34" s="106">
        <f t="shared" si="8"/>
        <v>0</v>
      </c>
    </row>
    <row r="35" spans="1:30">
      <c r="A35" s="165">
        <v>1</v>
      </c>
      <c r="B35" s="164" t="s">
        <v>347</v>
      </c>
      <c r="C35" s="163"/>
      <c r="D35" s="162" t="s">
        <v>53</v>
      </c>
      <c r="E35" s="158">
        <f>+総係!E35+SUM(特環:浄化!E34)-SUM('特環(共通按分後):浄化(共通按分後)'!E35)</f>
        <v>16172000</v>
      </c>
      <c r="F35" s="161">
        <f>+総係!F35+SUM(特環:浄化!F34)-SUM('特環(共通按分後):浄化(共通按分後)'!F35)</f>
        <v>0</v>
      </c>
      <c r="G35" s="160">
        <f>+総係!G35+SUM(特環:浄化!G34)-SUM('特環(共通按分後):浄化(共通按分後)'!G35)</f>
        <v>0</v>
      </c>
      <c r="H35" s="160">
        <f>+総係!H35+SUM(特環:浄化!H34)-SUM('特環(共通按分後):浄化(共通按分後)'!H35)</f>
        <v>0</v>
      </c>
      <c r="I35" s="159">
        <f>+総係!I35+SUM(特環:浄化!I34)-SUM('特環(共通按分後):浄化(共通按分後)'!I35)</f>
        <v>0</v>
      </c>
      <c r="J35" s="159">
        <f>+総係!J35+SUM(特環:浄化!J34)-SUM('特環(共通按分後):浄化(共通按分後)'!J35)</f>
        <v>0</v>
      </c>
      <c r="K35" s="34">
        <f>+総係!K35+SUM(特環:浄化!K34)-SUM('特環(共通按分後):浄化(共通按分後)'!K35)</f>
        <v>0</v>
      </c>
      <c r="L35" s="158">
        <f>+総係!L35+SUM(特環:浄化!L34)-SUM('特環(共通按分後):浄化(共通按分後)'!L35)</f>
        <v>0</v>
      </c>
      <c r="M35" s="158">
        <f>+総係!M35+SUM(特環:浄化!M34)-SUM('特環(共通按分後):浄化(共通按分後)'!M35)</f>
        <v>16172000</v>
      </c>
      <c r="N35" s="108">
        <f>+総係!N35+SUM(特環:浄化!N34)-SUM('特環(共通按分後):浄化(共通按分後)'!N35)</f>
        <v>0</v>
      </c>
      <c r="O35" s="25">
        <f>+総係!O35+SUM(特環:浄化!O34)-SUM('特環(共通按分後):浄化(共通按分後)'!O35)</f>
        <v>0</v>
      </c>
      <c r="P35" s="25">
        <f>+総係!P35+SUM(特環:浄化!P34)-SUM('特環(共通按分後):浄化(共通按分後)'!P35)</f>
        <v>0</v>
      </c>
      <c r="Q35" s="157">
        <f>+総係!Q35+SUM(特環:浄化!Q34)-SUM('特環(共通按分後):浄化(共通按分後)'!Q35)</f>
        <v>0</v>
      </c>
      <c r="R35" s="157">
        <f>+総係!R35+SUM(特環:浄化!R34)-SUM('特環(共通按分後):浄化(共通按分後)'!R35)</f>
        <v>0</v>
      </c>
      <c r="S35" s="22">
        <f>+総係!S35+SUM(特環:浄化!S34)-SUM('特環(共通按分後):浄化(共通按分後)'!S35)</f>
        <v>0</v>
      </c>
      <c r="T35" s="109">
        <f>+総係!T35+SUM(特環:浄化!T34)-SUM('特環(共通按分後):浄化(共通按分後)'!T35)</f>
        <v>16172000</v>
      </c>
      <c r="U35" s="107">
        <f t="shared" si="0"/>
        <v>0</v>
      </c>
      <c r="V35" s="107">
        <f t="shared" si="1"/>
        <v>0</v>
      </c>
      <c r="W35" s="107">
        <f t="shared" si="2"/>
        <v>0</v>
      </c>
      <c r="X35" s="107">
        <f t="shared" si="2"/>
        <v>0</v>
      </c>
      <c r="Y35" s="107">
        <f t="shared" si="3"/>
        <v>0</v>
      </c>
      <c r="Z35" s="106">
        <f t="shared" si="4"/>
        <v>0</v>
      </c>
      <c r="AA35" s="106">
        <f t="shared" si="5"/>
        <v>0</v>
      </c>
      <c r="AB35" s="106">
        <f t="shared" si="6"/>
        <v>0</v>
      </c>
      <c r="AC35" s="106">
        <f t="shared" si="7"/>
        <v>0</v>
      </c>
      <c r="AD35" s="106">
        <f t="shared" si="8"/>
        <v>0</v>
      </c>
    </row>
    <row r="36" spans="1:30" ht="14.25" thickBot="1">
      <c r="A36" s="165"/>
      <c r="B36" s="164" t="s">
        <v>346</v>
      </c>
      <c r="C36" s="163"/>
      <c r="D36" s="162" t="s">
        <v>51</v>
      </c>
      <c r="E36" s="158">
        <f>+総係!E36+SUM(特環:浄化!E35)-SUM('特環(共通按分後):浄化(共通按分後)'!E36)</f>
        <v>1676445</v>
      </c>
      <c r="F36" s="161">
        <f>+総係!F36+SUM(特環:浄化!F35)-SUM('特環(共通按分後):浄化(共通按分後)'!F36)</f>
        <v>0</v>
      </c>
      <c r="G36" s="160">
        <f>+総係!G36+SUM(特環:浄化!G35)-SUM('特環(共通按分後):浄化(共通按分後)'!G36)</f>
        <v>0</v>
      </c>
      <c r="H36" s="160">
        <f>+総係!H36+SUM(特環:浄化!H35)-SUM('特環(共通按分後):浄化(共通按分後)'!H36)</f>
        <v>0</v>
      </c>
      <c r="I36" s="159">
        <f>+総係!I36+SUM(特環:浄化!I35)-SUM('特環(共通按分後):浄化(共通按分後)'!I36)</f>
        <v>0</v>
      </c>
      <c r="J36" s="159">
        <f>+総係!J36+SUM(特環:浄化!J35)-SUM('特環(共通按分後):浄化(共通按分後)'!J36)</f>
        <v>0</v>
      </c>
      <c r="K36" s="34">
        <f>+総係!K36+SUM(特環:浄化!K35)-SUM('特環(共通按分後):浄化(共通按分後)'!K36)</f>
        <v>0</v>
      </c>
      <c r="L36" s="158">
        <f>+総係!L36+SUM(特環:浄化!L35)-SUM('特環(共通按分後):浄化(共通按分後)'!L36)</f>
        <v>0</v>
      </c>
      <c r="M36" s="158">
        <f>+総係!M36+SUM(特環:浄化!M35)-SUM('特環(共通按分後):浄化(共通按分後)'!M36)</f>
        <v>1676445</v>
      </c>
      <c r="N36" s="108">
        <f>+総係!N36+SUM(特環:浄化!N35)-SUM('特環(共通按分後):浄化(共通按分後)'!N36)</f>
        <v>0</v>
      </c>
      <c r="O36" s="25">
        <f>+総係!O36+SUM(特環:浄化!O35)-SUM('特環(共通按分後):浄化(共通按分後)'!O36)</f>
        <v>0</v>
      </c>
      <c r="P36" s="25">
        <f>+総係!P36+SUM(特環:浄化!P35)-SUM('特環(共通按分後):浄化(共通按分後)'!P36)</f>
        <v>0</v>
      </c>
      <c r="Q36" s="157">
        <f>+総係!Q36+SUM(特環:浄化!Q35)-SUM('特環(共通按分後):浄化(共通按分後)'!Q36)</f>
        <v>0</v>
      </c>
      <c r="R36" s="157">
        <f>+総係!R36+SUM(特環:浄化!R35)-SUM('特環(共通按分後):浄化(共通按分後)'!R36)</f>
        <v>0</v>
      </c>
      <c r="S36" s="22">
        <f>+総係!S36+SUM(特環:浄化!S35)-SUM('特環(共通按分後):浄化(共通按分後)'!S36)</f>
        <v>0</v>
      </c>
      <c r="T36" s="109">
        <f>+総係!T36+SUM(特環:浄化!T35)-SUM('特環(共通按分後):浄化(共通按分後)'!T36)</f>
        <v>1676445</v>
      </c>
      <c r="U36" s="107">
        <f t="shared" si="0"/>
        <v>0</v>
      </c>
      <c r="V36" s="107">
        <f t="shared" si="1"/>
        <v>0</v>
      </c>
      <c r="W36" s="107">
        <f t="shared" si="2"/>
        <v>0</v>
      </c>
      <c r="X36" s="107">
        <f t="shared" si="2"/>
        <v>0</v>
      </c>
      <c r="Y36" s="107">
        <f t="shared" si="3"/>
        <v>0</v>
      </c>
      <c r="Z36" s="106">
        <f t="shared" si="4"/>
        <v>0</v>
      </c>
      <c r="AA36" s="106">
        <f t="shared" si="5"/>
        <v>0</v>
      </c>
      <c r="AB36" s="106">
        <f t="shared" si="6"/>
        <v>0</v>
      </c>
      <c r="AC36" s="106">
        <f t="shared" si="7"/>
        <v>0</v>
      </c>
      <c r="AD36" s="106">
        <f t="shared" si="8"/>
        <v>0</v>
      </c>
    </row>
    <row r="37" spans="1:30" ht="14.25" thickTop="1">
      <c r="A37" s="156"/>
      <c r="B37" s="155"/>
      <c r="C37" s="154"/>
      <c r="D37" s="153" t="s">
        <v>2</v>
      </c>
      <c r="E37" s="149">
        <f t="shared" ref="E37:T37" si="14">SUM(E5:E36)</f>
        <v>914982582</v>
      </c>
      <c r="F37" s="152">
        <f t="shared" si="14"/>
        <v>0</v>
      </c>
      <c r="G37" s="151">
        <f t="shared" si="14"/>
        <v>0</v>
      </c>
      <c r="H37" s="151">
        <f t="shared" si="14"/>
        <v>0</v>
      </c>
      <c r="I37" s="150">
        <f t="shared" ref="I37" si="15">SUM(I5:I36)</f>
        <v>325921</v>
      </c>
      <c r="J37" s="150">
        <f t="shared" si="14"/>
        <v>619320755</v>
      </c>
      <c r="K37" s="74">
        <f t="shared" si="14"/>
        <v>619646676</v>
      </c>
      <c r="L37" s="149">
        <f t="shared" si="14"/>
        <v>56562491</v>
      </c>
      <c r="M37" s="149">
        <f t="shared" si="14"/>
        <v>238773415</v>
      </c>
      <c r="N37" s="146">
        <f t="shared" si="14"/>
        <v>0</v>
      </c>
      <c r="O37" s="145">
        <f t="shared" si="14"/>
        <v>0</v>
      </c>
      <c r="P37" s="145">
        <f t="shared" si="14"/>
        <v>0</v>
      </c>
      <c r="Q37" s="148">
        <f t="shared" ref="Q37" si="16">SUM(Q5:Q36)</f>
        <v>24142</v>
      </c>
      <c r="R37" s="148">
        <f t="shared" si="14"/>
        <v>56301887</v>
      </c>
      <c r="S37" s="144">
        <f t="shared" si="14"/>
        <v>56326029</v>
      </c>
      <c r="T37" s="147">
        <f t="shared" si="14"/>
        <v>858656553</v>
      </c>
      <c r="U37" s="88" t="str">
        <f>+IF(F37=0,"",ROUND(F37*F$4/(100+F$4),7)-N37)</f>
        <v/>
      </c>
      <c r="V37" s="88"/>
      <c r="W37" s="88"/>
      <c r="X37" s="88"/>
      <c r="Y37" s="88"/>
      <c r="Z37" s="88"/>
      <c r="AA37" s="88"/>
      <c r="AB37" s="87"/>
      <c r="AC37" s="87"/>
      <c r="AD37" s="87"/>
    </row>
    <row r="38" spans="1:30">
      <c r="A38" s="143"/>
      <c r="B38" s="142"/>
      <c r="C38" s="141"/>
      <c r="D38" s="140" t="s">
        <v>1</v>
      </c>
      <c r="E38" s="136">
        <f t="shared" ref="E38:J38" si="17">+E37</f>
        <v>914982582</v>
      </c>
      <c r="F38" s="139">
        <f t="shared" si="17"/>
        <v>0</v>
      </c>
      <c r="G38" s="138">
        <f t="shared" si="17"/>
        <v>0</v>
      </c>
      <c r="H38" s="138">
        <f t="shared" si="17"/>
        <v>0</v>
      </c>
      <c r="I38" s="137">
        <f t="shared" si="17"/>
        <v>325921</v>
      </c>
      <c r="J38" s="137">
        <f t="shared" si="17"/>
        <v>619320755</v>
      </c>
      <c r="K38" s="63">
        <f>SUM(F38:J38)</f>
        <v>619646676</v>
      </c>
      <c r="L38" s="136">
        <f>+L37</f>
        <v>56562491</v>
      </c>
      <c r="M38" s="135">
        <f>+M37</f>
        <v>238773415</v>
      </c>
      <c r="N38" s="133">
        <f>+'3条支出(共通按分後)'!N14</f>
        <v>0</v>
      </c>
      <c r="O38" s="132">
        <f>+'3条支出(共通按分後)'!O14</f>
        <v>0</v>
      </c>
      <c r="P38" s="132">
        <f>+'3条支出(共通按分後)'!P14</f>
        <v>0</v>
      </c>
      <c r="Q38" s="132">
        <f>+'3条支出(共通按分後)'!Q14</f>
        <v>24142</v>
      </c>
      <c r="R38" s="132">
        <f>+'3条支出(共通按分後)'!R14</f>
        <v>56301887</v>
      </c>
      <c r="S38" s="131">
        <f>+'3条支出(共通按分後)'!S14</f>
        <v>56326029</v>
      </c>
      <c r="T38" s="134">
        <f>+'3条支出(共通按分後)'!T14</f>
        <v>858656553</v>
      </c>
      <c r="U38" s="88" t="str">
        <f>+IF(F38=0,"",ROUND(F38*F$4/(100+F$4),7)-N38)</f>
        <v/>
      </c>
      <c r="V38" s="88"/>
      <c r="W38" s="88"/>
      <c r="X38" s="88"/>
      <c r="Y38" s="88"/>
      <c r="Z38" s="88"/>
      <c r="AA38" s="88"/>
      <c r="AB38" s="87"/>
      <c r="AC38" s="87"/>
      <c r="AD38" s="87"/>
    </row>
    <row r="39" spans="1:30">
      <c r="E39" s="4">
        <f t="shared" ref="E39:T39" si="18">+E38-E37</f>
        <v>0</v>
      </c>
      <c r="F39" s="4">
        <f t="shared" si="18"/>
        <v>0</v>
      </c>
      <c r="G39" s="4">
        <f t="shared" si="18"/>
        <v>0</v>
      </c>
      <c r="H39" s="4">
        <f t="shared" si="18"/>
        <v>0</v>
      </c>
      <c r="I39" s="4">
        <f t="shared" ref="I39" si="19">+I38-I37</f>
        <v>0</v>
      </c>
      <c r="J39" s="4">
        <f t="shared" si="18"/>
        <v>0</v>
      </c>
      <c r="K39" s="4">
        <f t="shared" si="18"/>
        <v>0</v>
      </c>
      <c r="L39" s="4">
        <f t="shared" si="18"/>
        <v>0</v>
      </c>
      <c r="M39" s="4">
        <f t="shared" si="18"/>
        <v>0</v>
      </c>
      <c r="N39" s="4">
        <f t="shared" si="18"/>
        <v>0</v>
      </c>
      <c r="O39" s="4">
        <f t="shared" si="18"/>
        <v>0</v>
      </c>
      <c r="P39" s="4">
        <f t="shared" si="18"/>
        <v>0</v>
      </c>
      <c r="Q39" s="4">
        <f t="shared" ref="Q39" si="20">+Q38-Q37</f>
        <v>0</v>
      </c>
      <c r="R39" s="4">
        <f t="shared" si="18"/>
        <v>0</v>
      </c>
      <c r="S39" s="4">
        <f t="shared" si="18"/>
        <v>0</v>
      </c>
      <c r="T39" s="4">
        <f t="shared" si="18"/>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4"/>
      <c r="I41" s="272"/>
      <c r="J41" s="274"/>
      <c r="U41" s="88" t="str">
        <f>+IF(F41=0,"",ROUND(F41*F$4/(100+F$4),7)-N41)</f>
        <v/>
      </c>
      <c r="V41" s="88"/>
      <c r="W41" s="88"/>
      <c r="X41" s="88"/>
      <c r="Y41" s="88"/>
      <c r="Z41" s="88"/>
      <c r="AA41" s="88"/>
      <c r="AB41" s="87"/>
      <c r="AC41" s="87"/>
      <c r="AD41" s="87"/>
    </row>
    <row r="42" spans="1:30">
      <c r="G42" s="273"/>
      <c r="H42" s="274"/>
      <c r="I42" s="272"/>
      <c r="J42" s="274"/>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29 AE31:AI36">
    <cfRule type="notContainsBlanks" dxfId="21" priority="5" stopIfTrue="1">
      <formula>LEN(TRIM(AE5))&gt;0</formula>
    </cfRule>
  </conditionalFormatting>
  <conditionalFormatting sqref="AE37:AI38">
    <cfRule type="notContainsBlanks" dxfId="20" priority="6" stopIfTrue="1">
      <formula>LEN(TRIM(AE37))&gt;0</formula>
    </cfRule>
  </conditionalFormatting>
  <conditionalFormatting sqref="Z5:AD29 Z31:AD36">
    <cfRule type="expression" dxfId="19" priority="4">
      <formula>ABS(Z5)=1</formula>
    </cfRule>
  </conditionalFormatting>
  <conditionalFormatting sqref="E39:T39">
    <cfRule type="cellIs" dxfId="18" priority="3" operator="notEqual">
      <formula>0</formula>
    </cfRule>
  </conditionalFormatting>
  <conditionalFormatting sqref="AE30:AI30">
    <cfRule type="notContainsBlanks" dxfId="17" priority="2" stopIfTrue="1">
      <formula>LEN(TRIM(AE30))&gt;0</formula>
    </cfRule>
  </conditionalFormatting>
  <conditionalFormatting sqref="Z30:AD30">
    <cfRule type="expression" dxfId="16"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w1_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2"/>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545</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2</v>
      </c>
      <c r="B5" s="176" t="s">
        <v>412</v>
      </c>
      <c r="C5" s="175"/>
      <c r="D5" s="174" t="s">
        <v>112</v>
      </c>
      <c r="E5" s="170"/>
      <c r="F5" s="173"/>
      <c r="G5" s="172"/>
      <c r="H5" s="275"/>
      <c r="I5" s="270"/>
      <c r="J5" s="171"/>
      <c r="K5" s="112">
        <f t="shared" ref="K5:K36" si="0">SUM(F5:J5)</f>
        <v>0</v>
      </c>
      <c r="L5" s="170"/>
      <c r="M5" s="277"/>
      <c r="N5" s="173"/>
      <c r="O5" s="172"/>
      <c r="P5" s="172"/>
      <c r="Q5" s="171"/>
      <c r="R5" s="171"/>
      <c r="S5" s="112">
        <f t="shared" ref="S5:S36" si="1">SUM(N5:R5)</f>
        <v>0</v>
      </c>
      <c r="T5" s="233">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0</v>
      </c>
      <c r="AD5" s="106">
        <f t="shared" ref="AD5:AD36" si="11">+IF(R$39=0,0,IF(R$39&lt;0,-RANK(Y5,Y$5:Y$36,0),RANK(Y5,Y$5:Y$36,1)))</f>
        <v>0</v>
      </c>
    </row>
    <row r="6" spans="1:35">
      <c r="A6" s="165">
        <v>2</v>
      </c>
      <c r="B6" s="164" t="s">
        <v>411</v>
      </c>
      <c r="C6" s="163"/>
      <c r="D6" s="162" t="s">
        <v>110</v>
      </c>
      <c r="E6" s="158"/>
      <c r="F6" s="161"/>
      <c r="G6" s="160"/>
      <c r="H6" s="160"/>
      <c r="I6" s="159"/>
      <c r="J6" s="159"/>
      <c r="K6" s="34">
        <f t="shared" si="0"/>
        <v>0</v>
      </c>
      <c r="L6" s="158"/>
      <c r="M6" s="158"/>
      <c r="N6" s="161"/>
      <c r="O6" s="160"/>
      <c r="P6" s="160"/>
      <c r="Q6" s="159"/>
      <c r="R6" s="159"/>
      <c r="S6" s="34">
        <f t="shared" si="1"/>
        <v>0</v>
      </c>
      <c r="T6" s="234">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0</v>
      </c>
      <c r="AD6" s="106">
        <f t="shared" si="11"/>
        <v>0</v>
      </c>
    </row>
    <row r="7" spans="1:35">
      <c r="A7" s="165">
        <v>2</v>
      </c>
      <c r="B7" s="164" t="s">
        <v>410</v>
      </c>
      <c r="C7" s="163"/>
      <c r="D7" s="162" t="s">
        <v>108</v>
      </c>
      <c r="E7" s="158"/>
      <c r="F7" s="161"/>
      <c r="G7" s="160"/>
      <c r="H7" s="160"/>
      <c r="I7" s="159"/>
      <c r="J7" s="159"/>
      <c r="K7" s="34">
        <f t="shared" si="0"/>
        <v>0</v>
      </c>
      <c r="L7" s="158"/>
      <c r="M7" s="158"/>
      <c r="N7" s="161"/>
      <c r="O7" s="160"/>
      <c r="P7" s="160"/>
      <c r="Q7" s="159"/>
      <c r="R7" s="159"/>
      <c r="S7" s="34">
        <f t="shared" si="1"/>
        <v>0</v>
      </c>
      <c r="T7" s="234">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0</v>
      </c>
      <c r="AD7" s="106">
        <f t="shared" si="11"/>
        <v>0</v>
      </c>
    </row>
    <row r="8" spans="1:35">
      <c r="A8" s="165">
        <v>2</v>
      </c>
      <c r="B8" s="164" t="s">
        <v>409</v>
      </c>
      <c r="C8" s="163"/>
      <c r="D8" s="162" t="s">
        <v>106</v>
      </c>
      <c r="E8" s="158"/>
      <c r="F8" s="161"/>
      <c r="G8" s="160"/>
      <c r="H8" s="160"/>
      <c r="I8" s="159"/>
      <c r="J8" s="159"/>
      <c r="K8" s="34">
        <f t="shared" si="0"/>
        <v>0</v>
      </c>
      <c r="L8" s="158"/>
      <c r="M8" s="158"/>
      <c r="N8" s="161"/>
      <c r="O8" s="160"/>
      <c r="P8" s="160"/>
      <c r="Q8" s="159"/>
      <c r="R8" s="159"/>
      <c r="S8" s="34">
        <f t="shared" si="1"/>
        <v>0</v>
      </c>
      <c r="T8" s="234">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0</v>
      </c>
      <c r="AD8" s="106">
        <f t="shared" si="11"/>
        <v>0</v>
      </c>
    </row>
    <row r="9" spans="1:35">
      <c r="A9" s="165">
        <v>2</v>
      </c>
      <c r="B9" s="164" t="s">
        <v>408</v>
      </c>
      <c r="C9" s="163"/>
      <c r="D9" s="162" t="s">
        <v>104</v>
      </c>
      <c r="E9" s="158"/>
      <c r="F9" s="161"/>
      <c r="G9" s="160"/>
      <c r="H9" s="160"/>
      <c r="I9" s="159"/>
      <c r="J9" s="159"/>
      <c r="K9" s="34">
        <f t="shared" si="0"/>
        <v>0</v>
      </c>
      <c r="L9" s="158"/>
      <c r="M9" s="158"/>
      <c r="N9" s="161"/>
      <c r="O9" s="160"/>
      <c r="P9" s="160"/>
      <c r="Q9" s="159"/>
      <c r="R9" s="159"/>
      <c r="S9" s="34">
        <f t="shared" si="1"/>
        <v>0</v>
      </c>
      <c r="T9" s="234">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0</v>
      </c>
      <c r="AD9" s="106">
        <f t="shared" si="11"/>
        <v>0</v>
      </c>
    </row>
    <row r="10" spans="1:35">
      <c r="A10" s="165">
        <v>2</v>
      </c>
      <c r="B10" s="164" t="s">
        <v>407</v>
      </c>
      <c r="C10" s="163"/>
      <c r="D10" s="162" t="s">
        <v>102</v>
      </c>
      <c r="E10" s="158"/>
      <c r="F10" s="161"/>
      <c r="G10" s="160"/>
      <c r="H10" s="276"/>
      <c r="I10" s="271"/>
      <c r="J10" s="159"/>
      <c r="K10" s="34">
        <f t="shared" si="0"/>
        <v>0</v>
      </c>
      <c r="L10" s="158"/>
      <c r="M10" s="278"/>
      <c r="N10" s="161"/>
      <c r="O10" s="160"/>
      <c r="P10" s="160"/>
      <c r="Q10" s="159"/>
      <c r="R10" s="159"/>
      <c r="S10" s="34">
        <f t="shared" si="1"/>
        <v>0</v>
      </c>
      <c r="T10" s="234">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0</v>
      </c>
      <c r="AD10" s="106">
        <f t="shared" si="11"/>
        <v>0</v>
      </c>
    </row>
    <row r="11" spans="1:35">
      <c r="A11" s="165">
        <v>2</v>
      </c>
      <c r="B11" s="164" t="s">
        <v>406</v>
      </c>
      <c r="C11" s="163"/>
      <c r="D11" s="162" t="s">
        <v>100</v>
      </c>
      <c r="E11" s="158"/>
      <c r="F11" s="161"/>
      <c r="G11" s="160"/>
      <c r="H11" s="160"/>
      <c r="I11" s="159"/>
      <c r="J11" s="159"/>
      <c r="K11" s="34">
        <f t="shared" si="0"/>
        <v>0</v>
      </c>
      <c r="L11" s="158"/>
      <c r="M11" s="158"/>
      <c r="N11" s="161"/>
      <c r="O11" s="160"/>
      <c r="P11" s="160"/>
      <c r="Q11" s="159"/>
      <c r="R11" s="159"/>
      <c r="S11" s="34">
        <f t="shared" si="1"/>
        <v>0</v>
      </c>
      <c r="T11" s="234">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0</v>
      </c>
      <c r="AD11" s="106">
        <f t="shared" si="11"/>
        <v>0</v>
      </c>
    </row>
    <row r="12" spans="1:35">
      <c r="A12" s="165">
        <v>2</v>
      </c>
      <c r="B12" s="164" t="s">
        <v>404</v>
      </c>
      <c r="C12" s="163" t="s">
        <v>405</v>
      </c>
      <c r="D12" s="162" t="s">
        <v>98</v>
      </c>
      <c r="E12" s="158"/>
      <c r="F12" s="161"/>
      <c r="G12" s="160"/>
      <c r="H12" s="160"/>
      <c r="I12" s="159"/>
      <c r="J12" s="159"/>
      <c r="K12" s="34">
        <f t="shared" si="0"/>
        <v>0</v>
      </c>
      <c r="L12" s="158"/>
      <c r="M12" s="158"/>
      <c r="N12" s="161"/>
      <c r="O12" s="160"/>
      <c r="P12" s="160"/>
      <c r="Q12" s="159"/>
      <c r="R12" s="159"/>
      <c r="S12" s="34">
        <f t="shared" si="1"/>
        <v>0</v>
      </c>
      <c r="T12" s="234">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0</v>
      </c>
      <c r="AD12" s="106">
        <f t="shared" si="11"/>
        <v>0</v>
      </c>
    </row>
    <row r="13" spans="1:35">
      <c r="A13" s="165">
        <v>2</v>
      </c>
      <c r="B13" s="164" t="s">
        <v>404</v>
      </c>
      <c r="C13" s="163" t="s">
        <v>403</v>
      </c>
      <c r="D13" s="162" t="s">
        <v>95</v>
      </c>
      <c r="E13" s="158"/>
      <c r="F13" s="161"/>
      <c r="G13" s="160"/>
      <c r="H13" s="160"/>
      <c r="I13" s="159"/>
      <c r="J13" s="159"/>
      <c r="K13" s="34">
        <f t="shared" si="0"/>
        <v>0</v>
      </c>
      <c r="L13" s="158"/>
      <c r="M13" s="158"/>
      <c r="N13" s="161"/>
      <c r="O13" s="160"/>
      <c r="P13" s="160"/>
      <c r="Q13" s="159"/>
      <c r="R13" s="159"/>
      <c r="S13" s="34">
        <f t="shared" si="1"/>
        <v>0</v>
      </c>
      <c r="T13" s="234">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0</v>
      </c>
      <c r="AD13" s="106">
        <f t="shared" si="11"/>
        <v>0</v>
      </c>
    </row>
    <row r="14" spans="1:35">
      <c r="A14" s="165">
        <v>2</v>
      </c>
      <c r="B14" s="164" t="s">
        <v>402</v>
      </c>
      <c r="C14" s="163"/>
      <c r="D14" s="162" t="s">
        <v>93</v>
      </c>
      <c r="E14" s="158"/>
      <c r="F14" s="161"/>
      <c r="G14" s="160"/>
      <c r="H14" s="160"/>
      <c r="I14" s="159"/>
      <c r="J14" s="159"/>
      <c r="K14" s="34">
        <f t="shared" si="0"/>
        <v>0</v>
      </c>
      <c r="L14" s="158"/>
      <c r="M14" s="158"/>
      <c r="N14" s="161"/>
      <c r="O14" s="160"/>
      <c r="P14" s="160"/>
      <c r="Q14" s="159"/>
      <c r="R14" s="159"/>
      <c r="S14" s="34">
        <f t="shared" si="1"/>
        <v>0</v>
      </c>
      <c r="T14" s="234">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0</v>
      </c>
      <c r="AD14" s="106">
        <f t="shared" si="11"/>
        <v>0</v>
      </c>
    </row>
    <row r="15" spans="1:35">
      <c r="A15" s="165">
        <v>2</v>
      </c>
      <c r="B15" s="164" t="s">
        <v>401</v>
      </c>
      <c r="C15" s="163"/>
      <c r="D15" s="162" t="s">
        <v>91</v>
      </c>
      <c r="E15" s="158"/>
      <c r="F15" s="161"/>
      <c r="G15" s="160"/>
      <c r="H15" s="160"/>
      <c r="I15" s="159"/>
      <c r="J15" s="159"/>
      <c r="K15" s="34">
        <f t="shared" si="0"/>
        <v>0</v>
      </c>
      <c r="L15" s="158"/>
      <c r="M15" s="158"/>
      <c r="N15" s="161"/>
      <c r="O15" s="160"/>
      <c r="P15" s="160"/>
      <c r="Q15" s="159"/>
      <c r="R15" s="159"/>
      <c r="S15" s="34">
        <f t="shared" si="1"/>
        <v>0</v>
      </c>
      <c r="T15" s="234">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0</v>
      </c>
      <c r="AD15" s="106">
        <f t="shared" si="11"/>
        <v>0</v>
      </c>
    </row>
    <row r="16" spans="1:35">
      <c r="A16" s="165">
        <v>2</v>
      </c>
      <c r="B16" s="164" t="s">
        <v>400</v>
      </c>
      <c r="C16" s="163"/>
      <c r="D16" s="162" t="s">
        <v>89</v>
      </c>
      <c r="E16" s="158"/>
      <c r="F16" s="161"/>
      <c r="G16" s="160"/>
      <c r="H16" s="160"/>
      <c r="I16" s="159"/>
      <c r="J16" s="159"/>
      <c r="K16" s="34">
        <f t="shared" si="0"/>
        <v>0</v>
      </c>
      <c r="L16" s="158"/>
      <c r="M16" s="158"/>
      <c r="N16" s="161"/>
      <c r="O16" s="160"/>
      <c r="P16" s="160"/>
      <c r="Q16" s="159"/>
      <c r="R16" s="159"/>
      <c r="S16" s="34">
        <f t="shared" si="1"/>
        <v>0</v>
      </c>
      <c r="T16" s="234">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0</v>
      </c>
      <c r="AD16" s="106">
        <f t="shared" si="11"/>
        <v>0</v>
      </c>
    </row>
    <row r="17" spans="1:30">
      <c r="A17" s="165">
        <v>2</v>
      </c>
      <c r="B17" s="164" t="s">
        <v>399</v>
      </c>
      <c r="C17" s="163"/>
      <c r="D17" s="162" t="s">
        <v>87</v>
      </c>
      <c r="E17" s="158"/>
      <c r="F17" s="161"/>
      <c r="G17" s="160"/>
      <c r="H17" s="160"/>
      <c r="I17" s="159"/>
      <c r="J17" s="159"/>
      <c r="K17" s="34">
        <f t="shared" si="0"/>
        <v>0</v>
      </c>
      <c r="L17" s="158"/>
      <c r="M17" s="158"/>
      <c r="N17" s="161"/>
      <c r="O17" s="160"/>
      <c r="P17" s="160"/>
      <c r="Q17" s="159"/>
      <c r="R17" s="159"/>
      <c r="S17" s="34">
        <f t="shared" si="1"/>
        <v>0</v>
      </c>
      <c r="T17" s="234">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0</v>
      </c>
      <c r="AD17" s="106">
        <f t="shared" si="11"/>
        <v>0</v>
      </c>
    </row>
    <row r="18" spans="1:30">
      <c r="A18" s="165">
        <v>2</v>
      </c>
      <c r="B18" s="164" t="s">
        <v>398</v>
      </c>
      <c r="C18" s="163"/>
      <c r="D18" s="162" t="s">
        <v>85</v>
      </c>
      <c r="E18" s="158"/>
      <c r="F18" s="161"/>
      <c r="G18" s="160"/>
      <c r="H18" s="160"/>
      <c r="I18" s="159"/>
      <c r="J18" s="159"/>
      <c r="K18" s="34">
        <f t="shared" si="0"/>
        <v>0</v>
      </c>
      <c r="L18" s="158"/>
      <c r="M18" s="158"/>
      <c r="N18" s="161"/>
      <c r="O18" s="160"/>
      <c r="P18" s="160"/>
      <c r="Q18" s="159"/>
      <c r="R18" s="159"/>
      <c r="S18" s="34">
        <f t="shared" si="1"/>
        <v>0</v>
      </c>
      <c r="T18" s="234">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0</v>
      </c>
      <c r="AD18" s="106">
        <f t="shared" si="11"/>
        <v>0</v>
      </c>
    </row>
    <row r="19" spans="1:30">
      <c r="A19" s="165">
        <v>2</v>
      </c>
      <c r="B19" s="164" t="s">
        <v>397</v>
      </c>
      <c r="C19" s="163"/>
      <c r="D19" s="162" t="s">
        <v>83</v>
      </c>
      <c r="E19" s="158"/>
      <c r="F19" s="161"/>
      <c r="G19" s="160"/>
      <c r="H19" s="160"/>
      <c r="I19" s="159"/>
      <c r="J19" s="159"/>
      <c r="K19" s="34">
        <f t="shared" si="0"/>
        <v>0</v>
      </c>
      <c r="L19" s="158"/>
      <c r="M19" s="158"/>
      <c r="N19" s="161"/>
      <c r="O19" s="160"/>
      <c r="P19" s="160"/>
      <c r="Q19" s="159"/>
      <c r="R19" s="159"/>
      <c r="S19" s="34">
        <f t="shared" si="1"/>
        <v>0</v>
      </c>
      <c r="T19" s="234">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0</v>
      </c>
      <c r="AD19" s="106">
        <f t="shared" si="11"/>
        <v>0</v>
      </c>
    </row>
    <row r="20" spans="1:30">
      <c r="A20" s="165">
        <v>2</v>
      </c>
      <c r="B20" s="164" t="s">
        <v>396</v>
      </c>
      <c r="C20" s="163"/>
      <c r="D20" s="162" t="s">
        <v>81</v>
      </c>
      <c r="E20" s="158"/>
      <c r="F20" s="161"/>
      <c r="G20" s="160"/>
      <c r="H20" s="160"/>
      <c r="I20" s="159"/>
      <c r="J20" s="159"/>
      <c r="K20" s="34">
        <f t="shared" si="0"/>
        <v>0</v>
      </c>
      <c r="L20" s="158"/>
      <c r="M20" s="158"/>
      <c r="N20" s="161"/>
      <c r="O20" s="160"/>
      <c r="P20" s="160"/>
      <c r="Q20" s="159"/>
      <c r="R20" s="159"/>
      <c r="S20" s="34">
        <f t="shared" si="1"/>
        <v>0</v>
      </c>
      <c r="T20" s="234">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0</v>
      </c>
      <c r="AD20" s="106">
        <f t="shared" si="11"/>
        <v>0</v>
      </c>
    </row>
    <row r="21" spans="1:30">
      <c r="A21" s="165">
        <v>2</v>
      </c>
      <c r="B21" s="164" t="s">
        <v>395</v>
      </c>
      <c r="C21" s="163"/>
      <c r="D21" s="162" t="s">
        <v>79</v>
      </c>
      <c r="E21" s="158"/>
      <c r="F21" s="161"/>
      <c r="G21" s="160"/>
      <c r="H21" s="160"/>
      <c r="I21" s="159"/>
      <c r="J21" s="159"/>
      <c r="K21" s="34">
        <f t="shared" si="0"/>
        <v>0</v>
      </c>
      <c r="L21" s="158"/>
      <c r="M21" s="158"/>
      <c r="N21" s="161"/>
      <c r="O21" s="160"/>
      <c r="P21" s="160"/>
      <c r="Q21" s="159"/>
      <c r="R21" s="159"/>
      <c r="S21" s="34">
        <f t="shared" si="1"/>
        <v>0</v>
      </c>
      <c r="T21" s="234">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0</v>
      </c>
      <c r="AD21" s="106">
        <f t="shared" si="11"/>
        <v>0</v>
      </c>
    </row>
    <row r="22" spans="1:30">
      <c r="A22" s="165">
        <v>2</v>
      </c>
      <c r="B22" s="164" t="s">
        <v>394</v>
      </c>
      <c r="C22" s="163"/>
      <c r="D22" s="162" t="s">
        <v>77</v>
      </c>
      <c r="E22" s="158"/>
      <c r="F22" s="161"/>
      <c r="G22" s="160"/>
      <c r="H22" s="160"/>
      <c r="I22" s="159"/>
      <c r="J22" s="159"/>
      <c r="K22" s="34">
        <f t="shared" si="0"/>
        <v>0</v>
      </c>
      <c r="L22" s="158"/>
      <c r="M22" s="158"/>
      <c r="N22" s="161"/>
      <c r="O22" s="160"/>
      <c r="P22" s="160"/>
      <c r="Q22" s="159"/>
      <c r="R22" s="159"/>
      <c r="S22" s="34">
        <f t="shared" si="1"/>
        <v>0</v>
      </c>
      <c r="T22" s="234">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0</v>
      </c>
      <c r="AD22" s="106">
        <f t="shared" si="11"/>
        <v>0</v>
      </c>
    </row>
    <row r="23" spans="1:30">
      <c r="A23" s="165">
        <v>2</v>
      </c>
      <c r="B23" s="164" t="s">
        <v>393</v>
      </c>
      <c r="C23" s="163"/>
      <c r="D23" s="162" t="s">
        <v>75</v>
      </c>
      <c r="E23" s="158"/>
      <c r="F23" s="161"/>
      <c r="G23" s="160"/>
      <c r="H23" s="160"/>
      <c r="I23" s="159"/>
      <c r="J23" s="159"/>
      <c r="K23" s="34">
        <f t="shared" si="0"/>
        <v>0</v>
      </c>
      <c r="L23" s="158"/>
      <c r="M23" s="158"/>
      <c r="N23" s="161"/>
      <c r="O23" s="160"/>
      <c r="P23" s="160"/>
      <c r="Q23" s="159"/>
      <c r="R23" s="159"/>
      <c r="S23" s="34">
        <f t="shared" si="1"/>
        <v>0</v>
      </c>
      <c r="T23" s="234">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0</v>
      </c>
      <c r="AD23" s="106">
        <f t="shared" si="11"/>
        <v>0</v>
      </c>
    </row>
    <row r="24" spans="1:30">
      <c r="A24" s="165">
        <v>2</v>
      </c>
      <c r="B24" s="164" t="s">
        <v>392</v>
      </c>
      <c r="C24" s="163"/>
      <c r="D24" s="162" t="s">
        <v>73</v>
      </c>
      <c r="E24" s="158"/>
      <c r="F24" s="161"/>
      <c r="G24" s="160"/>
      <c r="H24" s="160"/>
      <c r="I24" s="159"/>
      <c r="J24" s="159"/>
      <c r="K24" s="34">
        <f t="shared" si="0"/>
        <v>0</v>
      </c>
      <c r="L24" s="158"/>
      <c r="M24" s="158"/>
      <c r="N24" s="161"/>
      <c r="O24" s="160"/>
      <c r="P24" s="160"/>
      <c r="Q24" s="159"/>
      <c r="R24" s="159"/>
      <c r="S24" s="34">
        <f t="shared" si="1"/>
        <v>0</v>
      </c>
      <c r="T24" s="234">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0</v>
      </c>
      <c r="AD24" s="106">
        <f t="shared" si="11"/>
        <v>0</v>
      </c>
    </row>
    <row r="25" spans="1:30">
      <c r="A25" s="165">
        <v>2</v>
      </c>
      <c r="B25" s="164" t="s">
        <v>390</v>
      </c>
      <c r="C25" s="163" t="s">
        <v>391</v>
      </c>
      <c r="D25" s="162" t="s">
        <v>71</v>
      </c>
      <c r="E25" s="158"/>
      <c r="F25" s="161"/>
      <c r="G25" s="160"/>
      <c r="H25" s="160"/>
      <c r="I25" s="159"/>
      <c r="J25" s="159"/>
      <c r="K25" s="34">
        <f t="shared" si="0"/>
        <v>0</v>
      </c>
      <c r="L25" s="158"/>
      <c r="M25" s="158"/>
      <c r="N25" s="161"/>
      <c r="O25" s="160"/>
      <c r="P25" s="160"/>
      <c r="Q25" s="159"/>
      <c r="R25" s="159"/>
      <c r="S25" s="34">
        <f t="shared" si="1"/>
        <v>0</v>
      </c>
      <c r="T25" s="234">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0</v>
      </c>
      <c r="AD25" s="106">
        <f t="shared" si="11"/>
        <v>0</v>
      </c>
    </row>
    <row r="26" spans="1:30">
      <c r="A26" s="165">
        <v>2</v>
      </c>
      <c r="B26" s="164" t="s">
        <v>390</v>
      </c>
      <c r="C26" s="163" t="s">
        <v>389</v>
      </c>
      <c r="D26" s="162" t="s">
        <v>68</v>
      </c>
      <c r="E26" s="158"/>
      <c r="F26" s="161"/>
      <c r="G26" s="160"/>
      <c r="H26" s="160"/>
      <c r="I26" s="159"/>
      <c r="J26" s="159"/>
      <c r="K26" s="34">
        <f t="shared" si="0"/>
        <v>0</v>
      </c>
      <c r="L26" s="158"/>
      <c r="M26" s="158"/>
      <c r="N26" s="161"/>
      <c r="O26" s="160"/>
      <c r="P26" s="160"/>
      <c r="Q26" s="159"/>
      <c r="R26" s="159"/>
      <c r="S26" s="34">
        <f t="shared" si="1"/>
        <v>0</v>
      </c>
      <c r="T26" s="234">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0</v>
      </c>
      <c r="AD26" s="106">
        <f t="shared" si="11"/>
        <v>0</v>
      </c>
    </row>
    <row r="27" spans="1:30">
      <c r="A27" s="165">
        <v>2</v>
      </c>
      <c r="B27" s="164" t="s">
        <v>388</v>
      </c>
      <c r="C27" s="163"/>
      <c r="D27" s="162" t="s">
        <v>66</v>
      </c>
      <c r="E27" s="158"/>
      <c r="F27" s="161"/>
      <c r="G27" s="160"/>
      <c r="H27" s="160"/>
      <c r="I27" s="159"/>
      <c r="J27" s="159"/>
      <c r="K27" s="34">
        <f t="shared" si="0"/>
        <v>0</v>
      </c>
      <c r="L27" s="158"/>
      <c r="M27" s="158"/>
      <c r="N27" s="161"/>
      <c r="O27" s="160"/>
      <c r="P27" s="160"/>
      <c r="Q27" s="159"/>
      <c r="R27" s="159"/>
      <c r="S27" s="34">
        <f t="shared" si="1"/>
        <v>0</v>
      </c>
      <c r="T27" s="234">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0</v>
      </c>
      <c r="AD27" s="106">
        <f t="shared" si="11"/>
        <v>0</v>
      </c>
    </row>
    <row r="28" spans="1:30">
      <c r="A28" s="165">
        <v>2</v>
      </c>
      <c r="B28" s="164" t="s">
        <v>387</v>
      </c>
      <c r="C28" s="163"/>
      <c r="D28" s="162" t="s">
        <v>64</v>
      </c>
      <c r="E28" s="158"/>
      <c r="F28" s="161"/>
      <c r="G28" s="160"/>
      <c r="H28" s="160"/>
      <c r="I28" s="159"/>
      <c r="J28" s="159"/>
      <c r="K28" s="34">
        <f t="shared" si="0"/>
        <v>0</v>
      </c>
      <c r="L28" s="158"/>
      <c r="M28" s="158"/>
      <c r="N28" s="161"/>
      <c r="O28" s="160"/>
      <c r="P28" s="160"/>
      <c r="Q28" s="159"/>
      <c r="R28" s="159"/>
      <c r="S28" s="34">
        <f t="shared" si="1"/>
        <v>0</v>
      </c>
      <c r="T28" s="234">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0</v>
      </c>
      <c r="AD28" s="106">
        <f t="shared" si="11"/>
        <v>0</v>
      </c>
    </row>
    <row r="29" spans="1:30">
      <c r="A29" s="165">
        <v>2</v>
      </c>
      <c r="B29" s="164" t="s">
        <v>386</v>
      </c>
      <c r="C29" s="163"/>
      <c r="D29" s="162" t="s">
        <v>62</v>
      </c>
      <c r="E29" s="158"/>
      <c r="F29" s="161"/>
      <c r="G29" s="160"/>
      <c r="H29" s="160"/>
      <c r="I29" s="159"/>
      <c r="J29" s="159"/>
      <c r="K29" s="34">
        <f t="shared" si="0"/>
        <v>0</v>
      </c>
      <c r="L29" s="158"/>
      <c r="M29" s="158"/>
      <c r="N29" s="161"/>
      <c r="O29" s="160"/>
      <c r="P29" s="160"/>
      <c r="Q29" s="159"/>
      <c r="R29" s="159"/>
      <c r="S29" s="34">
        <f t="shared" si="1"/>
        <v>0</v>
      </c>
      <c r="T29" s="234">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0</v>
      </c>
      <c r="AD29" s="106">
        <f t="shared" si="11"/>
        <v>0</v>
      </c>
    </row>
    <row r="30" spans="1:30">
      <c r="A30" s="165">
        <v>2</v>
      </c>
      <c r="B30" s="164">
        <v>8831736</v>
      </c>
      <c r="C30" s="163"/>
      <c r="D30" s="162" t="s">
        <v>868</v>
      </c>
      <c r="E30" s="158"/>
      <c r="F30" s="161"/>
      <c r="G30" s="160"/>
      <c r="H30" s="160"/>
      <c r="I30" s="159"/>
      <c r="J30" s="159"/>
      <c r="K30" s="34">
        <f t="shared" si="0"/>
        <v>0</v>
      </c>
      <c r="L30" s="158"/>
      <c r="M30" s="158"/>
      <c r="N30" s="161"/>
      <c r="O30" s="160"/>
      <c r="P30" s="160"/>
      <c r="Q30" s="159"/>
      <c r="R30" s="159"/>
      <c r="S30" s="34">
        <f t="shared" ref="S30" si="12">SUM(N30:R30)</f>
        <v>0</v>
      </c>
      <c r="T30" s="234">
        <f t="shared" ref="T30" si="13">+E30-S30</f>
        <v>0</v>
      </c>
      <c r="U30" s="107">
        <f t="shared" ref="U30" si="14">N30-F30*F$4/(100+F$4)</f>
        <v>0</v>
      </c>
      <c r="V30" s="107">
        <f t="shared" ref="V30" si="15">O30-G30*G$4/(100+G$4)</f>
        <v>0</v>
      </c>
      <c r="W30" s="107">
        <f t="shared" ref="W30" si="16">P30-H30*H$4/(100+H$4)</f>
        <v>0</v>
      </c>
      <c r="X30" s="107">
        <f t="shared" ref="X30" si="17">Q30-I30*I$4/(100+I$4)</f>
        <v>0</v>
      </c>
      <c r="Y30" s="107">
        <f t="shared" ref="Y30" si="18">R30-J30*J$4/(100+J$4)</f>
        <v>0</v>
      </c>
      <c r="Z30" s="106">
        <f t="shared" si="7"/>
        <v>0</v>
      </c>
      <c r="AA30" s="106">
        <f t="shared" si="8"/>
        <v>0</v>
      </c>
      <c r="AB30" s="106">
        <f t="shared" si="9"/>
        <v>0</v>
      </c>
      <c r="AC30" s="106">
        <f t="shared" si="10"/>
        <v>0</v>
      </c>
      <c r="AD30" s="106">
        <f t="shared" si="11"/>
        <v>0</v>
      </c>
    </row>
    <row r="31" spans="1:30">
      <c r="A31" s="165">
        <v>2</v>
      </c>
      <c r="B31" s="164" t="s">
        <v>385</v>
      </c>
      <c r="C31" s="163"/>
      <c r="D31" s="162" t="s">
        <v>60</v>
      </c>
      <c r="E31" s="158"/>
      <c r="F31" s="161"/>
      <c r="G31" s="160"/>
      <c r="H31" s="160"/>
      <c r="I31" s="159"/>
      <c r="J31" s="159"/>
      <c r="K31" s="34">
        <f t="shared" si="0"/>
        <v>0</v>
      </c>
      <c r="L31" s="158"/>
      <c r="M31" s="158"/>
      <c r="N31" s="161"/>
      <c r="O31" s="160"/>
      <c r="P31" s="160"/>
      <c r="Q31" s="159"/>
      <c r="R31" s="159"/>
      <c r="S31" s="34">
        <f t="shared" si="1"/>
        <v>0</v>
      </c>
      <c r="T31" s="234">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0</v>
      </c>
      <c r="AD31" s="106">
        <f t="shared" si="11"/>
        <v>0</v>
      </c>
    </row>
    <row r="32" spans="1:30">
      <c r="A32" s="165">
        <v>2</v>
      </c>
      <c r="B32" s="164" t="s">
        <v>384</v>
      </c>
      <c r="C32" s="163"/>
      <c r="D32" s="162" t="s">
        <v>58</v>
      </c>
      <c r="E32" s="158"/>
      <c r="F32" s="161"/>
      <c r="G32" s="160"/>
      <c r="H32" s="160"/>
      <c r="I32" s="159"/>
      <c r="J32" s="159"/>
      <c r="K32" s="34">
        <f t="shared" si="0"/>
        <v>0</v>
      </c>
      <c r="L32" s="158"/>
      <c r="M32" s="158"/>
      <c r="N32" s="161"/>
      <c r="O32" s="160"/>
      <c r="P32" s="160"/>
      <c r="Q32" s="159"/>
      <c r="R32" s="159"/>
      <c r="S32" s="34">
        <f t="shared" si="1"/>
        <v>0</v>
      </c>
      <c r="T32" s="234">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0</v>
      </c>
      <c r="AD32" s="106">
        <f t="shared" si="11"/>
        <v>0</v>
      </c>
    </row>
    <row r="33" spans="1:30">
      <c r="A33" s="165">
        <v>2</v>
      </c>
      <c r="B33" s="164" t="s">
        <v>383</v>
      </c>
      <c r="C33" s="163"/>
      <c r="D33" s="162" t="s">
        <v>56</v>
      </c>
      <c r="E33" s="158"/>
      <c r="F33" s="161"/>
      <c r="G33" s="160"/>
      <c r="H33" s="160"/>
      <c r="I33" s="159"/>
      <c r="J33" s="159"/>
      <c r="K33" s="34">
        <f t="shared" si="0"/>
        <v>0</v>
      </c>
      <c r="L33" s="158"/>
      <c r="M33" s="158"/>
      <c r="N33" s="161"/>
      <c r="O33" s="160"/>
      <c r="P33" s="160"/>
      <c r="Q33" s="159"/>
      <c r="R33" s="159"/>
      <c r="S33" s="34">
        <f t="shared" si="1"/>
        <v>0</v>
      </c>
      <c r="T33" s="234">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0</v>
      </c>
      <c r="AD33" s="106">
        <f t="shared" si="11"/>
        <v>0</v>
      </c>
    </row>
    <row r="34" spans="1:30">
      <c r="A34" s="165">
        <v>2</v>
      </c>
      <c r="B34" s="164" t="s">
        <v>382</v>
      </c>
      <c r="C34" s="163"/>
      <c r="D34" s="162" t="s">
        <v>55</v>
      </c>
      <c r="E34" s="158"/>
      <c r="F34" s="161"/>
      <c r="G34" s="160"/>
      <c r="H34" s="160"/>
      <c r="I34" s="159"/>
      <c r="J34" s="159"/>
      <c r="K34" s="34">
        <f t="shared" si="0"/>
        <v>0</v>
      </c>
      <c r="L34" s="158"/>
      <c r="M34" s="158"/>
      <c r="N34" s="161"/>
      <c r="O34" s="160"/>
      <c r="P34" s="160"/>
      <c r="Q34" s="159"/>
      <c r="R34" s="159"/>
      <c r="S34" s="34">
        <f t="shared" si="1"/>
        <v>0</v>
      </c>
      <c r="T34" s="234">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0</v>
      </c>
      <c r="AD34" s="106">
        <f t="shared" si="11"/>
        <v>0</v>
      </c>
    </row>
    <row r="35" spans="1:30">
      <c r="A35" s="165">
        <v>2</v>
      </c>
      <c r="B35" s="164" t="s">
        <v>381</v>
      </c>
      <c r="C35" s="163"/>
      <c r="D35" s="162" t="s">
        <v>53</v>
      </c>
      <c r="E35" s="158"/>
      <c r="F35" s="161"/>
      <c r="G35" s="160"/>
      <c r="H35" s="160"/>
      <c r="I35" s="159"/>
      <c r="J35" s="159"/>
      <c r="K35" s="34">
        <f t="shared" si="0"/>
        <v>0</v>
      </c>
      <c r="L35" s="158"/>
      <c r="M35" s="158"/>
      <c r="N35" s="161"/>
      <c r="O35" s="160"/>
      <c r="P35" s="160"/>
      <c r="Q35" s="159"/>
      <c r="R35" s="159"/>
      <c r="S35" s="34">
        <f t="shared" si="1"/>
        <v>0</v>
      </c>
      <c r="T35" s="234">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0</v>
      </c>
      <c r="AD35" s="106">
        <f t="shared" si="11"/>
        <v>0</v>
      </c>
    </row>
    <row r="36" spans="1:30" ht="14.25" thickBot="1">
      <c r="A36" s="165"/>
      <c r="B36" s="164" t="s">
        <v>380</v>
      </c>
      <c r="C36" s="163"/>
      <c r="D36" s="162" t="s">
        <v>51</v>
      </c>
      <c r="E36" s="158"/>
      <c r="F36" s="161"/>
      <c r="G36" s="160"/>
      <c r="H36" s="160"/>
      <c r="I36" s="159"/>
      <c r="J36" s="159"/>
      <c r="K36" s="34">
        <f t="shared" si="0"/>
        <v>0</v>
      </c>
      <c r="L36" s="158"/>
      <c r="M36" s="158"/>
      <c r="N36" s="161"/>
      <c r="O36" s="160"/>
      <c r="P36" s="160"/>
      <c r="Q36" s="159"/>
      <c r="R36" s="159"/>
      <c r="S36" s="34">
        <f t="shared" si="1"/>
        <v>0</v>
      </c>
      <c r="T36" s="234">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0</v>
      </c>
      <c r="AD36" s="106">
        <f t="shared" si="11"/>
        <v>0</v>
      </c>
    </row>
    <row r="37" spans="1:30" ht="14.25" thickTop="1">
      <c r="A37" s="156"/>
      <c r="B37" s="155"/>
      <c r="C37" s="154"/>
      <c r="D37" s="153" t="s">
        <v>2</v>
      </c>
      <c r="E37" s="149">
        <f t="shared" ref="E37:T37" si="19">SUM(E5:E36)</f>
        <v>0</v>
      </c>
      <c r="F37" s="152">
        <f t="shared" si="19"/>
        <v>0</v>
      </c>
      <c r="G37" s="151">
        <f t="shared" si="19"/>
        <v>0</v>
      </c>
      <c r="H37" s="151">
        <f t="shared" si="19"/>
        <v>0</v>
      </c>
      <c r="I37" s="150">
        <f t="shared" ref="I37" si="20">SUM(I5:I36)</f>
        <v>0</v>
      </c>
      <c r="J37" s="150">
        <f t="shared" si="19"/>
        <v>0</v>
      </c>
      <c r="K37" s="74">
        <f t="shared" si="19"/>
        <v>0</v>
      </c>
      <c r="L37" s="149">
        <f t="shared" si="19"/>
        <v>0</v>
      </c>
      <c r="M37" s="149">
        <f t="shared" si="19"/>
        <v>0</v>
      </c>
      <c r="N37" s="146">
        <f t="shared" si="19"/>
        <v>0</v>
      </c>
      <c r="O37" s="145">
        <f t="shared" si="19"/>
        <v>0</v>
      </c>
      <c r="P37" s="145">
        <f t="shared" si="19"/>
        <v>0</v>
      </c>
      <c r="Q37" s="148">
        <f t="shared" ref="Q37" si="21">SUM(Q5:Q36)</f>
        <v>0</v>
      </c>
      <c r="R37" s="148">
        <f t="shared" si="19"/>
        <v>0</v>
      </c>
      <c r="S37" s="144">
        <f t="shared" si="19"/>
        <v>0</v>
      </c>
      <c r="T37" s="147">
        <f t="shared" si="19"/>
        <v>0</v>
      </c>
      <c r="U37" s="88" t="str">
        <f>+IF(F37=0,"",ROUND(F37*F$4/(100+F$4),7)-N37)</f>
        <v/>
      </c>
      <c r="V37" s="88"/>
      <c r="W37" s="88"/>
      <c r="X37" s="88"/>
      <c r="Y37" s="88"/>
      <c r="Z37" s="88"/>
      <c r="AA37" s="88"/>
      <c r="AB37" s="87"/>
      <c r="AC37" s="87"/>
      <c r="AD37" s="87"/>
    </row>
    <row r="38" spans="1:30">
      <c r="A38" s="143"/>
      <c r="B38" s="142"/>
      <c r="C38" s="141"/>
      <c r="D38" s="140" t="s">
        <v>1</v>
      </c>
      <c r="E38" s="136">
        <f t="shared" ref="E38:J38" si="22">+E37</f>
        <v>0</v>
      </c>
      <c r="F38" s="139">
        <f t="shared" si="22"/>
        <v>0</v>
      </c>
      <c r="G38" s="138">
        <f t="shared" si="22"/>
        <v>0</v>
      </c>
      <c r="H38" s="138">
        <f t="shared" si="22"/>
        <v>0</v>
      </c>
      <c r="I38" s="137">
        <f t="shared" si="22"/>
        <v>0</v>
      </c>
      <c r="J38" s="137">
        <f t="shared" si="22"/>
        <v>0</v>
      </c>
      <c r="K38" s="63">
        <f>SUM(F38:J38)</f>
        <v>0</v>
      </c>
      <c r="L38" s="136">
        <f>+L37</f>
        <v>0</v>
      </c>
      <c r="M38" s="135">
        <f>+M37</f>
        <v>0</v>
      </c>
      <c r="N38" s="133">
        <f>+'3条支出(共通按分後)'!N15</f>
        <v>0</v>
      </c>
      <c r="O38" s="132">
        <f>+'3条支出(共通按分後)'!O15</f>
        <v>0</v>
      </c>
      <c r="P38" s="132">
        <f>+'3条支出(共通按分後)'!P15</f>
        <v>0</v>
      </c>
      <c r="Q38" s="132">
        <f>+'3条支出(共通按分後)'!Q15</f>
        <v>0</v>
      </c>
      <c r="R38" s="132">
        <f>+'3条支出(共通按分後)'!R15</f>
        <v>0</v>
      </c>
      <c r="S38" s="131">
        <f>+'3条支出(共通按分後)'!S15</f>
        <v>0</v>
      </c>
      <c r="T38" s="134">
        <f>+'3条支出(共通按分後)'!T15</f>
        <v>0</v>
      </c>
      <c r="U38" s="88" t="str">
        <f>+IF(F38=0,"",ROUND(F38*F$4/(100+F$4),7)-N38)</f>
        <v/>
      </c>
      <c r="V38" s="88"/>
      <c r="W38" s="88"/>
      <c r="X38" s="88"/>
      <c r="Y38" s="88"/>
      <c r="Z38" s="88"/>
      <c r="AA38" s="88"/>
      <c r="AB38" s="87"/>
      <c r="AC38" s="87"/>
      <c r="AD38" s="87"/>
    </row>
    <row r="39" spans="1:30">
      <c r="E39" s="4">
        <f t="shared" ref="E39:T39" si="23">+E38-E37</f>
        <v>0</v>
      </c>
      <c r="F39" s="4">
        <f t="shared" si="23"/>
        <v>0</v>
      </c>
      <c r="G39" s="4">
        <f t="shared" si="23"/>
        <v>0</v>
      </c>
      <c r="H39" s="4">
        <f t="shared" si="23"/>
        <v>0</v>
      </c>
      <c r="I39" s="4">
        <f t="shared" ref="I39" si="24">+I38-I37</f>
        <v>0</v>
      </c>
      <c r="J39" s="4">
        <f t="shared" si="23"/>
        <v>0</v>
      </c>
      <c r="K39" s="4">
        <f t="shared" si="23"/>
        <v>0</v>
      </c>
      <c r="L39" s="4">
        <f t="shared" si="23"/>
        <v>0</v>
      </c>
      <c r="M39" s="4">
        <f t="shared" si="23"/>
        <v>0</v>
      </c>
      <c r="N39" s="4">
        <f t="shared" si="23"/>
        <v>0</v>
      </c>
      <c r="O39" s="4">
        <f t="shared" si="23"/>
        <v>0</v>
      </c>
      <c r="P39" s="4">
        <f t="shared" si="23"/>
        <v>0</v>
      </c>
      <c r="Q39" s="4">
        <f t="shared" ref="Q39" si="25">+Q38-Q37</f>
        <v>0</v>
      </c>
      <c r="R39" s="4">
        <f t="shared" si="23"/>
        <v>0</v>
      </c>
      <c r="S39" s="4">
        <f t="shared" si="23"/>
        <v>0</v>
      </c>
      <c r="T39" s="4">
        <f t="shared" si="2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29 AE31:AI36 AF30:AI30">
    <cfRule type="notContainsBlanks" dxfId="15" priority="6" stopIfTrue="1">
      <formula>LEN(TRIM(AE5))&gt;0</formula>
    </cfRule>
  </conditionalFormatting>
  <conditionalFormatting sqref="AE37:AI38">
    <cfRule type="notContainsBlanks" dxfId="14" priority="7" stopIfTrue="1">
      <formula>LEN(TRIM(AE37))&gt;0</formula>
    </cfRule>
  </conditionalFormatting>
  <conditionalFormatting sqref="Z5:AD29 Z31:AD36">
    <cfRule type="expression" dxfId="13" priority="5">
      <formula>ABS(Z5)=1</formula>
    </cfRule>
  </conditionalFormatting>
  <conditionalFormatting sqref="E39:T39">
    <cfRule type="cellIs" dxfId="12" priority="4" operator="notEqual">
      <formula>0</formula>
    </cfRule>
  </conditionalFormatting>
  <conditionalFormatting sqref="AE30">
    <cfRule type="notContainsBlanks" dxfId="11" priority="2" stopIfTrue="1">
      <formula>LEN(TRIM(AE30))&gt;0</formula>
    </cfRule>
  </conditionalFormatting>
  <conditionalFormatting sqref="Z30:AD30">
    <cfRule type="expression" dxfId="10"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w1_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3"/>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546</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3</v>
      </c>
      <c r="B5" s="176" t="s">
        <v>446</v>
      </c>
      <c r="C5" s="175"/>
      <c r="D5" s="174" t="s">
        <v>112</v>
      </c>
      <c r="E5" s="170"/>
      <c r="F5" s="173"/>
      <c r="G5" s="172"/>
      <c r="H5" s="275"/>
      <c r="I5" s="270"/>
      <c r="J5" s="171"/>
      <c r="K5" s="112">
        <f t="shared" ref="K5:K36" si="0">SUM(F5:J5)</f>
        <v>0</v>
      </c>
      <c r="L5" s="170"/>
      <c r="M5" s="277"/>
      <c r="N5" s="173"/>
      <c r="O5" s="172"/>
      <c r="P5" s="172"/>
      <c r="Q5" s="171"/>
      <c r="R5" s="171"/>
      <c r="S5" s="112">
        <f t="shared" ref="S5:S36" si="1">SUM(N5:R5)</f>
        <v>0</v>
      </c>
      <c r="T5" s="166">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0</v>
      </c>
      <c r="AD5" s="106">
        <f t="shared" ref="AD5:AD36" si="11">+IF(R$39=0,0,IF(R$39&lt;0,-RANK(Y5,Y$5:Y$36,0),RANK(Y5,Y$5:Y$36,1)))</f>
        <v>0</v>
      </c>
    </row>
    <row r="6" spans="1:35">
      <c r="A6" s="165">
        <v>3</v>
      </c>
      <c r="B6" s="164" t="s">
        <v>445</v>
      </c>
      <c r="C6" s="163"/>
      <c r="D6" s="162" t="s">
        <v>110</v>
      </c>
      <c r="E6" s="158"/>
      <c r="F6" s="161"/>
      <c r="G6" s="160"/>
      <c r="H6" s="160"/>
      <c r="I6" s="159"/>
      <c r="J6" s="159"/>
      <c r="K6" s="34">
        <f t="shared" si="0"/>
        <v>0</v>
      </c>
      <c r="L6" s="158"/>
      <c r="M6" s="158"/>
      <c r="N6" s="161"/>
      <c r="O6" s="160"/>
      <c r="P6" s="160"/>
      <c r="Q6" s="159"/>
      <c r="R6" s="159"/>
      <c r="S6" s="34">
        <f t="shared" si="1"/>
        <v>0</v>
      </c>
      <c r="T6" s="109">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0</v>
      </c>
      <c r="AD6" s="106">
        <f t="shared" si="11"/>
        <v>0</v>
      </c>
    </row>
    <row r="7" spans="1:35">
      <c r="A7" s="165">
        <v>3</v>
      </c>
      <c r="B7" s="164" t="s">
        <v>444</v>
      </c>
      <c r="C7" s="163"/>
      <c r="D7" s="162" t="s">
        <v>108</v>
      </c>
      <c r="E7" s="158"/>
      <c r="F7" s="161"/>
      <c r="G7" s="160"/>
      <c r="H7" s="160"/>
      <c r="I7" s="159"/>
      <c r="J7" s="159"/>
      <c r="K7" s="34">
        <f t="shared" si="0"/>
        <v>0</v>
      </c>
      <c r="L7" s="158"/>
      <c r="M7" s="158"/>
      <c r="N7" s="161"/>
      <c r="O7" s="160"/>
      <c r="P7" s="160"/>
      <c r="Q7" s="159"/>
      <c r="R7" s="159"/>
      <c r="S7" s="34">
        <f t="shared" si="1"/>
        <v>0</v>
      </c>
      <c r="T7" s="109">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0</v>
      </c>
      <c r="AD7" s="106">
        <f t="shared" si="11"/>
        <v>0</v>
      </c>
    </row>
    <row r="8" spans="1:35">
      <c r="A8" s="165">
        <v>3</v>
      </c>
      <c r="B8" s="164" t="s">
        <v>443</v>
      </c>
      <c r="C8" s="163"/>
      <c r="D8" s="162" t="s">
        <v>106</v>
      </c>
      <c r="E8" s="158"/>
      <c r="F8" s="161"/>
      <c r="G8" s="160"/>
      <c r="H8" s="160"/>
      <c r="I8" s="159"/>
      <c r="J8" s="159"/>
      <c r="K8" s="34">
        <f t="shared" si="0"/>
        <v>0</v>
      </c>
      <c r="L8" s="158"/>
      <c r="M8" s="158"/>
      <c r="N8" s="161"/>
      <c r="O8" s="160"/>
      <c r="P8" s="160"/>
      <c r="Q8" s="159"/>
      <c r="R8" s="159"/>
      <c r="S8" s="34">
        <f t="shared" si="1"/>
        <v>0</v>
      </c>
      <c r="T8" s="109">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0</v>
      </c>
      <c r="AD8" s="106">
        <f t="shared" si="11"/>
        <v>0</v>
      </c>
    </row>
    <row r="9" spans="1:35">
      <c r="A9" s="165">
        <v>3</v>
      </c>
      <c r="B9" s="164" t="s">
        <v>442</v>
      </c>
      <c r="C9" s="163"/>
      <c r="D9" s="162" t="s">
        <v>104</v>
      </c>
      <c r="E9" s="158"/>
      <c r="F9" s="161"/>
      <c r="G9" s="160"/>
      <c r="H9" s="160"/>
      <c r="I9" s="159"/>
      <c r="J9" s="159"/>
      <c r="K9" s="34">
        <f t="shared" si="0"/>
        <v>0</v>
      </c>
      <c r="L9" s="158"/>
      <c r="M9" s="158"/>
      <c r="N9" s="161"/>
      <c r="O9" s="160"/>
      <c r="P9" s="160"/>
      <c r="Q9" s="159"/>
      <c r="R9" s="159"/>
      <c r="S9" s="34">
        <f t="shared" si="1"/>
        <v>0</v>
      </c>
      <c r="T9" s="109">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0</v>
      </c>
      <c r="AD9" s="106">
        <f t="shared" si="11"/>
        <v>0</v>
      </c>
    </row>
    <row r="10" spans="1:35">
      <c r="A10" s="165">
        <v>3</v>
      </c>
      <c r="B10" s="164" t="s">
        <v>441</v>
      </c>
      <c r="C10" s="163"/>
      <c r="D10" s="162" t="s">
        <v>102</v>
      </c>
      <c r="E10" s="158"/>
      <c r="F10" s="161"/>
      <c r="G10" s="160"/>
      <c r="H10" s="276"/>
      <c r="I10" s="271"/>
      <c r="J10" s="159"/>
      <c r="K10" s="34">
        <f t="shared" si="0"/>
        <v>0</v>
      </c>
      <c r="L10" s="158"/>
      <c r="M10" s="278"/>
      <c r="N10" s="161"/>
      <c r="O10" s="160"/>
      <c r="P10" s="160"/>
      <c r="Q10" s="159"/>
      <c r="R10" s="159"/>
      <c r="S10" s="34">
        <f t="shared" si="1"/>
        <v>0</v>
      </c>
      <c r="T10" s="109">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0</v>
      </c>
      <c r="AD10" s="106">
        <f t="shared" si="11"/>
        <v>0</v>
      </c>
    </row>
    <row r="11" spans="1:35">
      <c r="A11" s="165">
        <v>3</v>
      </c>
      <c r="B11" s="164" t="s">
        <v>440</v>
      </c>
      <c r="C11" s="163"/>
      <c r="D11" s="162" t="s">
        <v>100</v>
      </c>
      <c r="E11" s="158"/>
      <c r="F11" s="161"/>
      <c r="G11" s="160"/>
      <c r="H11" s="160"/>
      <c r="I11" s="159"/>
      <c r="J11" s="159"/>
      <c r="K11" s="34">
        <f t="shared" si="0"/>
        <v>0</v>
      </c>
      <c r="L11" s="158"/>
      <c r="M11" s="158"/>
      <c r="N11" s="161"/>
      <c r="O11" s="160"/>
      <c r="P11" s="160"/>
      <c r="Q11" s="159"/>
      <c r="R11" s="159"/>
      <c r="S11" s="34">
        <f t="shared" si="1"/>
        <v>0</v>
      </c>
      <c r="T11" s="109">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0</v>
      </c>
      <c r="AD11" s="106">
        <f t="shared" si="11"/>
        <v>0</v>
      </c>
    </row>
    <row r="12" spans="1:35">
      <c r="A12" s="165">
        <v>3</v>
      </c>
      <c r="B12" s="164" t="s">
        <v>438</v>
      </c>
      <c r="C12" s="163" t="s">
        <v>439</v>
      </c>
      <c r="D12" s="162" t="s">
        <v>98</v>
      </c>
      <c r="E12" s="158"/>
      <c r="F12" s="161"/>
      <c r="G12" s="160"/>
      <c r="H12" s="160"/>
      <c r="I12" s="159"/>
      <c r="J12" s="159"/>
      <c r="K12" s="34">
        <f t="shared" si="0"/>
        <v>0</v>
      </c>
      <c r="L12" s="158"/>
      <c r="M12" s="158"/>
      <c r="N12" s="161"/>
      <c r="O12" s="160"/>
      <c r="P12" s="160"/>
      <c r="Q12" s="159"/>
      <c r="R12" s="159"/>
      <c r="S12" s="34">
        <f t="shared" si="1"/>
        <v>0</v>
      </c>
      <c r="T12" s="109">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0</v>
      </c>
      <c r="AD12" s="106">
        <f t="shared" si="11"/>
        <v>0</v>
      </c>
    </row>
    <row r="13" spans="1:35">
      <c r="A13" s="165">
        <v>3</v>
      </c>
      <c r="B13" s="164" t="s">
        <v>438</v>
      </c>
      <c r="C13" s="163" t="s">
        <v>437</v>
      </c>
      <c r="D13" s="162" t="s">
        <v>95</v>
      </c>
      <c r="E13" s="158"/>
      <c r="F13" s="161"/>
      <c r="G13" s="160"/>
      <c r="H13" s="160"/>
      <c r="I13" s="159"/>
      <c r="J13" s="159"/>
      <c r="K13" s="34">
        <f t="shared" si="0"/>
        <v>0</v>
      </c>
      <c r="L13" s="158"/>
      <c r="M13" s="158"/>
      <c r="N13" s="161"/>
      <c r="O13" s="160"/>
      <c r="P13" s="160"/>
      <c r="Q13" s="159"/>
      <c r="R13" s="159"/>
      <c r="S13" s="34">
        <f t="shared" si="1"/>
        <v>0</v>
      </c>
      <c r="T13" s="109">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0</v>
      </c>
      <c r="AD13" s="106">
        <f t="shared" si="11"/>
        <v>0</v>
      </c>
    </row>
    <row r="14" spans="1:35">
      <c r="A14" s="165">
        <v>3</v>
      </c>
      <c r="B14" s="164" t="s">
        <v>436</v>
      </c>
      <c r="C14" s="163"/>
      <c r="D14" s="162" t="s">
        <v>93</v>
      </c>
      <c r="E14" s="158"/>
      <c r="F14" s="161"/>
      <c r="G14" s="160"/>
      <c r="H14" s="160"/>
      <c r="I14" s="159"/>
      <c r="J14" s="159"/>
      <c r="K14" s="34">
        <f t="shared" si="0"/>
        <v>0</v>
      </c>
      <c r="L14" s="158"/>
      <c r="M14" s="158"/>
      <c r="N14" s="161"/>
      <c r="O14" s="160"/>
      <c r="P14" s="160"/>
      <c r="Q14" s="159"/>
      <c r="R14" s="159"/>
      <c r="S14" s="34">
        <f t="shared" si="1"/>
        <v>0</v>
      </c>
      <c r="T14" s="109">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0</v>
      </c>
      <c r="AD14" s="106">
        <f t="shared" si="11"/>
        <v>0</v>
      </c>
    </row>
    <row r="15" spans="1:35">
      <c r="A15" s="165">
        <v>3</v>
      </c>
      <c r="B15" s="164" t="s">
        <v>435</v>
      </c>
      <c r="C15" s="163"/>
      <c r="D15" s="162" t="s">
        <v>91</v>
      </c>
      <c r="E15" s="158"/>
      <c r="F15" s="161"/>
      <c r="G15" s="160"/>
      <c r="H15" s="160"/>
      <c r="I15" s="159"/>
      <c r="J15" s="159"/>
      <c r="K15" s="34">
        <f t="shared" si="0"/>
        <v>0</v>
      </c>
      <c r="L15" s="158"/>
      <c r="M15" s="158"/>
      <c r="N15" s="161"/>
      <c r="O15" s="160"/>
      <c r="P15" s="160"/>
      <c r="Q15" s="159"/>
      <c r="R15" s="159"/>
      <c r="S15" s="34">
        <f t="shared" si="1"/>
        <v>0</v>
      </c>
      <c r="T15" s="109">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0</v>
      </c>
      <c r="AD15" s="106">
        <f t="shared" si="11"/>
        <v>0</v>
      </c>
    </row>
    <row r="16" spans="1:35">
      <c r="A16" s="165">
        <v>3</v>
      </c>
      <c r="B16" s="164" t="s">
        <v>434</v>
      </c>
      <c r="C16" s="163"/>
      <c r="D16" s="162" t="s">
        <v>89</v>
      </c>
      <c r="E16" s="158"/>
      <c r="F16" s="161"/>
      <c r="G16" s="160"/>
      <c r="H16" s="160"/>
      <c r="I16" s="159"/>
      <c r="J16" s="159"/>
      <c r="K16" s="34">
        <f t="shared" si="0"/>
        <v>0</v>
      </c>
      <c r="L16" s="158"/>
      <c r="M16" s="158"/>
      <c r="N16" s="161"/>
      <c r="O16" s="160"/>
      <c r="P16" s="160"/>
      <c r="Q16" s="159"/>
      <c r="R16" s="159"/>
      <c r="S16" s="34">
        <f t="shared" si="1"/>
        <v>0</v>
      </c>
      <c r="T16" s="109">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0</v>
      </c>
      <c r="AD16" s="106">
        <f t="shared" si="11"/>
        <v>0</v>
      </c>
    </row>
    <row r="17" spans="1:30">
      <c r="A17" s="165">
        <v>3</v>
      </c>
      <c r="B17" s="164" t="s">
        <v>433</v>
      </c>
      <c r="C17" s="163"/>
      <c r="D17" s="162" t="s">
        <v>87</v>
      </c>
      <c r="E17" s="158"/>
      <c r="F17" s="161"/>
      <c r="G17" s="160"/>
      <c r="H17" s="160"/>
      <c r="I17" s="159"/>
      <c r="J17" s="159"/>
      <c r="K17" s="34">
        <f t="shared" si="0"/>
        <v>0</v>
      </c>
      <c r="L17" s="158"/>
      <c r="M17" s="158"/>
      <c r="N17" s="161"/>
      <c r="O17" s="160"/>
      <c r="P17" s="160"/>
      <c r="Q17" s="159"/>
      <c r="R17" s="159"/>
      <c r="S17" s="34">
        <f t="shared" si="1"/>
        <v>0</v>
      </c>
      <c r="T17" s="109">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0</v>
      </c>
      <c r="AD17" s="106">
        <f t="shared" si="11"/>
        <v>0</v>
      </c>
    </row>
    <row r="18" spans="1:30">
      <c r="A18" s="165">
        <v>3</v>
      </c>
      <c r="B18" s="164" t="s">
        <v>432</v>
      </c>
      <c r="C18" s="163"/>
      <c r="D18" s="162" t="s">
        <v>85</v>
      </c>
      <c r="E18" s="158"/>
      <c r="F18" s="161"/>
      <c r="G18" s="160"/>
      <c r="H18" s="160"/>
      <c r="I18" s="159"/>
      <c r="J18" s="159"/>
      <c r="K18" s="34">
        <f t="shared" si="0"/>
        <v>0</v>
      </c>
      <c r="L18" s="158"/>
      <c r="M18" s="158"/>
      <c r="N18" s="161"/>
      <c r="O18" s="160"/>
      <c r="P18" s="160"/>
      <c r="Q18" s="159"/>
      <c r="R18" s="159"/>
      <c r="S18" s="34">
        <f t="shared" si="1"/>
        <v>0</v>
      </c>
      <c r="T18" s="109">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0</v>
      </c>
      <c r="AD18" s="106">
        <f t="shared" si="11"/>
        <v>0</v>
      </c>
    </row>
    <row r="19" spans="1:30">
      <c r="A19" s="165">
        <v>3</v>
      </c>
      <c r="B19" s="164" t="s">
        <v>431</v>
      </c>
      <c r="C19" s="163"/>
      <c r="D19" s="162" t="s">
        <v>83</v>
      </c>
      <c r="E19" s="158"/>
      <c r="F19" s="161"/>
      <c r="G19" s="160"/>
      <c r="H19" s="160"/>
      <c r="I19" s="159"/>
      <c r="J19" s="159"/>
      <c r="K19" s="34">
        <f t="shared" si="0"/>
        <v>0</v>
      </c>
      <c r="L19" s="158"/>
      <c r="M19" s="158"/>
      <c r="N19" s="161"/>
      <c r="O19" s="160"/>
      <c r="P19" s="160"/>
      <c r="Q19" s="159"/>
      <c r="R19" s="159"/>
      <c r="S19" s="34">
        <f t="shared" si="1"/>
        <v>0</v>
      </c>
      <c r="T19" s="109">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0</v>
      </c>
      <c r="AD19" s="106">
        <f t="shared" si="11"/>
        <v>0</v>
      </c>
    </row>
    <row r="20" spans="1:30">
      <c r="A20" s="165">
        <v>3</v>
      </c>
      <c r="B20" s="164" t="s">
        <v>430</v>
      </c>
      <c r="C20" s="163"/>
      <c r="D20" s="162" t="s">
        <v>81</v>
      </c>
      <c r="E20" s="158"/>
      <c r="F20" s="161"/>
      <c r="G20" s="160"/>
      <c r="H20" s="160"/>
      <c r="I20" s="159"/>
      <c r="J20" s="159"/>
      <c r="K20" s="34">
        <f t="shared" si="0"/>
        <v>0</v>
      </c>
      <c r="L20" s="158"/>
      <c r="M20" s="158"/>
      <c r="N20" s="161"/>
      <c r="O20" s="160"/>
      <c r="P20" s="160"/>
      <c r="Q20" s="159"/>
      <c r="R20" s="159"/>
      <c r="S20" s="34">
        <f t="shared" si="1"/>
        <v>0</v>
      </c>
      <c r="T20" s="109">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0</v>
      </c>
      <c r="AD20" s="106">
        <f t="shared" si="11"/>
        <v>0</v>
      </c>
    </row>
    <row r="21" spans="1:30">
      <c r="A21" s="165">
        <v>3</v>
      </c>
      <c r="B21" s="164" t="s">
        <v>429</v>
      </c>
      <c r="C21" s="163"/>
      <c r="D21" s="162" t="s">
        <v>79</v>
      </c>
      <c r="E21" s="158"/>
      <c r="F21" s="161"/>
      <c r="G21" s="160"/>
      <c r="H21" s="160"/>
      <c r="I21" s="159"/>
      <c r="J21" s="159"/>
      <c r="K21" s="34">
        <f t="shared" si="0"/>
        <v>0</v>
      </c>
      <c r="L21" s="158"/>
      <c r="M21" s="158"/>
      <c r="N21" s="161"/>
      <c r="O21" s="160"/>
      <c r="P21" s="160"/>
      <c r="Q21" s="159"/>
      <c r="R21" s="159"/>
      <c r="S21" s="34">
        <f t="shared" si="1"/>
        <v>0</v>
      </c>
      <c r="T21" s="109">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0</v>
      </c>
      <c r="AD21" s="106">
        <f t="shared" si="11"/>
        <v>0</v>
      </c>
    </row>
    <row r="22" spans="1:30">
      <c r="A22" s="165">
        <v>3</v>
      </c>
      <c r="B22" s="164" t="s">
        <v>428</v>
      </c>
      <c r="C22" s="163"/>
      <c r="D22" s="162" t="s">
        <v>77</v>
      </c>
      <c r="E22" s="158"/>
      <c r="F22" s="161"/>
      <c r="G22" s="160"/>
      <c r="H22" s="160"/>
      <c r="I22" s="159"/>
      <c r="J22" s="159"/>
      <c r="K22" s="34">
        <f t="shared" si="0"/>
        <v>0</v>
      </c>
      <c r="L22" s="158"/>
      <c r="M22" s="158"/>
      <c r="N22" s="161"/>
      <c r="O22" s="160"/>
      <c r="P22" s="160"/>
      <c r="Q22" s="159"/>
      <c r="R22" s="159"/>
      <c r="S22" s="34">
        <f t="shared" si="1"/>
        <v>0</v>
      </c>
      <c r="T22" s="109">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0</v>
      </c>
      <c r="AD22" s="106">
        <f t="shared" si="11"/>
        <v>0</v>
      </c>
    </row>
    <row r="23" spans="1:30">
      <c r="A23" s="165">
        <v>3</v>
      </c>
      <c r="B23" s="164" t="s">
        <v>427</v>
      </c>
      <c r="C23" s="163"/>
      <c r="D23" s="162" t="s">
        <v>75</v>
      </c>
      <c r="E23" s="158"/>
      <c r="F23" s="161"/>
      <c r="G23" s="160"/>
      <c r="H23" s="160"/>
      <c r="I23" s="159"/>
      <c r="J23" s="159"/>
      <c r="K23" s="34">
        <f t="shared" si="0"/>
        <v>0</v>
      </c>
      <c r="L23" s="158"/>
      <c r="M23" s="158"/>
      <c r="N23" s="161"/>
      <c r="O23" s="160"/>
      <c r="P23" s="160"/>
      <c r="Q23" s="159"/>
      <c r="R23" s="159"/>
      <c r="S23" s="34">
        <f t="shared" si="1"/>
        <v>0</v>
      </c>
      <c r="T23" s="109">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0</v>
      </c>
      <c r="AD23" s="106">
        <f t="shared" si="11"/>
        <v>0</v>
      </c>
    </row>
    <row r="24" spans="1:30">
      <c r="A24" s="165">
        <v>3</v>
      </c>
      <c r="B24" s="164" t="s">
        <v>426</v>
      </c>
      <c r="C24" s="163"/>
      <c r="D24" s="162" t="s">
        <v>73</v>
      </c>
      <c r="E24" s="158"/>
      <c r="F24" s="161"/>
      <c r="G24" s="160"/>
      <c r="H24" s="160"/>
      <c r="I24" s="159"/>
      <c r="J24" s="159"/>
      <c r="K24" s="34">
        <f t="shared" si="0"/>
        <v>0</v>
      </c>
      <c r="L24" s="158"/>
      <c r="M24" s="158"/>
      <c r="N24" s="161"/>
      <c r="O24" s="160"/>
      <c r="P24" s="160"/>
      <c r="Q24" s="159"/>
      <c r="R24" s="159"/>
      <c r="S24" s="34">
        <f t="shared" si="1"/>
        <v>0</v>
      </c>
      <c r="T24" s="109">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0</v>
      </c>
      <c r="AD24" s="106">
        <f t="shared" si="11"/>
        <v>0</v>
      </c>
    </row>
    <row r="25" spans="1:30">
      <c r="A25" s="165">
        <v>3</v>
      </c>
      <c r="B25" s="164" t="s">
        <v>424</v>
      </c>
      <c r="C25" s="163" t="s">
        <v>425</v>
      </c>
      <c r="D25" s="162" t="s">
        <v>71</v>
      </c>
      <c r="E25" s="158"/>
      <c r="F25" s="161"/>
      <c r="G25" s="160"/>
      <c r="H25" s="160"/>
      <c r="I25" s="159"/>
      <c r="J25" s="159"/>
      <c r="K25" s="34">
        <f t="shared" si="0"/>
        <v>0</v>
      </c>
      <c r="L25" s="158"/>
      <c r="M25" s="158"/>
      <c r="N25" s="161"/>
      <c r="O25" s="160"/>
      <c r="P25" s="160"/>
      <c r="Q25" s="159"/>
      <c r="R25" s="159"/>
      <c r="S25" s="34">
        <f t="shared" si="1"/>
        <v>0</v>
      </c>
      <c r="T25" s="109">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0</v>
      </c>
      <c r="AD25" s="106">
        <f t="shared" si="11"/>
        <v>0</v>
      </c>
    </row>
    <row r="26" spans="1:30">
      <c r="A26" s="165">
        <v>3</v>
      </c>
      <c r="B26" s="164" t="s">
        <v>424</v>
      </c>
      <c r="C26" s="163" t="s">
        <v>423</v>
      </c>
      <c r="D26" s="162" t="s">
        <v>68</v>
      </c>
      <c r="E26" s="158"/>
      <c r="F26" s="161"/>
      <c r="G26" s="160"/>
      <c r="H26" s="160"/>
      <c r="I26" s="159"/>
      <c r="J26" s="159"/>
      <c r="K26" s="34">
        <f t="shared" si="0"/>
        <v>0</v>
      </c>
      <c r="L26" s="158"/>
      <c r="M26" s="158"/>
      <c r="N26" s="161"/>
      <c r="O26" s="160"/>
      <c r="P26" s="160"/>
      <c r="Q26" s="159"/>
      <c r="R26" s="159"/>
      <c r="S26" s="34">
        <f t="shared" si="1"/>
        <v>0</v>
      </c>
      <c r="T26" s="109">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0</v>
      </c>
      <c r="AD26" s="106">
        <f t="shared" si="11"/>
        <v>0</v>
      </c>
    </row>
    <row r="27" spans="1:30">
      <c r="A27" s="165">
        <v>3</v>
      </c>
      <c r="B27" s="164" t="s">
        <v>422</v>
      </c>
      <c r="C27" s="163"/>
      <c r="D27" s="162" t="s">
        <v>66</v>
      </c>
      <c r="E27" s="158"/>
      <c r="F27" s="161"/>
      <c r="G27" s="160"/>
      <c r="H27" s="160"/>
      <c r="I27" s="159"/>
      <c r="J27" s="159"/>
      <c r="K27" s="34">
        <f t="shared" si="0"/>
        <v>0</v>
      </c>
      <c r="L27" s="158"/>
      <c r="M27" s="158"/>
      <c r="N27" s="161"/>
      <c r="O27" s="160"/>
      <c r="P27" s="160"/>
      <c r="Q27" s="159"/>
      <c r="R27" s="159"/>
      <c r="S27" s="34">
        <f t="shared" si="1"/>
        <v>0</v>
      </c>
      <c r="T27" s="109">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0</v>
      </c>
      <c r="AD27" s="106">
        <f t="shared" si="11"/>
        <v>0</v>
      </c>
    </row>
    <row r="28" spans="1:30">
      <c r="A28" s="165">
        <v>3</v>
      </c>
      <c r="B28" s="164" t="s">
        <v>421</v>
      </c>
      <c r="C28" s="163"/>
      <c r="D28" s="162" t="s">
        <v>64</v>
      </c>
      <c r="E28" s="158"/>
      <c r="F28" s="161"/>
      <c r="G28" s="160"/>
      <c r="H28" s="160"/>
      <c r="I28" s="159"/>
      <c r="J28" s="159"/>
      <c r="K28" s="34">
        <f t="shared" si="0"/>
        <v>0</v>
      </c>
      <c r="L28" s="158"/>
      <c r="M28" s="158"/>
      <c r="N28" s="161"/>
      <c r="O28" s="160"/>
      <c r="P28" s="160"/>
      <c r="Q28" s="159"/>
      <c r="R28" s="159"/>
      <c r="S28" s="34">
        <f t="shared" si="1"/>
        <v>0</v>
      </c>
      <c r="T28" s="109">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0</v>
      </c>
      <c r="AD28" s="106">
        <f t="shared" si="11"/>
        <v>0</v>
      </c>
    </row>
    <row r="29" spans="1:30">
      <c r="A29" s="165">
        <v>3</v>
      </c>
      <c r="B29" s="164" t="s">
        <v>420</v>
      </c>
      <c r="C29" s="163"/>
      <c r="D29" s="162" t="s">
        <v>62</v>
      </c>
      <c r="E29" s="158"/>
      <c r="F29" s="161"/>
      <c r="G29" s="160"/>
      <c r="H29" s="160"/>
      <c r="I29" s="159"/>
      <c r="J29" s="159"/>
      <c r="K29" s="34">
        <f t="shared" ref="K29:K32" si="12">SUM(F29:J29)</f>
        <v>0</v>
      </c>
      <c r="L29" s="158"/>
      <c r="M29" s="158"/>
      <c r="N29" s="161"/>
      <c r="O29" s="160"/>
      <c r="P29" s="160"/>
      <c r="Q29" s="159"/>
      <c r="R29" s="159"/>
      <c r="S29" s="34">
        <f t="shared" si="1"/>
        <v>0</v>
      </c>
      <c r="T29" s="109">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0</v>
      </c>
      <c r="AD29" s="106">
        <f t="shared" si="11"/>
        <v>0</v>
      </c>
    </row>
    <row r="30" spans="1:30">
      <c r="A30" s="165">
        <v>3</v>
      </c>
      <c r="B30" s="164">
        <v>8831836</v>
      </c>
      <c r="C30" s="163"/>
      <c r="D30" s="162" t="s">
        <v>868</v>
      </c>
      <c r="E30" s="158"/>
      <c r="F30" s="161"/>
      <c r="G30" s="160"/>
      <c r="H30" s="160"/>
      <c r="I30" s="159"/>
      <c r="J30" s="159"/>
      <c r="K30" s="34">
        <f t="shared" si="12"/>
        <v>0</v>
      </c>
      <c r="L30" s="158"/>
      <c r="M30" s="158"/>
      <c r="N30" s="161"/>
      <c r="O30" s="160"/>
      <c r="P30" s="160"/>
      <c r="Q30" s="159"/>
      <c r="R30" s="159"/>
      <c r="S30" s="34">
        <f t="shared" ref="S30" si="13">SUM(N30:R30)</f>
        <v>0</v>
      </c>
      <c r="T30" s="109">
        <f t="shared" ref="T30" si="14">+E30-S30</f>
        <v>0</v>
      </c>
      <c r="U30" s="107">
        <f t="shared" ref="U30" si="15">N30-F30*F$4/(100+F$4)</f>
        <v>0</v>
      </c>
      <c r="V30" s="107">
        <f t="shared" ref="V30" si="16">O30-G30*G$4/(100+G$4)</f>
        <v>0</v>
      </c>
      <c r="W30" s="107">
        <f t="shared" ref="W30" si="17">P30-H30*H$4/(100+H$4)</f>
        <v>0</v>
      </c>
      <c r="X30" s="107">
        <f t="shared" ref="X30" si="18">Q30-I30*I$4/(100+I$4)</f>
        <v>0</v>
      </c>
      <c r="Y30" s="107">
        <f t="shared" ref="Y30" si="19">R30-J30*J$4/(100+J$4)</f>
        <v>0</v>
      </c>
      <c r="Z30" s="106">
        <f t="shared" si="7"/>
        <v>0</v>
      </c>
      <c r="AA30" s="106">
        <f t="shared" si="8"/>
        <v>0</v>
      </c>
      <c r="AB30" s="106">
        <f t="shared" si="9"/>
        <v>0</v>
      </c>
      <c r="AC30" s="106">
        <f t="shared" si="10"/>
        <v>0</v>
      </c>
      <c r="AD30" s="106">
        <f t="shared" si="11"/>
        <v>0</v>
      </c>
    </row>
    <row r="31" spans="1:30">
      <c r="A31" s="165">
        <v>3</v>
      </c>
      <c r="B31" s="164" t="s">
        <v>419</v>
      </c>
      <c r="C31" s="163"/>
      <c r="D31" s="162" t="s">
        <v>60</v>
      </c>
      <c r="E31" s="158"/>
      <c r="F31" s="161"/>
      <c r="G31" s="160"/>
      <c r="H31" s="160"/>
      <c r="I31" s="159"/>
      <c r="J31" s="159"/>
      <c r="K31" s="34">
        <f t="shared" si="12"/>
        <v>0</v>
      </c>
      <c r="L31" s="158"/>
      <c r="M31" s="158"/>
      <c r="N31" s="161"/>
      <c r="O31" s="160"/>
      <c r="P31" s="160"/>
      <c r="Q31" s="159"/>
      <c r="R31" s="159"/>
      <c r="S31" s="34">
        <f t="shared" si="1"/>
        <v>0</v>
      </c>
      <c r="T31" s="109">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0</v>
      </c>
      <c r="AD31" s="106">
        <f t="shared" si="11"/>
        <v>0</v>
      </c>
    </row>
    <row r="32" spans="1:30">
      <c r="A32" s="165">
        <v>3</v>
      </c>
      <c r="B32" s="164" t="s">
        <v>418</v>
      </c>
      <c r="C32" s="163"/>
      <c r="D32" s="162" t="s">
        <v>58</v>
      </c>
      <c r="E32" s="158"/>
      <c r="F32" s="161"/>
      <c r="G32" s="160"/>
      <c r="H32" s="160"/>
      <c r="I32" s="159"/>
      <c r="J32" s="159"/>
      <c r="K32" s="34">
        <f t="shared" si="12"/>
        <v>0</v>
      </c>
      <c r="L32" s="158"/>
      <c r="M32" s="158"/>
      <c r="N32" s="161"/>
      <c r="O32" s="160"/>
      <c r="P32" s="160"/>
      <c r="Q32" s="159"/>
      <c r="R32" s="159"/>
      <c r="S32" s="34">
        <f t="shared" si="1"/>
        <v>0</v>
      </c>
      <c r="T32" s="109">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0</v>
      </c>
      <c r="AD32" s="106">
        <f t="shared" si="11"/>
        <v>0</v>
      </c>
    </row>
    <row r="33" spans="1:30">
      <c r="A33" s="165">
        <v>3</v>
      </c>
      <c r="B33" s="164" t="s">
        <v>417</v>
      </c>
      <c r="C33" s="163"/>
      <c r="D33" s="162" t="s">
        <v>56</v>
      </c>
      <c r="E33" s="158"/>
      <c r="F33" s="161"/>
      <c r="G33" s="160"/>
      <c r="H33" s="160"/>
      <c r="I33" s="159"/>
      <c r="J33" s="159"/>
      <c r="K33" s="34">
        <f t="shared" si="0"/>
        <v>0</v>
      </c>
      <c r="L33" s="158"/>
      <c r="M33" s="158"/>
      <c r="N33" s="161"/>
      <c r="O33" s="160"/>
      <c r="P33" s="160"/>
      <c r="Q33" s="159"/>
      <c r="R33" s="159"/>
      <c r="S33" s="34">
        <f t="shared" si="1"/>
        <v>0</v>
      </c>
      <c r="T33" s="109">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0</v>
      </c>
      <c r="AD33" s="106">
        <f t="shared" si="11"/>
        <v>0</v>
      </c>
    </row>
    <row r="34" spans="1:30">
      <c r="A34" s="165">
        <v>3</v>
      </c>
      <c r="B34" s="164" t="s">
        <v>416</v>
      </c>
      <c r="C34" s="163"/>
      <c r="D34" s="162" t="s">
        <v>55</v>
      </c>
      <c r="E34" s="158"/>
      <c r="F34" s="161"/>
      <c r="G34" s="160"/>
      <c r="H34" s="160"/>
      <c r="I34" s="159"/>
      <c r="J34" s="159"/>
      <c r="K34" s="34">
        <f t="shared" si="0"/>
        <v>0</v>
      </c>
      <c r="L34" s="158"/>
      <c r="M34" s="158"/>
      <c r="N34" s="161"/>
      <c r="O34" s="160"/>
      <c r="P34" s="160"/>
      <c r="Q34" s="159"/>
      <c r="R34" s="159"/>
      <c r="S34" s="34">
        <f t="shared" si="1"/>
        <v>0</v>
      </c>
      <c r="T34" s="109">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0</v>
      </c>
      <c r="AD34" s="106">
        <f t="shared" si="11"/>
        <v>0</v>
      </c>
    </row>
    <row r="35" spans="1:30">
      <c r="A35" s="165">
        <v>3</v>
      </c>
      <c r="B35" s="164" t="s">
        <v>415</v>
      </c>
      <c r="C35" s="163"/>
      <c r="D35" s="162" t="s">
        <v>53</v>
      </c>
      <c r="E35" s="158"/>
      <c r="F35" s="161"/>
      <c r="G35" s="160"/>
      <c r="H35" s="160"/>
      <c r="I35" s="159"/>
      <c r="J35" s="159"/>
      <c r="K35" s="34">
        <f t="shared" si="0"/>
        <v>0</v>
      </c>
      <c r="L35" s="158"/>
      <c r="M35" s="158"/>
      <c r="N35" s="161"/>
      <c r="O35" s="160"/>
      <c r="P35" s="160"/>
      <c r="Q35" s="159"/>
      <c r="R35" s="159"/>
      <c r="S35" s="34">
        <f t="shared" si="1"/>
        <v>0</v>
      </c>
      <c r="T35" s="109">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0</v>
      </c>
      <c r="AD35" s="106">
        <f t="shared" si="11"/>
        <v>0</v>
      </c>
    </row>
    <row r="36" spans="1:30" ht="14.25" thickBot="1">
      <c r="A36" s="165"/>
      <c r="B36" s="164" t="s">
        <v>414</v>
      </c>
      <c r="C36" s="163"/>
      <c r="D36" s="162" t="s">
        <v>51</v>
      </c>
      <c r="E36" s="158"/>
      <c r="F36" s="161"/>
      <c r="G36" s="160"/>
      <c r="H36" s="160"/>
      <c r="I36" s="159"/>
      <c r="J36" s="159"/>
      <c r="K36" s="34">
        <f t="shared" si="0"/>
        <v>0</v>
      </c>
      <c r="L36" s="158"/>
      <c r="M36" s="158"/>
      <c r="N36" s="161"/>
      <c r="O36" s="160"/>
      <c r="P36" s="160"/>
      <c r="Q36" s="159"/>
      <c r="R36" s="159"/>
      <c r="S36" s="34">
        <f t="shared" si="1"/>
        <v>0</v>
      </c>
      <c r="T36" s="109">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0</v>
      </c>
      <c r="AD36" s="106">
        <f t="shared" si="11"/>
        <v>0</v>
      </c>
    </row>
    <row r="37" spans="1:30" ht="14.25" thickTop="1">
      <c r="A37" s="156"/>
      <c r="B37" s="155"/>
      <c r="C37" s="154"/>
      <c r="D37" s="153" t="s">
        <v>2</v>
      </c>
      <c r="E37" s="149">
        <f t="shared" ref="E37:N37" si="20">SUM(E5:E36)</f>
        <v>0</v>
      </c>
      <c r="F37" s="152">
        <f t="shared" si="20"/>
        <v>0</v>
      </c>
      <c r="G37" s="151">
        <f t="shared" si="20"/>
        <v>0</v>
      </c>
      <c r="H37" s="151">
        <f t="shared" si="20"/>
        <v>0</v>
      </c>
      <c r="I37" s="150">
        <f t="shared" ref="I37" si="21">SUM(I5:I36)</f>
        <v>0</v>
      </c>
      <c r="J37" s="150">
        <f t="shared" si="20"/>
        <v>0</v>
      </c>
      <c r="K37" s="74">
        <f t="shared" si="20"/>
        <v>0</v>
      </c>
      <c r="L37" s="149">
        <f t="shared" si="20"/>
        <v>0</v>
      </c>
      <c r="M37" s="149">
        <f t="shared" si="20"/>
        <v>0</v>
      </c>
      <c r="N37" s="146">
        <f t="shared" si="20"/>
        <v>0</v>
      </c>
      <c r="O37" s="145">
        <f t="shared" ref="O37:T37" si="22">SUM(O5:O36)</f>
        <v>0</v>
      </c>
      <c r="P37" s="145">
        <f t="shared" si="22"/>
        <v>0</v>
      </c>
      <c r="Q37" s="148">
        <f t="shared" ref="Q37" si="23">SUM(Q5:Q36)</f>
        <v>0</v>
      </c>
      <c r="R37" s="148">
        <f t="shared" si="22"/>
        <v>0</v>
      </c>
      <c r="S37" s="144">
        <f t="shared" si="22"/>
        <v>0</v>
      </c>
      <c r="T37" s="147">
        <f t="shared" si="22"/>
        <v>0</v>
      </c>
      <c r="U37" s="88" t="str">
        <f>+IF(F37=0,"",ROUND(F37*F$4/(100+F$4),7)-N37)</f>
        <v/>
      </c>
      <c r="V37" s="88"/>
      <c r="W37" s="88"/>
      <c r="X37" s="88"/>
      <c r="Y37" s="88"/>
      <c r="Z37" s="88"/>
      <c r="AA37" s="88"/>
      <c r="AB37" s="87"/>
      <c r="AC37" s="87"/>
      <c r="AD37" s="87"/>
    </row>
    <row r="38" spans="1:30">
      <c r="A38" s="143"/>
      <c r="B38" s="142"/>
      <c r="C38" s="141"/>
      <c r="D38" s="140" t="s">
        <v>1</v>
      </c>
      <c r="E38" s="136">
        <f t="shared" ref="E38:J38" si="24">+E37</f>
        <v>0</v>
      </c>
      <c r="F38" s="139">
        <f t="shared" si="24"/>
        <v>0</v>
      </c>
      <c r="G38" s="138">
        <f t="shared" si="24"/>
        <v>0</v>
      </c>
      <c r="H38" s="138">
        <f t="shared" si="24"/>
        <v>0</v>
      </c>
      <c r="I38" s="137">
        <f t="shared" si="24"/>
        <v>0</v>
      </c>
      <c r="J38" s="137">
        <f t="shared" si="24"/>
        <v>0</v>
      </c>
      <c r="K38" s="63">
        <f>SUM(F38:J38)</f>
        <v>0</v>
      </c>
      <c r="L38" s="136">
        <f>+L37</f>
        <v>0</v>
      </c>
      <c r="M38" s="135">
        <f>+M37</f>
        <v>0</v>
      </c>
      <c r="N38" s="133">
        <f>+'3条支出(共通按分後)'!N16</f>
        <v>0</v>
      </c>
      <c r="O38" s="132">
        <f>+'3条支出(共通按分後)'!O16</f>
        <v>0</v>
      </c>
      <c r="P38" s="132">
        <f>+'3条支出(共通按分後)'!P16</f>
        <v>0</v>
      </c>
      <c r="Q38" s="132">
        <f>+'3条支出(共通按分後)'!Q16</f>
        <v>0</v>
      </c>
      <c r="R38" s="132">
        <f>+'3条支出(共通按分後)'!R16</f>
        <v>0</v>
      </c>
      <c r="S38" s="131">
        <f>+'3条支出(共通按分後)'!S16</f>
        <v>0</v>
      </c>
      <c r="T38" s="134">
        <f>+'3条支出(共通按分後)'!T16</f>
        <v>0</v>
      </c>
      <c r="U38" s="88" t="str">
        <f>+IF(F38=0,"",ROUND(F38*F$4/(100+F$4),7)-N38)</f>
        <v/>
      </c>
      <c r="V38" s="88"/>
      <c r="W38" s="88"/>
      <c r="X38" s="88"/>
      <c r="Y38" s="88"/>
      <c r="Z38" s="88"/>
      <c r="AA38" s="88"/>
      <c r="AB38" s="87"/>
      <c r="AC38" s="87"/>
      <c r="AD38" s="87"/>
    </row>
    <row r="39" spans="1:30">
      <c r="E39" s="4">
        <f t="shared" ref="E39:T39" si="25">+E38-E37</f>
        <v>0</v>
      </c>
      <c r="F39" s="4">
        <f t="shared" si="25"/>
        <v>0</v>
      </c>
      <c r="G39" s="4">
        <f t="shared" si="25"/>
        <v>0</v>
      </c>
      <c r="H39" s="4">
        <f t="shared" si="25"/>
        <v>0</v>
      </c>
      <c r="I39" s="4">
        <f t="shared" ref="I39" si="26">+I38-I37</f>
        <v>0</v>
      </c>
      <c r="J39" s="4">
        <f t="shared" si="25"/>
        <v>0</v>
      </c>
      <c r="K39" s="4">
        <f t="shared" si="25"/>
        <v>0</v>
      </c>
      <c r="L39" s="4">
        <f t="shared" si="25"/>
        <v>0</v>
      </c>
      <c r="M39" s="4">
        <f t="shared" si="25"/>
        <v>0</v>
      </c>
      <c r="N39" s="4">
        <f t="shared" si="25"/>
        <v>0</v>
      </c>
      <c r="O39" s="4">
        <f t="shared" si="25"/>
        <v>0</v>
      </c>
      <c r="P39" s="4">
        <f t="shared" si="25"/>
        <v>0</v>
      </c>
      <c r="Q39" s="4">
        <f t="shared" ref="Q39" si="27">+Q38-Q37</f>
        <v>0</v>
      </c>
      <c r="R39" s="4">
        <f t="shared" si="25"/>
        <v>0</v>
      </c>
      <c r="S39" s="4">
        <f t="shared" si="25"/>
        <v>0</v>
      </c>
      <c r="T39" s="4">
        <f t="shared" si="25"/>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row r="43" spans="1:30">
      <c r="G43" s="272"/>
      <c r="H43" s="272"/>
      <c r="I43" s="272"/>
      <c r="J43"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36">
    <cfRule type="notContainsBlanks" dxfId="9" priority="4" stopIfTrue="1">
      <formula>LEN(TRIM(AE5))&gt;0</formula>
    </cfRule>
  </conditionalFormatting>
  <conditionalFormatting sqref="AE37:AI38">
    <cfRule type="notContainsBlanks" dxfId="8" priority="5" stopIfTrue="1">
      <formula>LEN(TRIM(AE37))&gt;0</formula>
    </cfRule>
  </conditionalFormatting>
  <conditionalFormatting sqref="Z5:AD29 Z31:AD36">
    <cfRule type="expression" dxfId="7" priority="3">
      <formula>ABS(Z5)=1</formula>
    </cfRule>
  </conditionalFormatting>
  <conditionalFormatting sqref="E39:T39">
    <cfRule type="cellIs" dxfId="6" priority="2" operator="notEqual">
      <formula>0</formula>
    </cfRule>
  </conditionalFormatting>
  <conditionalFormatting sqref="Z30:AD30">
    <cfRule type="expression" dxfId="5"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w1_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3"/>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547</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4</v>
      </c>
      <c r="B5" s="176" t="s">
        <v>480</v>
      </c>
      <c r="C5" s="175"/>
      <c r="D5" s="174" t="s">
        <v>112</v>
      </c>
      <c r="E5" s="170"/>
      <c r="F5" s="173"/>
      <c r="G5" s="172"/>
      <c r="H5" s="275"/>
      <c r="I5" s="270"/>
      <c r="J5" s="171"/>
      <c r="K5" s="112">
        <f t="shared" ref="K5:K36" si="0">SUM(F5:J5)</f>
        <v>0</v>
      </c>
      <c r="L5" s="170"/>
      <c r="M5" s="277"/>
      <c r="N5" s="173"/>
      <c r="O5" s="172"/>
      <c r="P5" s="172"/>
      <c r="Q5" s="171"/>
      <c r="R5" s="171"/>
      <c r="S5" s="167">
        <f t="shared" ref="S5:S36" si="1">SUM(N5:R5)</f>
        <v>0</v>
      </c>
      <c r="T5" s="166">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1</v>
      </c>
      <c r="AD5" s="106">
        <f t="shared" ref="AD5:AD36" si="11">+IF(R$39=0,0,IF(R$39&lt;0,-RANK(Y5,Y$5:Y$36,0),RANK(Y5,Y$5:Y$36,1)))</f>
        <v>1</v>
      </c>
    </row>
    <row r="6" spans="1:35">
      <c r="A6" s="165">
        <v>4</v>
      </c>
      <c r="B6" s="164" t="s">
        <v>479</v>
      </c>
      <c r="C6" s="163"/>
      <c r="D6" s="162" t="s">
        <v>110</v>
      </c>
      <c r="E6" s="158"/>
      <c r="F6" s="161"/>
      <c r="G6" s="160"/>
      <c r="H6" s="160"/>
      <c r="I6" s="159"/>
      <c r="J6" s="159"/>
      <c r="K6" s="34">
        <f t="shared" si="0"/>
        <v>0</v>
      </c>
      <c r="L6" s="158"/>
      <c r="M6" s="158"/>
      <c r="N6" s="161"/>
      <c r="O6" s="160"/>
      <c r="P6" s="160"/>
      <c r="Q6" s="159"/>
      <c r="R6" s="159"/>
      <c r="S6" s="22">
        <f t="shared" si="1"/>
        <v>0</v>
      </c>
      <c r="T6" s="109">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1</v>
      </c>
      <c r="AD6" s="106">
        <f t="shared" si="11"/>
        <v>1</v>
      </c>
    </row>
    <row r="7" spans="1:35">
      <c r="A7" s="165">
        <v>4</v>
      </c>
      <c r="B7" s="164" t="s">
        <v>478</v>
      </c>
      <c r="C7" s="163"/>
      <c r="D7" s="162" t="s">
        <v>108</v>
      </c>
      <c r="E7" s="158"/>
      <c r="F7" s="161"/>
      <c r="G7" s="160"/>
      <c r="H7" s="160"/>
      <c r="I7" s="159"/>
      <c r="J7" s="159"/>
      <c r="K7" s="34">
        <f t="shared" si="0"/>
        <v>0</v>
      </c>
      <c r="L7" s="158"/>
      <c r="M7" s="158"/>
      <c r="N7" s="161"/>
      <c r="O7" s="160"/>
      <c r="P7" s="160"/>
      <c r="Q7" s="159"/>
      <c r="R7" s="159"/>
      <c r="S7" s="22">
        <f t="shared" si="1"/>
        <v>0</v>
      </c>
      <c r="T7" s="109">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1</v>
      </c>
      <c r="AD7" s="106">
        <f t="shared" si="11"/>
        <v>1</v>
      </c>
    </row>
    <row r="8" spans="1:35">
      <c r="A8" s="165">
        <v>4</v>
      </c>
      <c r="B8" s="164" t="s">
        <v>477</v>
      </c>
      <c r="C8" s="163"/>
      <c r="D8" s="162" t="s">
        <v>106</v>
      </c>
      <c r="E8" s="158"/>
      <c r="F8" s="161"/>
      <c r="G8" s="160"/>
      <c r="H8" s="160"/>
      <c r="I8" s="159"/>
      <c r="J8" s="159"/>
      <c r="K8" s="34">
        <f t="shared" si="0"/>
        <v>0</v>
      </c>
      <c r="L8" s="158"/>
      <c r="M8" s="158"/>
      <c r="N8" s="161"/>
      <c r="O8" s="160"/>
      <c r="P8" s="160"/>
      <c r="Q8" s="159"/>
      <c r="R8" s="159"/>
      <c r="S8" s="22">
        <f t="shared" si="1"/>
        <v>0</v>
      </c>
      <c r="T8" s="109">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1</v>
      </c>
      <c r="AD8" s="106">
        <f t="shared" si="11"/>
        <v>1</v>
      </c>
    </row>
    <row r="9" spans="1:35">
      <c r="A9" s="165">
        <v>4</v>
      </c>
      <c r="B9" s="164" t="s">
        <v>476</v>
      </c>
      <c r="C9" s="163"/>
      <c r="D9" s="162" t="s">
        <v>104</v>
      </c>
      <c r="E9" s="158"/>
      <c r="F9" s="161"/>
      <c r="G9" s="160"/>
      <c r="H9" s="160"/>
      <c r="I9" s="159"/>
      <c r="J9" s="159"/>
      <c r="K9" s="34">
        <f t="shared" si="0"/>
        <v>0</v>
      </c>
      <c r="L9" s="158"/>
      <c r="M9" s="158"/>
      <c r="N9" s="161"/>
      <c r="O9" s="160"/>
      <c r="P9" s="160"/>
      <c r="Q9" s="159"/>
      <c r="R9" s="159"/>
      <c r="S9" s="22">
        <f t="shared" si="1"/>
        <v>0</v>
      </c>
      <c r="T9" s="109">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1</v>
      </c>
      <c r="AD9" s="106">
        <f t="shared" si="11"/>
        <v>1</v>
      </c>
    </row>
    <row r="10" spans="1:35">
      <c r="A10" s="165">
        <v>4</v>
      </c>
      <c r="B10" s="164" t="s">
        <v>475</v>
      </c>
      <c r="C10" s="163"/>
      <c r="D10" s="162" t="s">
        <v>102</v>
      </c>
      <c r="E10" s="158"/>
      <c r="F10" s="161"/>
      <c r="G10" s="160"/>
      <c r="H10" s="276"/>
      <c r="I10" s="271"/>
      <c r="J10" s="159"/>
      <c r="K10" s="34">
        <f t="shared" si="0"/>
        <v>0</v>
      </c>
      <c r="L10" s="158"/>
      <c r="M10" s="278"/>
      <c r="N10" s="161"/>
      <c r="O10" s="160"/>
      <c r="P10" s="160"/>
      <c r="Q10" s="159"/>
      <c r="R10" s="159"/>
      <c r="S10" s="22">
        <f t="shared" si="1"/>
        <v>0</v>
      </c>
      <c r="T10" s="109">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1</v>
      </c>
      <c r="AD10" s="106">
        <f t="shared" si="11"/>
        <v>1</v>
      </c>
    </row>
    <row r="11" spans="1:35">
      <c r="A11" s="165">
        <v>4</v>
      </c>
      <c r="B11" s="164" t="s">
        <v>474</v>
      </c>
      <c r="C11" s="163"/>
      <c r="D11" s="162" t="s">
        <v>100</v>
      </c>
      <c r="E11" s="158"/>
      <c r="F11" s="161"/>
      <c r="G11" s="160"/>
      <c r="H11" s="160"/>
      <c r="I11" s="159"/>
      <c r="J11" s="159"/>
      <c r="K11" s="34">
        <f t="shared" si="0"/>
        <v>0</v>
      </c>
      <c r="L11" s="158"/>
      <c r="M11" s="158"/>
      <c r="N11" s="161"/>
      <c r="O11" s="160"/>
      <c r="P11" s="160"/>
      <c r="Q11" s="159"/>
      <c r="R11" s="159"/>
      <c r="S11" s="22">
        <f t="shared" si="1"/>
        <v>0</v>
      </c>
      <c r="T11" s="109">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1</v>
      </c>
      <c r="AD11" s="106">
        <f t="shared" si="11"/>
        <v>1</v>
      </c>
    </row>
    <row r="12" spans="1:35">
      <c r="A12" s="165">
        <v>4</v>
      </c>
      <c r="B12" s="164" t="s">
        <v>472</v>
      </c>
      <c r="C12" s="163" t="s">
        <v>473</v>
      </c>
      <c r="D12" s="162" t="s">
        <v>98</v>
      </c>
      <c r="E12" s="158"/>
      <c r="F12" s="161"/>
      <c r="G12" s="160"/>
      <c r="H12" s="160"/>
      <c r="I12" s="159"/>
      <c r="J12" s="159"/>
      <c r="K12" s="34">
        <f t="shared" si="0"/>
        <v>0</v>
      </c>
      <c r="L12" s="158"/>
      <c r="M12" s="158"/>
      <c r="N12" s="161"/>
      <c r="O12" s="160"/>
      <c r="P12" s="160"/>
      <c r="Q12" s="159"/>
      <c r="R12" s="159"/>
      <c r="S12" s="22">
        <f t="shared" si="1"/>
        <v>0</v>
      </c>
      <c r="T12" s="109">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1</v>
      </c>
      <c r="AD12" s="106">
        <f t="shared" si="11"/>
        <v>1</v>
      </c>
    </row>
    <row r="13" spans="1:35">
      <c r="A13" s="165">
        <v>4</v>
      </c>
      <c r="B13" s="164" t="s">
        <v>472</v>
      </c>
      <c r="C13" s="163" t="s">
        <v>471</v>
      </c>
      <c r="D13" s="162" t="s">
        <v>95</v>
      </c>
      <c r="E13" s="158"/>
      <c r="F13" s="161"/>
      <c r="G13" s="160"/>
      <c r="H13" s="160"/>
      <c r="I13" s="159"/>
      <c r="J13" s="159"/>
      <c r="K13" s="34">
        <f t="shared" si="0"/>
        <v>0</v>
      </c>
      <c r="L13" s="158"/>
      <c r="M13" s="158"/>
      <c r="N13" s="161"/>
      <c r="O13" s="160"/>
      <c r="P13" s="160"/>
      <c r="Q13" s="159"/>
      <c r="R13" s="159"/>
      <c r="S13" s="22">
        <f t="shared" si="1"/>
        <v>0</v>
      </c>
      <c r="T13" s="109">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1</v>
      </c>
      <c r="AD13" s="106">
        <f t="shared" si="11"/>
        <v>1</v>
      </c>
    </row>
    <row r="14" spans="1:35">
      <c r="A14" s="165">
        <v>4</v>
      </c>
      <c r="B14" s="164" t="s">
        <v>470</v>
      </c>
      <c r="C14" s="163"/>
      <c r="D14" s="162" t="s">
        <v>93</v>
      </c>
      <c r="E14" s="158"/>
      <c r="F14" s="161"/>
      <c r="G14" s="160"/>
      <c r="H14" s="160"/>
      <c r="I14" s="159"/>
      <c r="J14" s="159"/>
      <c r="K14" s="34">
        <f t="shared" si="0"/>
        <v>0</v>
      </c>
      <c r="L14" s="158"/>
      <c r="M14" s="158"/>
      <c r="N14" s="161"/>
      <c r="O14" s="160"/>
      <c r="P14" s="160"/>
      <c r="Q14" s="159"/>
      <c r="R14" s="159"/>
      <c r="S14" s="22">
        <f t="shared" si="1"/>
        <v>0</v>
      </c>
      <c r="T14" s="109">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1</v>
      </c>
      <c r="AD14" s="106">
        <f t="shared" si="11"/>
        <v>1</v>
      </c>
    </row>
    <row r="15" spans="1:35">
      <c r="A15" s="165">
        <v>4</v>
      </c>
      <c r="B15" s="164" t="s">
        <v>469</v>
      </c>
      <c r="C15" s="163"/>
      <c r="D15" s="162" t="s">
        <v>91</v>
      </c>
      <c r="E15" s="158"/>
      <c r="F15" s="161"/>
      <c r="G15" s="160"/>
      <c r="H15" s="160"/>
      <c r="I15" s="159"/>
      <c r="J15" s="159"/>
      <c r="K15" s="34">
        <f t="shared" si="0"/>
        <v>0</v>
      </c>
      <c r="L15" s="158"/>
      <c r="M15" s="158"/>
      <c r="N15" s="161"/>
      <c r="O15" s="160"/>
      <c r="P15" s="160"/>
      <c r="Q15" s="159"/>
      <c r="R15" s="159"/>
      <c r="S15" s="22">
        <f t="shared" si="1"/>
        <v>0</v>
      </c>
      <c r="T15" s="109">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1</v>
      </c>
      <c r="AD15" s="106">
        <f t="shared" si="11"/>
        <v>1</v>
      </c>
    </row>
    <row r="16" spans="1:35">
      <c r="A16" s="165">
        <v>4</v>
      </c>
      <c r="B16" s="164" t="s">
        <v>468</v>
      </c>
      <c r="C16" s="163"/>
      <c r="D16" s="162" t="s">
        <v>89</v>
      </c>
      <c r="E16" s="158"/>
      <c r="F16" s="161"/>
      <c r="G16" s="160"/>
      <c r="H16" s="160"/>
      <c r="I16" s="159"/>
      <c r="J16" s="159"/>
      <c r="K16" s="34">
        <f t="shared" si="0"/>
        <v>0</v>
      </c>
      <c r="L16" s="158"/>
      <c r="M16" s="158"/>
      <c r="N16" s="161"/>
      <c r="O16" s="160"/>
      <c r="P16" s="160"/>
      <c r="Q16" s="159"/>
      <c r="R16" s="159"/>
      <c r="S16" s="22">
        <f t="shared" si="1"/>
        <v>0</v>
      </c>
      <c r="T16" s="109">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1</v>
      </c>
      <c r="AD16" s="106">
        <f t="shared" si="11"/>
        <v>1</v>
      </c>
    </row>
    <row r="17" spans="1:30">
      <c r="A17" s="165">
        <v>4</v>
      </c>
      <c r="B17" s="164" t="s">
        <v>467</v>
      </c>
      <c r="C17" s="163"/>
      <c r="D17" s="162" t="s">
        <v>87</v>
      </c>
      <c r="E17" s="158"/>
      <c r="F17" s="161"/>
      <c r="G17" s="160"/>
      <c r="H17" s="160"/>
      <c r="I17" s="159"/>
      <c r="J17" s="159"/>
      <c r="K17" s="34">
        <f t="shared" si="0"/>
        <v>0</v>
      </c>
      <c r="L17" s="158"/>
      <c r="M17" s="158"/>
      <c r="N17" s="161"/>
      <c r="O17" s="160"/>
      <c r="P17" s="160"/>
      <c r="Q17" s="159"/>
      <c r="R17" s="159"/>
      <c r="S17" s="22">
        <f t="shared" si="1"/>
        <v>0</v>
      </c>
      <c r="T17" s="109">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1</v>
      </c>
      <c r="AD17" s="106">
        <f t="shared" si="11"/>
        <v>1</v>
      </c>
    </row>
    <row r="18" spans="1:30">
      <c r="A18" s="165">
        <v>4</v>
      </c>
      <c r="B18" s="164" t="s">
        <v>466</v>
      </c>
      <c r="C18" s="163"/>
      <c r="D18" s="162" t="s">
        <v>85</v>
      </c>
      <c r="E18" s="158"/>
      <c r="F18" s="161"/>
      <c r="G18" s="160"/>
      <c r="H18" s="160"/>
      <c r="I18" s="159"/>
      <c r="J18" s="159"/>
      <c r="K18" s="34">
        <f t="shared" si="0"/>
        <v>0</v>
      </c>
      <c r="L18" s="158"/>
      <c r="M18" s="158"/>
      <c r="N18" s="161"/>
      <c r="O18" s="160"/>
      <c r="P18" s="160"/>
      <c r="Q18" s="159"/>
      <c r="R18" s="159"/>
      <c r="S18" s="22">
        <f t="shared" si="1"/>
        <v>0</v>
      </c>
      <c r="T18" s="109">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1</v>
      </c>
      <c r="AD18" s="106">
        <f t="shared" si="11"/>
        <v>1</v>
      </c>
    </row>
    <row r="19" spans="1:30">
      <c r="A19" s="165">
        <v>4</v>
      </c>
      <c r="B19" s="164" t="s">
        <v>465</v>
      </c>
      <c r="C19" s="163"/>
      <c r="D19" s="162" t="s">
        <v>83</v>
      </c>
      <c r="E19" s="158"/>
      <c r="F19" s="161"/>
      <c r="G19" s="160"/>
      <c r="H19" s="160"/>
      <c r="I19" s="159"/>
      <c r="J19" s="159"/>
      <c r="K19" s="34">
        <f t="shared" si="0"/>
        <v>0</v>
      </c>
      <c r="L19" s="158"/>
      <c r="M19" s="158"/>
      <c r="N19" s="161"/>
      <c r="O19" s="160"/>
      <c r="P19" s="160"/>
      <c r="Q19" s="159"/>
      <c r="R19" s="159"/>
      <c r="S19" s="22">
        <f t="shared" si="1"/>
        <v>0</v>
      </c>
      <c r="T19" s="109">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1</v>
      </c>
      <c r="AD19" s="106">
        <f t="shared" si="11"/>
        <v>1</v>
      </c>
    </row>
    <row r="20" spans="1:30">
      <c r="A20" s="165">
        <v>4</v>
      </c>
      <c r="B20" s="164" t="s">
        <v>464</v>
      </c>
      <c r="C20" s="163"/>
      <c r="D20" s="162" t="s">
        <v>81</v>
      </c>
      <c r="E20" s="158"/>
      <c r="F20" s="161"/>
      <c r="G20" s="160"/>
      <c r="H20" s="160"/>
      <c r="I20" s="159"/>
      <c r="J20" s="159"/>
      <c r="K20" s="34">
        <f t="shared" si="0"/>
        <v>0</v>
      </c>
      <c r="L20" s="158"/>
      <c r="M20" s="158"/>
      <c r="N20" s="161"/>
      <c r="O20" s="160"/>
      <c r="P20" s="160"/>
      <c r="Q20" s="159"/>
      <c r="R20" s="159"/>
      <c r="S20" s="22">
        <f t="shared" si="1"/>
        <v>0</v>
      </c>
      <c r="T20" s="109">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1</v>
      </c>
      <c r="AD20" s="106">
        <f t="shared" si="11"/>
        <v>1</v>
      </c>
    </row>
    <row r="21" spans="1:30">
      <c r="A21" s="165">
        <v>4</v>
      </c>
      <c r="B21" s="164" t="s">
        <v>463</v>
      </c>
      <c r="C21" s="163"/>
      <c r="D21" s="162" t="s">
        <v>79</v>
      </c>
      <c r="E21" s="158"/>
      <c r="F21" s="161"/>
      <c r="G21" s="160"/>
      <c r="H21" s="160"/>
      <c r="I21" s="159"/>
      <c r="J21" s="159"/>
      <c r="K21" s="34">
        <f t="shared" si="0"/>
        <v>0</v>
      </c>
      <c r="L21" s="158"/>
      <c r="M21" s="158"/>
      <c r="N21" s="161"/>
      <c r="O21" s="160"/>
      <c r="P21" s="160"/>
      <c r="Q21" s="159"/>
      <c r="R21" s="159"/>
      <c r="S21" s="22">
        <f t="shared" si="1"/>
        <v>0</v>
      </c>
      <c r="T21" s="109">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1</v>
      </c>
      <c r="AD21" s="106">
        <f t="shared" si="11"/>
        <v>1</v>
      </c>
    </row>
    <row r="22" spans="1:30">
      <c r="A22" s="165">
        <v>4</v>
      </c>
      <c r="B22" s="164" t="s">
        <v>462</v>
      </c>
      <c r="C22" s="163"/>
      <c r="D22" s="162" t="s">
        <v>77</v>
      </c>
      <c r="E22" s="158"/>
      <c r="F22" s="161"/>
      <c r="G22" s="160"/>
      <c r="H22" s="160"/>
      <c r="I22" s="159"/>
      <c r="J22" s="159"/>
      <c r="K22" s="34">
        <f t="shared" si="0"/>
        <v>0</v>
      </c>
      <c r="L22" s="158"/>
      <c r="M22" s="158"/>
      <c r="N22" s="161"/>
      <c r="O22" s="160"/>
      <c r="P22" s="160"/>
      <c r="Q22" s="159"/>
      <c r="R22" s="159"/>
      <c r="S22" s="22">
        <f t="shared" si="1"/>
        <v>0</v>
      </c>
      <c r="T22" s="109">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1</v>
      </c>
      <c r="AD22" s="106">
        <f t="shared" si="11"/>
        <v>1</v>
      </c>
    </row>
    <row r="23" spans="1:30">
      <c r="A23" s="165">
        <v>4</v>
      </c>
      <c r="B23" s="164" t="s">
        <v>461</v>
      </c>
      <c r="C23" s="163"/>
      <c r="D23" s="162" t="s">
        <v>75</v>
      </c>
      <c r="E23" s="158"/>
      <c r="F23" s="161"/>
      <c r="G23" s="160"/>
      <c r="H23" s="160"/>
      <c r="I23" s="159"/>
      <c r="J23" s="159"/>
      <c r="K23" s="34">
        <f t="shared" si="0"/>
        <v>0</v>
      </c>
      <c r="L23" s="158"/>
      <c r="M23" s="158"/>
      <c r="N23" s="161"/>
      <c r="O23" s="160"/>
      <c r="P23" s="160"/>
      <c r="Q23" s="159"/>
      <c r="R23" s="159"/>
      <c r="S23" s="22">
        <f t="shared" si="1"/>
        <v>0</v>
      </c>
      <c r="T23" s="109">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1</v>
      </c>
      <c r="AD23" s="106">
        <f t="shared" si="11"/>
        <v>1</v>
      </c>
    </row>
    <row r="24" spans="1:30">
      <c r="A24" s="165">
        <v>4</v>
      </c>
      <c r="B24" s="164" t="s">
        <v>460</v>
      </c>
      <c r="C24" s="163"/>
      <c r="D24" s="162" t="s">
        <v>73</v>
      </c>
      <c r="E24" s="158"/>
      <c r="F24" s="161"/>
      <c r="G24" s="160"/>
      <c r="H24" s="160"/>
      <c r="I24" s="159"/>
      <c r="J24" s="159"/>
      <c r="K24" s="34">
        <f t="shared" si="0"/>
        <v>0</v>
      </c>
      <c r="L24" s="158"/>
      <c r="M24" s="158"/>
      <c r="N24" s="161"/>
      <c r="O24" s="160"/>
      <c r="P24" s="160"/>
      <c r="Q24" s="159"/>
      <c r="R24" s="159"/>
      <c r="S24" s="22">
        <f t="shared" si="1"/>
        <v>0</v>
      </c>
      <c r="T24" s="109">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1</v>
      </c>
      <c r="AD24" s="106">
        <f t="shared" si="11"/>
        <v>1</v>
      </c>
    </row>
    <row r="25" spans="1:30">
      <c r="A25" s="165">
        <v>4</v>
      </c>
      <c r="B25" s="164" t="s">
        <v>458</v>
      </c>
      <c r="C25" s="163" t="s">
        <v>459</v>
      </c>
      <c r="D25" s="162" t="s">
        <v>71</v>
      </c>
      <c r="E25" s="158"/>
      <c r="F25" s="161"/>
      <c r="G25" s="160"/>
      <c r="H25" s="160"/>
      <c r="I25" s="159"/>
      <c r="J25" s="159"/>
      <c r="K25" s="34">
        <f t="shared" si="0"/>
        <v>0</v>
      </c>
      <c r="L25" s="158"/>
      <c r="M25" s="158"/>
      <c r="N25" s="161"/>
      <c r="O25" s="160"/>
      <c r="P25" s="160"/>
      <c r="Q25" s="159"/>
      <c r="R25" s="159"/>
      <c r="S25" s="22">
        <f t="shared" si="1"/>
        <v>0</v>
      </c>
      <c r="T25" s="109">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1</v>
      </c>
      <c r="AD25" s="106">
        <f t="shared" si="11"/>
        <v>1</v>
      </c>
    </row>
    <row r="26" spans="1:30">
      <c r="A26" s="165">
        <v>4</v>
      </c>
      <c r="B26" s="164" t="s">
        <v>458</v>
      </c>
      <c r="C26" s="163" t="s">
        <v>457</v>
      </c>
      <c r="D26" s="162" t="s">
        <v>68</v>
      </c>
      <c r="E26" s="158"/>
      <c r="F26" s="161"/>
      <c r="G26" s="160"/>
      <c r="H26" s="160"/>
      <c r="I26" s="159"/>
      <c r="J26" s="159"/>
      <c r="K26" s="34">
        <f t="shared" si="0"/>
        <v>0</v>
      </c>
      <c r="L26" s="158"/>
      <c r="M26" s="158"/>
      <c r="N26" s="161"/>
      <c r="O26" s="160"/>
      <c r="P26" s="160"/>
      <c r="Q26" s="159"/>
      <c r="R26" s="159"/>
      <c r="S26" s="22">
        <f t="shared" si="1"/>
        <v>0</v>
      </c>
      <c r="T26" s="109">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1</v>
      </c>
      <c r="AD26" s="106">
        <f t="shared" si="11"/>
        <v>1</v>
      </c>
    </row>
    <row r="27" spans="1:30">
      <c r="A27" s="165">
        <v>4</v>
      </c>
      <c r="B27" s="164" t="s">
        <v>456</v>
      </c>
      <c r="C27" s="163"/>
      <c r="D27" s="162" t="s">
        <v>66</v>
      </c>
      <c r="E27" s="158"/>
      <c r="F27" s="161"/>
      <c r="G27" s="160"/>
      <c r="H27" s="160"/>
      <c r="I27" s="159"/>
      <c r="J27" s="159"/>
      <c r="K27" s="34">
        <f t="shared" si="0"/>
        <v>0</v>
      </c>
      <c r="L27" s="158"/>
      <c r="M27" s="158"/>
      <c r="N27" s="161"/>
      <c r="O27" s="160"/>
      <c r="P27" s="160"/>
      <c r="Q27" s="159"/>
      <c r="R27" s="159"/>
      <c r="S27" s="22">
        <f t="shared" si="1"/>
        <v>0</v>
      </c>
      <c r="T27" s="109">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1</v>
      </c>
      <c r="AD27" s="106">
        <f t="shared" si="11"/>
        <v>1</v>
      </c>
    </row>
    <row r="28" spans="1:30">
      <c r="A28" s="165">
        <v>4</v>
      </c>
      <c r="B28" s="164" t="s">
        <v>455</v>
      </c>
      <c r="C28" s="163"/>
      <c r="D28" s="162" t="s">
        <v>64</v>
      </c>
      <c r="E28" s="158"/>
      <c r="F28" s="161"/>
      <c r="G28" s="160"/>
      <c r="H28" s="160"/>
      <c r="I28" s="159"/>
      <c r="J28" s="159"/>
      <c r="K28" s="34">
        <f t="shared" si="0"/>
        <v>0</v>
      </c>
      <c r="L28" s="158"/>
      <c r="M28" s="158"/>
      <c r="N28" s="161"/>
      <c r="O28" s="160"/>
      <c r="P28" s="160"/>
      <c r="Q28" s="159"/>
      <c r="R28" s="159"/>
      <c r="S28" s="22">
        <f t="shared" si="1"/>
        <v>0</v>
      </c>
      <c r="T28" s="109">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1</v>
      </c>
      <c r="AD28" s="106">
        <f t="shared" si="11"/>
        <v>1</v>
      </c>
    </row>
    <row r="29" spans="1:30">
      <c r="A29" s="165">
        <v>4</v>
      </c>
      <c r="B29" s="164" t="s">
        <v>454</v>
      </c>
      <c r="C29" s="163"/>
      <c r="D29" s="162" t="s">
        <v>62</v>
      </c>
      <c r="E29" s="158"/>
      <c r="F29" s="161"/>
      <c r="G29" s="160"/>
      <c r="H29" s="160"/>
      <c r="I29" s="159"/>
      <c r="J29" s="159"/>
      <c r="K29" s="34">
        <f t="shared" ref="K29:K31" si="12">SUM(F29:J29)</f>
        <v>0</v>
      </c>
      <c r="L29" s="158"/>
      <c r="M29" s="158"/>
      <c r="N29" s="161"/>
      <c r="O29" s="160"/>
      <c r="P29" s="160"/>
      <c r="Q29" s="159"/>
      <c r="R29" s="159"/>
      <c r="S29" s="22">
        <f t="shared" si="1"/>
        <v>0</v>
      </c>
      <c r="T29" s="109">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1</v>
      </c>
      <c r="AD29" s="106">
        <f t="shared" si="11"/>
        <v>1</v>
      </c>
    </row>
    <row r="30" spans="1:30">
      <c r="A30" s="165">
        <v>4</v>
      </c>
      <c r="B30" s="164">
        <v>8831936</v>
      </c>
      <c r="C30" s="163"/>
      <c r="D30" s="162" t="s">
        <v>868</v>
      </c>
      <c r="E30" s="158"/>
      <c r="F30" s="161"/>
      <c r="G30" s="160"/>
      <c r="H30" s="160"/>
      <c r="I30" s="159"/>
      <c r="J30" s="159"/>
      <c r="K30" s="34">
        <f t="shared" si="12"/>
        <v>0</v>
      </c>
      <c r="L30" s="158"/>
      <c r="M30" s="158"/>
      <c r="N30" s="161"/>
      <c r="O30" s="160"/>
      <c r="P30" s="160"/>
      <c r="Q30" s="159"/>
      <c r="R30" s="159"/>
      <c r="S30" s="22">
        <f t="shared" ref="S30" si="13">SUM(N30:R30)</f>
        <v>0</v>
      </c>
      <c r="T30" s="109">
        <f t="shared" ref="T30" si="14">+E30-S30</f>
        <v>0</v>
      </c>
      <c r="U30" s="107">
        <f t="shared" ref="U30" si="15">N30-F30*F$4/(100+F$4)</f>
        <v>0</v>
      </c>
      <c r="V30" s="107">
        <f t="shared" ref="V30" si="16">O30-G30*G$4/(100+G$4)</f>
        <v>0</v>
      </c>
      <c r="W30" s="107">
        <f t="shared" ref="W30" si="17">P30-H30*H$4/(100+H$4)</f>
        <v>0</v>
      </c>
      <c r="X30" s="107">
        <f t="shared" ref="X30" si="18">Q30-I30*I$4/(100+I$4)</f>
        <v>0</v>
      </c>
      <c r="Y30" s="107">
        <f t="shared" ref="Y30" si="19">R30-J30*J$4/(100+J$4)</f>
        <v>0</v>
      </c>
      <c r="Z30" s="106">
        <f t="shared" si="7"/>
        <v>0</v>
      </c>
      <c r="AA30" s="106">
        <f t="shared" si="8"/>
        <v>0</v>
      </c>
      <c r="AB30" s="106">
        <f t="shared" si="9"/>
        <v>0</v>
      </c>
      <c r="AC30" s="106">
        <f t="shared" si="10"/>
        <v>1</v>
      </c>
      <c r="AD30" s="106">
        <f t="shared" si="11"/>
        <v>1</v>
      </c>
    </row>
    <row r="31" spans="1:30">
      <c r="A31" s="165">
        <v>4</v>
      </c>
      <c r="B31" s="164" t="s">
        <v>453</v>
      </c>
      <c r="C31" s="163"/>
      <c r="D31" s="162" t="s">
        <v>60</v>
      </c>
      <c r="E31" s="158"/>
      <c r="F31" s="161"/>
      <c r="G31" s="160"/>
      <c r="H31" s="160"/>
      <c r="I31" s="159"/>
      <c r="J31" s="159"/>
      <c r="K31" s="34">
        <f t="shared" si="12"/>
        <v>0</v>
      </c>
      <c r="L31" s="158"/>
      <c r="M31" s="158"/>
      <c r="N31" s="161"/>
      <c r="O31" s="160"/>
      <c r="P31" s="160"/>
      <c r="Q31" s="159"/>
      <c r="R31" s="159"/>
      <c r="S31" s="22">
        <f t="shared" si="1"/>
        <v>0</v>
      </c>
      <c r="T31" s="109">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1</v>
      </c>
      <c r="AD31" s="106">
        <f t="shared" si="11"/>
        <v>1</v>
      </c>
    </row>
    <row r="32" spans="1:30">
      <c r="A32" s="165">
        <v>4</v>
      </c>
      <c r="B32" s="164" t="s">
        <v>452</v>
      </c>
      <c r="C32" s="163"/>
      <c r="D32" s="162" t="s">
        <v>58</v>
      </c>
      <c r="E32" s="158"/>
      <c r="F32" s="161"/>
      <c r="G32" s="160"/>
      <c r="H32" s="160"/>
      <c r="I32" s="159"/>
      <c r="J32" s="159"/>
      <c r="K32" s="34">
        <f t="shared" si="0"/>
        <v>0</v>
      </c>
      <c r="L32" s="158"/>
      <c r="M32" s="158"/>
      <c r="N32" s="161"/>
      <c r="O32" s="160"/>
      <c r="P32" s="160"/>
      <c r="Q32" s="159"/>
      <c r="R32" s="159"/>
      <c r="S32" s="22">
        <f t="shared" si="1"/>
        <v>0</v>
      </c>
      <c r="T32" s="109">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1</v>
      </c>
      <c r="AD32" s="106">
        <f t="shared" si="11"/>
        <v>1</v>
      </c>
    </row>
    <row r="33" spans="1:30">
      <c r="A33" s="165">
        <v>4</v>
      </c>
      <c r="B33" s="164" t="s">
        <v>451</v>
      </c>
      <c r="C33" s="163"/>
      <c r="D33" s="162" t="s">
        <v>56</v>
      </c>
      <c r="E33" s="158"/>
      <c r="F33" s="161"/>
      <c r="G33" s="160"/>
      <c r="H33" s="160"/>
      <c r="I33" s="159"/>
      <c r="J33" s="159"/>
      <c r="K33" s="34">
        <f t="shared" si="0"/>
        <v>0</v>
      </c>
      <c r="L33" s="158"/>
      <c r="M33" s="158"/>
      <c r="N33" s="161"/>
      <c r="O33" s="160"/>
      <c r="P33" s="160"/>
      <c r="Q33" s="159"/>
      <c r="R33" s="159"/>
      <c r="S33" s="22">
        <f t="shared" si="1"/>
        <v>0</v>
      </c>
      <c r="T33" s="109">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1</v>
      </c>
      <c r="AD33" s="106">
        <f t="shared" si="11"/>
        <v>1</v>
      </c>
    </row>
    <row r="34" spans="1:30">
      <c r="A34" s="165">
        <v>4</v>
      </c>
      <c r="B34" s="164" t="s">
        <v>450</v>
      </c>
      <c r="C34" s="163"/>
      <c r="D34" s="162" t="s">
        <v>55</v>
      </c>
      <c r="E34" s="158"/>
      <c r="F34" s="161"/>
      <c r="G34" s="160"/>
      <c r="H34" s="160"/>
      <c r="I34" s="159"/>
      <c r="J34" s="159"/>
      <c r="K34" s="34">
        <f t="shared" si="0"/>
        <v>0</v>
      </c>
      <c r="L34" s="158"/>
      <c r="M34" s="158"/>
      <c r="N34" s="161"/>
      <c r="O34" s="160"/>
      <c r="P34" s="160"/>
      <c r="Q34" s="159"/>
      <c r="R34" s="159"/>
      <c r="S34" s="22">
        <f t="shared" si="1"/>
        <v>0</v>
      </c>
      <c r="T34" s="109">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1</v>
      </c>
      <c r="AD34" s="106">
        <f t="shared" si="11"/>
        <v>1</v>
      </c>
    </row>
    <row r="35" spans="1:30">
      <c r="A35" s="165">
        <v>4</v>
      </c>
      <c r="B35" s="164" t="s">
        <v>449</v>
      </c>
      <c r="C35" s="163"/>
      <c r="D35" s="162" t="s">
        <v>53</v>
      </c>
      <c r="E35" s="158"/>
      <c r="F35" s="161"/>
      <c r="G35" s="160"/>
      <c r="H35" s="160"/>
      <c r="I35" s="159"/>
      <c r="J35" s="159"/>
      <c r="K35" s="34">
        <f t="shared" si="0"/>
        <v>0</v>
      </c>
      <c r="L35" s="158"/>
      <c r="M35" s="158"/>
      <c r="N35" s="161"/>
      <c r="O35" s="160"/>
      <c r="P35" s="160"/>
      <c r="Q35" s="159"/>
      <c r="R35" s="159"/>
      <c r="S35" s="22">
        <f t="shared" si="1"/>
        <v>0</v>
      </c>
      <c r="T35" s="109">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1</v>
      </c>
      <c r="AD35" s="106">
        <f t="shared" si="11"/>
        <v>1</v>
      </c>
    </row>
    <row r="36" spans="1:30" ht="14.25" thickBot="1">
      <c r="A36" s="165"/>
      <c r="B36" s="164" t="s">
        <v>448</v>
      </c>
      <c r="C36" s="163"/>
      <c r="D36" s="162" t="s">
        <v>51</v>
      </c>
      <c r="E36" s="158"/>
      <c r="F36" s="161"/>
      <c r="G36" s="160"/>
      <c r="H36" s="160"/>
      <c r="I36" s="159"/>
      <c r="J36" s="159"/>
      <c r="K36" s="34">
        <f t="shared" si="0"/>
        <v>0</v>
      </c>
      <c r="L36" s="158"/>
      <c r="M36" s="158"/>
      <c r="N36" s="161"/>
      <c r="O36" s="160"/>
      <c r="P36" s="160"/>
      <c r="Q36" s="159"/>
      <c r="R36" s="159"/>
      <c r="S36" s="22">
        <f t="shared" si="1"/>
        <v>0</v>
      </c>
      <c r="T36" s="109">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1</v>
      </c>
      <c r="AD36" s="106">
        <f t="shared" si="11"/>
        <v>1</v>
      </c>
    </row>
    <row r="37" spans="1:30" ht="14.25" thickTop="1">
      <c r="A37" s="156"/>
      <c r="B37" s="155"/>
      <c r="C37" s="154"/>
      <c r="D37" s="153" t="s">
        <v>2</v>
      </c>
      <c r="E37" s="149">
        <f t="shared" ref="E37:T37" si="20">SUM(E5:E36)</f>
        <v>0</v>
      </c>
      <c r="F37" s="152">
        <f t="shared" si="20"/>
        <v>0</v>
      </c>
      <c r="G37" s="151">
        <f t="shared" si="20"/>
        <v>0</v>
      </c>
      <c r="H37" s="151">
        <f t="shared" si="20"/>
        <v>0</v>
      </c>
      <c r="I37" s="150">
        <f t="shared" ref="I37" si="21">SUM(I5:I36)</f>
        <v>0</v>
      </c>
      <c r="J37" s="150">
        <f t="shared" si="20"/>
        <v>0</v>
      </c>
      <c r="K37" s="74">
        <f t="shared" si="20"/>
        <v>0</v>
      </c>
      <c r="L37" s="149">
        <f t="shared" si="20"/>
        <v>0</v>
      </c>
      <c r="M37" s="149">
        <f t="shared" si="20"/>
        <v>0</v>
      </c>
      <c r="N37" s="146">
        <f t="shared" si="20"/>
        <v>0</v>
      </c>
      <c r="O37" s="145">
        <f t="shared" si="20"/>
        <v>0</v>
      </c>
      <c r="P37" s="145">
        <f t="shared" si="20"/>
        <v>0</v>
      </c>
      <c r="Q37" s="148">
        <f t="shared" ref="Q37" si="22">SUM(Q5:Q36)</f>
        <v>0</v>
      </c>
      <c r="R37" s="148">
        <f t="shared" si="20"/>
        <v>0</v>
      </c>
      <c r="S37" s="144">
        <f t="shared" si="20"/>
        <v>0</v>
      </c>
      <c r="T37" s="147">
        <f t="shared" si="20"/>
        <v>0</v>
      </c>
      <c r="U37" s="88" t="str">
        <f>+IF(F37=0,"",ROUND(F37*F$4/(100+F$4),7)-N37)</f>
        <v/>
      </c>
      <c r="V37" s="88"/>
      <c r="W37" s="88"/>
      <c r="X37" s="88"/>
      <c r="Y37" s="88"/>
      <c r="Z37" s="88"/>
      <c r="AA37" s="88"/>
      <c r="AB37" s="87"/>
      <c r="AC37" s="87"/>
      <c r="AD37" s="87"/>
    </row>
    <row r="38" spans="1:30">
      <c r="A38" s="143"/>
      <c r="B38" s="142"/>
      <c r="C38" s="141"/>
      <c r="D38" s="140" t="s">
        <v>1</v>
      </c>
      <c r="E38" s="136">
        <f t="shared" ref="E38:J38" si="23">+E37</f>
        <v>0</v>
      </c>
      <c r="F38" s="139">
        <f t="shared" si="23"/>
        <v>0</v>
      </c>
      <c r="G38" s="138">
        <f t="shared" si="23"/>
        <v>0</v>
      </c>
      <c r="H38" s="138">
        <f t="shared" si="23"/>
        <v>0</v>
      </c>
      <c r="I38" s="137">
        <f t="shared" si="23"/>
        <v>0</v>
      </c>
      <c r="J38" s="137">
        <f t="shared" si="23"/>
        <v>0</v>
      </c>
      <c r="K38" s="63">
        <f>SUM(F38:J38)</f>
        <v>0</v>
      </c>
      <c r="L38" s="136">
        <f>+L37</f>
        <v>0</v>
      </c>
      <c r="M38" s="135">
        <f>+M37</f>
        <v>0</v>
      </c>
      <c r="N38" s="133">
        <f>+'3条支出'!N17</f>
        <v>0</v>
      </c>
      <c r="O38" s="132">
        <f>+'3条支出'!O17</f>
        <v>0</v>
      </c>
      <c r="P38" s="132">
        <f>+'3条支出'!P17</f>
        <v>0</v>
      </c>
      <c r="Q38" s="132">
        <f>+'3条支出'!Q17</f>
        <v>113</v>
      </c>
      <c r="R38" s="132">
        <f>+'3条支出'!R17</f>
        <v>6446888</v>
      </c>
      <c r="S38" s="131">
        <f>+'3条支出'!S17</f>
        <v>6447001</v>
      </c>
      <c r="T38" s="134">
        <f>+'3条支出'!T17</f>
        <v>69941329</v>
      </c>
      <c r="U38" s="88" t="str">
        <f>+IF(F38=0,"",ROUND(F38*F$4/(100+F$4),7)-N38)</f>
        <v/>
      </c>
      <c r="V38" s="88"/>
      <c r="W38" s="88"/>
      <c r="X38" s="88"/>
      <c r="Y38" s="88"/>
      <c r="Z38" s="88"/>
      <c r="AA38" s="88"/>
      <c r="AB38" s="87"/>
      <c r="AC38" s="87"/>
      <c r="AD38" s="87"/>
    </row>
    <row r="39" spans="1:30">
      <c r="E39" s="4">
        <f t="shared" ref="E39:T39" si="24">+E38-E37</f>
        <v>0</v>
      </c>
      <c r="F39" s="4">
        <f t="shared" si="24"/>
        <v>0</v>
      </c>
      <c r="G39" s="4">
        <f t="shared" si="24"/>
        <v>0</v>
      </c>
      <c r="H39" s="4">
        <f t="shared" si="24"/>
        <v>0</v>
      </c>
      <c r="I39" s="4">
        <f t="shared" ref="I39" si="25">+I38-I37</f>
        <v>0</v>
      </c>
      <c r="J39" s="4">
        <f t="shared" si="24"/>
        <v>0</v>
      </c>
      <c r="K39" s="4">
        <f t="shared" si="24"/>
        <v>0</v>
      </c>
      <c r="L39" s="4">
        <f t="shared" si="24"/>
        <v>0</v>
      </c>
      <c r="M39" s="4">
        <f t="shared" si="24"/>
        <v>0</v>
      </c>
      <c r="N39" s="4">
        <f t="shared" si="24"/>
        <v>0</v>
      </c>
      <c r="O39" s="4">
        <f t="shared" si="24"/>
        <v>0</v>
      </c>
      <c r="P39" s="4">
        <f t="shared" si="24"/>
        <v>0</v>
      </c>
      <c r="Q39" s="4">
        <f t="shared" ref="Q39" si="26">+Q38-Q37</f>
        <v>113</v>
      </c>
      <c r="R39" s="4">
        <f t="shared" si="24"/>
        <v>6446888</v>
      </c>
      <c r="S39" s="4">
        <f t="shared" si="24"/>
        <v>6447001</v>
      </c>
      <c r="T39" s="4">
        <f t="shared" si="24"/>
        <v>69941329</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row r="43" spans="1:30">
      <c r="G43" s="272"/>
      <c r="H43" s="272"/>
      <c r="I43" s="272"/>
      <c r="J43"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36">
    <cfRule type="notContainsBlanks" dxfId="4" priority="4" stopIfTrue="1">
      <formula>LEN(TRIM(AE5))&gt;0</formula>
    </cfRule>
  </conditionalFormatting>
  <conditionalFormatting sqref="AE37:AI38">
    <cfRule type="notContainsBlanks" dxfId="3" priority="5" stopIfTrue="1">
      <formula>LEN(TRIM(AE37))&gt;0</formula>
    </cfRule>
  </conditionalFormatting>
  <conditionalFormatting sqref="Z5:AD29 Z31:AD36">
    <cfRule type="expression" dxfId="2" priority="3">
      <formula>ABS(Z5)=1</formula>
    </cfRule>
  </conditionalFormatting>
  <conditionalFormatting sqref="E39:T39">
    <cfRule type="cellIs" dxfId="1" priority="2" operator="notEqual">
      <formula>0</formula>
    </cfRule>
  </conditionalFormatting>
  <conditionalFormatting sqref="Z30:AD30">
    <cfRule type="expression" dxfId="0"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w2_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CC00"/>
    <pageSetUpPr fitToPage="1"/>
  </sheetPr>
  <dimension ref="A1:BM84"/>
  <sheetViews>
    <sheetView view="pageBreakPreview" zoomScale="70" zoomScaleNormal="85" zoomScaleSheetLayoutView="70" workbookViewId="0">
      <pane xSplit="5" ySplit="6" topLeftCell="G7" activePane="bottomRight" state="frozen"/>
      <selection activeCell="D1" sqref="D1"/>
      <selection pane="topRight" activeCell="F1" sqref="F1"/>
      <selection pane="bottomLeft" activeCell="D7" sqref="D7"/>
      <selection pane="bottomRight" activeCell="Z41" sqref="Z41"/>
    </sheetView>
  </sheetViews>
  <sheetFormatPr defaultColWidth="9" defaultRowHeight="15.95" customHeight="1" outlineLevelCol="1"/>
  <cols>
    <col min="1" max="2" width="2.625" style="340" customWidth="1"/>
    <col min="3" max="3" width="2.625" style="344" customWidth="1"/>
    <col min="4" max="4" width="33.875" style="340" bestFit="1" customWidth="1"/>
    <col min="5" max="5" width="14" style="340" bestFit="1" customWidth="1"/>
    <col min="6" max="6" width="13" style="340" hidden="1" customWidth="1" outlineLevel="1"/>
    <col min="7" max="7" width="4.375" style="340" customWidth="1" collapsed="1"/>
    <col min="8" max="8" width="7.625" style="340" customWidth="1"/>
    <col min="9" max="9" width="4.375" style="340" customWidth="1"/>
    <col min="10" max="10" width="14" style="340" bestFit="1" customWidth="1"/>
    <col min="11" max="11" width="13.375" style="345" customWidth="1"/>
    <col min="12" max="12" width="10.25" style="340" bestFit="1" customWidth="1"/>
    <col min="13" max="13" width="9.25" style="340" bestFit="1" customWidth="1"/>
    <col min="14" max="14" width="11.5" style="340" hidden="1" customWidth="1" outlineLevel="1"/>
    <col min="15" max="15" width="12" style="340" customWidth="1" collapsed="1"/>
    <col min="16" max="17" width="12" style="340" customWidth="1"/>
    <col min="18" max="20" width="13.125" style="340" customWidth="1"/>
    <col min="21" max="21" width="12.875" style="340" bestFit="1" customWidth="1"/>
    <col min="22" max="22" width="14" style="340" bestFit="1" customWidth="1"/>
    <col min="23" max="23" width="7.125" style="345" hidden="1" customWidth="1" outlineLevel="1"/>
    <col min="24" max="24" width="2.125" style="345" customWidth="1" collapsed="1"/>
    <col min="25" max="25" width="7.875" style="345" bestFit="1" customWidth="1"/>
    <col min="26" max="26" width="2.125" style="345" customWidth="1"/>
    <col min="27" max="28" width="12.875" style="345" bestFit="1" customWidth="1"/>
    <col min="29" max="29" width="2.625" style="340" customWidth="1" outlineLevel="1"/>
    <col min="30" max="30" width="2.625" style="340" bestFit="1" customWidth="1"/>
    <col min="31" max="31" width="6.875" style="340" bestFit="1" customWidth="1"/>
    <col min="32" max="32" width="7" style="340" bestFit="1" customWidth="1"/>
    <col min="33" max="33" width="11.375" style="340" bestFit="1" customWidth="1"/>
    <col min="34" max="34" width="14.125" style="340" customWidth="1"/>
    <col min="35" max="35" width="14" style="340" bestFit="1" customWidth="1"/>
    <col min="36" max="37" width="4.875" style="340" bestFit="1" customWidth="1"/>
    <col min="38" max="38" width="5.875" style="340" bestFit="1" customWidth="1"/>
    <col min="39" max="39" width="7" style="340" bestFit="1" customWidth="1"/>
    <col min="40" max="40" width="5.875" style="340" bestFit="1" customWidth="1"/>
    <col min="41" max="43" width="2.625" style="340" bestFit="1" customWidth="1"/>
    <col min="44" max="44" width="7" style="340" bestFit="1" customWidth="1"/>
    <col min="45" max="45" width="3.5" style="340" bestFit="1" customWidth="1"/>
    <col min="46" max="47" width="2.625" style="340" bestFit="1" customWidth="1"/>
    <col min="48" max="48" width="3.5" style="340" bestFit="1" customWidth="1"/>
    <col min="49" max="49" width="7" style="340" bestFit="1" customWidth="1"/>
    <col min="50" max="50" width="3.5" style="340" bestFit="1" customWidth="1"/>
    <col min="51" max="52" width="4.875" style="340" bestFit="1" customWidth="1"/>
    <col min="53" max="53" width="5.875" style="340" bestFit="1" customWidth="1"/>
    <col min="54" max="54" width="7" style="340" bestFit="1" customWidth="1"/>
    <col min="55" max="55" width="5.875" style="340" bestFit="1" customWidth="1"/>
    <col min="56" max="58" width="2.625" style="340" bestFit="1" customWidth="1"/>
    <col min="59" max="59" width="7" style="340" bestFit="1" customWidth="1"/>
    <col min="60" max="60" width="3.5" style="340" bestFit="1" customWidth="1"/>
    <col min="61" max="62" width="2.625" style="340" bestFit="1" customWidth="1"/>
    <col min="63" max="63" width="3.5" style="340" bestFit="1" customWidth="1"/>
    <col min="64" max="64" width="7" style="340" bestFit="1" customWidth="1"/>
    <col min="65" max="65" width="3.5" style="340" bestFit="1" customWidth="1"/>
    <col min="66" max="16384" width="9" style="340"/>
  </cols>
  <sheetData>
    <row r="1" spans="1:65" ht="15.95" customHeight="1">
      <c r="D1" s="340" t="str">
        <f>+'3条支出'!$D$1</f>
        <v>令和５年度決算　消費税算出資料</v>
      </c>
    </row>
    <row r="2" spans="1:65" ht="15.95" customHeight="1">
      <c r="D2" s="340" t="s">
        <v>908</v>
      </c>
      <c r="N2" s="362"/>
      <c r="O2" s="362"/>
      <c r="P2" s="362"/>
      <c r="Q2" s="362"/>
      <c r="R2" s="362"/>
      <c r="S2" s="341"/>
      <c r="T2" s="341"/>
      <c r="U2" s="341"/>
      <c r="V2" s="341"/>
      <c r="AK2" s="363"/>
      <c r="AL2" s="363"/>
      <c r="AM2" s="363"/>
      <c r="AN2" s="363"/>
      <c r="AO2" s="363"/>
      <c r="AP2" s="363"/>
      <c r="AQ2" s="363"/>
      <c r="AR2" s="363"/>
      <c r="AS2" s="363"/>
      <c r="AT2" s="363"/>
    </row>
    <row r="3" spans="1:65" ht="15.95" customHeight="1">
      <c r="A3" s="589" t="s">
        <v>882</v>
      </c>
      <c r="B3" s="590" t="s">
        <v>880</v>
      </c>
      <c r="C3" s="609" t="s">
        <v>881</v>
      </c>
      <c r="D3" s="577" t="s">
        <v>887</v>
      </c>
      <c r="E3" s="577" t="s">
        <v>883</v>
      </c>
      <c r="F3" s="592" t="s">
        <v>912</v>
      </c>
      <c r="G3" s="593"/>
      <c r="H3" s="593"/>
      <c r="I3" s="593"/>
      <c r="J3" s="593"/>
      <c r="K3" s="594"/>
      <c r="L3" s="599" t="s">
        <v>970</v>
      </c>
      <c r="M3" s="611" t="s">
        <v>971</v>
      </c>
      <c r="N3" s="589" t="s">
        <v>916</v>
      </c>
      <c r="O3" s="590"/>
      <c r="P3" s="590"/>
      <c r="Q3" s="590"/>
      <c r="R3" s="590"/>
      <c r="S3" s="590"/>
      <c r="T3" s="590"/>
      <c r="U3" s="590"/>
      <c r="V3" s="591"/>
      <c r="W3" s="580" t="s">
        <v>905</v>
      </c>
      <c r="X3" s="581"/>
      <c r="Y3" s="581"/>
      <c r="Z3" s="581"/>
      <c r="AA3" s="581"/>
      <c r="AB3" s="582"/>
      <c r="AC3" s="569" t="s">
        <v>917</v>
      </c>
      <c r="AD3" s="570"/>
      <c r="AE3" s="570"/>
      <c r="AF3" s="570"/>
      <c r="AG3" s="570"/>
      <c r="AH3" s="571"/>
      <c r="AI3" s="577" t="s">
        <v>884</v>
      </c>
      <c r="AJ3" s="567"/>
      <c r="AK3" s="564"/>
      <c r="AL3" s="564"/>
      <c r="AM3" s="564"/>
      <c r="AN3" s="564"/>
      <c r="AO3" s="564"/>
      <c r="AP3" s="564"/>
      <c r="AQ3" s="564"/>
      <c r="AR3" s="564"/>
      <c r="AS3" s="564"/>
      <c r="AT3" s="564"/>
      <c r="AU3" s="400"/>
      <c r="AV3" s="400"/>
      <c r="AW3" s="400"/>
      <c r="AX3" s="400"/>
      <c r="AY3" s="564" t="s">
        <v>966</v>
      </c>
      <c r="AZ3" s="564"/>
      <c r="BA3" s="564"/>
      <c r="BB3" s="564"/>
      <c r="BC3" s="564"/>
      <c r="BD3" s="564"/>
      <c r="BE3" s="564"/>
      <c r="BF3" s="564"/>
      <c r="BG3" s="564"/>
      <c r="BH3" s="564"/>
      <c r="BI3" s="564"/>
      <c r="BJ3" s="564"/>
      <c r="BK3" s="564"/>
      <c r="BL3" s="564"/>
      <c r="BM3" s="564"/>
    </row>
    <row r="4" spans="1:65" ht="15.95" customHeight="1">
      <c r="A4" s="605"/>
      <c r="B4" s="607"/>
      <c r="C4" s="610"/>
      <c r="D4" s="578"/>
      <c r="E4" s="578"/>
      <c r="F4" s="567"/>
      <c r="G4" s="564"/>
      <c r="H4" s="564"/>
      <c r="I4" s="564"/>
      <c r="J4" s="564"/>
      <c r="K4" s="595"/>
      <c r="L4" s="578"/>
      <c r="M4" s="578"/>
      <c r="N4" s="613" t="s">
        <v>913</v>
      </c>
      <c r="O4" s="614"/>
      <c r="P4" s="614"/>
      <c r="Q4" s="614"/>
      <c r="R4" s="614"/>
      <c r="S4" s="614"/>
      <c r="T4" s="615"/>
      <c r="U4" s="616" t="s">
        <v>907</v>
      </c>
      <c r="V4" s="346"/>
      <c r="W4" s="583"/>
      <c r="X4" s="584"/>
      <c r="Y4" s="584"/>
      <c r="Z4" s="584"/>
      <c r="AA4" s="584"/>
      <c r="AB4" s="585"/>
      <c r="AC4" s="572"/>
      <c r="AD4" s="573"/>
      <c r="AE4" s="573"/>
      <c r="AF4" s="573"/>
      <c r="AG4" s="573"/>
      <c r="AH4" s="574"/>
      <c r="AI4" s="578"/>
      <c r="AJ4" s="398"/>
      <c r="AK4" s="399"/>
      <c r="AL4" s="399"/>
      <c r="AM4" s="405"/>
      <c r="AN4" s="399"/>
      <c r="AO4" s="399"/>
      <c r="AP4" s="399"/>
      <c r="AQ4" s="399"/>
      <c r="AR4" s="405"/>
      <c r="AS4" s="399"/>
      <c r="AT4" s="399"/>
      <c r="AU4" s="400"/>
      <c r="AV4" s="400"/>
      <c r="AW4" s="400"/>
      <c r="AX4" s="400"/>
      <c r="AY4" s="564"/>
      <c r="AZ4" s="564"/>
      <c r="BA4" s="564"/>
      <c r="BB4" s="564"/>
      <c r="BC4" s="564"/>
      <c r="BD4" s="564"/>
      <c r="BE4" s="564"/>
      <c r="BF4" s="564"/>
      <c r="BG4" s="564"/>
      <c r="BH4" s="564"/>
      <c r="BI4" s="564"/>
      <c r="BJ4" s="564"/>
      <c r="BK4" s="564"/>
      <c r="BL4" s="564"/>
      <c r="BM4" s="564"/>
    </row>
    <row r="5" spans="1:65" ht="15.95" customHeight="1">
      <c r="A5" s="605"/>
      <c r="B5" s="607"/>
      <c r="C5" s="610"/>
      <c r="D5" s="578"/>
      <c r="E5" s="578"/>
      <c r="F5" s="596"/>
      <c r="G5" s="597"/>
      <c r="H5" s="597"/>
      <c r="I5" s="597"/>
      <c r="J5" s="597"/>
      <c r="K5" s="598"/>
      <c r="L5" s="578"/>
      <c r="M5" s="578"/>
      <c r="N5" s="601" t="s">
        <v>914</v>
      </c>
      <c r="O5" s="602"/>
      <c r="P5" s="602"/>
      <c r="Q5" s="602"/>
      <c r="R5" s="602"/>
      <c r="S5" s="602"/>
      <c r="T5" s="575" t="s">
        <v>915</v>
      </c>
      <c r="U5" s="617"/>
      <c r="V5" s="603" t="s">
        <v>885</v>
      </c>
      <c r="W5" s="586"/>
      <c r="X5" s="587"/>
      <c r="Y5" s="587"/>
      <c r="Z5" s="587"/>
      <c r="AA5" s="587"/>
      <c r="AB5" s="588"/>
      <c r="AC5" s="572"/>
      <c r="AD5" s="573"/>
      <c r="AE5" s="573"/>
      <c r="AF5" s="573"/>
      <c r="AG5" s="573"/>
      <c r="AH5" s="574"/>
      <c r="AI5" s="578"/>
      <c r="AJ5" s="568" t="s">
        <v>889</v>
      </c>
      <c r="AK5" s="565"/>
      <c r="AL5" s="565"/>
      <c r="AM5" s="565"/>
      <c r="AN5" s="565"/>
      <c r="AO5" s="565" t="s">
        <v>965</v>
      </c>
      <c r="AP5" s="565"/>
      <c r="AQ5" s="565"/>
      <c r="AR5" s="565"/>
      <c r="AS5" s="565"/>
      <c r="AT5" s="565" t="s">
        <v>890</v>
      </c>
      <c r="AU5" s="565"/>
      <c r="AV5" s="565"/>
      <c r="AW5" s="565"/>
      <c r="AX5" s="565"/>
      <c r="AY5" s="565" t="s">
        <v>889</v>
      </c>
      <c r="AZ5" s="565"/>
      <c r="BA5" s="565"/>
      <c r="BB5" s="565"/>
      <c r="BC5" s="565"/>
      <c r="BD5" s="565" t="s">
        <v>965</v>
      </c>
      <c r="BE5" s="565"/>
      <c r="BF5" s="565"/>
      <c r="BG5" s="565"/>
      <c r="BH5" s="565"/>
      <c r="BI5" s="566" t="s">
        <v>890</v>
      </c>
      <c r="BJ5" s="566"/>
      <c r="BK5" s="566"/>
      <c r="BL5" s="566"/>
      <c r="BM5" s="566"/>
    </row>
    <row r="6" spans="1:65" s="363" customFormat="1" ht="15.95" customHeight="1">
      <c r="A6" s="606"/>
      <c r="B6" s="608"/>
      <c r="C6" s="610"/>
      <c r="D6" s="579"/>
      <c r="E6" s="579"/>
      <c r="F6" s="347">
        <v>3</v>
      </c>
      <c r="G6" s="348">
        <v>5</v>
      </c>
      <c r="H6" s="348">
        <v>8</v>
      </c>
      <c r="I6" s="408">
        <v>8</v>
      </c>
      <c r="J6" s="349">
        <v>10</v>
      </c>
      <c r="K6" s="356" t="s">
        <v>885</v>
      </c>
      <c r="L6" s="600"/>
      <c r="M6" s="612"/>
      <c r="N6" s="350">
        <v>3</v>
      </c>
      <c r="O6" s="351">
        <v>5</v>
      </c>
      <c r="P6" s="351">
        <v>8</v>
      </c>
      <c r="Q6" s="408">
        <v>8</v>
      </c>
      <c r="R6" s="351">
        <v>10</v>
      </c>
      <c r="S6" s="352" t="s">
        <v>906</v>
      </c>
      <c r="T6" s="576"/>
      <c r="U6" s="618"/>
      <c r="V6" s="604"/>
      <c r="W6" s="353">
        <v>3</v>
      </c>
      <c r="X6" s="354">
        <v>5</v>
      </c>
      <c r="Y6" s="354">
        <v>8</v>
      </c>
      <c r="Z6" s="408">
        <v>8</v>
      </c>
      <c r="AA6" s="355">
        <v>10</v>
      </c>
      <c r="AB6" s="356" t="s">
        <v>885</v>
      </c>
      <c r="AC6" s="353">
        <v>3</v>
      </c>
      <c r="AD6" s="354">
        <v>5</v>
      </c>
      <c r="AE6" s="354">
        <v>8</v>
      </c>
      <c r="AF6" s="408">
        <v>8</v>
      </c>
      <c r="AG6" s="354">
        <v>10</v>
      </c>
      <c r="AH6" s="396" t="s">
        <v>906</v>
      </c>
      <c r="AI6" s="579"/>
      <c r="AJ6" s="397">
        <v>3</v>
      </c>
      <c r="AK6" s="397">
        <v>5</v>
      </c>
      <c r="AL6" s="397">
        <v>8</v>
      </c>
      <c r="AM6" s="409">
        <v>8</v>
      </c>
      <c r="AN6" s="397">
        <v>10</v>
      </c>
      <c r="AO6" s="397">
        <v>3</v>
      </c>
      <c r="AP6" s="397">
        <v>5</v>
      </c>
      <c r="AQ6" s="397">
        <v>8</v>
      </c>
      <c r="AR6" s="409">
        <v>8</v>
      </c>
      <c r="AS6" s="397">
        <v>10</v>
      </c>
      <c r="AT6" s="397">
        <v>3</v>
      </c>
      <c r="AU6" s="397">
        <v>5</v>
      </c>
      <c r="AV6" s="397">
        <v>8</v>
      </c>
      <c r="AW6" s="409">
        <v>8</v>
      </c>
      <c r="AX6" s="397">
        <v>10</v>
      </c>
      <c r="AY6" s="397">
        <v>3</v>
      </c>
      <c r="AZ6" s="397">
        <v>5</v>
      </c>
      <c r="BA6" s="397">
        <v>8</v>
      </c>
      <c r="BB6" s="409">
        <v>8</v>
      </c>
      <c r="BC6" s="397">
        <v>10</v>
      </c>
      <c r="BD6" s="397">
        <v>3</v>
      </c>
      <c r="BE6" s="397">
        <v>5</v>
      </c>
      <c r="BF6" s="397">
        <v>8</v>
      </c>
      <c r="BG6" s="409">
        <v>8</v>
      </c>
      <c r="BH6" s="397">
        <v>10</v>
      </c>
      <c r="BI6" s="397">
        <v>3</v>
      </c>
      <c r="BJ6" s="397">
        <v>5</v>
      </c>
      <c r="BK6" s="397">
        <v>8</v>
      </c>
      <c r="BL6" s="409">
        <v>8</v>
      </c>
      <c r="BM6" s="397">
        <v>10</v>
      </c>
    </row>
    <row r="7" spans="1:65" s="426" customFormat="1" ht="15.95" customHeight="1">
      <c r="A7" s="364"/>
      <c r="B7" s="365"/>
      <c r="C7" s="366"/>
      <c r="D7" s="410" t="s">
        <v>891</v>
      </c>
      <c r="E7" s="411">
        <f>+E8</f>
        <v>20488962528</v>
      </c>
      <c r="F7" s="412">
        <f t="shared" ref="F7:V7" si="0">+F8</f>
        <v>0</v>
      </c>
      <c r="G7" s="413">
        <f t="shared" si="0"/>
        <v>0</v>
      </c>
      <c r="H7" s="413">
        <f t="shared" si="0"/>
        <v>0</v>
      </c>
      <c r="I7" s="414">
        <f t="shared" si="0"/>
        <v>0</v>
      </c>
      <c r="J7" s="414">
        <f t="shared" si="0"/>
        <v>20488875668</v>
      </c>
      <c r="K7" s="415">
        <f t="shared" si="0"/>
        <v>20488875668</v>
      </c>
      <c r="L7" s="411">
        <f t="shared" si="0"/>
        <v>0</v>
      </c>
      <c r="M7" s="411">
        <f t="shared" si="0"/>
        <v>86860</v>
      </c>
      <c r="N7" s="416">
        <f t="shared" ref="N7:U7" si="1">+N8</f>
        <v>0</v>
      </c>
      <c r="O7" s="417">
        <f t="shared" si="1"/>
        <v>0</v>
      </c>
      <c r="P7" s="417">
        <f t="shared" si="1"/>
        <v>0</v>
      </c>
      <c r="Q7" s="417">
        <f t="shared" si="1"/>
        <v>0</v>
      </c>
      <c r="R7" s="417">
        <f t="shared" si="1"/>
        <v>0</v>
      </c>
      <c r="S7" s="417">
        <f t="shared" si="1"/>
        <v>0</v>
      </c>
      <c r="T7" s="417">
        <f t="shared" si="1"/>
        <v>0</v>
      </c>
      <c r="U7" s="417">
        <f t="shared" si="1"/>
        <v>0</v>
      </c>
      <c r="V7" s="418">
        <f t="shared" si="0"/>
        <v>0</v>
      </c>
      <c r="W7" s="412">
        <f t="shared" ref="W7:AI7" si="2">+W8</f>
        <v>0</v>
      </c>
      <c r="X7" s="413">
        <f t="shared" si="2"/>
        <v>0</v>
      </c>
      <c r="Y7" s="413">
        <f t="shared" si="2"/>
        <v>0</v>
      </c>
      <c r="Z7" s="413">
        <f t="shared" si="2"/>
        <v>0</v>
      </c>
      <c r="AA7" s="414">
        <f t="shared" si="2"/>
        <v>1862625061</v>
      </c>
      <c r="AB7" s="415">
        <f t="shared" si="2"/>
        <v>1862625061</v>
      </c>
      <c r="AC7" s="419">
        <f t="shared" ref="AC7:AH7" si="3">+AC8</f>
        <v>0</v>
      </c>
      <c r="AD7" s="420">
        <f t="shared" si="3"/>
        <v>0</v>
      </c>
      <c r="AE7" s="420">
        <f t="shared" si="3"/>
        <v>0</v>
      </c>
      <c r="AF7" s="420">
        <f t="shared" si="3"/>
        <v>0</v>
      </c>
      <c r="AG7" s="420">
        <f t="shared" si="3"/>
        <v>0</v>
      </c>
      <c r="AH7" s="421">
        <f t="shared" si="3"/>
        <v>0</v>
      </c>
      <c r="AI7" s="422">
        <f t="shared" si="2"/>
        <v>18626337467</v>
      </c>
      <c r="AJ7" s="423"/>
      <c r="AK7" s="423"/>
      <c r="AL7" s="423"/>
      <c r="AM7" s="423"/>
      <c r="AN7" s="423"/>
      <c r="AO7" s="424"/>
      <c r="AP7" s="424"/>
      <c r="AQ7" s="424"/>
      <c r="AR7" s="424"/>
      <c r="AS7" s="424"/>
      <c r="AT7" s="425"/>
      <c r="AU7" s="425"/>
      <c r="AV7" s="425"/>
      <c r="AW7" s="425"/>
      <c r="AX7" s="425"/>
      <c r="AY7" s="423"/>
      <c r="AZ7" s="423"/>
      <c r="BA7" s="423"/>
      <c r="BB7" s="423"/>
      <c r="BC7" s="423"/>
      <c r="BD7" s="424"/>
      <c r="BE7" s="424"/>
      <c r="BF7" s="424"/>
      <c r="BG7" s="424"/>
      <c r="BH7" s="424"/>
      <c r="BI7" s="425"/>
      <c r="BJ7" s="425"/>
      <c r="BK7" s="425"/>
      <c r="BL7" s="425"/>
      <c r="BM7" s="425"/>
    </row>
    <row r="8" spans="1:65" s="426" customFormat="1" ht="15.95" customHeight="1">
      <c r="A8" s="367"/>
      <c r="B8" s="368"/>
      <c r="C8" s="369">
        <v>481020200</v>
      </c>
      <c r="D8" s="427" t="s">
        <v>927</v>
      </c>
      <c r="E8" s="428">
        <f>+SUMIFS(全伝票!I:I,全伝票!$C:$C,$C8)</f>
        <v>20488962528</v>
      </c>
      <c r="F8" s="429">
        <f>+SUMIFS(全伝票!J:J,全伝票!$C:$C,$C8)</f>
        <v>0</v>
      </c>
      <c r="G8" s="430">
        <f>+SUMIFS(全伝票!K:K,全伝票!$C:$C,$C8)</f>
        <v>0</v>
      </c>
      <c r="H8" s="430">
        <f>+SUMIFS(全伝票!L:L,全伝票!$C:$C,$C8)</f>
        <v>0</v>
      </c>
      <c r="I8" s="431">
        <f>+SUMIFS(全伝票!M:M,全伝票!$C:$C,$C8)</f>
        <v>0</v>
      </c>
      <c r="J8" s="431">
        <f>+SUMIFS(全伝票!N:N,全伝票!$C:$C,$C8)-M8</f>
        <v>20488875668</v>
      </c>
      <c r="K8" s="432">
        <f>SUM(F8:J8)</f>
        <v>20488875668</v>
      </c>
      <c r="L8" s="428">
        <f>+SUMIFS(全伝票!O:O,全伝票!$C:$C,$C8)</f>
        <v>0</v>
      </c>
      <c r="M8" s="433">
        <v>86860</v>
      </c>
      <c r="N8" s="434"/>
      <c r="O8" s="435"/>
      <c r="P8" s="435"/>
      <c r="Q8" s="435"/>
      <c r="R8" s="435"/>
      <c r="S8" s="435">
        <f>SUM(N8:R8)</f>
        <v>0</v>
      </c>
      <c r="T8" s="435"/>
      <c r="U8" s="435">
        <f>+V8-SUM(N8:T8)</f>
        <v>0</v>
      </c>
      <c r="V8" s="436">
        <f>+SUMIFS(全伝票!P:P,全伝票!$C:$C,$C8)</f>
        <v>0</v>
      </c>
      <c r="W8" s="434">
        <f>+ROUND(F8*F$6/(100+F$6),0)+AT8</f>
        <v>0</v>
      </c>
      <c r="X8" s="435">
        <f>+ROUND(G8*G$6/(100+G$6),0)+AU8</f>
        <v>0</v>
      </c>
      <c r="Y8" s="435">
        <f>+ROUND(H8*H$6/(100+H$6),0)+AV8</f>
        <v>0</v>
      </c>
      <c r="Z8" s="435">
        <f>+ROUND(I8*I$6/(100+I$6),0)+AW8</f>
        <v>0</v>
      </c>
      <c r="AA8" s="437">
        <f>+ROUND(J8*J$6/(100+J$6),0)+AX8</f>
        <v>1862625061</v>
      </c>
      <c r="AB8" s="432">
        <f>SUM(W8:AA8)</f>
        <v>1862625061</v>
      </c>
      <c r="AC8" s="438">
        <f>+ROUND(N8*AC$6/(100+AC$6),0)+BI8</f>
        <v>0</v>
      </c>
      <c r="AD8" s="439">
        <f>+ROUND(O8*AD$6/(100+AD$6),0)+BJ8</f>
        <v>0</v>
      </c>
      <c r="AE8" s="439">
        <f>+ROUND(P8*AE$6/(100+AE$6),0)+BK8</f>
        <v>0</v>
      </c>
      <c r="AF8" s="439">
        <f>+ROUND(Q8*AF$6/(100+AF$6),0)+BL8</f>
        <v>0</v>
      </c>
      <c r="AG8" s="439">
        <f>+ROUND(R8*AG$6/(100+AG$6),0)+BM8</f>
        <v>0</v>
      </c>
      <c r="AH8" s="440">
        <f>SUM(AC8:AG8)</f>
        <v>0</v>
      </c>
      <c r="AI8" s="441">
        <f>+E8-AB8</f>
        <v>18626337467</v>
      </c>
      <c r="AJ8" s="423">
        <f>W8-F8*W$6/(100+W$6)</f>
        <v>0</v>
      </c>
      <c r="AK8" s="423">
        <f>X8-G8*X$6/(100+X$6)</f>
        <v>0</v>
      </c>
      <c r="AL8" s="423">
        <f>Y8-H8*Y$6/(100+Y$6)</f>
        <v>0</v>
      </c>
      <c r="AM8" s="423">
        <f>Z8-I8*Z$6/(100+Z$6)</f>
        <v>0</v>
      </c>
      <c r="AN8" s="423">
        <f>AA8-J8*AA$6/(100+AA$6)</f>
        <v>0.27272725105285645</v>
      </c>
      <c r="AO8" s="424">
        <f>+IF(W$71=0,0,IF(W$71&lt;0,-RANK(AJ8,AJ$7:AJ$68,0),RANK(AJ8,AJ$7:AJ$68,1)))</f>
        <v>0</v>
      </c>
      <c r="AP8" s="424">
        <f>+IF(X$71=0,0,IF(X$71&lt;0,-RANK(AK8,AK$7:AK$68,0),RANK(AK8,AK$7:AK$68,1)))</f>
        <v>0</v>
      </c>
      <c r="AQ8" s="424">
        <f>+IF(Y$71=0,0,IF(Y$71&lt;0,-RANK(AL8,AL$7:AL$68,0),RANK(AL8,AL$7:AL$68,1)))</f>
        <v>0</v>
      </c>
      <c r="AR8" s="424">
        <f>+IF(Z$71=0,0,IF(Z$71&lt;0,-RANK(AM8,AM$7:AM$68,0),RANK(AM8,AM$7:AM$68,1)))</f>
        <v>0</v>
      </c>
      <c r="AS8" s="424">
        <f>+IF(AA$71=0,0,IF(AA$71&lt;0,-RANK(AN8,AN$7:AN$68,0),RANK(AN8,AN$7:AN$68,1)))</f>
        <v>0</v>
      </c>
      <c r="AT8" s="425"/>
      <c r="AU8" s="425"/>
      <c r="AV8" s="425"/>
      <c r="AW8" s="425"/>
      <c r="AX8" s="425"/>
      <c r="AY8" s="423"/>
      <c r="AZ8" s="423"/>
      <c r="BA8" s="423"/>
      <c r="BB8" s="423"/>
      <c r="BC8" s="423"/>
      <c r="BD8" s="424"/>
      <c r="BE8" s="424"/>
      <c r="BF8" s="424"/>
      <c r="BG8" s="424"/>
      <c r="BH8" s="424"/>
      <c r="BI8" s="425"/>
      <c r="BJ8" s="425"/>
      <c r="BK8" s="425"/>
      <c r="BL8" s="425"/>
      <c r="BM8" s="425"/>
    </row>
    <row r="9" spans="1:65" s="426" customFormat="1" ht="15.95" customHeight="1">
      <c r="A9" s="364"/>
      <c r="B9" s="365"/>
      <c r="C9" s="366"/>
      <c r="D9" s="410" t="s">
        <v>928</v>
      </c>
      <c r="E9" s="411">
        <f>+SUM(E10,E14:E16)</f>
        <v>14187102335</v>
      </c>
      <c r="F9" s="412">
        <f t="shared" ref="F9:V9" si="4">+SUM(F10,F14:F16)</f>
        <v>0</v>
      </c>
      <c r="G9" s="413">
        <f t="shared" si="4"/>
        <v>0</v>
      </c>
      <c r="H9" s="413">
        <f t="shared" si="4"/>
        <v>0</v>
      </c>
      <c r="I9" s="414">
        <f t="shared" ref="I9" si="5">+SUM(I10,I14:I16)</f>
        <v>0</v>
      </c>
      <c r="J9" s="414">
        <f t="shared" si="4"/>
        <v>0</v>
      </c>
      <c r="K9" s="415">
        <f t="shared" si="4"/>
        <v>0</v>
      </c>
      <c r="L9" s="411">
        <f t="shared" si="4"/>
        <v>0</v>
      </c>
      <c r="M9" s="411">
        <f t="shared" ref="M9" si="6">+SUM(M10,M14:M16)</f>
        <v>0</v>
      </c>
      <c r="N9" s="416">
        <f t="shared" ref="N9:U9" si="7">+SUM(N10,N14:N16)</f>
        <v>0</v>
      </c>
      <c r="O9" s="417">
        <f t="shared" si="7"/>
        <v>0</v>
      </c>
      <c r="P9" s="417">
        <f t="shared" si="7"/>
        <v>455357</v>
      </c>
      <c r="Q9" s="417">
        <f t="shared" ref="Q9" si="8">+SUM(Q10,Q14:Q16)</f>
        <v>130554</v>
      </c>
      <c r="R9" s="417">
        <f t="shared" si="7"/>
        <v>2306681642</v>
      </c>
      <c r="S9" s="417">
        <f t="shared" si="7"/>
        <v>2307267553</v>
      </c>
      <c r="T9" s="417">
        <f t="shared" si="7"/>
        <v>11667360674</v>
      </c>
      <c r="U9" s="417">
        <f t="shared" si="7"/>
        <v>212474108</v>
      </c>
      <c r="V9" s="418">
        <f t="shared" si="4"/>
        <v>14187102335</v>
      </c>
      <c r="W9" s="412">
        <f t="shared" ref="W9:AI9" si="9">+SUM(W10,W14:W16)</f>
        <v>0</v>
      </c>
      <c r="X9" s="413">
        <f t="shared" si="9"/>
        <v>0</v>
      </c>
      <c r="Y9" s="413">
        <f t="shared" si="9"/>
        <v>0</v>
      </c>
      <c r="Z9" s="413">
        <f t="shared" ref="Z9" si="10">+SUM(Z10,Z14:Z16)</f>
        <v>0</v>
      </c>
      <c r="AA9" s="414">
        <f t="shared" si="9"/>
        <v>0</v>
      </c>
      <c r="AB9" s="415">
        <f t="shared" si="9"/>
        <v>0</v>
      </c>
      <c r="AC9" s="419">
        <f t="shared" ref="AC9:AH9" si="11">+SUM(AC10,AC14:AC16)</f>
        <v>0</v>
      </c>
      <c r="AD9" s="420">
        <f t="shared" si="11"/>
        <v>0</v>
      </c>
      <c r="AE9" s="420">
        <f t="shared" si="11"/>
        <v>33729</v>
      </c>
      <c r="AF9" s="420">
        <f t="shared" si="11"/>
        <v>9670</v>
      </c>
      <c r="AG9" s="420">
        <f t="shared" si="11"/>
        <v>209698331</v>
      </c>
      <c r="AH9" s="421">
        <f t="shared" si="11"/>
        <v>209741730</v>
      </c>
      <c r="AI9" s="422">
        <f t="shared" si="9"/>
        <v>14187102335</v>
      </c>
      <c r="AJ9" s="442"/>
      <c r="AK9" s="442"/>
      <c r="AL9" s="442"/>
      <c r="AM9" s="442"/>
      <c r="AN9" s="442"/>
      <c r="AO9" s="424"/>
      <c r="AP9" s="424"/>
      <c r="AQ9" s="424"/>
      <c r="AR9" s="424"/>
      <c r="AS9" s="424"/>
      <c r="AT9" s="425"/>
      <c r="AU9" s="425"/>
      <c r="AV9" s="425"/>
      <c r="AW9" s="425"/>
      <c r="AX9" s="425"/>
      <c r="AY9" s="423"/>
      <c r="AZ9" s="423"/>
      <c r="BA9" s="423"/>
      <c r="BB9" s="423"/>
      <c r="BC9" s="423"/>
      <c r="BD9" s="424"/>
      <c r="BE9" s="424"/>
      <c r="BF9" s="424"/>
      <c r="BG9" s="424"/>
      <c r="BH9" s="424"/>
      <c r="BI9" s="425"/>
      <c r="BJ9" s="425"/>
      <c r="BK9" s="425"/>
      <c r="BL9" s="425"/>
      <c r="BM9" s="425"/>
    </row>
    <row r="10" spans="1:65" s="426" customFormat="1" ht="15.95" customHeight="1">
      <c r="A10" s="370"/>
      <c r="B10" s="371"/>
      <c r="C10" s="372"/>
      <c r="D10" s="443" t="s">
        <v>929</v>
      </c>
      <c r="E10" s="444">
        <f t="shared" ref="E10:V10" si="12">+SUM(E11:E13)</f>
        <v>14079749832</v>
      </c>
      <c r="F10" s="445">
        <f t="shared" si="12"/>
        <v>0</v>
      </c>
      <c r="G10" s="446">
        <f t="shared" si="12"/>
        <v>0</v>
      </c>
      <c r="H10" s="446">
        <f t="shared" si="12"/>
        <v>0</v>
      </c>
      <c r="I10" s="447">
        <f t="shared" ref="I10" si="13">+SUM(I11:I13)</f>
        <v>0</v>
      </c>
      <c r="J10" s="447">
        <f t="shared" si="12"/>
        <v>0</v>
      </c>
      <c r="K10" s="448">
        <f t="shared" si="12"/>
        <v>0</v>
      </c>
      <c r="L10" s="444">
        <f t="shared" si="12"/>
        <v>0</v>
      </c>
      <c r="M10" s="444">
        <f t="shared" ref="M10" si="14">+SUM(M11:M13)</f>
        <v>0</v>
      </c>
      <c r="N10" s="445">
        <f t="shared" ref="N10:U10" si="15">+SUM(N11:N13)</f>
        <v>0</v>
      </c>
      <c r="O10" s="446">
        <f t="shared" si="15"/>
        <v>0</v>
      </c>
      <c r="P10" s="446">
        <f t="shared" si="15"/>
        <v>455357</v>
      </c>
      <c r="Q10" s="446">
        <f t="shared" ref="Q10" si="16">+SUM(Q11:Q13)</f>
        <v>130554</v>
      </c>
      <c r="R10" s="446">
        <f t="shared" si="15"/>
        <v>2284304930</v>
      </c>
      <c r="S10" s="446">
        <f t="shared" si="15"/>
        <v>2284890841</v>
      </c>
      <c r="T10" s="446">
        <f t="shared" si="15"/>
        <v>11584460795</v>
      </c>
      <c r="U10" s="446">
        <f t="shared" si="15"/>
        <v>210398196</v>
      </c>
      <c r="V10" s="448">
        <f t="shared" si="12"/>
        <v>14079749832</v>
      </c>
      <c r="W10" s="445">
        <f t="shared" ref="W10:AI10" si="17">+SUM(W11:W13)</f>
        <v>0</v>
      </c>
      <c r="X10" s="446">
        <f t="shared" si="17"/>
        <v>0</v>
      </c>
      <c r="Y10" s="446">
        <f t="shared" si="17"/>
        <v>0</v>
      </c>
      <c r="Z10" s="446">
        <f t="shared" ref="Z10" si="18">+SUM(Z11:Z13)</f>
        <v>0</v>
      </c>
      <c r="AA10" s="447">
        <f t="shared" si="17"/>
        <v>0</v>
      </c>
      <c r="AB10" s="448">
        <f t="shared" si="17"/>
        <v>0</v>
      </c>
      <c r="AC10" s="449">
        <f t="shared" ref="AC10:AH10" si="19">+SUM(AC11:AC13)</f>
        <v>0</v>
      </c>
      <c r="AD10" s="450">
        <f t="shared" si="19"/>
        <v>0</v>
      </c>
      <c r="AE10" s="450">
        <f t="shared" si="19"/>
        <v>33729</v>
      </c>
      <c r="AF10" s="450">
        <f t="shared" si="19"/>
        <v>9670</v>
      </c>
      <c r="AG10" s="450">
        <f t="shared" si="19"/>
        <v>207664085</v>
      </c>
      <c r="AH10" s="451">
        <f t="shared" si="19"/>
        <v>207707484</v>
      </c>
      <c r="AI10" s="452">
        <f t="shared" si="17"/>
        <v>14079749832</v>
      </c>
      <c r="AJ10" s="442"/>
      <c r="AK10" s="442"/>
      <c r="AL10" s="442"/>
      <c r="AM10" s="442"/>
      <c r="AN10" s="442"/>
      <c r="AO10" s="424"/>
      <c r="AP10" s="424"/>
      <c r="AQ10" s="424"/>
      <c r="AR10" s="424"/>
      <c r="AS10" s="424"/>
      <c r="AT10" s="425"/>
      <c r="AU10" s="425"/>
      <c r="AV10" s="425"/>
      <c r="AW10" s="425"/>
      <c r="AX10" s="425"/>
      <c r="AY10" s="423"/>
      <c r="AZ10" s="423"/>
      <c r="BA10" s="423"/>
      <c r="BB10" s="423"/>
      <c r="BC10" s="423"/>
      <c r="BD10" s="424"/>
      <c r="BE10" s="424"/>
      <c r="BF10" s="424"/>
      <c r="BG10" s="424"/>
      <c r="BH10" s="424"/>
      <c r="BI10" s="425"/>
      <c r="BJ10" s="425"/>
      <c r="BK10" s="425"/>
      <c r="BL10" s="425"/>
      <c r="BM10" s="425"/>
    </row>
    <row r="11" spans="1:65" s="426" customFormat="1" ht="15.95" customHeight="1">
      <c r="A11" s="370"/>
      <c r="B11" s="371"/>
      <c r="C11" s="372">
        <v>481040411</v>
      </c>
      <c r="D11" s="443" t="s">
        <v>930</v>
      </c>
      <c r="E11" s="453">
        <f>+雨汚水!E111</f>
        <v>3591522898</v>
      </c>
      <c r="F11" s="445"/>
      <c r="G11" s="446"/>
      <c r="H11" s="446"/>
      <c r="I11" s="447"/>
      <c r="J11" s="447"/>
      <c r="K11" s="448">
        <f t="shared" ref="K11:K16" si="20">SUM(F11:J11)</f>
        <v>0</v>
      </c>
      <c r="L11" s="444"/>
      <c r="M11" s="444"/>
      <c r="N11" s="445"/>
      <c r="O11" s="446"/>
      <c r="P11" s="454">
        <f>+'3条一般会計'!L$11</f>
        <v>455357</v>
      </c>
      <c r="Q11" s="454">
        <f>+'3条一般会計'!M$11</f>
        <v>130554</v>
      </c>
      <c r="R11" s="454">
        <f>+'3条一般会計'!N$11</f>
        <v>2256510197</v>
      </c>
      <c r="S11" s="446">
        <f t="shared" ref="S11:S16" si="21">SUM(N11:R11)</f>
        <v>2257096108</v>
      </c>
      <c r="T11" s="454">
        <f>+'3条一般会計'!$I$10</f>
        <v>1126582233</v>
      </c>
      <c r="U11" s="446">
        <f t="shared" ref="U11:U16" si="22">+V11-SUM(S11:T11)</f>
        <v>207844557</v>
      </c>
      <c r="V11" s="448">
        <f t="shared" ref="V11:V16" si="23">+E11</f>
        <v>3591522898</v>
      </c>
      <c r="W11" s="445">
        <f t="shared" ref="W11:Z16" si="24">+ROUND(F11*F$6/(100+F$6),0)+AT11</f>
        <v>0</v>
      </c>
      <c r="X11" s="446">
        <f t="shared" si="24"/>
        <v>0</v>
      </c>
      <c r="Y11" s="446">
        <f t="shared" si="24"/>
        <v>0</v>
      </c>
      <c r="Z11" s="446">
        <f t="shared" si="24"/>
        <v>0</v>
      </c>
      <c r="AA11" s="447">
        <f t="shared" ref="AA11:AA16" si="25">+ROUND(J11*J$6/(100+J$6),0)+AX11</f>
        <v>0</v>
      </c>
      <c r="AB11" s="448">
        <f t="shared" ref="AB11:AB16" si="26">SUM(W11:AA11)</f>
        <v>0</v>
      </c>
      <c r="AC11" s="455">
        <f t="shared" ref="AC11:AF16" si="27">+ROUND(N11*AC$6/(100+AC$6),0)+BI11</f>
        <v>0</v>
      </c>
      <c r="AD11" s="450">
        <f t="shared" si="27"/>
        <v>0</v>
      </c>
      <c r="AE11" s="450">
        <f t="shared" si="27"/>
        <v>33729</v>
      </c>
      <c r="AF11" s="450">
        <f t="shared" si="27"/>
        <v>9670</v>
      </c>
      <c r="AG11" s="450">
        <f t="shared" ref="AG11:AG16" si="28">+ROUND(R11*AG$6/(100+AG$6),0)+BM11</f>
        <v>205137291</v>
      </c>
      <c r="AH11" s="451">
        <f t="shared" ref="AH11:AH16" si="29">SUM(AC11:AG11)</f>
        <v>205180690</v>
      </c>
      <c r="AI11" s="452">
        <f t="shared" ref="AI11:AI16" si="30">+E11-AB11</f>
        <v>3591522898</v>
      </c>
      <c r="AJ11" s="423"/>
      <c r="AK11" s="423"/>
      <c r="AL11" s="423"/>
      <c r="AM11" s="423"/>
      <c r="AN11" s="423"/>
      <c r="AO11" s="424"/>
      <c r="AP11" s="424"/>
      <c r="AQ11" s="424"/>
      <c r="AR11" s="424"/>
      <c r="AS11" s="424"/>
      <c r="AT11" s="425"/>
      <c r="AU11" s="425"/>
      <c r="AV11" s="425"/>
      <c r="AW11" s="425"/>
      <c r="AX11" s="425"/>
      <c r="AY11" s="423">
        <f t="shared" ref="AY11:AY41" si="31">AC11-N11*AC$6/(100+AC$6)</f>
        <v>0</v>
      </c>
      <c r="AZ11" s="423">
        <f t="shared" ref="AZ11:AZ41" si="32">AD11-O11*AD$6/(100+AD$6)</f>
        <v>0</v>
      </c>
      <c r="BA11" s="423">
        <f t="shared" ref="BA11:BB41" si="33">AE11-P11*AE$6/(100+AE$6)</f>
        <v>-1.1481481481459923</v>
      </c>
      <c r="BB11" s="423">
        <f t="shared" si="33"/>
        <v>-0.66666666666606034</v>
      </c>
      <c r="BC11" s="423">
        <f t="shared" ref="BC11:BC41" si="34">AG11-R11*AG$6/(100+AG$6)</f>
        <v>0.36363637447357178</v>
      </c>
      <c r="BD11" s="424">
        <f t="shared" ref="BD11:BG16" si="35">+IF(AC$71=0,0,IF(AC$71&lt;0,-RANK(AY11,AY$7:AY$68,0),RANK(AY11,AY$7:AY$68,1)))</f>
        <v>0</v>
      </c>
      <c r="BE11" s="424">
        <f t="shared" si="35"/>
        <v>0</v>
      </c>
      <c r="BF11" s="424">
        <f t="shared" si="35"/>
        <v>0</v>
      </c>
      <c r="BG11" s="424">
        <f>+IF(AF$71=0,0,IF(AF$71&lt;0,-RANK(BB11,BB$7:BB$68,0),RANK(BB11,BB$7:BB$68,1)))</f>
        <v>0</v>
      </c>
      <c r="BH11" s="424">
        <f t="shared" ref="BH11:BH16" si="36">+IF(AG$71=0,0,IF(AG$71&lt;0,-RANK(BC11,BC$7:BC$68,0),RANK(BC11,BC$7:BC$68,1)))</f>
        <v>0</v>
      </c>
      <c r="BI11" s="425"/>
      <c r="BJ11" s="425"/>
      <c r="BK11" s="425">
        <v>-1</v>
      </c>
      <c r="BL11" s="425">
        <v>-1</v>
      </c>
      <c r="BM11" s="425"/>
    </row>
    <row r="12" spans="1:65" s="426" customFormat="1" ht="15.95" customHeight="1">
      <c r="A12" s="370"/>
      <c r="B12" s="371"/>
      <c r="C12" s="372">
        <v>481040412</v>
      </c>
      <c r="D12" s="443" t="s">
        <v>931</v>
      </c>
      <c r="E12" s="453">
        <f>+雨汚水!E112</f>
        <v>8476549651</v>
      </c>
      <c r="F12" s="445"/>
      <c r="G12" s="446"/>
      <c r="H12" s="446"/>
      <c r="I12" s="447"/>
      <c r="J12" s="447"/>
      <c r="K12" s="448">
        <f t="shared" si="20"/>
        <v>0</v>
      </c>
      <c r="L12" s="444"/>
      <c r="M12" s="444"/>
      <c r="N12" s="445"/>
      <c r="O12" s="446"/>
      <c r="P12" s="446"/>
      <c r="Q12" s="446"/>
      <c r="R12" s="446"/>
      <c r="S12" s="446">
        <f t="shared" si="21"/>
        <v>0</v>
      </c>
      <c r="T12" s="446">
        <f>+'3条一般会計'!I12</f>
        <v>8476549651</v>
      </c>
      <c r="U12" s="446">
        <f t="shared" si="22"/>
        <v>0</v>
      </c>
      <c r="V12" s="448">
        <f t="shared" si="23"/>
        <v>8476549651</v>
      </c>
      <c r="W12" s="445">
        <f t="shared" si="24"/>
        <v>0</v>
      </c>
      <c r="X12" s="446">
        <f t="shared" si="24"/>
        <v>0</v>
      </c>
      <c r="Y12" s="446">
        <f t="shared" si="24"/>
        <v>0</v>
      </c>
      <c r="Z12" s="446">
        <f t="shared" si="24"/>
        <v>0</v>
      </c>
      <c r="AA12" s="447">
        <f t="shared" si="25"/>
        <v>0</v>
      </c>
      <c r="AB12" s="448">
        <f t="shared" si="26"/>
        <v>0</v>
      </c>
      <c r="AC12" s="449">
        <f t="shared" si="27"/>
        <v>0</v>
      </c>
      <c r="AD12" s="450">
        <f t="shared" si="27"/>
        <v>0</v>
      </c>
      <c r="AE12" s="450">
        <f t="shared" si="27"/>
        <v>0</v>
      </c>
      <c r="AF12" s="450">
        <f t="shared" si="27"/>
        <v>0</v>
      </c>
      <c r="AG12" s="450">
        <f t="shared" si="28"/>
        <v>0</v>
      </c>
      <c r="AH12" s="451">
        <f t="shared" si="29"/>
        <v>0</v>
      </c>
      <c r="AI12" s="452">
        <f t="shared" si="30"/>
        <v>8476549651</v>
      </c>
      <c r="AJ12" s="423"/>
      <c r="AK12" s="423"/>
      <c r="AL12" s="423"/>
      <c r="AM12" s="423"/>
      <c r="AN12" s="423"/>
      <c r="AO12" s="424"/>
      <c r="AP12" s="424"/>
      <c r="AQ12" s="424"/>
      <c r="AR12" s="424"/>
      <c r="AS12" s="424"/>
      <c r="AT12" s="425"/>
      <c r="AU12" s="425"/>
      <c r="AV12" s="425"/>
      <c r="AW12" s="425"/>
      <c r="AX12" s="425"/>
      <c r="AY12" s="423">
        <f t="shared" ref="AY12:AY16" si="37">AC12-N12*AC$6/(100+AC$6)</f>
        <v>0</v>
      </c>
      <c r="AZ12" s="423">
        <f t="shared" ref="AZ12:AZ16" si="38">AD12-O12*AD$6/(100+AD$6)</f>
        <v>0</v>
      </c>
      <c r="BA12" s="423">
        <f t="shared" ref="BA12:BB16" si="39">AE12-P12*AE$6/(100+AE$6)</f>
        <v>0</v>
      </c>
      <c r="BB12" s="423">
        <f t="shared" si="39"/>
        <v>0</v>
      </c>
      <c r="BC12" s="423">
        <f t="shared" ref="BC12:BC16" si="40">AG12-R12*AG$6/(100+AG$6)</f>
        <v>0</v>
      </c>
      <c r="BD12" s="424">
        <f t="shared" si="35"/>
        <v>0</v>
      </c>
      <c r="BE12" s="424">
        <f t="shared" si="35"/>
        <v>0</v>
      </c>
      <c r="BF12" s="424">
        <f t="shared" si="35"/>
        <v>0</v>
      </c>
      <c r="BG12" s="424">
        <f t="shared" si="35"/>
        <v>0</v>
      </c>
      <c r="BH12" s="424">
        <f t="shared" si="36"/>
        <v>0</v>
      </c>
      <c r="BI12" s="425"/>
      <c r="BJ12" s="425"/>
      <c r="BK12" s="425"/>
      <c r="BL12" s="425"/>
      <c r="BM12" s="425"/>
    </row>
    <row r="13" spans="1:65" s="426" customFormat="1" ht="15.95" customHeight="1">
      <c r="A13" s="370"/>
      <c r="B13" s="371"/>
      <c r="C13" s="372">
        <v>481040413</v>
      </c>
      <c r="D13" s="443" t="s">
        <v>932</v>
      </c>
      <c r="E13" s="453">
        <f>+雨汚水!E113</f>
        <v>2011677283</v>
      </c>
      <c r="F13" s="445"/>
      <c r="G13" s="446"/>
      <c r="H13" s="446"/>
      <c r="I13" s="447"/>
      <c r="J13" s="447"/>
      <c r="K13" s="448">
        <f t="shared" si="20"/>
        <v>0</v>
      </c>
      <c r="L13" s="444"/>
      <c r="M13" s="444"/>
      <c r="N13" s="445"/>
      <c r="O13" s="446"/>
      <c r="P13" s="454">
        <f>+'3条一般会計'!L$15</f>
        <v>0</v>
      </c>
      <c r="Q13" s="454">
        <f>+'3条一般会計'!M$15</f>
        <v>0</v>
      </c>
      <c r="R13" s="454">
        <f>+'3条一般会計'!N$15</f>
        <v>27794733</v>
      </c>
      <c r="S13" s="446">
        <f t="shared" si="21"/>
        <v>27794733</v>
      </c>
      <c r="T13" s="454">
        <f>+'3条一般会計'!$I$18</f>
        <v>1981328911</v>
      </c>
      <c r="U13" s="446">
        <f t="shared" si="22"/>
        <v>2553639</v>
      </c>
      <c r="V13" s="448">
        <f t="shared" si="23"/>
        <v>2011677283</v>
      </c>
      <c r="W13" s="445">
        <f t="shared" si="24"/>
        <v>0</v>
      </c>
      <c r="X13" s="446">
        <f t="shared" si="24"/>
        <v>0</v>
      </c>
      <c r="Y13" s="446">
        <f t="shared" si="24"/>
        <v>0</v>
      </c>
      <c r="Z13" s="446">
        <f t="shared" si="24"/>
        <v>0</v>
      </c>
      <c r="AA13" s="447">
        <f t="shared" si="25"/>
        <v>0</v>
      </c>
      <c r="AB13" s="448">
        <f t="shared" si="26"/>
        <v>0</v>
      </c>
      <c r="AC13" s="449">
        <f t="shared" si="27"/>
        <v>0</v>
      </c>
      <c r="AD13" s="450">
        <f t="shared" si="27"/>
        <v>0</v>
      </c>
      <c r="AE13" s="450">
        <f t="shared" si="27"/>
        <v>0</v>
      </c>
      <c r="AF13" s="450">
        <f t="shared" si="27"/>
        <v>0</v>
      </c>
      <c r="AG13" s="450">
        <f t="shared" si="28"/>
        <v>2526794</v>
      </c>
      <c r="AH13" s="451">
        <f t="shared" si="29"/>
        <v>2526794</v>
      </c>
      <c r="AI13" s="452">
        <f t="shared" si="30"/>
        <v>2011677283</v>
      </c>
      <c r="AJ13" s="423"/>
      <c r="AK13" s="423"/>
      <c r="AL13" s="423"/>
      <c r="AM13" s="423"/>
      <c r="AN13" s="423"/>
      <c r="AO13" s="424"/>
      <c r="AP13" s="424"/>
      <c r="AQ13" s="424"/>
      <c r="AR13" s="424"/>
      <c r="AS13" s="424"/>
      <c r="AT13" s="425"/>
      <c r="AU13" s="425"/>
      <c r="AV13" s="425"/>
      <c r="AW13" s="425"/>
      <c r="AX13" s="425"/>
      <c r="AY13" s="423">
        <f t="shared" si="37"/>
        <v>0</v>
      </c>
      <c r="AZ13" s="423">
        <f t="shared" si="38"/>
        <v>0</v>
      </c>
      <c r="BA13" s="423">
        <f t="shared" si="39"/>
        <v>0</v>
      </c>
      <c r="BB13" s="423">
        <f t="shared" si="39"/>
        <v>0</v>
      </c>
      <c r="BC13" s="423">
        <f t="shared" si="40"/>
        <v>9.090909082442522E-2</v>
      </c>
      <c r="BD13" s="424">
        <f t="shared" si="35"/>
        <v>0</v>
      </c>
      <c r="BE13" s="424">
        <f t="shared" si="35"/>
        <v>0</v>
      </c>
      <c r="BF13" s="424">
        <f t="shared" si="35"/>
        <v>0</v>
      </c>
      <c r="BG13" s="424">
        <f t="shared" si="35"/>
        <v>0</v>
      </c>
      <c r="BH13" s="424">
        <f t="shared" si="36"/>
        <v>0</v>
      </c>
      <c r="BI13" s="425"/>
      <c r="BJ13" s="425"/>
      <c r="BK13" s="425"/>
      <c r="BL13" s="425"/>
      <c r="BM13" s="425"/>
    </row>
    <row r="14" spans="1:65" s="426" customFormat="1" ht="15.95" customHeight="1">
      <c r="A14" s="370"/>
      <c r="B14" s="371"/>
      <c r="C14" s="372">
        <v>481040600</v>
      </c>
      <c r="D14" s="443" t="s">
        <v>933</v>
      </c>
      <c r="E14" s="453">
        <f>+雨汚水!E116</f>
        <v>52443869</v>
      </c>
      <c r="F14" s="445"/>
      <c r="G14" s="446"/>
      <c r="H14" s="446"/>
      <c r="I14" s="447"/>
      <c r="J14" s="447"/>
      <c r="K14" s="448">
        <f t="shared" si="20"/>
        <v>0</v>
      </c>
      <c r="L14" s="444"/>
      <c r="M14" s="444"/>
      <c r="N14" s="445"/>
      <c r="O14" s="446"/>
      <c r="P14" s="454">
        <f>+'3条一般会計'!L$21</f>
        <v>0</v>
      </c>
      <c r="Q14" s="454">
        <f>+'3条一般会計'!M$21</f>
        <v>0</v>
      </c>
      <c r="R14" s="454">
        <f>+'3条一般会計'!N$21</f>
        <v>12168217</v>
      </c>
      <c r="S14" s="446">
        <f t="shared" si="21"/>
        <v>12168217</v>
      </c>
      <c r="T14" s="454">
        <f>+'3条一般会計'!$I$20</f>
        <v>39145078</v>
      </c>
      <c r="U14" s="446">
        <f t="shared" si="22"/>
        <v>1130574</v>
      </c>
      <c r="V14" s="448">
        <f t="shared" si="23"/>
        <v>52443869</v>
      </c>
      <c r="W14" s="445">
        <f t="shared" si="24"/>
        <v>0</v>
      </c>
      <c r="X14" s="446">
        <f t="shared" si="24"/>
        <v>0</v>
      </c>
      <c r="Y14" s="446">
        <f t="shared" si="24"/>
        <v>0</v>
      </c>
      <c r="Z14" s="446">
        <f t="shared" si="24"/>
        <v>0</v>
      </c>
      <c r="AA14" s="447">
        <f t="shared" si="25"/>
        <v>0</v>
      </c>
      <c r="AB14" s="448">
        <f t="shared" si="26"/>
        <v>0</v>
      </c>
      <c r="AC14" s="449">
        <f t="shared" si="27"/>
        <v>0</v>
      </c>
      <c r="AD14" s="450">
        <f t="shared" si="27"/>
        <v>0</v>
      </c>
      <c r="AE14" s="450">
        <f t="shared" si="27"/>
        <v>0</v>
      </c>
      <c r="AF14" s="450">
        <f t="shared" si="27"/>
        <v>0</v>
      </c>
      <c r="AG14" s="450">
        <f t="shared" si="28"/>
        <v>1106201</v>
      </c>
      <c r="AH14" s="451">
        <f t="shared" si="29"/>
        <v>1106201</v>
      </c>
      <c r="AI14" s="452">
        <f t="shared" si="30"/>
        <v>52443869</v>
      </c>
      <c r="AJ14" s="423"/>
      <c r="AK14" s="423"/>
      <c r="AL14" s="423"/>
      <c r="AM14" s="423"/>
      <c r="AN14" s="423"/>
      <c r="AO14" s="424"/>
      <c r="AP14" s="424"/>
      <c r="AQ14" s="424"/>
      <c r="AR14" s="424"/>
      <c r="AS14" s="424"/>
      <c r="AT14" s="425"/>
      <c r="AU14" s="425"/>
      <c r="AV14" s="425"/>
      <c r="AW14" s="425"/>
      <c r="AX14" s="425"/>
      <c r="AY14" s="423">
        <f t="shared" si="37"/>
        <v>0</v>
      </c>
      <c r="AZ14" s="423">
        <f t="shared" si="38"/>
        <v>0</v>
      </c>
      <c r="BA14" s="423">
        <f t="shared" si="39"/>
        <v>0</v>
      </c>
      <c r="BB14" s="423">
        <f t="shared" si="39"/>
        <v>0</v>
      </c>
      <c r="BC14" s="423">
        <f t="shared" si="40"/>
        <v>-0.54545454541221261</v>
      </c>
      <c r="BD14" s="424">
        <f t="shared" si="35"/>
        <v>0</v>
      </c>
      <c r="BE14" s="424">
        <f t="shared" si="35"/>
        <v>0</v>
      </c>
      <c r="BF14" s="424">
        <f t="shared" si="35"/>
        <v>0</v>
      </c>
      <c r="BG14" s="424">
        <f t="shared" si="35"/>
        <v>0</v>
      </c>
      <c r="BH14" s="424">
        <f t="shared" si="36"/>
        <v>0</v>
      </c>
      <c r="BI14" s="425"/>
      <c r="BJ14" s="425"/>
      <c r="BK14" s="425"/>
      <c r="BL14" s="425"/>
      <c r="BM14" s="425">
        <v>-1</v>
      </c>
    </row>
    <row r="15" spans="1:65" s="426" customFormat="1" ht="15.95" customHeight="1">
      <c r="A15" s="370"/>
      <c r="B15" s="371"/>
      <c r="C15" s="372">
        <v>481040800</v>
      </c>
      <c r="D15" s="443" t="s">
        <v>934</v>
      </c>
      <c r="E15" s="453">
        <f>+雨汚水!E117</f>
        <v>44424775</v>
      </c>
      <c r="F15" s="445"/>
      <c r="G15" s="446"/>
      <c r="H15" s="446"/>
      <c r="I15" s="447"/>
      <c r="J15" s="447"/>
      <c r="K15" s="448">
        <f t="shared" si="20"/>
        <v>0</v>
      </c>
      <c r="L15" s="444"/>
      <c r="M15" s="444"/>
      <c r="N15" s="445"/>
      <c r="O15" s="446"/>
      <c r="P15" s="454">
        <f>+'3条一般会計'!L$23</f>
        <v>0</v>
      </c>
      <c r="Q15" s="454">
        <f>+'3条一般会計'!M$23</f>
        <v>0</v>
      </c>
      <c r="R15" s="454">
        <f>+'3条一般会計'!N$23</f>
        <v>9253060</v>
      </c>
      <c r="S15" s="446">
        <f t="shared" si="21"/>
        <v>9253060</v>
      </c>
      <c r="T15" s="454">
        <f>+'3条一般会計'!$I$22</f>
        <v>34313966</v>
      </c>
      <c r="U15" s="446">
        <f t="shared" si="22"/>
        <v>857749</v>
      </c>
      <c r="V15" s="448">
        <f t="shared" si="23"/>
        <v>44424775</v>
      </c>
      <c r="W15" s="445">
        <f t="shared" si="24"/>
        <v>0</v>
      </c>
      <c r="X15" s="446">
        <f t="shared" si="24"/>
        <v>0</v>
      </c>
      <c r="Y15" s="446">
        <f t="shared" si="24"/>
        <v>0</v>
      </c>
      <c r="Z15" s="446">
        <f t="shared" si="24"/>
        <v>0</v>
      </c>
      <c r="AA15" s="447">
        <f t="shared" si="25"/>
        <v>0</v>
      </c>
      <c r="AB15" s="448">
        <f t="shared" si="26"/>
        <v>0</v>
      </c>
      <c r="AC15" s="449">
        <f t="shared" si="27"/>
        <v>0</v>
      </c>
      <c r="AD15" s="450">
        <f t="shared" si="27"/>
        <v>0</v>
      </c>
      <c r="AE15" s="450">
        <f t="shared" si="27"/>
        <v>0</v>
      </c>
      <c r="AF15" s="450">
        <f t="shared" si="27"/>
        <v>0</v>
      </c>
      <c r="AG15" s="450">
        <f t="shared" si="28"/>
        <v>841187</v>
      </c>
      <c r="AH15" s="451">
        <f t="shared" si="29"/>
        <v>841187</v>
      </c>
      <c r="AI15" s="452">
        <f t="shared" si="30"/>
        <v>44424775</v>
      </c>
      <c r="AJ15" s="423"/>
      <c r="AK15" s="423"/>
      <c r="AL15" s="423"/>
      <c r="AM15" s="423"/>
      <c r="AN15" s="423"/>
      <c r="AO15" s="424"/>
      <c r="AP15" s="424"/>
      <c r="AQ15" s="424"/>
      <c r="AR15" s="424"/>
      <c r="AS15" s="424"/>
      <c r="AT15" s="425"/>
      <c r="AU15" s="425"/>
      <c r="AV15" s="425"/>
      <c r="AW15" s="425"/>
      <c r="AX15" s="425"/>
      <c r="AY15" s="423">
        <f t="shared" si="37"/>
        <v>0</v>
      </c>
      <c r="AZ15" s="423">
        <f t="shared" si="38"/>
        <v>0</v>
      </c>
      <c r="BA15" s="423">
        <f t="shared" si="39"/>
        <v>0</v>
      </c>
      <c r="BB15" s="423">
        <f t="shared" si="39"/>
        <v>0</v>
      </c>
      <c r="BC15" s="423">
        <f t="shared" si="40"/>
        <v>-0.27272727270610631</v>
      </c>
      <c r="BD15" s="424">
        <f t="shared" si="35"/>
        <v>0</v>
      </c>
      <c r="BE15" s="424">
        <f t="shared" si="35"/>
        <v>0</v>
      </c>
      <c r="BF15" s="424">
        <f t="shared" si="35"/>
        <v>0</v>
      </c>
      <c r="BG15" s="424">
        <f t="shared" si="35"/>
        <v>0</v>
      </c>
      <c r="BH15" s="424">
        <f t="shared" si="36"/>
        <v>0</v>
      </c>
      <c r="BI15" s="425"/>
      <c r="BJ15" s="425"/>
      <c r="BK15" s="425"/>
      <c r="BL15" s="425"/>
      <c r="BM15" s="425"/>
    </row>
    <row r="16" spans="1:65" s="426" customFormat="1" ht="15.95" customHeight="1">
      <c r="A16" s="367"/>
      <c r="B16" s="368"/>
      <c r="C16" s="373">
        <v>481040900</v>
      </c>
      <c r="D16" s="427" t="s">
        <v>935</v>
      </c>
      <c r="E16" s="456">
        <f>+雨汚水!E118</f>
        <v>10483859</v>
      </c>
      <c r="F16" s="434"/>
      <c r="G16" s="435"/>
      <c r="H16" s="435"/>
      <c r="I16" s="437"/>
      <c r="J16" s="437"/>
      <c r="K16" s="432">
        <f t="shared" si="20"/>
        <v>0</v>
      </c>
      <c r="L16" s="457"/>
      <c r="M16" s="457"/>
      <c r="N16" s="434"/>
      <c r="O16" s="435"/>
      <c r="P16" s="458">
        <f>+'3条一般会計'!L$25</f>
        <v>0</v>
      </c>
      <c r="Q16" s="458">
        <f>+'3条一般会計'!M$25</f>
        <v>0</v>
      </c>
      <c r="R16" s="458">
        <f>+'3条一般会計'!N$25</f>
        <v>955435</v>
      </c>
      <c r="S16" s="435">
        <f t="shared" si="21"/>
        <v>955435</v>
      </c>
      <c r="T16" s="458">
        <f>+'3条一般会計'!$I$24</f>
        <v>9440835</v>
      </c>
      <c r="U16" s="435">
        <f t="shared" si="22"/>
        <v>87589</v>
      </c>
      <c r="V16" s="432">
        <f t="shared" si="23"/>
        <v>10483859</v>
      </c>
      <c r="W16" s="434">
        <f t="shared" si="24"/>
        <v>0</v>
      </c>
      <c r="X16" s="435">
        <f t="shared" si="24"/>
        <v>0</v>
      </c>
      <c r="Y16" s="435">
        <f t="shared" si="24"/>
        <v>0</v>
      </c>
      <c r="Z16" s="435">
        <f t="shared" si="24"/>
        <v>0</v>
      </c>
      <c r="AA16" s="437">
        <f t="shared" si="25"/>
        <v>0</v>
      </c>
      <c r="AB16" s="432">
        <f t="shared" si="26"/>
        <v>0</v>
      </c>
      <c r="AC16" s="438">
        <f t="shared" si="27"/>
        <v>0</v>
      </c>
      <c r="AD16" s="439">
        <f t="shared" si="27"/>
        <v>0</v>
      </c>
      <c r="AE16" s="439">
        <f t="shared" si="27"/>
        <v>0</v>
      </c>
      <c r="AF16" s="439">
        <f t="shared" si="27"/>
        <v>0</v>
      </c>
      <c r="AG16" s="439">
        <f t="shared" si="28"/>
        <v>86858</v>
      </c>
      <c r="AH16" s="440">
        <f t="shared" si="29"/>
        <v>86858</v>
      </c>
      <c r="AI16" s="441">
        <f t="shared" si="30"/>
        <v>10483859</v>
      </c>
      <c r="AJ16" s="423"/>
      <c r="AK16" s="423"/>
      <c r="AL16" s="423"/>
      <c r="AM16" s="423"/>
      <c r="AN16" s="423"/>
      <c r="AO16" s="424"/>
      <c r="AP16" s="424"/>
      <c r="AQ16" s="424"/>
      <c r="AR16" s="424"/>
      <c r="AS16" s="424"/>
      <c r="AT16" s="425"/>
      <c r="AU16" s="425"/>
      <c r="AV16" s="425"/>
      <c r="AW16" s="425"/>
      <c r="AX16" s="425"/>
      <c r="AY16" s="423">
        <f t="shared" si="37"/>
        <v>0</v>
      </c>
      <c r="AZ16" s="423">
        <f t="shared" si="38"/>
        <v>0</v>
      </c>
      <c r="BA16" s="423">
        <f t="shared" si="39"/>
        <v>0</v>
      </c>
      <c r="BB16" s="423">
        <f t="shared" si="39"/>
        <v>0</v>
      </c>
      <c r="BC16" s="423">
        <f t="shared" si="40"/>
        <v>0.27272727272065822</v>
      </c>
      <c r="BD16" s="424">
        <f t="shared" si="35"/>
        <v>0</v>
      </c>
      <c r="BE16" s="424">
        <f t="shared" si="35"/>
        <v>0</v>
      </c>
      <c r="BF16" s="424">
        <f t="shared" si="35"/>
        <v>0</v>
      </c>
      <c r="BG16" s="424">
        <f t="shared" si="35"/>
        <v>0</v>
      </c>
      <c r="BH16" s="424">
        <f t="shared" si="36"/>
        <v>0</v>
      </c>
      <c r="BI16" s="425"/>
      <c r="BJ16" s="425"/>
      <c r="BK16" s="425"/>
      <c r="BL16" s="425"/>
      <c r="BM16" s="425"/>
    </row>
    <row r="17" spans="1:65" s="426" customFormat="1" ht="15.95" customHeight="1">
      <c r="A17" s="364"/>
      <c r="B17" s="365"/>
      <c r="C17" s="366"/>
      <c r="D17" s="410" t="s">
        <v>892</v>
      </c>
      <c r="E17" s="411">
        <f>+E18</f>
        <v>0</v>
      </c>
      <c r="F17" s="412">
        <f t="shared" ref="F17:V17" si="41">+F18</f>
        <v>0</v>
      </c>
      <c r="G17" s="413">
        <f t="shared" si="41"/>
        <v>0</v>
      </c>
      <c r="H17" s="413">
        <f t="shared" si="41"/>
        <v>0</v>
      </c>
      <c r="I17" s="414">
        <f t="shared" si="41"/>
        <v>0</v>
      </c>
      <c r="J17" s="414">
        <f t="shared" si="41"/>
        <v>0</v>
      </c>
      <c r="K17" s="415">
        <f t="shared" si="41"/>
        <v>0</v>
      </c>
      <c r="L17" s="411">
        <f t="shared" si="41"/>
        <v>0</v>
      </c>
      <c r="M17" s="411">
        <f t="shared" si="41"/>
        <v>0</v>
      </c>
      <c r="N17" s="416">
        <f t="shared" ref="N17:U17" si="42">+N18</f>
        <v>0</v>
      </c>
      <c r="O17" s="417">
        <f t="shared" si="42"/>
        <v>0</v>
      </c>
      <c r="P17" s="417">
        <f t="shared" si="42"/>
        <v>0</v>
      </c>
      <c r="Q17" s="417">
        <f t="shared" si="42"/>
        <v>0</v>
      </c>
      <c r="R17" s="417">
        <f t="shared" si="42"/>
        <v>0</v>
      </c>
      <c r="S17" s="417">
        <f t="shared" si="42"/>
        <v>0</v>
      </c>
      <c r="T17" s="417">
        <f t="shared" si="42"/>
        <v>0</v>
      </c>
      <c r="U17" s="417">
        <f t="shared" si="42"/>
        <v>0</v>
      </c>
      <c r="V17" s="418">
        <f t="shared" si="41"/>
        <v>0</v>
      </c>
      <c r="W17" s="412">
        <f t="shared" ref="W17:AI17" si="43">+W18</f>
        <v>0</v>
      </c>
      <c r="X17" s="413">
        <f t="shared" si="43"/>
        <v>0</v>
      </c>
      <c r="Y17" s="413">
        <f t="shared" si="43"/>
        <v>0</v>
      </c>
      <c r="Z17" s="413">
        <f t="shared" si="43"/>
        <v>0</v>
      </c>
      <c r="AA17" s="414">
        <f t="shared" si="43"/>
        <v>0</v>
      </c>
      <c r="AB17" s="415">
        <f t="shared" si="43"/>
        <v>0</v>
      </c>
      <c r="AC17" s="419">
        <f t="shared" ref="AC17:AH17" si="44">+AC18</f>
        <v>0</v>
      </c>
      <c r="AD17" s="420">
        <f t="shared" si="44"/>
        <v>0</v>
      </c>
      <c r="AE17" s="420">
        <f t="shared" si="44"/>
        <v>0</v>
      </c>
      <c r="AF17" s="420">
        <f t="shared" si="44"/>
        <v>0</v>
      </c>
      <c r="AG17" s="420">
        <f t="shared" si="44"/>
        <v>0</v>
      </c>
      <c r="AH17" s="421">
        <f t="shared" si="44"/>
        <v>0</v>
      </c>
      <c r="AI17" s="422">
        <f t="shared" si="43"/>
        <v>0</v>
      </c>
      <c r="AJ17" s="442"/>
      <c r="AK17" s="442"/>
      <c r="AL17" s="442"/>
      <c r="AM17" s="442"/>
      <c r="AN17" s="442"/>
      <c r="AO17" s="424"/>
      <c r="AP17" s="424"/>
      <c r="AQ17" s="424"/>
      <c r="AR17" s="424"/>
      <c r="AS17" s="424"/>
      <c r="AT17" s="425"/>
      <c r="AU17" s="425"/>
      <c r="AV17" s="425"/>
      <c r="AW17" s="425"/>
      <c r="AX17" s="425"/>
      <c r="AY17" s="423"/>
      <c r="AZ17" s="423"/>
      <c r="BA17" s="423"/>
      <c r="BB17" s="423"/>
      <c r="BC17" s="423"/>
      <c r="BD17" s="424"/>
      <c r="BE17" s="424"/>
      <c r="BF17" s="424"/>
      <c r="BG17" s="424"/>
      <c r="BH17" s="424"/>
      <c r="BI17" s="425"/>
      <c r="BJ17" s="425"/>
      <c r="BK17" s="425"/>
      <c r="BL17" s="425"/>
      <c r="BM17" s="425"/>
    </row>
    <row r="18" spans="1:65" s="426" customFormat="1" ht="15.95" customHeight="1">
      <c r="A18" s="367"/>
      <c r="B18" s="368"/>
      <c r="C18" s="369">
        <v>481121400</v>
      </c>
      <c r="D18" s="427" t="s">
        <v>936</v>
      </c>
      <c r="E18" s="428">
        <f>+SUMIFS(全伝票!I:I,全伝票!$C:$C,$C18)</f>
        <v>0</v>
      </c>
      <c r="F18" s="429">
        <f>+SUMIFS(全伝票!J:J,全伝票!$C:$C,$C18)</f>
        <v>0</v>
      </c>
      <c r="G18" s="430">
        <f>+SUMIFS(全伝票!K:K,全伝票!$C:$C,$C18)</f>
        <v>0</v>
      </c>
      <c r="H18" s="430">
        <f>+SUMIFS(全伝票!L:L,全伝票!$C:$C,$C18)</f>
        <v>0</v>
      </c>
      <c r="I18" s="431">
        <f>+SUMIFS(全伝票!M:M,全伝票!$C:$C,$C18)</f>
        <v>0</v>
      </c>
      <c r="J18" s="431">
        <f>+SUMIFS(全伝票!N:N,全伝票!$C:$C,$C18)</f>
        <v>0</v>
      </c>
      <c r="K18" s="432">
        <f>SUM(F18:J18)</f>
        <v>0</v>
      </c>
      <c r="L18" s="428">
        <f>+SUMIFS(全伝票!O:O,全伝票!$C:$C,$C18)</f>
        <v>0</v>
      </c>
      <c r="M18" s="457"/>
      <c r="N18" s="434"/>
      <c r="O18" s="435"/>
      <c r="P18" s="435"/>
      <c r="Q18" s="435"/>
      <c r="R18" s="435"/>
      <c r="S18" s="435">
        <f>SUM(N18:R18)</f>
        <v>0</v>
      </c>
      <c r="T18" s="435"/>
      <c r="U18" s="435">
        <f>+V18-SUM(S18:T18)</f>
        <v>0</v>
      </c>
      <c r="V18" s="436">
        <f>+SUMIFS(全伝票!P:P,全伝票!$C:$C,$C18)</f>
        <v>0</v>
      </c>
      <c r="W18" s="434">
        <f>+ROUND(F18*F$6/(100+F$6),0)+AT18</f>
        <v>0</v>
      </c>
      <c r="X18" s="435">
        <f>+ROUND(G18*G$6/(100+G$6),0)+AU18</f>
        <v>0</v>
      </c>
      <c r="Y18" s="435">
        <f>+ROUND(H18*H$6/(100+H$6),0)+AV18</f>
        <v>0</v>
      </c>
      <c r="Z18" s="435">
        <f>+ROUND(I18*I$6/(100+I$6),0)+AW18</f>
        <v>0</v>
      </c>
      <c r="AA18" s="437">
        <f>+ROUND(J18*J$6/(100+J$6),0)+AX18</f>
        <v>0</v>
      </c>
      <c r="AB18" s="432">
        <f>SUM(W18:AA18)</f>
        <v>0</v>
      </c>
      <c r="AC18" s="438">
        <f>+ROUND(N18*AC$6/(100+AC$6),0)+BI18</f>
        <v>0</v>
      </c>
      <c r="AD18" s="439">
        <f>+ROUND(O18*AD$6/(100+AD$6),0)+BJ18</f>
        <v>0</v>
      </c>
      <c r="AE18" s="439">
        <f>+ROUND(P18*AE$6/(100+AE$6),0)+BK18</f>
        <v>0</v>
      </c>
      <c r="AF18" s="439">
        <f>+ROUND(Q18*AF$6/(100+AF$6),0)+BL18</f>
        <v>0</v>
      </c>
      <c r="AG18" s="439">
        <f>+ROUND(R18*AG$6/(100+AG$6),0)+BM18</f>
        <v>0</v>
      </c>
      <c r="AH18" s="440">
        <f>SUM(AC18:AG18)</f>
        <v>0</v>
      </c>
      <c r="AI18" s="441">
        <f>+E18-AB18</f>
        <v>0</v>
      </c>
      <c r="AJ18" s="442">
        <f>W18-F18*N$6/(100+N$6)</f>
        <v>0</v>
      </c>
      <c r="AK18" s="442">
        <f>X18-G18*O$6/(100+O$6)</f>
        <v>0</v>
      </c>
      <c r="AL18" s="442">
        <f>Y18-H18*P$6/(100+P$6)</f>
        <v>0</v>
      </c>
      <c r="AM18" s="442">
        <f>Z18-I18*Q$6/(100+Q$6)</f>
        <v>0</v>
      </c>
      <c r="AN18" s="442">
        <f>AA18-J18*R$6/(100+R$6)</f>
        <v>0</v>
      </c>
      <c r="AO18" s="424">
        <f>+IF(W$71=0,0,IF(W$71&lt;0,-RANK(AJ18,AJ$7:AJ$68,0),RANK(AJ18,AJ$7:AJ$68,1)))</f>
        <v>0</v>
      </c>
      <c r="AP18" s="424">
        <f>+IF(X$71=0,0,IF(X$71&lt;0,-RANK(AK18,AK$7:AK$68,0),RANK(AK18,AK$7:AK$68,1)))</f>
        <v>0</v>
      </c>
      <c r="AQ18" s="424">
        <f>+IF(Y$71=0,0,IF(Y$71&lt;0,-RANK(AL18,AL$7:AL$68,0),RANK(AL18,AL$7:AL$68,1)))</f>
        <v>0</v>
      </c>
      <c r="AR18" s="424">
        <f>+IF(Z$71=0,0,IF(Z$71&lt;0,-RANK(AM18,AM$7:AM$68,0),RANK(AM18,AM$7:AM$68,1)))</f>
        <v>0</v>
      </c>
      <c r="AS18" s="424">
        <f>+IF(AA$71=0,0,IF(AA$71&lt;0,-RANK(AN18,AN$7:AN$68,0),RANK(AN18,AN$7:AN$68,1)))</f>
        <v>0</v>
      </c>
      <c r="AT18" s="425"/>
      <c r="AU18" s="425"/>
      <c r="AV18" s="425"/>
      <c r="AW18" s="425"/>
      <c r="AX18" s="425"/>
      <c r="AY18" s="423">
        <f t="shared" si="31"/>
        <v>0</v>
      </c>
      <c r="AZ18" s="423">
        <f t="shared" si="32"/>
        <v>0</v>
      </c>
      <c r="BA18" s="423">
        <f t="shared" si="33"/>
        <v>0</v>
      </c>
      <c r="BB18" s="423">
        <f t="shared" si="33"/>
        <v>0</v>
      </c>
      <c r="BC18" s="423">
        <f t="shared" si="34"/>
        <v>0</v>
      </c>
      <c r="BD18" s="424">
        <f>+IF(AC$71=0,0,IF(AC$71&lt;0,-RANK(AY18,AY$7:AY$68,0),RANK(AY18,AY$7:AY$68,1)))</f>
        <v>0</v>
      </c>
      <c r="BE18" s="424">
        <f>+IF(AD$71=0,0,IF(AD$71&lt;0,-RANK(AZ18,AZ$7:AZ$68,0),RANK(AZ18,AZ$7:AZ$68,1)))</f>
        <v>0</v>
      </c>
      <c r="BF18" s="424">
        <f>+IF(AE$71=0,0,IF(AE$71&lt;0,-RANK(BA18,BA$7:BA$68,0),RANK(BA18,BA$7:BA$68,1)))</f>
        <v>0</v>
      </c>
      <c r="BG18" s="424">
        <f>+IF(AF$71=0,0,IF(AF$71&lt;0,-RANK(BB18,BB$7:BB$68,0),RANK(BB18,BB$7:BB$68,1)))</f>
        <v>0</v>
      </c>
      <c r="BH18" s="424">
        <f>+IF(AG$71=0,0,IF(AG$71&lt;0,-RANK(BC18,BC$7:BC$68,0),RANK(BC18,BC$7:BC$68,1)))</f>
        <v>0</v>
      </c>
      <c r="BI18" s="425"/>
      <c r="BJ18" s="425"/>
      <c r="BK18" s="425"/>
      <c r="BL18" s="425"/>
      <c r="BM18" s="425"/>
    </row>
    <row r="19" spans="1:65" s="426" customFormat="1" ht="15.95" customHeight="1">
      <c r="A19" s="364"/>
      <c r="B19" s="365"/>
      <c r="C19" s="366"/>
      <c r="D19" s="410" t="s">
        <v>893</v>
      </c>
      <c r="E19" s="411">
        <f t="shared" ref="E19:AI19" si="45">+SUM(E20:E22,E26)</f>
        <v>189846869</v>
      </c>
      <c r="F19" s="412">
        <f t="shared" si="45"/>
        <v>0</v>
      </c>
      <c r="G19" s="413">
        <f t="shared" si="45"/>
        <v>0</v>
      </c>
      <c r="H19" s="413">
        <f t="shared" si="45"/>
        <v>0</v>
      </c>
      <c r="I19" s="414">
        <f t="shared" ref="I19" si="46">+SUM(I20:I22,I26)</f>
        <v>0</v>
      </c>
      <c r="J19" s="414">
        <f t="shared" si="45"/>
        <v>189235899</v>
      </c>
      <c r="K19" s="415">
        <f t="shared" si="45"/>
        <v>189235899</v>
      </c>
      <c r="L19" s="411">
        <f t="shared" si="45"/>
        <v>610970</v>
      </c>
      <c r="M19" s="411">
        <f t="shared" si="45"/>
        <v>0</v>
      </c>
      <c r="N19" s="416">
        <f t="shared" si="45"/>
        <v>0</v>
      </c>
      <c r="O19" s="417">
        <f t="shared" si="45"/>
        <v>0</v>
      </c>
      <c r="P19" s="417">
        <f t="shared" si="45"/>
        <v>0</v>
      </c>
      <c r="Q19" s="417">
        <f t="shared" ref="Q19" si="47">+SUM(Q20:Q22,Q26)</f>
        <v>0</v>
      </c>
      <c r="R19" s="417">
        <f t="shared" si="45"/>
        <v>0</v>
      </c>
      <c r="S19" s="417">
        <f t="shared" si="45"/>
        <v>0</v>
      </c>
      <c r="T19" s="417">
        <f t="shared" si="45"/>
        <v>0</v>
      </c>
      <c r="U19" s="417">
        <f t="shared" si="45"/>
        <v>0</v>
      </c>
      <c r="V19" s="418">
        <f t="shared" si="45"/>
        <v>0</v>
      </c>
      <c r="W19" s="412">
        <f t="shared" si="45"/>
        <v>0</v>
      </c>
      <c r="X19" s="413">
        <f t="shared" si="45"/>
        <v>0</v>
      </c>
      <c r="Y19" s="413">
        <f t="shared" si="45"/>
        <v>0</v>
      </c>
      <c r="Z19" s="413">
        <f t="shared" ref="Z19" si="48">+SUM(Z20:Z22,Z26)</f>
        <v>0</v>
      </c>
      <c r="AA19" s="414">
        <f t="shared" si="45"/>
        <v>17203263</v>
      </c>
      <c r="AB19" s="415">
        <f t="shared" si="45"/>
        <v>17203263</v>
      </c>
      <c r="AC19" s="419">
        <f t="shared" si="45"/>
        <v>0</v>
      </c>
      <c r="AD19" s="420">
        <f t="shared" si="45"/>
        <v>0</v>
      </c>
      <c r="AE19" s="420">
        <f t="shared" si="45"/>
        <v>0</v>
      </c>
      <c r="AF19" s="420">
        <f t="shared" ref="AF19" si="49">+SUM(AF20:AF22,AF26)</f>
        <v>0</v>
      </c>
      <c r="AG19" s="420">
        <f t="shared" si="45"/>
        <v>0</v>
      </c>
      <c r="AH19" s="421">
        <f t="shared" si="45"/>
        <v>0</v>
      </c>
      <c r="AI19" s="422">
        <f t="shared" si="45"/>
        <v>172643606</v>
      </c>
      <c r="AJ19" s="442"/>
      <c r="AK19" s="442"/>
      <c r="AL19" s="442"/>
      <c r="AM19" s="442"/>
      <c r="AN19" s="442"/>
      <c r="AO19" s="424"/>
      <c r="AP19" s="424"/>
      <c r="AQ19" s="424"/>
      <c r="AR19" s="424"/>
      <c r="AS19" s="424"/>
      <c r="AT19" s="425"/>
      <c r="AU19" s="425"/>
      <c r="AV19" s="425"/>
      <c r="AW19" s="425"/>
      <c r="AX19" s="425"/>
      <c r="AY19" s="423"/>
      <c r="AZ19" s="423"/>
      <c r="BA19" s="423"/>
      <c r="BB19" s="423"/>
      <c r="BC19" s="423"/>
      <c r="BD19" s="424"/>
      <c r="BE19" s="424"/>
      <c r="BF19" s="424"/>
      <c r="BG19" s="424"/>
      <c r="BH19" s="424"/>
      <c r="BI19" s="425"/>
      <c r="BJ19" s="425"/>
      <c r="BK19" s="425"/>
      <c r="BL19" s="425"/>
      <c r="BM19" s="425"/>
    </row>
    <row r="20" spans="1:65" s="426" customFormat="1" ht="15.95" customHeight="1">
      <c r="A20" s="370"/>
      <c r="B20" s="371"/>
      <c r="C20" s="374">
        <v>481141500</v>
      </c>
      <c r="D20" s="443" t="s">
        <v>938</v>
      </c>
      <c r="E20" s="459">
        <f>+SUMIFS(全伝票!I:I,全伝票!$C:$C,$C20)</f>
        <v>187826166</v>
      </c>
      <c r="F20" s="460">
        <f>+SUMIFS(全伝票!J:J,全伝票!$C:$C,$C20)</f>
        <v>0</v>
      </c>
      <c r="G20" s="461">
        <f>+SUMIFS(全伝票!K:K,全伝票!$C:$C,$C20)</f>
        <v>0</v>
      </c>
      <c r="H20" s="461">
        <f>+SUMIFS(全伝票!L:L,全伝票!$C:$C,$C20)</f>
        <v>0</v>
      </c>
      <c r="I20" s="462">
        <f>+SUMIFS(全伝票!M:M,全伝票!$C:$C,$C20)</f>
        <v>0</v>
      </c>
      <c r="J20" s="462">
        <f>+SUMIFS(全伝票!N:N,全伝票!$C:$C,$C20)</f>
        <v>187826166</v>
      </c>
      <c r="K20" s="448">
        <f>SUM(F20:J20)</f>
        <v>187826166</v>
      </c>
      <c r="L20" s="459">
        <f>+SUMIFS(全伝票!O:O,全伝票!$C:$C,$C20)</f>
        <v>0</v>
      </c>
      <c r="M20" s="444"/>
      <c r="N20" s="445"/>
      <c r="O20" s="446"/>
      <c r="P20" s="446"/>
      <c r="Q20" s="446"/>
      <c r="R20" s="446"/>
      <c r="S20" s="446">
        <f>SUM(N20:R20)</f>
        <v>0</v>
      </c>
      <c r="T20" s="446"/>
      <c r="U20" s="446">
        <f>+V20-SUM(S20:T20)</f>
        <v>0</v>
      </c>
      <c r="V20" s="463">
        <f>+SUMIFS(全伝票!P:P,全伝票!$C:$C,$C20)</f>
        <v>0</v>
      </c>
      <c r="W20" s="445">
        <f t="shared" ref="W20:Z21" si="50">+ROUND(F20*F$6/(100+F$6),0)+AT20</f>
        <v>0</v>
      </c>
      <c r="X20" s="446">
        <f t="shared" si="50"/>
        <v>0</v>
      </c>
      <c r="Y20" s="446">
        <f t="shared" si="50"/>
        <v>0</v>
      </c>
      <c r="Z20" s="446">
        <f t="shared" si="50"/>
        <v>0</v>
      </c>
      <c r="AA20" s="447">
        <f>+ROUND(J20*J$6/(100+J$6),0)+AX20</f>
        <v>17075106</v>
      </c>
      <c r="AB20" s="448">
        <f t="shared" ref="AB20" si="51">SUM(W20:AA20)</f>
        <v>17075106</v>
      </c>
      <c r="AC20" s="449">
        <f t="shared" ref="AC20:AF21" si="52">+ROUND(N20*AC$6/(100+AC$6),0)+BI20</f>
        <v>0</v>
      </c>
      <c r="AD20" s="450">
        <f t="shared" si="52"/>
        <v>0</v>
      </c>
      <c r="AE20" s="450">
        <f t="shared" si="52"/>
        <v>0</v>
      </c>
      <c r="AF20" s="450">
        <f t="shared" si="52"/>
        <v>0</v>
      </c>
      <c r="AG20" s="450">
        <f>+ROUND(R20*AG$6/(100+AG$6),0)+BM20</f>
        <v>0</v>
      </c>
      <c r="AH20" s="451">
        <f t="shared" ref="AH20" si="53">SUM(AC20:AG20)</f>
        <v>0</v>
      </c>
      <c r="AI20" s="452">
        <f>+E20-AB20</f>
        <v>170751060</v>
      </c>
      <c r="AJ20" s="423">
        <f t="shared" ref="AJ20:AM21" si="54">W20-F20*W$6/(100+W$6)</f>
        <v>0</v>
      </c>
      <c r="AK20" s="423">
        <f t="shared" si="54"/>
        <v>0</v>
      </c>
      <c r="AL20" s="423">
        <f t="shared" si="54"/>
        <v>0</v>
      </c>
      <c r="AM20" s="423">
        <f t="shared" si="54"/>
        <v>0</v>
      </c>
      <c r="AN20" s="423">
        <f>AA20-J20*AA$6/(100+AA$6)</f>
        <v>0</v>
      </c>
      <c r="AO20" s="424">
        <f t="shared" ref="AO20:AR21" si="55">+IF(W$71=0,0,IF(W$71&lt;0,-RANK(AJ20,AJ$7:AJ$68,0),RANK(AJ20,AJ$7:AJ$68,1)))</f>
        <v>0</v>
      </c>
      <c r="AP20" s="424">
        <f t="shared" si="55"/>
        <v>0</v>
      </c>
      <c r="AQ20" s="424">
        <f t="shared" si="55"/>
        <v>0</v>
      </c>
      <c r="AR20" s="424">
        <f t="shared" si="55"/>
        <v>0</v>
      </c>
      <c r="AS20" s="424">
        <f>+IF(AA$71=0,0,IF(AA$71&lt;0,-RANK(AN20,AN$7:AN$68,0),RANK(AN20,AN$7:AN$68,1)))</f>
        <v>0</v>
      </c>
      <c r="AT20" s="425"/>
      <c r="AU20" s="425"/>
      <c r="AV20" s="425"/>
      <c r="AW20" s="425"/>
      <c r="AX20" s="425"/>
      <c r="AY20" s="423">
        <f t="shared" si="31"/>
        <v>0</v>
      </c>
      <c r="AZ20" s="423">
        <f t="shared" si="32"/>
        <v>0</v>
      </c>
      <c r="BA20" s="423">
        <f t="shared" si="33"/>
        <v>0</v>
      </c>
      <c r="BB20" s="423">
        <f t="shared" si="33"/>
        <v>0</v>
      </c>
      <c r="BC20" s="423">
        <f t="shared" si="34"/>
        <v>0</v>
      </c>
      <c r="BD20" s="424">
        <f t="shared" ref="BD20:BG21" si="56">+IF(AC$71=0,0,IF(AC$71&lt;0,-RANK(AY20,AY$7:AY$68,0),RANK(AY20,AY$7:AY$68,1)))</f>
        <v>0</v>
      </c>
      <c r="BE20" s="424">
        <f t="shared" si="56"/>
        <v>0</v>
      </c>
      <c r="BF20" s="424">
        <f t="shared" si="56"/>
        <v>0</v>
      </c>
      <c r="BG20" s="424">
        <f t="shared" si="56"/>
        <v>0</v>
      </c>
      <c r="BH20" s="424">
        <f>+IF(AG$71=0,0,IF(AG$71&lt;0,-RANK(BC20,BC$7:BC$68,0),RANK(BC20,BC$7:BC$68,1)))</f>
        <v>0</v>
      </c>
      <c r="BI20" s="425"/>
      <c r="BJ20" s="425"/>
      <c r="BK20" s="425"/>
      <c r="BL20" s="425"/>
      <c r="BM20" s="425"/>
    </row>
    <row r="21" spans="1:65" s="426" customFormat="1" ht="15.95" customHeight="1">
      <c r="A21" s="370"/>
      <c r="B21" s="371"/>
      <c r="C21" s="374">
        <v>481141700</v>
      </c>
      <c r="D21" s="443" t="s">
        <v>937</v>
      </c>
      <c r="E21" s="459">
        <f>+SUMIFS(全伝票!I:I,全伝票!$C:$C,$C21)</f>
        <v>1409733</v>
      </c>
      <c r="F21" s="460">
        <f>+SUMIFS(全伝票!J:J,全伝票!$C:$C,$C21)</f>
        <v>0</v>
      </c>
      <c r="G21" s="461">
        <f>+SUMIFS(全伝票!K:K,全伝票!$C:$C,$C21)</f>
        <v>0</v>
      </c>
      <c r="H21" s="461">
        <f>+SUMIFS(全伝票!L:L,全伝票!$C:$C,$C21)</f>
        <v>0</v>
      </c>
      <c r="I21" s="462">
        <f>+SUMIFS(全伝票!M:M,全伝票!$C:$C,$C21)</f>
        <v>0</v>
      </c>
      <c r="J21" s="462">
        <f>+SUMIFS(全伝票!N:N,全伝票!$C:$C,$C21)</f>
        <v>1409733</v>
      </c>
      <c r="K21" s="448">
        <f>SUM(F21:J21)</f>
        <v>1409733</v>
      </c>
      <c r="L21" s="459">
        <f>+SUMIFS(全伝票!O:O,全伝票!$C:$C,$C21)</f>
        <v>0</v>
      </c>
      <c r="M21" s="444"/>
      <c r="N21" s="445"/>
      <c r="O21" s="446"/>
      <c r="P21" s="446"/>
      <c r="Q21" s="446"/>
      <c r="R21" s="446"/>
      <c r="S21" s="446">
        <f>SUM(N21:R21)</f>
        <v>0</v>
      </c>
      <c r="T21" s="446"/>
      <c r="U21" s="446">
        <f>+V21-SUM(S21:T21)</f>
        <v>0</v>
      </c>
      <c r="V21" s="463">
        <f>+SUMIFS(全伝票!P:P,全伝票!$C:$C,$C21)</f>
        <v>0</v>
      </c>
      <c r="W21" s="445">
        <f t="shared" si="50"/>
        <v>0</v>
      </c>
      <c r="X21" s="446">
        <f t="shared" si="50"/>
        <v>0</v>
      </c>
      <c r="Y21" s="446">
        <f t="shared" si="50"/>
        <v>0</v>
      </c>
      <c r="Z21" s="446">
        <f t="shared" si="50"/>
        <v>0</v>
      </c>
      <c r="AA21" s="447">
        <f>+ROUND(J21*J$6/(100+J$6),0)+AX21</f>
        <v>128157</v>
      </c>
      <c r="AB21" s="448">
        <f>SUM(W21:AA21)</f>
        <v>128157</v>
      </c>
      <c r="AC21" s="449">
        <f t="shared" si="52"/>
        <v>0</v>
      </c>
      <c r="AD21" s="450">
        <f t="shared" si="52"/>
        <v>0</v>
      </c>
      <c r="AE21" s="450">
        <f t="shared" si="52"/>
        <v>0</v>
      </c>
      <c r="AF21" s="450">
        <f t="shared" si="52"/>
        <v>0</v>
      </c>
      <c r="AG21" s="450">
        <f>+ROUND(R21*AG$6/(100+AG$6),0)+BM21</f>
        <v>0</v>
      </c>
      <c r="AH21" s="451">
        <f>SUM(AC21:AG21)</f>
        <v>0</v>
      </c>
      <c r="AI21" s="452">
        <f>+E21-AB21</f>
        <v>1281576</v>
      </c>
      <c r="AJ21" s="423">
        <f t="shared" si="54"/>
        <v>0</v>
      </c>
      <c r="AK21" s="423">
        <f t="shared" si="54"/>
        <v>0</v>
      </c>
      <c r="AL21" s="423">
        <f t="shared" si="54"/>
        <v>0</v>
      </c>
      <c r="AM21" s="423">
        <f t="shared" si="54"/>
        <v>0</v>
      </c>
      <c r="AN21" s="423">
        <f>AA21-J21*AA$6/(100+AA$6)</f>
        <v>-0.54545454545586836</v>
      </c>
      <c r="AO21" s="424">
        <f t="shared" si="55"/>
        <v>0</v>
      </c>
      <c r="AP21" s="424">
        <f t="shared" si="55"/>
        <v>0</v>
      </c>
      <c r="AQ21" s="424">
        <f t="shared" si="55"/>
        <v>0</v>
      </c>
      <c r="AR21" s="424">
        <f t="shared" si="55"/>
        <v>0</v>
      </c>
      <c r="AS21" s="424">
        <f>+IF(AA$71=0,0,IF(AA$71&lt;0,-RANK(AN21,AN$7:AN$68,0),RANK(AN21,AN$7:AN$68,1)))</f>
        <v>0</v>
      </c>
      <c r="AT21" s="425"/>
      <c r="AU21" s="425"/>
      <c r="AV21" s="425"/>
      <c r="AW21" s="425"/>
      <c r="AX21" s="425">
        <v>-1</v>
      </c>
      <c r="AY21" s="423">
        <f>AC21-N21*AC$6/(100+AC$6)</f>
        <v>0</v>
      </c>
      <c r="AZ21" s="423">
        <f>AD21-O21*AD$6/(100+AD$6)</f>
        <v>0</v>
      </c>
      <c r="BA21" s="423">
        <f>AE21-P21*AE$6/(100+AE$6)</f>
        <v>0</v>
      </c>
      <c r="BB21" s="423">
        <f>AF21-Q21*AF$6/(100+AF$6)</f>
        <v>0</v>
      </c>
      <c r="BC21" s="423">
        <f>AG21-R21*AG$6/(100+AG$6)</f>
        <v>0</v>
      </c>
      <c r="BD21" s="424">
        <f t="shared" si="56"/>
        <v>0</v>
      </c>
      <c r="BE21" s="424">
        <f t="shared" si="56"/>
        <v>0</v>
      </c>
      <c r="BF21" s="424">
        <f t="shared" si="56"/>
        <v>0</v>
      </c>
      <c r="BG21" s="424">
        <f t="shared" si="56"/>
        <v>0</v>
      </c>
      <c r="BH21" s="424">
        <f>+IF(AG$71=0,0,IF(AG$71&lt;0,-RANK(BC21,BC$7:BC$68,0),RANK(BC21,BC$7:BC$68,1)))</f>
        <v>0</v>
      </c>
      <c r="BI21" s="425"/>
      <c r="BJ21" s="425"/>
      <c r="BK21" s="425"/>
      <c r="BL21" s="425"/>
      <c r="BM21" s="425"/>
    </row>
    <row r="22" spans="1:65" s="426" customFormat="1" ht="15.95" customHeight="1">
      <c r="A22" s="370"/>
      <c r="B22" s="371"/>
      <c r="C22" s="372"/>
      <c r="D22" s="443" t="s">
        <v>939</v>
      </c>
      <c r="E22" s="444">
        <f>+SUM(E23:E25)</f>
        <v>610970</v>
      </c>
      <c r="F22" s="445">
        <f t="shared" ref="F22:V22" si="57">+SUM(F23:F25)</f>
        <v>0</v>
      </c>
      <c r="G22" s="446">
        <f t="shared" si="57"/>
        <v>0</v>
      </c>
      <c r="H22" s="446">
        <f t="shared" si="57"/>
        <v>0</v>
      </c>
      <c r="I22" s="447">
        <f t="shared" ref="I22" si="58">+SUM(I23:I25)</f>
        <v>0</v>
      </c>
      <c r="J22" s="447">
        <f t="shared" si="57"/>
        <v>0</v>
      </c>
      <c r="K22" s="448">
        <f t="shared" si="57"/>
        <v>0</v>
      </c>
      <c r="L22" s="444">
        <f t="shared" si="57"/>
        <v>610970</v>
      </c>
      <c r="M22" s="444">
        <f t="shared" ref="M22" si="59">+SUM(M23:M25)</f>
        <v>0</v>
      </c>
      <c r="N22" s="445">
        <f t="shared" ref="N22:U22" si="60">+SUM(N23:N25)</f>
        <v>0</v>
      </c>
      <c r="O22" s="446">
        <f t="shared" si="60"/>
        <v>0</v>
      </c>
      <c r="P22" s="446">
        <f t="shared" si="60"/>
        <v>0</v>
      </c>
      <c r="Q22" s="446">
        <f t="shared" ref="Q22" si="61">+SUM(Q23:Q25)</f>
        <v>0</v>
      </c>
      <c r="R22" s="446">
        <f t="shared" si="60"/>
        <v>0</v>
      </c>
      <c r="S22" s="446">
        <f t="shared" si="60"/>
        <v>0</v>
      </c>
      <c r="T22" s="446">
        <f t="shared" si="60"/>
        <v>0</v>
      </c>
      <c r="U22" s="446">
        <f t="shared" si="60"/>
        <v>0</v>
      </c>
      <c r="V22" s="448">
        <f t="shared" si="57"/>
        <v>0</v>
      </c>
      <c r="W22" s="445">
        <f t="shared" ref="W22:AI22" si="62">+SUM(W23:W25)</f>
        <v>0</v>
      </c>
      <c r="X22" s="446">
        <f t="shared" si="62"/>
        <v>0</v>
      </c>
      <c r="Y22" s="446">
        <f t="shared" si="62"/>
        <v>0</v>
      </c>
      <c r="Z22" s="446">
        <f t="shared" ref="Z22" si="63">+SUM(Z23:Z25)</f>
        <v>0</v>
      </c>
      <c r="AA22" s="447">
        <f t="shared" si="62"/>
        <v>0</v>
      </c>
      <c r="AB22" s="448">
        <f t="shared" si="62"/>
        <v>0</v>
      </c>
      <c r="AC22" s="449">
        <f t="shared" ref="AC22:AH22" si="64">+SUM(AC23:AC25)</f>
        <v>0</v>
      </c>
      <c r="AD22" s="450">
        <f t="shared" si="64"/>
        <v>0</v>
      </c>
      <c r="AE22" s="450">
        <f t="shared" si="64"/>
        <v>0</v>
      </c>
      <c r="AF22" s="450">
        <f t="shared" si="64"/>
        <v>0</v>
      </c>
      <c r="AG22" s="450">
        <f t="shared" si="64"/>
        <v>0</v>
      </c>
      <c r="AH22" s="451">
        <f t="shared" si="64"/>
        <v>0</v>
      </c>
      <c r="AI22" s="452">
        <f t="shared" si="62"/>
        <v>610970</v>
      </c>
      <c r="AJ22" s="442"/>
      <c r="AK22" s="442"/>
      <c r="AL22" s="442"/>
      <c r="AM22" s="442"/>
      <c r="AN22" s="442"/>
      <c r="AO22" s="424"/>
      <c r="AP22" s="424"/>
      <c r="AQ22" s="424"/>
      <c r="AR22" s="424"/>
      <c r="AS22" s="424"/>
      <c r="AT22" s="425"/>
      <c r="AU22" s="425"/>
      <c r="AV22" s="425"/>
      <c r="AW22" s="425"/>
      <c r="AX22" s="425"/>
      <c r="AY22" s="423"/>
      <c r="AZ22" s="423"/>
      <c r="BA22" s="423"/>
      <c r="BB22" s="423"/>
      <c r="BC22" s="423"/>
      <c r="BD22" s="424"/>
      <c r="BE22" s="424"/>
      <c r="BF22" s="424"/>
      <c r="BG22" s="424"/>
      <c r="BH22" s="424"/>
      <c r="BI22" s="425"/>
      <c r="BJ22" s="425"/>
      <c r="BK22" s="425"/>
      <c r="BL22" s="425"/>
      <c r="BM22" s="425"/>
    </row>
    <row r="23" spans="1:65" s="426" customFormat="1" ht="15.95" customHeight="1">
      <c r="A23" s="370"/>
      <c r="B23" s="371"/>
      <c r="C23" s="374">
        <v>481141915</v>
      </c>
      <c r="D23" s="443" t="s">
        <v>940</v>
      </c>
      <c r="E23" s="459">
        <f>+SUMIFS(全伝票!I:I,全伝票!$C:$C,$C23)</f>
        <v>71970</v>
      </c>
      <c r="F23" s="460">
        <f>+SUMIFS(全伝票!J:J,全伝票!$C:$C,$C23)</f>
        <v>0</v>
      </c>
      <c r="G23" s="461">
        <f>+SUMIFS(全伝票!K:K,全伝票!$C:$C,$C23)</f>
        <v>0</v>
      </c>
      <c r="H23" s="461">
        <f>+SUMIFS(全伝票!L:L,全伝票!$C:$C,$C23)</f>
        <v>0</v>
      </c>
      <c r="I23" s="462">
        <f>+SUMIFS(全伝票!M:M,全伝票!$C:$C,$C23)</f>
        <v>0</v>
      </c>
      <c r="J23" s="462">
        <f>+SUMIFS(全伝票!N:N,全伝票!$C:$C,$C23)</f>
        <v>0</v>
      </c>
      <c r="K23" s="448">
        <f>SUM(F23:J23)</f>
        <v>0</v>
      </c>
      <c r="L23" s="459">
        <f>+SUMIFS(全伝票!O:O,全伝票!$C:$C,$C23)</f>
        <v>71970</v>
      </c>
      <c r="M23" s="444"/>
      <c r="N23" s="445"/>
      <c r="O23" s="446"/>
      <c r="P23" s="446"/>
      <c r="Q23" s="446"/>
      <c r="R23" s="446"/>
      <c r="S23" s="446">
        <f>SUM(N23:R23)</f>
        <v>0</v>
      </c>
      <c r="T23" s="446"/>
      <c r="U23" s="446">
        <f>+V23-SUM(S23:T23)</f>
        <v>0</v>
      </c>
      <c r="V23" s="463">
        <f>+SUMIFS(全伝票!P:P,全伝票!$C:$C,$C23)</f>
        <v>0</v>
      </c>
      <c r="W23" s="445">
        <f t="shared" ref="W23:Z26" si="65">+ROUND(F23*F$6/(100+F$6),0)+AT23</f>
        <v>0</v>
      </c>
      <c r="X23" s="446">
        <f t="shared" si="65"/>
        <v>0</v>
      </c>
      <c r="Y23" s="446">
        <f t="shared" si="65"/>
        <v>0</v>
      </c>
      <c r="Z23" s="446">
        <f t="shared" si="65"/>
        <v>0</v>
      </c>
      <c r="AA23" s="447">
        <f>+ROUND(J23*J$6/(100+J$6),0)+AX23</f>
        <v>0</v>
      </c>
      <c r="AB23" s="448">
        <f t="shared" ref="AB23:AB26" si="66">SUM(W23:AA23)</f>
        <v>0</v>
      </c>
      <c r="AC23" s="449">
        <f t="shared" ref="AC23:AF26" si="67">+ROUND(N23*AC$6/(100+AC$6),0)+BI23</f>
        <v>0</v>
      </c>
      <c r="AD23" s="450">
        <f t="shared" si="67"/>
        <v>0</v>
      </c>
      <c r="AE23" s="450">
        <f t="shared" si="67"/>
        <v>0</v>
      </c>
      <c r="AF23" s="450">
        <f t="shared" si="67"/>
        <v>0</v>
      </c>
      <c r="AG23" s="450">
        <f>+ROUND(R23*AG$6/(100+AG$6),0)+BM23</f>
        <v>0</v>
      </c>
      <c r="AH23" s="451">
        <f t="shared" ref="AH23:AH26" si="68">SUM(AC23:AG23)</f>
        <v>0</v>
      </c>
      <c r="AI23" s="452">
        <f>+E23-AB23</f>
        <v>71970</v>
      </c>
      <c r="AJ23" s="423">
        <f t="shared" ref="AJ23:AM26" si="69">W23-F23*W$6/(100+W$6)</f>
        <v>0</v>
      </c>
      <c r="AK23" s="423">
        <f t="shared" si="69"/>
        <v>0</v>
      </c>
      <c r="AL23" s="423">
        <f t="shared" si="69"/>
        <v>0</v>
      </c>
      <c r="AM23" s="423">
        <f t="shared" si="69"/>
        <v>0</v>
      </c>
      <c r="AN23" s="423">
        <f>AA23-J23*AA$6/(100+AA$6)</f>
        <v>0</v>
      </c>
      <c r="AO23" s="424">
        <f t="shared" ref="AO23:AR26" si="70">+IF(W$71=0,0,IF(W$71&lt;0,-RANK(AJ23,AJ$7:AJ$68,0),RANK(AJ23,AJ$7:AJ$68,1)))</f>
        <v>0</v>
      </c>
      <c r="AP23" s="424">
        <f t="shared" si="70"/>
        <v>0</v>
      </c>
      <c r="AQ23" s="424">
        <f t="shared" si="70"/>
        <v>0</v>
      </c>
      <c r="AR23" s="424">
        <f t="shared" si="70"/>
        <v>0</v>
      </c>
      <c r="AS23" s="424">
        <f>+IF(AA$71=0,0,IF(AA$71&lt;0,-RANK(AN23,AN$7:AN$68,0),RANK(AN23,AN$7:AN$68,1)))</f>
        <v>0</v>
      </c>
      <c r="AT23" s="425"/>
      <c r="AU23" s="425"/>
      <c r="AV23" s="425"/>
      <c r="AW23" s="425"/>
      <c r="AX23" s="425"/>
      <c r="AY23" s="423">
        <f t="shared" si="31"/>
        <v>0</v>
      </c>
      <c r="AZ23" s="423">
        <f t="shared" si="32"/>
        <v>0</v>
      </c>
      <c r="BA23" s="423">
        <f t="shared" si="33"/>
        <v>0</v>
      </c>
      <c r="BB23" s="423">
        <f t="shared" si="33"/>
        <v>0</v>
      </c>
      <c r="BC23" s="423">
        <f t="shared" si="34"/>
        <v>0</v>
      </c>
      <c r="BD23" s="424">
        <f t="shared" ref="BD23:BG26" si="71">+IF(AC$71=0,0,IF(AC$71&lt;0,-RANK(AY23,AY$7:AY$68,0),RANK(AY23,AY$7:AY$68,1)))</f>
        <v>0</v>
      </c>
      <c r="BE23" s="424">
        <f t="shared" si="71"/>
        <v>0</v>
      </c>
      <c r="BF23" s="424">
        <f t="shared" si="71"/>
        <v>0</v>
      </c>
      <c r="BG23" s="424">
        <f t="shared" si="71"/>
        <v>0</v>
      </c>
      <c r="BH23" s="424">
        <f>+IF(AG$71=0,0,IF(AG$71&lt;0,-RANK(BC23,BC$7:BC$68,0),RANK(BC23,BC$7:BC$68,1)))</f>
        <v>0</v>
      </c>
      <c r="BI23" s="425"/>
      <c r="BJ23" s="425"/>
      <c r="BK23" s="425"/>
      <c r="BL23" s="425"/>
      <c r="BM23" s="425"/>
    </row>
    <row r="24" spans="1:65" s="426" customFormat="1" ht="15.95" customHeight="1">
      <c r="A24" s="370"/>
      <c r="B24" s="371"/>
      <c r="C24" s="374">
        <v>481141916</v>
      </c>
      <c r="D24" s="443" t="s">
        <v>941</v>
      </c>
      <c r="E24" s="459">
        <f>+SUMIFS(全伝票!I:I,全伝票!$C:$C,$C24)</f>
        <v>539000</v>
      </c>
      <c r="F24" s="460">
        <f>+SUMIFS(全伝票!J:J,全伝票!$C:$C,$C24)</f>
        <v>0</v>
      </c>
      <c r="G24" s="461">
        <f>+SUMIFS(全伝票!K:K,全伝票!$C:$C,$C24)</f>
        <v>0</v>
      </c>
      <c r="H24" s="461">
        <f>+SUMIFS(全伝票!L:L,全伝票!$C:$C,$C24)</f>
        <v>0</v>
      </c>
      <c r="I24" s="462">
        <f>+SUMIFS(全伝票!M:M,全伝票!$C:$C,$C24)</f>
        <v>0</v>
      </c>
      <c r="J24" s="462">
        <f>+SUMIFS(全伝票!N:N,全伝票!$C:$C,$C24)</f>
        <v>0</v>
      </c>
      <c r="K24" s="448">
        <f>SUM(F24:J24)</f>
        <v>0</v>
      </c>
      <c r="L24" s="459">
        <f>+SUMIFS(全伝票!O:O,全伝票!$C:$C,$C24)</f>
        <v>539000</v>
      </c>
      <c r="M24" s="444"/>
      <c r="N24" s="445"/>
      <c r="O24" s="446"/>
      <c r="P24" s="446"/>
      <c r="Q24" s="446"/>
      <c r="R24" s="446"/>
      <c r="S24" s="446">
        <f>SUM(N24:R24)</f>
        <v>0</v>
      </c>
      <c r="T24" s="446"/>
      <c r="U24" s="446">
        <f>+V24-SUM(S24:T24)</f>
        <v>0</v>
      </c>
      <c r="V24" s="463">
        <f>+SUMIFS(全伝票!P:P,全伝票!$C:$C,$C24)</f>
        <v>0</v>
      </c>
      <c r="W24" s="445">
        <f t="shared" si="65"/>
        <v>0</v>
      </c>
      <c r="X24" s="446">
        <f t="shared" si="65"/>
        <v>0</v>
      </c>
      <c r="Y24" s="446">
        <f t="shared" si="65"/>
        <v>0</v>
      </c>
      <c r="Z24" s="446">
        <f t="shared" si="65"/>
        <v>0</v>
      </c>
      <c r="AA24" s="447">
        <f>+ROUND(J24*J$6/(100+J$6),0)+AX24</f>
        <v>0</v>
      </c>
      <c r="AB24" s="448">
        <f t="shared" si="66"/>
        <v>0</v>
      </c>
      <c r="AC24" s="449">
        <f t="shared" si="67"/>
        <v>0</v>
      </c>
      <c r="AD24" s="450">
        <f t="shared" si="67"/>
        <v>0</v>
      </c>
      <c r="AE24" s="450">
        <f t="shared" si="67"/>
        <v>0</v>
      </c>
      <c r="AF24" s="450">
        <f t="shared" si="67"/>
        <v>0</v>
      </c>
      <c r="AG24" s="450">
        <f>+ROUND(R24*AG$6/(100+AG$6),0)+BM24</f>
        <v>0</v>
      </c>
      <c r="AH24" s="451">
        <f t="shared" si="68"/>
        <v>0</v>
      </c>
      <c r="AI24" s="452">
        <f>+E24-AB24</f>
        <v>539000</v>
      </c>
      <c r="AJ24" s="423">
        <f t="shared" si="69"/>
        <v>0</v>
      </c>
      <c r="AK24" s="423">
        <f t="shared" si="69"/>
        <v>0</v>
      </c>
      <c r="AL24" s="423">
        <f t="shared" si="69"/>
        <v>0</v>
      </c>
      <c r="AM24" s="423">
        <f t="shared" si="69"/>
        <v>0</v>
      </c>
      <c r="AN24" s="423">
        <f>AA24-J24*AA$6/(100+AA$6)</f>
        <v>0</v>
      </c>
      <c r="AO24" s="424">
        <f t="shared" si="70"/>
        <v>0</v>
      </c>
      <c r="AP24" s="424">
        <f t="shared" si="70"/>
        <v>0</v>
      </c>
      <c r="AQ24" s="424">
        <f t="shared" si="70"/>
        <v>0</v>
      </c>
      <c r="AR24" s="424">
        <f t="shared" si="70"/>
        <v>0</v>
      </c>
      <c r="AS24" s="424">
        <f>+IF(AA$71=0,0,IF(AA$71&lt;0,-RANK(AN24,AN$7:AN$68,0),RANK(AN24,AN$7:AN$68,1)))</f>
        <v>0</v>
      </c>
      <c r="AT24" s="425"/>
      <c r="AU24" s="425"/>
      <c r="AV24" s="425"/>
      <c r="AW24" s="425"/>
      <c r="AX24" s="425"/>
      <c r="AY24" s="423">
        <f t="shared" si="31"/>
        <v>0</v>
      </c>
      <c r="AZ24" s="423">
        <f t="shared" si="32"/>
        <v>0</v>
      </c>
      <c r="BA24" s="423">
        <f t="shared" si="33"/>
        <v>0</v>
      </c>
      <c r="BB24" s="423">
        <f t="shared" si="33"/>
        <v>0</v>
      </c>
      <c r="BC24" s="423">
        <f t="shared" si="34"/>
        <v>0</v>
      </c>
      <c r="BD24" s="424">
        <f t="shared" si="71"/>
        <v>0</v>
      </c>
      <c r="BE24" s="424">
        <f t="shared" si="71"/>
        <v>0</v>
      </c>
      <c r="BF24" s="424">
        <f t="shared" si="71"/>
        <v>0</v>
      </c>
      <c r="BG24" s="424">
        <f t="shared" si="71"/>
        <v>0</v>
      </c>
      <c r="BH24" s="424">
        <f>+IF(AG$71=0,0,IF(AG$71&lt;0,-RANK(BC24,BC$7:BC$68,0),RANK(BC24,BC$7:BC$68,1)))</f>
        <v>0</v>
      </c>
      <c r="BI24" s="425"/>
      <c r="BJ24" s="425"/>
      <c r="BK24" s="425"/>
      <c r="BL24" s="425"/>
      <c r="BM24" s="425"/>
    </row>
    <row r="25" spans="1:65" s="426" customFormat="1" ht="15.95" customHeight="1">
      <c r="A25" s="370"/>
      <c r="B25" s="371"/>
      <c r="C25" s="374">
        <v>481141917</v>
      </c>
      <c r="D25" s="443" t="s">
        <v>942</v>
      </c>
      <c r="E25" s="459">
        <f>+SUMIFS(全伝票!I:I,全伝票!$C:$C,$C25)</f>
        <v>0</v>
      </c>
      <c r="F25" s="460">
        <f>+SUMIFS(全伝票!J:J,全伝票!$C:$C,$C25)</f>
        <v>0</v>
      </c>
      <c r="G25" s="461">
        <f>+SUMIFS(全伝票!K:K,全伝票!$C:$C,$C25)</f>
        <v>0</v>
      </c>
      <c r="H25" s="461">
        <f>+SUMIFS(全伝票!L:L,全伝票!$C:$C,$C25)</f>
        <v>0</v>
      </c>
      <c r="I25" s="462">
        <f>+SUMIFS(全伝票!M:M,全伝票!$C:$C,$C25)</f>
        <v>0</v>
      </c>
      <c r="J25" s="462">
        <f>+SUMIFS(全伝票!N:N,全伝票!$C:$C,$C25)</f>
        <v>0</v>
      </c>
      <c r="K25" s="448">
        <f>SUM(F25:J25)</f>
        <v>0</v>
      </c>
      <c r="L25" s="459">
        <f>+SUMIFS(全伝票!O:O,全伝票!$C:$C,$C25)</f>
        <v>0</v>
      </c>
      <c r="M25" s="444"/>
      <c r="N25" s="445"/>
      <c r="O25" s="446"/>
      <c r="P25" s="446"/>
      <c r="Q25" s="446"/>
      <c r="R25" s="446"/>
      <c r="S25" s="446">
        <f>SUM(N25:R25)</f>
        <v>0</v>
      </c>
      <c r="T25" s="446"/>
      <c r="U25" s="446">
        <f>+V25-SUM(S25:T25)</f>
        <v>0</v>
      </c>
      <c r="V25" s="463">
        <f>+SUMIFS(全伝票!P:P,全伝票!$C:$C,$C25)</f>
        <v>0</v>
      </c>
      <c r="W25" s="445">
        <f t="shared" si="65"/>
        <v>0</v>
      </c>
      <c r="X25" s="446">
        <f t="shared" si="65"/>
        <v>0</v>
      </c>
      <c r="Y25" s="446">
        <f t="shared" si="65"/>
        <v>0</v>
      </c>
      <c r="Z25" s="446">
        <f t="shared" si="65"/>
        <v>0</v>
      </c>
      <c r="AA25" s="447">
        <f>+ROUND(J25*J$6/(100+J$6),0)+AX25</f>
        <v>0</v>
      </c>
      <c r="AB25" s="448">
        <f t="shared" si="66"/>
        <v>0</v>
      </c>
      <c r="AC25" s="449">
        <f t="shared" si="67"/>
        <v>0</v>
      </c>
      <c r="AD25" s="450">
        <f t="shared" si="67"/>
        <v>0</v>
      </c>
      <c r="AE25" s="450">
        <f t="shared" si="67"/>
        <v>0</v>
      </c>
      <c r="AF25" s="450">
        <f t="shared" si="67"/>
        <v>0</v>
      </c>
      <c r="AG25" s="450">
        <f>+ROUND(R25*AG$6/(100+AG$6),0)+BM25</f>
        <v>0</v>
      </c>
      <c r="AH25" s="451">
        <f t="shared" si="68"/>
        <v>0</v>
      </c>
      <c r="AI25" s="452">
        <f>+E25-AB25</f>
        <v>0</v>
      </c>
      <c r="AJ25" s="423">
        <f t="shared" si="69"/>
        <v>0</v>
      </c>
      <c r="AK25" s="423">
        <f t="shared" si="69"/>
        <v>0</v>
      </c>
      <c r="AL25" s="423">
        <f t="shared" si="69"/>
        <v>0</v>
      </c>
      <c r="AM25" s="423">
        <f t="shared" si="69"/>
        <v>0</v>
      </c>
      <c r="AN25" s="423">
        <f>AA25-J25*AA$6/(100+AA$6)</f>
        <v>0</v>
      </c>
      <c r="AO25" s="424">
        <f t="shared" si="70"/>
        <v>0</v>
      </c>
      <c r="AP25" s="424">
        <f t="shared" si="70"/>
        <v>0</v>
      </c>
      <c r="AQ25" s="424">
        <f t="shared" si="70"/>
        <v>0</v>
      </c>
      <c r="AR25" s="424">
        <f t="shared" si="70"/>
        <v>0</v>
      </c>
      <c r="AS25" s="424">
        <f>+IF(AA$71=0,0,IF(AA$71&lt;0,-RANK(AN25,AN$7:AN$68,0),RANK(AN25,AN$7:AN$68,1)))</f>
        <v>0</v>
      </c>
      <c r="AT25" s="425"/>
      <c r="AU25" s="425"/>
      <c r="AV25" s="425"/>
      <c r="AW25" s="425"/>
      <c r="AX25" s="425"/>
      <c r="AY25" s="423">
        <f t="shared" si="31"/>
        <v>0</v>
      </c>
      <c r="AZ25" s="423">
        <f t="shared" si="32"/>
        <v>0</v>
      </c>
      <c r="BA25" s="423">
        <f t="shared" si="33"/>
        <v>0</v>
      </c>
      <c r="BB25" s="423">
        <f t="shared" si="33"/>
        <v>0</v>
      </c>
      <c r="BC25" s="423">
        <f t="shared" si="34"/>
        <v>0</v>
      </c>
      <c r="BD25" s="424">
        <f t="shared" si="71"/>
        <v>0</v>
      </c>
      <c r="BE25" s="424">
        <f t="shared" si="71"/>
        <v>0</v>
      </c>
      <c r="BF25" s="424">
        <f t="shared" si="71"/>
        <v>0</v>
      </c>
      <c r="BG25" s="424">
        <f t="shared" si="71"/>
        <v>0</v>
      </c>
      <c r="BH25" s="424">
        <f>+IF(AG$71=0,0,IF(AG$71&lt;0,-RANK(BC25,BC$7:BC$68,0),RANK(BC25,BC$7:BC$68,1)))</f>
        <v>0</v>
      </c>
      <c r="BI25" s="425"/>
      <c r="BJ25" s="425"/>
      <c r="BK25" s="425"/>
      <c r="BL25" s="425"/>
      <c r="BM25" s="425"/>
    </row>
    <row r="26" spans="1:65" s="426" customFormat="1" ht="15.95" customHeight="1">
      <c r="A26" s="367"/>
      <c r="B26" s="368"/>
      <c r="C26" s="369">
        <v>481142000</v>
      </c>
      <c r="D26" s="427" t="s">
        <v>956</v>
      </c>
      <c r="E26" s="428">
        <f>+SUMIFS(全伝票!I:I,全伝票!$C:$C,$C26)</f>
        <v>0</v>
      </c>
      <c r="F26" s="429">
        <f>+SUMIFS(全伝票!J:J,全伝票!$C:$C,$C26)</f>
        <v>0</v>
      </c>
      <c r="G26" s="430">
        <f>+SUMIFS(全伝票!K:K,全伝票!$C:$C,$C26)</f>
        <v>0</v>
      </c>
      <c r="H26" s="430">
        <f>+SUMIFS(全伝票!L:L,全伝票!$C:$C,$C26)</f>
        <v>0</v>
      </c>
      <c r="I26" s="431">
        <f>+SUMIFS(全伝票!M:M,全伝票!$C:$C,$C26)</f>
        <v>0</v>
      </c>
      <c r="J26" s="431">
        <f>+SUMIFS(全伝票!N:N,全伝票!$C:$C,$C26)</f>
        <v>0</v>
      </c>
      <c r="K26" s="432">
        <f>SUM(F26:J26)</f>
        <v>0</v>
      </c>
      <c r="L26" s="428">
        <f>+SUMIFS(全伝票!O:O,全伝票!$C:$C,$C26)</f>
        <v>0</v>
      </c>
      <c r="M26" s="457"/>
      <c r="N26" s="434"/>
      <c r="O26" s="435"/>
      <c r="P26" s="435"/>
      <c r="Q26" s="435"/>
      <c r="R26" s="435"/>
      <c r="S26" s="435">
        <f>SUM(N26:R26)</f>
        <v>0</v>
      </c>
      <c r="T26" s="435"/>
      <c r="U26" s="435">
        <f>+V26-SUM(S26:T26)</f>
        <v>0</v>
      </c>
      <c r="V26" s="436">
        <f>+SUMIFS(全伝票!P:P,全伝票!$C:$C,$C26)</f>
        <v>0</v>
      </c>
      <c r="W26" s="434">
        <f t="shared" si="65"/>
        <v>0</v>
      </c>
      <c r="X26" s="435">
        <f t="shared" si="65"/>
        <v>0</v>
      </c>
      <c r="Y26" s="435">
        <f t="shared" si="65"/>
        <v>0</v>
      </c>
      <c r="Z26" s="435">
        <f t="shared" si="65"/>
        <v>0</v>
      </c>
      <c r="AA26" s="437">
        <f>+ROUND(J26*J$6/(100+J$6),0)+AX26</f>
        <v>0</v>
      </c>
      <c r="AB26" s="432">
        <f t="shared" si="66"/>
        <v>0</v>
      </c>
      <c r="AC26" s="438">
        <f t="shared" si="67"/>
        <v>0</v>
      </c>
      <c r="AD26" s="439">
        <f t="shared" si="67"/>
        <v>0</v>
      </c>
      <c r="AE26" s="439">
        <f t="shared" si="67"/>
        <v>0</v>
      </c>
      <c r="AF26" s="439">
        <f t="shared" si="67"/>
        <v>0</v>
      </c>
      <c r="AG26" s="439">
        <f>+ROUND(R26*AG$6/(100+AG$6),0)+BM26</f>
        <v>0</v>
      </c>
      <c r="AH26" s="440">
        <f t="shared" si="68"/>
        <v>0</v>
      </c>
      <c r="AI26" s="441">
        <f>+E26-AB26</f>
        <v>0</v>
      </c>
      <c r="AJ26" s="423">
        <f t="shared" si="69"/>
        <v>0</v>
      </c>
      <c r="AK26" s="423">
        <f t="shared" si="69"/>
        <v>0</v>
      </c>
      <c r="AL26" s="423">
        <f t="shared" si="69"/>
        <v>0</v>
      </c>
      <c r="AM26" s="423">
        <f t="shared" si="69"/>
        <v>0</v>
      </c>
      <c r="AN26" s="423">
        <f>AA26-J26*AA$6/(100+AA$6)</f>
        <v>0</v>
      </c>
      <c r="AO26" s="424">
        <f t="shared" si="70"/>
        <v>0</v>
      </c>
      <c r="AP26" s="424">
        <f t="shared" si="70"/>
        <v>0</v>
      </c>
      <c r="AQ26" s="424">
        <f t="shared" si="70"/>
        <v>0</v>
      </c>
      <c r="AR26" s="424">
        <f t="shared" si="70"/>
        <v>0</v>
      </c>
      <c r="AS26" s="424">
        <f>+IF(AA$71=0,0,IF(AA$71&lt;0,-RANK(AN26,AN$7:AN$68,0),RANK(AN26,AN$7:AN$68,1)))</f>
        <v>0</v>
      </c>
      <c r="AT26" s="425"/>
      <c r="AU26" s="425"/>
      <c r="AV26" s="425"/>
      <c r="AW26" s="425"/>
      <c r="AX26" s="425"/>
      <c r="AY26" s="423">
        <f t="shared" si="31"/>
        <v>0</v>
      </c>
      <c r="AZ26" s="423">
        <f t="shared" si="32"/>
        <v>0</v>
      </c>
      <c r="BA26" s="423">
        <f t="shared" si="33"/>
        <v>0</v>
      </c>
      <c r="BB26" s="423">
        <f t="shared" si="33"/>
        <v>0</v>
      </c>
      <c r="BC26" s="423">
        <f t="shared" si="34"/>
        <v>0</v>
      </c>
      <c r="BD26" s="424">
        <f t="shared" si="71"/>
        <v>0</v>
      </c>
      <c r="BE26" s="424">
        <f t="shared" si="71"/>
        <v>0</v>
      </c>
      <c r="BF26" s="424">
        <f t="shared" si="71"/>
        <v>0</v>
      </c>
      <c r="BG26" s="424">
        <f t="shared" si="71"/>
        <v>0</v>
      </c>
      <c r="BH26" s="424">
        <f>+IF(AG$71=0,0,IF(AG$71&lt;0,-RANK(BC26,BC$7:BC$68,0),RANK(BC26,BC$7:BC$68,1)))</f>
        <v>0</v>
      </c>
      <c r="BI26" s="425"/>
      <c r="BJ26" s="425"/>
      <c r="BK26" s="425"/>
      <c r="BL26" s="425"/>
      <c r="BM26" s="425"/>
    </row>
    <row r="27" spans="1:65" s="426" customFormat="1" ht="15.95" customHeight="1">
      <c r="A27" s="375"/>
      <c r="B27" s="376"/>
      <c r="C27" s="377"/>
      <c r="D27" s="464" t="s">
        <v>910</v>
      </c>
      <c r="E27" s="465">
        <f t="shared" ref="E27:AI27" si="72">+SUM(E7,E9,E17,E19)</f>
        <v>34865911732</v>
      </c>
      <c r="F27" s="466">
        <f t="shared" si="72"/>
        <v>0</v>
      </c>
      <c r="G27" s="467">
        <f t="shared" si="72"/>
        <v>0</v>
      </c>
      <c r="H27" s="467">
        <f t="shared" si="72"/>
        <v>0</v>
      </c>
      <c r="I27" s="468">
        <f t="shared" ref="I27" si="73">+SUM(I7,I9,I17,I19)</f>
        <v>0</v>
      </c>
      <c r="J27" s="468">
        <f t="shared" si="72"/>
        <v>20678111567</v>
      </c>
      <c r="K27" s="469">
        <f t="shared" si="72"/>
        <v>20678111567</v>
      </c>
      <c r="L27" s="465">
        <f t="shared" si="72"/>
        <v>610970</v>
      </c>
      <c r="M27" s="465">
        <f t="shared" si="72"/>
        <v>86860</v>
      </c>
      <c r="N27" s="466">
        <f t="shared" si="72"/>
        <v>0</v>
      </c>
      <c r="O27" s="467">
        <f t="shared" si="72"/>
        <v>0</v>
      </c>
      <c r="P27" s="467">
        <f t="shared" si="72"/>
        <v>455357</v>
      </c>
      <c r="Q27" s="467">
        <f t="shared" ref="Q27" si="74">+SUM(Q7,Q9,Q17,Q19)</f>
        <v>130554</v>
      </c>
      <c r="R27" s="467">
        <f t="shared" si="72"/>
        <v>2306681642</v>
      </c>
      <c r="S27" s="467">
        <f t="shared" si="72"/>
        <v>2307267553</v>
      </c>
      <c r="T27" s="467">
        <f t="shared" si="72"/>
        <v>11667360674</v>
      </c>
      <c r="U27" s="467">
        <f t="shared" si="72"/>
        <v>212474108</v>
      </c>
      <c r="V27" s="469">
        <f t="shared" si="72"/>
        <v>14187102335</v>
      </c>
      <c r="W27" s="466">
        <f t="shared" si="72"/>
        <v>0</v>
      </c>
      <c r="X27" s="467">
        <f t="shared" si="72"/>
        <v>0</v>
      </c>
      <c r="Y27" s="467">
        <f t="shared" si="72"/>
        <v>0</v>
      </c>
      <c r="Z27" s="467">
        <f t="shared" ref="Z27" si="75">+SUM(Z7,Z9,Z17,Z19)</f>
        <v>0</v>
      </c>
      <c r="AA27" s="468">
        <f t="shared" si="72"/>
        <v>1879828324</v>
      </c>
      <c r="AB27" s="469">
        <f t="shared" si="72"/>
        <v>1879828324</v>
      </c>
      <c r="AC27" s="470">
        <f t="shared" si="72"/>
        <v>0</v>
      </c>
      <c r="AD27" s="471">
        <f t="shared" si="72"/>
        <v>0</v>
      </c>
      <c r="AE27" s="471">
        <f t="shared" si="72"/>
        <v>33729</v>
      </c>
      <c r="AF27" s="471">
        <f t="shared" ref="AF27" si="76">+SUM(AF7,AF9,AF17,AF19)</f>
        <v>9670</v>
      </c>
      <c r="AG27" s="471">
        <f t="shared" si="72"/>
        <v>209698331</v>
      </c>
      <c r="AH27" s="472">
        <f t="shared" si="72"/>
        <v>209741730</v>
      </c>
      <c r="AI27" s="473">
        <f t="shared" si="72"/>
        <v>32986083408</v>
      </c>
      <c r="AJ27" s="474"/>
      <c r="AK27" s="474"/>
      <c r="AL27" s="474"/>
      <c r="AM27" s="474"/>
      <c r="AN27" s="474"/>
      <c r="AO27" s="424"/>
      <c r="AP27" s="424"/>
      <c r="AQ27" s="424"/>
      <c r="AR27" s="424"/>
      <c r="AS27" s="424"/>
      <c r="AT27" s="425"/>
      <c r="AU27" s="425"/>
      <c r="AV27" s="425"/>
      <c r="AW27" s="425"/>
      <c r="AX27" s="425"/>
      <c r="AY27" s="423"/>
      <c r="AZ27" s="423"/>
      <c r="BA27" s="423"/>
      <c r="BB27" s="423"/>
      <c r="BC27" s="423"/>
      <c r="BD27" s="424"/>
      <c r="BE27" s="424"/>
      <c r="BF27" s="424"/>
      <c r="BG27" s="424"/>
      <c r="BH27" s="424"/>
      <c r="BI27" s="425"/>
      <c r="BJ27" s="425"/>
      <c r="BK27" s="425"/>
      <c r="BL27" s="425"/>
      <c r="BM27" s="425"/>
    </row>
    <row r="28" spans="1:65" s="426" customFormat="1" ht="15.95" customHeight="1">
      <c r="A28" s="364"/>
      <c r="B28" s="365"/>
      <c r="C28" s="366"/>
      <c r="D28" s="410" t="s">
        <v>894</v>
      </c>
      <c r="E28" s="411">
        <f>+SUM(E29:E31)</f>
        <v>88770</v>
      </c>
      <c r="F28" s="412">
        <f t="shared" ref="F28:V28" si="77">+SUM(F29:F31)</f>
        <v>0</v>
      </c>
      <c r="G28" s="413">
        <f t="shared" si="77"/>
        <v>0</v>
      </c>
      <c r="H28" s="413">
        <f t="shared" si="77"/>
        <v>0</v>
      </c>
      <c r="I28" s="414">
        <f t="shared" ref="I28" si="78">+SUM(I29:I31)</f>
        <v>0</v>
      </c>
      <c r="J28" s="414">
        <f t="shared" si="77"/>
        <v>0</v>
      </c>
      <c r="K28" s="415">
        <f t="shared" si="77"/>
        <v>0</v>
      </c>
      <c r="L28" s="411">
        <f t="shared" si="77"/>
        <v>88770</v>
      </c>
      <c r="M28" s="411">
        <f t="shared" ref="M28" si="79">+SUM(M29:M31)</f>
        <v>0</v>
      </c>
      <c r="N28" s="412">
        <f t="shared" ref="N28:U28" si="80">+SUM(N29:N31)</f>
        <v>0</v>
      </c>
      <c r="O28" s="413">
        <f t="shared" si="80"/>
        <v>0</v>
      </c>
      <c r="P28" s="413">
        <f t="shared" si="80"/>
        <v>0</v>
      </c>
      <c r="Q28" s="413">
        <f t="shared" ref="Q28" si="81">+SUM(Q29:Q31)</f>
        <v>0</v>
      </c>
      <c r="R28" s="413">
        <f t="shared" si="80"/>
        <v>0</v>
      </c>
      <c r="S28" s="413">
        <f t="shared" si="80"/>
        <v>0</v>
      </c>
      <c r="T28" s="413">
        <f t="shared" si="80"/>
        <v>0</v>
      </c>
      <c r="U28" s="413">
        <f t="shared" si="80"/>
        <v>0</v>
      </c>
      <c r="V28" s="415">
        <f t="shared" si="77"/>
        <v>0</v>
      </c>
      <c r="W28" s="412">
        <f t="shared" ref="W28:AI28" si="82">+SUM(W29:W31)</f>
        <v>0</v>
      </c>
      <c r="X28" s="413">
        <f t="shared" si="82"/>
        <v>0</v>
      </c>
      <c r="Y28" s="413">
        <f t="shared" si="82"/>
        <v>0</v>
      </c>
      <c r="Z28" s="413">
        <f t="shared" ref="Z28" si="83">+SUM(Z29:Z31)</f>
        <v>0</v>
      </c>
      <c r="AA28" s="414">
        <f t="shared" si="82"/>
        <v>0</v>
      </c>
      <c r="AB28" s="415">
        <f t="shared" si="82"/>
        <v>0</v>
      </c>
      <c r="AC28" s="419">
        <f t="shared" ref="AC28:AH28" si="84">+SUM(AC29:AC31)</f>
        <v>0</v>
      </c>
      <c r="AD28" s="420">
        <f t="shared" si="84"/>
        <v>0</v>
      </c>
      <c r="AE28" s="420">
        <f t="shared" si="84"/>
        <v>0</v>
      </c>
      <c r="AF28" s="420">
        <f t="shared" si="84"/>
        <v>0</v>
      </c>
      <c r="AG28" s="420">
        <f t="shared" si="84"/>
        <v>0</v>
      </c>
      <c r="AH28" s="475">
        <f t="shared" si="84"/>
        <v>0</v>
      </c>
      <c r="AI28" s="422">
        <f t="shared" si="82"/>
        <v>88770</v>
      </c>
      <c r="AJ28" s="423"/>
      <c r="AK28" s="423"/>
      <c r="AL28" s="423"/>
      <c r="AM28" s="423"/>
      <c r="AN28" s="423"/>
      <c r="AO28" s="424"/>
      <c r="AP28" s="424"/>
      <c r="AQ28" s="424"/>
      <c r="AR28" s="424"/>
      <c r="AS28" s="424"/>
      <c r="AT28" s="425"/>
      <c r="AU28" s="425"/>
      <c r="AV28" s="425"/>
      <c r="AW28" s="425"/>
      <c r="AX28" s="425"/>
      <c r="AY28" s="423"/>
      <c r="AZ28" s="423"/>
      <c r="BA28" s="423"/>
      <c r="BB28" s="423"/>
      <c r="BC28" s="423"/>
      <c r="BD28" s="424"/>
      <c r="BE28" s="424"/>
      <c r="BF28" s="424"/>
      <c r="BG28" s="424"/>
      <c r="BH28" s="424"/>
      <c r="BI28" s="425"/>
      <c r="BJ28" s="425"/>
      <c r="BK28" s="425"/>
      <c r="BL28" s="425"/>
      <c r="BM28" s="425"/>
    </row>
    <row r="29" spans="1:65" s="426" customFormat="1" ht="15.95" customHeight="1">
      <c r="A29" s="370"/>
      <c r="B29" s="371"/>
      <c r="C29" s="374">
        <v>482022100</v>
      </c>
      <c r="D29" s="443" t="s">
        <v>943</v>
      </c>
      <c r="E29" s="459">
        <f>+SUMIFS(全伝票!I:I,全伝票!$C:$C,$C29)</f>
        <v>88770</v>
      </c>
      <c r="F29" s="460">
        <f>+SUMIFS(全伝票!J:J,全伝票!$C:$C,$C29)</f>
        <v>0</v>
      </c>
      <c r="G29" s="461">
        <f>+SUMIFS(全伝票!K:K,全伝票!$C:$C,$C29)</f>
        <v>0</v>
      </c>
      <c r="H29" s="461">
        <f>+SUMIFS(全伝票!L:L,全伝票!$C:$C,$C29)</f>
        <v>0</v>
      </c>
      <c r="I29" s="462">
        <f>+SUMIFS(全伝票!M:M,全伝票!$C:$C,$C29)</f>
        <v>0</v>
      </c>
      <c r="J29" s="462">
        <f>+SUMIFS(全伝票!N:N,全伝票!$C:$C,$C29)</f>
        <v>0</v>
      </c>
      <c r="K29" s="448">
        <f>SUM(F29:J29)</f>
        <v>0</v>
      </c>
      <c r="L29" s="459">
        <f>+SUMIFS(全伝票!O:O,全伝票!$C:$C,$C29)</f>
        <v>88770</v>
      </c>
      <c r="M29" s="444"/>
      <c r="N29" s="445"/>
      <c r="O29" s="446"/>
      <c r="P29" s="446"/>
      <c r="Q29" s="446"/>
      <c r="R29" s="446"/>
      <c r="S29" s="446">
        <f>SUM(N29:R29)</f>
        <v>0</v>
      </c>
      <c r="T29" s="446"/>
      <c r="U29" s="446">
        <f>+V29-SUM(S29:T29)</f>
        <v>0</v>
      </c>
      <c r="V29" s="463">
        <f>+SUMIFS(全伝票!P:P,全伝票!$C:$C,$C29)</f>
        <v>0</v>
      </c>
      <c r="W29" s="445">
        <f t="shared" ref="W29:Z31" si="85">+ROUND(F29*F$6/(100+F$6),0)+AT29</f>
        <v>0</v>
      </c>
      <c r="X29" s="446">
        <f t="shared" si="85"/>
        <v>0</v>
      </c>
      <c r="Y29" s="446">
        <f t="shared" si="85"/>
        <v>0</v>
      </c>
      <c r="Z29" s="446">
        <f t="shared" si="85"/>
        <v>0</v>
      </c>
      <c r="AA29" s="447">
        <f>+ROUND(J29*J$6/(100+J$6),0)+AX29</f>
        <v>0</v>
      </c>
      <c r="AB29" s="448">
        <f t="shared" ref="AB29:AB31" si="86">SUM(W29:AA29)</f>
        <v>0</v>
      </c>
      <c r="AC29" s="449">
        <f t="shared" ref="AC29:AF31" si="87">+ROUND(N29*AC$6/(100+AC$6),0)+BI29</f>
        <v>0</v>
      </c>
      <c r="AD29" s="450">
        <f t="shared" si="87"/>
        <v>0</v>
      </c>
      <c r="AE29" s="450">
        <f t="shared" si="87"/>
        <v>0</v>
      </c>
      <c r="AF29" s="450">
        <f t="shared" si="87"/>
        <v>0</v>
      </c>
      <c r="AG29" s="450">
        <f>+ROUND(R29*AG$6/(100+AG$6),0)+BM29</f>
        <v>0</v>
      </c>
      <c r="AH29" s="451">
        <f t="shared" ref="AH29:AH31" si="88">SUM(AC29:AG29)</f>
        <v>0</v>
      </c>
      <c r="AI29" s="452">
        <f>+E29-AB29</f>
        <v>88770</v>
      </c>
      <c r="AJ29" s="423"/>
      <c r="AK29" s="423"/>
      <c r="AL29" s="423"/>
      <c r="AM29" s="423"/>
      <c r="AN29" s="423"/>
      <c r="AO29" s="424"/>
      <c r="AP29" s="424"/>
      <c r="AQ29" s="424"/>
      <c r="AR29" s="424"/>
      <c r="AS29" s="424"/>
      <c r="AT29" s="425"/>
      <c r="AU29" s="425"/>
      <c r="AV29" s="425"/>
      <c r="AW29" s="425"/>
      <c r="AX29" s="425"/>
      <c r="AY29" s="423"/>
      <c r="AZ29" s="423"/>
      <c r="BA29" s="423"/>
      <c r="BB29" s="423"/>
      <c r="BC29" s="423"/>
      <c r="BD29" s="424"/>
      <c r="BE29" s="424"/>
      <c r="BF29" s="424"/>
      <c r="BG29" s="424"/>
      <c r="BH29" s="424"/>
      <c r="BI29" s="425"/>
      <c r="BJ29" s="425"/>
      <c r="BK29" s="425"/>
      <c r="BL29" s="425"/>
      <c r="BM29" s="425"/>
    </row>
    <row r="30" spans="1:65" s="426" customFormat="1" ht="15.95" customHeight="1">
      <c r="A30" s="370"/>
      <c r="B30" s="371"/>
      <c r="C30" s="374">
        <v>482022200</v>
      </c>
      <c r="D30" s="443" t="s">
        <v>944</v>
      </c>
      <c r="E30" s="459">
        <f>+SUMIFS(全伝票!I:I,全伝票!$C:$C,$C30)</f>
        <v>0</v>
      </c>
      <c r="F30" s="460">
        <f>+SUMIFS(全伝票!J:J,全伝票!$C:$C,$C30)</f>
        <v>0</v>
      </c>
      <c r="G30" s="461">
        <f>+SUMIFS(全伝票!K:K,全伝票!$C:$C,$C30)</f>
        <v>0</v>
      </c>
      <c r="H30" s="461">
        <f>+SUMIFS(全伝票!L:L,全伝票!$C:$C,$C30)</f>
        <v>0</v>
      </c>
      <c r="I30" s="462">
        <f>+SUMIFS(全伝票!M:M,全伝票!$C:$C,$C30)</f>
        <v>0</v>
      </c>
      <c r="J30" s="462">
        <f>+SUMIFS(全伝票!N:N,全伝票!$C:$C,$C30)</f>
        <v>0</v>
      </c>
      <c r="K30" s="448">
        <f>SUM(F30:J30)</f>
        <v>0</v>
      </c>
      <c r="L30" s="459">
        <f>+SUMIFS(全伝票!O:O,全伝票!$C:$C,$C30)</f>
        <v>0</v>
      </c>
      <c r="M30" s="444"/>
      <c r="N30" s="445"/>
      <c r="O30" s="446"/>
      <c r="P30" s="446"/>
      <c r="Q30" s="446"/>
      <c r="R30" s="446"/>
      <c r="S30" s="446">
        <f>SUM(N30:R30)</f>
        <v>0</v>
      </c>
      <c r="T30" s="446"/>
      <c r="U30" s="446">
        <f>+V30-SUM(S30:T30)</f>
        <v>0</v>
      </c>
      <c r="V30" s="463">
        <f>+SUMIFS(全伝票!P:P,全伝票!$C:$C,$C30)</f>
        <v>0</v>
      </c>
      <c r="W30" s="445">
        <f t="shared" si="85"/>
        <v>0</v>
      </c>
      <c r="X30" s="446">
        <f t="shared" si="85"/>
        <v>0</v>
      </c>
      <c r="Y30" s="446">
        <f t="shared" si="85"/>
        <v>0</v>
      </c>
      <c r="Z30" s="446">
        <f t="shared" si="85"/>
        <v>0</v>
      </c>
      <c r="AA30" s="447">
        <f>+ROUND(J30*J$6/(100+J$6),0)+AX30</f>
        <v>0</v>
      </c>
      <c r="AB30" s="448">
        <f t="shared" si="86"/>
        <v>0</v>
      </c>
      <c r="AC30" s="449">
        <f t="shared" si="87"/>
        <v>0</v>
      </c>
      <c r="AD30" s="450">
        <f t="shared" si="87"/>
        <v>0</v>
      </c>
      <c r="AE30" s="450">
        <f t="shared" si="87"/>
        <v>0</v>
      </c>
      <c r="AF30" s="450">
        <f t="shared" si="87"/>
        <v>0</v>
      </c>
      <c r="AG30" s="450">
        <f>+ROUND(R30*AG$6/(100+AG$6),0)+BM30</f>
        <v>0</v>
      </c>
      <c r="AH30" s="451">
        <f t="shared" si="88"/>
        <v>0</v>
      </c>
      <c r="AI30" s="452">
        <f>+E30-AB30</f>
        <v>0</v>
      </c>
      <c r="AJ30" s="423"/>
      <c r="AK30" s="423"/>
      <c r="AL30" s="423"/>
      <c r="AM30" s="423"/>
      <c r="AN30" s="423"/>
      <c r="AO30" s="424"/>
      <c r="AP30" s="424"/>
      <c r="AQ30" s="424"/>
      <c r="AR30" s="424"/>
      <c r="AS30" s="424"/>
      <c r="AT30" s="425"/>
      <c r="AU30" s="425"/>
      <c r="AV30" s="425"/>
      <c r="AW30" s="425"/>
      <c r="AX30" s="425"/>
      <c r="AY30" s="423"/>
      <c r="AZ30" s="423"/>
      <c r="BA30" s="423"/>
      <c r="BB30" s="423"/>
      <c r="BC30" s="423"/>
      <c r="BD30" s="424"/>
      <c r="BE30" s="424"/>
      <c r="BF30" s="424"/>
      <c r="BG30" s="424"/>
      <c r="BH30" s="424"/>
      <c r="BI30" s="425"/>
      <c r="BJ30" s="425"/>
      <c r="BK30" s="425"/>
      <c r="BL30" s="425"/>
      <c r="BM30" s="425"/>
    </row>
    <row r="31" spans="1:65" s="426" customFormat="1" ht="15.95" customHeight="1">
      <c r="A31" s="367"/>
      <c r="B31" s="368"/>
      <c r="C31" s="369">
        <v>482022400</v>
      </c>
      <c r="D31" s="427" t="s">
        <v>945</v>
      </c>
      <c r="E31" s="428">
        <f>+SUMIFS(全伝票!I:I,全伝票!$C:$C,$C31)</f>
        <v>0</v>
      </c>
      <c r="F31" s="429">
        <f>+SUMIFS(全伝票!J:J,全伝票!$C:$C,$C31)</f>
        <v>0</v>
      </c>
      <c r="G31" s="430">
        <f>+SUMIFS(全伝票!K:K,全伝票!$C:$C,$C31)</f>
        <v>0</v>
      </c>
      <c r="H31" s="430">
        <f>+SUMIFS(全伝票!L:L,全伝票!$C:$C,$C31)</f>
        <v>0</v>
      </c>
      <c r="I31" s="431">
        <f>+SUMIFS(全伝票!M:M,全伝票!$C:$C,$C31)</f>
        <v>0</v>
      </c>
      <c r="J31" s="431">
        <f>+SUMIFS(全伝票!N:N,全伝票!$C:$C,$C31)</f>
        <v>0</v>
      </c>
      <c r="K31" s="432">
        <f>SUM(F31:J31)</f>
        <v>0</v>
      </c>
      <c r="L31" s="428">
        <f>+SUMIFS(全伝票!O:O,全伝票!$C:$C,$C31)</f>
        <v>0</v>
      </c>
      <c r="M31" s="457"/>
      <c r="N31" s="434"/>
      <c r="O31" s="435"/>
      <c r="P31" s="435"/>
      <c r="Q31" s="435"/>
      <c r="R31" s="435"/>
      <c r="S31" s="435">
        <f>SUM(N31:R31)</f>
        <v>0</v>
      </c>
      <c r="T31" s="435"/>
      <c r="U31" s="435">
        <f>+V31-SUM(S31:T31)</f>
        <v>0</v>
      </c>
      <c r="V31" s="436">
        <f>+SUMIFS(全伝票!P:P,全伝票!$C:$C,$C31)</f>
        <v>0</v>
      </c>
      <c r="W31" s="434">
        <f t="shared" si="85"/>
        <v>0</v>
      </c>
      <c r="X31" s="435">
        <f t="shared" si="85"/>
        <v>0</v>
      </c>
      <c r="Y31" s="435">
        <f t="shared" si="85"/>
        <v>0</v>
      </c>
      <c r="Z31" s="435">
        <f t="shared" si="85"/>
        <v>0</v>
      </c>
      <c r="AA31" s="437">
        <f>+ROUND(J31*J$6/(100+J$6),0)+AX31</f>
        <v>0</v>
      </c>
      <c r="AB31" s="432">
        <f t="shared" si="86"/>
        <v>0</v>
      </c>
      <c r="AC31" s="438">
        <f t="shared" si="87"/>
        <v>0</v>
      </c>
      <c r="AD31" s="439">
        <f t="shared" si="87"/>
        <v>0</v>
      </c>
      <c r="AE31" s="439">
        <f t="shared" si="87"/>
        <v>0</v>
      </c>
      <c r="AF31" s="439">
        <f t="shared" si="87"/>
        <v>0</v>
      </c>
      <c r="AG31" s="439">
        <f>+ROUND(R31*AG$6/(100+AG$6),0)+BM31</f>
        <v>0</v>
      </c>
      <c r="AH31" s="440">
        <f t="shared" si="88"/>
        <v>0</v>
      </c>
      <c r="AI31" s="441">
        <f>+E31-AB31</f>
        <v>0</v>
      </c>
      <c r="AJ31" s="423"/>
      <c r="AK31" s="423"/>
      <c r="AL31" s="423"/>
      <c r="AM31" s="423"/>
      <c r="AN31" s="423"/>
      <c r="AO31" s="424"/>
      <c r="AP31" s="424"/>
      <c r="AQ31" s="424"/>
      <c r="AR31" s="424"/>
      <c r="AS31" s="424"/>
      <c r="AT31" s="425"/>
      <c r="AU31" s="425"/>
      <c r="AV31" s="425"/>
      <c r="AW31" s="425"/>
      <c r="AX31" s="425"/>
      <c r="AY31" s="423"/>
      <c r="AZ31" s="423"/>
      <c r="BA31" s="423"/>
      <c r="BB31" s="423"/>
      <c r="BC31" s="423"/>
      <c r="BD31" s="424"/>
      <c r="BE31" s="424"/>
      <c r="BF31" s="424"/>
      <c r="BG31" s="424"/>
      <c r="BH31" s="424"/>
      <c r="BI31" s="425"/>
      <c r="BJ31" s="425"/>
      <c r="BK31" s="425"/>
      <c r="BL31" s="425"/>
      <c r="BM31" s="425"/>
    </row>
    <row r="32" spans="1:65" s="426" customFormat="1" ht="15.95" customHeight="1">
      <c r="A32" s="364"/>
      <c r="B32" s="365"/>
      <c r="C32" s="366"/>
      <c r="D32" s="410" t="s">
        <v>895</v>
      </c>
      <c r="E32" s="411">
        <f>+SUM(E33:E34)</f>
        <v>0</v>
      </c>
      <c r="F32" s="412">
        <f t="shared" ref="F32:V32" si="89">+SUM(F33:F34)</f>
        <v>0</v>
      </c>
      <c r="G32" s="413">
        <f t="shared" si="89"/>
        <v>0</v>
      </c>
      <c r="H32" s="413">
        <f t="shared" si="89"/>
        <v>0</v>
      </c>
      <c r="I32" s="414">
        <f t="shared" ref="I32" si="90">+SUM(I33:I34)</f>
        <v>0</v>
      </c>
      <c r="J32" s="414">
        <f t="shared" si="89"/>
        <v>0</v>
      </c>
      <c r="K32" s="415">
        <f t="shared" si="89"/>
        <v>0</v>
      </c>
      <c r="L32" s="411">
        <f t="shared" si="89"/>
        <v>0</v>
      </c>
      <c r="M32" s="411">
        <f t="shared" ref="M32" si="91">+SUM(M33:M34)</f>
        <v>0</v>
      </c>
      <c r="N32" s="416">
        <f t="shared" ref="N32:U32" si="92">+SUM(N33:N34)</f>
        <v>0</v>
      </c>
      <c r="O32" s="417">
        <f t="shared" si="92"/>
        <v>0</v>
      </c>
      <c r="P32" s="417">
        <f t="shared" si="92"/>
        <v>0</v>
      </c>
      <c r="Q32" s="417">
        <f t="shared" ref="Q32" si="93">+SUM(Q33:Q34)</f>
        <v>0</v>
      </c>
      <c r="R32" s="417">
        <f t="shared" si="92"/>
        <v>0</v>
      </c>
      <c r="S32" s="417">
        <f t="shared" si="92"/>
        <v>0</v>
      </c>
      <c r="T32" s="417">
        <f t="shared" si="92"/>
        <v>0</v>
      </c>
      <c r="U32" s="417">
        <f t="shared" si="92"/>
        <v>0</v>
      </c>
      <c r="V32" s="418">
        <f t="shared" si="89"/>
        <v>0</v>
      </c>
      <c r="W32" s="412">
        <f t="shared" ref="W32:AI32" si="94">+SUM(W33:W34)</f>
        <v>0</v>
      </c>
      <c r="X32" s="413">
        <f t="shared" si="94"/>
        <v>0</v>
      </c>
      <c r="Y32" s="413">
        <f t="shared" si="94"/>
        <v>0</v>
      </c>
      <c r="Z32" s="413">
        <f t="shared" ref="Z32" si="95">+SUM(Z33:Z34)</f>
        <v>0</v>
      </c>
      <c r="AA32" s="414">
        <f t="shared" si="94"/>
        <v>0</v>
      </c>
      <c r="AB32" s="415">
        <f t="shared" si="94"/>
        <v>0</v>
      </c>
      <c r="AC32" s="419">
        <f t="shared" ref="AC32:AH32" si="96">+SUM(AC33:AC34)</f>
        <v>0</v>
      </c>
      <c r="AD32" s="420">
        <f t="shared" si="96"/>
        <v>0</v>
      </c>
      <c r="AE32" s="420">
        <f t="shared" si="96"/>
        <v>0</v>
      </c>
      <c r="AF32" s="420">
        <f t="shared" si="96"/>
        <v>0</v>
      </c>
      <c r="AG32" s="420">
        <f t="shared" si="96"/>
        <v>0</v>
      </c>
      <c r="AH32" s="421">
        <f t="shared" si="96"/>
        <v>0</v>
      </c>
      <c r="AI32" s="422">
        <f t="shared" si="94"/>
        <v>0</v>
      </c>
      <c r="AJ32" s="442"/>
      <c r="AK32" s="442"/>
      <c r="AL32" s="442"/>
      <c r="AM32" s="442"/>
      <c r="AN32" s="442"/>
      <c r="AO32" s="424"/>
      <c r="AP32" s="424"/>
      <c r="AQ32" s="424"/>
      <c r="AR32" s="424"/>
      <c r="AS32" s="424"/>
      <c r="AT32" s="425"/>
      <c r="AU32" s="425"/>
      <c r="AV32" s="425"/>
      <c r="AW32" s="425"/>
      <c r="AX32" s="425"/>
      <c r="AY32" s="423"/>
      <c r="AZ32" s="423"/>
      <c r="BA32" s="423"/>
      <c r="BB32" s="423"/>
      <c r="BC32" s="423"/>
      <c r="BD32" s="424"/>
      <c r="BE32" s="424"/>
      <c r="BF32" s="424"/>
      <c r="BG32" s="424"/>
      <c r="BH32" s="424"/>
      <c r="BI32" s="425"/>
      <c r="BJ32" s="425"/>
      <c r="BK32" s="425"/>
      <c r="BL32" s="425"/>
      <c r="BM32" s="425"/>
    </row>
    <row r="33" spans="1:65" s="426" customFormat="1" ht="15.95" customHeight="1">
      <c r="A33" s="370"/>
      <c r="B33" s="371"/>
      <c r="C33" s="374">
        <v>482042700</v>
      </c>
      <c r="D33" s="476" t="s">
        <v>946</v>
      </c>
      <c r="E33" s="459">
        <f>+SUMIFS(全伝票!I:I,全伝票!$C:$C,$C33)</f>
        <v>0</v>
      </c>
      <c r="F33" s="460">
        <f>+SUMIFS(全伝票!J:J,全伝票!$C:$C,$C33)</f>
        <v>0</v>
      </c>
      <c r="G33" s="461">
        <f>+SUMIFS(全伝票!K:K,全伝票!$C:$C,$C33)</f>
        <v>0</v>
      </c>
      <c r="H33" s="461">
        <f>+SUMIFS(全伝票!L:L,全伝票!$C:$C,$C33)</f>
        <v>0</v>
      </c>
      <c r="I33" s="462">
        <f>+SUMIFS(全伝票!M:M,全伝票!$C:$C,$C33)</f>
        <v>0</v>
      </c>
      <c r="J33" s="462">
        <f>+SUMIFS(全伝票!N:N,全伝票!$C:$C,$C33)</f>
        <v>0</v>
      </c>
      <c r="K33" s="448">
        <f>SUM(F33:J33)</f>
        <v>0</v>
      </c>
      <c r="L33" s="459">
        <f>+SUMIFS(全伝票!O:O,全伝票!$C:$C,$C33)</f>
        <v>0</v>
      </c>
      <c r="M33" s="444"/>
      <c r="N33" s="445"/>
      <c r="O33" s="446"/>
      <c r="P33" s="446"/>
      <c r="Q33" s="446"/>
      <c r="R33" s="446"/>
      <c r="S33" s="446">
        <f>SUM(N33:R33)</f>
        <v>0</v>
      </c>
      <c r="T33" s="446"/>
      <c r="U33" s="446">
        <f>+V33-SUM(S33:T33)</f>
        <v>0</v>
      </c>
      <c r="V33" s="463">
        <f>+SUMIFS(全伝票!P:P,全伝票!$C:$C,$C33)</f>
        <v>0</v>
      </c>
      <c r="W33" s="445">
        <f>+ROUND(F33*F$6/(100+F$6),0)+AT33</f>
        <v>0</v>
      </c>
      <c r="X33" s="446">
        <f>+ROUND(G33*G$6/(100+G$6),0)+AU33</f>
        <v>0</v>
      </c>
      <c r="Y33" s="446">
        <f>+ROUND(H33*H$6/(100+H$6),0)+AV33</f>
        <v>0</v>
      </c>
      <c r="Z33" s="446">
        <f>+ROUND(I33*I$6/(100+I$6),0)+AW33</f>
        <v>0</v>
      </c>
      <c r="AA33" s="447">
        <f>+ROUND(J33*J$6/(100+J$6),0)+AX33</f>
        <v>0</v>
      </c>
      <c r="AB33" s="448">
        <f t="shared" ref="AB33" si="97">SUM(W33:AA33)</f>
        <v>0</v>
      </c>
      <c r="AC33" s="449">
        <f>+ROUND(N33*AC$6/(100+AC$6),0)+BI33</f>
        <v>0</v>
      </c>
      <c r="AD33" s="450">
        <f>+ROUND(O33*AD$6/(100+AD$6),0)+BJ33</f>
        <v>0</v>
      </c>
      <c r="AE33" s="450">
        <f>+ROUND(P33*AE$6/(100+AE$6),0)+BK33</f>
        <v>0</v>
      </c>
      <c r="AF33" s="450">
        <f>+ROUND(Q33*AF$6/(100+AF$6),0)+BL33</f>
        <v>0</v>
      </c>
      <c r="AG33" s="450">
        <f>+ROUND(R33*AG$6/(100+AG$6),0)+BM33</f>
        <v>0</v>
      </c>
      <c r="AH33" s="451">
        <f t="shared" ref="AH33" si="98">SUM(AC33:AG33)</f>
        <v>0</v>
      </c>
      <c r="AI33" s="452">
        <f>+E33-AB33</f>
        <v>0</v>
      </c>
      <c r="AJ33" s="423"/>
      <c r="AK33" s="423"/>
      <c r="AL33" s="423"/>
      <c r="AM33" s="423"/>
      <c r="AN33" s="423"/>
      <c r="AO33" s="424"/>
      <c r="AP33" s="424"/>
      <c r="AQ33" s="424"/>
      <c r="AR33" s="424"/>
      <c r="AS33" s="424"/>
      <c r="AT33" s="425"/>
      <c r="AU33" s="425"/>
      <c r="AV33" s="425"/>
      <c r="AW33" s="425"/>
      <c r="AX33" s="425"/>
      <c r="AY33" s="423"/>
      <c r="AZ33" s="423"/>
      <c r="BA33" s="423"/>
      <c r="BB33" s="423"/>
      <c r="BC33" s="423"/>
      <c r="BD33" s="424"/>
      <c r="BE33" s="424"/>
      <c r="BF33" s="424"/>
      <c r="BG33" s="424"/>
      <c r="BH33" s="424"/>
      <c r="BI33" s="425"/>
      <c r="BJ33" s="425"/>
      <c r="BK33" s="425"/>
      <c r="BL33" s="425"/>
      <c r="BM33" s="425"/>
    </row>
    <row r="34" spans="1:65" s="426" customFormat="1" ht="15.95" customHeight="1">
      <c r="A34" s="378"/>
      <c r="B34" s="379"/>
      <c r="C34" s="380"/>
      <c r="D34" s="477" t="s">
        <v>957</v>
      </c>
      <c r="E34" s="478">
        <f>SUM(E35:E38)</f>
        <v>0</v>
      </c>
      <c r="F34" s="479">
        <f t="shared" ref="F34:M34" si="99">SUM(F35:F38)</f>
        <v>0</v>
      </c>
      <c r="G34" s="480">
        <f t="shared" si="99"/>
        <v>0</v>
      </c>
      <c r="H34" s="480">
        <f t="shared" si="99"/>
        <v>0</v>
      </c>
      <c r="I34" s="481">
        <f t="shared" ref="I34" si="100">SUM(I35:I38)</f>
        <v>0</v>
      </c>
      <c r="J34" s="481">
        <f t="shared" si="99"/>
        <v>0</v>
      </c>
      <c r="K34" s="482">
        <f t="shared" si="99"/>
        <v>0</v>
      </c>
      <c r="L34" s="478">
        <f t="shared" si="99"/>
        <v>0</v>
      </c>
      <c r="M34" s="478">
        <f t="shared" si="99"/>
        <v>0</v>
      </c>
      <c r="N34" s="479"/>
      <c r="O34" s="480">
        <f t="shared" ref="O34" si="101">SUM(O35:O38)</f>
        <v>0</v>
      </c>
      <c r="P34" s="480">
        <f t="shared" ref="P34:Q34" si="102">SUM(P35:P38)</f>
        <v>0</v>
      </c>
      <c r="Q34" s="480">
        <f t="shared" si="102"/>
        <v>0</v>
      </c>
      <c r="R34" s="480">
        <f t="shared" ref="R34" si="103">SUM(R35:R38)</f>
        <v>0</v>
      </c>
      <c r="S34" s="480">
        <f t="shared" ref="S34" si="104">SUM(S35:S38)</f>
        <v>0</v>
      </c>
      <c r="T34" s="480">
        <f t="shared" ref="T34" si="105">SUM(T35:T38)</f>
        <v>0</v>
      </c>
      <c r="U34" s="480">
        <f t="shared" ref="U34" si="106">SUM(U35:U38)</f>
        <v>0</v>
      </c>
      <c r="V34" s="482">
        <f t="shared" ref="V34" si="107">SUM(V35:V38)</f>
        <v>0</v>
      </c>
      <c r="W34" s="479">
        <f t="shared" ref="W34" si="108">SUM(W35:W38)</f>
        <v>0</v>
      </c>
      <c r="X34" s="480">
        <f t="shared" ref="X34" si="109">SUM(X35:X38)</f>
        <v>0</v>
      </c>
      <c r="Y34" s="480">
        <f t="shared" ref="Y34:Z34" si="110">SUM(Y35:Y38)</f>
        <v>0</v>
      </c>
      <c r="Z34" s="480">
        <f t="shared" si="110"/>
        <v>0</v>
      </c>
      <c r="AA34" s="481">
        <f t="shared" ref="AA34" si="111">SUM(AA35:AA38)</f>
        <v>0</v>
      </c>
      <c r="AB34" s="482">
        <f t="shared" ref="AB34" si="112">SUM(AB35:AB38)</f>
        <v>0</v>
      </c>
      <c r="AC34" s="483">
        <f t="shared" ref="AC34" si="113">SUM(AC35:AC38)</f>
        <v>0</v>
      </c>
      <c r="AD34" s="484">
        <f t="shared" ref="AD34" si="114">SUM(AD35:AD38)</f>
        <v>0</v>
      </c>
      <c r="AE34" s="484">
        <f t="shared" ref="AE34:AF34" si="115">SUM(AE35:AE38)</f>
        <v>0</v>
      </c>
      <c r="AF34" s="484">
        <f t="shared" si="115"/>
        <v>0</v>
      </c>
      <c r="AG34" s="484">
        <f t="shared" ref="AG34" si="116">SUM(AG35:AG38)</f>
        <v>0</v>
      </c>
      <c r="AH34" s="485">
        <f t="shared" ref="AH34:AI34" si="117">SUM(AH35:AH38)</f>
        <v>0</v>
      </c>
      <c r="AI34" s="486">
        <f t="shared" si="117"/>
        <v>0</v>
      </c>
      <c r="AJ34" s="442"/>
      <c r="AK34" s="442"/>
      <c r="AL34" s="442"/>
      <c r="AM34" s="442"/>
      <c r="AN34" s="442"/>
      <c r="AO34" s="487"/>
      <c r="AP34" s="487"/>
      <c r="AQ34" s="487"/>
      <c r="AR34" s="487"/>
      <c r="AS34" s="487"/>
      <c r="AT34" s="488"/>
      <c r="AU34" s="488"/>
      <c r="AV34" s="488"/>
      <c r="AW34" s="488"/>
      <c r="AX34" s="488"/>
      <c r="AY34" s="442">
        <f t="shared" si="31"/>
        <v>0</v>
      </c>
      <c r="AZ34" s="442">
        <f t="shared" si="32"/>
        <v>0</v>
      </c>
      <c r="BA34" s="442">
        <f t="shared" si="33"/>
        <v>0</v>
      </c>
      <c r="BB34" s="442">
        <f t="shared" si="33"/>
        <v>0</v>
      </c>
      <c r="BC34" s="442">
        <f t="shared" si="34"/>
        <v>0</v>
      </c>
      <c r="BD34" s="487">
        <f>+IF(AC$71=0,0,IF(AC$71&lt;0,-RANK(AY34,AY$7:AY$68,0),RANK(AY34,AY$7:AY$68,1)))</f>
        <v>0</v>
      </c>
      <c r="BE34" s="487">
        <f>+IF(AD$71=0,0,IF(AD$71&lt;0,-RANK(AZ34,AZ$7:AZ$68,0),RANK(AZ34,AZ$7:AZ$68,1)))</f>
        <v>0</v>
      </c>
      <c r="BF34" s="487">
        <f>+IF(AE$71=0,0,IF(AE$71&lt;0,-RANK(BA34,BA$7:BA$68,0),RANK(BA34,BA$7:BA$68,1)))</f>
        <v>0</v>
      </c>
      <c r="BG34" s="487">
        <f>+IF(AF$71=0,0,IF(AF$71&lt;0,-RANK(BB34,BB$7:BB$68,0),RANK(BB34,BB$7:BB$68,1)))</f>
        <v>0</v>
      </c>
      <c r="BH34" s="487">
        <f>+IF(AG$71=0,0,IF(AG$71&lt;0,-RANK(BC34,BC$7:BC$68,0),RANK(BC34,BC$7:BC$68,1)))</f>
        <v>0</v>
      </c>
      <c r="BI34" s="488"/>
      <c r="BJ34" s="488"/>
      <c r="BK34" s="488"/>
      <c r="BL34" s="488"/>
      <c r="BM34" s="488"/>
    </row>
    <row r="35" spans="1:65" s="426" customFormat="1" ht="15.95" customHeight="1">
      <c r="A35" s="370">
        <v>1</v>
      </c>
      <c r="B35" s="371"/>
      <c r="C35" s="374">
        <v>482042900</v>
      </c>
      <c r="D35" s="443" t="s">
        <v>972</v>
      </c>
      <c r="E35" s="459">
        <f>+SUMIFS(全伝票!I:I,全伝票!$C:$C,$C35,全伝票!$A:$A,$A35)</f>
        <v>0</v>
      </c>
      <c r="F35" s="460">
        <f>+SUMIFS(全伝票!J:J,全伝票!$C:$C,$C35)</f>
        <v>0</v>
      </c>
      <c r="G35" s="461">
        <f>+SUMIFS(全伝票!K:K,全伝票!$C:$C,$C35)</f>
        <v>0</v>
      </c>
      <c r="H35" s="461">
        <f>+SUMIFS(全伝票!L:L,全伝票!$C:$C,$C35)</f>
        <v>0</v>
      </c>
      <c r="I35" s="462">
        <f>+SUMIFS(全伝票!M:M,全伝票!$C:$C,$C35)</f>
        <v>0</v>
      </c>
      <c r="J35" s="462">
        <f>+SUMIFS(全伝票!N:N,全伝票!$C:$C,$C35)</f>
        <v>0</v>
      </c>
      <c r="K35" s="448">
        <f t="shared" ref="K35:K38" si="118">SUM(F35:J35)</f>
        <v>0</v>
      </c>
      <c r="L35" s="459">
        <f>+SUMIFS(全伝票!O:O,全伝票!$C:$C,$C35)</f>
        <v>0</v>
      </c>
      <c r="M35" s="444"/>
      <c r="N35" s="445"/>
      <c r="O35" s="446"/>
      <c r="P35" s="454">
        <f>'3条災害補助'!L$9</f>
        <v>0</v>
      </c>
      <c r="Q35" s="454">
        <f>'3条災害補助'!M$9</f>
        <v>0</v>
      </c>
      <c r="R35" s="454">
        <f>'3条災害補助'!N$9</f>
        <v>0</v>
      </c>
      <c r="S35" s="446">
        <f t="shared" ref="S35:S38" si="119">SUM(N35:R35)</f>
        <v>0</v>
      </c>
      <c r="T35" s="454">
        <f>'3条災害補助'!I$8</f>
        <v>0</v>
      </c>
      <c r="U35" s="446">
        <f t="shared" ref="U35:U38" si="120">+V35-SUM(S35:T35)</f>
        <v>0</v>
      </c>
      <c r="V35" s="463">
        <f>SUMIFS(全伝票!P:P,全伝票!$C:$C,$C35,全伝票!$A:$A,$A35)</f>
        <v>0</v>
      </c>
      <c r="W35" s="445">
        <f t="shared" ref="W35:W38" si="121">+ROUND(F35*F$6/(100+F$6),0)+AT35</f>
        <v>0</v>
      </c>
      <c r="X35" s="446">
        <f t="shared" ref="X35:X38" si="122">+ROUND(G35*G$6/(100+G$6),0)+AU35</f>
        <v>0</v>
      </c>
      <c r="Y35" s="446">
        <f t="shared" ref="Y35:Z38" si="123">+ROUND(H35*H$6/(100+H$6),0)+AV35</f>
        <v>0</v>
      </c>
      <c r="Z35" s="446">
        <f t="shared" si="123"/>
        <v>0</v>
      </c>
      <c r="AA35" s="447">
        <f t="shared" ref="AA35:AA38" si="124">+ROUND(J35*J$6/(100+J$6),0)+AX35</f>
        <v>0</v>
      </c>
      <c r="AB35" s="448">
        <f t="shared" ref="AB35:AB38" si="125">SUM(W35:AA35)</f>
        <v>0</v>
      </c>
      <c r="AC35" s="449">
        <f t="shared" ref="AC35:AC38" si="126">+ROUND(N35*AC$6/(100+AC$6),0)+BI35</f>
        <v>0</v>
      </c>
      <c r="AD35" s="450">
        <f t="shared" ref="AD35:AD38" si="127">+ROUND(O35*AD$6/(100+AD$6),0)+BJ35</f>
        <v>0</v>
      </c>
      <c r="AE35" s="450">
        <f t="shared" ref="AE35:AF38" si="128">+ROUND(P35*AE$6/(100+AE$6),0)+BK35</f>
        <v>0</v>
      </c>
      <c r="AF35" s="450">
        <f t="shared" si="128"/>
        <v>0</v>
      </c>
      <c r="AG35" s="450">
        <f t="shared" ref="AG35:AG38" si="129">+ROUND(R35*AG$6/(100+AG$6),0)+BM35</f>
        <v>0</v>
      </c>
      <c r="AH35" s="451">
        <f t="shared" ref="AH35:AH38" si="130">SUM(AC35:AG35)</f>
        <v>0</v>
      </c>
      <c r="AI35" s="452">
        <f t="shared" ref="AI35:AI38" si="131">+E35-AB35</f>
        <v>0</v>
      </c>
      <c r="AJ35" s="423"/>
      <c r="AK35" s="423"/>
      <c r="AL35" s="423"/>
      <c r="AM35" s="423"/>
      <c r="AN35" s="423"/>
      <c r="AO35" s="424"/>
      <c r="AP35" s="424"/>
      <c r="AQ35" s="424"/>
      <c r="AR35" s="424"/>
      <c r="AS35" s="424"/>
      <c r="AT35" s="425"/>
      <c r="AU35" s="425"/>
      <c r="AV35" s="425"/>
      <c r="AW35" s="425"/>
      <c r="AX35" s="425"/>
      <c r="AY35" s="442">
        <f t="shared" ref="AY35:AY38" si="132">AC35-N35*AC$6/(100+AC$6)</f>
        <v>0</v>
      </c>
      <c r="AZ35" s="442">
        <f t="shared" ref="AZ35:AZ38" si="133">AD35-O35*AD$6/(100+AD$6)</f>
        <v>0</v>
      </c>
      <c r="BA35" s="442">
        <f t="shared" ref="BA35:BB38" si="134">AE35-P35*AE$6/(100+AE$6)</f>
        <v>0</v>
      </c>
      <c r="BB35" s="442">
        <f t="shared" si="134"/>
        <v>0</v>
      </c>
      <c r="BC35" s="442">
        <f t="shared" ref="BC35:BC38" si="135">AG35-R35*AG$6/(100+AG$6)</f>
        <v>0</v>
      </c>
      <c r="BD35" s="487">
        <f t="shared" ref="BD35:BD38" si="136">+IF(AC$71=0,0,IF(AC$71&lt;0,-RANK(AY35,AY$7:AY$68,0),RANK(AY35,AY$7:AY$68,1)))</f>
        <v>0</v>
      </c>
      <c r="BE35" s="487">
        <f t="shared" ref="BE35:BE38" si="137">+IF(AD$71=0,0,IF(AD$71&lt;0,-RANK(AZ35,AZ$7:AZ$68,0),RANK(AZ35,AZ$7:AZ$68,1)))</f>
        <v>0</v>
      </c>
      <c r="BF35" s="487">
        <f t="shared" ref="BF35:BG38" si="138">+IF(AE$71=0,0,IF(AE$71&lt;0,-RANK(BA35,BA$7:BA$68,0),RANK(BA35,BA$7:BA$68,1)))</f>
        <v>0</v>
      </c>
      <c r="BG35" s="487">
        <f t="shared" si="138"/>
        <v>0</v>
      </c>
      <c r="BH35" s="487">
        <f t="shared" ref="BH35:BH38" si="139">+IF(AG$71=0,0,IF(AG$71&lt;0,-RANK(BC35,BC$7:BC$68,0),RANK(BC35,BC$7:BC$68,1)))</f>
        <v>0</v>
      </c>
      <c r="BI35" s="425"/>
      <c r="BJ35" s="425"/>
      <c r="BK35" s="425"/>
      <c r="BL35" s="425"/>
      <c r="BM35" s="425"/>
    </row>
    <row r="36" spans="1:65" s="426" customFormat="1" ht="15.95" customHeight="1">
      <c r="A36" s="370">
        <v>2</v>
      </c>
      <c r="B36" s="371"/>
      <c r="C36" s="374">
        <v>482042900</v>
      </c>
      <c r="D36" s="443" t="s">
        <v>973</v>
      </c>
      <c r="E36" s="459">
        <f>+SUMIFS(全伝票!I:I,全伝票!$C:$C,$C36,全伝票!$A:$A,$A36)</f>
        <v>0</v>
      </c>
      <c r="F36" s="460">
        <f>+SUMIFS(全伝票!J:J,全伝票!$C:$C,$C36)</f>
        <v>0</v>
      </c>
      <c r="G36" s="461">
        <f>+SUMIFS(全伝票!K:K,全伝票!$C:$C,$C36)</f>
        <v>0</v>
      </c>
      <c r="H36" s="461">
        <f>+SUMIFS(全伝票!L:L,全伝票!$C:$C,$C36)</f>
        <v>0</v>
      </c>
      <c r="I36" s="462">
        <f>+SUMIFS(全伝票!M:M,全伝票!$C:$C,$C36)</f>
        <v>0</v>
      </c>
      <c r="J36" s="462">
        <f>+SUMIFS(全伝票!N:N,全伝票!$C:$C,$C36)</f>
        <v>0</v>
      </c>
      <c r="K36" s="448">
        <f t="shared" si="118"/>
        <v>0</v>
      </c>
      <c r="L36" s="459">
        <f>+SUMIFS(全伝票!O:O,全伝票!$C:$C,$C36)</f>
        <v>0</v>
      </c>
      <c r="M36" s="444"/>
      <c r="N36" s="445"/>
      <c r="O36" s="446"/>
      <c r="P36" s="454">
        <f>'3条災害補助'!L$23</f>
        <v>0</v>
      </c>
      <c r="Q36" s="454">
        <f>'3条災害補助'!M$23</f>
        <v>0</v>
      </c>
      <c r="R36" s="454">
        <f>'3条災害補助'!N$23</f>
        <v>0</v>
      </c>
      <c r="S36" s="446">
        <f t="shared" si="119"/>
        <v>0</v>
      </c>
      <c r="T36" s="454">
        <f>'3条災害補助'!I$22</f>
        <v>0</v>
      </c>
      <c r="U36" s="446">
        <f t="shared" si="120"/>
        <v>0</v>
      </c>
      <c r="V36" s="463">
        <f>SUMIFS(全伝票!P:P,全伝票!$C:$C,$C36,全伝票!$A:$A,$A36)</f>
        <v>0</v>
      </c>
      <c r="W36" s="445">
        <f t="shared" si="121"/>
        <v>0</v>
      </c>
      <c r="X36" s="446">
        <f t="shared" si="122"/>
        <v>0</v>
      </c>
      <c r="Y36" s="446">
        <f t="shared" si="123"/>
        <v>0</v>
      </c>
      <c r="Z36" s="446">
        <f t="shared" si="123"/>
        <v>0</v>
      </c>
      <c r="AA36" s="447">
        <f t="shared" si="124"/>
        <v>0</v>
      </c>
      <c r="AB36" s="448">
        <f t="shared" si="125"/>
        <v>0</v>
      </c>
      <c r="AC36" s="449">
        <f t="shared" si="126"/>
        <v>0</v>
      </c>
      <c r="AD36" s="450">
        <f t="shared" si="127"/>
        <v>0</v>
      </c>
      <c r="AE36" s="450">
        <f t="shared" si="128"/>
        <v>0</v>
      </c>
      <c r="AF36" s="450">
        <f t="shared" si="128"/>
        <v>0</v>
      </c>
      <c r="AG36" s="450">
        <f t="shared" si="129"/>
        <v>0</v>
      </c>
      <c r="AH36" s="451">
        <f t="shared" si="130"/>
        <v>0</v>
      </c>
      <c r="AI36" s="452">
        <f t="shared" si="131"/>
        <v>0</v>
      </c>
      <c r="AJ36" s="423"/>
      <c r="AK36" s="423"/>
      <c r="AL36" s="423"/>
      <c r="AM36" s="423"/>
      <c r="AN36" s="423"/>
      <c r="AO36" s="424"/>
      <c r="AP36" s="424"/>
      <c r="AQ36" s="424"/>
      <c r="AR36" s="424"/>
      <c r="AS36" s="424"/>
      <c r="AT36" s="425"/>
      <c r="AU36" s="425"/>
      <c r="AV36" s="425"/>
      <c r="AW36" s="425"/>
      <c r="AX36" s="425"/>
      <c r="AY36" s="442">
        <f t="shared" si="132"/>
        <v>0</v>
      </c>
      <c r="AZ36" s="442">
        <f t="shared" si="133"/>
        <v>0</v>
      </c>
      <c r="BA36" s="442">
        <f t="shared" si="134"/>
        <v>0</v>
      </c>
      <c r="BB36" s="442">
        <f t="shared" si="134"/>
        <v>0</v>
      </c>
      <c r="BC36" s="442">
        <f t="shared" si="135"/>
        <v>0</v>
      </c>
      <c r="BD36" s="487">
        <f t="shared" si="136"/>
        <v>0</v>
      </c>
      <c r="BE36" s="487">
        <f t="shared" si="137"/>
        <v>0</v>
      </c>
      <c r="BF36" s="487">
        <f t="shared" si="138"/>
        <v>0</v>
      </c>
      <c r="BG36" s="487">
        <f t="shared" si="138"/>
        <v>0</v>
      </c>
      <c r="BH36" s="487">
        <f t="shared" si="139"/>
        <v>0</v>
      </c>
      <c r="BI36" s="425"/>
      <c r="BJ36" s="425"/>
      <c r="BK36" s="425"/>
      <c r="BL36" s="425"/>
      <c r="BM36" s="425"/>
    </row>
    <row r="37" spans="1:65" s="426" customFormat="1" ht="15.95" customHeight="1">
      <c r="A37" s="370">
        <v>3</v>
      </c>
      <c r="B37" s="371"/>
      <c r="C37" s="374">
        <v>482042900</v>
      </c>
      <c r="D37" s="443" t="s">
        <v>974</v>
      </c>
      <c r="E37" s="459">
        <f>+SUMIFS(全伝票!I:I,全伝票!$C:$C,$C37,全伝票!$A:$A,$A37)</f>
        <v>0</v>
      </c>
      <c r="F37" s="460">
        <f>+SUMIFS(全伝票!J:J,全伝票!$C:$C,$C37)</f>
        <v>0</v>
      </c>
      <c r="G37" s="461">
        <f>+SUMIFS(全伝票!K:K,全伝票!$C:$C,$C37)</f>
        <v>0</v>
      </c>
      <c r="H37" s="461">
        <f>+SUMIFS(全伝票!L:L,全伝票!$C:$C,$C37)</f>
        <v>0</v>
      </c>
      <c r="I37" s="462">
        <f>+SUMIFS(全伝票!M:M,全伝票!$C:$C,$C37)</f>
        <v>0</v>
      </c>
      <c r="J37" s="462">
        <f>+SUMIFS(全伝票!N:N,全伝票!$C:$C,$C37)</f>
        <v>0</v>
      </c>
      <c r="K37" s="448">
        <f t="shared" si="118"/>
        <v>0</v>
      </c>
      <c r="L37" s="459">
        <f>+SUMIFS(全伝票!O:O,全伝票!$C:$C,$C37)</f>
        <v>0</v>
      </c>
      <c r="M37" s="444"/>
      <c r="N37" s="445"/>
      <c r="O37" s="446"/>
      <c r="P37" s="454">
        <f>'3条災害補助'!L$37</f>
        <v>0</v>
      </c>
      <c r="Q37" s="454">
        <f>'3条災害補助'!M$37</f>
        <v>0</v>
      </c>
      <c r="R37" s="454">
        <f>'3条災害補助'!N$37</f>
        <v>0</v>
      </c>
      <c r="S37" s="446">
        <f t="shared" si="119"/>
        <v>0</v>
      </c>
      <c r="T37" s="454">
        <f>'3条災害補助'!I$36</f>
        <v>0</v>
      </c>
      <c r="U37" s="446">
        <f t="shared" si="120"/>
        <v>0</v>
      </c>
      <c r="V37" s="463">
        <f>SUMIFS(全伝票!P:P,全伝票!$C:$C,$C37,全伝票!$A:$A,$A37)</f>
        <v>0</v>
      </c>
      <c r="W37" s="445">
        <f t="shared" si="121"/>
        <v>0</v>
      </c>
      <c r="X37" s="446">
        <f t="shared" si="122"/>
        <v>0</v>
      </c>
      <c r="Y37" s="446">
        <f t="shared" si="123"/>
        <v>0</v>
      </c>
      <c r="Z37" s="446">
        <f t="shared" si="123"/>
        <v>0</v>
      </c>
      <c r="AA37" s="447">
        <f t="shared" si="124"/>
        <v>0</v>
      </c>
      <c r="AB37" s="448">
        <f t="shared" si="125"/>
        <v>0</v>
      </c>
      <c r="AC37" s="449">
        <f t="shared" si="126"/>
        <v>0</v>
      </c>
      <c r="AD37" s="450">
        <f t="shared" si="127"/>
        <v>0</v>
      </c>
      <c r="AE37" s="450">
        <f t="shared" si="128"/>
        <v>0</v>
      </c>
      <c r="AF37" s="450">
        <f t="shared" si="128"/>
        <v>0</v>
      </c>
      <c r="AG37" s="450">
        <f t="shared" si="129"/>
        <v>0</v>
      </c>
      <c r="AH37" s="451">
        <f t="shared" si="130"/>
        <v>0</v>
      </c>
      <c r="AI37" s="452">
        <f t="shared" si="131"/>
        <v>0</v>
      </c>
      <c r="AJ37" s="423"/>
      <c r="AK37" s="423"/>
      <c r="AL37" s="423"/>
      <c r="AM37" s="423"/>
      <c r="AN37" s="423"/>
      <c r="AO37" s="424"/>
      <c r="AP37" s="424"/>
      <c r="AQ37" s="424"/>
      <c r="AR37" s="424"/>
      <c r="AS37" s="424"/>
      <c r="AT37" s="425"/>
      <c r="AU37" s="425"/>
      <c r="AV37" s="425"/>
      <c r="AW37" s="425"/>
      <c r="AX37" s="425"/>
      <c r="AY37" s="442">
        <f t="shared" si="132"/>
        <v>0</v>
      </c>
      <c r="AZ37" s="442">
        <f t="shared" si="133"/>
        <v>0</v>
      </c>
      <c r="BA37" s="442">
        <f t="shared" si="134"/>
        <v>0</v>
      </c>
      <c r="BB37" s="442">
        <f t="shared" si="134"/>
        <v>0</v>
      </c>
      <c r="BC37" s="442">
        <f t="shared" si="135"/>
        <v>0</v>
      </c>
      <c r="BD37" s="487">
        <f t="shared" si="136"/>
        <v>0</v>
      </c>
      <c r="BE37" s="487">
        <f t="shared" si="137"/>
        <v>0</v>
      </c>
      <c r="BF37" s="487">
        <f t="shared" si="138"/>
        <v>0</v>
      </c>
      <c r="BG37" s="487">
        <f t="shared" si="138"/>
        <v>0</v>
      </c>
      <c r="BH37" s="487">
        <f t="shared" si="139"/>
        <v>0</v>
      </c>
      <c r="BI37" s="425"/>
      <c r="BJ37" s="425"/>
      <c r="BK37" s="425"/>
      <c r="BL37" s="425"/>
      <c r="BM37" s="425"/>
    </row>
    <row r="38" spans="1:65" s="426" customFormat="1" ht="15.95" customHeight="1">
      <c r="A38" s="367">
        <v>4</v>
      </c>
      <c r="B38" s="368"/>
      <c r="C38" s="369">
        <v>482042900</v>
      </c>
      <c r="D38" s="427" t="s">
        <v>975</v>
      </c>
      <c r="E38" s="428">
        <f>+SUMIFS(全伝票!I:I,全伝票!$C:$C,$C38,全伝票!$A:$A,$A38)</f>
        <v>0</v>
      </c>
      <c r="F38" s="429">
        <f>+SUMIFS(全伝票!J:J,全伝票!$C:$C,$C38)</f>
        <v>0</v>
      </c>
      <c r="G38" s="430">
        <f>+SUMIFS(全伝票!K:K,全伝票!$C:$C,$C38)</f>
        <v>0</v>
      </c>
      <c r="H38" s="430">
        <f>+SUMIFS(全伝票!L:L,全伝票!$C:$C,$C38)</f>
        <v>0</v>
      </c>
      <c r="I38" s="431">
        <f>+SUMIFS(全伝票!M:M,全伝票!$C:$C,$C38)</f>
        <v>0</v>
      </c>
      <c r="J38" s="431">
        <f>+SUMIFS(全伝票!N:N,全伝票!$C:$C,$C38)</f>
        <v>0</v>
      </c>
      <c r="K38" s="432">
        <f t="shared" si="118"/>
        <v>0</v>
      </c>
      <c r="L38" s="428">
        <f>+SUMIFS(全伝票!O:O,全伝票!$C:$C,$C38)</f>
        <v>0</v>
      </c>
      <c r="M38" s="457"/>
      <c r="N38" s="434"/>
      <c r="O38" s="435"/>
      <c r="P38" s="458">
        <f>'3条災害補助'!L$51</f>
        <v>0</v>
      </c>
      <c r="Q38" s="458">
        <f>'3条災害補助'!M$51</f>
        <v>0</v>
      </c>
      <c r="R38" s="458">
        <f>'3条災害補助'!N$51</f>
        <v>0</v>
      </c>
      <c r="S38" s="435">
        <f t="shared" si="119"/>
        <v>0</v>
      </c>
      <c r="T38" s="458">
        <f>'3条災害補助'!I$50</f>
        <v>0</v>
      </c>
      <c r="U38" s="435">
        <f t="shared" si="120"/>
        <v>0</v>
      </c>
      <c r="V38" s="436">
        <f>SUMIFS(全伝票!P:P,全伝票!$C:$C,$C38,全伝票!$A:$A,$A38)</f>
        <v>0</v>
      </c>
      <c r="W38" s="434">
        <f t="shared" si="121"/>
        <v>0</v>
      </c>
      <c r="X38" s="435">
        <f t="shared" si="122"/>
        <v>0</v>
      </c>
      <c r="Y38" s="435">
        <f t="shared" si="123"/>
        <v>0</v>
      </c>
      <c r="Z38" s="435">
        <f t="shared" si="123"/>
        <v>0</v>
      </c>
      <c r="AA38" s="437">
        <f t="shared" si="124"/>
        <v>0</v>
      </c>
      <c r="AB38" s="432">
        <f t="shared" si="125"/>
        <v>0</v>
      </c>
      <c r="AC38" s="438">
        <f t="shared" si="126"/>
        <v>0</v>
      </c>
      <c r="AD38" s="439">
        <f t="shared" si="127"/>
        <v>0</v>
      </c>
      <c r="AE38" s="439">
        <f t="shared" si="128"/>
        <v>0</v>
      </c>
      <c r="AF38" s="439">
        <f t="shared" si="128"/>
        <v>0</v>
      </c>
      <c r="AG38" s="439">
        <f t="shared" si="129"/>
        <v>0</v>
      </c>
      <c r="AH38" s="440">
        <f t="shared" si="130"/>
        <v>0</v>
      </c>
      <c r="AI38" s="441">
        <f t="shared" si="131"/>
        <v>0</v>
      </c>
      <c r="AJ38" s="423"/>
      <c r="AK38" s="423"/>
      <c r="AL38" s="423"/>
      <c r="AM38" s="423"/>
      <c r="AN38" s="423"/>
      <c r="AO38" s="424"/>
      <c r="AP38" s="424"/>
      <c r="AQ38" s="424"/>
      <c r="AR38" s="424"/>
      <c r="AS38" s="424"/>
      <c r="AT38" s="425"/>
      <c r="AU38" s="425"/>
      <c r="AV38" s="425"/>
      <c r="AW38" s="425"/>
      <c r="AX38" s="425"/>
      <c r="AY38" s="442">
        <f t="shared" si="132"/>
        <v>0</v>
      </c>
      <c r="AZ38" s="442">
        <f t="shared" si="133"/>
        <v>0</v>
      </c>
      <c r="BA38" s="442">
        <f t="shared" si="134"/>
        <v>0</v>
      </c>
      <c r="BB38" s="442">
        <f t="shared" si="134"/>
        <v>0</v>
      </c>
      <c r="BC38" s="442">
        <f t="shared" si="135"/>
        <v>0</v>
      </c>
      <c r="BD38" s="487">
        <f t="shared" si="136"/>
        <v>0</v>
      </c>
      <c r="BE38" s="487">
        <f t="shared" si="137"/>
        <v>0</v>
      </c>
      <c r="BF38" s="487">
        <f t="shared" si="138"/>
        <v>0</v>
      </c>
      <c r="BG38" s="487">
        <f t="shared" si="138"/>
        <v>0</v>
      </c>
      <c r="BH38" s="487">
        <f t="shared" si="139"/>
        <v>0</v>
      </c>
      <c r="BI38" s="425"/>
      <c r="BJ38" s="425"/>
      <c r="BK38" s="425"/>
      <c r="BL38" s="425"/>
      <c r="BM38" s="425"/>
    </row>
    <row r="39" spans="1:65" s="426" customFormat="1" ht="15.95" customHeight="1">
      <c r="A39" s="402"/>
      <c r="B39" s="403"/>
      <c r="C39" s="404"/>
      <c r="D39" s="489" t="s">
        <v>896</v>
      </c>
      <c r="E39" s="490">
        <f>+SUM(E40:E41)</f>
        <v>53493193</v>
      </c>
      <c r="F39" s="416">
        <f t="shared" ref="F39:V39" si="140">+SUM(F40:F41)</f>
        <v>0</v>
      </c>
      <c r="G39" s="417">
        <f t="shared" si="140"/>
        <v>0</v>
      </c>
      <c r="H39" s="417">
        <f t="shared" si="140"/>
        <v>0</v>
      </c>
      <c r="I39" s="491">
        <f t="shared" ref="I39" si="141">+SUM(I40:I41)</f>
        <v>0</v>
      </c>
      <c r="J39" s="491">
        <f t="shared" si="140"/>
        <v>37016600</v>
      </c>
      <c r="K39" s="418">
        <f t="shared" si="140"/>
        <v>37016600</v>
      </c>
      <c r="L39" s="490">
        <f t="shared" si="140"/>
        <v>0</v>
      </c>
      <c r="M39" s="490">
        <f t="shared" ref="M39" si="142">+SUM(M40:M41)</f>
        <v>0</v>
      </c>
      <c r="N39" s="416">
        <f t="shared" ref="N39:U39" si="143">+SUM(N40:N41)</f>
        <v>0</v>
      </c>
      <c r="O39" s="417">
        <f t="shared" si="143"/>
        <v>0</v>
      </c>
      <c r="P39" s="417">
        <f t="shared" si="143"/>
        <v>0</v>
      </c>
      <c r="Q39" s="417">
        <f t="shared" ref="Q39" si="144">+SUM(Q40:Q41)</f>
        <v>0</v>
      </c>
      <c r="R39" s="417">
        <f t="shared" si="143"/>
        <v>0</v>
      </c>
      <c r="S39" s="417">
        <f t="shared" si="143"/>
        <v>0</v>
      </c>
      <c r="T39" s="417">
        <f t="shared" si="143"/>
        <v>16476593</v>
      </c>
      <c r="U39" s="417">
        <f t="shared" si="143"/>
        <v>0</v>
      </c>
      <c r="V39" s="418">
        <f t="shared" si="140"/>
        <v>16476593</v>
      </c>
      <c r="W39" s="416">
        <f t="shared" ref="W39:AI39" si="145">+SUM(W40:W41)</f>
        <v>0</v>
      </c>
      <c r="X39" s="417">
        <f t="shared" si="145"/>
        <v>0</v>
      </c>
      <c r="Y39" s="417">
        <f t="shared" si="145"/>
        <v>0</v>
      </c>
      <c r="Z39" s="417">
        <f t="shared" ref="Z39" si="146">+SUM(Z40:Z41)</f>
        <v>0</v>
      </c>
      <c r="AA39" s="491">
        <f t="shared" si="145"/>
        <v>3365145</v>
      </c>
      <c r="AB39" s="418">
        <f t="shared" si="145"/>
        <v>3365145</v>
      </c>
      <c r="AC39" s="492">
        <f t="shared" ref="AC39:AH39" si="147">+SUM(AC40:AC41)</f>
        <v>0</v>
      </c>
      <c r="AD39" s="493">
        <f t="shared" si="147"/>
        <v>0</v>
      </c>
      <c r="AE39" s="493">
        <f t="shared" si="147"/>
        <v>0</v>
      </c>
      <c r="AF39" s="493">
        <f t="shared" si="147"/>
        <v>0</v>
      </c>
      <c r="AG39" s="493">
        <f t="shared" si="147"/>
        <v>0</v>
      </c>
      <c r="AH39" s="421">
        <f t="shared" si="147"/>
        <v>0</v>
      </c>
      <c r="AI39" s="494">
        <f t="shared" si="145"/>
        <v>50128048</v>
      </c>
      <c r="AJ39" s="442"/>
      <c r="AK39" s="442"/>
      <c r="AL39" s="442"/>
      <c r="AM39" s="442"/>
      <c r="AN39" s="442"/>
      <c r="AO39" s="424"/>
      <c r="AP39" s="424"/>
      <c r="AQ39" s="424"/>
      <c r="AR39" s="424"/>
      <c r="AS39" s="424"/>
      <c r="AT39" s="425"/>
      <c r="AU39" s="425"/>
      <c r="AV39" s="425"/>
      <c r="AW39" s="425"/>
      <c r="AX39" s="425"/>
      <c r="AY39" s="423"/>
      <c r="AZ39" s="423"/>
      <c r="BA39" s="423"/>
      <c r="BB39" s="423"/>
      <c r="BC39" s="423"/>
      <c r="BD39" s="424"/>
      <c r="BE39" s="424"/>
      <c r="BF39" s="424"/>
      <c r="BG39" s="424"/>
      <c r="BH39" s="424"/>
      <c r="BI39" s="425"/>
      <c r="BJ39" s="425"/>
      <c r="BK39" s="425"/>
      <c r="BL39" s="425"/>
      <c r="BM39" s="425"/>
    </row>
    <row r="40" spans="1:65" s="426" customFormat="1" ht="15.95" customHeight="1">
      <c r="A40" s="370"/>
      <c r="B40" s="371"/>
      <c r="C40" s="374">
        <v>482093200</v>
      </c>
      <c r="D40" s="443" t="s">
        <v>947</v>
      </c>
      <c r="E40" s="459">
        <f>+SUMIFS(全伝票!I:I,全伝票!$C:$C,$C40)</f>
        <v>37016600</v>
      </c>
      <c r="F40" s="460">
        <f>+SUMIFS(全伝票!J:J,全伝票!$C:$C,$C40)</f>
        <v>0</v>
      </c>
      <c r="G40" s="461">
        <f>+SUMIFS(全伝票!K:K,全伝票!$C:$C,$C40)</f>
        <v>0</v>
      </c>
      <c r="H40" s="461">
        <f>+SUMIFS(全伝票!L:L,全伝票!$C:$C,$C40)</f>
        <v>0</v>
      </c>
      <c r="I40" s="462">
        <f>+SUMIFS(全伝票!M:M,全伝票!$C:$C,$C40)</f>
        <v>0</v>
      </c>
      <c r="J40" s="462">
        <f>+SUMIFS(全伝票!N:N,全伝票!$C:$C,$C40)</f>
        <v>37016600</v>
      </c>
      <c r="K40" s="448">
        <f>SUM(F40:J40)</f>
        <v>37016600</v>
      </c>
      <c r="L40" s="459">
        <f>+SUMIFS(全伝票!O:O,全伝票!$C:$C,$C40)</f>
        <v>0</v>
      </c>
      <c r="M40" s="444"/>
      <c r="N40" s="445"/>
      <c r="O40" s="446"/>
      <c r="P40" s="446"/>
      <c r="Q40" s="446"/>
      <c r="R40" s="446"/>
      <c r="S40" s="446">
        <f>SUM(N40:R40)</f>
        <v>0</v>
      </c>
      <c r="T40" s="446"/>
      <c r="U40" s="446">
        <f>+V40-SUM(S40:T40)</f>
        <v>0</v>
      </c>
      <c r="V40" s="463">
        <f>+SUMIFS(全伝票!P:P,全伝票!$C:$C,$C40)</f>
        <v>0</v>
      </c>
      <c r="W40" s="445">
        <f t="shared" ref="W40:Z41" si="148">+ROUND(F40*F$6/(100+F$6),0)+AT40</f>
        <v>0</v>
      </c>
      <c r="X40" s="446">
        <f t="shared" si="148"/>
        <v>0</v>
      </c>
      <c r="Y40" s="446">
        <f t="shared" si="148"/>
        <v>0</v>
      </c>
      <c r="Z40" s="446">
        <f t="shared" si="148"/>
        <v>0</v>
      </c>
      <c r="AA40" s="447">
        <f>+ROUND(J40*J$6/(100+J$6),0)+AX40</f>
        <v>3365145</v>
      </c>
      <c r="AB40" s="448">
        <f t="shared" ref="AB40:AB41" si="149">SUM(W40:AA40)</f>
        <v>3365145</v>
      </c>
      <c r="AC40" s="449">
        <f t="shared" ref="AC40:AF41" si="150">+ROUND(N40*AC$6/(100+AC$6),0)+BI40</f>
        <v>0</v>
      </c>
      <c r="AD40" s="450">
        <f t="shared" si="150"/>
        <v>0</v>
      </c>
      <c r="AE40" s="450">
        <f t="shared" si="150"/>
        <v>0</v>
      </c>
      <c r="AF40" s="450">
        <f t="shared" si="150"/>
        <v>0</v>
      </c>
      <c r="AG40" s="450">
        <f>+ROUND(R40*AG$6/(100+AG$6),0)+BM40</f>
        <v>0</v>
      </c>
      <c r="AH40" s="451">
        <f t="shared" ref="AH40:AH41" si="151">SUM(AC40:AG40)</f>
        <v>0</v>
      </c>
      <c r="AI40" s="452">
        <f>+E40-AB40</f>
        <v>33651455</v>
      </c>
      <c r="AJ40" s="423">
        <f>W40-F40*W$6/(100+W$6)</f>
        <v>0</v>
      </c>
      <c r="AK40" s="423">
        <f>X40-G40*X$6/(100+X$6)</f>
        <v>0</v>
      </c>
      <c r="AL40" s="423">
        <f>Y40-H40*Y$6/(100+Y$6)</f>
        <v>0</v>
      </c>
      <c r="AM40" s="423">
        <f>Z40-I40*Z$6/(100+Z$6)</f>
        <v>0</v>
      </c>
      <c r="AN40" s="423">
        <f>AA40-J40*AA$6/(100+AA$6)</f>
        <v>-0.45454545458778739</v>
      </c>
      <c r="AO40" s="424">
        <f>+IF(W$71=0,0,IF(W$71&lt;0,-RANK(AJ40,AJ$7:AJ$68,0),RANK(AJ40,AJ$7:AJ$68,1)))</f>
        <v>0</v>
      </c>
      <c r="AP40" s="424">
        <f>+IF(X$71=0,0,IF(X$71&lt;0,-RANK(AK40,AK$7:AK$68,0),RANK(AK40,AK$7:AK$68,1)))</f>
        <v>0</v>
      </c>
      <c r="AQ40" s="424">
        <f>+IF(Y$71=0,0,IF(Y$71&lt;0,-RANK(AL40,AL$7:AL$68,0),RANK(AL40,AL$7:AL$68,1)))</f>
        <v>0</v>
      </c>
      <c r="AR40" s="424">
        <f>+IF(Z$71=0,0,IF(Z$71&lt;0,-RANK(AM40,AM$7:AM$68,0),RANK(AM40,AM$7:AM$68,1)))</f>
        <v>0</v>
      </c>
      <c r="AS40" s="424">
        <f>+IF(AA$71=0,0,IF(AA$71&lt;0,-RANK(AN40,AN$7:AN$68,0),RANK(AN40,AN$7:AN$68,1)))</f>
        <v>0</v>
      </c>
      <c r="AT40" s="425"/>
      <c r="AU40" s="425"/>
      <c r="AV40" s="425"/>
      <c r="AW40" s="425"/>
      <c r="AX40" s="425"/>
      <c r="AY40" s="423">
        <f t="shared" si="31"/>
        <v>0</v>
      </c>
      <c r="AZ40" s="423">
        <f t="shared" si="32"/>
        <v>0</v>
      </c>
      <c r="BA40" s="423">
        <f t="shared" si="33"/>
        <v>0</v>
      </c>
      <c r="BB40" s="423">
        <f t="shared" si="33"/>
        <v>0</v>
      </c>
      <c r="BC40" s="423">
        <f t="shared" si="34"/>
        <v>0</v>
      </c>
      <c r="BD40" s="424">
        <f t="shared" ref="BD40:BG41" si="152">+IF(AC$71=0,0,IF(AC$71&lt;0,-RANK(AY40,AY$7:AY$68,0),RANK(AY40,AY$7:AY$68,1)))</f>
        <v>0</v>
      </c>
      <c r="BE40" s="424">
        <f t="shared" si="152"/>
        <v>0</v>
      </c>
      <c r="BF40" s="424">
        <f t="shared" si="152"/>
        <v>0</v>
      </c>
      <c r="BG40" s="424">
        <f t="shared" si="152"/>
        <v>0</v>
      </c>
      <c r="BH40" s="424">
        <f>+IF(AG$71=0,0,IF(AG$71&lt;0,-RANK(BC40,BC$7:BC$68,0),RANK(BC40,BC$7:BC$68,1)))</f>
        <v>0</v>
      </c>
      <c r="BI40" s="425"/>
      <c r="BJ40" s="425"/>
      <c r="BK40" s="425"/>
      <c r="BL40" s="425"/>
      <c r="BM40" s="425"/>
    </row>
    <row r="41" spans="1:65" s="426" customFormat="1" ht="15.95" customHeight="1">
      <c r="A41" s="367"/>
      <c r="B41" s="368"/>
      <c r="C41" s="369">
        <v>482093300</v>
      </c>
      <c r="D41" s="427" t="s">
        <v>948</v>
      </c>
      <c r="E41" s="428">
        <f>+SUMIFS(全伝票!I:I,全伝票!$C:$C,$C41)</f>
        <v>16476593</v>
      </c>
      <c r="F41" s="429">
        <f>+SUMIFS(全伝票!J:J,全伝票!$C:$C,$C41)</f>
        <v>0</v>
      </c>
      <c r="G41" s="430">
        <f>+SUMIFS(全伝票!K:K,全伝票!$C:$C,$C41)</f>
        <v>0</v>
      </c>
      <c r="H41" s="430">
        <f>+SUMIFS(全伝票!L:L,全伝票!$C:$C,$C41)</f>
        <v>0</v>
      </c>
      <c r="I41" s="431">
        <f>+SUMIFS(全伝票!M:M,全伝票!$C:$C,$C41)</f>
        <v>0</v>
      </c>
      <c r="J41" s="431">
        <f>+SUMIFS(全伝票!N:N,全伝票!$C:$C,$C41)</f>
        <v>0</v>
      </c>
      <c r="K41" s="432">
        <f>SUM(F41:J41)</f>
        <v>0</v>
      </c>
      <c r="L41" s="428">
        <f>+SUMIFS(全伝票!O:O,全伝票!$C:$C,$C41)</f>
        <v>0</v>
      </c>
      <c r="M41" s="457"/>
      <c r="N41" s="434"/>
      <c r="O41" s="495"/>
      <c r="P41" s="495"/>
      <c r="Q41" s="495"/>
      <c r="R41" s="495"/>
      <c r="S41" s="495">
        <f>SUM(N41:R41)</f>
        <v>0</v>
      </c>
      <c r="T41" s="496">
        <f>+'3条他会計'!$I$6</f>
        <v>16476593</v>
      </c>
      <c r="U41" s="435">
        <f>+V41-SUM(S41:T41)</f>
        <v>0</v>
      </c>
      <c r="V41" s="432">
        <f>+E41-K41</f>
        <v>16476593</v>
      </c>
      <c r="W41" s="434">
        <f t="shared" si="148"/>
        <v>0</v>
      </c>
      <c r="X41" s="435">
        <f t="shared" si="148"/>
        <v>0</v>
      </c>
      <c r="Y41" s="435">
        <f t="shared" si="148"/>
        <v>0</v>
      </c>
      <c r="Z41" s="435">
        <f t="shared" si="148"/>
        <v>0</v>
      </c>
      <c r="AA41" s="437">
        <f>+ROUND(J41*J$6/(100+J$6),0)+AX41</f>
        <v>0</v>
      </c>
      <c r="AB41" s="432">
        <f t="shared" si="149"/>
        <v>0</v>
      </c>
      <c r="AC41" s="438">
        <f t="shared" si="150"/>
        <v>0</v>
      </c>
      <c r="AD41" s="439">
        <f t="shared" si="150"/>
        <v>0</v>
      </c>
      <c r="AE41" s="439">
        <f t="shared" si="150"/>
        <v>0</v>
      </c>
      <c r="AF41" s="439">
        <f t="shared" si="150"/>
        <v>0</v>
      </c>
      <c r="AG41" s="439">
        <f>+ROUND(R41*AG$6/(100+AG$6),0)+BM41</f>
        <v>0</v>
      </c>
      <c r="AH41" s="497">
        <f t="shared" si="151"/>
        <v>0</v>
      </c>
      <c r="AI41" s="441">
        <f>+E41-AB41</f>
        <v>16476593</v>
      </c>
      <c r="AJ41" s="423"/>
      <c r="AK41" s="423"/>
      <c r="AL41" s="423"/>
      <c r="AM41" s="423"/>
      <c r="AN41" s="423"/>
      <c r="AO41" s="424"/>
      <c r="AP41" s="424"/>
      <c r="AQ41" s="424"/>
      <c r="AR41" s="424"/>
      <c r="AS41" s="424"/>
      <c r="AT41" s="425"/>
      <c r="AU41" s="425"/>
      <c r="AV41" s="425"/>
      <c r="AW41" s="425"/>
      <c r="AX41" s="425"/>
      <c r="AY41" s="423">
        <f t="shared" si="31"/>
        <v>0</v>
      </c>
      <c r="AZ41" s="423">
        <f t="shared" si="32"/>
        <v>0</v>
      </c>
      <c r="BA41" s="423">
        <f t="shared" si="33"/>
        <v>0</v>
      </c>
      <c r="BB41" s="423">
        <f t="shared" si="33"/>
        <v>0</v>
      </c>
      <c r="BC41" s="423">
        <f t="shared" si="34"/>
        <v>0</v>
      </c>
      <c r="BD41" s="424">
        <f t="shared" si="152"/>
        <v>0</v>
      </c>
      <c r="BE41" s="424">
        <f t="shared" si="152"/>
        <v>0</v>
      </c>
      <c r="BF41" s="424">
        <f t="shared" si="152"/>
        <v>0</v>
      </c>
      <c r="BG41" s="424">
        <f t="shared" si="152"/>
        <v>0</v>
      </c>
      <c r="BH41" s="424">
        <f>+IF(AG$71=0,0,IF(AG$71&lt;0,-RANK(BC41,BC$7:BC$68,0),RANK(BC41,BC$7:BC$68,1)))</f>
        <v>0</v>
      </c>
      <c r="BI41" s="425"/>
      <c r="BJ41" s="425"/>
      <c r="BK41" s="425"/>
      <c r="BL41" s="425"/>
      <c r="BM41" s="425"/>
    </row>
    <row r="42" spans="1:65" s="426" customFormat="1" ht="15.95" customHeight="1">
      <c r="A42" s="364"/>
      <c r="B42" s="365"/>
      <c r="C42" s="366"/>
      <c r="D42" s="410" t="s">
        <v>897</v>
      </c>
      <c r="E42" s="411">
        <f>+SUM(E43,E48)</f>
        <v>9203253</v>
      </c>
      <c r="F42" s="412">
        <f t="shared" ref="F42:V42" si="153">+SUM(F43,F48)</f>
        <v>0</v>
      </c>
      <c r="G42" s="413">
        <f t="shared" si="153"/>
        <v>0</v>
      </c>
      <c r="H42" s="413">
        <f t="shared" si="153"/>
        <v>0</v>
      </c>
      <c r="I42" s="414">
        <f t="shared" ref="I42" si="154">+SUM(I43,I48)</f>
        <v>0</v>
      </c>
      <c r="J42" s="414">
        <f t="shared" si="153"/>
        <v>0</v>
      </c>
      <c r="K42" s="415">
        <f t="shared" si="153"/>
        <v>0</v>
      </c>
      <c r="L42" s="411">
        <f t="shared" si="153"/>
        <v>0</v>
      </c>
      <c r="M42" s="411">
        <f t="shared" ref="M42" si="155">+SUM(M43,M48)</f>
        <v>0</v>
      </c>
      <c r="N42" s="416">
        <f t="shared" ref="N42:U42" si="156">+SUM(N43,N48)</f>
        <v>0</v>
      </c>
      <c r="O42" s="417">
        <f t="shared" si="156"/>
        <v>0</v>
      </c>
      <c r="P42" s="417">
        <f t="shared" si="156"/>
        <v>0</v>
      </c>
      <c r="Q42" s="417">
        <f t="shared" ref="Q42" si="157">+SUM(Q43,Q48)</f>
        <v>0</v>
      </c>
      <c r="R42" s="417">
        <f t="shared" si="156"/>
        <v>5368538</v>
      </c>
      <c r="S42" s="417">
        <f t="shared" si="156"/>
        <v>5368538</v>
      </c>
      <c r="T42" s="417">
        <f t="shared" si="156"/>
        <v>3834715</v>
      </c>
      <c r="U42" s="417">
        <f t="shared" si="156"/>
        <v>0</v>
      </c>
      <c r="V42" s="418">
        <f t="shared" si="153"/>
        <v>9203253</v>
      </c>
      <c r="W42" s="412">
        <f t="shared" ref="W42:AI42" si="158">+SUM(W43,W48)</f>
        <v>0</v>
      </c>
      <c r="X42" s="413">
        <f t="shared" si="158"/>
        <v>0</v>
      </c>
      <c r="Y42" s="413">
        <f t="shared" si="158"/>
        <v>0</v>
      </c>
      <c r="Z42" s="413">
        <f t="shared" ref="Z42" si="159">+SUM(Z43,Z48)</f>
        <v>0</v>
      </c>
      <c r="AA42" s="414">
        <f t="shared" si="158"/>
        <v>0</v>
      </c>
      <c r="AB42" s="415">
        <f t="shared" si="158"/>
        <v>0</v>
      </c>
      <c r="AC42" s="419">
        <f t="shared" ref="AC42:AH42" si="160">+SUM(AC43,AC48)</f>
        <v>0</v>
      </c>
      <c r="AD42" s="420">
        <f t="shared" si="160"/>
        <v>0</v>
      </c>
      <c r="AE42" s="420">
        <f t="shared" si="160"/>
        <v>0</v>
      </c>
      <c r="AF42" s="420">
        <f t="shared" si="160"/>
        <v>0</v>
      </c>
      <c r="AG42" s="420">
        <f t="shared" si="160"/>
        <v>488049</v>
      </c>
      <c r="AH42" s="421">
        <f t="shared" si="160"/>
        <v>488049</v>
      </c>
      <c r="AI42" s="422">
        <f t="shared" si="158"/>
        <v>9203253</v>
      </c>
      <c r="AJ42" s="442"/>
      <c r="AK42" s="442"/>
      <c r="AL42" s="442"/>
      <c r="AM42" s="442"/>
      <c r="AN42" s="442"/>
      <c r="AO42" s="424"/>
      <c r="AP42" s="424"/>
      <c r="AQ42" s="424"/>
      <c r="AR42" s="424"/>
      <c r="AS42" s="424"/>
      <c r="AT42" s="425"/>
      <c r="AU42" s="425"/>
      <c r="AV42" s="425"/>
      <c r="AW42" s="425"/>
      <c r="AX42" s="425"/>
      <c r="AY42" s="423"/>
      <c r="AZ42" s="423"/>
      <c r="BA42" s="423"/>
      <c r="BB42" s="423"/>
      <c r="BC42" s="423"/>
      <c r="BD42" s="424"/>
      <c r="BE42" s="424"/>
      <c r="BF42" s="424"/>
      <c r="BG42" s="424"/>
      <c r="BH42" s="424"/>
      <c r="BI42" s="425"/>
      <c r="BJ42" s="425"/>
      <c r="BK42" s="425"/>
      <c r="BL42" s="425"/>
      <c r="BM42" s="425"/>
    </row>
    <row r="43" spans="1:65" s="426" customFormat="1" ht="15.95" customHeight="1">
      <c r="A43" s="370"/>
      <c r="B43" s="371"/>
      <c r="C43" s="372"/>
      <c r="D43" s="443" t="s">
        <v>958</v>
      </c>
      <c r="E43" s="444">
        <f>+SUM(E44:E47)</f>
        <v>4980</v>
      </c>
      <c r="F43" s="445">
        <f t="shared" ref="F43:V43" si="161">+SUM(F44:F47)</f>
        <v>0</v>
      </c>
      <c r="G43" s="446">
        <f t="shared" si="161"/>
        <v>0</v>
      </c>
      <c r="H43" s="446">
        <f t="shared" si="161"/>
        <v>0</v>
      </c>
      <c r="I43" s="447">
        <f t="shared" ref="I43" si="162">+SUM(I44:I47)</f>
        <v>0</v>
      </c>
      <c r="J43" s="447">
        <f t="shared" si="161"/>
        <v>0</v>
      </c>
      <c r="K43" s="448">
        <f t="shared" si="161"/>
        <v>0</v>
      </c>
      <c r="L43" s="444">
        <f t="shared" si="161"/>
        <v>0</v>
      </c>
      <c r="M43" s="444">
        <f t="shared" ref="M43" si="163">+SUM(M44:M47)</f>
        <v>0</v>
      </c>
      <c r="N43" s="445">
        <f t="shared" ref="N43:U43" si="164">+SUM(N44:N47)</f>
        <v>0</v>
      </c>
      <c r="O43" s="446">
        <f t="shared" si="164"/>
        <v>0</v>
      </c>
      <c r="P43" s="446">
        <f t="shared" si="164"/>
        <v>0</v>
      </c>
      <c r="Q43" s="446">
        <f t="shared" ref="Q43" si="165">+SUM(Q44:Q47)</f>
        <v>0</v>
      </c>
      <c r="R43" s="446">
        <f t="shared" si="164"/>
        <v>0</v>
      </c>
      <c r="S43" s="446">
        <f t="shared" si="164"/>
        <v>0</v>
      </c>
      <c r="T43" s="446">
        <f t="shared" si="164"/>
        <v>4980</v>
      </c>
      <c r="U43" s="446">
        <f t="shared" si="164"/>
        <v>0</v>
      </c>
      <c r="V43" s="448">
        <f t="shared" si="161"/>
        <v>4980</v>
      </c>
      <c r="W43" s="445">
        <f t="shared" ref="W43:AI43" si="166">+SUM(W44:W47)</f>
        <v>0</v>
      </c>
      <c r="X43" s="446">
        <f t="shared" si="166"/>
        <v>0</v>
      </c>
      <c r="Y43" s="446">
        <f t="shared" si="166"/>
        <v>0</v>
      </c>
      <c r="Z43" s="446">
        <f t="shared" ref="Z43" si="167">+SUM(Z44:Z47)</f>
        <v>0</v>
      </c>
      <c r="AA43" s="447">
        <f t="shared" si="166"/>
        <v>0</v>
      </c>
      <c r="AB43" s="448">
        <f t="shared" si="166"/>
        <v>0</v>
      </c>
      <c r="AC43" s="449">
        <f t="shared" ref="AC43:AH43" si="168">+SUM(AC44:AC47)</f>
        <v>0</v>
      </c>
      <c r="AD43" s="450">
        <f t="shared" si="168"/>
        <v>0</v>
      </c>
      <c r="AE43" s="450">
        <f t="shared" si="168"/>
        <v>0</v>
      </c>
      <c r="AF43" s="450">
        <f t="shared" si="168"/>
        <v>0</v>
      </c>
      <c r="AG43" s="450">
        <f t="shared" si="168"/>
        <v>0</v>
      </c>
      <c r="AH43" s="451">
        <f t="shared" si="168"/>
        <v>0</v>
      </c>
      <c r="AI43" s="452">
        <f t="shared" si="166"/>
        <v>4980</v>
      </c>
      <c r="AJ43" s="423"/>
      <c r="AK43" s="423"/>
      <c r="AL43" s="423"/>
      <c r="AM43" s="423"/>
      <c r="AN43" s="423"/>
      <c r="AO43" s="424"/>
      <c r="AP43" s="424"/>
      <c r="AQ43" s="424"/>
      <c r="AR43" s="424"/>
      <c r="AS43" s="424"/>
      <c r="AT43" s="425"/>
      <c r="AU43" s="425"/>
      <c r="AV43" s="425"/>
      <c r="AW43" s="425"/>
      <c r="AX43" s="425"/>
      <c r="AY43" s="423"/>
      <c r="AZ43" s="423"/>
      <c r="BA43" s="423"/>
      <c r="BB43" s="423"/>
      <c r="BC43" s="423"/>
      <c r="BD43" s="424"/>
      <c r="BE43" s="424"/>
      <c r="BF43" s="424"/>
      <c r="BG43" s="424"/>
      <c r="BH43" s="424"/>
      <c r="BI43" s="425"/>
      <c r="BJ43" s="425"/>
      <c r="BK43" s="425"/>
      <c r="BL43" s="425"/>
      <c r="BM43" s="425"/>
    </row>
    <row r="44" spans="1:65" s="426" customFormat="1" ht="15.95" customHeight="1">
      <c r="A44" s="370"/>
      <c r="B44" s="371"/>
      <c r="C44" s="374">
        <v>482103411</v>
      </c>
      <c r="D44" s="443" t="s">
        <v>930</v>
      </c>
      <c r="E44" s="453">
        <f>+雨汚水!E122</f>
        <v>0</v>
      </c>
      <c r="F44" s="445"/>
      <c r="G44" s="446"/>
      <c r="H44" s="446"/>
      <c r="I44" s="447"/>
      <c r="J44" s="447"/>
      <c r="K44" s="448">
        <f>SUM(F44:J44)</f>
        <v>0</v>
      </c>
      <c r="L44" s="444"/>
      <c r="M44" s="444"/>
      <c r="N44" s="445"/>
      <c r="O44" s="446"/>
      <c r="P44" s="446"/>
      <c r="Q44" s="446"/>
      <c r="R44" s="446"/>
      <c r="S44" s="446">
        <f>SUM(N44:R44)</f>
        <v>0</v>
      </c>
      <c r="T44" s="446"/>
      <c r="U44" s="446">
        <f>+V44-SUM(S44:T44)</f>
        <v>0</v>
      </c>
      <c r="V44" s="448">
        <f>+E44</f>
        <v>0</v>
      </c>
      <c r="W44" s="445">
        <f t="shared" ref="W44:Z48" si="169">+ROUND(F44*F$6/(100+F$6),0)+AT44</f>
        <v>0</v>
      </c>
      <c r="X44" s="446">
        <f t="shared" si="169"/>
        <v>0</v>
      </c>
      <c r="Y44" s="446">
        <f t="shared" si="169"/>
        <v>0</v>
      </c>
      <c r="Z44" s="446">
        <f t="shared" si="169"/>
        <v>0</v>
      </c>
      <c r="AA44" s="447">
        <f>+ROUND(J44*J$6/(100+J$6),0)+AX44</f>
        <v>0</v>
      </c>
      <c r="AB44" s="448">
        <f t="shared" ref="AB44:AB48" si="170">SUM(W44:AA44)</f>
        <v>0</v>
      </c>
      <c r="AC44" s="449">
        <f t="shared" ref="AC44:AF48" si="171">+ROUND(N44*AC$6/(100+AC$6),0)+BI44</f>
        <v>0</v>
      </c>
      <c r="AD44" s="450">
        <f t="shared" si="171"/>
        <v>0</v>
      </c>
      <c r="AE44" s="450">
        <f t="shared" si="171"/>
        <v>0</v>
      </c>
      <c r="AF44" s="450">
        <f t="shared" si="171"/>
        <v>0</v>
      </c>
      <c r="AG44" s="450">
        <f>+ROUND(R44*AG$6/(100+AG$6),0)+BM44</f>
        <v>0</v>
      </c>
      <c r="AH44" s="451">
        <f t="shared" ref="AH44:AH48" si="172">SUM(AC44:AG44)</f>
        <v>0</v>
      </c>
      <c r="AI44" s="452">
        <f>+E44-AB44</f>
        <v>0</v>
      </c>
      <c r="AJ44" s="423"/>
      <c r="AK44" s="423"/>
      <c r="AL44" s="423"/>
      <c r="AM44" s="423"/>
      <c r="AN44" s="423"/>
      <c r="AO44" s="424"/>
      <c r="AP44" s="424"/>
      <c r="AQ44" s="424"/>
      <c r="AR44" s="424"/>
      <c r="AS44" s="424"/>
      <c r="AT44" s="425"/>
      <c r="AU44" s="425"/>
      <c r="AV44" s="425"/>
      <c r="AW44" s="425"/>
      <c r="AX44" s="425"/>
      <c r="AY44" s="423">
        <f t="shared" ref="AY44:AY63" si="173">AC44-N44*AC$6/(100+AC$6)</f>
        <v>0</v>
      </c>
      <c r="AZ44" s="423">
        <f t="shared" ref="AZ44:AZ63" si="174">AD44-O44*AD$6/(100+AD$6)</f>
        <v>0</v>
      </c>
      <c r="BA44" s="423">
        <f t="shared" ref="BA44:BB63" si="175">AE44-P44*AE$6/(100+AE$6)</f>
        <v>0</v>
      </c>
      <c r="BB44" s="423">
        <f t="shared" si="175"/>
        <v>0</v>
      </c>
      <c r="BC44" s="423">
        <f t="shared" ref="BC44:BC63" si="176">AG44-R44*AG$6/(100+AG$6)</f>
        <v>0</v>
      </c>
      <c r="BD44" s="424">
        <f>+IF(AC$71=0,0,IF(AC$71&lt;0,-RANK(AY44,AY$7:AY$68,0),RANK(AY44,AY$7:AY$68,1)))</f>
        <v>0</v>
      </c>
      <c r="BE44" s="424">
        <f>+IF(AD$71=0,0,IF(AD$71&lt;0,-RANK(AZ44,AZ$7:AZ$68,0),RANK(AZ44,AZ$7:AZ$68,1)))</f>
        <v>0</v>
      </c>
      <c r="BF44" s="424">
        <f>+IF(AE$71=0,0,IF(AE$71&lt;0,-RANK(BA44,BA$7:BA$68,0),RANK(BA44,BA$7:BA$68,1)))</f>
        <v>0</v>
      </c>
      <c r="BG44" s="424">
        <f>+IF(AF$71=0,0,IF(AF$71&lt;0,-RANK(BB44,BB$7:BB$68,0),RANK(BB44,BB$7:BB$68,1)))</f>
        <v>0</v>
      </c>
      <c r="BH44" s="424">
        <f>+IF(AG$71=0,0,IF(AG$71&lt;0,-RANK(BC44,BC$7:BC$68,0),RANK(BC44,BC$7:BC$68,1)))</f>
        <v>0</v>
      </c>
      <c r="BI44" s="425"/>
      <c r="BJ44" s="425"/>
      <c r="BK44" s="425"/>
      <c r="BL44" s="425"/>
      <c r="BM44" s="425"/>
    </row>
    <row r="45" spans="1:65" s="426" customFormat="1" ht="15.95" customHeight="1">
      <c r="A45" s="370"/>
      <c r="B45" s="371"/>
      <c r="C45" s="374">
        <v>482103412</v>
      </c>
      <c r="D45" s="443" t="s">
        <v>931</v>
      </c>
      <c r="E45" s="453">
        <f>+雨汚水!E123</f>
        <v>0</v>
      </c>
      <c r="F45" s="445"/>
      <c r="G45" s="446"/>
      <c r="H45" s="446"/>
      <c r="I45" s="447"/>
      <c r="J45" s="447"/>
      <c r="K45" s="448">
        <f>SUM(F45:J45)</f>
        <v>0</v>
      </c>
      <c r="L45" s="444"/>
      <c r="M45" s="444"/>
      <c r="N45" s="445"/>
      <c r="O45" s="446"/>
      <c r="P45" s="446"/>
      <c r="Q45" s="446"/>
      <c r="R45" s="446"/>
      <c r="S45" s="446">
        <f>SUM(N45:R45)</f>
        <v>0</v>
      </c>
      <c r="T45" s="446"/>
      <c r="U45" s="446">
        <f>+V45-SUM(S45:T45)</f>
        <v>0</v>
      </c>
      <c r="V45" s="448">
        <f>+E45</f>
        <v>0</v>
      </c>
      <c r="W45" s="445">
        <f t="shared" si="169"/>
        <v>0</v>
      </c>
      <c r="X45" s="446">
        <f t="shared" si="169"/>
        <v>0</v>
      </c>
      <c r="Y45" s="446">
        <f t="shared" si="169"/>
        <v>0</v>
      </c>
      <c r="Z45" s="446">
        <f t="shared" si="169"/>
        <v>0</v>
      </c>
      <c r="AA45" s="447">
        <f>+ROUND(J45*J$6/(100+J$6),0)+AX45</f>
        <v>0</v>
      </c>
      <c r="AB45" s="448">
        <f t="shared" si="170"/>
        <v>0</v>
      </c>
      <c r="AC45" s="449">
        <f t="shared" si="171"/>
        <v>0</v>
      </c>
      <c r="AD45" s="450">
        <f t="shared" si="171"/>
        <v>0</v>
      </c>
      <c r="AE45" s="450">
        <f t="shared" si="171"/>
        <v>0</v>
      </c>
      <c r="AF45" s="450">
        <f t="shared" si="171"/>
        <v>0</v>
      </c>
      <c r="AG45" s="450">
        <f>+ROUND(R45*AG$6/(100+AG$6),0)+BM45</f>
        <v>0</v>
      </c>
      <c r="AH45" s="451">
        <f t="shared" si="172"/>
        <v>0</v>
      </c>
      <c r="AI45" s="452">
        <f>+E45-AB45</f>
        <v>0</v>
      </c>
      <c r="AJ45" s="423"/>
      <c r="AK45" s="423"/>
      <c r="AL45" s="423"/>
      <c r="AM45" s="423"/>
      <c r="AN45" s="423"/>
      <c r="AO45" s="424"/>
      <c r="AP45" s="424"/>
      <c r="AQ45" s="424"/>
      <c r="AR45" s="424"/>
      <c r="AS45" s="424"/>
      <c r="AT45" s="425"/>
      <c r="AU45" s="425"/>
      <c r="AV45" s="425"/>
      <c r="AW45" s="425"/>
      <c r="AX45" s="425"/>
      <c r="AY45" s="423"/>
      <c r="AZ45" s="423"/>
      <c r="BA45" s="423"/>
      <c r="BB45" s="423"/>
      <c r="BC45" s="423"/>
      <c r="BD45" s="424"/>
      <c r="BE45" s="424"/>
      <c r="BF45" s="424"/>
      <c r="BG45" s="424"/>
      <c r="BH45" s="424"/>
      <c r="BI45" s="425"/>
      <c r="BJ45" s="425"/>
      <c r="BK45" s="425"/>
      <c r="BL45" s="425"/>
      <c r="BM45" s="425"/>
    </row>
    <row r="46" spans="1:65" s="426" customFormat="1" ht="15.95" customHeight="1">
      <c r="A46" s="370"/>
      <c r="B46" s="371"/>
      <c r="C46" s="374">
        <v>482103413</v>
      </c>
      <c r="D46" s="443" t="s">
        <v>932</v>
      </c>
      <c r="E46" s="453">
        <f>+雨汚水!E124</f>
        <v>0</v>
      </c>
      <c r="F46" s="445"/>
      <c r="G46" s="446"/>
      <c r="H46" s="446"/>
      <c r="I46" s="447"/>
      <c r="J46" s="447"/>
      <c r="K46" s="448">
        <f>SUM(F46:J46)</f>
        <v>0</v>
      </c>
      <c r="L46" s="444"/>
      <c r="M46" s="444"/>
      <c r="N46" s="445"/>
      <c r="O46" s="446"/>
      <c r="P46" s="446"/>
      <c r="Q46" s="446"/>
      <c r="R46" s="446"/>
      <c r="S46" s="446">
        <f>SUM(N46:R46)</f>
        <v>0</v>
      </c>
      <c r="T46" s="446"/>
      <c r="U46" s="446">
        <f>+V46-SUM(S46:T46)</f>
        <v>0</v>
      </c>
      <c r="V46" s="448">
        <f>+E46</f>
        <v>0</v>
      </c>
      <c r="W46" s="445">
        <f t="shared" si="169"/>
        <v>0</v>
      </c>
      <c r="X46" s="446">
        <f t="shared" si="169"/>
        <v>0</v>
      </c>
      <c r="Y46" s="446">
        <f t="shared" si="169"/>
        <v>0</v>
      </c>
      <c r="Z46" s="446">
        <f t="shared" si="169"/>
        <v>0</v>
      </c>
      <c r="AA46" s="447">
        <f>+ROUND(J46*J$6/(100+J$6),0)+AX46</f>
        <v>0</v>
      </c>
      <c r="AB46" s="448">
        <f t="shared" si="170"/>
        <v>0</v>
      </c>
      <c r="AC46" s="449">
        <f t="shared" si="171"/>
        <v>0</v>
      </c>
      <c r="AD46" s="450">
        <f t="shared" si="171"/>
        <v>0</v>
      </c>
      <c r="AE46" s="450">
        <f t="shared" si="171"/>
        <v>0</v>
      </c>
      <c r="AF46" s="450">
        <f t="shared" si="171"/>
        <v>0</v>
      </c>
      <c r="AG46" s="450">
        <f>+ROUND(R46*AG$6/(100+AG$6),0)+BM46</f>
        <v>0</v>
      </c>
      <c r="AH46" s="451">
        <f t="shared" si="172"/>
        <v>0</v>
      </c>
      <c r="AI46" s="452">
        <f>+E46-AB46</f>
        <v>0</v>
      </c>
      <c r="AJ46" s="423"/>
      <c r="AK46" s="423"/>
      <c r="AL46" s="423"/>
      <c r="AM46" s="423"/>
      <c r="AN46" s="423"/>
      <c r="AO46" s="424"/>
      <c r="AP46" s="424"/>
      <c r="AQ46" s="424"/>
      <c r="AR46" s="424"/>
      <c r="AS46" s="424"/>
      <c r="AT46" s="425"/>
      <c r="AU46" s="425"/>
      <c r="AV46" s="425"/>
      <c r="AW46" s="425"/>
      <c r="AX46" s="425"/>
      <c r="AY46" s="423"/>
      <c r="AZ46" s="423"/>
      <c r="BA46" s="423"/>
      <c r="BB46" s="423"/>
      <c r="BC46" s="423"/>
      <c r="BD46" s="424"/>
      <c r="BE46" s="424"/>
      <c r="BF46" s="424"/>
      <c r="BG46" s="424"/>
      <c r="BH46" s="424"/>
      <c r="BI46" s="425"/>
      <c r="BJ46" s="425"/>
      <c r="BK46" s="425"/>
      <c r="BL46" s="425"/>
      <c r="BM46" s="425"/>
    </row>
    <row r="47" spans="1:65" s="426" customFormat="1" ht="15.95" customHeight="1">
      <c r="A47" s="370"/>
      <c r="B47" s="371"/>
      <c r="C47" s="374">
        <v>482103414</v>
      </c>
      <c r="D47" s="443" t="s">
        <v>959</v>
      </c>
      <c r="E47" s="453">
        <f>+雨汚水!E125</f>
        <v>4980</v>
      </c>
      <c r="F47" s="445"/>
      <c r="G47" s="446"/>
      <c r="H47" s="446"/>
      <c r="I47" s="447"/>
      <c r="J47" s="447"/>
      <c r="K47" s="448">
        <f>SUM(F47:J47)</f>
        <v>0</v>
      </c>
      <c r="L47" s="444"/>
      <c r="M47" s="444"/>
      <c r="N47" s="445"/>
      <c r="O47" s="446"/>
      <c r="P47" s="446"/>
      <c r="Q47" s="446"/>
      <c r="R47" s="446"/>
      <c r="S47" s="446">
        <f>SUM(N47:R47)</f>
        <v>0</v>
      </c>
      <c r="T47" s="454">
        <f>+'3条補助金'!$I$18</f>
        <v>4980</v>
      </c>
      <c r="U47" s="446">
        <f>+V47-SUM(S47:T47)</f>
        <v>0</v>
      </c>
      <c r="V47" s="498">
        <v>4980</v>
      </c>
      <c r="W47" s="445">
        <f t="shared" si="169"/>
        <v>0</v>
      </c>
      <c r="X47" s="446">
        <f t="shared" si="169"/>
        <v>0</v>
      </c>
      <c r="Y47" s="446">
        <f t="shared" si="169"/>
        <v>0</v>
      </c>
      <c r="Z47" s="446">
        <f t="shared" si="169"/>
        <v>0</v>
      </c>
      <c r="AA47" s="447">
        <f>+ROUND(J47*J$6/(100+J$6),0)+AX47</f>
        <v>0</v>
      </c>
      <c r="AB47" s="448">
        <f t="shared" si="170"/>
        <v>0</v>
      </c>
      <c r="AC47" s="449">
        <f t="shared" si="171"/>
        <v>0</v>
      </c>
      <c r="AD47" s="450">
        <f t="shared" si="171"/>
        <v>0</v>
      </c>
      <c r="AE47" s="450">
        <f t="shared" si="171"/>
        <v>0</v>
      </c>
      <c r="AF47" s="450">
        <f t="shared" si="171"/>
        <v>0</v>
      </c>
      <c r="AG47" s="450">
        <f>+ROUND(R47*AG$6/(100+AG$6),0)+BM47</f>
        <v>0</v>
      </c>
      <c r="AH47" s="451">
        <f t="shared" si="172"/>
        <v>0</v>
      </c>
      <c r="AI47" s="452">
        <f>+E47-AB47</f>
        <v>4980</v>
      </c>
      <c r="AJ47" s="423"/>
      <c r="AK47" s="423"/>
      <c r="AL47" s="423"/>
      <c r="AM47" s="423"/>
      <c r="AN47" s="423"/>
      <c r="AO47" s="424"/>
      <c r="AP47" s="424"/>
      <c r="AQ47" s="424"/>
      <c r="AR47" s="424"/>
      <c r="AS47" s="424"/>
      <c r="AT47" s="425"/>
      <c r="AU47" s="425"/>
      <c r="AV47" s="425"/>
      <c r="AW47" s="425"/>
      <c r="AX47" s="425"/>
      <c r="AY47" s="423"/>
      <c r="AZ47" s="423"/>
      <c r="BA47" s="423"/>
      <c r="BB47" s="423"/>
      <c r="BC47" s="423"/>
      <c r="BD47" s="424"/>
      <c r="BE47" s="424"/>
      <c r="BF47" s="424"/>
      <c r="BG47" s="424"/>
      <c r="BH47" s="424"/>
      <c r="BI47" s="425"/>
      <c r="BJ47" s="425"/>
      <c r="BK47" s="425"/>
      <c r="BL47" s="425"/>
      <c r="BM47" s="425"/>
    </row>
    <row r="48" spans="1:65" s="426" customFormat="1" ht="15.95" customHeight="1">
      <c r="A48" s="367"/>
      <c r="B48" s="368"/>
      <c r="C48" s="369">
        <v>482104000</v>
      </c>
      <c r="D48" s="427" t="s">
        <v>898</v>
      </c>
      <c r="E48" s="456">
        <f>+雨汚水!E126</f>
        <v>9198273</v>
      </c>
      <c r="F48" s="434"/>
      <c r="G48" s="435"/>
      <c r="H48" s="435"/>
      <c r="I48" s="437"/>
      <c r="J48" s="437"/>
      <c r="K48" s="432">
        <f>SUM(F48:J48)</f>
        <v>0</v>
      </c>
      <c r="L48" s="457"/>
      <c r="M48" s="457"/>
      <c r="N48" s="434"/>
      <c r="O48" s="435"/>
      <c r="P48" s="458">
        <f>+'3条補助金'!L$21</f>
        <v>0</v>
      </c>
      <c r="Q48" s="458">
        <f>+'3条補助金'!M$21</f>
        <v>0</v>
      </c>
      <c r="R48" s="458">
        <f>+'3条補助金'!N$21</f>
        <v>5368538</v>
      </c>
      <c r="S48" s="435">
        <f>SUM(N48:R48)</f>
        <v>5368538</v>
      </c>
      <c r="T48" s="458">
        <f>+'3条補助金'!$I$20</f>
        <v>3829735</v>
      </c>
      <c r="U48" s="435">
        <f>+V48-SUM(S48:T48)</f>
        <v>0</v>
      </c>
      <c r="V48" s="432">
        <f t="shared" ref="V48" si="177">+E48</f>
        <v>9198273</v>
      </c>
      <c r="W48" s="434">
        <f t="shared" si="169"/>
        <v>0</v>
      </c>
      <c r="X48" s="435">
        <f t="shared" si="169"/>
        <v>0</v>
      </c>
      <c r="Y48" s="435">
        <f t="shared" si="169"/>
        <v>0</v>
      </c>
      <c r="Z48" s="435">
        <f t="shared" si="169"/>
        <v>0</v>
      </c>
      <c r="AA48" s="437">
        <f>+ROUND(J48*J$6/(100+J$6),0)+AX48</f>
        <v>0</v>
      </c>
      <c r="AB48" s="432">
        <f t="shared" si="170"/>
        <v>0</v>
      </c>
      <c r="AC48" s="438">
        <f t="shared" si="171"/>
        <v>0</v>
      </c>
      <c r="AD48" s="439">
        <f t="shared" si="171"/>
        <v>0</v>
      </c>
      <c r="AE48" s="439">
        <f t="shared" si="171"/>
        <v>0</v>
      </c>
      <c r="AF48" s="439">
        <f t="shared" si="171"/>
        <v>0</v>
      </c>
      <c r="AG48" s="439">
        <f>+ROUND(R48*AG$6/(100+AG$6),0)+BM48</f>
        <v>488049</v>
      </c>
      <c r="AH48" s="440">
        <f t="shared" si="172"/>
        <v>488049</v>
      </c>
      <c r="AI48" s="441">
        <f>+E48-AB48</f>
        <v>9198273</v>
      </c>
      <c r="AJ48" s="423"/>
      <c r="AK48" s="423"/>
      <c r="AL48" s="423"/>
      <c r="AM48" s="423"/>
      <c r="AN48" s="423"/>
      <c r="AO48" s="424"/>
      <c r="AP48" s="424"/>
      <c r="AQ48" s="424"/>
      <c r="AR48" s="424"/>
      <c r="AS48" s="424"/>
      <c r="AT48" s="425"/>
      <c r="AU48" s="425"/>
      <c r="AV48" s="425"/>
      <c r="AW48" s="425"/>
      <c r="AX48" s="425"/>
      <c r="AY48" s="423"/>
      <c r="AZ48" s="423"/>
      <c r="BA48" s="423"/>
      <c r="BB48" s="423"/>
      <c r="BC48" s="423"/>
      <c r="BD48" s="424"/>
      <c r="BE48" s="424"/>
      <c r="BF48" s="424"/>
      <c r="BG48" s="424"/>
      <c r="BH48" s="424"/>
      <c r="BI48" s="425"/>
      <c r="BJ48" s="425"/>
      <c r="BK48" s="425"/>
      <c r="BL48" s="425"/>
      <c r="BM48" s="425"/>
    </row>
    <row r="49" spans="1:65" s="426" customFormat="1" ht="15.95" customHeight="1">
      <c r="A49" s="364"/>
      <c r="B49" s="365"/>
      <c r="C49" s="366"/>
      <c r="D49" s="410" t="s">
        <v>888</v>
      </c>
      <c r="E49" s="411">
        <f>+E50</f>
        <v>0</v>
      </c>
      <c r="F49" s="412">
        <f t="shared" ref="F49:V49" si="178">+F50</f>
        <v>0</v>
      </c>
      <c r="G49" s="413">
        <f t="shared" si="178"/>
        <v>0</v>
      </c>
      <c r="H49" s="413">
        <f t="shared" si="178"/>
        <v>0</v>
      </c>
      <c r="I49" s="414">
        <f t="shared" si="178"/>
        <v>0</v>
      </c>
      <c r="J49" s="414">
        <f t="shared" si="178"/>
        <v>0</v>
      </c>
      <c r="K49" s="415">
        <f t="shared" si="178"/>
        <v>0</v>
      </c>
      <c r="L49" s="411">
        <f t="shared" si="178"/>
        <v>0</v>
      </c>
      <c r="M49" s="411">
        <f t="shared" si="178"/>
        <v>0</v>
      </c>
      <c r="N49" s="416">
        <f t="shared" ref="N49:U49" si="179">+N50</f>
        <v>0</v>
      </c>
      <c r="O49" s="417">
        <f t="shared" si="179"/>
        <v>0</v>
      </c>
      <c r="P49" s="417">
        <f t="shared" si="179"/>
        <v>0</v>
      </c>
      <c r="Q49" s="417">
        <f t="shared" si="179"/>
        <v>0</v>
      </c>
      <c r="R49" s="417">
        <f t="shared" si="179"/>
        <v>0</v>
      </c>
      <c r="S49" s="417">
        <f t="shared" si="179"/>
        <v>0</v>
      </c>
      <c r="T49" s="417">
        <f t="shared" si="179"/>
        <v>0</v>
      </c>
      <c r="U49" s="417">
        <f t="shared" si="179"/>
        <v>0</v>
      </c>
      <c r="V49" s="418">
        <f t="shared" si="178"/>
        <v>0</v>
      </c>
      <c r="W49" s="412">
        <f t="shared" ref="W49:AI49" si="180">+W50</f>
        <v>0</v>
      </c>
      <c r="X49" s="413">
        <f t="shared" si="180"/>
        <v>0</v>
      </c>
      <c r="Y49" s="413">
        <f t="shared" si="180"/>
        <v>0</v>
      </c>
      <c r="Z49" s="413">
        <f t="shared" si="180"/>
        <v>0</v>
      </c>
      <c r="AA49" s="414">
        <f t="shared" si="180"/>
        <v>0</v>
      </c>
      <c r="AB49" s="415">
        <f t="shared" si="180"/>
        <v>0</v>
      </c>
      <c r="AC49" s="419">
        <f t="shared" ref="AC49:AH49" si="181">+AC50</f>
        <v>0</v>
      </c>
      <c r="AD49" s="420">
        <f t="shared" si="181"/>
        <v>0</v>
      </c>
      <c r="AE49" s="420">
        <f t="shared" si="181"/>
        <v>0</v>
      </c>
      <c r="AF49" s="420">
        <f t="shared" si="181"/>
        <v>0</v>
      </c>
      <c r="AG49" s="420">
        <f t="shared" si="181"/>
        <v>0</v>
      </c>
      <c r="AH49" s="421">
        <f t="shared" si="181"/>
        <v>0</v>
      </c>
      <c r="AI49" s="422">
        <f t="shared" si="180"/>
        <v>0</v>
      </c>
      <c r="AJ49" s="442"/>
      <c r="AK49" s="442"/>
      <c r="AL49" s="442"/>
      <c r="AM49" s="442"/>
      <c r="AN49" s="442"/>
      <c r="AO49" s="424"/>
      <c r="AP49" s="424"/>
      <c r="AQ49" s="424"/>
      <c r="AR49" s="424"/>
      <c r="AS49" s="424"/>
      <c r="AT49" s="425"/>
      <c r="AU49" s="425"/>
      <c r="AV49" s="425"/>
      <c r="AW49" s="425"/>
      <c r="AX49" s="425"/>
      <c r="AY49" s="423"/>
      <c r="AZ49" s="423"/>
      <c r="BA49" s="423"/>
      <c r="BB49" s="423"/>
      <c r="BC49" s="423"/>
      <c r="BD49" s="424"/>
      <c r="BE49" s="424"/>
      <c r="BF49" s="424"/>
      <c r="BG49" s="424"/>
      <c r="BH49" s="424"/>
      <c r="BI49" s="425"/>
      <c r="BJ49" s="425"/>
      <c r="BK49" s="425"/>
      <c r="BL49" s="425"/>
      <c r="BM49" s="425"/>
    </row>
    <row r="50" spans="1:65" s="426" customFormat="1" ht="15.95" customHeight="1">
      <c r="A50" s="367"/>
      <c r="B50" s="368"/>
      <c r="C50" s="369">
        <v>482113700</v>
      </c>
      <c r="D50" s="427" t="s">
        <v>899</v>
      </c>
      <c r="E50" s="428">
        <f>+SUMIFS(全伝票!I:I,全伝票!$C:$C,$C50)</f>
        <v>0</v>
      </c>
      <c r="F50" s="434"/>
      <c r="G50" s="435"/>
      <c r="H50" s="435"/>
      <c r="I50" s="437"/>
      <c r="J50" s="437"/>
      <c r="K50" s="432">
        <f>SUM(F50:J50)</f>
        <v>0</v>
      </c>
      <c r="L50" s="457"/>
      <c r="M50" s="457"/>
      <c r="N50" s="434"/>
      <c r="O50" s="435"/>
      <c r="P50" s="435"/>
      <c r="Q50" s="435"/>
      <c r="R50" s="435"/>
      <c r="S50" s="435">
        <f>SUM(N50:R50)</f>
        <v>0</v>
      </c>
      <c r="T50" s="435"/>
      <c r="U50" s="435">
        <f>+V50-SUM(S50:T50)</f>
        <v>0</v>
      </c>
      <c r="V50" s="436">
        <f>+SUMIFS(全伝票!P:P,全伝票!$C:$C,$C50)</f>
        <v>0</v>
      </c>
      <c r="W50" s="434">
        <f>+ROUND(F50*F$6/(100+F$6),0)+AT50</f>
        <v>0</v>
      </c>
      <c r="X50" s="435">
        <f>+ROUND(G50*G$6/(100+G$6),0)+AU50</f>
        <v>0</v>
      </c>
      <c r="Y50" s="435">
        <f>+ROUND(H50*H$6/(100+H$6),0)+AV50</f>
        <v>0</v>
      </c>
      <c r="Z50" s="435">
        <f>+ROUND(I50*I$6/(100+I$6),0)+AW50</f>
        <v>0</v>
      </c>
      <c r="AA50" s="437">
        <f>+ROUND(J50*J$6/(100+J$6),0)+AX50</f>
        <v>0</v>
      </c>
      <c r="AB50" s="432">
        <f>SUM(W50:AA50)</f>
        <v>0</v>
      </c>
      <c r="AC50" s="438">
        <f>+ROUND(N50*AC$6/(100+AC$6),0)+BI50</f>
        <v>0</v>
      </c>
      <c r="AD50" s="439">
        <f>+ROUND(O50*AD$6/(100+AD$6),0)+BJ50</f>
        <v>0</v>
      </c>
      <c r="AE50" s="439">
        <f>+ROUND(P50*AE$6/(100+AE$6),0)+BK50</f>
        <v>0</v>
      </c>
      <c r="AF50" s="439">
        <f>+ROUND(Q50*AF$6/(100+AF$6),0)+BL50</f>
        <v>0</v>
      </c>
      <c r="AG50" s="439">
        <f>+ROUND(R50*AG$6/(100+AG$6),0)+BM50</f>
        <v>0</v>
      </c>
      <c r="AH50" s="440">
        <f>SUM(AC50:AG50)</f>
        <v>0</v>
      </c>
      <c r="AI50" s="441">
        <f>+E50-AB50</f>
        <v>0</v>
      </c>
      <c r="AJ50" s="423"/>
      <c r="AK50" s="423"/>
      <c r="AL50" s="423"/>
      <c r="AM50" s="423"/>
      <c r="AN50" s="423"/>
      <c r="AO50" s="424"/>
      <c r="AP50" s="424"/>
      <c r="AQ50" s="424"/>
      <c r="AR50" s="424"/>
      <c r="AS50" s="424"/>
      <c r="AT50" s="425"/>
      <c r="AU50" s="425"/>
      <c r="AV50" s="425"/>
      <c r="AW50" s="425"/>
      <c r="AX50" s="425"/>
      <c r="AY50" s="423">
        <f t="shared" si="173"/>
        <v>0</v>
      </c>
      <c r="AZ50" s="423">
        <f t="shared" si="174"/>
        <v>0</v>
      </c>
      <c r="BA50" s="423">
        <f t="shared" si="175"/>
        <v>0</v>
      </c>
      <c r="BB50" s="423">
        <f t="shared" si="175"/>
        <v>0</v>
      </c>
      <c r="BC50" s="423">
        <f t="shared" si="176"/>
        <v>0</v>
      </c>
      <c r="BD50" s="424">
        <f>+IF(AC$71=0,0,IF(AC$71&lt;0,-RANK(AY50,AY$7:AY$68,0),RANK(AY50,AY$7:AY$68,1)))</f>
        <v>0</v>
      </c>
      <c r="BE50" s="424">
        <f>+IF(AD$71=0,0,IF(AD$71&lt;0,-RANK(AZ50,AZ$7:AZ$68,0),RANK(AZ50,AZ$7:AZ$68,1)))</f>
        <v>0</v>
      </c>
      <c r="BF50" s="424">
        <f>+IF(AE$71=0,0,IF(AE$71&lt;0,-RANK(BA50,BA$7:BA$68,0),RANK(BA50,BA$7:BA$68,1)))</f>
        <v>0</v>
      </c>
      <c r="BG50" s="424">
        <f>+IF(AF$71=0,0,IF(AF$71&lt;0,-RANK(BB50,BB$7:BB$68,0),RANK(BB50,BB$7:BB$68,1)))</f>
        <v>0</v>
      </c>
      <c r="BH50" s="424">
        <f>+IF(AG$71=0,0,IF(AG$71&lt;0,-RANK(BC50,BC$7:BC$68,0),RANK(BC50,BC$7:BC$68,1)))</f>
        <v>0</v>
      </c>
      <c r="BI50" s="425"/>
      <c r="BJ50" s="425"/>
      <c r="BK50" s="425"/>
      <c r="BL50" s="425"/>
      <c r="BM50" s="425"/>
    </row>
    <row r="51" spans="1:65" s="426" customFormat="1" ht="15.95" customHeight="1">
      <c r="A51" s="364"/>
      <c r="B51" s="365"/>
      <c r="C51" s="366"/>
      <c r="D51" s="410" t="s">
        <v>900</v>
      </c>
      <c r="E51" s="411">
        <f>+SUM(E52:E54)</f>
        <v>36460334</v>
      </c>
      <c r="F51" s="412">
        <f t="shared" ref="F51:V51" si="182">+SUM(F52:F54)</f>
        <v>0</v>
      </c>
      <c r="G51" s="413">
        <f t="shared" si="182"/>
        <v>0</v>
      </c>
      <c r="H51" s="413">
        <f t="shared" si="182"/>
        <v>0</v>
      </c>
      <c r="I51" s="414">
        <f t="shared" ref="I51" si="183">+SUM(I52:I54)</f>
        <v>0</v>
      </c>
      <c r="J51" s="414">
        <f t="shared" si="182"/>
        <v>13313930</v>
      </c>
      <c r="K51" s="415">
        <f t="shared" si="182"/>
        <v>13313930</v>
      </c>
      <c r="L51" s="411">
        <f t="shared" si="182"/>
        <v>21944190</v>
      </c>
      <c r="M51" s="411">
        <f t="shared" ref="M51" si="184">+SUM(M52:M54)</f>
        <v>0</v>
      </c>
      <c r="N51" s="416">
        <f t="shared" ref="N51:U51" si="185">+SUM(N52:N54)</f>
        <v>0</v>
      </c>
      <c r="O51" s="417">
        <f t="shared" si="185"/>
        <v>0</v>
      </c>
      <c r="P51" s="417">
        <f t="shared" si="185"/>
        <v>35</v>
      </c>
      <c r="Q51" s="417">
        <f t="shared" ref="Q51" si="186">+SUM(Q52:Q54)</f>
        <v>14</v>
      </c>
      <c r="R51" s="417">
        <f t="shared" si="185"/>
        <v>256740</v>
      </c>
      <c r="S51" s="417">
        <f t="shared" si="185"/>
        <v>256789</v>
      </c>
      <c r="T51" s="417">
        <f t="shared" si="185"/>
        <v>945425</v>
      </c>
      <c r="U51" s="417">
        <f t="shared" si="185"/>
        <v>0</v>
      </c>
      <c r="V51" s="418">
        <f t="shared" si="182"/>
        <v>1202214</v>
      </c>
      <c r="W51" s="412">
        <f t="shared" ref="W51:AI51" si="187">+SUM(W52:W54)</f>
        <v>0</v>
      </c>
      <c r="X51" s="413">
        <f t="shared" si="187"/>
        <v>0</v>
      </c>
      <c r="Y51" s="413">
        <f t="shared" si="187"/>
        <v>0</v>
      </c>
      <c r="Z51" s="413">
        <f t="shared" ref="Z51" si="188">+SUM(Z52:Z54)</f>
        <v>0</v>
      </c>
      <c r="AA51" s="414">
        <f t="shared" si="187"/>
        <v>1210357</v>
      </c>
      <c r="AB51" s="415">
        <f t="shared" si="187"/>
        <v>1210357</v>
      </c>
      <c r="AC51" s="419">
        <f t="shared" ref="AC51:AH51" si="189">+SUM(AC52:AC54)</f>
        <v>0</v>
      </c>
      <c r="AD51" s="420">
        <f t="shared" si="189"/>
        <v>0</v>
      </c>
      <c r="AE51" s="420">
        <f t="shared" si="189"/>
        <v>3</v>
      </c>
      <c r="AF51" s="420">
        <f t="shared" si="189"/>
        <v>1</v>
      </c>
      <c r="AG51" s="420">
        <f t="shared" si="189"/>
        <v>23340</v>
      </c>
      <c r="AH51" s="421">
        <f t="shared" si="189"/>
        <v>23344</v>
      </c>
      <c r="AI51" s="422">
        <f t="shared" si="187"/>
        <v>37130542</v>
      </c>
      <c r="AJ51" s="442"/>
      <c r="AK51" s="442"/>
      <c r="AL51" s="442"/>
      <c r="AM51" s="442"/>
      <c r="AN51" s="442"/>
      <c r="AO51" s="424"/>
      <c r="AP51" s="424"/>
      <c r="AQ51" s="424"/>
      <c r="AR51" s="424"/>
      <c r="AS51" s="424"/>
      <c r="AT51" s="425"/>
      <c r="AU51" s="425"/>
      <c r="AV51" s="425"/>
      <c r="AW51" s="425"/>
      <c r="AX51" s="425"/>
      <c r="AY51" s="423"/>
      <c r="AZ51" s="423"/>
      <c r="BA51" s="423"/>
      <c r="BB51" s="423"/>
      <c r="BC51" s="423"/>
      <c r="BD51" s="424"/>
      <c r="BE51" s="424"/>
      <c r="BF51" s="424"/>
      <c r="BG51" s="424"/>
      <c r="BH51" s="424"/>
      <c r="BI51" s="425"/>
      <c r="BJ51" s="425"/>
      <c r="BK51" s="425"/>
      <c r="BL51" s="425"/>
      <c r="BM51" s="425"/>
    </row>
    <row r="52" spans="1:65" s="426" customFormat="1" ht="15.95" customHeight="1">
      <c r="A52" s="364"/>
      <c r="B52" s="365"/>
      <c r="C52" s="366">
        <v>482123600</v>
      </c>
      <c r="D52" s="410" t="s">
        <v>949</v>
      </c>
      <c r="E52" s="499">
        <f>+SUMIFS(全伝票!I:I,全伝票!$C:$C,$C52)</f>
        <v>408100</v>
      </c>
      <c r="F52" s="500">
        <f>+SUMIFS(全伝票!J:J,全伝票!$C:$C,$C52)</f>
        <v>0</v>
      </c>
      <c r="G52" s="501">
        <f>+SUMIFS(全伝票!K:K,全伝票!$C:$C,$C52)</f>
        <v>0</v>
      </c>
      <c r="H52" s="501">
        <f>+SUMIFS(全伝票!L:L,全伝票!$C:$C,$C52)</f>
        <v>0</v>
      </c>
      <c r="I52" s="502">
        <f>+SUMIFS(全伝票!M:M,全伝票!$C:$C,$C52)</f>
        <v>0</v>
      </c>
      <c r="J52" s="502">
        <f>+SUMIFS(全伝票!N:N,全伝票!$C:$C,$C52)</f>
        <v>408100</v>
      </c>
      <c r="K52" s="415">
        <f>SUM(F52:J52)</f>
        <v>408100</v>
      </c>
      <c r="L52" s="499">
        <f>+SUMIFS(全伝票!O:O,全伝票!$C:$C,$C52)</f>
        <v>0</v>
      </c>
      <c r="M52" s="411"/>
      <c r="N52" s="412"/>
      <c r="O52" s="413"/>
      <c r="P52" s="413"/>
      <c r="Q52" s="413"/>
      <c r="R52" s="413"/>
      <c r="S52" s="413">
        <f>SUM(N52:R52)</f>
        <v>0</v>
      </c>
      <c r="T52" s="413"/>
      <c r="U52" s="413">
        <f>+V52-SUM(S52:T52)</f>
        <v>0</v>
      </c>
      <c r="V52" s="503">
        <f>+SUMIFS(全伝票!P:P,全伝票!$C:$C,$C52)</f>
        <v>0</v>
      </c>
      <c r="W52" s="412">
        <f t="shared" ref="W52:Z53" si="190">+ROUND(F52*F$6/(100+F$6),0)+AT52</f>
        <v>0</v>
      </c>
      <c r="X52" s="413">
        <f t="shared" si="190"/>
        <v>0</v>
      </c>
      <c r="Y52" s="413">
        <f t="shared" si="190"/>
        <v>0</v>
      </c>
      <c r="Z52" s="413">
        <f t="shared" si="190"/>
        <v>0</v>
      </c>
      <c r="AA52" s="414">
        <f>+ROUND(J52*J$6/(100+J$6),0)+AX52</f>
        <v>37100</v>
      </c>
      <c r="AB52" s="415">
        <f>SUM(W52:AA52)</f>
        <v>37100</v>
      </c>
      <c r="AC52" s="419">
        <f t="shared" ref="AC52:AF53" si="191">+ROUND(N52*AC$6/(100+AC$6),0)+BI52</f>
        <v>0</v>
      </c>
      <c r="AD52" s="420">
        <f t="shared" si="191"/>
        <v>0</v>
      </c>
      <c r="AE52" s="420">
        <f t="shared" si="191"/>
        <v>0</v>
      </c>
      <c r="AF52" s="420">
        <f t="shared" si="191"/>
        <v>0</v>
      </c>
      <c r="AG52" s="420">
        <f>+ROUND(R52*AG$6/(100+AG$6),0)+BM52</f>
        <v>0</v>
      </c>
      <c r="AH52" s="475">
        <f t="shared" ref="AH52:AH53" si="192">SUM(AC52:AG52)</f>
        <v>0</v>
      </c>
      <c r="AI52" s="422">
        <f>+E52-AB52</f>
        <v>371000</v>
      </c>
      <c r="AJ52" s="423">
        <f t="shared" ref="AJ52:AM53" si="193">W52-F52*W$6/(100+W$6)</f>
        <v>0</v>
      </c>
      <c r="AK52" s="423">
        <f t="shared" si="193"/>
        <v>0</v>
      </c>
      <c r="AL52" s="423">
        <f t="shared" si="193"/>
        <v>0</v>
      </c>
      <c r="AM52" s="423">
        <f t="shared" si="193"/>
        <v>0</v>
      </c>
      <c r="AN52" s="423">
        <f>AA52-J52*AA$6/(100+AA$6)</f>
        <v>0</v>
      </c>
      <c r="AO52" s="424">
        <f t="shared" ref="AO52:AR53" si="194">+IF(W$71=0,0,IF(W$71&lt;0,-RANK(AJ52,AJ$7:AJ$68,0),RANK(AJ52,AJ$7:AJ$68,1)))</f>
        <v>0</v>
      </c>
      <c r="AP52" s="424">
        <f t="shared" si="194"/>
        <v>0</v>
      </c>
      <c r="AQ52" s="424">
        <f t="shared" si="194"/>
        <v>0</v>
      </c>
      <c r="AR52" s="424">
        <f t="shared" si="194"/>
        <v>0</v>
      </c>
      <c r="AS52" s="424">
        <f>+IF(AA$71=0,0,IF(AA$71&lt;0,-RANK(AN52,AN$7:AN$68,0),RANK(AN52,AN$7:AN$68,1)))</f>
        <v>0</v>
      </c>
      <c r="AT52" s="425"/>
      <c r="AU52" s="425"/>
      <c r="AV52" s="425"/>
      <c r="AW52" s="425"/>
      <c r="AX52" s="425"/>
      <c r="AY52" s="423">
        <f t="shared" si="173"/>
        <v>0</v>
      </c>
      <c r="AZ52" s="423">
        <f t="shared" si="174"/>
        <v>0</v>
      </c>
      <c r="BA52" s="423">
        <f t="shared" si="175"/>
        <v>0</v>
      </c>
      <c r="BB52" s="423">
        <f t="shared" si="175"/>
        <v>0</v>
      </c>
      <c r="BC52" s="423">
        <f t="shared" si="176"/>
        <v>0</v>
      </c>
      <c r="BD52" s="424">
        <f t="shared" ref="BD52:BG54" si="195">+IF(AC$71=0,0,IF(AC$71&lt;0,-RANK(AY52,AY$7:AY$68,0),RANK(AY52,AY$7:AY$68,1)))</f>
        <v>0</v>
      </c>
      <c r="BE52" s="424">
        <f t="shared" si="195"/>
        <v>0</v>
      </c>
      <c r="BF52" s="424">
        <f t="shared" si="195"/>
        <v>0</v>
      </c>
      <c r="BG52" s="424">
        <f t="shared" si="195"/>
        <v>0</v>
      </c>
      <c r="BH52" s="424">
        <f>+IF(AG$71=0,0,IF(AG$71&lt;0,-RANK(BC52,BC$7:BC$68,0),RANK(BC52,BC$7:BC$68,1)))</f>
        <v>0</v>
      </c>
      <c r="BI52" s="425"/>
      <c r="BJ52" s="425"/>
      <c r="BK52" s="425"/>
      <c r="BL52" s="425"/>
      <c r="BM52" s="425"/>
    </row>
    <row r="53" spans="1:65" s="426" customFormat="1" ht="15.95" customHeight="1">
      <c r="A53" s="378"/>
      <c r="B53" s="379"/>
      <c r="C53" s="380">
        <v>482124000</v>
      </c>
      <c r="D53" s="477" t="s">
        <v>950</v>
      </c>
      <c r="E53" s="504">
        <f>+SUMIFS(全伝票!I:I,全伝票!$C:$C,$C53)</f>
        <v>36052234</v>
      </c>
      <c r="F53" s="505">
        <f>+SUMIFS(全伝票!J:J,全伝票!$C:$C,$C53)</f>
        <v>0</v>
      </c>
      <c r="G53" s="506">
        <f>+SUMIFS(全伝票!K:K,全伝票!$C:$C,$C53)</f>
        <v>0</v>
      </c>
      <c r="H53" s="506">
        <f>+SUMIFS(全伝票!L:L,全伝票!$C:$C,$C53)</f>
        <v>0</v>
      </c>
      <c r="I53" s="507">
        <f>+SUMIFS(全伝票!M:M,全伝票!$C:$C,$C53)</f>
        <v>0</v>
      </c>
      <c r="J53" s="507">
        <f>+SUMIFS(全伝票!N:N,全伝票!$C:$C,$C53)</f>
        <v>12905830</v>
      </c>
      <c r="K53" s="482">
        <f>SUM(F53:J53)</f>
        <v>12905830</v>
      </c>
      <c r="L53" s="504">
        <f>+SUMIFS(全伝票!O:O,全伝票!$C:$C,$C53)</f>
        <v>21944190</v>
      </c>
      <c r="M53" s="478"/>
      <c r="N53" s="479"/>
      <c r="O53" s="480"/>
      <c r="P53" s="508">
        <f>+'3条その他'!L$19</f>
        <v>35</v>
      </c>
      <c r="Q53" s="508">
        <f>+'3条その他'!M$19</f>
        <v>14</v>
      </c>
      <c r="R53" s="508">
        <f>+'3条その他'!N$19</f>
        <v>256740</v>
      </c>
      <c r="S53" s="480">
        <f>SUM(N53:R53)</f>
        <v>256789</v>
      </c>
      <c r="T53" s="508">
        <f>+'3条その他'!$I$18</f>
        <v>945425</v>
      </c>
      <c r="U53" s="480">
        <f>+V53-SUM(S53:T53)</f>
        <v>0</v>
      </c>
      <c r="V53" s="509">
        <f>+SUMIFS(全伝票!P:P,全伝票!$C:$C,$C53)</f>
        <v>1202214</v>
      </c>
      <c r="W53" s="479">
        <f t="shared" si="190"/>
        <v>0</v>
      </c>
      <c r="X53" s="480">
        <f t="shared" si="190"/>
        <v>0</v>
      </c>
      <c r="Y53" s="480">
        <f t="shared" si="190"/>
        <v>0</v>
      </c>
      <c r="Z53" s="480">
        <f t="shared" si="190"/>
        <v>0</v>
      </c>
      <c r="AA53" s="481">
        <f>+ROUND(J53*J$6/(100+J$6),0)+AX53</f>
        <v>1173257</v>
      </c>
      <c r="AB53" s="482">
        <f>SUM(W53:AA53)</f>
        <v>1173257</v>
      </c>
      <c r="AC53" s="483">
        <f t="shared" si="191"/>
        <v>0</v>
      </c>
      <c r="AD53" s="484">
        <f t="shared" si="191"/>
        <v>0</v>
      </c>
      <c r="AE53" s="510">
        <f t="shared" si="191"/>
        <v>3</v>
      </c>
      <c r="AF53" s="484">
        <f t="shared" si="191"/>
        <v>1</v>
      </c>
      <c r="AG53" s="510">
        <f>+ROUND(R53*AG$6/(100+AG$6),0)+BM53</f>
        <v>23340</v>
      </c>
      <c r="AH53" s="485">
        <f t="shared" si="192"/>
        <v>23344</v>
      </c>
      <c r="AI53" s="486">
        <f>+E53-AB53</f>
        <v>34878977</v>
      </c>
      <c r="AJ53" s="423">
        <f t="shared" si="193"/>
        <v>0</v>
      </c>
      <c r="AK53" s="423">
        <f t="shared" si="193"/>
        <v>0</v>
      </c>
      <c r="AL53" s="423">
        <f t="shared" si="193"/>
        <v>0</v>
      </c>
      <c r="AM53" s="423">
        <f t="shared" si="193"/>
        <v>0</v>
      </c>
      <c r="AN53" s="423">
        <f>AA53-J53*AA$6/(100+AA$6)</f>
        <v>-0.27272727270610631</v>
      </c>
      <c r="AO53" s="424">
        <f t="shared" si="194"/>
        <v>0</v>
      </c>
      <c r="AP53" s="424">
        <f t="shared" si="194"/>
        <v>0</v>
      </c>
      <c r="AQ53" s="424">
        <f t="shared" si="194"/>
        <v>0</v>
      </c>
      <c r="AR53" s="424">
        <f t="shared" si="194"/>
        <v>0</v>
      </c>
      <c r="AS53" s="424">
        <f>+IF(AA$71=0,0,IF(AA$71&lt;0,-RANK(AN53,AN$7:AN$68,0),RANK(AN53,AN$7:AN$68,1)))</f>
        <v>0</v>
      </c>
      <c r="AT53" s="425"/>
      <c r="AU53" s="425"/>
      <c r="AV53" s="425"/>
      <c r="AW53" s="425"/>
      <c r="AX53" s="425"/>
      <c r="AY53" s="423">
        <f t="shared" si="173"/>
        <v>0</v>
      </c>
      <c r="AZ53" s="423">
        <f t="shared" si="174"/>
        <v>0</v>
      </c>
      <c r="BA53" s="423">
        <f t="shared" si="175"/>
        <v>0.40740740740740744</v>
      </c>
      <c r="BB53" s="423">
        <f t="shared" si="175"/>
        <v>-3.7037037037036979E-2</v>
      </c>
      <c r="BC53" s="423">
        <f t="shared" si="176"/>
        <v>0</v>
      </c>
      <c r="BD53" s="424">
        <f t="shared" si="195"/>
        <v>0</v>
      </c>
      <c r="BE53" s="424">
        <f t="shared" si="195"/>
        <v>0</v>
      </c>
      <c r="BF53" s="424">
        <f t="shared" si="195"/>
        <v>0</v>
      </c>
      <c r="BG53" s="424">
        <f t="shared" si="195"/>
        <v>0</v>
      </c>
      <c r="BH53" s="424">
        <f>+IF(AG$71=0,0,IF(AG$71&lt;0,-RANK(BC53,BC$7:BC$68,0),RANK(BC53,BC$7:BC$68,1)))</f>
        <v>0</v>
      </c>
      <c r="BI53" s="425"/>
      <c r="BJ53" s="425"/>
      <c r="BK53" s="425"/>
      <c r="BL53" s="425"/>
      <c r="BM53" s="425"/>
    </row>
    <row r="54" spans="1:65" s="426" customFormat="1" ht="15.95" customHeight="1">
      <c r="A54" s="367"/>
      <c r="B54" s="368"/>
      <c r="C54" s="369"/>
      <c r="D54" s="427" t="s">
        <v>909</v>
      </c>
      <c r="E54" s="457"/>
      <c r="F54" s="429">
        <f>+SUMIFS(全伝票!J:J,全伝票!$C:$C,$C54)</f>
        <v>0</v>
      </c>
      <c r="G54" s="430">
        <f>+SUMIFS(全伝票!K:K,全伝票!$C:$C,$C54)</f>
        <v>0</v>
      </c>
      <c r="H54" s="430">
        <f>+SUMIFS(全伝票!L:L,全伝票!$C:$C,$C54)</f>
        <v>0</v>
      </c>
      <c r="I54" s="431">
        <f>+SUMIFS(全伝票!M:M,全伝票!$C:$C,$C54)</f>
        <v>0</v>
      </c>
      <c r="J54" s="431">
        <f>+SUMIFS(全伝票!N:N,全伝票!$C:$C,$C54)</f>
        <v>0</v>
      </c>
      <c r="K54" s="432"/>
      <c r="L54" s="428">
        <f>+SUMIFS(全伝票!O:O,全伝票!$C:$C,$C54)</f>
        <v>0</v>
      </c>
      <c r="M54" s="457"/>
      <c r="N54" s="434"/>
      <c r="O54" s="435"/>
      <c r="P54" s="435"/>
      <c r="Q54" s="435"/>
      <c r="R54" s="435"/>
      <c r="S54" s="435"/>
      <c r="T54" s="435"/>
      <c r="U54" s="435"/>
      <c r="V54" s="432"/>
      <c r="W54" s="434"/>
      <c r="X54" s="435"/>
      <c r="Y54" s="435"/>
      <c r="Z54" s="435"/>
      <c r="AA54" s="437"/>
      <c r="AB54" s="432"/>
      <c r="AC54" s="438"/>
      <c r="AD54" s="439"/>
      <c r="AE54" s="439"/>
      <c r="AF54" s="439"/>
      <c r="AG54" s="439"/>
      <c r="AH54" s="440"/>
      <c r="AI54" s="511">
        <f>+雨汚水!AD77</f>
        <v>1880565</v>
      </c>
      <c r="AJ54" s="442"/>
      <c r="AK54" s="442"/>
      <c r="AL54" s="442"/>
      <c r="AM54" s="442"/>
      <c r="AN54" s="442"/>
      <c r="AO54" s="424"/>
      <c r="AP54" s="424"/>
      <c r="AQ54" s="424"/>
      <c r="AR54" s="424"/>
      <c r="AS54" s="424"/>
      <c r="AT54" s="425"/>
      <c r="AU54" s="425"/>
      <c r="AV54" s="425"/>
      <c r="AW54" s="425"/>
      <c r="AX54" s="425"/>
      <c r="AY54" s="423">
        <f t="shared" si="173"/>
        <v>0</v>
      </c>
      <c r="AZ54" s="423">
        <f t="shared" si="174"/>
        <v>0</v>
      </c>
      <c r="BA54" s="423">
        <f t="shared" si="175"/>
        <v>0</v>
      </c>
      <c r="BB54" s="423">
        <f t="shared" si="175"/>
        <v>0</v>
      </c>
      <c r="BC54" s="423">
        <f t="shared" si="176"/>
        <v>0</v>
      </c>
      <c r="BD54" s="424">
        <f t="shared" si="195"/>
        <v>0</v>
      </c>
      <c r="BE54" s="424">
        <f t="shared" si="195"/>
        <v>0</v>
      </c>
      <c r="BF54" s="424">
        <f t="shared" si="195"/>
        <v>0</v>
      </c>
      <c r="BG54" s="424">
        <f t="shared" si="195"/>
        <v>0</v>
      </c>
      <c r="BH54" s="424">
        <f>+IF(AG$71=0,0,IF(AG$71&lt;0,-RANK(BC54,BC$7:BC$68,0),RANK(BC54,BC$7:BC$68,1)))</f>
        <v>0</v>
      </c>
      <c r="BI54" s="425"/>
      <c r="BJ54" s="425"/>
      <c r="BK54" s="425"/>
      <c r="BL54" s="425"/>
      <c r="BM54" s="425"/>
    </row>
    <row r="55" spans="1:65" s="426" customFormat="1" ht="15.95" customHeight="1">
      <c r="A55" s="364"/>
      <c r="B55" s="365"/>
      <c r="C55" s="366"/>
      <c r="D55" s="410" t="s">
        <v>902</v>
      </c>
      <c r="E55" s="411">
        <f>+E56</f>
        <v>9485355002</v>
      </c>
      <c r="F55" s="412">
        <f t="shared" ref="F55:V55" si="196">+F56</f>
        <v>0</v>
      </c>
      <c r="G55" s="413">
        <f t="shared" si="196"/>
        <v>0</v>
      </c>
      <c r="H55" s="413">
        <f t="shared" si="196"/>
        <v>0</v>
      </c>
      <c r="I55" s="414">
        <f t="shared" si="196"/>
        <v>0</v>
      </c>
      <c r="J55" s="414">
        <f t="shared" si="196"/>
        <v>0</v>
      </c>
      <c r="K55" s="415">
        <f t="shared" si="196"/>
        <v>0</v>
      </c>
      <c r="L55" s="411">
        <f t="shared" si="196"/>
        <v>0</v>
      </c>
      <c r="M55" s="411">
        <f t="shared" si="196"/>
        <v>0</v>
      </c>
      <c r="N55" s="416">
        <f t="shared" ref="N55:U55" si="197">+N56</f>
        <v>0</v>
      </c>
      <c r="O55" s="417">
        <f t="shared" si="197"/>
        <v>0</v>
      </c>
      <c r="P55" s="417">
        <f t="shared" si="197"/>
        <v>0</v>
      </c>
      <c r="Q55" s="417">
        <f t="shared" si="197"/>
        <v>0</v>
      </c>
      <c r="R55" s="417">
        <f t="shared" si="197"/>
        <v>0</v>
      </c>
      <c r="S55" s="417">
        <f t="shared" si="197"/>
        <v>0</v>
      </c>
      <c r="T55" s="417">
        <f t="shared" si="197"/>
        <v>0</v>
      </c>
      <c r="U55" s="417">
        <f t="shared" si="197"/>
        <v>9485355002</v>
      </c>
      <c r="V55" s="418">
        <f t="shared" si="196"/>
        <v>9485355002</v>
      </c>
      <c r="W55" s="412">
        <f t="shared" ref="W55:AI55" si="198">+W56</f>
        <v>0</v>
      </c>
      <c r="X55" s="413">
        <f t="shared" si="198"/>
        <v>0</v>
      </c>
      <c r="Y55" s="413">
        <f t="shared" si="198"/>
        <v>0</v>
      </c>
      <c r="Z55" s="413">
        <f t="shared" si="198"/>
        <v>0</v>
      </c>
      <c r="AA55" s="414">
        <f t="shared" si="198"/>
        <v>0</v>
      </c>
      <c r="AB55" s="415">
        <f t="shared" si="198"/>
        <v>0</v>
      </c>
      <c r="AC55" s="419">
        <f t="shared" ref="AC55:AH55" si="199">+AC56</f>
        <v>0</v>
      </c>
      <c r="AD55" s="420">
        <f t="shared" si="199"/>
        <v>0</v>
      </c>
      <c r="AE55" s="420">
        <f t="shared" si="199"/>
        <v>0</v>
      </c>
      <c r="AF55" s="420">
        <f t="shared" si="199"/>
        <v>0</v>
      </c>
      <c r="AG55" s="420">
        <f t="shared" si="199"/>
        <v>0</v>
      </c>
      <c r="AH55" s="421">
        <f t="shared" si="199"/>
        <v>0</v>
      </c>
      <c r="AI55" s="422">
        <f t="shared" si="198"/>
        <v>9485355002</v>
      </c>
      <c r="AJ55" s="442"/>
      <c r="AK55" s="442"/>
      <c r="AL55" s="442"/>
      <c r="AM55" s="442"/>
      <c r="AN55" s="442"/>
      <c r="AO55" s="424"/>
      <c r="AP55" s="424"/>
      <c r="AQ55" s="424"/>
      <c r="AR55" s="424"/>
      <c r="AS55" s="424"/>
      <c r="AT55" s="425"/>
      <c r="AU55" s="425"/>
      <c r="AV55" s="425"/>
      <c r="AW55" s="425"/>
      <c r="AX55" s="425"/>
      <c r="AY55" s="423"/>
      <c r="AZ55" s="423"/>
      <c r="BA55" s="423"/>
      <c r="BB55" s="423"/>
      <c r="BC55" s="423"/>
      <c r="BD55" s="424"/>
      <c r="BE55" s="424"/>
      <c r="BF55" s="424"/>
      <c r="BG55" s="424"/>
      <c r="BH55" s="424"/>
      <c r="BI55" s="425"/>
      <c r="BJ55" s="425"/>
      <c r="BK55" s="425"/>
      <c r="BL55" s="425"/>
      <c r="BM55" s="425"/>
    </row>
    <row r="56" spans="1:65" s="426" customFormat="1" ht="15.95" customHeight="1">
      <c r="A56" s="378"/>
      <c r="B56" s="379">
        <v>4821301</v>
      </c>
      <c r="C56" s="380"/>
      <c r="D56" s="477" t="s">
        <v>903</v>
      </c>
      <c r="E56" s="504">
        <f>+SUMIFS(全伝票!I:I,全伝票!$B:$B,$B56)</f>
        <v>9485355002</v>
      </c>
      <c r="F56" s="505">
        <f>+SUMIFS(全伝票!J:J,全伝票!$B:$B,$B56)</f>
        <v>0</v>
      </c>
      <c r="G56" s="506">
        <f>+SUMIFS(全伝票!K:K,全伝票!$B:$B,$B56)</f>
        <v>0</v>
      </c>
      <c r="H56" s="506">
        <f>+SUMIFS(全伝票!L:L,全伝票!$B:$B,$B56)</f>
        <v>0</v>
      </c>
      <c r="I56" s="507">
        <f>+SUMIFS(全伝票!M:M,全伝票!$B:$B,$B56)</f>
        <v>0</v>
      </c>
      <c r="J56" s="507">
        <f>+SUMIFS(全伝票!N:N,全伝票!$B:$B,$B56)</f>
        <v>0</v>
      </c>
      <c r="K56" s="482">
        <f>SUM(F56:J56)</f>
        <v>0</v>
      </c>
      <c r="L56" s="504">
        <f>+SUMIFS(全伝票!O:O,全伝票!$B:$B,$B56)</f>
        <v>0</v>
      </c>
      <c r="M56" s="478"/>
      <c r="N56" s="479"/>
      <c r="O56" s="480"/>
      <c r="P56" s="480"/>
      <c r="Q56" s="480"/>
      <c r="R56" s="480"/>
      <c r="S56" s="480">
        <f>SUM(N56:R56)</f>
        <v>0</v>
      </c>
      <c r="T56" s="480"/>
      <c r="U56" s="480">
        <f>+V56-SUM(S56:T56)</f>
        <v>9485355002</v>
      </c>
      <c r="V56" s="509">
        <f>+SUMIFS(全伝票!P:P,全伝票!$B:$B,$B56)</f>
        <v>9485355002</v>
      </c>
      <c r="W56" s="479">
        <f>+ROUND(F56*F$6/(100+F$6),0)+AT56</f>
        <v>0</v>
      </c>
      <c r="X56" s="480">
        <f>+ROUND(G56*G$6/(100+G$6),0)+AU56</f>
        <v>0</v>
      </c>
      <c r="Y56" s="480">
        <f>+ROUND(H56*H$6/(100+H$6),0)+AV56</f>
        <v>0</v>
      </c>
      <c r="Z56" s="480">
        <f>+ROUND(I56*I$6/(100+I$6),0)+AW56</f>
        <v>0</v>
      </c>
      <c r="AA56" s="481">
        <f>+ROUND(J56*J$6/(100+J$6),0)+AX56</f>
        <v>0</v>
      </c>
      <c r="AB56" s="482">
        <f>SUM(W56:AA56)</f>
        <v>0</v>
      </c>
      <c r="AC56" s="483">
        <f>+ROUND(N56*AC$6/(100+AC$6),0)+BI56</f>
        <v>0</v>
      </c>
      <c r="AD56" s="484">
        <f>+ROUND(O56*AD$6/(100+AD$6),0)+BJ56</f>
        <v>0</v>
      </c>
      <c r="AE56" s="484">
        <f>+ROUND(P56*AE$6/(100+AE$6),0)+BK56</f>
        <v>0</v>
      </c>
      <c r="AF56" s="484">
        <f>+ROUND(Q56*AF$6/(100+AF$6),0)+BL56</f>
        <v>0</v>
      </c>
      <c r="AG56" s="484">
        <f>+ROUND(R56*AG$6/(100+AG$6),0)+BM56</f>
        <v>0</v>
      </c>
      <c r="AH56" s="485">
        <f>SUM(AC56:AG56)</f>
        <v>0</v>
      </c>
      <c r="AI56" s="486">
        <f>+E56-AB56</f>
        <v>9485355002</v>
      </c>
      <c r="AJ56" s="423"/>
      <c r="AK56" s="423"/>
      <c r="AL56" s="423"/>
      <c r="AM56" s="423"/>
      <c r="AN56" s="423"/>
      <c r="AO56" s="424"/>
      <c r="AP56" s="424"/>
      <c r="AQ56" s="424"/>
      <c r="AR56" s="424"/>
      <c r="AS56" s="424"/>
      <c r="AT56" s="425"/>
      <c r="AU56" s="425"/>
      <c r="AV56" s="425"/>
      <c r="AW56" s="425"/>
      <c r="AX56" s="425"/>
      <c r="AY56" s="423"/>
      <c r="AZ56" s="423"/>
      <c r="BA56" s="423"/>
      <c r="BB56" s="423"/>
      <c r="BC56" s="423"/>
      <c r="BD56" s="424"/>
      <c r="BE56" s="424"/>
      <c r="BF56" s="424"/>
      <c r="BG56" s="424"/>
      <c r="BH56" s="424"/>
      <c r="BI56" s="425"/>
      <c r="BJ56" s="425"/>
      <c r="BK56" s="425"/>
      <c r="BL56" s="425"/>
      <c r="BM56" s="425"/>
    </row>
    <row r="57" spans="1:65" s="426" customFormat="1" ht="15.95" customHeight="1">
      <c r="A57" s="381"/>
      <c r="B57" s="382"/>
      <c r="C57" s="383"/>
      <c r="D57" s="512" t="s">
        <v>960</v>
      </c>
      <c r="E57" s="513">
        <f>+SUM(E28,E32,E39,E42,E49,E51,E55)</f>
        <v>9584600552</v>
      </c>
      <c r="F57" s="514">
        <f t="shared" ref="F57:V57" si="200">+SUM(F28,F32,F39,F42,F49,F51,F55)</f>
        <v>0</v>
      </c>
      <c r="G57" s="515">
        <f t="shared" si="200"/>
        <v>0</v>
      </c>
      <c r="H57" s="515">
        <f t="shared" si="200"/>
        <v>0</v>
      </c>
      <c r="I57" s="516">
        <f t="shared" ref="I57" si="201">+SUM(I28,I32,I39,I42,I49,I51,I55)</f>
        <v>0</v>
      </c>
      <c r="J57" s="516">
        <f t="shared" si="200"/>
        <v>50330530</v>
      </c>
      <c r="K57" s="517">
        <f t="shared" si="200"/>
        <v>50330530</v>
      </c>
      <c r="L57" s="513">
        <f t="shared" si="200"/>
        <v>22032960</v>
      </c>
      <c r="M57" s="513">
        <f t="shared" ref="M57" si="202">+SUM(M28,M32,M39,M42,M49,M51,M55)</f>
        <v>0</v>
      </c>
      <c r="N57" s="514">
        <f t="shared" ref="N57:U57" si="203">+SUM(N28,N32,N39,N42,N49,N51,N55)</f>
        <v>0</v>
      </c>
      <c r="O57" s="515">
        <f t="shared" si="203"/>
        <v>0</v>
      </c>
      <c r="P57" s="515">
        <f t="shared" si="203"/>
        <v>35</v>
      </c>
      <c r="Q57" s="515">
        <f t="shared" ref="Q57" si="204">+SUM(Q28,Q32,Q39,Q42,Q49,Q51,Q55)</f>
        <v>14</v>
      </c>
      <c r="R57" s="515">
        <f t="shared" si="203"/>
        <v>5625278</v>
      </c>
      <c r="S57" s="515">
        <f t="shared" si="203"/>
        <v>5625327</v>
      </c>
      <c r="T57" s="515">
        <f t="shared" si="203"/>
        <v>21256733</v>
      </c>
      <c r="U57" s="515">
        <f t="shared" si="203"/>
        <v>9485355002</v>
      </c>
      <c r="V57" s="517">
        <f t="shared" si="200"/>
        <v>9512237062</v>
      </c>
      <c r="W57" s="514">
        <f t="shared" ref="W57:AI57" si="205">+SUM(W28,W32,W39,W42,W49,W51,W55)</f>
        <v>0</v>
      </c>
      <c r="X57" s="515">
        <f t="shared" si="205"/>
        <v>0</v>
      </c>
      <c r="Y57" s="515">
        <f t="shared" si="205"/>
        <v>0</v>
      </c>
      <c r="Z57" s="515">
        <f t="shared" ref="Z57" si="206">+SUM(Z28,Z32,Z39,Z42,Z49,Z51,Z55)</f>
        <v>0</v>
      </c>
      <c r="AA57" s="516">
        <f t="shared" si="205"/>
        <v>4575502</v>
      </c>
      <c r="AB57" s="517">
        <f t="shared" si="205"/>
        <v>4575502</v>
      </c>
      <c r="AC57" s="518">
        <f t="shared" ref="AC57:AH57" si="207">+SUM(AC28,AC32,AC39,AC42,AC49,AC51,AC55)</f>
        <v>0</v>
      </c>
      <c r="AD57" s="519">
        <f t="shared" si="207"/>
        <v>0</v>
      </c>
      <c r="AE57" s="519">
        <f t="shared" si="207"/>
        <v>3</v>
      </c>
      <c r="AF57" s="519">
        <f t="shared" si="207"/>
        <v>1</v>
      </c>
      <c r="AG57" s="519">
        <f t="shared" si="207"/>
        <v>511389</v>
      </c>
      <c r="AH57" s="520">
        <f t="shared" si="207"/>
        <v>511393</v>
      </c>
      <c r="AI57" s="521">
        <f t="shared" si="205"/>
        <v>9581905615</v>
      </c>
      <c r="AJ57" s="442"/>
      <c r="AK57" s="442"/>
      <c r="AL57" s="442"/>
      <c r="AM57" s="442"/>
      <c r="AN57" s="442"/>
      <c r="AO57" s="424"/>
      <c r="AP57" s="424"/>
      <c r="AQ57" s="424"/>
      <c r="AR57" s="424"/>
      <c r="AS57" s="424"/>
      <c r="AT57" s="425"/>
      <c r="AU57" s="425"/>
      <c r="AV57" s="425"/>
      <c r="AW57" s="425"/>
      <c r="AX57" s="425"/>
      <c r="AY57" s="423"/>
      <c r="AZ57" s="423"/>
      <c r="BA57" s="423"/>
      <c r="BB57" s="423"/>
      <c r="BC57" s="423"/>
      <c r="BD57" s="424"/>
      <c r="BE57" s="424"/>
      <c r="BF57" s="424"/>
      <c r="BG57" s="424"/>
      <c r="BH57" s="424"/>
      <c r="BI57" s="425"/>
      <c r="BJ57" s="425"/>
      <c r="BK57" s="425"/>
      <c r="BL57" s="425"/>
      <c r="BM57" s="425"/>
    </row>
    <row r="58" spans="1:65" s="426" customFormat="1" ht="15.95" customHeight="1">
      <c r="A58" s="364"/>
      <c r="B58" s="365"/>
      <c r="C58" s="366"/>
      <c r="D58" s="410" t="s">
        <v>961</v>
      </c>
      <c r="E58" s="411">
        <f>+E59</f>
        <v>0</v>
      </c>
      <c r="F58" s="412">
        <f t="shared" ref="F58:V58" si="208">+F59</f>
        <v>0</v>
      </c>
      <c r="G58" s="413">
        <f t="shared" si="208"/>
        <v>0</v>
      </c>
      <c r="H58" s="413">
        <f t="shared" si="208"/>
        <v>0</v>
      </c>
      <c r="I58" s="414">
        <f t="shared" si="208"/>
        <v>0</v>
      </c>
      <c r="J58" s="414">
        <f t="shared" si="208"/>
        <v>0</v>
      </c>
      <c r="K58" s="415">
        <f t="shared" si="208"/>
        <v>0</v>
      </c>
      <c r="L58" s="411">
        <f t="shared" si="208"/>
        <v>0</v>
      </c>
      <c r="M58" s="411">
        <f t="shared" si="208"/>
        <v>0</v>
      </c>
      <c r="N58" s="416">
        <f t="shared" ref="N58:U58" si="209">+N59</f>
        <v>0</v>
      </c>
      <c r="O58" s="417">
        <f t="shared" si="209"/>
        <v>0</v>
      </c>
      <c r="P58" s="417">
        <f t="shared" si="209"/>
        <v>0</v>
      </c>
      <c r="Q58" s="417">
        <f t="shared" si="209"/>
        <v>0</v>
      </c>
      <c r="R58" s="417">
        <f t="shared" si="209"/>
        <v>0</v>
      </c>
      <c r="S58" s="417">
        <f t="shared" si="209"/>
        <v>0</v>
      </c>
      <c r="T58" s="417">
        <f t="shared" si="209"/>
        <v>0</v>
      </c>
      <c r="U58" s="417">
        <f t="shared" si="209"/>
        <v>0</v>
      </c>
      <c r="V58" s="418">
        <f t="shared" si="208"/>
        <v>0</v>
      </c>
      <c r="W58" s="412">
        <f t="shared" ref="W58:AI58" si="210">+W59</f>
        <v>0</v>
      </c>
      <c r="X58" s="413">
        <f t="shared" si="210"/>
        <v>0</v>
      </c>
      <c r="Y58" s="413">
        <f t="shared" si="210"/>
        <v>0</v>
      </c>
      <c r="Z58" s="413">
        <f t="shared" si="210"/>
        <v>0</v>
      </c>
      <c r="AA58" s="414">
        <f t="shared" si="210"/>
        <v>0</v>
      </c>
      <c r="AB58" s="415">
        <f t="shared" si="210"/>
        <v>0</v>
      </c>
      <c r="AC58" s="419">
        <f t="shared" ref="AC58:AH58" si="211">+AC59</f>
        <v>0</v>
      </c>
      <c r="AD58" s="420">
        <f t="shared" si="211"/>
        <v>0</v>
      </c>
      <c r="AE58" s="420">
        <f t="shared" si="211"/>
        <v>0</v>
      </c>
      <c r="AF58" s="420">
        <f t="shared" si="211"/>
        <v>0</v>
      </c>
      <c r="AG58" s="420">
        <f t="shared" si="211"/>
        <v>0</v>
      </c>
      <c r="AH58" s="421">
        <f t="shared" si="211"/>
        <v>0</v>
      </c>
      <c r="AI58" s="422">
        <f t="shared" si="210"/>
        <v>0</v>
      </c>
      <c r="AJ58" s="442"/>
      <c r="AK58" s="442"/>
      <c r="AL58" s="442"/>
      <c r="AM58" s="442"/>
      <c r="AN58" s="442"/>
      <c r="AO58" s="424"/>
      <c r="AP58" s="424"/>
      <c r="AQ58" s="424"/>
      <c r="AR58" s="424"/>
      <c r="AS58" s="424"/>
      <c r="AT58" s="425"/>
      <c r="AU58" s="425"/>
      <c r="AV58" s="425"/>
      <c r="AW58" s="425"/>
      <c r="AX58" s="425"/>
      <c r="AY58" s="423"/>
      <c r="AZ58" s="423"/>
      <c r="BA58" s="423"/>
      <c r="BB58" s="423"/>
      <c r="BC58" s="423"/>
      <c r="BD58" s="424"/>
      <c r="BE58" s="424"/>
      <c r="BF58" s="424"/>
      <c r="BG58" s="424"/>
      <c r="BH58" s="424"/>
      <c r="BI58" s="425"/>
      <c r="BJ58" s="425"/>
      <c r="BK58" s="425"/>
      <c r="BL58" s="425"/>
      <c r="BM58" s="425"/>
    </row>
    <row r="59" spans="1:65" s="426" customFormat="1" ht="15.95" customHeight="1">
      <c r="A59" s="367"/>
      <c r="B59" s="368"/>
      <c r="C59" s="369">
        <v>483020200</v>
      </c>
      <c r="D59" s="427" t="s">
        <v>951</v>
      </c>
      <c r="E59" s="428">
        <f>+SUMIFS(全伝票!I:I,全伝票!$C:$C,$C59)</f>
        <v>0</v>
      </c>
      <c r="F59" s="429">
        <f>+SUMIFS(全伝票!J:J,全伝票!$C:$C,$C59)</f>
        <v>0</v>
      </c>
      <c r="G59" s="430">
        <f>+SUMIFS(全伝票!K:K,全伝票!$C:$C,$C59)</f>
        <v>0</v>
      </c>
      <c r="H59" s="430">
        <f>+SUMIFS(全伝票!L:L,全伝票!$C:$C,$C59)</f>
        <v>0</v>
      </c>
      <c r="I59" s="431">
        <f>+SUMIFS(全伝票!M:M,全伝票!$C:$C,$C59)</f>
        <v>0</v>
      </c>
      <c r="J59" s="431">
        <f>+SUMIFS(全伝票!N:N,全伝票!$C:$C,$C59)</f>
        <v>0</v>
      </c>
      <c r="K59" s="432">
        <f>SUM(F59:J59)</f>
        <v>0</v>
      </c>
      <c r="L59" s="428">
        <f>+SUMIFS(全伝票!O:O,全伝票!$C:$C,$C59)</f>
        <v>0</v>
      </c>
      <c r="M59" s="457"/>
      <c r="N59" s="434"/>
      <c r="O59" s="435"/>
      <c r="P59" s="435"/>
      <c r="Q59" s="435"/>
      <c r="R59" s="435"/>
      <c r="S59" s="435">
        <f>SUM(N59:R59)</f>
        <v>0</v>
      </c>
      <c r="T59" s="435"/>
      <c r="U59" s="435">
        <f>+V59-SUM(S59:T59)</f>
        <v>0</v>
      </c>
      <c r="V59" s="436">
        <f>+SUMIFS(全伝票!P:P,全伝票!$C:$C,$C59)</f>
        <v>0</v>
      </c>
      <c r="W59" s="434">
        <f>+ROUND(F59*F$6/(100+F$6),0)+AT59</f>
        <v>0</v>
      </c>
      <c r="X59" s="435">
        <f>+ROUND(G59*G$6/(100+G$6),0)+AU59</f>
        <v>0</v>
      </c>
      <c r="Y59" s="435">
        <f>+ROUND(H59*H$6/(100+H$6),0)+AV59</f>
        <v>0</v>
      </c>
      <c r="Z59" s="435">
        <f>+ROUND(I59*I$6/(100+I$6),0)+AW59</f>
        <v>0</v>
      </c>
      <c r="AA59" s="437">
        <f>+ROUND(J59*J$6/(100+J$6),0)+AX59</f>
        <v>0</v>
      </c>
      <c r="AB59" s="432">
        <f>SUM(W59:AA59)</f>
        <v>0</v>
      </c>
      <c r="AC59" s="438">
        <f>+ROUND(N59*AC$6/(100+AC$6),0)+BI59</f>
        <v>0</v>
      </c>
      <c r="AD59" s="439">
        <f>+ROUND(O59*AD$6/(100+AD$6),0)+BJ59</f>
        <v>0</v>
      </c>
      <c r="AE59" s="439">
        <f>+ROUND(P59*AE$6/(100+AE$6),0)+BK59</f>
        <v>0</v>
      </c>
      <c r="AF59" s="439">
        <f>+ROUND(Q59*AF$6/(100+AF$6),0)+BL59</f>
        <v>0</v>
      </c>
      <c r="AG59" s="439">
        <f>+ROUND(R59*AG$6/(100+AG$6),0)+BM59</f>
        <v>0</v>
      </c>
      <c r="AH59" s="440">
        <f>SUM(AC59:AG59)</f>
        <v>0</v>
      </c>
      <c r="AI59" s="441">
        <f>+E59-AB59</f>
        <v>0</v>
      </c>
      <c r="AJ59" s="423">
        <f>W59-F59*W$6/(100+W$6)</f>
        <v>0</v>
      </c>
      <c r="AK59" s="423">
        <f>X59-G59*X$6/(100+X$6)</f>
        <v>0</v>
      </c>
      <c r="AL59" s="423">
        <f>Y59-H59*Y$6/(100+Y$6)</f>
        <v>0</v>
      </c>
      <c r="AM59" s="423">
        <f>Z59-I59*Z$6/(100+Z$6)</f>
        <v>0</v>
      </c>
      <c r="AN59" s="423">
        <f>AA59-J59*AA$6/(100+AA$6)</f>
        <v>0</v>
      </c>
      <c r="AO59" s="424">
        <f>+IF(W$71=0,0,IF(W$71&lt;0,-RANK(AJ59,AJ$7:AJ$68,0),RANK(AJ59,AJ$7:AJ$68,1)))</f>
        <v>0</v>
      </c>
      <c r="AP59" s="424">
        <f>+IF(X$71=0,0,IF(X$71&lt;0,-RANK(AK59,AK$7:AK$68,0),RANK(AK59,AK$7:AK$68,1)))</f>
        <v>0</v>
      </c>
      <c r="AQ59" s="424">
        <f>+IF(Y$71=0,0,IF(Y$71&lt;0,-RANK(AL59,AL$7:AL$68,0),RANK(AL59,AL$7:AL$68,1)))</f>
        <v>0</v>
      </c>
      <c r="AR59" s="424">
        <f>+IF(Z$71=0,0,IF(Z$71&lt;0,-RANK(AM59,AM$7:AM$68,0),RANK(AM59,AM$7:AM$68,1)))</f>
        <v>0</v>
      </c>
      <c r="AS59" s="424">
        <f>+IF(AA$71=0,0,IF(AA$71&lt;0,-RANK(AN59,AN$7:AN$68,0),RANK(AN59,AN$7:AN$68,1)))</f>
        <v>0</v>
      </c>
      <c r="AT59" s="425"/>
      <c r="AU59" s="425"/>
      <c r="AV59" s="425"/>
      <c r="AW59" s="425"/>
      <c r="AX59" s="425"/>
      <c r="AY59" s="423">
        <f t="shared" si="173"/>
        <v>0</v>
      </c>
      <c r="AZ59" s="423">
        <f t="shared" si="174"/>
        <v>0</v>
      </c>
      <c r="BA59" s="423">
        <f t="shared" si="175"/>
        <v>0</v>
      </c>
      <c r="BB59" s="423">
        <f t="shared" si="175"/>
        <v>0</v>
      </c>
      <c r="BC59" s="423">
        <f t="shared" si="176"/>
        <v>0</v>
      </c>
      <c r="BD59" s="424">
        <f>+IF(AC$71=0,0,IF(AC$71&lt;0,-RANK(AY59,AY$7:AY$68,0),RANK(AY59,AY$7:AY$68,1)))</f>
        <v>0</v>
      </c>
      <c r="BE59" s="424">
        <f>+IF(AD$71=0,0,IF(AD$71&lt;0,-RANK(AZ59,AZ$7:AZ$68,0),RANK(AZ59,AZ$7:AZ$68,1)))</f>
        <v>0</v>
      </c>
      <c r="BF59" s="424">
        <f>+IF(AE$71=0,0,IF(AE$71&lt;0,-RANK(BA59,BA$7:BA$68,0),RANK(BA59,BA$7:BA$68,1)))</f>
        <v>0</v>
      </c>
      <c r="BG59" s="424">
        <f>+IF(AF$71=0,0,IF(AF$71&lt;0,-RANK(BB59,BB$7:BB$68,0),RANK(BB59,BB$7:BB$68,1)))</f>
        <v>0</v>
      </c>
      <c r="BH59" s="424">
        <f>+IF(AG$71=0,0,IF(AG$71&lt;0,-RANK(BC59,BC$7:BC$68,0),RANK(BC59,BC$7:BC$68,1)))</f>
        <v>0</v>
      </c>
      <c r="BI59" s="425"/>
      <c r="BJ59" s="425"/>
      <c r="BK59" s="425"/>
      <c r="BL59" s="425"/>
      <c r="BM59" s="425"/>
    </row>
    <row r="60" spans="1:65" s="426" customFormat="1" ht="15.95" customHeight="1">
      <c r="A60" s="364"/>
      <c r="B60" s="365"/>
      <c r="C60" s="366"/>
      <c r="D60" s="410" t="s">
        <v>962</v>
      </c>
      <c r="E60" s="411">
        <f>+E61</f>
        <v>2769570</v>
      </c>
      <c r="F60" s="412">
        <f t="shared" ref="F60:V60" si="212">+F61</f>
        <v>0</v>
      </c>
      <c r="G60" s="413">
        <f t="shared" si="212"/>
        <v>0</v>
      </c>
      <c r="H60" s="413">
        <f t="shared" si="212"/>
        <v>47053</v>
      </c>
      <c r="I60" s="414">
        <f t="shared" si="212"/>
        <v>0</v>
      </c>
      <c r="J60" s="414">
        <f t="shared" si="212"/>
        <v>1566432</v>
      </c>
      <c r="K60" s="415">
        <f t="shared" si="212"/>
        <v>1613485</v>
      </c>
      <c r="L60" s="411">
        <f t="shared" si="212"/>
        <v>910</v>
      </c>
      <c r="M60" s="411">
        <f t="shared" si="212"/>
        <v>0</v>
      </c>
      <c r="N60" s="416">
        <f t="shared" ref="N60:U60" si="213">+N61</f>
        <v>0</v>
      </c>
      <c r="O60" s="417">
        <f t="shared" si="213"/>
        <v>0</v>
      </c>
      <c r="P60" s="417">
        <f t="shared" si="213"/>
        <v>0</v>
      </c>
      <c r="Q60" s="417">
        <f t="shared" si="213"/>
        <v>0</v>
      </c>
      <c r="R60" s="417">
        <f t="shared" si="213"/>
        <v>0</v>
      </c>
      <c r="S60" s="417">
        <f t="shared" si="213"/>
        <v>0</v>
      </c>
      <c r="T60" s="417">
        <f t="shared" si="213"/>
        <v>1155175</v>
      </c>
      <c r="U60" s="417">
        <f t="shared" si="213"/>
        <v>0</v>
      </c>
      <c r="V60" s="418">
        <f t="shared" si="212"/>
        <v>1155175</v>
      </c>
      <c r="W60" s="412">
        <f t="shared" ref="W60:AI60" si="214">+W61</f>
        <v>0</v>
      </c>
      <c r="X60" s="413">
        <f t="shared" si="214"/>
        <v>0</v>
      </c>
      <c r="Y60" s="413">
        <f t="shared" si="214"/>
        <v>3485</v>
      </c>
      <c r="Z60" s="413">
        <f t="shared" si="214"/>
        <v>0</v>
      </c>
      <c r="AA60" s="414">
        <f t="shared" si="214"/>
        <v>142403</v>
      </c>
      <c r="AB60" s="415">
        <f t="shared" si="214"/>
        <v>145888</v>
      </c>
      <c r="AC60" s="419">
        <f t="shared" ref="AC60:AH60" si="215">+AC61</f>
        <v>0</v>
      </c>
      <c r="AD60" s="420">
        <f t="shared" si="215"/>
        <v>0</v>
      </c>
      <c r="AE60" s="420">
        <f t="shared" si="215"/>
        <v>0</v>
      </c>
      <c r="AF60" s="420">
        <f t="shared" si="215"/>
        <v>0</v>
      </c>
      <c r="AG60" s="420">
        <f t="shared" si="215"/>
        <v>0</v>
      </c>
      <c r="AH60" s="421">
        <f t="shared" si="215"/>
        <v>0</v>
      </c>
      <c r="AI60" s="422">
        <f t="shared" si="214"/>
        <v>2623682</v>
      </c>
      <c r="AJ60" s="442"/>
      <c r="AK60" s="442"/>
      <c r="AL60" s="442"/>
      <c r="AM60" s="442"/>
      <c r="AN60" s="442"/>
      <c r="AO60" s="424"/>
      <c r="AP60" s="424"/>
      <c r="AQ60" s="424"/>
      <c r="AR60" s="424"/>
      <c r="AS60" s="424"/>
      <c r="AT60" s="425"/>
      <c r="AU60" s="425"/>
      <c r="AV60" s="425"/>
      <c r="AW60" s="425"/>
      <c r="AX60" s="425"/>
      <c r="AY60" s="423"/>
      <c r="AZ60" s="423"/>
      <c r="BA60" s="423"/>
      <c r="BB60" s="423"/>
      <c r="BC60" s="423"/>
      <c r="BD60" s="424"/>
      <c r="BE60" s="424"/>
      <c r="BF60" s="424"/>
      <c r="BG60" s="424"/>
      <c r="BH60" s="424"/>
      <c r="BI60" s="425"/>
      <c r="BJ60" s="425"/>
      <c r="BK60" s="425"/>
      <c r="BL60" s="425"/>
      <c r="BM60" s="425"/>
    </row>
    <row r="61" spans="1:65" s="426" customFormat="1" ht="15.95" customHeight="1">
      <c r="A61" s="378"/>
      <c r="B61" s="379"/>
      <c r="C61" s="380">
        <v>483040400</v>
      </c>
      <c r="D61" s="477" t="s">
        <v>952</v>
      </c>
      <c r="E61" s="504">
        <f>+SUMIFS(全伝票!I:I,全伝票!$C:$C,$C61)</f>
        <v>2769570</v>
      </c>
      <c r="F61" s="505">
        <f>+SUMIFS(全伝票!J:J,全伝票!$C:$C,$C61)</f>
        <v>0</v>
      </c>
      <c r="G61" s="506">
        <f>+SUMIFS(全伝票!K:K,全伝票!$C:$C,$C61)</f>
        <v>0</v>
      </c>
      <c r="H61" s="506">
        <f>+SUMIFS(全伝票!L:L,全伝票!$C:$C,$C61)</f>
        <v>47053</v>
      </c>
      <c r="I61" s="507">
        <f>+SUMIFS(全伝票!M:M,全伝票!$C:$C,$C61)</f>
        <v>0</v>
      </c>
      <c r="J61" s="507">
        <f>+SUMIFS(全伝票!N:N,全伝票!$C:$C,$C61)</f>
        <v>1566432</v>
      </c>
      <c r="K61" s="482">
        <f>SUM(F61:J61)</f>
        <v>1613485</v>
      </c>
      <c r="L61" s="504">
        <f>+SUMIFS(全伝票!O:O,全伝票!$C:$C,$C61)</f>
        <v>910</v>
      </c>
      <c r="M61" s="478"/>
      <c r="N61" s="479"/>
      <c r="O61" s="480"/>
      <c r="P61" s="508">
        <f>+'3条その他'!L$33</f>
        <v>0</v>
      </c>
      <c r="Q61" s="508">
        <f>+'3条その他'!M$33</f>
        <v>0</v>
      </c>
      <c r="R61" s="508">
        <f>+'3条その他'!N$33</f>
        <v>0</v>
      </c>
      <c r="S61" s="480">
        <f>SUM(N61:R61)</f>
        <v>0</v>
      </c>
      <c r="T61" s="508">
        <f>+'3条その他'!$I$32</f>
        <v>1155175</v>
      </c>
      <c r="U61" s="480">
        <f>+V61-SUM(S61:T61)</f>
        <v>0</v>
      </c>
      <c r="V61" s="509">
        <f>+SUMIFS(全伝票!P:P,全伝票!$C:$C,$C61)</f>
        <v>1155175</v>
      </c>
      <c r="W61" s="479">
        <f>+ROUND(F61*F$6/(100+F$6),0)+AT61</f>
        <v>0</v>
      </c>
      <c r="X61" s="480">
        <f>+ROUND(G61*G$6/(100+G$6),0)+AU61</f>
        <v>0</v>
      </c>
      <c r="Y61" s="480">
        <f>+ROUND(H61*H$6/(100+H$6),0)+AV61</f>
        <v>3485</v>
      </c>
      <c r="Z61" s="480">
        <f>+ROUND(I61*I$6/(100+I$6),0)+AW61</f>
        <v>0</v>
      </c>
      <c r="AA61" s="481">
        <f>+ROUND(J61*J$6/(100+J$6),0)+AX61</f>
        <v>142403</v>
      </c>
      <c r="AB61" s="482">
        <f>SUM(W61:AA61)</f>
        <v>145888</v>
      </c>
      <c r="AC61" s="483">
        <f>+ROUND(N61*AC$6/(100+AC$6),0)+BI61</f>
        <v>0</v>
      </c>
      <c r="AD61" s="484">
        <f>+ROUND(O61*AD$6/(100+AD$6),0)+BJ61</f>
        <v>0</v>
      </c>
      <c r="AE61" s="484">
        <f>+ROUND(P61*AE$6/(100+AE$6),0)+BK61</f>
        <v>0</v>
      </c>
      <c r="AF61" s="484">
        <f>+ROUND(Q61*AF$6/(100+AF$6),0)+BL61</f>
        <v>0</v>
      </c>
      <c r="AG61" s="484">
        <f>+ROUND(R61*AG$6/(100+AG$6),0)+BM61</f>
        <v>0</v>
      </c>
      <c r="AH61" s="485">
        <f>SUM(AC61:AG61)</f>
        <v>0</v>
      </c>
      <c r="AI61" s="486">
        <f>+E61-AB61</f>
        <v>2623682</v>
      </c>
      <c r="AJ61" s="423">
        <f>W61-F61*W$6/(100+W$6)</f>
        <v>0</v>
      </c>
      <c r="AK61" s="423">
        <f>X61-G61*X$6/(100+X$6)</f>
        <v>0</v>
      </c>
      <c r="AL61" s="423">
        <f>Y61-H61*Y$6/(100+Y$6)</f>
        <v>-0.40740740740739056</v>
      </c>
      <c r="AM61" s="423">
        <f>Z61-I61*Z$6/(100+Z$6)</f>
        <v>0</v>
      </c>
      <c r="AN61" s="423">
        <f>AA61-J61*AA$6/(100+AA$6)</f>
        <v>9.0909090911736712E-2</v>
      </c>
      <c r="AO61" s="424">
        <f>+IF(W$71=0,0,IF(W$71&lt;0,-RANK(AJ61,AJ$7:AJ$68,0),RANK(AJ61,AJ$7:AJ$68,1)))</f>
        <v>0</v>
      </c>
      <c r="AP61" s="424">
        <f>+IF(X$71=0,0,IF(X$71&lt;0,-RANK(AK61,AK$7:AK$68,0),RANK(AK61,AK$7:AK$68,1)))</f>
        <v>0</v>
      </c>
      <c r="AQ61" s="424">
        <f>+IF(Y$71=0,0,IF(Y$71&lt;0,-RANK(AL61,AL$7:AL$68,0),RANK(AL61,AL$7:AL$68,1)))</f>
        <v>0</v>
      </c>
      <c r="AR61" s="424">
        <f>+IF(Z$71=0,0,IF(Z$71&lt;0,-RANK(AM61,AM$7:AM$68,0),RANK(AM61,AM$7:AM$68,1)))</f>
        <v>0</v>
      </c>
      <c r="AS61" s="424">
        <f>+IF(AA$71=0,0,IF(AA$71&lt;0,-RANK(AN61,AN$7:AN$68,0),RANK(AN61,AN$7:AN$68,1)))</f>
        <v>0</v>
      </c>
      <c r="AT61" s="425"/>
      <c r="AU61" s="425"/>
      <c r="AV61" s="425"/>
      <c r="AW61" s="425"/>
      <c r="AX61" s="425"/>
      <c r="AY61" s="423">
        <f t="shared" si="173"/>
        <v>0</v>
      </c>
      <c r="AZ61" s="423">
        <f t="shared" si="174"/>
        <v>0</v>
      </c>
      <c r="BA61" s="423">
        <f t="shared" si="175"/>
        <v>0</v>
      </c>
      <c r="BB61" s="423">
        <f t="shared" si="175"/>
        <v>0</v>
      </c>
      <c r="BC61" s="423">
        <f t="shared" si="176"/>
        <v>0</v>
      </c>
      <c r="BD61" s="424">
        <f>+IF(AC$71=0,0,IF(AC$71&lt;0,-RANK(AY61,AY$7:AY$68,0),RANK(AY61,AY$7:AY$68,1)))</f>
        <v>0</v>
      </c>
      <c r="BE61" s="424">
        <f>+IF(AD$71=0,0,IF(AD$71&lt;0,-RANK(AZ61,AZ$7:AZ$68,0),RANK(AZ61,AZ$7:AZ$68,1)))</f>
        <v>0</v>
      </c>
      <c r="BF61" s="424">
        <f>+IF(AE$71=0,0,IF(AE$71&lt;0,-RANK(BA61,BA$7:BA$68,0),RANK(BA61,BA$7:BA$68,1)))</f>
        <v>0</v>
      </c>
      <c r="BG61" s="424">
        <f>+IF(AF$71=0,0,IF(AF$71&lt;0,-RANK(BB61,BB$7:BB$68,0),RANK(BB61,BB$7:BB$68,1)))</f>
        <v>0</v>
      </c>
      <c r="BH61" s="424">
        <f>+IF(AG$71=0,0,IF(AG$71&lt;0,-RANK(BC61,BC$7:BC$68,0),RANK(BC61,BC$7:BC$68,1)))</f>
        <v>0</v>
      </c>
      <c r="BI61" s="425"/>
      <c r="BJ61" s="425"/>
      <c r="BK61" s="425"/>
      <c r="BL61" s="425"/>
      <c r="BM61" s="425"/>
    </row>
    <row r="62" spans="1:65" s="426" customFormat="1" ht="15.95" customHeight="1">
      <c r="A62" s="364"/>
      <c r="B62" s="365"/>
      <c r="C62" s="366"/>
      <c r="D62" s="410" t="s">
        <v>963</v>
      </c>
      <c r="E62" s="411">
        <f>+SUM(E63:E65)</f>
        <v>1429429</v>
      </c>
      <c r="F62" s="412">
        <f t="shared" ref="F62:V62" si="216">+SUM(F63:F65)</f>
        <v>0</v>
      </c>
      <c r="G62" s="413">
        <f t="shared" si="216"/>
        <v>0</v>
      </c>
      <c r="H62" s="413">
        <f t="shared" si="216"/>
        <v>0</v>
      </c>
      <c r="I62" s="414">
        <f t="shared" ref="I62" si="217">+SUM(I63:I65)</f>
        <v>0</v>
      </c>
      <c r="J62" s="414">
        <f t="shared" si="216"/>
        <v>0</v>
      </c>
      <c r="K62" s="415">
        <f t="shared" si="216"/>
        <v>0</v>
      </c>
      <c r="L62" s="411">
        <f t="shared" si="216"/>
        <v>0</v>
      </c>
      <c r="M62" s="411">
        <f t="shared" ref="M62" si="218">+SUM(M63:M65)</f>
        <v>0</v>
      </c>
      <c r="N62" s="412">
        <f t="shared" ref="N62:U62" si="219">+SUM(N63:N65)</f>
        <v>0</v>
      </c>
      <c r="O62" s="413">
        <f t="shared" si="219"/>
        <v>0</v>
      </c>
      <c r="P62" s="413">
        <f t="shared" si="219"/>
        <v>0</v>
      </c>
      <c r="Q62" s="413">
        <f t="shared" ref="Q62" si="220">+SUM(Q63:Q65)</f>
        <v>0</v>
      </c>
      <c r="R62" s="413">
        <f t="shared" si="219"/>
        <v>0</v>
      </c>
      <c r="S62" s="413">
        <f t="shared" si="219"/>
        <v>0</v>
      </c>
      <c r="T62" s="413">
        <f t="shared" si="219"/>
        <v>1429429</v>
      </c>
      <c r="U62" s="413">
        <f t="shared" si="219"/>
        <v>0</v>
      </c>
      <c r="V62" s="415">
        <f t="shared" si="216"/>
        <v>1429429</v>
      </c>
      <c r="W62" s="412">
        <f t="shared" ref="W62:AI62" si="221">+SUM(W63:W65)</f>
        <v>0</v>
      </c>
      <c r="X62" s="413">
        <f t="shared" si="221"/>
        <v>0</v>
      </c>
      <c r="Y62" s="413">
        <f t="shared" si="221"/>
        <v>0</v>
      </c>
      <c r="Z62" s="413">
        <f t="shared" ref="Z62" si="222">+SUM(Z63:Z65)</f>
        <v>0</v>
      </c>
      <c r="AA62" s="414">
        <f t="shared" si="221"/>
        <v>0</v>
      </c>
      <c r="AB62" s="415">
        <f t="shared" si="221"/>
        <v>0</v>
      </c>
      <c r="AC62" s="419">
        <f t="shared" ref="AC62:AH62" si="223">+SUM(AC63:AC65)</f>
        <v>0</v>
      </c>
      <c r="AD62" s="420">
        <f t="shared" si="223"/>
        <v>0</v>
      </c>
      <c r="AE62" s="420">
        <f t="shared" si="223"/>
        <v>0</v>
      </c>
      <c r="AF62" s="420">
        <f t="shared" si="223"/>
        <v>0</v>
      </c>
      <c r="AG62" s="420">
        <f t="shared" si="223"/>
        <v>0</v>
      </c>
      <c r="AH62" s="475">
        <f t="shared" si="223"/>
        <v>0</v>
      </c>
      <c r="AI62" s="422">
        <f t="shared" si="221"/>
        <v>1429429</v>
      </c>
      <c r="AJ62" s="442"/>
      <c r="AK62" s="442"/>
      <c r="AL62" s="442"/>
      <c r="AM62" s="442"/>
      <c r="AN62" s="442"/>
      <c r="AO62" s="424"/>
      <c r="AP62" s="424"/>
      <c r="AQ62" s="424"/>
      <c r="AR62" s="424"/>
      <c r="AS62" s="424"/>
      <c r="AT62" s="425"/>
      <c r="AU62" s="425"/>
      <c r="AV62" s="425"/>
      <c r="AW62" s="425"/>
      <c r="AX62" s="425"/>
      <c r="AY62" s="423"/>
      <c r="AZ62" s="423"/>
      <c r="BA62" s="423"/>
      <c r="BB62" s="423"/>
      <c r="BC62" s="423"/>
      <c r="BD62" s="424"/>
      <c r="BE62" s="424"/>
      <c r="BF62" s="424"/>
      <c r="BG62" s="424"/>
      <c r="BH62" s="424"/>
      <c r="BI62" s="425"/>
      <c r="BJ62" s="425"/>
      <c r="BK62" s="425"/>
      <c r="BL62" s="425"/>
      <c r="BM62" s="425"/>
    </row>
    <row r="63" spans="1:65" s="426" customFormat="1" ht="15.95" customHeight="1">
      <c r="A63" s="370"/>
      <c r="B63" s="371"/>
      <c r="C63" s="374">
        <v>483060600</v>
      </c>
      <c r="D63" s="443" t="s">
        <v>953</v>
      </c>
      <c r="E63" s="459">
        <f>+SUMIFS(全伝票!I:I,全伝票!$C:$C,$C63)</f>
        <v>864807</v>
      </c>
      <c r="F63" s="460">
        <f>+SUMIFS(全伝票!J:J,全伝票!$C:$C,$C63)</f>
        <v>0</v>
      </c>
      <c r="G63" s="461">
        <f>+SUMIFS(全伝票!K:K,全伝票!$C:$C,$C63)</f>
        <v>0</v>
      </c>
      <c r="H63" s="461">
        <f>+SUMIFS(全伝票!L:L,全伝票!$C:$C,$C63)</f>
        <v>0</v>
      </c>
      <c r="I63" s="462">
        <f>+SUMIFS(全伝票!M:M,全伝票!$C:$C,$C63)</f>
        <v>0</v>
      </c>
      <c r="J63" s="462">
        <f>+SUMIFS(全伝票!N:N,全伝票!$C:$C,$C63)</f>
        <v>0</v>
      </c>
      <c r="K63" s="448">
        <f>SUM(F63:J63)</f>
        <v>0</v>
      </c>
      <c r="L63" s="459">
        <f>+SUMIFS(全伝票!O:O,全伝票!$C:$C,$C63)</f>
        <v>0</v>
      </c>
      <c r="M63" s="444"/>
      <c r="N63" s="445"/>
      <c r="O63" s="446"/>
      <c r="P63" s="454">
        <f>+'3条その他'!L$43</f>
        <v>0</v>
      </c>
      <c r="Q63" s="454">
        <f>+'3条その他'!M$43</f>
        <v>0</v>
      </c>
      <c r="R63" s="454">
        <f>+'3条その他'!N$43</f>
        <v>0</v>
      </c>
      <c r="S63" s="446">
        <f>SUM(N63:R63)</f>
        <v>0</v>
      </c>
      <c r="T63" s="454">
        <f>+'3条その他'!$I$42</f>
        <v>864807</v>
      </c>
      <c r="U63" s="446">
        <f>+V63-SUM(S63:T63)</f>
        <v>0</v>
      </c>
      <c r="V63" s="463">
        <f>+SUMIFS(全伝票!P:P,全伝票!$C:$C,$C63)</f>
        <v>864807</v>
      </c>
      <c r="W63" s="445">
        <f t="shared" ref="W63:Z65" si="224">+ROUND(F63*F$6/(100+F$6),0)+AT63</f>
        <v>0</v>
      </c>
      <c r="X63" s="446">
        <f t="shared" si="224"/>
        <v>0</v>
      </c>
      <c r="Y63" s="446">
        <f t="shared" si="224"/>
        <v>0</v>
      </c>
      <c r="Z63" s="446">
        <f t="shared" si="224"/>
        <v>0</v>
      </c>
      <c r="AA63" s="447">
        <f>+ROUND(J63*J$6/(100+J$6),0)+AX63</f>
        <v>0</v>
      </c>
      <c r="AB63" s="448">
        <f t="shared" ref="AB63:AB65" si="225">SUM(W63:AA63)</f>
        <v>0</v>
      </c>
      <c r="AC63" s="449">
        <f t="shared" ref="AC63:AF65" si="226">+ROUND(N63*AC$6/(100+AC$6),0)+BI63</f>
        <v>0</v>
      </c>
      <c r="AD63" s="450">
        <f t="shared" si="226"/>
        <v>0</v>
      </c>
      <c r="AE63" s="522">
        <f t="shared" si="226"/>
        <v>0</v>
      </c>
      <c r="AF63" s="450">
        <f t="shared" si="226"/>
        <v>0</v>
      </c>
      <c r="AG63" s="522">
        <f>+ROUND(R63*AG$6/(100+AG$6),0)+BM63</f>
        <v>0</v>
      </c>
      <c r="AH63" s="451">
        <f t="shared" ref="AH63:AH65" si="227">SUM(AC63:AG63)</f>
        <v>0</v>
      </c>
      <c r="AI63" s="452">
        <f>+E63-AB63</f>
        <v>864807</v>
      </c>
      <c r="AJ63" s="423">
        <f>W63-F63*W$6/(100+W$6)</f>
        <v>0</v>
      </c>
      <c r="AK63" s="423">
        <f>X63-G63*X$6/(100+X$6)</f>
        <v>0</v>
      </c>
      <c r="AL63" s="423">
        <f>Y63-H63*Y$6/(100+Y$6)</f>
        <v>0</v>
      </c>
      <c r="AM63" s="423">
        <f>Z63-I63*Z$6/(100+Z$6)</f>
        <v>0</v>
      </c>
      <c r="AN63" s="423">
        <f>AA63-J63*AA$6/(100+AA$6)</f>
        <v>0</v>
      </c>
      <c r="AO63" s="424">
        <f>+IF(W$71=0,0,IF(W$71&lt;0,-RANK(AJ63,AJ$7:AJ$68,0),RANK(AJ63,AJ$7:AJ$68,1)))</f>
        <v>0</v>
      </c>
      <c r="AP63" s="424">
        <f>+IF(X$71=0,0,IF(X$71&lt;0,-RANK(AK63,AK$7:AK$68,0),RANK(AK63,AK$7:AK$68,1)))</f>
        <v>0</v>
      </c>
      <c r="AQ63" s="424">
        <f>+IF(Y$71=0,0,IF(Y$71&lt;0,-RANK(AL63,AL$7:AL$68,0),RANK(AL63,AL$7:AL$68,1)))</f>
        <v>0</v>
      </c>
      <c r="AR63" s="424">
        <f>+IF(Z$71=0,0,IF(Z$71&lt;0,-RANK(AM63,AM$7:AM$68,0),RANK(AM63,AM$7:AM$68,1)))</f>
        <v>0</v>
      </c>
      <c r="AS63" s="424">
        <f>+IF(AA$71=0,0,IF(AA$71&lt;0,-RANK(AN63,AN$7:AN$68,0),RANK(AN63,AN$7:AN$68,1)))</f>
        <v>0</v>
      </c>
      <c r="AT63" s="425"/>
      <c r="AU63" s="425"/>
      <c r="AV63" s="425"/>
      <c r="AW63" s="425"/>
      <c r="AX63" s="425"/>
      <c r="AY63" s="423">
        <f t="shared" si="173"/>
        <v>0</v>
      </c>
      <c r="AZ63" s="423">
        <f t="shared" si="174"/>
        <v>0</v>
      </c>
      <c r="BA63" s="423">
        <f t="shared" si="175"/>
        <v>0</v>
      </c>
      <c r="BB63" s="423">
        <f t="shared" si="175"/>
        <v>0</v>
      </c>
      <c r="BC63" s="423">
        <f t="shared" si="176"/>
        <v>0</v>
      </c>
      <c r="BD63" s="424">
        <f>+IF(AC$71=0,0,IF(AC$71&lt;0,-RANK(AY63,AY$7:AY$68,0),RANK(AY63,AY$7:AY$68,1)))</f>
        <v>0</v>
      </c>
      <c r="BE63" s="424">
        <f>+IF(AD$71=0,0,IF(AD$71&lt;0,-RANK(AZ63,AZ$7:AZ$68,0),RANK(AZ63,AZ$7:AZ$68,1)))</f>
        <v>0</v>
      </c>
      <c r="BF63" s="424">
        <f>+IF(AE$71=0,0,IF(AE$71&lt;0,-RANK(BA63,BA$7:BA$68,0),RANK(BA63,BA$7:BA$68,1)))</f>
        <v>0</v>
      </c>
      <c r="BG63" s="424">
        <f>+IF(AF$71=0,0,IF(AF$71&lt;0,-RANK(BB63,BB$7:BB$68,0),RANK(BB63,BB$7:BB$68,1)))</f>
        <v>0</v>
      </c>
      <c r="BH63" s="424">
        <f>+IF(AG$71=0,0,IF(AG$71&lt;0,-RANK(BC63,BC$7:BC$68,0),RANK(BC63,BC$7:BC$68,1)))</f>
        <v>0</v>
      </c>
      <c r="BI63" s="425"/>
      <c r="BJ63" s="425"/>
      <c r="BK63" s="425"/>
      <c r="BL63" s="425"/>
      <c r="BM63" s="425"/>
    </row>
    <row r="64" spans="1:65" s="426" customFormat="1" ht="15.95" customHeight="1">
      <c r="A64" s="370"/>
      <c r="B64" s="371"/>
      <c r="C64" s="374">
        <v>483060700</v>
      </c>
      <c r="D64" s="443" t="s">
        <v>954</v>
      </c>
      <c r="E64" s="459">
        <f>+SUMIFS(全伝票!I:I,全伝票!$C:$C,$C64)</f>
        <v>455622</v>
      </c>
      <c r="F64" s="460">
        <f>+SUMIFS(全伝票!J:J,全伝票!$C:$C,$C64)</f>
        <v>0</v>
      </c>
      <c r="G64" s="461">
        <f>+SUMIFS(全伝票!K:K,全伝票!$C:$C,$C64)</f>
        <v>0</v>
      </c>
      <c r="H64" s="461">
        <f>+SUMIFS(全伝票!L:L,全伝票!$C:$C,$C64)</f>
        <v>0</v>
      </c>
      <c r="I64" s="462">
        <f>+SUMIFS(全伝票!M:M,全伝票!$C:$C,$C64)</f>
        <v>0</v>
      </c>
      <c r="J64" s="462">
        <f>+SUMIFS(全伝票!N:N,全伝票!$C:$C,$C64)</f>
        <v>0</v>
      </c>
      <c r="K64" s="448">
        <f>SUM(F64:J64)</f>
        <v>0</v>
      </c>
      <c r="L64" s="459">
        <f>+SUMIFS(全伝票!O:O,全伝票!$C:$C,$C64)</f>
        <v>0</v>
      </c>
      <c r="M64" s="444"/>
      <c r="N64" s="445"/>
      <c r="O64" s="446"/>
      <c r="P64" s="454">
        <f>+'3条その他'!L$45</f>
        <v>0</v>
      </c>
      <c r="Q64" s="454">
        <f>+'3条その他'!M$45</f>
        <v>0</v>
      </c>
      <c r="R64" s="454">
        <f>+'3条その他'!N$45</f>
        <v>0</v>
      </c>
      <c r="S64" s="446">
        <f>SUM(N64:R64)</f>
        <v>0</v>
      </c>
      <c r="T64" s="454">
        <f>+'3条その他'!$I$44</f>
        <v>455622</v>
      </c>
      <c r="U64" s="446">
        <f>+V64-SUM(S64:T64)</f>
        <v>0</v>
      </c>
      <c r="V64" s="463">
        <f>+SUMIFS(全伝票!P:P,全伝票!$C:$C,$C64)</f>
        <v>455622</v>
      </c>
      <c r="W64" s="445">
        <f t="shared" si="224"/>
        <v>0</v>
      </c>
      <c r="X64" s="446">
        <f t="shared" si="224"/>
        <v>0</v>
      </c>
      <c r="Y64" s="446">
        <f t="shared" si="224"/>
        <v>0</v>
      </c>
      <c r="Z64" s="446">
        <f t="shared" si="224"/>
        <v>0</v>
      </c>
      <c r="AA64" s="447">
        <f>+ROUND(J64*J$6/(100+J$6),0)+AX64</f>
        <v>0</v>
      </c>
      <c r="AB64" s="448">
        <f t="shared" si="225"/>
        <v>0</v>
      </c>
      <c r="AC64" s="449">
        <f t="shared" si="226"/>
        <v>0</v>
      </c>
      <c r="AD64" s="450">
        <f t="shared" si="226"/>
        <v>0</v>
      </c>
      <c r="AE64" s="450">
        <f t="shared" si="226"/>
        <v>0</v>
      </c>
      <c r="AF64" s="450">
        <f t="shared" si="226"/>
        <v>0</v>
      </c>
      <c r="AG64" s="450">
        <f>+ROUND(R64*AG$6/(100+AG$6),0)+BM64</f>
        <v>0</v>
      </c>
      <c r="AH64" s="451">
        <f t="shared" si="227"/>
        <v>0</v>
      </c>
      <c r="AI64" s="452">
        <f>+E64-AB64</f>
        <v>455622</v>
      </c>
      <c r="AJ64" s="423"/>
      <c r="AK64" s="423"/>
      <c r="AL64" s="423"/>
      <c r="AM64" s="423"/>
      <c r="AN64" s="423"/>
      <c r="AO64" s="424"/>
      <c r="AP64" s="424"/>
      <c r="AQ64" s="424"/>
      <c r="AR64" s="424"/>
      <c r="AS64" s="424"/>
      <c r="AT64" s="425"/>
      <c r="AU64" s="425"/>
      <c r="AV64" s="425"/>
      <c r="AW64" s="425"/>
      <c r="AX64" s="425"/>
      <c r="AY64" s="423"/>
      <c r="AZ64" s="423"/>
      <c r="BA64" s="423"/>
      <c r="BB64" s="423"/>
      <c r="BC64" s="423"/>
      <c r="BD64" s="424"/>
      <c r="BE64" s="424"/>
      <c r="BF64" s="424"/>
      <c r="BG64" s="424"/>
      <c r="BH64" s="424"/>
      <c r="BI64" s="425"/>
      <c r="BJ64" s="425"/>
      <c r="BK64" s="425"/>
      <c r="BL64" s="425"/>
      <c r="BM64" s="425"/>
    </row>
    <row r="65" spans="1:65" s="426" customFormat="1" ht="15.95" customHeight="1">
      <c r="A65" s="367"/>
      <c r="B65" s="368"/>
      <c r="C65" s="369">
        <v>483060800</v>
      </c>
      <c r="D65" s="427" t="s">
        <v>955</v>
      </c>
      <c r="E65" s="428">
        <f>+SUMIFS(全伝票!I:I,全伝票!$C:$C,$C65)</f>
        <v>109000</v>
      </c>
      <c r="F65" s="429">
        <f>+SUMIFS(全伝票!J:J,全伝票!$C:$C,$C65)</f>
        <v>0</v>
      </c>
      <c r="G65" s="430">
        <f>+SUMIFS(全伝票!K:K,全伝票!$C:$C,$C65)</f>
        <v>0</v>
      </c>
      <c r="H65" s="430">
        <f>+SUMIFS(全伝票!L:L,全伝票!$C:$C,$C65)</f>
        <v>0</v>
      </c>
      <c r="I65" s="431">
        <f>+SUMIFS(全伝票!M:M,全伝票!$C:$C,$C65)</f>
        <v>0</v>
      </c>
      <c r="J65" s="431">
        <f>+SUMIFS(全伝票!N:N,全伝票!$C:$C,$C65)</f>
        <v>0</v>
      </c>
      <c r="K65" s="432">
        <f>SUM(F65:J65)</f>
        <v>0</v>
      </c>
      <c r="L65" s="428">
        <f>+SUMIFS(全伝票!O:O,全伝票!$C:$C,$C65)</f>
        <v>0</v>
      </c>
      <c r="M65" s="457"/>
      <c r="N65" s="434"/>
      <c r="O65" s="435"/>
      <c r="P65" s="458">
        <f>+'3条その他'!L$47</f>
        <v>0</v>
      </c>
      <c r="Q65" s="458">
        <f>+'3条その他'!M$47</f>
        <v>0</v>
      </c>
      <c r="R65" s="458">
        <f>+'3条その他'!N$47</f>
        <v>0</v>
      </c>
      <c r="S65" s="435">
        <f>SUM(N65:R65)</f>
        <v>0</v>
      </c>
      <c r="T65" s="458">
        <f>+'3条その他'!$I$46</f>
        <v>109000</v>
      </c>
      <c r="U65" s="435">
        <f>+V65-SUM(S65:T65)</f>
        <v>0</v>
      </c>
      <c r="V65" s="436">
        <f>+SUMIFS(全伝票!P:P,全伝票!$C:$C,$C65)</f>
        <v>109000</v>
      </c>
      <c r="W65" s="434">
        <f t="shared" si="224"/>
        <v>0</v>
      </c>
      <c r="X65" s="435">
        <f t="shared" si="224"/>
        <v>0</v>
      </c>
      <c r="Y65" s="435">
        <f t="shared" si="224"/>
        <v>0</v>
      </c>
      <c r="Z65" s="435">
        <f t="shared" si="224"/>
        <v>0</v>
      </c>
      <c r="AA65" s="437">
        <f>+ROUND(J65*J$6/(100+J$6),0)+AX65</f>
        <v>0</v>
      </c>
      <c r="AB65" s="432">
        <f t="shared" si="225"/>
        <v>0</v>
      </c>
      <c r="AC65" s="438">
        <f t="shared" si="226"/>
        <v>0</v>
      </c>
      <c r="AD65" s="439">
        <f t="shared" si="226"/>
        <v>0</v>
      </c>
      <c r="AE65" s="439">
        <f t="shared" si="226"/>
        <v>0</v>
      </c>
      <c r="AF65" s="439">
        <f t="shared" si="226"/>
        <v>0</v>
      </c>
      <c r="AG65" s="439">
        <f>+ROUND(R65*AG$6/(100+AG$6),0)+BM65</f>
        <v>0</v>
      </c>
      <c r="AH65" s="440">
        <f t="shared" si="227"/>
        <v>0</v>
      </c>
      <c r="AI65" s="441">
        <f>+E65-AB65</f>
        <v>109000</v>
      </c>
      <c r="AJ65" s="423"/>
      <c r="AK65" s="423"/>
      <c r="AL65" s="423"/>
      <c r="AM65" s="423"/>
      <c r="AN65" s="423"/>
      <c r="AO65" s="424"/>
      <c r="AP65" s="424"/>
      <c r="AQ65" s="424"/>
      <c r="AR65" s="424"/>
      <c r="AS65" s="424"/>
      <c r="AT65" s="425"/>
      <c r="AU65" s="425"/>
      <c r="AV65" s="425"/>
      <c r="AW65" s="425"/>
      <c r="AX65" s="425"/>
      <c r="AY65" s="423"/>
      <c r="AZ65" s="423"/>
      <c r="BA65" s="423"/>
      <c r="BB65" s="423"/>
      <c r="BC65" s="423"/>
      <c r="BD65" s="424"/>
      <c r="BE65" s="424"/>
      <c r="BF65" s="424"/>
      <c r="BG65" s="424"/>
      <c r="BH65" s="424"/>
      <c r="BI65" s="425"/>
      <c r="BJ65" s="425"/>
      <c r="BK65" s="425"/>
      <c r="BL65" s="425"/>
      <c r="BM65" s="425"/>
    </row>
    <row r="66" spans="1:65" s="426" customFormat="1" ht="15.95" customHeight="1">
      <c r="A66" s="364"/>
      <c r="B66" s="365"/>
      <c r="C66" s="366"/>
      <c r="D66" s="410" t="s">
        <v>901</v>
      </c>
      <c r="E66" s="411">
        <f>+E67</f>
        <v>0</v>
      </c>
      <c r="F66" s="412">
        <f t="shared" ref="F66:M66" si="228">+F67</f>
        <v>0</v>
      </c>
      <c r="G66" s="413">
        <f t="shared" si="228"/>
        <v>0</v>
      </c>
      <c r="H66" s="413">
        <f t="shared" si="228"/>
        <v>0</v>
      </c>
      <c r="I66" s="414">
        <f t="shared" si="228"/>
        <v>0</v>
      </c>
      <c r="J66" s="414">
        <f t="shared" si="228"/>
        <v>0</v>
      </c>
      <c r="K66" s="415">
        <f t="shared" si="228"/>
        <v>0</v>
      </c>
      <c r="L66" s="411">
        <f t="shared" si="228"/>
        <v>0</v>
      </c>
      <c r="M66" s="411">
        <f t="shared" si="228"/>
        <v>0</v>
      </c>
      <c r="N66" s="416">
        <f t="shared" ref="N66:U66" si="229">+N67</f>
        <v>0</v>
      </c>
      <c r="O66" s="417">
        <f t="shared" si="229"/>
        <v>0</v>
      </c>
      <c r="P66" s="417">
        <f t="shared" si="229"/>
        <v>0</v>
      </c>
      <c r="Q66" s="417">
        <f t="shared" si="229"/>
        <v>0</v>
      </c>
      <c r="R66" s="417">
        <f t="shared" si="229"/>
        <v>0</v>
      </c>
      <c r="S66" s="417">
        <f t="shared" si="229"/>
        <v>0</v>
      </c>
      <c r="T66" s="417">
        <f t="shared" si="229"/>
        <v>0</v>
      </c>
      <c r="U66" s="417">
        <f t="shared" si="229"/>
        <v>0</v>
      </c>
      <c r="V66" s="418">
        <f>+V67</f>
        <v>0</v>
      </c>
      <c r="W66" s="412">
        <f t="shared" ref="W66:AI66" si="230">+W67</f>
        <v>0</v>
      </c>
      <c r="X66" s="413">
        <f t="shared" si="230"/>
        <v>0</v>
      </c>
      <c r="Y66" s="413">
        <f t="shared" si="230"/>
        <v>0</v>
      </c>
      <c r="Z66" s="413">
        <f t="shared" si="230"/>
        <v>0</v>
      </c>
      <c r="AA66" s="414">
        <f t="shared" si="230"/>
        <v>0</v>
      </c>
      <c r="AB66" s="415">
        <f t="shared" si="230"/>
        <v>0</v>
      </c>
      <c r="AC66" s="419">
        <f t="shared" ref="AC66:AH66" si="231">+AC67</f>
        <v>0</v>
      </c>
      <c r="AD66" s="420">
        <f t="shared" si="231"/>
        <v>0</v>
      </c>
      <c r="AE66" s="420">
        <f t="shared" si="231"/>
        <v>0</v>
      </c>
      <c r="AF66" s="420">
        <f t="shared" si="231"/>
        <v>0</v>
      </c>
      <c r="AG66" s="420">
        <f t="shared" si="231"/>
        <v>0</v>
      </c>
      <c r="AH66" s="421">
        <f t="shared" si="231"/>
        <v>0</v>
      </c>
      <c r="AI66" s="422">
        <f t="shared" si="230"/>
        <v>0</v>
      </c>
      <c r="AJ66" s="442"/>
      <c r="AK66" s="442"/>
      <c r="AL66" s="442"/>
      <c r="AM66" s="442"/>
      <c r="AN66" s="442"/>
      <c r="AO66" s="424"/>
      <c r="AP66" s="424"/>
      <c r="AQ66" s="424"/>
      <c r="AR66" s="424"/>
      <c r="AS66" s="424"/>
      <c r="AT66" s="425"/>
      <c r="AU66" s="425"/>
      <c r="AV66" s="425"/>
      <c r="AW66" s="425"/>
      <c r="AX66" s="425"/>
      <c r="AY66" s="423"/>
      <c r="AZ66" s="423"/>
      <c r="BA66" s="423"/>
      <c r="BB66" s="423"/>
      <c r="BC66" s="423"/>
      <c r="BD66" s="424"/>
      <c r="BE66" s="424"/>
      <c r="BF66" s="424"/>
      <c r="BG66" s="424"/>
      <c r="BH66" s="424"/>
      <c r="BI66" s="425"/>
      <c r="BJ66" s="425"/>
      <c r="BK66" s="425"/>
      <c r="BL66" s="425"/>
      <c r="BM66" s="425"/>
    </row>
    <row r="67" spans="1:65" s="426" customFormat="1" ht="15.95" customHeight="1">
      <c r="A67" s="378"/>
      <c r="B67" s="379"/>
      <c r="C67" s="384">
        <v>483080800</v>
      </c>
      <c r="D67" s="477" t="s">
        <v>904</v>
      </c>
      <c r="E67" s="504">
        <f>+SUMIFS(全伝票!I:I,全伝票!$C:$C,$C67)</f>
        <v>0</v>
      </c>
      <c r="F67" s="505">
        <f>+SUMIFS(全伝票!J:J,全伝票!$C:$C,$C67)</f>
        <v>0</v>
      </c>
      <c r="G67" s="506">
        <f>+SUMIFS(全伝票!K:K,全伝票!$C:$C,$C67)</f>
        <v>0</v>
      </c>
      <c r="H67" s="506">
        <f>+SUMIFS(全伝票!L:L,全伝票!$C:$C,$C67)</f>
        <v>0</v>
      </c>
      <c r="I67" s="507">
        <f>+SUMIFS(全伝票!M:M,全伝票!$C:$C,$C67)</f>
        <v>0</v>
      </c>
      <c r="J67" s="507">
        <f>+SUMIFS(全伝票!N:N,全伝票!$C:$C,$C67)</f>
        <v>0</v>
      </c>
      <c r="K67" s="482">
        <f>SUM(F67:J67)</f>
        <v>0</v>
      </c>
      <c r="L67" s="504">
        <f>+SUMIFS(全伝票!O:O,全伝票!$C:$C,$C67)</f>
        <v>0</v>
      </c>
      <c r="M67" s="478"/>
      <c r="N67" s="479"/>
      <c r="O67" s="480"/>
      <c r="P67" s="480"/>
      <c r="Q67" s="480"/>
      <c r="R67" s="480"/>
      <c r="S67" s="480">
        <f>SUM(N67:R67)</f>
        <v>0</v>
      </c>
      <c r="T67" s="480"/>
      <c r="U67" s="480">
        <f>+V67-SUM(N67:T67)</f>
        <v>0</v>
      </c>
      <c r="V67" s="436">
        <f>+SUMIFS(全伝票!P:P,全伝票!$C:$C,$C67)</f>
        <v>0</v>
      </c>
      <c r="W67" s="479">
        <f>+ROUND(F67*F$6/(100+F$6),0)+AT67</f>
        <v>0</v>
      </c>
      <c r="X67" s="480">
        <f>+ROUND(G67*G$6/(100+G$6),0)+AU67</f>
        <v>0</v>
      </c>
      <c r="Y67" s="480">
        <f>+ROUND(H67*H$6/(100+H$6),0)+AV67</f>
        <v>0</v>
      </c>
      <c r="Z67" s="480">
        <f>+ROUND(I67*I$6/(100+I$6),0)+AW67</f>
        <v>0</v>
      </c>
      <c r="AA67" s="481">
        <f>+ROUND(J67*J$6/(100+J$6),0)+AX67</f>
        <v>0</v>
      </c>
      <c r="AB67" s="482">
        <f>SUM(W67:AA67)</f>
        <v>0</v>
      </c>
      <c r="AC67" s="483">
        <f>+ROUND(N67*AC$6/(100+AC$6),0)+BI67</f>
        <v>0</v>
      </c>
      <c r="AD67" s="484">
        <f>+ROUND(O67*AD$6/(100+AD$6),0)+BJ67</f>
        <v>0</v>
      </c>
      <c r="AE67" s="484">
        <f>+ROUND(P67*AE$6/(100+AE$6),0)+BK67</f>
        <v>0</v>
      </c>
      <c r="AF67" s="484">
        <f>+ROUND(Q67*AF$6/(100+AF$6),0)+BL67</f>
        <v>0</v>
      </c>
      <c r="AG67" s="484">
        <f>+ROUND(R67*AG$6/(100+AG$6),0)+BM67</f>
        <v>0</v>
      </c>
      <c r="AH67" s="485">
        <f>SUM(AC67:AG67)</f>
        <v>0</v>
      </c>
      <c r="AI67" s="486">
        <f>+E67-AB67</f>
        <v>0</v>
      </c>
      <c r="AJ67" s="423"/>
      <c r="AK67" s="423"/>
      <c r="AL67" s="423"/>
      <c r="AM67" s="423"/>
      <c r="AN67" s="423"/>
      <c r="AO67" s="424"/>
      <c r="AP67" s="424"/>
      <c r="AQ67" s="424"/>
      <c r="AR67" s="424"/>
      <c r="AS67" s="424"/>
      <c r="AT67" s="425"/>
      <c r="AU67" s="425"/>
      <c r="AV67" s="425"/>
      <c r="AW67" s="425"/>
      <c r="AX67" s="425"/>
      <c r="AY67" s="423"/>
      <c r="AZ67" s="423"/>
      <c r="BA67" s="423"/>
      <c r="BB67" s="423"/>
      <c r="BC67" s="423"/>
      <c r="BD67" s="424"/>
      <c r="BE67" s="424"/>
      <c r="BF67" s="424"/>
      <c r="BG67" s="424"/>
      <c r="BH67" s="424"/>
      <c r="BI67" s="425"/>
      <c r="BJ67" s="425"/>
      <c r="BK67" s="425"/>
      <c r="BL67" s="425"/>
      <c r="BM67" s="425"/>
    </row>
    <row r="68" spans="1:65" s="426" customFormat="1" ht="15.95" customHeight="1" thickBot="1">
      <c r="A68" s="385"/>
      <c r="B68" s="386"/>
      <c r="C68" s="387"/>
      <c r="D68" s="523" t="s">
        <v>911</v>
      </c>
      <c r="E68" s="524">
        <f t="shared" ref="E68:AI68" si="232">+SUM(E66,E58,E60,E62)</f>
        <v>4198999</v>
      </c>
      <c r="F68" s="525">
        <f t="shared" si="232"/>
        <v>0</v>
      </c>
      <c r="G68" s="526">
        <f t="shared" si="232"/>
        <v>0</v>
      </c>
      <c r="H68" s="526">
        <f t="shared" si="232"/>
        <v>47053</v>
      </c>
      <c r="I68" s="527">
        <f t="shared" ref="I68" si="233">+SUM(I66,I58,I60,I62)</f>
        <v>0</v>
      </c>
      <c r="J68" s="527">
        <f t="shared" si="232"/>
        <v>1566432</v>
      </c>
      <c r="K68" s="528">
        <f t="shared" si="232"/>
        <v>1613485</v>
      </c>
      <c r="L68" s="524">
        <f t="shared" si="232"/>
        <v>910</v>
      </c>
      <c r="M68" s="524">
        <f t="shared" ref="M68" si="234">+SUM(M66,M58,M60,M62)</f>
        <v>0</v>
      </c>
      <c r="N68" s="525">
        <f t="shared" si="232"/>
        <v>0</v>
      </c>
      <c r="O68" s="526">
        <f t="shared" si="232"/>
        <v>0</v>
      </c>
      <c r="P68" s="526">
        <f t="shared" si="232"/>
        <v>0</v>
      </c>
      <c r="Q68" s="526">
        <f t="shared" ref="Q68" si="235">+SUM(Q66,Q58,Q60,Q62)</f>
        <v>0</v>
      </c>
      <c r="R68" s="526">
        <f t="shared" si="232"/>
        <v>0</v>
      </c>
      <c r="S68" s="526">
        <f t="shared" si="232"/>
        <v>0</v>
      </c>
      <c r="T68" s="526">
        <f t="shared" si="232"/>
        <v>2584604</v>
      </c>
      <c r="U68" s="526">
        <f t="shared" si="232"/>
        <v>0</v>
      </c>
      <c r="V68" s="528">
        <f t="shared" si="232"/>
        <v>2584604</v>
      </c>
      <c r="W68" s="525">
        <f t="shared" si="232"/>
        <v>0</v>
      </c>
      <c r="X68" s="526">
        <f t="shared" si="232"/>
        <v>0</v>
      </c>
      <c r="Y68" s="526">
        <f t="shared" si="232"/>
        <v>3485</v>
      </c>
      <c r="Z68" s="526">
        <f t="shared" ref="Z68" si="236">+SUM(Z66,Z58,Z60,Z62)</f>
        <v>0</v>
      </c>
      <c r="AA68" s="527">
        <f t="shared" si="232"/>
        <v>142403</v>
      </c>
      <c r="AB68" s="528">
        <f t="shared" si="232"/>
        <v>145888</v>
      </c>
      <c r="AC68" s="529">
        <f t="shared" si="232"/>
        <v>0</v>
      </c>
      <c r="AD68" s="530">
        <f t="shared" si="232"/>
        <v>0</v>
      </c>
      <c r="AE68" s="530">
        <f t="shared" si="232"/>
        <v>0</v>
      </c>
      <c r="AF68" s="530">
        <f t="shared" ref="AF68" si="237">+SUM(AF66,AF58,AF60,AF62)</f>
        <v>0</v>
      </c>
      <c r="AG68" s="530">
        <f t="shared" si="232"/>
        <v>0</v>
      </c>
      <c r="AH68" s="531">
        <f t="shared" si="232"/>
        <v>0</v>
      </c>
      <c r="AI68" s="532">
        <f t="shared" si="232"/>
        <v>4053111</v>
      </c>
      <c r="AJ68" s="442"/>
      <c r="AK68" s="442"/>
      <c r="AL68" s="442"/>
      <c r="AM68" s="442"/>
      <c r="AN68" s="442"/>
      <c r="AO68" s="424"/>
      <c r="AP68" s="424"/>
      <c r="AQ68" s="424"/>
      <c r="AR68" s="424"/>
      <c r="AS68" s="424"/>
      <c r="AT68" s="425"/>
      <c r="AU68" s="425"/>
      <c r="AV68" s="425"/>
      <c r="AW68" s="425"/>
      <c r="AX68" s="425"/>
      <c r="AY68" s="423"/>
      <c r="AZ68" s="423"/>
      <c r="BA68" s="423"/>
      <c r="BB68" s="423"/>
      <c r="BC68" s="423"/>
      <c r="BD68" s="424"/>
      <c r="BE68" s="424"/>
      <c r="BF68" s="424"/>
      <c r="BG68" s="424"/>
      <c r="BH68" s="424"/>
      <c r="BI68" s="425"/>
      <c r="BJ68" s="425"/>
      <c r="BK68" s="425"/>
      <c r="BL68" s="425"/>
      <c r="BM68" s="425"/>
    </row>
    <row r="69" spans="1:65" s="426" customFormat="1" ht="15.95" customHeight="1" thickTop="1">
      <c r="A69" s="533"/>
      <c r="B69" s="534"/>
      <c r="C69" s="535"/>
      <c r="D69" s="388" t="s">
        <v>885</v>
      </c>
      <c r="E69" s="536">
        <f t="shared" ref="E69:AI69" si="238">SUM(E27,E57,E68)</f>
        <v>44454711283</v>
      </c>
      <c r="F69" s="537">
        <f t="shared" si="238"/>
        <v>0</v>
      </c>
      <c r="G69" s="538">
        <f t="shared" si="238"/>
        <v>0</v>
      </c>
      <c r="H69" s="538">
        <f t="shared" si="238"/>
        <v>47053</v>
      </c>
      <c r="I69" s="539">
        <f t="shared" ref="I69" si="239">SUM(I27,I57,I68)</f>
        <v>0</v>
      </c>
      <c r="J69" s="539">
        <f t="shared" si="238"/>
        <v>20730008529</v>
      </c>
      <c r="K69" s="540">
        <f t="shared" si="238"/>
        <v>20730055582</v>
      </c>
      <c r="L69" s="536">
        <f t="shared" si="238"/>
        <v>22644840</v>
      </c>
      <c r="M69" s="536">
        <f t="shared" si="238"/>
        <v>86860</v>
      </c>
      <c r="N69" s="537">
        <f t="shared" si="238"/>
        <v>0</v>
      </c>
      <c r="O69" s="538">
        <f t="shared" si="238"/>
        <v>0</v>
      </c>
      <c r="P69" s="538">
        <f t="shared" si="238"/>
        <v>455392</v>
      </c>
      <c r="Q69" s="538">
        <f t="shared" ref="Q69" si="240">SUM(Q27,Q57,Q68)</f>
        <v>130568</v>
      </c>
      <c r="R69" s="538">
        <f t="shared" si="238"/>
        <v>2312306920</v>
      </c>
      <c r="S69" s="538">
        <f t="shared" si="238"/>
        <v>2312892880</v>
      </c>
      <c r="T69" s="538">
        <f t="shared" si="238"/>
        <v>11691202011</v>
      </c>
      <c r="U69" s="538">
        <f t="shared" si="238"/>
        <v>9697829110</v>
      </c>
      <c r="V69" s="541">
        <f t="shared" si="238"/>
        <v>23701924001</v>
      </c>
      <c r="W69" s="542">
        <f t="shared" si="238"/>
        <v>0</v>
      </c>
      <c r="X69" s="543">
        <f t="shared" si="238"/>
        <v>0</v>
      </c>
      <c r="Y69" s="543">
        <f t="shared" si="238"/>
        <v>3485</v>
      </c>
      <c r="Z69" s="543">
        <f t="shared" ref="Z69" si="241">SUM(Z27,Z57,Z68)</f>
        <v>0</v>
      </c>
      <c r="AA69" s="544">
        <f t="shared" si="238"/>
        <v>1884546229</v>
      </c>
      <c r="AB69" s="540">
        <f t="shared" si="238"/>
        <v>1884549714</v>
      </c>
      <c r="AC69" s="545">
        <f t="shared" si="238"/>
        <v>0</v>
      </c>
      <c r="AD69" s="543">
        <f t="shared" si="238"/>
        <v>0</v>
      </c>
      <c r="AE69" s="543">
        <f t="shared" si="238"/>
        <v>33732</v>
      </c>
      <c r="AF69" s="543">
        <f t="shared" ref="AF69" si="242">SUM(AF27,AF57,AF68)</f>
        <v>9671</v>
      </c>
      <c r="AG69" s="543">
        <f t="shared" si="238"/>
        <v>210209720</v>
      </c>
      <c r="AH69" s="546">
        <f t="shared" si="238"/>
        <v>210253123</v>
      </c>
      <c r="AI69" s="547">
        <f t="shared" si="238"/>
        <v>42572042134</v>
      </c>
      <c r="AJ69" s="442" t="str">
        <f>+IF(F69=0,"",ROUND(F69*F$6/(100+F$6),7)-W69)</f>
        <v/>
      </c>
      <c r="AK69" s="442"/>
      <c r="AL69" s="442"/>
      <c r="AM69" s="442"/>
      <c r="AN69" s="442"/>
      <c r="AO69" s="548"/>
    </row>
    <row r="70" spans="1:65" s="426" customFormat="1" ht="15.95" customHeight="1">
      <c r="A70" s="549"/>
      <c r="B70" s="550"/>
      <c r="C70" s="551"/>
      <c r="D70" s="358" t="s">
        <v>886</v>
      </c>
      <c r="E70" s="552">
        <f t="shared" ref="E70:J70" si="243">+E69</f>
        <v>44454711283</v>
      </c>
      <c r="F70" s="553">
        <f t="shared" si="243"/>
        <v>0</v>
      </c>
      <c r="G70" s="554">
        <f t="shared" si="243"/>
        <v>0</v>
      </c>
      <c r="H70" s="554">
        <f t="shared" si="243"/>
        <v>47053</v>
      </c>
      <c r="I70" s="555">
        <f t="shared" si="243"/>
        <v>0</v>
      </c>
      <c r="J70" s="555">
        <f t="shared" si="243"/>
        <v>20730008529</v>
      </c>
      <c r="K70" s="556">
        <f>SUM(F70:J70)</f>
        <v>20730055582</v>
      </c>
      <c r="L70" s="552">
        <f t="shared" ref="L70:R70" si="244">+L69</f>
        <v>22644840</v>
      </c>
      <c r="M70" s="552">
        <f t="shared" si="244"/>
        <v>86860</v>
      </c>
      <c r="N70" s="553">
        <f t="shared" si="244"/>
        <v>0</v>
      </c>
      <c r="O70" s="554">
        <f t="shared" si="244"/>
        <v>0</v>
      </c>
      <c r="P70" s="554">
        <f t="shared" si="244"/>
        <v>455392</v>
      </c>
      <c r="Q70" s="554">
        <f t="shared" ref="Q70" si="245">+Q69</f>
        <v>130568</v>
      </c>
      <c r="R70" s="554">
        <f t="shared" si="244"/>
        <v>2312306920</v>
      </c>
      <c r="S70" s="554">
        <f>SUM(N70:R70)</f>
        <v>2312892880</v>
      </c>
      <c r="T70" s="554">
        <f>+T69</f>
        <v>11691202011</v>
      </c>
      <c r="U70" s="554">
        <f>+U69</f>
        <v>9697829110</v>
      </c>
      <c r="V70" s="557">
        <f>+V69</f>
        <v>23701924001</v>
      </c>
      <c r="W70" s="553">
        <f>+ROUNDDOWN(F70*F$6/(100+F$6),0)</f>
        <v>0</v>
      </c>
      <c r="X70" s="495">
        <f>+ROUNDDOWN(G70*G$6/(100+G$6),0)</f>
        <v>0</v>
      </c>
      <c r="Y70" s="495">
        <f>+ROUNDDOWN(H70*H$6/(100+H$6),0)</f>
        <v>3485</v>
      </c>
      <c r="Z70" s="495">
        <f>+ROUNDDOWN(I70*I$6/(100+I$6),0)</f>
        <v>0</v>
      </c>
      <c r="AA70" s="558">
        <f>+ROUNDDOWN(J70*J$6/(100+J$6),0)</f>
        <v>1884546229</v>
      </c>
      <c r="AB70" s="556">
        <f>SUM(W70:AA70)</f>
        <v>1884549714</v>
      </c>
      <c r="AC70" s="559">
        <f>+消費税!U$91</f>
        <v>0</v>
      </c>
      <c r="AD70" s="560">
        <f>+消費税!V$91</f>
        <v>0</v>
      </c>
      <c r="AE70" s="560">
        <f>+消費税!W$91</f>
        <v>33732</v>
      </c>
      <c r="AF70" s="560">
        <f>+消費税!X$91</f>
        <v>9671</v>
      </c>
      <c r="AG70" s="560">
        <f>+消費税!Y$91</f>
        <v>210209720</v>
      </c>
      <c r="AH70" s="561">
        <f>+消費税!Z$91</f>
        <v>210253123</v>
      </c>
      <c r="AI70" s="552">
        <f>+E70-AB70</f>
        <v>42570161569</v>
      </c>
      <c r="AJ70" s="442" t="str">
        <f>+IF(F70=0,"",ROUND(F70*F$6/(100+F$6),7)-W70)</f>
        <v/>
      </c>
      <c r="AK70" s="442"/>
      <c r="AL70" s="442"/>
      <c r="AM70" s="442"/>
      <c r="AN70" s="442"/>
      <c r="AO70" s="548"/>
    </row>
    <row r="71" spans="1:65" s="426" customFormat="1" ht="15.95" customHeight="1">
      <c r="E71" s="562">
        <f t="shared" ref="E71:AI71" si="246">+E70-E69</f>
        <v>0</v>
      </c>
      <c r="F71" s="562">
        <f t="shared" si="246"/>
        <v>0</v>
      </c>
      <c r="G71" s="562">
        <f t="shared" si="246"/>
        <v>0</v>
      </c>
      <c r="H71" s="562">
        <f t="shared" si="246"/>
        <v>0</v>
      </c>
      <c r="I71" s="562">
        <f t="shared" ref="I71" si="247">+I70-I69</f>
        <v>0</v>
      </c>
      <c r="J71" s="562">
        <f t="shared" si="246"/>
        <v>0</v>
      </c>
      <c r="K71" s="562">
        <f t="shared" si="246"/>
        <v>0</v>
      </c>
      <c r="L71" s="562">
        <f t="shared" si="246"/>
        <v>0</v>
      </c>
      <c r="M71" s="562">
        <f t="shared" si="246"/>
        <v>0</v>
      </c>
      <c r="N71" s="562">
        <f t="shared" si="246"/>
        <v>0</v>
      </c>
      <c r="O71" s="562">
        <f t="shared" si="246"/>
        <v>0</v>
      </c>
      <c r="P71" s="562">
        <f t="shared" si="246"/>
        <v>0</v>
      </c>
      <c r="Q71" s="562">
        <f t="shared" ref="Q71" si="248">+Q70-Q69</f>
        <v>0</v>
      </c>
      <c r="R71" s="562">
        <f t="shared" si="246"/>
        <v>0</v>
      </c>
      <c r="S71" s="562">
        <f t="shared" si="246"/>
        <v>0</v>
      </c>
      <c r="T71" s="562">
        <f t="shared" si="246"/>
        <v>0</v>
      </c>
      <c r="U71" s="562">
        <f t="shared" si="246"/>
        <v>0</v>
      </c>
      <c r="V71" s="562">
        <f t="shared" si="246"/>
        <v>0</v>
      </c>
      <c r="W71" s="562">
        <f t="shared" si="246"/>
        <v>0</v>
      </c>
      <c r="X71" s="562">
        <f t="shared" si="246"/>
        <v>0</v>
      </c>
      <c r="Y71" s="562">
        <f t="shared" si="246"/>
        <v>0</v>
      </c>
      <c r="Z71" s="562">
        <f t="shared" ref="Z71" si="249">+Z70-Z69</f>
        <v>0</v>
      </c>
      <c r="AA71" s="562">
        <f t="shared" si="246"/>
        <v>0</v>
      </c>
      <c r="AB71" s="562">
        <f t="shared" si="246"/>
        <v>0</v>
      </c>
      <c r="AC71" s="562">
        <f t="shared" si="246"/>
        <v>0</v>
      </c>
      <c r="AD71" s="562">
        <f t="shared" si="246"/>
        <v>0</v>
      </c>
      <c r="AE71" s="562">
        <f t="shared" si="246"/>
        <v>0</v>
      </c>
      <c r="AF71" s="562">
        <f t="shared" ref="AF71" si="250">+AF70-AF69</f>
        <v>0</v>
      </c>
      <c r="AG71" s="562">
        <f t="shared" si="246"/>
        <v>0</v>
      </c>
      <c r="AH71" s="562">
        <f t="shared" si="246"/>
        <v>0</v>
      </c>
      <c r="AI71" s="562">
        <f t="shared" si="246"/>
        <v>-1880565</v>
      </c>
      <c r="AJ71" s="563" t="str">
        <f>+IF(F71=0,"",ROUND(F71*F$6/(100+F$6),7)-W71)</f>
        <v/>
      </c>
      <c r="AK71" s="563" t="str">
        <f>+IF(G71=0,"",ROUND(G71*G$6/(100+G$6),7)-X71)</f>
        <v/>
      </c>
      <c r="AL71" s="563" t="str">
        <f t="shared" ref="AL71:AL72" si="251">+IF(H71=0,"",ROUND(H71*H$6/(100+H$6),7)-Y71)</f>
        <v/>
      </c>
      <c r="AM71" s="563"/>
      <c r="AN71" s="563" t="str">
        <f t="shared" ref="AN71:AN72" si="252">+IF(J71=0,"",ROUND(J71*J$6/(100+J$6),7)-AA71)</f>
        <v/>
      </c>
      <c r="AO71" s="548" t="str">
        <f>+IF(SUM(AJ71:AN71)=0,"",SUM(AJ71:AN71))</f>
        <v/>
      </c>
    </row>
    <row r="72" spans="1:65" ht="15.95" customHeight="1">
      <c r="C72" s="340"/>
      <c r="AJ72" s="357" t="str">
        <f>+IF(F72=0,"",ROUND(F72*F$6/(100+F$6),7)-W72)</f>
        <v/>
      </c>
      <c r="AK72" s="357" t="str">
        <f>+IF(G72=0,"",ROUND(G72*G$6/(100+G$6),7)-X72)</f>
        <v/>
      </c>
      <c r="AL72" s="357" t="str">
        <f t="shared" si="251"/>
        <v/>
      </c>
      <c r="AM72" s="357"/>
      <c r="AN72" s="357" t="str">
        <f t="shared" si="252"/>
        <v/>
      </c>
      <c r="AO72" s="359" t="str">
        <f>+IF(SUM(AJ72:AN72)=0,"",SUM(AJ72:AN72))</f>
        <v/>
      </c>
    </row>
    <row r="73" spans="1:65" ht="15.95" customHeight="1">
      <c r="C73" s="340"/>
      <c r="D73" s="344" t="s">
        <v>967</v>
      </c>
      <c r="E73" s="389">
        <f>+'3条支出'!E46</f>
        <v>42987208386</v>
      </c>
      <c r="F73" s="360">
        <f>+E70-E73+消費税!AF113</f>
        <v>1467502897</v>
      </c>
      <c r="G73" s="340" t="s">
        <v>969</v>
      </c>
      <c r="AH73" s="344" t="s">
        <v>976</v>
      </c>
      <c r="AI73" s="360">
        <f>'3条支出'!$T$41</f>
        <v>42028134935</v>
      </c>
      <c r="AJ73" s="357"/>
      <c r="AK73" s="357"/>
      <c r="AL73" s="357"/>
      <c r="AM73" s="357"/>
      <c r="AN73" s="357"/>
      <c r="AO73" s="359"/>
    </row>
    <row r="74" spans="1:65" ht="15.95" customHeight="1">
      <c r="F74" s="360">
        <f>+F73-AI74</f>
        <v>923595698</v>
      </c>
      <c r="G74" s="340" t="s">
        <v>968</v>
      </c>
      <c r="P74" s="394" t="s">
        <v>923</v>
      </c>
      <c r="Q74" s="394"/>
      <c r="R74" s="361"/>
      <c r="S74" s="340" t="s">
        <v>925</v>
      </c>
      <c r="AH74" s="340" t="s">
        <v>977</v>
      </c>
      <c r="AI74" s="360">
        <f>+AI69-AI73</f>
        <v>543907199</v>
      </c>
    </row>
    <row r="75" spans="1:65" ht="15.95" customHeight="1">
      <c r="P75" s="390"/>
      <c r="Q75" s="406"/>
      <c r="R75" s="391"/>
      <c r="S75" s="343" t="s">
        <v>918</v>
      </c>
      <c r="T75" s="343" t="s">
        <v>919</v>
      </c>
      <c r="U75" s="343" t="s">
        <v>920</v>
      </c>
      <c r="V75" s="343" t="s">
        <v>921</v>
      </c>
      <c r="W75" s="343" t="s">
        <v>922</v>
      </c>
      <c r="AI75" s="392"/>
    </row>
    <row r="76" spans="1:65" ht="15.95" customHeight="1">
      <c r="P76" s="390" t="s">
        <v>924</v>
      </c>
      <c r="Q76" s="406"/>
      <c r="R76" s="391"/>
      <c r="S76" s="342">
        <f>+SUM(T76:W76)</f>
        <v>4980</v>
      </c>
      <c r="T76" s="395">
        <v>4980</v>
      </c>
      <c r="U76" s="395"/>
      <c r="V76" s="395"/>
      <c r="W76" s="395"/>
      <c r="X76" s="345">
        <f>S76-V47</f>
        <v>0</v>
      </c>
      <c r="AH76" s="344"/>
      <c r="AI76" s="360"/>
    </row>
    <row r="77" spans="1:65" ht="15.95" customHeight="1">
      <c r="P77" s="390" t="s">
        <v>964</v>
      </c>
      <c r="Q77" s="406"/>
      <c r="R77" s="391"/>
      <c r="S77" s="342">
        <f>+S76</f>
        <v>4980</v>
      </c>
      <c r="T77" s="342">
        <f>+S77-SUM(U77:W77)</f>
        <v>4980</v>
      </c>
      <c r="U77" s="395"/>
      <c r="V77" s="395"/>
      <c r="W77" s="395"/>
      <c r="AI77" s="360"/>
    </row>
    <row r="78" spans="1:65" ht="15.95" customHeight="1">
      <c r="P78" s="393" t="s">
        <v>926</v>
      </c>
      <c r="Q78" s="407"/>
      <c r="R78" s="391"/>
      <c r="S78" s="342">
        <f>+S77</f>
        <v>4980</v>
      </c>
      <c r="T78" s="342">
        <f>+S78-SUM(U78:W78)</f>
        <v>4980</v>
      </c>
      <c r="U78" s="342">
        <f>+IF($T$77&lt;0,ROUND($S$77*U77/SUM($U$77:$W$77),0),U77)</f>
        <v>0</v>
      </c>
      <c r="V78" s="342">
        <f t="shared" ref="V78:W78" si="253">+IF($T$77&lt;0,ROUND($S$77*V77/SUM($U$77:$W$77),0),V77)</f>
        <v>0</v>
      </c>
      <c r="W78" s="342">
        <f t="shared" si="253"/>
        <v>0</v>
      </c>
      <c r="X78" s="340"/>
      <c r="Y78" s="340"/>
      <c r="Z78" s="340"/>
      <c r="AA78" s="340"/>
      <c r="AB78" s="340"/>
      <c r="AH78" s="344"/>
      <c r="AI78" s="360"/>
    </row>
    <row r="79" spans="1:65" ht="15.95" customHeight="1">
      <c r="W79" s="340"/>
      <c r="X79" s="340"/>
      <c r="Y79" s="340"/>
      <c r="Z79" s="340"/>
      <c r="AA79" s="340"/>
      <c r="AB79" s="340"/>
      <c r="AH79" s="344"/>
      <c r="AI79" s="360"/>
    </row>
    <row r="80" spans="1:65" ht="15.95" customHeight="1">
      <c r="E80" s="360"/>
      <c r="F80" s="360"/>
      <c r="G80" s="360"/>
      <c r="H80" s="360"/>
      <c r="I80" s="360"/>
      <c r="J80" s="360"/>
      <c r="K80" s="360"/>
      <c r="L80" s="360"/>
      <c r="M80" s="360"/>
      <c r="N80" s="360"/>
      <c r="O80" s="360"/>
      <c r="P80" s="360"/>
      <c r="Q80" s="360"/>
      <c r="R80" s="360"/>
      <c r="S80" s="360"/>
      <c r="T80" s="360"/>
      <c r="U80" s="360"/>
      <c r="V80" s="360"/>
      <c r="AI80" s="360"/>
    </row>
    <row r="81" spans="18:35" ht="15.95" customHeight="1">
      <c r="R81" s="345"/>
      <c r="S81" s="345"/>
      <c r="T81" s="345"/>
      <c r="U81" s="345"/>
      <c r="V81" s="345"/>
      <c r="AI81" s="345"/>
    </row>
    <row r="82" spans="18:35" ht="15.95" customHeight="1">
      <c r="R82" s="345"/>
      <c r="S82" s="345"/>
      <c r="T82" s="345"/>
      <c r="U82" s="345"/>
      <c r="V82" s="345"/>
      <c r="AI82" s="401"/>
    </row>
    <row r="83" spans="18:35" ht="15.95" customHeight="1">
      <c r="R83" s="345"/>
      <c r="S83" s="345"/>
      <c r="T83" s="345"/>
      <c r="U83" s="345"/>
      <c r="V83" s="345"/>
      <c r="W83" s="340"/>
      <c r="X83" s="340"/>
      <c r="Y83" s="340"/>
      <c r="Z83" s="340"/>
      <c r="AA83" s="340"/>
      <c r="AB83" s="340"/>
      <c r="AI83" s="360"/>
    </row>
    <row r="84" spans="18:35" ht="15.95" customHeight="1">
      <c r="T84" s="360"/>
    </row>
  </sheetData>
  <mergeCells count="26">
    <mergeCell ref="F3:K5"/>
    <mergeCell ref="L3:L6"/>
    <mergeCell ref="N5:S5"/>
    <mergeCell ref="V5:V6"/>
    <mergeCell ref="A3:A6"/>
    <mergeCell ref="B3:B6"/>
    <mergeCell ref="C3:C6"/>
    <mergeCell ref="D3:D6"/>
    <mergeCell ref="E3:E6"/>
    <mergeCell ref="M3:M6"/>
    <mergeCell ref="N4:T4"/>
    <mergeCell ref="U4:U6"/>
    <mergeCell ref="AC3:AH5"/>
    <mergeCell ref="T5:T6"/>
    <mergeCell ref="AI3:AI6"/>
    <mergeCell ref="W3:AB5"/>
    <mergeCell ref="N3:V3"/>
    <mergeCell ref="AY3:BM4"/>
    <mergeCell ref="AY5:BC5"/>
    <mergeCell ref="BD5:BH5"/>
    <mergeCell ref="BI5:BM5"/>
    <mergeCell ref="AJ3:AO3"/>
    <mergeCell ref="AP3:AT3"/>
    <mergeCell ref="AJ5:AN5"/>
    <mergeCell ref="AO5:AS5"/>
    <mergeCell ref="AT5:AX5"/>
  </mergeCells>
  <phoneticPr fontId="3"/>
  <conditionalFormatting sqref="AP69:AT73 AT54:AT68 AT22:AT52 AT7:AX21 BI7:BM21">
    <cfRule type="notContainsBlanks" dxfId="145" priority="37" stopIfTrue="1">
      <formula>LEN(TRIM(AP7))&gt;0</formula>
    </cfRule>
  </conditionalFormatting>
  <conditionalFormatting sqref="BI22:BI68">
    <cfRule type="notContainsBlanks" dxfId="144" priority="4" stopIfTrue="1">
      <formula>LEN(TRIM(BI22))&gt;0</formula>
    </cfRule>
  </conditionalFormatting>
  <conditionalFormatting sqref="AT53">
    <cfRule type="notContainsBlanks" dxfId="143" priority="35" stopIfTrue="1">
      <formula>LEN(TRIM(AT53))&gt;0</formula>
    </cfRule>
  </conditionalFormatting>
  <conditionalFormatting sqref="AT22:AX68">
    <cfRule type="notContainsBlanks" dxfId="142" priority="34" stopIfTrue="1">
      <formula>LEN(TRIM(AT22))&gt;0</formula>
    </cfRule>
  </conditionalFormatting>
  <conditionalFormatting sqref="AO7:AS21 BD7:BH21">
    <cfRule type="expression" dxfId="141" priority="33">
      <formula>ABS(AO7)=1</formula>
    </cfRule>
  </conditionalFormatting>
  <conditionalFormatting sqref="AO22:AS68">
    <cfRule type="expression" dxfId="140" priority="32">
      <formula>ABS(AO22)=1</formula>
    </cfRule>
  </conditionalFormatting>
  <conditionalFormatting sqref="BD33:BH33">
    <cfRule type="expression" dxfId="139" priority="31">
      <formula>ABS(BD33)=1</formula>
    </cfRule>
  </conditionalFormatting>
  <conditionalFormatting sqref="BI33:BL33">
    <cfRule type="notContainsBlanks" dxfId="138" priority="30" stopIfTrue="1">
      <formula>LEN(TRIM(BI33))&gt;0</formula>
    </cfRule>
  </conditionalFormatting>
  <conditionalFormatting sqref="BE33:BH33">
    <cfRule type="expression" dxfId="137" priority="29">
      <formula>ABS(BE33)=1</formula>
    </cfRule>
  </conditionalFormatting>
  <conditionalFormatting sqref="BI33">
    <cfRule type="notContainsBlanks" dxfId="136" priority="28" stopIfTrue="1">
      <formula>LEN(TRIM(BI33))&gt;0</formula>
    </cfRule>
  </conditionalFormatting>
  <conditionalFormatting sqref="BI33:BL33">
    <cfRule type="notContainsBlanks" dxfId="135" priority="27" stopIfTrue="1">
      <formula>LEN(TRIM(BI33))&gt;0</formula>
    </cfRule>
  </conditionalFormatting>
  <conditionalFormatting sqref="BD33:BH33">
    <cfRule type="expression" dxfId="134" priority="26">
      <formula>ABS(BD33)=1</formula>
    </cfRule>
  </conditionalFormatting>
  <conditionalFormatting sqref="BD22:BH68">
    <cfRule type="expression" dxfId="133" priority="25">
      <formula>ABS(BD22)=1</formula>
    </cfRule>
  </conditionalFormatting>
  <conditionalFormatting sqref="BD22:BH68">
    <cfRule type="expression" dxfId="132" priority="24">
      <formula>ABS(BD22)=1</formula>
    </cfRule>
  </conditionalFormatting>
  <conditionalFormatting sqref="BD22:BH68">
    <cfRule type="expression" dxfId="131" priority="23">
      <formula>ABS(BD22)=1</formula>
    </cfRule>
  </conditionalFormatting>
  <conditionalFormatting sqref="BD25:BH25">
    <cfRule type="expression" dxfId="130" priority="22">
      <formula>ABS(BD25)=1</formula>
    </cfRule>
  </conditionalFormatting>
  <conditionalFormatting sqref="BE25:BH25">
    <cfRule type="expression" dxfId="129" priority="21">
      <formula>ABS(BE25)=1</formula>
    </cfRule>
  </conditionalFormatting>
  <conditionalFormatting sqref="BD25:BH25">
    <cfRule type="expression" dxfId="128" priority="20">
      <formula>ABS(BD25)=1</formula>
    </cfRule>
  </conditionalFormatting>
  <conditionalFormatting sqref="BD27:BH29">
    <cfRule type="expression" dxfId="127" priority="19">
      <formula>ABS(BD27)=1</formula>
    </cfRule>
  </conditionalFormatting>
  <conditionalFormatting sqref="BD27:BH29">
    <cfRule type="expression" dxfId="126" priority="18">
      <formula>ABS(BD27)=1</formula>
    </cfRule>
  </conditionalFormatting>
  <conditionalFormatting sqref="BD27:BH29">
    <cfRule type="expression" dxfId="125" priority="17">
      <formula>ABS(BD27)=1</formula>
    </cfRule>
  </conditionalFormatting>
  <conditionalFormatting sqref="BD31:BH31">
    <cfRule type="expression" dxfId="124" priority="16">
      <formula>ABS(BD31)=1</formula>
    </cfRule>
  </conditionalFormatting>
  <conditionalFormatting sqref="BD31:BH31">
    <cfRule type="expression" dxfId="123" priority="15">
      <formula>ABS(BD31)=1</formula>
    </cfRule>
  </conditionalFormatting>
  <conditionalFormatting sqref="BD31:BH31">
    <cfRule type="expression" dxfId="122" priority="14">
      <formula>ABS(BD31)=1</formula>
    </cfRule>
  </conditionalFormatting>
  <conditionalFormatting sqref="BD39:BH39">
    <cfRule type="expression" dxfId="121" priority="13">
      <formula>ABS(BD39)=1</formula>
    </cfRule>
  </conditionalFormatting>
  <conditionalFormatting sqref="BD39:BH39">
    <cfRule type="expression" dxfId="120" priority="12">
      <formula>ABS(BD39)=1</formula>
    </cfRule>
  </conditionalFormatting>
  <conditionalFormatting sqref="BD39:BH39">
    <cfRule type="expression" dxfId="119" priority="11">
      <formula>ABS(BD39)=1</formula>
    </cfRule>
  </conditionalFormatting>
  <conditionalFormatting sqref="BD43:BH45">
    <cfRule type="expression" dxfId="118" priority="10">
      <formula>ABS(BD43)=1</formula>
    </cfRule>
  </conditionalFormatting>
  <conditionalFormatting sqref="BD43:BH45">
    <cfRule type="expression" dxfId="117" priority="9">
      <formula>ABS(BD43)=1</formula>
    </cfRule>
  </conditionalFormatting>
  <conditionalFormatting sqref="BD43:BH45">
    <cfRule type="expression" dxfId="116" priority="8">
      <formula>ABS(BD43)=1</formula>
    </cfRule>
  </conditionalFormatting>
  <conditionalFormatting sqref="BD47:BH47">
    <cfRule type="expression" dxfId="115" priority="7">
      <formula>ABS(BD47)=1</formula>
    </cfRule>
  </conditionalFormatting>
  <conditionalFormatting sqref="BD47:BH47">
    <cfRule type="expression" dxfId="114" priority="6">
      <formula>ABS(BD47)=1</formula>
    </cfRule>
  </conditionalFormatting>
  <conditionalFormatting sqref="BD47:BH47">
    <cfRule type="expression" dxfId="113" priority="5">
      <formula>ABS(BD47)=1</formula>
    </cfRule>
  </conditionalFormatting>
  <conditionalFormatting sqref="BI22:BM68">
    <cfRule type="notContainsBlanks" dxfId="112" priority="3" stopIfTrue="1">
      <formula>LEN(TRIM(BI22))&gt;0</formula>
    </cfRule>
  </conditionalFormatting>
  <conditionalFormatting sqref="E71:AH71">
    <cfRule type="cellIs" dxfId="111" priority="2" operator="notEqual">
      <formula>0</formula>
    </cfRule>
  </conditionalFormatting>
  <conditionalFormatting sqref="F74">
    <cfRule type="cellIs" dxfId="110" priority="1" operator="notEqual">
      <formula>0</formula>
    </cfRule>
  </conditionalFormatting>
  <printOptions horizontalCentered="1"/>
  <pageMargins left="0.78740157480314965" right="0.19685039370078741" top="0.59055118110236227" bottom="0.39370078740157483" header="0.19685039370078741" footer="0.19685039370078741"/>
  <pageSetup paperSize="8" scale="63" orientation="landscape" blackAndWhite="1" r:id="rId1"/>
  <legacyDrawing r:id="rId2"/>
</worksheet>
</file>

<file path=xl/worksheets/w3_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I43"/>
  <sheetViews>
    <sheetView topLeftCell="D1" zoomScale="80" zoomScaleNormal="80" zoomScaleSheetLayoutView="40" workbookViewId="0">
      <pane xSplit="1"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4.25" style="620" customWidth="1"/>
    <col min="6" max="6" width="11.625" style="620" hidden="1" customWidth="1" outlineLevel="1"/>
    <col min="7" max="7" width="12.625" style="620" customWidth="1" collapsed="1"/>
    <col min="8" max="9" width="14.375" style="620" customWidth="1"/>
    <col min="10" max="10" width="14" style="620" bestFit="1" customWidth="1"/>
    <col min="11" max="11" width="14.25" style="620" customWidth="1"/>
    <col min="12" max="12" width="13.625" style="620" customWidth="1"/>
    <col min="13" max="13" width="14.25" style="620" customWidth="1"/>
    <col min="14" max="14" width="10.625" style="621" hidden="1" customWidth="1" outlineLevel="1"/>
    <col min="15" max="15" width="12.625" style="621" customWidth="1" collapsed="1"/>
    <col min="16" max="17" width="12.625" style="621" customWidth="1"/>
    <col min="18" max="18" width="12.875" style="621" bestFit="1" customWidth="1"/>
    <col min="19" max="19" width="12.625" style="621" customWidth="1"/>
    <col min="20" max="20" width="15" style="620" customWidth="1"/>
    <col min="21" max="22" width="5.375" style="620" customWidth="1"/>
    <col min="23" max="23" width="6.875" style="620" bestFit="1" customWidth="1"/>
    <col min="24" max="24" width="7.125" style="620" bestFit="1" customWidth="1"/>
    <col min="25" max="25" width="6.875" style="620" bestFit="1" customWidth="1"/>
    <col min="26" max="35" width="5.375" style="620" customWidth="1"/>
    <col min="36" max="16384" width="9" style="620"/>
  </cols>
  <sheetData>
    <row r="1" spans="1:35" x14ac:dyDescent="0.15">
      <c r="D1" s="620" t="str">
        <f>+'3条支出'!$D$1</f>
        <v>令和５年度決算　消費税算出資料</v>
      </c>
    </row>
    <row r="2" spans="1:35" x14ac:dyDescent="0.15">
      <c r="D2" s="620" t="s">
        <v>1008</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92"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c r="B5" s="684"/>
      <c r="C5" s="683"/>
      <c r="D5" s="682" t="s">
        <v>994</v>
      </c>
      <c r="E5" s="681">
        <f t="shared" ref="E5:T5" si="0">+SUM(E6:E11,E15:E16)</f>
        <v>17250555070</v>
      </c>
      <c r="F5" s="680">
        <f t="shared" si="0"/>
        <v>0</v>
      </c>
      <c r="G5" s="679">
        <f t="shared" si="0"/>
        <v>0</v>
      </c>
      <c r="H5" s="679">
        <f t="shared" si="0"/>
        <v>125712</v>
      </c>
      <c r="I5" s="679">
        <f t="shared" ref="I5" si="1">+SUM(I6:I11,I15:I16)</f>
        <v>36840</v>
      </c>
      <c r="J5" s="678">
        <f t="shared" si="0"/>
        <v>16278736624</v>
      </c>
      <c r="K5" s="677">
        <f t="shared" si="0"/>
        <v>16278899176</v>
      </c>
      <c r="L5" s="681">
        <f t="shared" si="0"/>
        <v>164380201</v>
      </c>
      <c r="M5" s="681">
        <f t="shared" si="0"/>
        <v>807275693</v>
      </c>
      <c r="N5" s="680">
        <f t="shared" si="0"/>
        <v>0</v>
      </c>
      <c r="O5" s="679">
        <f t="shared" si="0"/>
        <v>0</v>
      </c>
      <c r="P5" s="679">
        <f>+SUM(P6:P11,P15:P16)</f>
        <v>9312</v>
      </c>
      <c r="Q5" s="679">
        <f t="shared" ref="Q5" si="2">+SUM(Q6:Q11,Q15:Q16)</f>
        <v>2728</v>
      </c>
      <c r="R5" s="678">
        <f t="shared" si="0"/>
        <v>1479885147</v>
      </c>
      <c r="S5" s="677">
        <f t="shared" si="0"/>
        <v>1479897187</v>
      </c>
      <c r="T5" s="676">
        <f t="shared" si="0"/>
        <v>15770657883</v>
      </c>
      <c r="U5" s="650"/>
      <c r="V5" s="650"/>
      <c r="W5" s="650"/>
      <c r="X5" s="650"/>
      <c r="Y5" s="650"/>
      <c r="Z5" s="649"/>
      <c r="AA5" s="649"/>
      <c r="AB5" s="649"/>
      <c r="AC5" s="649"/>
      <c r="AD5" s="649"/>
      <c r="AE5" s="648"/>
      <c r="AF5" s="648"/>
      <c r="AG5" s="648"/>
      <c r="AH5" s="648"/>
      <c r="AI5" s="648"/>
    </row>
    <row r="6" spans="1:35" x14ac:dyDescent="0.15">
      <c r="A6" s="670"/>
      <c r="B6" s="669"/>
      <c r="C6" s="668"/>
      <c r="D6" s="667" t="s">
        <v>993</v>
      </c>
      <c r="E6" s="666">
        <f>+公整!E41</f>
        <v>15677649564</v>
      </c>
      <c r="F6" s="662">
        <f>+公整!F41</f>
        <v>0</v>
      </c>
      <c r="G6" s="661">
        <f>+公整!G41</f>
        <v>0</v>
      </c>
      <c r="H6" s="661">
        <f>+公整!H41</f>
        <v>125712</v>
      </c>
      <c r="I6" s="661">
        <f>+公整!I41</f>
        <v>36840</v>
      </c>
      <c r="J6" s="665">
        <f>+公整!J41</f>
        <v>14917070964</v>
      </c>
      <c r="K6" s="664">
        <f>+公整!K41</f>
        <v>14917233516</v>
      </c>
      <c r="L6" s="666">
        <f>+公整!L41</f>
        <v>120272797</v>
      </c>
      <c r="M6" s="666">
        <f>+公整!M41</f>
        <v>640143251</v>
      </c>
      <c r="N6" s="675">
        <f t="shared" ref="N6:Q10" si="3">+ROUND(F6*F$4/(100+F$4),0)+AE6</f>
        <v>0</v>
      </c>
      <c r="O6" s="674">
        <f t="shared" si="3"/>
        <v>0</v>
      </c>
      <c r="P6" s="674">
        <f t="shared" si="3"/>
        <v>9312</v>
      </c>
      <c r="Q6" s="674">
        <f t="shared" si="3"/>
        <v>2728</v>
      </c>
      <c r="R6" s="673">
        <f>+ROUND(J6*J$4/(100+J$4),0)+AI6</f>
        <v>1356097360</v>
      </c>
      <c r="S6" s="672">
        <f t="shared" ref="S6:S16" si="4">SUM(N6:R6)</f>
        <v>1356109400</v>
      </c>
      <c r="T6" s="671">
        <f t="shared" ref="T6:T19" si="5">+E6-S6</f>
        <v>14321540164</v>
      </c>
      <c r="U6" s="650">
        <f t="shared" ref="U6:X10" si="6">N6-F6*F$4/(100+F$4)</f>
        <v>0</v>
      </c>
      <c r="V6" s="650">
        <f t="shared" si="6"/>
        <v>0</v>
      </c>
      <c r="W6" s="650">
        <f t="shared" si="6"/>
        <v>0</v>
      </c>
      <c r="X6" s="650">
        <f t="shared" si="6"/>
        <v>-0.88888888888868678</v>
      </c>
      <c r="Y6" s="650">
        <f>R6-J6*J$4/(100+J$4)</f>
        <v>-0.36363625526428223</v>
      </c>
      <c r="Z6" s="649">
        <f t="shared" ref="Z6:AC10" si="7">+IF(N$43=0,0,IF(N$43&lt;0,-RANK(U6,U$5:U$40,0),RANK(U6,U$5:U$40,1)))</f>
        <v>0</v>
      </c>
      <c r="AA6" s="649">
        <f t="shared" si="7"/>
        <v>0</v>
      </c>
      <c r="AB6" s="649">
        <f t="shared" si="7"/>
        <v>0</v>
      </c>
      <c r="AC6" s="649">
        <f t="shared" si="7"/>
        <v>0</v>
      </c>
      <c r="AD6" s="649">
        <f>+IF(R$43=0,0,IF(R$43&lt;0,-RANK(Y6,Y$5:Y$40,0),RANK(Y6,Y$5:Y$40,1)))</f>
        <v>0</v>
      </c>
      <c r="AE6" s="648"/>
      <c r="AF6" s="648"/>
      <c r="AG6" s="648"/>
      <c r="AH6" s="648">
        <v>-1</v>
      </c>
      <c r="AI6" s="648"/>
    </row>
    <row r="7" spans="1:35" x14ac:dyDescent="0.15">
      <c r="A7" s="670"/>
      <c r="B7" s="669"/>
      <c r="C7" s="668"/>
      <c r="D7" s="667" t="s">
        <v>992</v>
      </c>
      <c r="E7" s="666">
        <f>+受益!E41</f>
        <v>15860357</v>
      </c>
      <c r="F7" s="662">
        <f>+受益!F41</f>
        <v>0</v>
      </c>
      <c r="G7" s="661">
        <f>+受益!G41</f>
        <v>0</v>
      </c>
      <c r="H7" s="661">
        <f>+受益!H41</f>
        <v>0</v>
      </c>
      <c r="I7" s="661">
        <f>+受益!I41</f>
        <v>0</v>
      </c>
      <c r="J7" s="665">
        <f>+受益!J41</f>
        <v>5973775</v>
      </c>
      <c r="K7" s="664">
        <f>+受益!K41</f>
        <v>5973775</v>
      </c>
      <c r="L7" s="666">
        <f>+受益!L41</f>
        <v>1647233</v>
      </c>
      <c r="M7" s="666">
        <f>+受益!M41</f>
        <v>8239349</v>
      </c>
      <c r="N7" s="675">
        <f t="shared" si="3"/>
        <v>0</v>
      </c>
      <c r="O7" s="674">
        <f t="shared" si="3"/>
        <v>0</v>
      </c>
      <c r="P7" s="674">
        <f t="shared" si="3"/>
        <v>0</v>
      </c>
      <c r="Q7" s="674">
        <f t="shared" si="3"/>
        <v>0</v>
      </c>
      <c r="R7" s="673">
        <f>+ROUND(J7*J$4/(100+J$4),0)+AI7</f>
        <v>543071</v>
      </c>
      <c r="S7" s="672">
        <f t="shared" si="4"/>
        <v>543071</v>
      </c>
      <c r="T7" s="671">
        <f t="shared" si="5"/>
        <v>15317286</v>
      </c>
      <c r="U7" s="650">
        <f t="shared" si="6"/>
        <v>0</v>
      </c>
      <c r="V7" s="650">
        <f t="shared" si="6"/>
        <v>0</v>
      </c>
      <c r="W7" s="650">
        <f t="shared" si="6"/>
        <v>0</v>
      </c>
      <c r="X7" s="650">
        <f t="shared" si="6"/>
        <v>0</v>
      </c>
      <c r="Y7" s="650">
        <f>R7-J7*J$4/(100+J$4)</f>
        <v>0.54545454541221261</v>
      </c>
      <c r="Z7" s="649">
        <f t="shared" si="7"/>
        <v>0</v>
      </c>
      <c r="AA7" s="649">
        <f t="shared" si="7"/>
        <v>0</v>
      </c>
      <c r="AB7" s="649">
        <f t="shared" si="7"/>
        <v>0</v>
      </c>
      <c r="AC7" s="649">
        <f t="shared" si="7"/>
        <v>0</v>
      </c>
      <c r="AD7" s="649">
        <f>+IF(R$43=0,0,IF(R$43&lt;0,-RANK(Y7,Y$5:Y$40,0),RANK(Y7,Y$5:Y$40,1)))</f>
        <v>0</v>
      </c>
      <c r="AE7" s="648"/>
      <c r="AF7" s="648"/>
      <c r="AG7" s="648"/>
      <c r="AH7" s="648"/>
      <c r="AI7" s="648">
        <v>1</v>
      </c>
    </row>
    <row r="8" spans="1:35" x14ac:dyDescent="0.15">
      <c r="A8" s="670"/>
      <c r="B8" s="669"/>
      <c r="C8" s="668"/>
      <c r="D8" s="667" t="s">
        <v>991</v>
      </c>
      <c r="E8" s="666">
        <f>+排水!E41</f>
        <v>665100151</v>
      </c>
      <c r="F8" s="662">
        <f>+排水!F41</f>
        <v>0</v>
      </c>
      <c r="G8" s="661">
        <f>+排水!G41</f>
        <v>0</v>
      </c>
      <c r="H8" s="661">
        <f>+排水!H41</f>
        <v>0</v>
      </c>
      <c r="I8" s="661">
        <f>+排水!I41</f>
        <v>0</v>
      </c>
      <c r="J8" s="665">
        <f>+排水!J41</f>
        <v>518619849</v>
      </c>
      <c r="K8" s="664">
        <f>+排水!K41</f>
        <v>518619849</v>
      </c>
      <c r="L8" s="666">
        <f>+排水!L41</f>
        <v>24850691</v>
      </c>
      <c r="M8" s="666">
        <f>+排水!M41</f>
        <v>121629611</v>
      </c>
      <c r="N8" s="675">
        <f t="shared" si="3"/>
        <v>0</v>
      </c>
      <c r="O8" s="674">
        <f t="shared" si="3"/>
        <v>0</v>
      </c>
      <c r="P8" s="674">
        <f t="shared" si="3"/>
        <v>0</v>
      </c>
      <c r="Q8" s="674">
        <f t="shared" si="3"/>
        <v>0</v>
      </c>
      <c r="R8" s="673">
        <f>+ROUND(J8*J$4/(100+J$4),0)+AI8</f>
        <v>47147259</v>
      </c>
      <c r="S8" s="672">
        <f t="shared" si="4"/>
        <v>47147259</v>
      </c>
      <c r="T8" s="671">
        <f t="shared" si="5"/>
        <v>617952892</v>
      </c>
      <c r="U8" s="650">
        <f t="shared" si="6"/>
        <v>0</v>
      </c>
      <c r="V8" s="650">
        <f t="shared" si="6"/>
        <v>0</v>
      </c>
      <c r="W8" s="650">
        <f t="shared" si="6"/>
        <v>0</v>
      </c>
      <c r="X8" s="650">
        <f t="shared" si="6"/>
        <v>0</v>
      </c>
      <c r="Y8" s="650">
        <f>R8-J8*J$4/(100+J$4)</f>
        <v>0</v>
      </c>
      <c r="Z8" s="649">
        <f t="shared" si="7"/>
        <v>0</v>
      </c>
      <c r="AA8" s="649">
        <f t="shared" si="7"/>
        <v>0</v>
      </c>
      <c r="AB8" s="649">
        <f t="shared" si="7"/>
        <v>0</v>
      </c>
      <c r="AC8" s="649">
        <f t="shared" si="7"/>
        <v>0</v>
      </c>
      <c r="AD8" s="649">
        <f>+IF(R$43=0,0,IF(R$43&lt;0,-RANK(Y8,Y$5:Y$40,0),RANK(Y8,Y$5:Y$40,1)))</f>
        <v>0</v>
      </c>
      <c r="AE8" s="648"/>
      <c r="AF8" s="648"/>
      <c r="AG8" s="648"/>
      <c r="AH8" s="648"/>
      <c r="AI8" s="648"/>
    </row>
    <row r="9" spans="1:35" x14ac:dyDescent="0.15">
      <c r="A9" s="670"/>
      <c r="B9" s="669"/>
      <c r="C9" s="668"/>
      <c r="D9" s="667" t="s">
        <v>990</v>
      </c>
      <c r="E9" s="666">
        <f>+都下!E41</f>
        <v>0</v>
      </c>
      <c r="F9" s="662">
        <f>+都下!F41</f>
        <v>0</v>
      </c>
      <c r="G9" s="661">
        <f>+都下!G41</f>
        <v>0</v>
      </c>
      <c r="H9" s="661">
        <f>+都下!H41</f>
        <v>0</v>
      </c>
      <c r="I9" s="661">
        <f>+都下!I41</f>
        <v>0</v>
      </c>
      <c r="J9" s="665">
        <f>+都下!J41</f>
        <v>0</v>
      </c>
      <c r="K9" s="664">
        <f>+都下!K41</f>
        <v>0</v>
      </c>
      <c r="L9" s="666">
        <f>+都下!L41</f>
        <v>0</v>
      </c>
      <c r="M9" s="666">
        <f>+都下!M41</f>
        <v>0</v>
      </c>
      <c r="N9" s="675">
        <f t="shared" si="3"/>
        <v>0</v>
      </c>
      <c r="O9" s="674">
        <f t="shared" si="3"/>
        <v>0</v>
      </c>
      <c r="P9" s="674">
        <f t="shared" si="3"/>
        <v>0</v>
      </c>
      <c r="Q9" s="674">
        <f t="shared" si="3"/>
        <v>0</v>
      </c>
      <c r="R9" s="673">
        <f>+ROUND(J9*J$4/(100+J$4),0)+AI9</f>
        <v>0</v>
      </c>
      <c r="S9" s="672">
        <f t="shared" si="4"/>
        <v>0</v>
      </c>
      <c r="T9" s="671">
        <f t="shared" si="5"/>
        <v>0</v>
      </c>
      <c r="U9" s="650">
        <f t="shared" si="6"/>
        <v>0</v>
      </c>
      <c r="V9" s="650">
        <f t="shared" si="6"/>
        <v>0</v>
      </c>
      <c r="W9" s="650">
        <f t="shared" si="6"/>
        <v>0</v>
      </c>
      <c r="X9" s="650">
        <f t="shared" si="6"/>
        <v>0</v>
      </c>
      <c r="Y9" s="650">
        <f>R9-J9*J$4/(100+J$4)</f>
        <v>0</v>
      </c>
      <c r="Z9" s="649">
        <f t="shared" si="7"/>
        <v>0</v>
      </c>
      <c r="AA9" s="649">
        <f t="shared" si="7"/>
        <v>0</v>
      </c>
      <c r="AB9" s="649">
        <f t="shared" si="7"/>
        <v>0</v>
      </c>
      <c r="AC9" s="649">
        <f t="shared" si="7"/>
        <v>0</v>
      </c>
      <c r="AD9" s="649">
        <f>+IF(R$43=0,0,IF(R$43&lt;0,-RANK(Y9,Y$5:Y$40,0),RANK(Y9,Y$5:Y$40,1)))</f>
        <v>0</v>
      </c>
      <c r="AE9" s="648"/>
      <c r="AF9" s="648"/>
      <c r="AG9" s="648"/>
      <c r="AH9" s="648"/>
      <c r="AI9" s="648"/>
    </row>
    <row r="10" spans="1:35" x14ac:dyDescent="0.15">
      <c r="A10" s="670"/>
      <c r="B10" s="669"/>
      <c r="C10" s="668"/>
      <c r="D10" s="667" t="s">
        <v>989</v>
      </c>
      <c r="E10" s="666">
        <f>+流下!E41</f>
        <v>131921564</v>
      </c>
      <c r="F10" s="662">
        <f>+流下!F41</f>
        <v>0</v>
      </c>
      <c r="G10" s="661">
        <f>+流下!G41</f>
        <v>0</v>
      </c>
      <c r="H10" s="661">
        <f>+流下!H41</f>
        <v>0</v>
      </c>
      <c r="I10" s="661">
        <f>+流下!I41</f>
        <v>0</v>
      </c>
      <c r="J10" s="665">
        <f>+流下!J41</f>
        <v>121228564</v>
      </c>
      <c r="K10" s="664">
        <f>+流下!K41</f>
        <v>121228564</v>
      </c>
      <c r="L10" s="666">
        <f>+流下!L41</f>
        <v>0</v>
      </c>
      <c r="M10" s="666">
        <f>+流下!M41</f>
        <v>10693000</v>
      </c>
      <c r="N10" s="675">
        <f t="shared" si="3"/>
        <v>0</v>
      </c>
      <c r="O10" s="674">
        <f t="shared" si="3"/>
        <v>0</v>
      </c>
      <c r="P10" s="674">
        <f t="shared" si="3"/>
        <v>0</v>
      </c>
      <c r="Q10" s="674">
        <f t="shared" si="3"/>
        <v>0</v>
      </c>
      <c r="R10" s="673">
        <f>+ROUND(J10*J$4/(100+J$4),0)+AI10</f>
        <v>11020779</v>
      </c>
      <c r="S10" s="672">
        <f t="shared" si="4"/>
        <v>11020779</v>
      </c>
      <c r="T10" s="671">
        <f t="shared" si="5"/>
        <v>120900785</v>
      </c>
      <c r="U10" s="650">
        <f t="shared" si="6"/>
        <v>0</v>
      </c>
      <c r="V10" s="650">
        <f t="shared" si="6"/>
        <v>0</v>
      </c>
      <c r="W10" s="650">
        <f t="shared" si="6"/>
        <v>0</v>
      </c>
      <c r="X10" s="650">
        <f t="shared" si="6"/>
        <v>0</v>
      </c>
      <c r="Y10" s="650">
        <f>R10-J10*J$4/(100+J$4)</f>
        <v>0.45454545505344868</v>
      </c>
      <c r="Z10" s="649">
        <f t="shared" si="7"/>
        <v>0</v>
      </c>
      <c r="AA10" s="649">
        <f t="shared" si="7"/>
        <v>0</v>
      </c>
      <c r="AB10" s="649">
        <f t="shared" si="7"/>
        <v>0</v>
      </c>
      <c r="AC10" s="649">
        <f t="shared" si="7"/>
        <v>0</v>
      </c>
      <c r="AD10" s="649">
        <f>+IF(R$43=0,0,IF(R$43&lt;0,-RANK(Y10,Y$5:Y$40,0),RANK(Y10,Y$5:Y$40,1)))</f>
        <v>0</v>
      </c>
      <c r="AE10" s="648"/>
      <c r="AF10" s="648"/>
      <c r="AG10" s="648"/>
      <c r="AH10" s="648"/>
      <c r="AI10" s="648"/>
    </row>
    <row r="11" spans="1:35" x14ac:dyDescent="0.15">
      <c r="A11" s="670"/>
      <c r="B11" s="669"/>
      <c r="C11" s="668"/>
      <c r="D11" s="667" t="s">
        <v>988</v>
      </c>
      <c r="E11" s="666">
        <f>+SUM(E12:E14)</f>
        <v>59178010</v>
      </c>
      <c r="F11" s="662">
        <f t="shared" ref="F11:M11" si="8">+SUM(F12:F14)</f>
        <v>0</v>
      </c>
      <c r="G11" s="661">
        <f t="shared" si="8"/>
        <v>0</v>
      </c>
      <c r="H11" s="661">
        <f t="shared" si="8"/>
        <v>0</v>
      </c>
      <c r="I11" s="661">
        <f t="shared" ref="I11" si="9">+SUM(I12:I14)</f>
        <v>0</v>
      </c>
      <c r="J11" s="665">
        <f t="shared" si="8"/>
        <v>59178010</v>
      </c>
      <c r="K11" s="664">
        <f t="shared" si="8"/>
        <v>59178010</v>
      </c>
      <c r="L11" s="666">
        <f t="shared" si="8"/>
        <v>0</v>
      </c>
      <c r="M11" s="666">
        <f t="shared" si="8"/>
        <v>0</v>
      </c>
      <c r="N11" s="675">
        <f t="shared" ref="N11:R11" si="10">+SUM(N12:N14)</f>
        <v>0</v>
      </c>
      <c r="O11" s="674">
        <f t="shared" si="10"/>
        <v>0</v>
      </c>
      <c r="P11" s="674">
        <f t="shared" si="10"/>
        <v>0</v>
      </c>
      <c r="Q11" s="674">
        <f t="shared" ref="Q11" si="11">+SUM(Q12:Q14)</f>
        <v>0</v>
      </c>
      <c r="R11" s="673">
        <f t="shared" si="10"/>
        <v>5379819</v>
      </c>
      <c r="S11" s="672">
        <f t="shared" ref="S11" si="12">SUM(N11:R11)</f>
        <v>5379819</v>
      </c>
      <c r="T11" s="671">
        <f t="shared" ref="T11" si="13">+E11-S11</f>
        <v>53798191</v>
      </c>
      <c r="U11" s="650"/>
      <c r="V11" s="650"/>
      <c r="W11" s="650"/>
      <c r="X11" s="650"/>
      <c r="Y11" s="650"/>
      <c r="Z11" s="649"/>
      <c r="AA11" s="649"/>
      <c r="AB11" s="649"/>
      <c r="AC11" s="649"/>
      <c r="AD11" s="649"/>
      <c r="AE11" s="648"/>
      <c r="AF11" s="648"/>
      <c r="AG11" s="648"/>
      <c r="AH11" s="648"/>
      <c r="AI11" s="648"/>
    </row>
    <row r="12" spans="1:35" x14ac:dyDescent="0.15">
      <c r="A12" s="670"/>
      <c r="B12" s="669"/>
      <c r="C12" s="668"/>
      <c r="D12" s="667" t="s">
        <v>1343</v>
      </c>
      <c r="E12" s="666">
        <f>+諸公!E41</f>
        <v>59178010</v>
      </c>
      <c r="F12" s="662">
        <f>+諸公!F41</f>
        <v>0</v>
      </c>
      <c r="G12" s="661">
        <f>+諸公!G41</f>
        <v>0</v>
      </c>
      <c r="H12" s="661">
        <f>+諸公!H41</f>
        <v>0</v>
      </c>
      <c r="I12" s="661">
        <f>+諸公!I41</f>
        <v>0</v>
      </c>
      <c r="J12" s="665">
        <f>+諸公!J41</f>
        <v>59178010</v>
      </c>
      <c r="K12" s="664">
        <f>+諸公!K41</f>
        <v>59178010</v>
      </c>
      <c r="L12" s="666">
        <f>+諸公!L41</f>
        <v>0</v>
      </c>
      <c r="M12" s="666">
        <f>+諸公!M41</f>
        <v>0</v>
      </c>
      <c r="N12" s="675">
        <f t="shared" ref="N12:N14" si="14">+ROUND(F12*F$4/(100+F$4),0)+AE12</f>
        <v>0</v>
      </c>
      <c r="O12" s="674">
        <f t="shared" ref="O12:O14" si="15">+ROUND(G12*G$4/(100+G$4),0)+AF12</f>
        <v>0</v>
      </c>
      <c r="P12" s="674">
        <f t="shared" ref="P12:Q14" si="16">+ROUND(H12*H$4/(100+H$4),0)+AG12</f>
        <v>0</v>
      </c>
      <c r="Q12" s="674">
        <f t="shared" si="16"/>
        <v>0</v>
      </c>
      <c r="R12" s="673">
        <f t="shared" ref="R12:R14" si="17">+ROUND(J12*J$4/(100+J$4),0)+AI12</f>
        <v>5379819</v>
      </c>
      <c r="S12" s="672">
        <f t="shared" ref="S12:S14" si="18">SUM(N12:R12)</f>
        <v>5379819</v>
      </c>
      <c r="T12" s="671">
        <f t="shared" si="5"/>
        <v>53798191</v>
      </c>
      <c r="U12" s="650">
        <f t="shared" ref="U12" si="19">N12-F12*F$4/(100+F$4)</f>
        <v>0</v>
      </c>
      <c r="V12" s="650">
        <f t="shared" ref="V12" si="20">O12-G12*G$4/(100+G$4)</f>
        <v>0</v>
      </c>
      <c r="W12" s="650">
        <f t="shared" ref="W12:X12" si="21">P12-H12*H$4/(100+H$4)</f>
        <v>0</v>
      </c>
      <c r="X12" s="650">
        <f t="shared" si="21"/>
        <v>0</v>
      </c>
      <c r="Y12" s="650">
        <f t="shared" ref="Y12" si="22">R12-J12*J$4/(100+J$4)</f>
        <v>-9.090909082442522E-2</v>
      </c>
      <c r="Z12" s="649">
        <f>+IF(N$43=0,0,IF(N$43&lt;0,-RANK(U12,U$5:U$40,0),RANK(U12,U$5:U$40,1)))</f>
        <v>0</v>
      </c>
      <c r="AA12" s="649">
        <f>+IF(O$43=0,0,IF(O$43&lt;0,-RANK(V12,V$5:V$40,0),RANK(V12,V$5:V$40,1)))</f>
        <v>0</v>
      </c>
      <c r="AB12" s="649">
        <f>+IF(P$43=0,0,IF(P$43&lt;0,-RANK(W12,W$5:W$40,0),RANK(W12,W$5:W$40,1)))</f>
        <v>0</v>
      </c>
      <c r="AC12" s="649">
        <f>+IF(Q$43=0,0,IF(Q$43&lt;0,-RANK(X12,X$5:X$40,0),RANK(X12,X$5:X$40,1)))</f>
        <v>0</v>
      </c>
      <c r="AD12" s="649">
        <f>+IF(R$43=0,0,IF(R$43&lt;0,-RANK(Y12,Y$5:Y$40,0),RANK(Y12,Y$5:Y$40,1)))</f>
        <v>0</v>
      </c>
      <c r="AE12" s="648"/>
      <c r="AF12" s="648"/>
      <c r="AG12" s="648"/>
      <c r="AH12" s="648"/>
      <c r="AI12" s="648"/>
    </row>
    <row r="13" spans="1:35" x14ac:dyDescent="0.15">
      <c r="A13" s="670"/>
      <c r="B13" s="669"/>
      <c r="C13" s="668"/>
      <c r="D13" s="667" t="s">
        <v>1344</v>
      </c>
      <c r="E13" s="666">
        <f>+諸特!E41</f>
        <v>0</v>
      </c>
      <c r="F13" s="662">
        <f>+諸特!F41</f>
        <v>0</v>
      </c>
      <c r="G13" s="661">
        <f>+諸特!G41</f>
        <v>0</v>
      </c>
      <c r="H13" s="661">
        <f>+諸特!H41</f>
        <v>0</v>
      </c>
      <c r="I13" s="661">
        <f>+諸特!I41</f>
        <v>0</v>
      </c>
      <c r="J13" s="665">
        <f>+諸特!J41</f>
        <v>0</v>
      </c>
      <c r="K13" s="664">
        <f>+諸特!K41</f>
        <v>0</v>
      </c>
      <c r="L13" s="666">
        <f>+諸特!L41</f>
        <v>0</v>
      </c>
      <c r="M13" s="666">
        <f>+諸特!M41</f>
        <v>0</v>
      </c>
      <c r="N13" s="675">
        <f t="shared" si="14"/>
        <v>0</v>
      </c>
      <c r="O13" s="674">
        <f t="shared" si="15"/>
        <v>0</v>
      </c>
      <c r="P13" s="674">
        <f t="shared" si="16"/>
        <v>0</v>
      </c>
      <c r="Q13" s="674">
        <f t="shared" si="16"/>
        <v>0</v>
      </c>
      <c r="R13" s="673">
        <f t="shared" si="17"/>
        <v>0</v>
      </c>
      <c r="S13" s="672">
        <f t="shared" si="18"/>
        <v>0</v>
      </c>
      <c r="T13" s="671">
        <f t="shared" si="5"/>
        <v>0</v>
      </c>
      <c r="U13" s="650"/>
      <c r="V13" s="650"/>
      <c r="W13" s="650"/>
      <c r="X13" s="650"/>
      <c r="Y13" s="650"/>
      <c r="Z13" s="649"/>
      <c r="AA13" s="649"/>
      <c r="AB13" s="649"/>
      <c r="AC13" s="649"/>
      <c r="AD13" s="649"/>
      <c r="AE13" s="648"/>
      <c r="AF13" s="648"/>
      <c r="AG13" s="648"/>
      <c r="AH13" s="648"/>
      <c r="AI13" s="648"/>
    </row>
    <row r="14" spans="1:35" x14ac:dyDescent="0.15">
      <c r="A14" s="670"/>
      <c r="B14" s="669"/>
      <c r="C14" s="668"/>
      <c r="D14" s="667" t="s">
        <v>1345</v>
      </c>
      <c r="E14" s="666">
        <f>+諸農!E41</f>
        <v>0</v>
      </c>
      <c r="F14" s="662">
        <f>+諸農!F41</f>
        <v>0</v>
      </c>
      <c r="G14" s="661">
        <f>+諸農!G41</f>
        <v>0</v>
      </c>
      <c r="H14" s="661">
        <f>+諸農!H41</f>
        <v>0</v>
      </c>
      <c r="I14" s="661">
        <f>+諸農!I41</f>
        <v>0</v>
      </c>
      <c r="J14" s="665">
        <f>+諸農!J41</f>
        <v>0</v>
      </c>
      <c r="K14" s="664">
        <f>+諸農!K41</f>
        <v>0</v>
      </c>
      <c r="L14" s="666">
        <f>+諸農!L41</f>
        <v>0</v>
      </c>
      <c r="M14" s="666">
        <f>+諸農!M41</f>
        <v>0</v>
      </c>
      <c r="N14" s="675">
        <f t="shared" si="14"/>
        <v>0</v>
      </c>
      <c r="O14" s="674">
        <f t="shared" si="15"/>
        <v>0</v>
      </c>
      <c r="P14" s="674">
        <f t="shared" si="16"/>
        <v>0</v>
      </c>
      <c r="Q14" s="674">
        <f t="shared" si="16"/>
        <v>0</v>
      </c>
      <c r="R14" s="673">
        <f t="shared" si="17"/>
        <v>0</v>
      </c>
      <c r="S14" s="672">
        <f t="shared" si="18"/>
        <v>0</v>
      </c>
      <c r="T14" s="671">
        <f t="shared" si="5"/>
        <v>0</v>
      </c>
      <c r="U14" s="650"/>
      <c r="V14" s="650"/>
      <c r="W14" s="650"/>
      <c r="X14" s="650"/>
      <c r="Y14" s="650"/>
      <c r="Z14" s="649"/>
      <c r="AA14" s="649"/>
      <c r="AB14" s="649"/>
      <c r="AC14" s="649"/>
      <c r="AD14" s="649"/>
      <c r="AE14" s="648"/>
      <c r="AF14" s="648"/>
      <c r="AG14" s="648"/>
      <c r="AH14" s="648"/>
      <c r="AI14" s="648"/>
    </row>
    <row r="15" spans="1:35" x14ac:dyDescent="0.15">
      <c r="A15" s="670"/>
      <c r="B15" s="669"/>
      <c r="C15" s="668"/>
      <c r="D15" s="667" t="s">
        <v>987</v>
      </c>
      <c r="E15" s="666">
        <f>+建利!E41</f>
        <v>12600000</v>
      </c>
      <c r="F15" s="662">
        <f>+建利!F41</f>
        <v>0</v>
      </c>
      <c r="G15" s="661">
        <f>+建利!G41</f>
        <v>0</v>
      </c>
      <c r="H15" s="661">
        <f>+建利!H41</f>
        <v>0</v>
      </c>
      <c r="I15" s="661">
        <f>+建利!I41</f>
        <v>0</v>
      </c>
      <c r="J15" s="665">
        <f>+建利!J41</f>
        <v>0</v>
      </c>
      <c r="K15" s="664">
        <f>+建利!K41</f>
        <v>0</v>
      </c>
      <c r="L15" s="666">
        <f>+建利!L41</f>
        <v>12600000</v>
      </c>
      <c r="M15" s="666">
        <f>+建利!M41</f>
        <v>0</v>
      </c>
      <c r="N15" s="675">
        <f>+ROUND(F15*F$4/(100+F$4),0)+AE15</f>
        <v>0</v>
      </c>
      <c r="O15" s="674">
        <f>+ROUND(G15*G$4/(100+G$4),0)+AF15</f>
        <v>0</v>
      </c>
      <c r="P15" s="674">
        <f>+ROUND(H15*H$4/(100+H$4),0)+AG15</f>
        <v>0</v>
      </c>
      <c r="Q15" s="674">
        <f>+ROUND(I15*I$4/(100+I$4),0)+AH15</f>
        <v>0</v>
      </c>
      <c r="R15" s="673">
        <f>+ROUND(J15*J$4/(100+J$4),0)+AI15</f>
        <v>0</v>
      </c>
      <c r="S15" s="672">
        <f t="shared" si="4"/>
        <v>0</v>
      </c>
      <c r="T15" s="671">
        <f t="shared" si="5"/>
        <v>12600000</v>
      </c>
      <c r="U15" s="650"/>
      <c r="V15" s="650"/>
      <c r="W15" s="650"/>
      <c r="X15" s="650"/>
      <c r="Y15" s="650"/>
      <c r="Z15" s="649"/>
      <c r="AA15" s="649"/>
      <c r="AB15" s="649"/>
      <c r="AC15" s="649"/>
      <c r="AD15" s="649"/>
      <c r="AE15" s="648"/>
      <c r="AF15" s="648"/>
      <c r="AG15" s="648"/>
      <c r="AH15" s="648"/>
      <c r="AI15" s="648"/>
    </row>
    <row r="16" spans="1:35" x14ac:dyDescent="0.15">
      <c r="A16" s="670"/>
      <c r="B16" s="669"/>
      <c r="C16" s="668"/>
      <c r="D16" s="667" t="s">
        <v>986</v>
      </c>
      <c r="E16" s="666">
        <f t="shared" ref="E16:T16" si="23">+SUM(E17:E19)</f>
        <v>688245424</v>
      </c>
      <c r="F16" s="662">
        <f t="shared" si="23"/>
        <v>0</v>
      </c>
      <c r="G16" s="661">
        <f t="shared" si="23"/>
        <v>0</v>
      </c>
      <c r="H16" s="661">
        <f t="shared" si="23"/>
        <v>0</v>
      </c>
      <c r="I16" s="661">
        <f t="shared" ref="I16" si="24">+SUM(I17:I19)</f>
        <v>0</v>
      </c>
      <c r="J16" s="665">
        <f t="shared" si="23"/>
        <v>656665462</v>
      </c>
      <c r="K16" s="664">
        <f t="shared" si="23"/>
        <v>656665462</v>
      </c>
      <c r="L16" s="666">
        <f t="shared" si="23"/>
        <v>5009480</v>
      </c>
      <c r="M16" s="666">
        <f t="shared" si="23"/>
        <v>26570482</v>
      </c>
      <c r="N16" s="675">
        <f t="shared" si="23"/>
        <v>0</v>
      </c>
      <c r="O16" s="674">
        <f t="shared" si="23"/>
        <v>0</v>
      </c>
      <c r="P16" s="674">
        <f t="shared" si="23"/>
        <v>0</v>
      </c>
      <c r="Q16" s="674">
        <f t="shared" ref="Q16" si="25">+SUM(Q17:Q19)</f>
        <v>0</v>
      </c>
      <c r="R16" s="673">
        <f t="shared" si="23"/>
        <v>59696859</v>
      </c>
      <c r="S16" s="672">
        <f t="shared" si="4"/>
        <v>59696859</v>
      </c>
      <c r="T16" s="671">
        <f t="shared" si="23"/>
        <v>628548565</v>
      </c>
      <c r="U16" s="650"/>
      <c r="V16" s="650"/>
      <c r="W16" s="650"/>
      <c r="X16" s="650"/>
      <c r="Y16" s="650"/>
      <c r="Z16" s="649"/>
      <c r="AA16" s="649"/>
      <c r="AB16" s="649"/>
      <c r="AC16" s="649"/>
      <c r="AD16" s="649"/>
      <c r="AE16" s="648"/>
      <c r="AF16" s="648"/>
      <c r="AG16" s="648"/>
      <c r="AH16" s="648"/>
      <c r="AI16" s="648"/>
    </row>
    <row r="17" spans="1:35" x14ac:dyDescent="0.15">
      <c r="A17" s="670"/>
      <c r="B17" s="669"/>
      <c r="C17" s="668"/>
      <c r="D17" s="667" t="s">
        <v>1344</v>
      </c>
      <c r="E17" s="666">
        <f>+特整!E41</f>
        <v>453738774</v>
      </c>
      <c r="F17" s="662">
        <f>+特整!F41</f>
        <v>0</v>
      </c>
      <c r="G17" s="661">
        <f>+特整!G41</f>
        <v>0</v>
      </c>
      <c r="H17" s="661">
        <f>+特整!H41</f>
        <v>0</v>
      </c>
      <c r="I17" s="661">
        <f>+特整!I41</f>
        <v>0</v>
      </c>
      <c r="J17" s="665">
        <f>+特整!J41</f>
        <v>440688000</v>
      </c>
      <c r="K17" s="664">
        <f>+特整!K41</f>
        <v>440688000</v>
      </c>
      <c r="L17" s="666">
        <f>+特整!L41</f>
        <v>1712617</v>
      </c>
      <c r="M17" s="666">
        <f>+特整!M41</f>
        <v>11338157</v>
      </c>
      <c r="N17" s="675">
        <f t="shared" ref="N17:N19" si="26">+ROUND(F17*F$4/(100+F$4),0)+AE17</f>
        <v>0</v>
      </c>
      <c r="O17" s="674">
        <f t="shared" ref="O17:O19" si="27">+ROUND(G17*G$4/(100+G$4),0)+AF17</f>
        <v>0</v>
      </c>
      <c r="P17" s="674">
        <f t="shared" ref="P17:Q19" si="28">+ROUND(H17*H$4/(100+H$4),0)+AG17</f>
        <v>0</v>
      </c>
      <c r="Q17" s="674">
        <f t="shared" si="28"/>
        <v>0</v>
      </c>
      <c r="R17" s="673">
        <f t="shared" ref="R17:R19" si="29">+ROUND(J17*J$4/(100+J$4),0)+AI17</f>
        <v>40062545</v>
      </c>
      <c r="S17" s="672">
        <f t="shared" ref="S17:S19" si="30">SUM(N17:R17)</f>
        <v>40062545</v>
      </c>
      <c r="T17" s="671">
        <f t="shared" si="5"/>
        <v>413676229</v>
      </c>
      <c r="U17" s="650"/>
      <c r="V17" s="650"/>
      <c r="W17" s="650"/>
      <c r="X17" s="650"/>
      <c r="Y17" s="650"/>
      <c r="Z17" s="649"/>
      <c r="AA17" s="649"/>
      <c r="AB17" s="649"/>
      <c r="AC17" s="649"/>
      <c r="AD17" s="649"/>
      <c r="AE17" s="648"/>
      <c r="AF17" s="648"/>
      <c r="AG17" s="648"/>
      <c r="AH17" s="648"/>
      <c r="AI17" s="648"/>
    </row>
    <row r="18" spans="1:35" x14ac:dyDescent="0.15">
      <c r="A18" s="670"/>
      <c r="B18" s="669"/>
      <c r="C18" s="668"/>
      <c r="D18" s="667" t="s">
        <v>1345</v>
      </c>
      <c r="E18" s="666">
        <f>+農整!E41</f>
        <v>146106803</v>
      </c>
      <c r="F18" s="662">
        <f>+農整!F41</f>
        <v>0</v>
      </c>
      <c r="G18" s="661">
        <f>+農整!G41</f>
        <v>0</v>
      </c>
      <c r="H18" s="661">
        <f>+農整!H41</f>
        <v>0</v>
      </c>
      <c r="I18" s="661">
        <f>+農整!I41</f>
        <v>0</v>
      </c>
      <c r="J18" s="665">
        <f>+農整!J41</f>
        <v>136580009</v>
      </c>
      <c r="K18" s="664">
        <f>+農整!K41</f>
        <v>136580009</v>
      </c>
      <c r="L18" s="666">
        <f>+農整!L41</f>
        <v>1942679</v>
      </c>
      <c r="M18" s="666">
        <f>+農整!M41</f>
        <v>7584115</v>
      </c>
      <c r="N18" s="675">
        <f t="shared" si="26"/>
        <v>0</v>
      </c>
      <c r="O18" s="674">
        <f t="shared" si="27"/>
        <v>0</v>
      </c>
      <c r="P18" s="674">
        <f t="shared" si="28"/>
        <v>0</v>
      </c>
      <c r="Q18" s="674">
        <f t="shared" si="28"/>
        <v>0</v>
      </c>
      <c r="R18" s="673">
        <f t="shared" si="29"/>
        <v>12416364</v>
      </c>
      <c r="S18" s="672">
        <f t="shared" si="30"/>
        <v>12416364</v>
      </c>
      <c r="T18" s="671">
        <f t="shared" si="5"/>
        <v>133690439</v>
      </c>
      <c r="U18" s="650"/>
      <c r="V18" s="650"/>
      <c r="W18" s="650"/>
      <c r="X18" s="650"/>
      <c r="Y18" s="650"/>
      <c r="Z18" s="649"/>
      <c r="AA18" s="649"/>
      <c r="AB18" s="649"/>
      <c r="AC18" s="649"/>
      <c r="AD18" s="649"/>
      <c r="AE18" s="648"/>
      <c r="AF18" s="648"/>
      <c r="AG18" s="648"/>
      <c r="AH18" s="648"/>
      <c r="AI18" s="648"/>
    </row>
    <row r="19" spans="1:35" x14ac:dyDescent="0.15">
      <c r="A19" s="670"/>
      <c r="B19" s="669"/>
      <c r="C19" s="668"/>
      <c r="D19" s="667" t="s">
        <v>1346</v>
      </c>
      <c r="E19" s="666">
        <f>+浄整!E41</f>
        <v>88399847</v>
      </c>
      <c r="F19" s="662">
        <f>+浄整!F41</f>
        <v>0</v>
      </c>
      <c r="G19" s="661">
        <f>+浄整!G41</f>
        <v>0</v>
      </c>
      <c r="H19" s="661">
        <f>+浄整!H41</f>
        <v>0</v>
      </c>
      <c r="I19" s="661">
        <f>+浄整!I41</f>
        <v>0</v>
      </c>
      <c r="J19" s="665">
        <f>+浄整!J41</f>
        <v>79397453</v>
      </c>
      <c r="K19" s="664">
        <f>+浄整!K41</f>
        <v>79397453</v>
      </c>
      <c r="L19" s="666">
        <f>+浄整!L41</f>
        <v>1354184</v>
      </c>
      <c r="M19" s="666">
        <f>+浄整!M41</f>
        <v>7648210</v>
      </c>
      <c r="N19" s="675">
        <f t="shared" si="26"/>
        <v>0</v>
      </c>
      <c r="O19" s="674">
        <f t="shared" si="27"/>
        <v>0</v>
      </c>
      <c r="P19" s="674">
        <f t="shared" si="28"/>
        <v>0</v>
      </c>
      <c r="Q19" s="674">
        <f t="shared" si="28"/>
        <v>0</v>
      </c>
      <c r="R19" s="673">
        <f t="shared" si="29"/>
        <v>7217950</v>
      </c>
      <c r="S19" s="672">
        <f t="shared" si="30"/>
        <v>7217950</v>
      </c>
      <c r="T19" s="671">
        <f t="shared" si="5"/>
        <v>81181897</v>
      </c>
      <c r="U19" s="650"/>
      <c r="V19" s="650"/>
      <c r="W19" s="650"/>
      <c r="X19" s="650"/>
      <c r="Y19" s="650"/>
      <c r="Z19" s="649"/>
      <c r="AA19" s="649"/>
      <c r="AB19" s="649"/>
      <c r="AC19" s="649"/>
      <c r="AD19" s="649"/>
      <c r="AE19" s="648"/>
      <c r="AF19" s="648"/>
      <c r="AG19" s="648"/>
      <c r="AH19" s="648"/>
      <c r="AI19" s="648"/>
    </row>
    <row r="20" spans="1:35" x14ac:dyDescent="0.15">
      <c r="A20" s="670"/>
      <c r="B20" s="669"/>
      <c r="C20" s="668"/>
      <c r="D20" s="667"/>
      <c r="E20" s="666"/>
      <c r="F20" s="662"/>
      <c r="G20" s="661"/>
      <c r="H20" s="661"/>
      <c r="I20" s="661"/>
      <c r="J20" s="665"/>
      <c r="K20" s="664"/>
      <c r="L20" s="666"/>
      <c r="M20" s="666"/>
      <c r="N20" s="662"/>
      <c r="O20" s="661"/>
      <c r="P20" s="661"/>
      <c r="Q20" s="661"/>
      <c r="R20" s="665"/>
      <c r="S20" s="664"/>
      <c r="T20" s="663"/>
      <c r="U20" s="650"/>
      <c r="V20" s="650"/>
      <c r="W20" s="650"/>
      <c r="X20" s="650"/>
      <c r="Y20" s="650"/>
      <c r="Z20" s="649"/>
      <c r="AA20" s="649"/>
      <c r="AB20" s="649"/>
      <c r="AC20" s="649"/>
      <c r="AD20" s="649"/>
      <c r="AE20" s="648"/>
      <c r="AF20" s="648"/>
      <c r="AG20" s="648"/>
      <c r="AH20" s="648"/>
      <c r="AI20" s="648"/>
    </row>
    <row r="21" spans="1:35" x14ac:dyDescent="0.15">
      <c r="A21" s="670"/>
      <c r="B21" s="669"/>
      <c r="C21" s="668"/>
      <c r="D21" s="667" t="s">
        <v>985</v>
      </c>
      <c r="E21" s="666">
        <f>+償還!E41</f>
        <v>44621240467</v>
      </c>
      <c r="F21" s="662">
        <f>+償還!F41</f>
        <v>0</v>
      </c>
      <c r="G21" s="661">
        <f>+償還!G41</f>
        <v>0</v>
      </c>
      <c r="H21" s="661">
        <f>+償還!H41</f>
        <v>0</v>
      </c>
      <c r="I21" s="661">
        <f>+償還!I41</f>
        <v>0</v>
      </c>
      <c r="J21" s="665">
        <f>+償還!J41</f>
        <v>0</v>
      </c>
      <c r="K21" s="664">
        <f>+償還!K41</f>
        <v>0</v>
      </c>
      <c r="L21" s="666">
        <f>+償還!L41</f>
        <v>0</v>
      </c>
      <c r="M21" s="666">
        <f>+償還!M41</f>
        <v>44621240467</v>
      </c>
      <c r="N21" s="675">
        <f>+ROUND(F21*F$4/(100+F$4),0)+AE21</f>
        <v>0</v>
      </c>
      <c r="O21" s="674">
        <f>+ROUND(G21*G$4/(100+G$4),0)+AF21</f>
        <v>0</v>
      </c>
      <c r="P21" s="674">
        <f>+ROUND(H21*H$4/(100+H$4),0)+AG21</f>
        <v>0</v>
      </c>
      <c r="Q21" s="674">
        <f>+ROUND(I21*I$4/(100+I$4),0)+AH21</f>
        <v>0</v>
      </c>
      <c r="R21" s="673">
        <f>+ROUND(J21*J$4/(100+J$4),0)+AI21</f>
        <v>0</v>
      </c>
      <c r="S21" s="672">
        <f t="shared" ref="S21:S26" si="31">SUM(N21:R21)</f>
        <v>0</v>
      </c>
      <c r="T21" s="671">
        <f t="shared" ref="T21:T26" si="32">+E21-S21</f>
        <v>44621240467</v>
      </c>
      <c r="U21" s="650"/>
      <c r="V21" s="650"/>
      <c r="W21" s="650"/>
      <c r="X21" s="650"/>
      <c r="Y21" s="650"/>
      <c r="Z21" s="649"/>
      <c r="AA21" s="649"/>
      <c r="AB21" s="649"/>
      <c r="AC21" s="649"/>
      <c r="AD21" s="649"/>
      <c r="AE21" s="648"/>
      <c r="AF21" s="648"/>
      <c r="AG21" s="648"/>
      <c r="AH21" s="648"/>
      <c r="AI21" s="648"/>
    </row>
    <row r="22" spans="1:35" x14ac:dyDescent="0.15">
      <c r="A22" s="670"/>
      <c r="B22" s="669"/>
      <c r="C22" s="668"/>
      <c r="D22" s="667"/>
      <c r="E22" s="666"/>
      <c r="F22" s="662"/>
      <c r="G22" s="661"/>
      <c r="H22" s="661"/>
      <c r="I22" s="661"/>
      <c r="J22" s="665"/>
      <c r="K22" s="664"/>
      <c r="L22" s="666"/>
      <c r="M22" s="666"/>
      <c r="N22" s="662"/>
      <c r="O22" s="661"/>
      <c r="P22" s="661"/>
      <c r="Q22" s="661"/>
      <c r="R22" s="665"/>
      <c r="S22" s="664">
        <f t="shared" si="31"/>
        <v>0</v>
      </c>
      <c r="T22" s="663">
        <f t="shared" si="32"/>
        <v>0</v>
      </c>
      <c r="U22" s="650"/>
      <c r="V22" s="650"/>
      <c r="W22" s="650"/>
      <c r="X22" s="650"/>
      <c r="Y22" s="650"/>
      <c r="Z22" s="649"/>
      <c r="AA22" s="649"/>
      <c r="AB22" s="649"/>
      <c r="AC22" s="649"/>
      <c r="AD22" s="649"/>
      <c r="AE22" s="648"/>
      <c r="AF22" s="648"/>
      <c r="AG22" s="648"/>
      <c r="AH22" s="648"/>
      <c r="AI22" s="648"/>
    </row>
    <row r="23" spans="1:35" x14ac:dyDescent="0.15">
      <c r="A23" s="670"/>
      <c r="B23" s="669"/>
      <c r="C23" s="668"/>
      <c r="D23" s="667" t="s">
        <v>984</v>
      </c>
      <c r="E23" s="666">
        <f t="shared" ref="E23:R23" si="33">+SUM(E24:E26)</f>
        <v>4182000</v>
      </c>
      <c r="F23" s="662">
        <f t="shared" si="33"/>
        <v>0</v>
      </c>
      <c r="G23" s="661">
        <f t="shared" si="33"/>
        <v>0</v>
      </c>
      <c r="H23" s="661">
        <f t="shared" si="33"/>
        <v>0</v>
      </c>
      <c r="I23" s="661">
        <f t="shared" ref="I23" si="34">+SUM(I24:I26)</f>
        <v>0</v>
      </c>
      <c r="J23" s="665">
        <f t="shared" si="33"/>
        <v>0</v>
      </c>
      <c r="K23" s="664">
        <f t="shared" si="33"/>
        <v>0</v>
      </c>
      <c r="L23" s="666">
        <f t="shared" si="33"/>
        <v>0</v>
      </c>
      <c r="M23" s="666">
        <f t="shared" si="33"/>
        <v>4182000</v>
      </c>
      <c r="N23" s="662">
        <f t="shared" si="33"/>
        <v>0</v>
      </c>
      <c r="O23" s="661">
        <f t="shared" si="33"/>
        <v>0</v>
      </c>
      <c r="P23" s="661">
        <f t="shared" si="33"/>
        <v>0</v>
      </c>
      <c r="Q23" s="661">
        <f t="shared" ref="Q23" si="35">+SUM(Q24:Q26)</f>
        <v>0</v>
      </c>
      <c r="R23" s="665">
        <f t="shared" si="33"/>
        <v>0</v>
      </c>
      <c r="S23" s="664">
        <f t="shared" si="31"/>
        <v>0</v>
      </c>
      <c r="T23" s="663">
        <f t="shared" si="32"/>
        <v>4182000</v>
      </c>
      <c r="U23" s="650"/>
      <c r="V23" s="650"/>
      <c r="W23" s="650"/>
      <c r="X23" s="650"/>
      <c r="Y23" s="650"/>
      <c r="Z23" s="649"/>
      <c r="AA23" s="649"/>
      <c r="AB23" s="649"/>
      <c r="AC23" s="649"/>
      <c r="AD23" s="649"/>
      <c r="AE23" s="648"/>
      <c r="AF23" s="648"/>
      <c r="AG23" s="648"/>
      <c r="AH23" s="648"/>
      <c r="AI23" s="648"/>
    </row>
    <row r="24" spans="1:35" x14ac:dyDescent="0.15">
      <c r="A24" s="670"/>
      <c r="B24" s="669"/>
      <c r="C24" s="668"/>
      <c r="D24" s="667" t="s">
        <v>983</v>
      </c>
      <c r="E24" s="757">
        <f>+水洗!E5</f>
        <v>3759000</v>
      </c>
      <c r="F24" s="662">
        <f>+水洗!F5</f>
        <v>0</v>
      </c>
      <c r="G24" s="661">
        <f>+水洗!G5</f>
        <v>0</v>
      </c>
      <c r="H24" s="661">
        <f>+水洗!H5</f>
        <v>0</v>
      </c>
      <c r="I24" s="661">
        <f>+水洗!I5</f>
        <v>0</v>
      </c>
      <c r="J24" s="665">
        <f>+水洗!J5</f>
        <v>0</v>
      </c>
      <c r="K24" s="664">
        <f>+水洗!K5</f>
        <v>0</v>
      </c>
      <c r="L24" s="666">
        <f>+水洗!L5</f>
        <v>0</v>
      </c>
      <c r="M24" s="666">
        <f>+水洗!M5</f>
        <v>3759000</v>
      </c>
      <c r="N24" s="675">
        <f t="shared" ref="N24:Q26" si="36">+ROUND(F24*F$4/(100+F$4),0)+AE24</f>
        <v>0</v>
      </c>
      <c r="O24" s="674">
        <f t="shared" si="36"/>
        <v>0</v>
      </c>
      <c r="P24" s="674">
        <f t="shared" si="36"/>
        <v>0</v>
      </c>
      <c r="Q24" s="674">
        <f t="shared" si="36"/>
        <v>0</v>
      </c>
      <c r="R24" s="673">
        <f>+ROUND(J24*J$4/(100+J$4),0)+AI24</f>
        <v>0</v>
      </c>
      <c r="S24" s="672">
        <f t="shared" si="31"/>
        <v>0</v>
      </c>
      <c r="T24" s="671">
        <f t="shared" si="32"/>
        <v>3759000</v>
      </c>
      <c r="U24" s="650"/>
      <c r="V24" s="650"/>
      <c r="W24" s="650"/>
      <c r="X24" s="650"/>
      <c r="Y24" s="650"/>
      <c r="Z24" s="649"/>
      <c r="AA24" s="649"/>
      <c r="AB24" s="649"/>
      <c r="AC24" s="649"/>
      <c r="AD24" s="649"/>
      <c r="AE24" s="648"/>
      <c r="AF24" s="648"/>
      <c r="AG24" s="648"/>
      <c r="AH24" s="648"/>
      <c r="AI24" s="648"/>
    </row>
    <row r="25" spans="1:35" x14ac:dyDescent="0.15">
      <c r="A25" s="670"/>
      <c r="B25" s="669"/>
      <c r="C25" s="668"/>
      <c r="D25" s="667" t="s">
        <v>982</v>
      </c>
      <c r="E25" s="666">
        <f>+水洗!E24</f>
        <v>0</v>
      </c>
      <c r="F25" s="662">
        <f>+水洗!F24</f>
        <v>0</v>
      </c>
      <c r="G25" s="661">
        <f>+水洗!G24</f>
        <v>0</v>
      </c>
      <c r="H25" s="661">
        <f>+水洗!H24</f>
        <v>0</v>
      </c>
      <c r="I25" s="661">
        <f>+水洗!I24</f>
        <v>0</v>
      </c>
      <c r="J25" s="665">
        <f>+水洗!J24</f>
        <v>0</v>
      </c>
      <c r="K25" s="664">
        <f>+水洗!K24</f>
        <v>0</v>
      </c>
      <c r="L25" s="666">
        <f>+水洗!L24</f>
        <v>0</v>
      </c>
      <c r="M25" s="666">
        <f>+水洗!M24</f>
        <v>0</v>
      </c>
      <c r="N25" s="675">
        <f t="shared" si="36"/>
        <v>0</v>
      </c>
      <c r="O25" s="674">
        <f t="shared" si="36"/>
        <v>0</v>
      </c>
      <c r="P25" s="674">
        <f t="shared" si="36"/>
        <v>0</v>
      </c>
      <c r="Q25" s="674">
        <f t="shared" si="36"/>
        <v>0</v>
      </c>
      <c r="R25" s="673">
        <f>+ROUND(J25*J$4/(100+J$4),0)+AI25</f>
        <v>0</v>
      </c>
      <c r="S25" s="672">
        <f t="shared" si="31"/>
        <v>0</v>
      </c>
      <c r="T25" s="671">
        <f t="shared" si="32"/>
        <v>0</v>
      </c>
      <c r="U25" s="650"/>
      <c r="V25" s="650"/>
      <c r="W25" s="650"/>
      <c r="X25" s="650"/>
      <c r="Y25" s="650"/>
      <c r="Z25" s="649"/>
      <c r="AA25" s="649"/>
      <c r="AB25" s="649"/>
      <c r="AC25" s="649"/>
      <c r="AD25" s="649"/>
      <c r="AE25" s="648"/>
      <c r="AF25" s="648"/>
      <c r="AG25" s="648"/>
      <c r="AH25" s="648"/>
      <c r="AI25" s="648"/>
    </row>
    <row r="26" spans="1:35" x14ac:dyDescent="0.15">
      <c r="A26" s="670"/>
      <c r="B26" s="669"/>
      <c r="C26" s="668"/>
      <c r="D26" s="667" t="s">
        <v>981</v>
      </c>
      <c r="E26" s="666">
        <f>+水洗!E26</f>
        <v>423000</v>
      </c>
      <c r="F26" s="662">
        <f>+水洗!F26</f>
        <v>0</v>
      </c>
      <c r="G26" s="661">
        <f>+水洗!G26</f>
        <v>0</v>
      </c>
      <c r="H26" s="661">
        <f>+水洗!H26</f>
        <v>0</v>
      </c>
      <c r="I26" s="661">
        <f>+水洗!I26</f>
        <v>0</v>
      </c>
      <c r="J26" s="665">
        <f>+水洗!J26</f>
        <v>0</v>
      </c>
      <c r="K26" s="664">
        <f>+水洗!K26</f>
        <v>0</v>
      </c>
      <c r="L26" s="666">
        <f>+水洗!L26</f>
        <v>0</v>
      </c>
      <c r="M26" s="666">
        <f>+水洗!M26</f>
        <v>423000</v>
      </c>
      <c r="N26" s="675">
        <f t="shared" si="36"/>
        <v>0</v>
      </c>
      <c r="O26" s="674">
        <f t="shared" si="36"/>
        <v>0</v>
      </c>
      <c r="P26" s="674">
        <f t="shared" si="36"/>
        <v>0</v>
      </c>
      <c r="Q26" s="674">
        <f t="shared" si="36"/>
        <v>0</v>
      </c>
      <c r="R26" s="673">
        <f>+ROUND(J26*J$4/(100+J$4),0)+AI26</f>
        <v>0</v>
      </c>
      <c r="S26" s="672">
        <f t="shared" si="31"/>
        <v>0</v>
      </c>
      <c r="T26" s="671">
        <f t="shared" si="32"/>
        <v>423000</v>
      </c>
      <c r="U26" s="650"/>
      <c r="V26" s="650"/>
      <c r="W26" s="650"/>
      <c r="X26" s="650"/>
      <c r="Y26" s="650"/>
      <c r="Z26" s="649"/>
      <c r="AA26" s="649"/>
      <c r="AB26" s="649"/>
      <c r="AC26" s="649"/>
      <c r="AD26" s="649"/>
      <c r="AE26" s="648"/>
      <c r="AF26" s="648"/>
      <c r="AG26" s="648"/>
      <c r="AH26" s="648"/>
      <c r="AI26" s="648"/>
    </row>
    <row r="27" spans="1:35" x14ac:dyDescent="0.15">
      <c r="A27" s="670"/>
      <c r="B27" s="669"/>
      <c r="C27" s="668"/>
      <c r="D27" s="667"/>
      <c r="E27" s="666"/>
      <c r="F27" s="662"/>
      <c r="G27" s="661"/>
      <c r="H27" s="661"/>
      <c r="I27" s="661"/>
      <c r="J27" s="665"/>
      <c r="K27" s="664"/>
      <c r="L27" s="666"/>
      <c r="M27" s="666"/>
      <c r="N27" s="662"/>
      <c r="O27" s="661"/>
      <c r="P27" s="661"/>
      <c r="Q27" s="661"/>
      <c r="R27" s="665"/>
      <c r="S27" s="664"/>
      <c r="T27" s="663"/>
      <c r="U27" s="650"/>
      <c r="V27" s="650"/>
      <c r="W27" s="650"/>
      <c r="X27" s="650"/>
      <c r="Y27" s="650"/>
      <c r="Z27" s="649"/>
      <c r="AA27" s="649"/>
      <c r="AB27" s="649"/>
      <c r="AC27" s="649"/>
      <c r="AD27" s="649"/>
      <c r="AE27" s="648"/>
      <c r="AF27" s="648"/>
      <c r="AG27" s="648"/>
      <c r="AH27" s="648"/>
      <c r="AI27" s="648"/>
    </row>
    <row r="28" spans="1:35" x14ac:dyDescent="0.15">
      <c r="A28" s="670"/>
      <c r="B28" s="669"/>
      <c r="C28" s="668"/>
      <c r="D28" s="667" t="s">
        <v>980</v>
      </c>
      <c r="E28" s="666">
        <f>+返還!E28</f>
        <v>0</v>
      </c>
      <c r="F28" s="662">
        <f>+返還!F28</f>
        <v>0</v>
      </c>
      <c r="G28" s="661">
        <f>+返還!G28</f>
        <v>0</v>
      </c>
      <c r="H28" s="661">
        <f>+返還!H28</f>
        <v>0</v>
      </c>
      <c r="I28" s="661">
        <f>+返還!I28</f>
        <v>0</v>
      </c>
      <c r="J28" s="665">
        <f>+返還!J28</f>
        <v>0</v>
      </c>
      <c r="K28" s="664">
        <f>+返還!K28</f>
        <v>0</v>
      </c>
      <c r="L28" s="666">
        <f>+返還!L28</f>
        <v>0</v>
      </c>
      <c r="M28" s="666">
        <f>+返還!M28</f>
        <v>0</v>
      </c>
      <c r="N28" s="675">
        <f>+ROUND(F28*F$4/(100+F$4),0)+AE28</f>
        <v>0</v>
      </c>
      <c r="O28" s="674">
        <f>+ROUND(G28*G$4/(100+G$4),0)+AF28</f>
        <v>0</v>
      </c>
      <c r="P28" s="674">
        <f>+ROUND(H28*H$4/(100+H$4),0)+AG28</f>
        <v>0</v>
      </c>
      <c r="Q28" s="674">
        <f>+ROUND(I28*I$4/(100+I$4),0)+AH28</f>
        <v>0</v>
      </c>
      <c r="R28" s="673">
        <f>+ROUND(J28*J$4/(100+J$4),0)+AI28</f>
        <v>0</v>
      </c>
      <c r="S28" s="672">
        <f>SUM(N28:R28)</f>
        <v>0</v>
      </c>
      <c r="T28" s="671">
        <f>+E28-S28</f>
        <v>0</v>
      </c>
      <c r="U28" s="650"/>
      <c r="V28" s="650"/>
      <c r="W28" s="650"/>
      <c r="X28" s="650"/>
      <c r="Y28" s="650"/>
      <c r="Z28" s="649"/>
      <c r="AA28" s="649"/>
      <c r="AB28" s="649"/>
      <c r="AC28" s="649"/>
      <c r="AD28" s="649"/>
      <c r="AE28" s="648"/>
      <c r="AF28" s="648"/>
      <c r="AG28" s="648"/>
      <c r="AH28" s="648"/>
      <c r="AI28" s="648"/>
    </row>
    <row r="29" spans="1:35" ht="14.25" thickBot="1" x14ac:dyDescent="0.2">
      <c r="A29" s="670"/>
      <c r="B29" s="669"/>
      <c r="C29" s="668"/>
      <c r="D29" s="667"/>
      <c r="E29" s="666"/>
      <c r="F29" s="662"/>
      <c r="G29" s="661"/>
      <c r="H29" s="661"/>
      <c r="I29" s="661"/>
      <c r="J29" s="665"/>
      <c r="K29" s="664"/>
      <c r="L29" s="666"/>
      <c r="M29" s="666"/>
      <c r="N29" s="662"/>
      <c r="O29" s="661"/>
      <c r="P29" s="661"/>
      <c r="Q29" s="661"/>
      <c r="R29" s="665"/>
      <c r="S29" s="664"/>
      <c r="T29" s="663"/>
      <c r="U29" s="650"/>
      <c r="V29" s="650"/>
      <c r="W29" s="650"/>
      <c r="X29" s="650"/>
      <c r="Y29" s="650"/>
      <c r="Z29" s="649"/>
      <c r="AA29" s="649"/>
      <c r="AB29" s="649"/>
      <c r="AC29" s="649"/>
      <c r="AD29" s="649"/>
      <c r="AE29" s="648"/>
      <c r="AF29" s="648"/>
      <c r="AG29" s="648"/>
      <c r="AH29" s="648"/>
      <c r="AI29" s="648"/>
    </row>
    <row r="30" spans="1:35" hidden="1" x14ac:dyDescent="0.15">
      <c r="A30" s="670"/>
      <c r="B30" s="669"/>
      <c r="C30" s="668"/>
      <c r="D30" s="667"/>
      <c r="E30" s="666"/>
      <c r="F30" s="662"/>
      <c r="G30" s="661"/>
      <c r="H30" s="661"/>
      <c r="I30" s="661"/>
      <c r="J30" s="665"/>
      <c r="K30" s="664"/>
      <c r="L30" s="666"/>
      <c r="M30" s="666"/>
      <c r="N30" s="662"/>
      <c r="O30" s="661"/>
      <c r="P30" s="661"/>
      <c r="Q30" s="661"/>
      <c r="R30" s="665"/>
      <c r="S30" s="664"/>
      <c r="T30" s="663"/>
      <c r="U30" s="650"/>
      <c r="V30" s="650"/>
      <c r="W30" s="650"/>
      <c r="X30" s="650"/>
      <c r="Y30" s="650"/>
      <c r="Z30" s="649"/>
      <c r="AA30" s="649"/>
      <c r="AB30" s="649"/>
      <c r="AC30" s="649"/>
      <c r="AD30" s="649"/>
      <c r="AE30" s="648"/>
      <c r="AF30" s="648"/>
      <c r="AG30" s="648"/>
      <c r="AH30" s="648"/>
      <c r="AI30" s="648"/>
    </row>
    <row r="31" spans="1:35" hidden="1" x14ac:dyDescent="0.15">
      <c r="A31" s="670"/>
      <c r="B31" s="669"/>
      <c r="C31" s="668"/>
      <c r="D31" s="667"/>
      <c r="E31" s="666"/>
      <c r="F31" s="662"/>
      <c r="G31" s="661"/>
      <c r="H31" s="661"/>
      <c r="I31" s="661"/>
      <c r="J31" s="665"/>
      <c r="K31" s="664"/>
      <c r="L31" s="666"/>
      <c r="M31" s="666"/>
      <c r="N31" s="662"/>
      <c r="O31" s="661"/>
      <c r="P31" s="661"/>
      <c r="Q31" s="661"/>
      <c r="R31" s="665"/>
      <c r="S31" s="664"/>
      <c r="T31" s="663"/>
      <c r="U31" s="650"/>
      <c r="V31" s="650"/>
      <c r="W31" s="650"/>
      <c r="X31" s="650"/>
      <c r="Y31" s="650"/>
      <c r="Z31" s="649"/>
      <c r="AA31" s="649"/>
      <c r="AB31" s="649"/>
      <c r="AC31" s="649"/>
      <c r="AD31" s="649"/>
      <c r="AE31" s="648"/>
      <c r="AF31" s="648"/>
      <c r="AG31" s="648"/>
      <c r="AH31" s="648"/>
      <c r="AI31" s="648"/>
    </row>
    <row r="32" spans="1:35" hidden="1" x14ac:dyDescent="0.15">
      <c r="A32" s="670"/>
      <c r="B32" s="669"/>
      <c r="C32" s="668"/>
      <c r="D32" s="667"/>
      <c r="E32" s="666"/>
      <c r="F32" s="662"/>
      <c r="G32" s="661"/>
      <c r="H32" s="661"/>
      <c r="I32" s="661"/>
      <c r="J32" s="665"/>
      <c r="K32" s="664"/>
      <c r="L32" s="666"/>
      <c r="M32" s="666"/>
      <c r="N32" s="662"/>
      <c r="O32" s="661"/>
      <c r="P32" s="661"/>
      <c r="Q32" s="661"/>
      <c r="R32" s="665"/>
      <c r="S32" s="664"/>
      <c r="T32" s="663"/>
      <c r="U32" s="650"/>
      <c r="V32" s="650"/>
      <c r="W32" s="650"/>
      <c r="X32" s="650"/>
      <c r="Y32" s="650"/>
      <c r="Z32" s="649"/>
      <c r="AA32" s="649"/>
      <c r="AB32" s="649"/>
      <c r="AC32" s="649"/>
      <c r="AD32" s="649"/>
      <c r="AE32" s="648"/>
      <c r="AF32" s="648"/>
      <c r="AG32" s="648"/>
      <c r="AH32" s="648"/>
      <c r="AI32" s="648"/>
    </row>
    <row r="33" spans="1:35" hidden="1" x14ac:dyDescent="0.15">
      <c r="A33" s="670"/>
      <c r="B33" s="669"/>
      <c r="C33" s="668"/>
      <c r="D33" s="667"/>
      <c r="E33" s="666"/>
      <c r="F33" s="662"/>
      <c r="G33" s="661"/>
      <c r="H33" s="661"/>
      <c r="I33" s="661"/>
      <c r="J33" s="665"/>
      <c r="K33" s="664"/>
      <c r="L33" s="666"/>
      <c r="M33" s="666"/>
      <c r="N33" s="662"/>
      <c r="O33" s="661"/>
      <c r="P33" s="661"/>
      <c r="Q33" s="661"/>
      <c r="R33" s="665"/>
      <c r="S33" s="664"/>
      <c r="T33" s="663"/>
      <c r="U33" s="650"/>
      <c r="V33" s="650"/>
      <c r="W33" s="650"/>
      <c r="X33" s="650"/>
      <c r="Y33" s="650"/>
      <c r="Z33" s="649"/>
      <c r="AA33" s="649"/>
      <c r="AB33" s="649"/>
      <c r="AC33" s="649"/>
      <c r="AD33" s="649"/>
      <c r="AE33" s="648"/>
      <c r="AF33" s="648"/>
      <c r="AG33" s="648"/>
      <c r="AH33" s="648"/>
      <c r="AI33" s="648"/>
    </row>
    <row r="34" spans="1:35" hidden="1" x14ac:dyDescent="0.15">
      <c r="A34" s="670"/>
      <c r="B34" s="669"/>
      <c r="C34" s="668"/>
      <c r="D34" s="667"/>
      <c r="E34" s="666"/>
      <c r="F34" s="662"/>
      <c r="G34" s="661"/>
      <c r="H34" s="661"/>
      <c r="I34" s="661"/>
      <c r="J34" s="665"/>
      <c r="K34" s="664"/>
      <c r="L34" s="666"/>
      <c r="M34" s="666"/>
      <c r="N34" s="662"/>
      <c r="O34" s="661"/>
      <c r="P34" s="661"/>
      <c r="Q34" s="661"/>
      <c r="R34" s="665"/>
      <c r="S34" s="664"/>
      <c r="T34" s="663"/>
      <c r="U34" s="650"/>
      <c r="V34" s="650"/>
      <c r="W34" s="650"/>
      <c r="X34" s="650"/>
      <c r="Y34" s="650"/>
      <c r="Z34" s="649"/>
      <c r="AA34" s="649"/>
      <c r="AB34" s="649"/>
      <c r="AC34" s="649"/>
      <c r="AD34" s="649"/>
      <c r="AE34" s="648"/>
      <c r="AF34" s="648"/>
      <c r="AG34" s="648"/>
      <c r="AH34" s="648"/>
      <c r="AI34" s="648"/>
    </row>
    <row r="35" spans="1:35" hidden="1" x14ac:dyDescent="0.15">
      <c r="A35" s="670"/>
      <c r="B35" s="669"/>
      <c r="C35" s="668"/>
      <c r="D35" s="667"/>
      <c r="E35" s="666"/>
      <c r="F35" s="662"/>
      <c r="G35" s="661"/>
      <c r="H35" s="661"/>
      <c r="I35" s="661"/>
      <c r="J35" s="665"/>
      <c r="K35" s="664"/>
      <c r="L35" s="666"/>
      <c r="M35" s="666"/>
      <c r="N35" s="662"/>
      <c r="O35" s="661"/>
      <c r="P35" s="661"/>
      <c r="Q35" s="661"/>
      <c r="R35" s="665"/>
      <c r="S35" s="664"/>
      <c r="T35" s="663"/>
      <c r="U35" s="650"/>
      <c r="V35" s="650"/>
      <c r="W35" s="650"/>
      <c r="X35" s="650"/>
      <c r="Y35" s="650"/>
      <c r="Z35" s="649"/>
      <c r="AA35" s="649"/>
      <c r="AB35" s="649"/>
      <c r="AC35" s="649"/>
      <c r="AD35" s="649"/>
      <c r="AE35" s="648"/>
      <c r="AF35" s="648"/>
      <c r="AG35" s="648"/>
      <c r="AH35" s="648"/>
      <c r="AI35" s="648"/>
    </row>
    <row r="36" spans="1:35" hidden="1" x14ac:dyDescent="0.15">
      <c r="A36" s="670"/>
      <c r="B36" s="669"/>
      <c r="C36" s="668"/>
      <c r="D36" s="667"/>
      <c r="E36" s="666"/>
      <c r="F36" s="662"/>
      <c r="G36" s="661"/>
      <c r="H36" s="661"/>
      <c r="I36" s="661"/>
      <c r="J36" s="665"/>
      <c r="K36" s="664"/>
      <c r="L36" s="666"/>
      <c r="M36" s="666"/>
      <c r="N36" s="662"/>
      <c r="O36" s="661"/>
      <c r="P36" s="661"/>
      <c r="Q36" s="661"/>
      <c r="R36" s="665"/>
      <c r="S36" s="664"/>
      <c r="T36" s="663"/>
      <c r="U36" s="650"/>
      <c r="V36" s="650"/>
      <c r="W36" s="650"/>
      <c r="X36" s="650"/>
      <c r="Y36" s="650"/>
      <c r="Z36" s="649"/>
      <c r="AA36" s="649"/>
      <c r="AB36" s="649"/>
      <c r="AC36" s="649"/>
      <c r="AD36" s="649"/>
      <c r="AE36" s="648"/>
      <c r="AF36" s="648"/>
      <c r="AG36" s="648"/>
      <c r="AH36" s="648"/>
      <c r="AI36" s="648"/>
    </row>
    <row r="37" spans="1:35" hidden="1" x14ac:dyDescent="0.15">
      <c r="A37" s="670"/>
      <c r="B37" s="669"/>
      <c r="C37" s="668"/>
      <c r="D37" s="667"/>
      <c r="E37" s="666"/>
      <c r="F37" s="662"/>
      <c r="G37" s="661"/>
      <c r="H37" s="661"/>
      <c r="I37" s="661"/>
      <c r="J37" s="665"/>
      <c r="K37" s="664"/>
      <c r="L37" s="666"/>
      <c r="M37" s="666"/>
      <c r="N37" s="662"/>
      <c r="O37" s="661"/>
      <c r="P37" s="661"/>
      <c r="Q37" s="661"/>
      <c r="R37" s="665"/>
      <c r="S37" s="664"/>
      <c r="T37" s="663"/>
      <c r="U37" s="650"/>
      <c r="V37" s="650"/>
      <c r="W37" s="650"/>
      <c r="X37" s="650"/>
      <c r="Y37" s="650"/>
      <c r="Z37" s="649"/>
      <c r="AA37" s="649"/>
      <c r="AB37" s="649"/>
      <c r="AC37" s="649"/>
      <c r="AD37" s="649"/>
      <c r="AE37" s="648"/>
      <c r="AF37" s="648"/>
      <c r="AG37" s="648"/>
      <c r="AH37" s="648"/>
      <c r="AI37" s="648"/>
    </row>
    <row r="38" spans="1:35" hidden="1" x14ac:dyDescent="0.15">
      <c r="A38" s="670"/>
      <c r="B38" s="669"/>
      <c r="C38" s="668"/>
      <c r="D38" s="667"/>
      <c r="E38" s="666"/>
      <c r="F38" s="662"/>
      <c r="G38" s="661"/>
      <c r="H38" s="661"/>
      <c r="I38" s="661"/>
      <c r="J38" s="665"/>
      <c r="K38" s="664"/>
      <c r="L38" s="666"/>
      <c r="M38" s="666"/>
      <c r="N38" s="662"/>
      <c r="O38" s="661"/>
      <c r="P38" s="661"/>
      <c r="Q38" s="661"/>
      <c r="R38" s="665"/>
      <c r="S38" s="664"/>
      <c r="T38" s="663"/>
      <c r="U38" s="650"/>
      <c r="V38" s="650"/>
      <c r="W38" s="650"/>
      <c r="X38" s="650"/>
      <c r="Y38" s="650"/>
      <c r="Z38" s="649"/>
      <c r="AA38" s="649"/>
      <c r="AB38" s="649"/>
      <c r="AC38" s="649"/>
      <c r="AD38" s="649"/>
      <c r="AE38" s="648"/>
      <c r="AF38" s="648"/>
      <c r="AG38" s="648"/>
      <c r="AH38" s="648"/>
      <c r="AI38" s="648"/>
    </row>
    <row r="39" spans="1:35" hidden="1" x14ac:dyDescent="0.15">
      <c r="A39" s="670"/>
      <c r="B39" s="669"/>
      <c r="C39" s="668"/>
      <c r="D39" s="667"/>
      <c r="E39" s="666"/>
      <c r="F39" s="662"/>
      <c r="G39" s="661"/>
      <c r="H39" s="661"/>
      <c r="I39" s="661"/>
      <c r="J39" s="665"/>
      <c r="K39" s="664"/>
      <c r="L39" s="666"/>
      <c r="M39" s="666"/>
      <c r="N39" s="662"/>
      <c r="O39" s="661"/>
      <c r="P39" s="661"/>
      <c r="Q39" s="661"/>
      <c r="R39" s="665"/>
      <c r="S39" s="664"/>
      <c r="T39" s="663"/>
      <c r="U39" s="650"/>
      <c r="V39" s="650"/>
      <c r="W39" s="650"/>
      <c r="X39" s="650"/>
      <c r="Y39" s="650"/>
      <c r="Z39" s="649"/>
      <c r="AA39" s="649"/>
      <c r="AB39" s="649"/>
      <c r="AC39" s="649"/>
      <c r="AD39" s="649"/>
      <c r="AE39" s="648"/>
      <c r="AF39" s="648"/>
      <c r="AG39" s="648"/>
      <c r="AH39" s="648"/>
      <c r="AI39" s="648"/>
    </row>
    <row r="40" spans="1:35" ht="14.25" hidden="1" thickBot="1" x14ac:dyDescent="0.2">
      <c r="A40" s="660"/>
      <c r="B40" s="659"/>
      <c r="C40" s="658"/>
      <c r="D40" s="657"/>
      <c r="E40" s="656"/>
      <c r="F40" s="652"/>
      <c r="G40" s="651"/>
      <c r="H40" s="651"/>
      <c r="I40" s="651"/>
      <c r="J40" s="655"/>
      <c r="K40" s="654"/>
      <c r="L40" s="656"/>
      <c r="M40" s="656"/>
      <c r="N40" s="652"/>
      <c r="O40" s="651"/>
      <c r="P40" s="651"/>
      <c r="Q40" s="651"/>
      <c r="R40" s="655"/>
      <c r="S40" s="654"/>
      <c r="T40" s="653"/>
      <c r="U40" s="650"/>
      <c r="V40" s="650"/>
      <c r="W40" s="650"/>
      <c r="X40" s="650"/>
      <c r="Y40" s="650"/>
      <c r="Z40" s="649"/>
      <c r="AA40" s="649"/>
      <c r="AB40" s="649"/>
      <c r="AC40" s="649"/>
      <c r="AD40" s="649"/>
      <c r="AE40" s="648"/>
      <c r="AF40" s="648"/>
      <c r="AG40" s="648"/>
      <c r="AH40" s="648"/>
      <c r="AI40" s="648"/>
    </row>
    <row r="41" spans="1:35" ht="14.25" thickTop="1" x14ac:dyDescent="0.15">
      <c r="A41" s="647"/>
      <c r="B41" s="646"/>
      <c r="C41" s="645"/>
      <c r="D41" s="644" t="s">
        <v>979</v>
      </c>
      <c r="E41" s="639">
        <f t="shared" ref="E41:T41" si="37">SUM(E5,E21,E23,E28)</f>
        <v>61875977537</v>
      </c>
      <c r="F41" s="643">
        <f t="shared" si="37"/>
        <v>0</v>
      </c>
      <c r="G41" s="642">
        <f t="shared" si="37"/>
        <v>0</v>
      </c>
      <c r="H41" s="642">
        <f t="shared" si="37"/>
        <v>125712</v>
      </c>
      <c r="I41" s="642">
        <f t="shared" ref="I41" si="38">SUM(I5,I21,I23,I28)</f>
        <v>36840</v>
      </c>
      <c r="J41" s="641">
        <f t="shared" si="37"/>
        <v>16278736624</v>
      </c>
      <c r="K41" s="640">
        <f t="shared" si="37"/>
        <v>16278899176</v>
      </c>
      <c r="L41" s="639">
        <f t="shared" si="37"/>
        <v>164380201</v>
      </c>
      <c r="M41" s="639">
        <f t="shared" si="37"/>
        <v>45432698160</v>
      </c>
      <c r="N41" s="636">
        <f t="shared" si="37"/>
        <v>0</v>
      </c>
      <c r="O41" s="635">
        <f t="shared" si="37"/>
        <v>0</v>
      </c>
      <c r="P41" s="635">
        <f t="shared" si="37"/>
        <v>9312</v>
      </c>
      <c r="Q41" s="635">
        <f t="shared" ref="Q41" si="39">SUM(Q5,Q21,Q23,Q28)</f>
        <v>2728</v>
      </c>
      <c r="R41" s="638">
        <f t="shared" si="37"/>
        <v>1479885147</v>
      </c>
      <c r="S41" s="634">
        <f t="shared" si="37"/>
        <v>1479897187</v>
      </c>
      <c r="T41" s="637">
        <f t="shared" si="37"/>
        <v>60396080350</v>
      </c>
    </row>
    <row r="42" spans="1:35" x14ac:dyDescent="0.15">
      <c r="A42" s="633"/>
      <c r="B42" s="632"/>
      <c r="C42" s="631"/>
      <c r="D42" s="630" t="s">
        <v>978</v>
      </c>
      <c r="E42" s="624">
        <f t="shared" ref="E42:M42" si="40">+E41</f>
        <v>61875977537</v>
      </c>
      <c r="F42" s="629">
        <f t="shared" si="40"/>
        <v>0</v>
      </c>
      <c r="G42" s="628">
        <f t="shared" si="40"/>
        <v>0</v>
      </c>
      <c r="H42" s="628">
        <f t="shared" si="40"/>
        <v>125712</v>
      </c>
      <c r="I42" s="628">
        <f t="shared" ref="I42" si="41">+I41</f>
        <v>36840</v>
      </c>
      <c r="J42" s="627">
        <f t="shared" si="40"/>
        <v>16278736624</v>
      </c>
      <c r="K42" s="626">
        <f t="shared" si="40"/>
        <v>16278899176</v>
      </c>
      <c r="L42" s="624">
        <f t="shared" si="40"/>
        <v>164380201</v>
      </c>
      <c r="M42" s="624">
        <f t="shared" si="40"/>
        <v>45432698160</v>
      </c>
      <c r="N42" s="625">
        <f>+ROUNDDOWN(F42*F$4/(100+F$4),0)</f>
        <v>0</v>
      </c>
      <c r="O42" s="625">
        <f>+ROUNDDOWN(G42*G$4/(100+G$4),0)</f>
        <v>0</v>
      </c>
      <c r="P42" s="625">
        <f>+ROUNDDOWN(H42*H$4/(100+H$4),0)</f>
        <v>9312</v>
      </c>
      <c r="Q42" s="625">
        <f>+ROUNDDOWN(I42*I$4/(100+I$4),0)</f>
        <v>2728</v>
      </c>
      <c r="R42" s="625">
        <f>+ROUNDDOWN(J42*J$4/(100+J$4),0)</f>
        <v>1479885147</v>
      </c>
      <c r="S42" s="623">
        <f>SUM(N42:R42)</f>
        <v>1479897187</v>
      </c>
      <c r="T42" s="624">
        <f>+E42-S42</f>
        <v>60396080350</v>
      </c>
    </row>
    <row r="43" spans="1:35" x14ac:dyDescent="0.15">
      <c r="E43" s="622">
        <f t="shared" ref="E43:T43" si="42">+E42-E41</f>
        <v>0</v>
      </c>
      <c r="F43" s="622">
        <f t="shared" si="42"/>
        <v>0</v>
      </c>
      <c r="G43" s="622">
        <f t="shared" si="42"/>
        <v>0</v>
      </c>
      <c r="H43" s="622">
        <f t="shared" si="42"/>
        <v>0</v>
      </c>
      <c r="I43" s="622">
        <f t="shared" ref="I43" si="43">+I42-I41</f>
        <v>0</v>
      </c>
      <c r="J43" s="622">
        <f t="shared" si="42"/>
        <v>0</v>
      </c>
      <c r="K43" s="622">
        <f t="shared" si="42"/>
        <v>0</v>
      </c>
      <c r="L43" s="622">
        <f t="shared" si="42"/>
        <v>0</v>
      </c>
      <c r="M43" s="622">
        <f t="shared" si="42"/>
        <v>0</v>
      </c>
      <c r="N43" s="622">
        <f t="shared" si="42"/>
        <v>0</v>
      </c>
      <c r="O43" s="622">
        <f t="shared" si="42"/>
        <v>0</v>
      </c>
      <c r="P43" s="622">
        <f t="shared" si="42"/>
        <v>0</v>
      </c>
      <c r="Q43" s="622">
        <f t="shared" ref="Q43" si="44">+Q42-Q41</f>
        <v>0</v>
      </c>
      <c r="R43" s="622">
        <f t="shared" si="42"/>
        <v>0</v>
      </c>
      <c r="S43" s="622">
        <f t="shared" si="42"/>
        <v>0</v>
      </c>
      <c r="T43" s="622">
        <f t="shared" si="42"/>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AE24:AI26 AE29:AI40 AE6:AI19">
    <cfRule type="notContainsBlanks" dxfId="295" priority="13" stopIfTrue="1">
      <formula>LEN(TRIM(AE6))&gt;0</formula>
    </cfRule>
  </conditionalFormatting>
  <conditionalFormatting sqref="Z5:AD5 Z20:AD20 Z22:AD23 Z27:AD27 Z29:AD40">
    <cfRule type="expression" dxfId="294" priority="22">
      <formula>ABS(Z5)=1</formula>
    </cfRule>
  </conditionalFormatting>
  <conditionalFormatting sqref="AA20:AD20 AA22:AD23 AA27:AD27">
    <cfRule type="expression" dxfId="293" priority="21">
      <formula>ABS(AA20)=1</formula>
    </cfRule>
  </conditionalFormatting>
  <conditionalFormatting sqref="AE20 AE22:AE23 AE27">
    <cfRule type="notContainsBlanks" dxfId="292" priority="20" stopIfTrue="1">
      <formula>LEN(TRIM(AE20))&gt;0</formula>
    </cfRule>
  </conditionalFormatting>
  <conditionalFormatting sqref="AE5:AI5">
    <cfRule type="notContainsBlanks" dxfId="291" priority="19" stopIfTrue="1">
      <formula>LEN(TRIM(AE5))&gt;0</formula>
    </cfRule>
  </conditionalFormatting>
  <conditionalFormatting sqref="AE5:AI5 AE20:AI20 AE22:AI23 AE27:AI27">
    <cfRule type="notContainsBlanks" dxfId="290" priority="18" stopIfTrue="1">
      <formula>LEN(TRIM(AE5))&gt;0</formula>
    </cfRule>
  </conditionalFormatting>
  <conditionalFormatting sqref="Z15:AD15 Z6:AD8">
    <cfRule type="expression" dxfId="289" priority="16">
      <formula>ABS(Z6)=1</formula>
    </cfRule>
  </conditionalFormatting>
  <conditionalFormatting sqref="AE21:AI21">
    <cfRule type="notContainsBlanks" dxfId="288" priority="15" stopIfTrue="1">
      <formula>LEN(TRIM(AE21))&gt;0</formula>
    </cfRule>
  </conditionalFormatting>
  <conditionalFormatting sqref="Z21:AD21">
    <cfRule type="expression" dxfId="287" priority="14">
      <formula>ABS(Z21)=1</formula>
    </cfRule>
  </conditionalFormatting>
  <conditionalFormatting sqref="Z24:AD26">
    <cfRule type="expression" dxfId="286" priority="12">
      <formula>ABS(Z24)=1</formula>
    </cfRule>
  </conditionalFormatting>
  <conditionalFormatting sqref="AE28:AI28">
    <cfRule type="notContainsBlanks" dxfId="285" priority="11" stopIfTrue="1">
      <formula>LEN(TRIM(AE28))&gt;0</formula>
    </cfRule>
  </conditionalFormatting>
  <conditionalFormatting sqref="Z28:AD28">
    <cfRule type="expression" dxfId="284" priority="10">
      <formula>ABS(Z28)=1</formula>
    </cfRule>
  </conditionalFormatting>
  <conditionalFormatting sqref="Z20:AD28 Z15:AD15 Z9:AD10 Z12:AD12">
    <cfRule type="expression" dxfId="283" priority="9">
      <formula>ABS(Z9)=1</formula>
    </cfRule>
  </conditionalFormatting>
  <conditionalFormatting sqref="Z16:AD16">
    <cfRule type="expression" dxfId="282" priority="5">
      <formula>ABS(Z16)=1</formula>
    </cfRule>
  </conditionalFormatting>
  <conditionalFormatting sqref="Z11:AD11">
    <cfRule type="expression" dxfId="281" priority="4">
      <formula>ABS(Z11)=1</formula>
    </cfRule>
  </conditionalFormatting>
  <conditionalFormatting sqref="E43:T43">
    <cfRule type="cellIs" dxfId="280" priority="3" operator="notEqual">
      <formula>0</formula>
    </cfRule>
  </conditionalFormatting>
  <conditionalFormatting sqref="Z13:AD14">
    <cfRule type="expression" dxfId="279" priority="2">
      <formula>ABS(Z13)=1</formula>
    </cfRule>
  </conditionalFormatting>
  <conditionalFormatting sqref="Z17:AD19">
    <cfRule type="expression" dxfId="278" priority="1">
      <formula>ABS(Z17)=1</formula>
    </cfRule>
  </conditionalFormatting>
  <pageMargins left="0.39370078740157483" right="0.39370078740157483" top="0.78740157480314965" bottom="0.39370078740157483" header="0.39370078740157483" footer="0.19685039370078741"/>
  <pageSetup paperSize="9" scale="68" fitToHeight="2" orientation="landscape" blackAndWhite="1" r:id="rId1"/>
  <headerFooter>
    <oddFooter>&amp;L&amp;8&amp;Z&amp;F&amp;A&amp;R&amp;8&amp;D&amp;T</oddFooter>
  </headerFooter>
</worksheet>
</file>

<file path=xl/worksheets/w3_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6"/>
  <sheetViews>
    <sheetView zoomScale="70" zoomScaleNormal="70" zoomScaleSheetLayoutView="40" workbookViewId="0">
      <pane xSplit="4"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4" style="620" bestFit="1"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2.875" style="621" bestFit="1" customWidth="1"/>
    <col min="19" max="19" width="12.625" style="621" customWidth="1"/>
    <col min="20" max="20" width="13.625" style="620" customWidth="1"/>
    <col min="21" max="22" width="5.375" style="620" customWidth="1"/>
    <col min="23" max="23" width="6.875" style="620" bestFit="1" customWidth="1"/>
    <col min="24" max="24" width="7.125" style="620" bestFit="1"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1081</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v>1</v>
      </c>
      <c r="B5" s="684" t="s">
        <v>1080</v>
      </c>
      <c r="C5" s="683"/>
      <c r="D5" s="682" t="s">
        <v>1079</v>
      </c>
      <c r="E5" s="705">
        <f>+IF($A5="",IF($C5="",SUMIFS(全伝票!I:I,全伝票!$B:$B,$B5),SUMIFS(全伝票!I:I,全伝票!$C:$C,$C5)),IF($C5="",SUMIFS(全伝票!I:I,全伝票!$A:$A,$A5,全伝票!$B:$B,$B5),SUMIFS(全伝票!I:I,全伝票!$A:$A,$A5,全伝票!$C:$C,$C5)))</f>
        <v>13722776</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13722776</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13722776</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1</v>
      </c>
      <c r="B6" s="669" t="s">
        <v>1078</v>
      </c>
      <c r="C6" s="668"/>
      <c r="D6" s="667" t="s">
        <v>1077</v>
      </c>
      <c r="E6" s="700">
        <f>+IF($A6="",IF($C6="",SUMIFS(全伝票!I:I,全伝票!$B:$B,$B6),SUMIFS(全伝票!I:I,全伝票!$C:$C,$C6)),IF($C6="",SUMIFS(全伝票!I:I,全伝票!$A:$A,$A6,全伝票!$B:$B,$B6),SUMIFS(全伝票!I:I,全伝票!$A:$A,$A6,全伝票!$C:$C,$C6)))</f>
        <v>285882615</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285882615</v>
      </c>
      <c r="N6" s="662">
        <f t="shared" si="1"/>
        <v>0</v>
      </c>
      <c r="O6" s="661">
        <f t="shared" si="2"/>
        <v>0</v>
      </c>
      <c r="P6" s="661">
        <f t="shared" si="3"/>
        <v>0</v>
      </c>
      <c r="Q6" s="661">
        <f t="shared" si="3"/>
        <v>0</v>
      </c>
      <c r="R6" s="665">
        <f t="shared" si="4"/>
        <v>0</v>
      </c>
      <c r="S6" s="664">
        <f t="shared" si="5"/>
        <v>0</v>
      </c>
      <c r="T6" s="663">
        <f t="shared" si="6"/>
        <v>285882615</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1</v>
      </c>
      <c r="B7" s="669" t="s">
        <v>1076</v>
      </c>
      <c r="C7" s="668"/>
      <c r="D7" s="667" t="s">
        <v>1075</v>
      </c>
      <c r="E7" s="700">
        <f>+IF($A7="",IF($C7="",SUMIFS(全伝票!I:I,全伝票!$B:$B,$B7),SUMIFS(全伝票!I:I,全伝票!$C:$C,$C7)),IF($C7="",SUMIFS(全伝票!I:I,全伝票!$A:$A,$A7,全伝票!$B:$B,$B7),SUMIFS(全伝票!I:I,全伝票!$A:$A,$A7,全伝票!$C:$C,$C7)))</f>
        <v>254254313</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8735510</v>
      </c>
      <c r="K7" s="664">
        <f t="shared" si="0"/>
        <v>8735510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245518803</v>
      </c>
      <c r="N7" s="662">
        <f t="shared" si="1"/>
        <v>0</v>
      </c>
      <c r="O7" s="661">
        <f t="shared" si="2"/>
        <v>0</v>
      </c>
      <c r="P7" s="661">
        <f t="shared" si="3"/>
        <v>0</v>
      </c>
      <c r="Q7" s="661">
        <f t="shared" si="3"/>
        <v>0</v>
      </c>
      <c r="R7" s="665">
        <f t="shared" si="4"/>
        <v>794137</v>
      </c>
      <c r="S7" s="664">
        <f t="shared" si="5"/>
        <v>794137</v>
      </c>
      <c r="T7" s="663">
        <f t="shared" si="6"/>
        <v>253460176</v>
      </c>
      <c r="U7" s="650">
        <f t="shared" si="7"/>
        <v>0</v>
      </c>
      <c r="V7" s="650">
        <f t="shared" si="8"/>
        <v>0</v>
      </c>
      <c r="W7" s="650">
        <f t="shared" si="9"/>
        <v>0</v>
      </c>
      <c r="X7" s="650">
        <f t="shared" si="9"/>
        <v>0</v>
      </c>
      <c r="Y7" s="650">
        <f t="shared" si="10"/>
        <v>-0.27272727270610631</v>
      </c>
      <c r="Z7" s="649">
        <f t="shared" si="11"/>
        <v>0</v>
      </c>
      <c r="AA7" s="649">
        <f t="shared" si="12"/>
        <v>0</v>
      </c>
      <c r="AB7" s="649">
        <f t="shared" si="13"/>
        <v>0</v>
      </c>
      <c r="AC7" s="649">
        <f t="shared" si="13"/>
        <v>0</v>
      </c>
      <c r="AD7" s="649">
        <f t="shared" si="14"/>
        <v>0</v>
      </c>
      <c r="AE7" s="648"/>
      <c r="AF7" s="648"/>
      <c r="AG7" s="648"/>
      <c r="AH7" s="648"/>
      <c r="AI7" s="648"/>
    </row>
    <row r="8" spans="1:35" x14ac:dyDescent="0.15">
      <c r="A8" s="670">
        <v>1</v>
      </c>
      <c r="B8" s="669" t="s">
        <v>1074</v>
      </c>
      <c r="C8" s="668"/>
      <c r="D8" s="667" t="s">
        <v>1073</v>
      </c>
      <c r="E8" s="700">
        <f>+IF($A8="",IF($C8="",SUMIFS(全伝票!I:I,全伝票!$B:$B,$B8),SUMIFS(全伝票!I:I,全伝票!$C:$C,$C8)),IF($C8="",SUMIFS(全伝票!I:I,全伝票!$A:$A,$A8,全伝票!$B:$B,$B8),SUMIFS(全伝票!I:I,全伝票!$A:$A,$A8,全伝票!$C:$C,$C8)))</f>
        <v>107621114</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107176226</v>
      </c>
      <c r="M8" s="700">
        <f>+IF($A8="",IF($C8="",SUMIFS(全伝票!P:P,全伝票!$B:$B,$B8),SUMIFS(全伝票!P:P,全伝票!$C:$C,$C8)),IF($C8="",SUMIFS(全伝票!P:P,全伝票!$A:$A,$A8,全伝票!$B:$B,$B8),SUMIFS(全伝票!P:P,全伝票!$A:$A,$A8,全伝票!$C:$C,$C8)))</f>
        <v>444888</v>
      </c>
      <c r="N8" s="662">
        <f t="shared" si="1"/>
        <v>0</v>
      </c>
      <c r="O8" s="661">
        <f t="shared" si="2"/>
        <v>0</v>
      </c>
      <c r="P8" s="661">
        <f t="shared" si="3"/>
        <v>0</v>
      </c>
      <c r="Q8" s="661">
        <f t="shared" si="3"/>
        <v>0</v>
      </c>
      <c r="R8" s="665">
        <f t="shared" si="4"/>
        <v>0</v>
      </c>
      <c r="S8" s="664">
        <f t="shared" si="5"/>
        <v>0</v>
      </c>
      <c r="T8" s="663">
        <f t="shared" si="6"/>
        <v>107621114</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1</v>
      </c>
      <c r="B9" s="669" t="s">
        <v>1072</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1</v>
      </c>
      <c r="B10" s="669" t="s">
        <v>1070</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1</v>
      </c>
      <c r="B11" s="669" t="s">
        <v>1068</v>
      </c>
      <c r="C11" s="668"/>
      <c r="D11" s="667" t="s">
        <v>1067</v>
      </c>
      <c r="E11" s="700">
        <f>+IF($A11="",IF($C11="",SUMIFS(全伝票!I:I,全伝票!$B:$B,$B11),SUMIFS(全伝票!I:I,全伝票!$C:$C,$C11)),IF($C11="",SUMIFS(全伝票!I:I,全伝票!$A:$A,$A11,全伝票!$B:$B,$B11),SUMIFS(全伝票!I:I,全伝票!$A:$A,$A11,全伝票!$C:$C,$C11)))</f>
        <v>0</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0</v>
      </c>
      <c r="N11" s="662">
        <f t="shared" si="1"/>
        <v>0</v>
      </c>
      <c r="O11" s="661">
        <f t="shared" si="2"/>
        <v>0</v>
      </c>
      <c r="P11" s="661">
        <f t="shared" si="3"/>
        <v>0</v>
      </c>
      <c r="Q11" s="661">
        <f t="shared" si="3"/>
        <v>0</v>
      </c>
      <c r="R11" s="665">
        <f t="shared" si="4"/>
        <v>0</v>
      </c>
      <c r="S11" s="664">
        <f t="shared" si="5"/>
        <v>0</v>
      </c>
      <c r="T11" s="663">
        <f t="shared" si="6"/>
        <v>0</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1</v>
      </c>
      <c r="B12" s="669" t="s">
        <v>1064</v>
      </c>
      <c r="C12" s="668" t="s">
        <v>1066</v>
      </c>
      <c r="D12" s="667" t="s">
        <v>1065</v>
      </c>
      <c r="E12" s="700">
        <f>+IF($A12="",IF($C12="",SUMIFS(全伝票!I:I,全伝票!$B:$B,$B12),SUMIFS(全伝票!I:I,全伝票!$C:$C,$C12)),IF($C12="",SUMIFS(全伝票!I:I,全伝票!$A:$A,$A12,全伝票!$B:$B,$B12),SUMIFS(全伝票!I:I,全伝票!$A:$A,$A12,全伝票!$C:$C,$C12)))</f>
        <v>2021074</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2021074</v>
      </c>
      <c r="K12" s="664">
        <f t="shared" si="0"/>
        <v>2021074</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+ROUND(J12*J$4/(100+J$4),0)+AI12</f>
        <v>183734</v>
      </c>
      <c r="S12" s="664">
        <f t="shared" si="5"/>
        <v>183734</v>
      </c>
      <c r="T12" s="663">
        <f t="shared" si="6"/>
        <v>1837340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1</v>
      </c>
      <c r="B13" s="669" t="s">
        <v>1064</v>
      </c>
      <c r="C13" s="668" t="s">
        <v>1063</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1</v>
      </c>
      <c r="B14" s="669" t="s">
        <v>1061</v>
      </c>
      <c r="C14" s="668"/>
      <c r="D14" s="667" t="s">
        <v>1060</v>
      </c>
      <c r="E14" s="700">
        <f>+IF($A14="",IF($C14="",SUMIFS(全伝票!I:I,全伝票!$B:$B,$B14),SUMIFS(全伝票!I:I,全伝票!$C:$C,$C14)),IF($C14="",SUMIFS(全伝票!I:I,全伝票!$A:$A,$A14,全伝票!$B:$B,$B14),SUMIFS(全伝票!I:I,全伝票!$A:$A,$A14,全伝票!$C:$C,$C14)))</f>
        <v>10417060</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36840</v>
      </c>
      <c r="J14" s="701">
        <f>+IF($A14="",IF($C14="",SUMIFS(全伝票!N:N,全伝票!$B:$B,$B14),SUMIFS(全伝票!N:N,全伝票!$C:$C,$C14)),IF($C14="",SUMIFS(全伝票!N:N,全伝票!$A:$A,$A14,全伝票!$B:$B,$B14),SUMIFS(全伝票!N:N,全伝票!$A:$A,$A14,全伝票!$C:$C,$C14)))</f>
        <v>10380220</v>
      </c>
      <c r="K14" s="664">
        <f t="shared" si="0"/>
        <v>10417060</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+ROUND(I14*I$4/(100+I$4),0)+AH14</f>
        <v>2728</v>
      </c>
      <c r="R14" s="665">
        <f t="shared" si="4"/>
        <v>943656</v>
      </c>
      <c r="S14" s="664">
        <f t="shared" si="5"/>
        <v>946384</v>
      </c>
      <c r="T14" s="663">
        <f t="shared" si="6"/>
        <v>9470676</v>
      </c>
      <c r="U14" s="650">
        <f t="shared" si="7"/>
        <v>0</v>
      </c>
      <c r="V14" s="650">
        <f t="shared" si="8"/>
        <v>0</v>
      </c>
      <c r="W14" s="650">
        <f t="shared" si="9"/>
        <v>0</v>
      </c>
      <c r="X14" s="650">
        <f t="shared" si="9"/>
        <v>-0.88888888888868678</v>
      </c>
      <c r="Y14" s="650">
        <f t="shared" si="10"/>
        <v>-0.36363636364694685</v>
      </c>
      <c r="Z14" s="649">
        <f t="shared" si="11"/>
        <v>0</v>
      </c>
      <c r="AA14" s="649">
        <f t="shared" si="12"/>
        <v>0</v>
      </c>
      <c r="AB14" s="649">
        <f t="shared" si="13"/>
        <v>0</v>
      </c>
      <c r="AC14" s="649">
        <f t="shared" si="13"/>
        <v>0</v>
      </c>
      <c r="AD14" s="649">
        <f t="shared" si="14"/>
        <v>0</v>
      </c>
      <c r="AE14" s="648"/>
      <c r="AF14" s="648"/>
      <c r="AG14" s="648"/>
      <c r="AH14" s="648">
        <v>-1</v>
      </c>
      <c r="AI14" s="648"/>
    </row>
    <row r="15" spans="1:35" x14ac:dyDescent="0.15">
      <c r="A15" s="670">
        <v>1</v>
      </c>
      <c r="B15" s="669" t="s">
        <v>1059</v>
      </c>
      <c r="C15" s="668"/>
      <c r="D15" s="667" t="s">
        <v>1058</v>
      </c>
      <c r="E15" s="700">
        <f>+IF($A15="",IF($C15="",SUMIFS(全伝票!I:I,全伝票!$B:$B,$B15),SUMIFS(全伝票!I:I,全伝票!$C:$C,$C15)),IF($C15="",SUMIFS(全伝票!I:I,全伝票!$A:$A,$A15,全伝票!$B:$B,$B15),SUMIFS(全伝票!I:I,全伝票!$A:$A,$A15,全伝票!$C:$C,$C15)))</f>
        <v>1053838</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1053838</v>
      </c>
      <c r="K15" s="664">
        <f t="shared" si="0"/>
        <v>1053838</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95804</v>
      </c>
      <c r="S15" s="664">
        <f t="shared" si="5"/>
        <v>95804</v>
      </c>
      <c r="T15" s="663">
        <f t="shared" si="6"/>
        <v>958034</v>
      </c>
      <c r="U15" s="650">
        <f t="shared" si="7"/>
        <v>0</v>
      </c>
      <c r="V15" s="650">
        <f t="shared" si="8"/>
        <v>0</v>
      </c>
      <c r="W15" s="650">
        <f t="shared" si="9"/>
        <v>0</v>
      </c>
      <c r="X15" s="650">
        <f t="shared" si="9"/>
        <v>0</v>
      </c>
      <c r="Y15" s="650">
        <f t="shared" si="10"/>
        <v>0.54545454545586836</v>
      </c>
      <c r="Z15" s="649">
        <f t="shared" si="11"/>
        <v>0</v>
      </c>
      <c r="AA15" s="649">
        <f t="shared" si="12"/>
        <v>0</v>
      </c>
      <c r="AB15" s="649">
        <f t="shared" si="13"/>
        <v>0</v>
      </c>
      <c r="AC15" s="649">
        <f t="shared" si="13"/>
        <v>0</v>
      </c>
      <c r="AD15" s="649">
        <f t="shared" si="14"/>
        <v>0</v>
      </c>
      <c r="AE15" s="648"/>
      <c r="AF15" s="648"/>
      <c r="AG15" s="648"/>
      <c r="AH15" s="648"/>
      <c r="AI15" s="648">
        <v>1</v>
      </c>
    </row>
    <row r="16" spans="1:35" x14ac:dyDescent="0.15">
      <c r="A16" s="670">
        <v>1</v>
      </c>
      <c r="B16" s="669" t="s">
        <v>1057</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1</v>
      </c>
      <c r="B17" s="669" t="s">
        <v>1055</v>
      </c>
      <c r="C17" s="668"/>
      <c r="D17" s="667" t="s">
        <v>1054</v>
      </c>
      <c r="E17" s="700">
        <f>+IF($A17="",IF($C17="",SUMIFS(全伝票!I:I,全伝票!$B:$B,$B17),SUMIFS(全伝票!I:I,全伝票!$C:$C,$C17)),IF($C17="",SUMIFS(全伝票!I:I,全伝票!$A:$A,$A17,全伝票!$B:$B,$B17),SUMIFS(全伝票!I:I,全伝票!$A:$A,$A17,全伝票!$C:$C,$C17)))</f>
        <v>2423102</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2423102</v>
      </c>
      <c r="K17" s="664">
        <f t="shared" si="0"/>
        <v>2423102</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220282</v>
      </c>
      <c r="S17" s="664">
        <f t="shared" si="5"/>
        <v>220282</v>
      </c>
      <c r="T17" s="663">
        <f t="shared" si="6"/>
        <v>2202820</v>
      </c>
      <c r="U17" s="650">
        <f t="shared" si="7"/>
        <v>0</v>
      </c>
      <c r="V17" s="650">
        <f t="shared" si="8"/>
        <v>0</v>
      </c>
      <c r="W17" s="650">
        <f t="shared" si="9"/>
        <v>0</v>
      </c>
      <c r="X17" s="650">
        <f t="shared" si="9"/>
        <v>0</v>
      </c>
      <c r="Y17" s="650">
        <f t="shared" si="10"/>
        <v>0</v>
      </c>
      <c r="Z17" s="649">
        <f t="shared" si="11"/>
        <v>0</v>
      </c>
      <c r="AA17" s="649">
        <f t="shared" si="12"/>
        <v>0</v>
      </c>
      <c r="AB17" s="649">
        <f t="shared" si="13"/>
        <v>0</v>
      </c>
      <c r="AC17" s="649">
        <f t="shared" si="13"/>
        <v>0</v>
      </c>
      <c r="AD17" s="649">
        <f t="shared" si="14"/>
        <v>0</v>
      </c>
      <c r="AE17" s="648"/>
      <c r="AF17" s="648"/>
      <c r="AG17" s="648"/>
      <c r="AH17" s="648"/>
      <c r="AI17" s="648"/>
    </row>
    <row r="18" spans="1:35" x14ac:dyDescent="0.15">
      <c r="A18" s="670">
        <v>1</v>
      </c>
      <c r="B18" s="669" t="s">
        <v>1053</v>
      </c>
      <c r="C18" s="668"/>
      <c r="D18" s="667" t="s">
        <v>1052</v>
      </c>
      <c r="E18" s="700">
        <f>+IF($A18="",IF($C18="",SUMIFS(全伝票!I:I,全伝票!$B:$B,$B18),SUMIFS(全伝票!I:I,全伝票!$C:$C,$C18)),IF($C18="",SUMIFS(全伝票!I:I,全伝票!$A:$A,$A18,全伝票!$B:$B,$B18),SUMIFS(全伝票!I:I,全伝票!$A:$A,$A18,全伝票!$C:$C,$C18)))</f>
        <v>357250</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290850</v>
      </c>
      <c r="K18" s="664">
        <f t="shared" si="0"/>
        <v>290850</v>
      </c>
      <c r="L18" s="700">
        <f>+IF($A18="",IF($C18="",SUMIFS(全伝票!O:O,全伝票!$B:$B,$B18),SUMIFS(全伝票!O:O,全伝票!$C:$C,$C18)),IF($C18="",SUMIFS(全伝票!O:O,全伝票!$A:$A,$A18,全伝票!$B:$B,$B18),SUMIFS(全伝票!O:O,全伝票!$A:$A,$A18,全伝票!$C:$C,$C18)))</f>
        <v>66400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26441</v>
      </c>
      <c r="S18" s="664">
        <f t="shared" si="5"/>
        <v>26441</v>
      </c>
      <c r="T18" s="663">
        <f t="shared" si="6"/>
        <v>330809</v>
      </c>
      <c r="U18" s="650">
        <f t="shared" si="7"/>
        <v>0</v>
      </c>
      <c r="V18" s="650">
        <f t="shared" si="8"/>
        <v>0</v>
      </c>
      <c r="W18" s="650">
        <f t="shared" si="9"/>
        <v>0</v>
      </c>
      <c r="X18" s="650">
        <f t="shared" si="9"/>
        <v>0</v>
      </c>
      <c r="Y18" s="650">
        <f t="shared" si="10"/>
        <v>9.0909090908098733E-2</v>
      </c>
      <c r="Z18" s="649">
        <f t="shared" si="11"/>
        <v>0</v>
      </c>
      <c r="AA18" s="649">
        <f t="shared" si="12"/>
        <v>0</v>
      </c>
      <c r="AB18" s="649">
        <f t="shared" si="13"/>
        <v>0</v>
      </c>
      <c r="AC18" s="649">
        <f t="shared" si="13"/>
        <v>0</v>
      </c>
      <c r="AD18" s="649">
        <f t="shared" si="14"/>
        <v>0</v>
      </c>
      <c r="AE18" s="648"/>
      <c r="AF18" s="648"/>
      <c r="AG18" s="648"/>
      <c r="AH18" s="648"/>
      <c r="AI18" s="648"/>
    </row>
    <row r="19" spans="1:35" x14ac:dyDescent="0.15">
      <c r="A19" s="670">
        <v>1</v>
      </c>
      <c r="B19" s="669" t="s">
        <v>1051</v>
      </c>
      <c r="C19" s="668"/>
      <c r="D19" s="667" t="s">
        <v>1050</v>
      </c>
      <c r="E19" s="700">
        <f>+IF($A19="",IF($C19="",SUMIFS(全伝票!I:I,全伝票!$B:$B,$B19),SUMIFS(全伝票!I:I,全伝票!$C:$C,$C19)),IF($C19="",SUMIFS(全伝票!I:I,全伝票!$A:$A,$A19,全伝票!$B:$B,$B19),SUMIFS(全伝票!I:I,全伝票!$A:$A,$A19,全伝票!$C:$C,$C19)))</f>
        <v>13483332</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125712</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7866081</v>
      </c>
      <c r="K19" s="664">
        <f t="shared" si="0"/>
        <v>7991793</v>
      </c>
      <c r="L19" s="700">
        <f>+IF($A19="",IF($C19="",SUMIFS(全伝票!O:O,全伝票!$B:$B,$B19),SUMIFS(全伝票!O:O,全伝票!$C:$C,$C19)),IF($C19="",SUMIFS(全伝票!O:O,全伝票!$A:$A,$A19,全伝票!$B:$B,$B19),SUMIFS(全伝票!O:O,全伝票!$A:$A,$A19,全伝票!$C:$C,$C19)))</f>
        <v>5491539</v>
      </c>
      <c r="M19" s="700">
        <f>+IF($A19="",IF($C19="",SUMIFS(全伝票!P:P,全伝票!$B:$B,$B19),SUMIFS(全伝票!P:P,全伝票!$C:$C,$C19)),IF($C19="",SUMIFS(全伝票!P:P,全伝票!$A:$A,$A19,全伝票!$B:$B,$B19),SUMIFS(全伝票!P:P,全伝票!$A:$A,$A19,全伝票!$C:$C,$C19)))</f>
        <v>0</v>
      </c>
      <c r="N19" s="662">
        <f t="shared" si="1"/>
        <v>0</v>
      </c>
      <c r="O19" s="661">
        <f t="shared" si="2"/>
        <v>0</v>
      </c>
      <c r="P19" s="661">
        <f>+ROUND(H19*H$4/(100+H$4),0)+AG19</f>
        <v>9312</v>
      </c>
      <c r="Q19" s="661">
        <f t="shared" si="3"/>
        <v>0</v>
      </c>
      <c r="R19" s="665">
        <f>+ROUND(J19*J$4/(100+J$4),0)+AI19</f>
        <v>715098</v>
      </c>
      <c r="S19" s="664">
        <f t="shared" si="5"/>
        <v>724410</v>
      </c>
      <c r="T19" s="663">
        <f t="shared" si="6"/>
        <v>12758922</v>
      </c>
      <c r="U19" s="650">
        <f t="shared" si="7"/>
        <v>0</v>
      </c>
      <c r="V19" s="650">
        <f t="shared" si="8"/>
        <v>0</v>
      </c>
      <c r="W19" s="650">
        <f t="shared" si="9"/>
        <v>0</v>
      </c>
      <c r="X19" s="650">
        <f t="shared" si="9"/>
        <v>0</v>
      </c>
      <c r="Y19" s="650">
        <f t="shared" si="10"/>
        <v>-0.27272727270610631</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1</v>
      </c>
      <c r="B20" s="669" t="s">
        <v>1049</v>
      </c>
      <c r="C20" s="668"/>
      <c r="D20" s="667" t="s">
        <v>1048</v>
      </c>
      <c r="E20" s="700">
        <f>+IF($A20="",IF($C20="",SUMIFS(全伝票!I:I,全伝票!$B:$B,$B20),SUMIFS(全伝票!I:I,全伝票!$C:$C,$C20)),IF($C20="",SUMIFS(全伝票!I:I,全伝票!$A:$A,$A20,全伝票!$B:$B,$B20),SUMIFS(全伝票!I:I,全伝票!$A:$A,$A20,全伝票!$C:$C,$C20)))</f>
        <v>85827500</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85827500</v>
      </c>
      <c r="K20" s="664">
        <f t="shared" si="0"/>
        <v>85827500</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 t="shared" si="4"/>
        <v>7802500</v>
      </c>
      <c r="S20" s="664">
        <f t="shared" si="5"/>
        <v>7802500</v>
      </c>
      <c r="T20" s="663">
        <f t="shared" si="6"/>
        <v>78025000</v>
      </c>
      <c r="U20" s="650">
        <f t="shared" si="7"/>
        <v>0</v>
      </c>
      <c r="V20" s="650">
        <f t="shared" si="8"/>
        <v>0</v>
      </c>
      <c r="W20" s="650">
        <f t="shared" si="9"/>
        <v>0</v>
      </c>
      <c r="X20" s="650">
        <f t="shared" si="9"/>
        <v>0</v>
      </c>
      <c r="Y20" s="650">
        <f t="shared" si="10"/>
        <v>0</v>
      </c>
      <c r="Z20" s="649">
        <f t="shared" si="11"/>
        <v>0</v>
      </c>
      <c r="AA20" s="649">
        <f t="shared" si="12"/>
        <v>0</v>
      </c>
      <c r="AB20" s="649">
        <f t="shared" si="13"/>
        <v>0</v>
      </c>
      <c r="AC20" s="649">
        <f t="shared" si="13"/>
        <v>0</v>
      </c>
      <c r="AD20" s="649">
        <f t="shared" si="14"/>
        <v>0</v>
      </c>
      <c r="AE20" s="648"/>
      <c r="AF20" s="648"/>
      <c r="AG20" s="648"/>
      <c r="AH20" s="648"/>
      <c r="AI20" s="648"/>
    </row>
    <row r="21" spans="1:35" x14ac:dyDescent="0.15">
      <c r="A21" s="670">
        <v>1</v>
      </c>
      <c r="B21" s="669" t="s">
        <v>1047</v>
      </c>
      <c r="C21" s="668"/>
      <c r="D21" s="667" t="s">
        <v>1046</v>
      </c>
      <c r="E21" s="700">
        <f>+IF($A21="",IF($C21="",SUMIFS(全伝票!I:I,全伝票!$B:$B,$B21),SUMIFS(全伝票!I:I,全伝票!$C:$C,$C21)),IF($C21="",SUMIFS(全伝票!I:I,全伝票!$A:$A,$A21,全伝票!$B:$B,$B21),SUMIFS(全伝票!I:I,全伝票!$A:$A,$A21,全伝票!$C:$C,$C21)))</f>
        <v>1482466</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1482466</v>
      </c>
      <c r="K21" s="664">
        <f t="shared" si="0"/>
        <v>1482466</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134770</v>
      </c>
      <c r="S21" s="664">
        <f t="shared" si="5"/>
        <v>134770</v>
      </c>
      <c r="T21" s="663">
        <f t="shared" si="6"/>
        <v>1347696</v>
      </c>
      <c r="U21" s="650">
        <f t="shared" si="7"/>
        <v>0</v>
      </c>
      <c r="V21" s="650">
        <f t="shared" si="8"/>
        <v>0</v>
      </c>
      <c r="W21" s="650">
        <f t="shared" si="9"/>
        <v>0</v>
      </c>
      <c r="X21" s="650">
        <f t="shared" si="9"/>
        <v>0</v>
      </c>
      <c r="Y21" s="650">
        <f t="shared" si="10"/>
        <v>0.36363636364694685</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1</v>
      </c>
      <c r="B22" s="669" t="s">
        <v>1045</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1</v>
      </c>
      <c r="B23" s="669" t="s">
        <v>1043</v>
      </c>
      <c r="C23" s="668"/>
      <c r="D23" s="667" t="s">
        <v>1042</v>
      </c>
      <c r="E23" s="700">
        <f>+IF($A23="",IF($C23="",SUMIFS(全伝票!I:I,全伝票!$B:$B,$B23),SUMIFS(全伝票!I:I,全伝票!$C:$C,$C23)),IF($C23="",SUMIFS(全伝票!I:I,全伝票!$A:$A,$A23,全伝票!$B:$B,$B23),SUMIFS(全伝票!I:I,全伝票!$A:$A,$A23,全伝票!$C:$C,$C23)))</f>
        <v>51295633</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51295633</v>
      </c>
      <c r="K23" s="664">
        <f t="shared" si="0"/>
        <v>51295633</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4663239</v>
      </c>
      <c r="S23" s="664">
        <f t="shared" si="5"/>
        <v>4663239</v>
      </c>
      <c r="T23" s="663">
        <f t="shared" si="6"/>
        <v>46632394</v>
      </c>
      <c r="U23" s="650">
        <f t="shared" si="7"/>
        <v>0</v>
      </c>
      <c r="V23" s="650">
        <f t="shared" si="8"/>
        <v>0</v>
      </c>
      <c r="W23" s="650">
        <f t="shared" si="9"/>
        <v>0</v>
      </c>
      <c r="X23" s="650">
        <f t="shared" si="9"/>
        <v>0</v>
      </c>
      <c r="Y23" s="650">
        <f t="shared" si="10"/>
        <v>-0.36363636329770088</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1</v>
      </c>
      <c r="B24" s="669" t="s">
        <v>1041</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1</v>
      </c>
      <c r="B25" s="669" t="s">
        <v>1039</v>
      </c>
      <c r="C25" s="668"/>
      <c r="D25" s="667" t="s">
        <v>1038</v>
      </c>
      <c r="E25" s="700">
        <f>+IF($A25="",IF($C25="",SUMIFS(全伝票!I:I,全伝票!$B:$B,$B25),SUMIFS(全伝票!I:I,全伝票!$C:$C,$C25)),IF($C25="",SUMIFS(全伝票!I:I,全伝票!$A:$A,$A25,全伝票!$B:$B,$B25),SUMIFS(全伝票!I:I,全伝票!$A:$A,$A25,全伝票!$C:$C,$C25)))</f>
        <v>557452</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557452</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557452</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1</v>
      </c>
      <c r="B26" s="669" t="s">
        <v>1037</v>
      </c>
      <c r="C26" s="668"/>
      <c r="D26" s="667" t="s">
        <v>1036</v>
      </c>
      <c r="E26" s="700">
        <f>+IF($A26="",IF($C26="",SUMIFS(全伝票!I:I,全伝票!$B:$B,$B26),SUMIFS(全伝票!I:I,全伝票!$C:$C,$C26)),IF($C26="",SUMIFS(全伝票!I:I,全伝票!$A:$A,$A26,全伝票!$B:$B,$B26),SUMIFS(全伝票!I:I,全伝票!$A:$A,$A26,全伝票!$C:$C,$C26)))</f>
        <v>240506</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240506</v>
      </c>
      <c r="N26" s="662">
        <f t="shared" si="1"/>
        <v>0</v>
      </c>
      <c r="O26" s="661">
        <f t="shared" si="2"/>
        <v>0</v>
      </c>
      <c r="P26" s="661">
        <f t="shared" si="3"/>
        <v>0</v>
      </c>
      <c r="Q26" s="661">
        <f t="shared" si="3"/>
        <v>0</v>
      </c>
      <c r="R26" s="665">
        <f t="shared" si="4"/>
        <v>0</v>
      </c>
      <c r="S26" s="664">
        <f t="shared" si="5"/>
        <v>0</v>
      </c>
      <c r="T26" s="663">
        <f t="shared" si="6"/>
        <v>240506</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1</v>
      </c>
      <c r="B27" s="669" t="s">
        <v>1064</v>
      </c>
      <c r="C27" s="668">
        <v>615321003</v>
      </c>
      <c r="D27" s="758" t="s">
        <v>1348</v>
      </c>
      <c r="E27" s="700">
        <f>+IF($A27="",IF($C27="",SUMIFS(全伝票!I:I,全伝票!$B:$B,$B27),SUMIFS(全伝票!I:I,全伝票!$C:$C,$C27)),IF($C27="",SUMIFS(全伝票!I:I,全伝票!$A:$A,$A27,全伝票!$B:$B,$B27),SUMIFS(全伝票!I:I,全伝票!$A:$A,$A27,全伝票!$C:$C,$C27)))</f>
        <v>739160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739160</v>
      </c>
      <c r="K27" s="664">
        <f t="shared" si="0"/>
        <v>739160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67196</v>
      </c>
      <c r="S27" s="664">
        <f t="shared" si="5"/>
        <v>67196</v>
      </c>
      <c r="T27" s="663">
        <f t="shared" si="6"/>
        <v>671964</v>
      </c>
      <c r="U27" s="650">
        <f t="shared" si="7"/>
        <v>0</v>
      </c>
      <c r="V27" s="650">
        <f t="shared" si="8"/>
        <v>0</v>
      </c>
      <c r="W27" s="650">
        <f t="shared" si="9"/>
        <v>0</v>
      </c>
      <c r="X27" s="650">
        <f t="shared" si="9"/>
        <v>0</v>
      </c>
      <c r="Y27" s="650">
        <f t="shared" si="10"/>
        <v>-0.36363636363239493</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1</v>
      </c>
      <c r="B28" s="669" t="s">
        <v>1035</v>
      </c>
      <c r="C28" s="668"/>
      <c r="D28" s="667" t="s">
        <v>1034</v>
      </c>
      <c r="E28" s="700">
        <f>+IF($A28="",IF($C28="",SUMIFS(全伝票!I:I,全伝票!$B:$B,$B28),SUMIFS(全伝票!I:I,全伝票!$C:$C,$C28)),IF($C28="",SUMIFS(全伝票!I:I,全伝票!$A:$A,$A28,全伝票!$B:$B,$B28),SUMIFS(全伝票!I:I,全伝票!$A:$A,$A28,全伝票!$C:$C,$C28)))</f>
        <v>14830375</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4022760</v>
      </c>
      <c r="M28" s="700">
        <f>+IF($A28="",IF($C28="",SUMIFS(全伝票!P:P,全伝票!$B:$B,$B28),SUMIFS(全伝票!P:P,全伝票!$C:$C,$C28)),IF($C28="",SUMIFS(全伝票!P:P,全伝票!$A:$A,$A28,全伝票!$B:$B,$B28),SUMIFS(全伝票!P:P,全伝票!$A:$A,$A28,全伝票!$C:$C,$C28)))</f>
        <v>10807615</v>
      </c>
      <c r="N28" s="662">
        <f t="shared" si="1"/>
        <v>0</v>
      </c>
      <c r="O28" s="661">
        <f t="shared" si="2"/>
        <v>0</v>
      </c>
      <c r="P28" s="661">
        <f t="shared" si="3"/>
        <v>0</v>
      </c>
      <c r="Q28" s="661">
        <f t="shared" si="3"/>
        <v>0</v>
      </c>
      <c r="R28" s="665">
        <f t="shared" si="4"/>
        <v>0</v>
      </c>
      <c r="S28" s="664">
        <f t="shared" si="5"/>
        <v>0</v>
      </c>
      <c r="T28" s="663">
        <f t="shared" si="6"/>
        <v>14830375</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1</v>
      </c>
      <c r="B29" s="669" t="s">
        <v>1033</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1</v>
      </c>
      <c r="B30" s="669" t="s">
        <v>1031</v>
      </c>
      <c r="C30" s="668"/>
      <c r="D30" s="667" t="s">
        <v>1030</v>
      </c>
      <c r="E30" s="700">
        <f>+IF($A30="",IF($C30="",SUMIFS(全伝票!I:I,全伝票!$B:$B,$B30),SUMIFS(全伝票!I:I,全伝票!$C:$C,$C30)),IF($C30="",SUMIFS(全伝票!I:I,全伝票!$A:$A,$A30,全伝票!$B:$B,$B30),SUMIFS(全伝票!I:I,全伝票!$A:$A,$A30,全伝票!$C:$C,$C30)))</f>
        <v>275990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275990</v>
      </c>
      <c r="K30" s="664">
        <f t="shared" si="0"/>
        <v>275990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25090</v>
      </c>
      <c r="S30" s="664">
        <f t="shared" si="5"/>
        <v>25090</v>
      </c>
      <c r="T30" s="663">
        <f t="shared" si="6"/>
        <v>250900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1</v>
      </c>
      <c r="B31" s="669" t="s">
        <v>1029</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1027</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1</v>
      </c>
      <c r="B33" s="669" t="s">
        <v>1025</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1</v>
      </c>
      <c r="B34" s="669" t="s">
        <v>1023</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1</v>
      </c>
      <c r="B35" s="669" t="s">
        <v>1011</v>
      </c>
      <c r="C35" s="668" t="s">
        <v>1021</v>
      </c>
      <c r="D35" s="667" t="s">
        <v>1020</v>
      </c>
      <c r="E35" s="700">
        <f>+IF($A35="",IF($C35="",SUMIFS(全伝票!I:I,全伝票!$B:$B,$B35),SUMIFS(全伝票!I:I,全伝票!$C:$C,$C35)),IF($C35="",SUMIFS(全伝票!I:I,全伝票!$A:$A,$A35,全伝票!$B:$B,$B35),SUMIFS(全伝票!I:I,全伝票!$A:$A,$A35,全伝票!$C:$C,$C35)))</f>
        <v>13601868302</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13601868302</v>
      </c>
      <c r="K35" s="664">
        <f t="shared" si="0"/>
        <v>13601868302</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+ROUND(H35*H$4/(100+H$4),0)+AG35</f>
        <v>0</v>
      </c>
      <c r="Q35" s="661">
        <f t="shared" si="3"/>
        <v>0</v>
      </c>
      <c r="R35" s="665">
        <f t="shared" si="4"/>
        <v>1236533482</v>
      </c>
      <c r="S35" s="664">
        <f t="shared" si="5"/>
        <v>1236533482</v>
      </c>
      <c r="T35" s="663">
        <f t="shared" si="6"/>
        <v>12365334820</v>
      </c>
      <c r="U35" s="650">
        <f t="shared" si="7"/>
        <v>0</v>
      </c>
      <c r="V35" s="650">
        <f t="shared" si="8"/>
        <v>0</v>
      </c>
      <c r="W35" s="650">
        <f t="shared" si="9"/>
        <v>0</v>
      </c>
      <c r="X35" s="650">
        <f t="shared" si="9"/>
        <v>0</v>
      </c>
      <c r="Y35" s="650">
        <f t="shared" si="10"/>
        <v>0</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1</v>
      </c>
      <c r="B36" s="669" t="s">
        <v>1011</v>
      </c>
      <c r="C36" s="668" t="s">
        <v>1019</v>
      </c>
      <c r="D36" s="667" t="s">
        <v>1018</v>
      </c>
      <c r="E36" s="700">
        <f>+IF($A36="",IF($C36="",SUMIFS(全伝票!I:I,全伝票!$B:$B,$B36),SUMIFS(全伝票!I:I,全伝票!$C:$C,$C36)),IF($C36="",SUMIFS(全伝票!I:I,全伝票!$A:$A,$A36,全伝票!$B:$B,$B36),SUMIFS(全伝票!I:I,全伝票!$A:$A,$A36,全伝票!$C:$C,$C36)))</f>
        <v>59375146</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59375146</v>
      </c>
      <c r="N36" s="662">
        <f t="shared" si="1"/>
        <v>0</v>
      </c>
      <c r="O36" s="661">
        <f t="shared" si="2"/>
        <v>0</v>
      </c>
      <c r="P36" s="661">
        <f t="shared" si="3"/>
        <v>0</v>
      </c>
      <c r="Q36" s="661">
        <f t="shared" si="3"/>
        <v>0</v>
      </c>
      <c r="R36" s="665">
        <f t="shared" si="4"/>
        <v>0</v>
      </c>
      <c r="S36" s="664">
        <f t="shared" si="5"/>
        <v>0</v>
      </c>
      <c r="T36" s="663">
        <f t="shared" si="6"/>
        <v>59375146</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1</v>
      </c>
      <c r="B37" s="669" t="s">
        <v>1011</v>
      </c>
      <c r="C37" s="668" t="s">
        <v>1017</v>
      </c>
      <c r="D37" s="667" t="s">
        <v>1016</v>
      </c>
      <c r="E37" s="700">
        <f>+IF($A37="",IF($C37="",SUMIFS(全伝票!I:I,全伝票!$B:$B,$B37),SUMIFS(全伝票!I:I,全伝票!$C:$C,$C37)),IF($C37="",SUMIFS(全伝票!I:I,全伝票!$A:$A,$A37,全伝票!$B:$B,$B37),SUMIFS(全伝票!I:I,全伝票!$A:$A,$A37,全伝票!$C:$C,$C37)))</f>
        <v>867470663</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867470663</v>
      </c>
      <c r="K37" s="664">
        <f t="shared" si="0"/>
        <v>867470663</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78860969</v>
      </c>
      <c r="S37" s="664">
        <f t="shared" si="5"/>
        <v>78860969</v>
      </c>
      <c r="T37" s="663">
        <f t="shared" si="6"/>
        <v>788609694</v>
      </c>
      <c r="U37" s="650">
        <f t="shared" si="7"/>
        <v>0</v>
      </c>
      <c r="V37" s="650">
        <f t="shared" si="8"/>
        <v>0</v>
      </c>
      <c r="W37" s="650">
        <f t="shared" si="9"/>
        <v>0</v>
      </c>
      <c r="X37" s="650">
        <f t="shared" si="9"/>
        <v>0</v>
      </c>
      <c r="Y37" s="650">
        <f t="shared" si="10"/>
        <v>-0.36363635957241058</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1</v>
      </c>
      <c r="B38" s="669" t="s">
        <v>1011</v>
      </c>
      <c r="C38" s="668" t="s">
        <v>1015</v>
      </c>
      <c r="D38" s="667" t="s">
        <v>1014</v>
      </c>
      <c r="E38" s="700">
        <f>+IF($A38="",IF($C38="",SUMIFS(全伝票!I:I,全伝票!$B:$B,$B38),SUMIFS(全伝票!I:I,全伝票!$C:$C,$C38)),IF($C38="",SUMIFS(全伝票!I:I,全伝票!$A:$A,$A38,全伝票!$B:$B,$B38),SUMIFS(全伝票!I:I,全伝票!$A:$A,$A38,全伝票!$C:$C,$C38)))</f>
        <v>273840500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273840500</v>
      </c>
      <c r="K38" s="664">
        <f t="shared" si="0"/>
        <v>273840500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24894591</v>
      </c>
      <c r="S38" s="664">
        <f t="shared" si="5"/>
        <v>24894591</v>
      </c>
      <c r="T38" s="663">
        <f t="shared" si="6"/>
        <v>248945909</v>
      </c>
      <c r="U38" s="650">
        <f t="shared" si="7"/>
        <v>0</v>
      </c>
      <c r="V38" s="650">
        <f t="shared" si="8"/>
        <v>0</v>
      </c>
      <c r="W38" s="650">
        <f t="shared" si="9"/>
        <v>0</v>
      </c>
      <c r="X38" s="650">
        <f t="shared" si="9"/>
        <v>0</v>
      </c>
      <c r="Y38" s="650">
        <f t="shared" si="10"/>
        <v>9.0909089893102646E-2</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1</v>
      </c>
      <c r="B39" s="669" t="s">
        <v>1011</v>
      </c>
      <c r="C39" s="668" t="s">
        <v>1013</v>
      </c>
      <c r="D39" s="667" t="s">
        <v>1012</v>
      </c>
      <c r="E39" s="700">
        <f>+IF($A39="",IF($C39="",SUMIFS(全伝票!I:I,全伝票!$B:$B,$B39),SUMIFS(全伝票!I:I,全伝票!$C:$C,$C39)),IF($C39="",SUMIFS(全伝票!I:I,全伝票!$A:$A,$A39,全伝票!$B:$B,$B39),SUMIFS(全伝票!I:I,全伝票!$A:$A,$A39,全伝票!$C:$C,$C39)))</f>
        <v>25650977</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1500075</v>
      </c>
      <c r="K39" s="664">
        <f t="shared" si="0"/>
        <v>1500075</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24150902</v>
      </c>
      <c r="N39" s="662">
        <f t="shared" si="1"/>
        <v>0</v>
      </c>
      <c r="O39" s="661">
        <f t="shared" si="2"/>
        <v>0</v>
      </c>
      <c r="P39" s="661">
        <f t="shared" si="3"/>
        <v>0</v>
      </c>
      <c r="Q39" s="661">
        <f t="shared" si="3"/>
        <v>0</v>
      </c>
      <c r="R39" s="665">
        <f t="shared" si="4"/>
        <v>136371</v>
      </c>
      <c r="S39" s="664">
        <f t="shared" si="5"/>
        <v>136371</v>
      </c>
      <c r="T39" s="663">
        <f t="shared" si="6"/>
        <v>25514606</v>
      </c>
      <c r="U39" s="650">
        <f t="shared" si="7"/>
        <v>0</v>
      </c>
      <c r="V39" s="650">
        <f t="shared" si="8"/>
        <v>0</v>
      </c>
      <c r="W39" s="650">
        <f t="shared" si="9"/>
        <v>0</v>
      </c>
      <c r="X39" s="650">
        <f t="shared" si="9"/>
        <v>0</v>
      </c>
      <c r="Y39" s="650">
        <f t="shared" si="10"/>
        <v>0.54545454544131644</v>
      </c>
      <c r="Z39" s="649">
        <f t="shared" si="11"/>
        <v>0</v>
      </c>
      <c r="AA39" s="649">
        <f t="shared" si="12"/>
        <v>0</v>
      </c>
      <c r="AB39" s="649">
        <f t="shared" si="13"/>
        <v>0</v>
      </c>
      <c r="AC39" s="649">
        <f t="shared" si="13"/>
        <v>0</v>
      </c>
      <c r="AD39" s="649">
        <f t="shared" si="14"/>
        <v>0</v>
      </c>
      <c r="AE39" s="648"/>
      <c r="AF39" s="648"/>
      <c r="AG39" s="648"/>
      <c r="AH39" s="648"/>
      <c r="AI39" s="648">
        <v>1</v>
      </c>
    </row>
    <row r="40" spans="1:35" ht="14.25" thickBot="1" x14ac:dyDescent="0.2">
      <c r="A40" s="660">
        <v>1</v>
      </c>
      <c r="B40" s="659" t="s">
        <v>1011</v>
      </c>
      <c r="C40" s="658" t="s">
        <v>1010</v>
      </c>
      <c r="D40" s="657" t="s">
        <v>1009</v>
      </c>
      <c r="E40" s="696">
        <f>+IF($A40="",IF($C40="",SUMIFS(全伝票!I:I,全伝票!$B:$B,$B40),SUMIFS(全伝票!I:I,全伝票!$C:$C,$C40)),IF($C40="",SUMIFS(全伝票!I:I,全伝票!$A:$A,$A40,全伝票!$B:$B,$B40),SUMIFS(全伝票!I:I,全伝票!$A:$A,$A40,全伝票!$C:$C,$C40)))</f>
        <v>2958420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2958420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2958420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15677649564</v>
      </c>
      <c r="F41" s="643">
        <f t="shared" si="15"/>
        <v>0</v>
      </c>
      <c r="G41" s="642">
        <f t="shared" si="15"/>
        <v>0</v>
      </c>
      <c r="H41" s="642">
        <f t="shared" si="15"/>
        <v>125712</v>
      </c>
      <c r="I41" s="642">
        <f t="shared" ref="I41" si="16">SUM(I5:I40)</f>
        <v>36840</v>
      </c>
      <c r="J41" s="641">
        <f t="shared" si="15"/>
        <v>14917070964</v>
      </c>
      <c r="K41" s="634">
        <f t="shared" si="15"/>
        <v>14917233516</v>
      </c>
      <c r="L41" s="639">
        <f t="shared" si="15"/>
        <v>120272797</v>
      </c>
      <c r="M41" s="639">
        <f t="shared" si="15"/>
        <v>640143251</v>
      </c>
      <c r="N41" s="636">
        <f t="shared" si="15"/>
        <v>0</v>
      </c>
      <c r="O41" s="635">
        <f t="shared" si="15"/>
        <v>0</v>
      </c>
      <c r="P41" s="635">
        <f t="shared" si="15"/>
        <v>9312</v>
      </c>
      <c r="Q41" s="635">
        <f t="shared" ref="Q41" si="17">SUM(Q5:Q40)</f>
        <v>2728</v>
      </c>
      <c r="R41" s="638">
        <f t="shared" si="15"/>
        <v>1356097360</v>
      </c>
      <c r="S41" s="634">
        <f t="shared" si="15"/>
        <v>1356109400</v>
      </c>
      <c r="T41" s="637">
        <f t="shared" si="15"/>
        <v>14321540164</v>
      </c>
    </row>
    <row r="42" spans="1:35" x14ac:dyDescent="0.15">
      <c r="A42" s="633"/>
      <c r="B42" s="632"/>
      <c r="C42" s="631"/>
      <c r="D42" s="630" t="s">
        <v>978</v>
      </c>
      <c r="E42" s="624">
        <f t="shared" ref="E42:J42" si="18">+E41</f>
        <v>15677649564</v>
      </c>
      <c r="F42" s="629">
        <f t="shared" si="18"/>
        <v>0</v>
      </c>
      <c r="G42" s="628">
        <f t="shared" si="18"/>
        <v>0</v>
      </c>
      <c r="H42" s="628">
        <f t="shared" si="18"/>
        <v>125712</v>
      </c>
      <c r="I42" s="628">
        <f t="shared" si="18"/>
        <v>36840</v>
      </c>
      <c r="J42" s="627">
        <f t="shared" si="18"/>
        <v>14917070964</v>
      </c>
      <c r="K42" s="623">
        <f>SUM(F42:J42)</f>
        <v>14917233516</v>
      </c>
      <c r="L42" s="624">
        <f>+L41</f>
        <v>120272797</v>
      </c>
      <c r="M42" s="624">
        <f>+M41</f>
        <v>640143251</v>
      </c>
      <c r="N42" s="740">
        <f>+'4条支出'!N6</f>
        <v>0</v>
      </c>
      <c r="O42" s="741">
        <f>+'4条支出'!O6</f>
        <v>0</v>
      </c>
      <c r="P42" s="741">
        <f>+'4条支出'!P6</f>
        <v>9312</v>
      </c>
      <c r="Q42" s="741">
        <f>+'4条支出'!Q6</f>
        <v>2728</v>
      </c>
      <c r="R42" s="742">
        <f>+'4条支出'!R6</f>
        <v>1356097360</v>
      </c>
      <c r="S42" s="743">
        <f>+'4条支出'!S6</f>
        <v>1356109400</v>
      </c>
      <c r="T42" s="744">
        <f>+'4条支出'!T6</f>
        <v>14321540164</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674"/>
      <c r="I45" s="753"/>
      <c r="J45" s="674"/>
    </row>
    <row r="46" spans="1:35" x14ac:dyDescent="0.15">
      <c r="G46" s="754"/>
      <c r="H46" s="755"/>
      <c r="I46" s="756"/>
      <c r="J46" s="755"/>
    </row>
  </sheetData>
  <mergeCells count="13">
    <mergeCell ref="Z3:AD3"/>
    <mergeCell ref="AE3:AI3"/>
    <mergeCell ref="C3:C4"/>
    <mergeCell ref="B3:B4"/>
    <mergeCell ref="A3:A4"/>
    <mergeCell ref="N3:S3"/>
    <mergeCell ref="E3:E4"/>
    <mergeCell ref="M3:M4"/>
    <mergeCell ref="L3:L4"/>
    <mergeCell ref="T3:T4"/>
    <mergeCell ref="F3:K3"/>
    <mergeCell ref="D3:D4"/>
    <mergeCell ref="U3:Y3"/>
  </mergeCells>
  <phoneticPr fontId="2"/>
  <conditionalFormatting sqref="AE6:AE14 AE16:AE40">
    <cfRule type="notContainsBlanks" dxfId="277" priority="9" stopIfTrue="1">
      <formula>LEN(TRIM(AE6))&gt;0</formula>
    </cfRule>
  </conditionalFormatting>
  <conditionalFormatting sqref="AE6:AI40">
    <cfRule type="notContainsBlanks" dxfId="276" priority="6" stopIfTrue="1">
      <formula>LEN(TRIM(AE6))&gt;0</formula>
    </cfRule>
  </conditionalFormatting>
  <conditionalFormatting sqref="Z6:AC40">
    <cfRule type="expression" dxfId="275" priority="8">
      <formula>ABS(Z6)=1</formula>
    </cfRule>
  </conditionalFormatting>
  <conditionalFormatting sqref="AA6:AC40">
    <cfRule type="expression" dxfId="274" priority="7">
      <formula>ABS(AA6)=1</formula>
    </cfRule>
  </conditionalFormatting>
  <conditionalFormatting sqref="AE5:AI5">
    <cfRule type="notContainsBlanks" dxfId="273" priority="5" stopIfTrue="1">
      <formula>LEN(TRIM(AE5))&gt;0</formula>
    </cfRule>
  </conditionalFormatting>
  <conditionalFormatting sqref="Z5:AD40">
    <cfRule type="expression" dxfId="272" priority="4">
      <formula>ABS(Z5)=1</formula>
    </cfRule>
  </conditionalFormatting>
  <conditionalFormatting sqref="AD5:AD40">
    <cfRule type="expression" dxfId="271" priority="3">
      <formula>ABS(AD5)=1</formula>
    </cfRule>
  </conditionalFormatting>
  <conditionalFormatting sqref="E43:H43 J43:T43">
    <cfRule type="cellIs" dxfId="270" priority="2" operator="notEqual">
      <formula>0</formula>
    </cfRule>
  </conditionalFormatting>
  <conditionalFormatting sqref="I43">
    <cfRule type="cellIs" dxfId="269" priority="1" operator="notEqual">
      <formula>0</formula>
    </cfRule>
  </conditionalFormatting>
  <pageMargins left="0.39370078740157483" right="0.39370078740157483" top="0.78740157480314965" bottom="0.19685039370078741" header="0.39370078740157483" footer="0.19685039370078741"/>
  <pageSetup paperSize="9" scale="69" fitToHeight="2" orientation="landscape" blackAndWhite="1" r:id="rId1"/>
  <headerFooter>
    <oddFooter>&amp;L&amp;8&amp;Z&amp;F&amp;A&amp;R&amp;8&amp;D&amp;T</oddFooter>
  </headerFooter>
</worksheet>
</file>

<file path=xl/worksheets/w3_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6"/>
  <sheetViews>
    <sheetView zoomScale="80" zoomScaleNormal="80" zoomScaleSheetLayoutView="40" workbookViewId="0">
      <pane xSplit="4"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1119</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v>1</v>
      </c>
      <c r="B5" s="684" t="s">
        <v>1118</v>
      </c>
      <c r="C5" s="683"/>
      <c r="D5" s="682" t="s">
        <v>1079</v>
      </c>
      <c r="E5" s="705">
        <f>+IF($A5="",IF($C5="",SUMIFS(全伝票!I:I,全伝票!$B:$B,$B5),SUMIFS(全伝票!I:I,全伝票!$C:$C,$C5)),IF($C5="",SUMIFS(全伝票!I:I,全伝票!$A:$A,$A5,全伝票!$B:$B,$B5),SUMIFS(全伝票!I:I,全伝票!$A:$A,$A5,全伝票!$C:$C,$C5)))</f>
        <v>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0</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0</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1</v>
      </c>
      <c r="B6" s="669" t="s">
        <v>1117</v>
      </c>
      <c r="C6" s="668"/>
      <c r="D6" s="667" t="s">
        <v>1077</v>
      </c>
      <c r="E6" s="700">
        <f>+IF($A6="",IF($C6="",SUMIFS(全伝票!I:I,全伝票!$B:$B,$B6),SUMIFS(全伝票!I:I,全伝票!$C:$C,$C6)),IF($C6="",SUMIFS(全伝票!I:I,全伝票!$A:$A,$A6,全伝票!$B:$B,$B6),SUMIFS(全伝票!I:I,全伝票!$A:$A,$A6,全伝票!$C:$C,$C6)))</f>
        <v>4694400</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4694400</v>
      </c>
      <c r="N6" s="662">
        <f t="shared" si="1"/>
        <v>0</v>
      </c>
      <c r="O6" s="661">
        <f t="shared" si="2"/>
        <v>0</v>
      </c>
      <c r="P6" s="661">
        <f t="shared" si="3"/>
        <v>0</v>
      </c>
      <c r="Q6" s="661">
        <f t="shared" si="3"/>
        <v>0</v>
      </c>
      <c r="R6" s="665">
        <f t="shared" si="4"/>
        <v>0</v>
      </c>
      <c r="S6" s="664">
        <f t="shared" si="5"/>
        <v>0</v>
      </c>
      <c r="T6" s="663">
        <f t="shared" si="6"/>
        <v>4694400</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1</v>
      </c>
      <c r="B7" s="669" t="s">
        <v>1116</v>
      </c>
      <c r="C7" s="668"/>
      <c r="D7" s="667" t="s">
        <v>1075</v>
      </c>
      <c r="E7" s="700">
        <f>+IF($A7="",IF($C7="",SUMIFS(全伝票!I:I,全伝票!$B:$B,$B7),SUMIFS(全伝票!I:I,全伝票!$C:$C,$C7)),IF($C7="",SUMIFS(全伝票!I:I,全伝票!$A:$A,$A7,全伝票!$B:$B,$B7),SUMIFS(全伝票!I:I,全伝票!$A:$A,$A7,全伝票!$C:$C,$C7)))</f>
        <v>3171860</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168200</v>
      </c>
      <c r="K7" s="664">
        <f t="shared" si="0"/>
        <v>168200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3003660</v>
      </c>
      <c r="N7" s="662">
        <f t="shared" si="1"/>
        <v>0</v>
      </c>
      <c r="O7" s="661">
        <f t="shared" si="2"/>
        <v>0</v>
      </c>
      <c r="P7" s="661">
        <f t="shared" si="3"/>
        <v>0</v>
      </c>
      <c r="Q7" s="661">
        <f t="shared" si="3"/>
        <v>0</v>
      </c>
      <c r="R7" s="665">
        <f t="shared" si="4"/>
        <v>15291</v>
      </c>
      <c r="S7" s="664">
        <f t="shared" si="5"/>
        <v>15291</v>
      </c>
      <c r="T7" s="663">
        <f t="shared" si="6"/>
        <v>3156569</v>
      </c>
      <c r="U7" s="650">
        <f t="shared" si="7"/>
        <v>0</v>
      </c>
      <c r="V7" s="650">
        <f t="shared" si="8"/>
        <v>0</v>
      </c>
      <c r="W7" s="650">
        <f t="shared" si="9"/>
        <v>0</v>
      </c>
      <c r="X7" s="650">
        <f t="shared" si="9"/>
        <v>0</v>
      </c>
      <c r="Y7" s="650">
        <f t="shared" si="10"/>
        <v>9.0909090909917722E-2</v>
      </c>
      <c r="Z7" s="649">
        <f t="shared" si="11"/>
        <v>0</v>
      </c>
      <c r="AA7" s="649">
        <f t="shared" si="12"/>
        <v>0</v>
      </c>
      <c r="AB7" s="649">
        <f t="shared" si="13"/>
        <v>0</v>
      </c>
      <c r="AC7" s="649">
        <f t="shared" si="13"/>
        <v>0</v>
      </c>
      <c r="AD7" s="649">
        <f t="shared" si="14"/>
        <v>0</v>
      </c>
      <c r="AE7" s="648"/>
      <c r="AF7" s="648"/>
      <c r="AG7" s="648"/>
      <c r="AH7" s="648"/>
      <c r="AI7" s="648"/>
    </row>
    <row r="8" spans="1:35" x14ac:dyDescent="0.15">
      <c r="A8" s="670">
        <v>1</v>
      </c>
      <c r="B8" s="669" t="s">
        <v>1115</v>
      </c>
      <c r="C8" s="668"/>
      <c r="D8" s="667" t="s">
        <v>1073</v>
      </c>
      <c r="E8" s="700">
        <f>+IF($A8="",IF($C8="",SUMIFS(全伝票!I:I,全伝票!$B:$B,$B8),SUMIFS(全伝票!I:I,全伝票!$C:$C,$C8)),IF($C8="",SUMIFS(全伝票!I:I,全伝票!$A:$A,$A8,全伝票!$B:$B,$B8),SUMIFS(全伝票!I:I,全伝票!$A:$A,$A8,全伝票!$C:$C,$C8)))</f>
        <v>1654265</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1647233</v>
      </c>
      <c r="M8" s="700">
        <f>+IF($A8="",IF($C8="",SUMIFS(全伝票!P:P,全伝票!$B:$B,$B8),SUMIFS(全伝票!P:P,全伝票!$C:$C,$C8)),IF($C8="",SUMIFS(全伝票!P:P,全伝票!$A:$A,$A8,全伝票!$B:$B,$B8),SUMIFS(全伝票!P:P,全伝票!$A:$A,$A8,全伝票!$C:$C,$C8)))</f>
        <v>7032</v>
      </c>
      <c r="N8" s="662">
        <f t="shared" si="1"/>
        <v>0</v>
      </c>
      <c r="O8" s="661">
        <f t="shared" si="2"/>
        <v>0</v>
      </c>
      <c r="P8" s="661">
        <f t="shared" si="3"/>
        <v>0</v>
      </c>
      <c r="Q8" s="661">
        <f t="shared" si="3"/>
        <v>0</v>
      </c>
      <c r="R8" s="665">
        <f t="shared" si="4"/>
        <v>0</v>
      </c>
      <c r="S8" s="664">
        <f t="shared" si="5"/>
        <v>0</v>
      </c>
      <c r="T8" s="663">
        <f t="shared" si="6"/>
        <v>1654265</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1</v>
      </c>
      <c r="B9" s="669" t="s">
        <v>1114</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1</v>
      </c>
      <c r="B10" s="669" t="s">
        <v>1113</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1</v>
      </c>
      <c r="B11" s="669" t="s">
        <v>1112</v>
      </c>
      <c r="C11" s="668"/>
      <c r="D11" s="667" t="s">
        <v>1067</v>
      </c>
      <c r="E11" s="700">
        <f>+IF($A11="",IF($C11="",SUMIFS(全伝票!I:I,全伝票!$B:$B,$B11),SUMIFS(全伝票!I:I,全伝票!$C:$C,$C11)),IF($C11="",SUMIFS(全伝票!I:I,全伝票!$A:$A,$A11,全伝票!$B:$B,$B11),SUMIFS(全伝票!I:I,全伝票!$A:$A,$A11,全伝票!$C:$C,$C11)))</f>
        <v>534257</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534257</v>
      </c>
      <c r="N11" s="662">
        <f t="shared" si="1"/>
        <v>0</v>
      </c>
      <c r="O11" s="661">
        <f t="shared" si="2"/>
        <v>0</v>
      </c>
      <c r="P11" s="661">
        <f t="shared" si="3"/>
        <v>0</v>
      </c>
      <c r="Q11" s="661">
        <f t="shared" si="3"/>
        <v>0</v>
      </c>
      <c r="R11" s="665">
        <f t="shared" si="4"/>
        <v>0</v>
      </c>
      <c r="S11" s="664">
        <f t="shared" si="5"/>
        <v>0</v>
      </c>
      <c r="T11" s="663">
        <f t="shared" si="6"/>
        <v>534257</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1</v>
      </c>
      <c r="B12" s="669" t="s">
        <v>1110</v>
      </c>
      <c r="C12" s="668" t="s">
        <v>1111</v>
      </c>
      <c r="D12" s="667" t="s">
        <v>1065</v>
      </c>
      <c r="E12" s="700">
        <f>+IF($A12="",IF($C12="",SUMIFS(全伝票!I:I,全伝票!$B:$B,$B12),SUMIFS(全伝票!I:I,全伝票!$C:$C,$C12)),IF($C12="",SUMIFS(全伝票!I:I,全伝票!$A:$A,$A12,全伝票!$B:$B,$B12),SUMIFS(全伝票!I:I,全伝票!$A:$A,$A12,全伝票!$C:$C,$C12)))</f>
        <v>0</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0</v>
      </c>
      <c r="K12" s="664">
        <f t="shared" si="0"/>
        <v>0</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 t="shared" si="4"/>
        <v>0</v>
      </c>
      <c r="S12" s="664">
        <f t="shared" si="5"/>
        <v>0</v>
      </c>
      <c r="T12" s="663">
        <f t="shared" si="6"/>
        <v>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1</v>
      </c>
      <c r="B13" s="669" t="s">
        <v>1110</v>
      </c>
      <c r="C13" s="668" t="s">
        <v>1109</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1</v>
      </c>
      <c r="B14" s="669" t="s">
        <v>1108</v>
      </c>
      <c r="C14" s="668"/>
      <c r="D14" s="667" t="s">
        <v>1060</v>
      </c>
      <c r="E14" s="700">
        <f>+IF($A14="",IF($C14="",SUMIFS(全伝票!I:I,全伝票!$B:$B,$B14),SUMIFS(全伝票!I:I,全伝票!$C:$C,$C14)),IF($C14="",SUMIFS(全伝票!I:I,全伝票!$A:$A,$A14,全伝票!$B:$B,$B14),SUMIFS(全伝票!I:I,全伝票!$A:$A,$A14,全伝票!$C:$C,$C14)))</f>
        <v>274112</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274112</v>
      </c>
      <c r="K14" s="664">
        <f t="shared" si="0"/>
        <v>274112</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 t="shared" si="3"/>
        <v>0</v>
      </c>
      <c r="R14" s="665">
        <f t="shared" si="4"/>
        <v>24919</v>
      </c>
      <c r="S14" s="664">
        <f t="shared" si="5"/>
        <v>24919</v>
      </c>
      <c r="T14" s="663">
        <f t="shared" si="6"/>
        <v>249193</v>
      </c>
      <c r="U14" s="650">
        <f t="shared" si="7"/>
        <v>0</v>
      </c>
      <c r="V14" s="650">
        <f t="shared" si="8"/>
        <v>0</v>
      </c>
      <c r="W14" s="650">
        <f t="shared" si="9"/>
        <v>0</v>
      </c>
      <c r="X14" s="650">
        <f t="shared" si="9"/>
        <v>0</v>
      </c>
      <c r="Y14" s="650">
        <f t="shared" si="10"/>
        <v>-0.27272727272793418</v>
      </c>
      <c r="Z14" s="649">
        <f t="shared" si="11"/>
        <v>0</v>
      </c>
      <c r="AA14" s="649">
        <f t="shared" si="12"/>
        <v>0</v>
      </c>
      <c r="AB14" s="649">
        <f t="shared" si="13"/>
        <v>0</v>
      </c>
      <c r="AC14" s="649">
        <f t="shared" si="13"/>
        <v>0</v>
      </c>
      <c r="AD14" s="649">
        <f t="shared" si="14"/>
        <v>0</v>
      </c>
      <c r="AE14" s="648"/>
      <c r="AF14" s="648"/>
      <c r="AG14" s="648"/>
      <c r="AH14" s="648"/>
      <c r="AI14" s="648"/>
    </row>
    <row r="15" spans="1:35" x14ac:dyDescent="0.15">
      <c r="A15" s="670">
        <v>1</v>
      </c>
      <c r="B15" s="669" t="s">
        <v>1107</v>
      </c>
      <c r="C15" s="668"/>
      <c r="D15" s="667" t="s">
        <v>1058</v>
      </c>
      <c r="E15" s="700">
        <f>+IF($A15="",IF($C15="",SUMIFS(全伝票!I:I,全伝票!$B:$B,$B15),SUMIFS(全伝票!I:I,全伝票!$C:$C,$C15)),IF($C15="",SUMIFS(全伝票!I:I,全伝票!$A:$A,$A15,全伝票!$B:$B,$B15),SUMIFS(全伝票!I:I,全伝票!$A:$A,$A15,全伝票!$C:$C,$C15)))</f>
        <v>0</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0</v>
      </c>
      <c r="K15" s="664">
        <f t="shared" si="0"/>
        <v>0</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0</v>
      </c>
      <c r="S15" s="664">
        <f t="shared" si="5"/>
        <v>0</v>
      </c>
      <c r="T15" s="663">
        <f t="shared" si="6"/>
        <v>0</v>
      </c>
      <c r="U15" s="650">
        <f t="shared" si="7"/>
        <v>0</v>
      </c>
      <c r="V15" s="650">
        <f t="shared" si="8"/>
        <v>0</v>
      </c>
      <c r="W15" s="650">
        <f t="shared" si="9"/>
        <v>0</v>
      </c>
      <c r="X15" s="650">
        <f t="shared" si="9"/>
        <v>0</v>
      </c>
      <c r="Y15" s="650">
        <f t="shared" si="10"/>
        <v>0</v>
      </c>
      <c r="Z15" s="649">
        <f t="shared" si="11"/>
        <v>0</v>
      </c>
      <c r="AA15" s="649">
        <f t="shared" si="12"/>
        <v>0</v>
      </c>
      <c r="AB15" s="649">
        <f t="shared" si="13"/>
        <v>0</v>
      </c>
      <c r="AC15" s="649">
        <f t="shared" si="13"/>
        <v>0</v>
      </c>
      <c r="AD15" s="649">
        <f t="shared" si="14"/>
        <v>0</v>
      </c>
      <c r="AE15" s="648"/>
      <c r="AF15" s="648"/>
      <c r="AG15" s="648"/>
      <c r="AH15" s="648"/>
      <c r="AI15" s="648"/>
    </row>
    <row r="16" spans="1:35" x14ac:dyDescent="0.15">
      <c r="A16" s="670">
        <v>1</v>
      </c>
      <c r="B16" s="669" t="s">
        <v>1106</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1</v>
      </c>
      <c r="B17" s="669" t="s">
        <v>1105</v>
      </c>
      <c r="C17" s="668"/>
      <c r="D17" s="667" t="s">
        <v>1054</v>
      </c>
      <c r="E17" s="700">
        <f>+IF($A17="",IF($C17="",SUMIFS(全伝票!I:I,全伝票!$B:$B,$B17),SUMIFS(全伝票!I:I,全伝票!$C:$C,$C17)),IF($C17="",SUMIFS(全伝票!I:I,全伝票!$A:$A,$A17,全伝票!$B:$B,$B17),SUMIFS(全伝票!I:I,全伝票!$A:$A,$A17,全伝票!$C:$C,$C17)))</f>
        <v>75214</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75214</v>
      </c>
      <c r="K17" s="664">
        <f t="shared" si="0"/>
        <v>75214</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6838</v>
      </c>
      <c r="S17" s="664">
        <f t="shared" si="5"/>
        <v>6838</v>
      </c>
      <c r="T17" s="663">
        <f t="shared" si="6"/>
        <v>68376</v>
      </c>
      <c r="U17" s="650">
        <f t="shared" si="7"/>
        <v>0</v>
      </c>
      <c r="V17" s="650">
        <f t="shared" si="8"/>
        <v>0</v>
      </c>
      <c r="W17" s="650">
        <f t="shared" si="9"/>
        <v>0</v>
      </c>
      <c r="X17" s="650">
        <f t="shared" si="9"/>
        <v>0</v>
      </c>
      <c r="Y17" s="650">
        <f t="shared" si="10"/>
        <v>0.36363636363603291</v>
      </c>
      <c r="Z17" s="649">
        <f t="shared" si="11"/>
        <v>0</v>
      </c>
      <c r="AA17" s="649">
        <f t="shared" si="12"/>
        <v>0</v>
      </c>
      <c r="AB17" s="649">
        <f t="shared" si="13"/>
        <v>0</v>
      </c>
      <c r="AC17" s="649">
        <f t="shared" si="13"/>
        <v>0</v>
      </c>
      <c r="AD17" s="649">
        <f t="shared" si="14"/>
        <v>0</v>
      </c>
      <c r="AE17" s="648"/>
      <c r="AF17" s="648"/>
      <c r="AG17" s="648"/>
      <c r="AH17" s="648"/>
      <c r="AI17" s="648"/>
    </row>
    <row r="18" spans="1:35" x14ac:dyDescent="0.15">
      <c r="A18" s="670">
        <v>1</v>
      </c>
      <c r="B18" s="669" t="s">
        <v>1104</v>
      </c>
      <c r="C18" s="668"/>
      <c r="D18" s="667" t="s">
        <v>1052</v>
      </c>
      <c r="E18" s="700">
        <f>+IF($A18="",IF($C18="",SUMIFS(全伝票!I:I,全伝票!$B:$B,$B18),SUMIFS(全伝票!I:I,全伝票!$C:$C,$C18)),IF($C18="",SUMIFS(全伝票!I:I,全伝票!$A:$A,$A18,全伝票!$B:$B,$B18),SUMIFS(全伝票!I:I,全伝票!$A:$A,$A18,全伝票!$C:$C,$C18)))</f>
        <v>1016</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1016</v>
      </c>
      <c r="K18" s="664">
        <f t="shared" si="0"/>
        <v>1016</v>
      </c>
      <c r="L18" s="700">
        <f>+IF($A18="",IF($C18="",SUMIFS(全伝票!O:O,全伝票!$B:$B,$B18),SUMIFS(全伝票!O:O,全伝票!$C:$C,$C18)),IF($C18="",SUMIFS(全伝票!O:O,全伝票!$A:$A,$A18,全伝票!$B:$B,$B18),SUMIFS(全伝票!O:O,全伝票!$A:$A,$A18,全伝票!$C:$C,$C18)))</f>
        <v>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93</v>
      </c>
      <c r="S18" s="664">
        <f t="shared" si="5"/>
        <v>93</v>
      </c>
      <c r="T18" s="663">
        <f t="shared" si="6"/>
        <v>923</v>
      </c>
      <c r="U18" s="650">
        <f t="shared" si="7"/>
        <v>0</v>
      </c>
      <c r="V18" s="650">
        <f t="shared" si="8"/>
        <v>0</v>
      </c>
      <c r="W18" s="650">
        <f t="shared" si="9"/>
        <v>0</v>
      </c>
      <c r="X18" s="650">
        <f t="shared" si="9"/>
        <v>0</v>
      </c>
      <c r="Y18" s="650">
        <f t="shared" si="10"/>
        <v>0.63636363636364024</v>
      </c>
      <c r="Z18" s="649">
        <f t="shared" si="11"/>
        <v>0</v>
      </c>
      <c r="AA18" s="649">
        <f t="shared" si="12"/>
        <v>0</v>
      </c>
      <c r="AB18" s="649">
        <f t="shared" si="13"/>
        <v>0</v>
      </c>
      <c r="AC18" s="649">
        <f t="shared" si="13"/>
        <v>0</v>
      </c>
      <c r="AD18" s="649">
        <f t="shared" si="14"/>
        <v>0</v>
      </c>
      <c r="AE18" s="648"/>
      <c r="AF18" s="648"/>
      <c r="AG18" s="648"/>
      <c r="AH18" s="648"/>
      <c r="AI18" s="648">
        <v>1</v>
      </c>
    </row>
    <row r="19" spans="1:35" x14ac:dyDescent="0.15">
      <c r="A19" s="670">
        <v>1</v>
      </c>
      <c r="B19" s="669" t="s">
        <v>1103</v>
      </c>
      <c r="C19" s="668"/>
      <c r="D19" s="667" t="s">
        <v>1050</v>
      </c>
      <c r="E19" s="700">
        <f>+IF($A19="",IF($C19="",SUMIFS(全伝票!I:I,全伝票!$B:$B,$B19),SUMIFS(全伝票!I:I,全伝票!$C:$C,$C19)),IF($C19="",SUMIFS(全伝票!I:I,全伝票!$A:$A,$A19,全伝票!$B:$B,$B19),SUMIFS(全伝票!I:I,全伝票!$A:$A,$A19,全伝票!$C:$C,$C19)))</f>
        <v>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0</v>
      </c>
      <c r="K19" s="664">
        <f t="shared" si="0"/>
        <v>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1"/>
        <v>0</v>
      </c>
      <c r="O19" s="661">
        <f t="shared" si="2"/>
        <v>0</v>
      </c>
      <c r="P19" s="661">
        <f t="shared" si="3"/>
        <v>0</v>
      </c>
      <c r="Q19" s="661">
        <f t="shared" si="3"/>
        <v>0</v>
      </c>
      <c r="R19" s="665">
        <f t="shared" si="4"/>
        <v>0</v>
      </c>
      <c r="S19" s="664">
        <f t="shared" si="5"/>
        <v>0</v>
      </c>
      <c r="T19" s="663">
        <f t="shared" si="6"/>
        <v>0</v>
      </c>
      <c r="U19" s="650">
        <f t="shared" si="7"/>
        <v>0</v>
      </c>
      <c r="V19" s="650">
        <f t="shared" si="8"/>
        <v>0</v>
      </c>
      <c r="W19" s="650">
        <f t="shared" si="9"/>
        <v>0</v>
      </c>
      <c r="X19" s="650">
        <f t="shared" si="9"/>
        <v>0</v>
      </c>
      <c r="Y19" s="650">
        <f t="shared" si="10"/>
        <v>0</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1</v>
      </c>
      <c r="B20" s="669" t="s">
        <v>1102</v>
      </c>
      <c r="C20" s="668"/>
      <c r="D20" s="667" t="s">
        <v>1048</v>
      </c>
      <c r="E20" s="700">
        <f>+IF($A20="",IF($C20="",SUMIFS(全伝票!I:I,全伝票!$B:$B,$B20),SUMIFS(全伝票!I:I,全伝票!$C:$C,$C20)),IF($C20="",SUMIFS(全伝票!I:I,全伝票!$A:$A,$A20,全伝票!$B:$B,$B20),SUMIFS(全伝票!I:I,全伝票!$A:$A,$A20,全伝票!$C:$C,$C20)))</f>
        <v>5356549</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5356549</v>
      </c>
      <c r="K20" s="664">
        <f t="shared" si="0"/>
        <v>5356549</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+ROUND(J20*J$4/(100+J$4),0)+AI20</f>
        <v>486959</v>
      </c>
      <c r="S20" s="664">
        <f t="shared" si="5"/>
        <v>486959</v>
      </c>
      <c r="T20" s="663">
        <f t="shared" si="6"/>
        <v>4869590</v>
      </c>
      <c r="U20" s="650">
        <f t="shared" si="7"/>
        <v>0</v>
      </c>
      <c r="V20" s="650">
        <f t="shared" si="8"/>
        <v>0</v>
      </c>
      <c r="W20" s="650">
        <f t="shared" si="9"/>
        <v>0</v>
      </c>
      <c r="X20" s="650">
        <f t="shared" si="9"/>
        <v>0</v>
      </c>
      <c r="Y20" s="650">
        <f t="shared" si="10"/>
        <v>0</v>
      </c>
      <c r="Z20" s="649">
        <f t="shared" si="11"/>
        <v>0</v>
      </c>
      <c r="AA20" s="649">
        <f t="shared" si="12"/>
        <v>0</v>
      </c>
      <c r="AB20" s="649">
        <f t="shared" si="13"/>
        <v>0</v>
      </c>
      <c r="AC20" s="649">
        <f t="shared" si="13"/>
        <v>0</v>
      </c>
      <c r="AD20" s="649">
        <f t="shared" si="14"/>
        <v>0</v>
      </c>
      <c r="AE20" s="648"/>
      <c r="AF20" s="648"/>
      <c r="AG20" s="648"/>
      <c r="AH20" s="648"/>
      <c r="AI20" s="648"/>
    </row>
    <row r="21" spans="1:35" x14ac:dyDescent="0.15">
      <c r="A21" s="670">
        <v>1</v>
      </c>
      <c r="B21" s="669" t="s">
        <v>1101</v>
      </c>
      <c r="C21" s="668"/>
      <c r="D21" s="667" t="s">
        <v>1046</v>
      </c>
      <c r="E21" s="700">
        <f>+IF($A21="",IF($C21="",SUMIFS(全伝票!I:I,全伝票!$B:$B,$B21),SUMIFS(全伝票!I:I,全伝票!$C:$C,$C21)),IF($C21="",SUMIFS(全伝票!I:I,全伝票!$A:$A,$A21,全伝票!$B:$B,$B21),SUMIFS(全伝票!I:I,全伝票!$A:$A,$A21,全伝票!$C:$C,$C21)))</f>
        <v>0</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0</v>
      </c>
      <c r="K21" s="664">
        <f t="shared" si="0"/>
        <v>0</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0</v>
      </c>
      <c r="S21" s="664">
        <f t="shared" si="5"/>
        <v>0</v>
      </c>
      <c r="T21" s="663">
        <f t="shared" si="6"/>
        <v>0</v>
      </c>
      <c r="U21" s="650">
        <f t="shared" si="7"/>
        <v>0</v>
      </c>
      <c r="V21" s="650">
        <f t="shared" si="8"/>
        <v>0</v>
      </c>
      <c r="W21" s="650">
        <f t="shared" si="9"/>
        <v>0</v>
      </c>
      <c r="X21" s="650">
        <f t="shared" si="9"/>
        <v>0</v>
      </c>
      <c r="Y21" s="650">
        <f t="shared" si="10"/>
        <v>0</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1</v>
      </c>
      <c r="B22" s="669" t="s">
        <v>1100</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1</v>
      </c>
      <c r="B23" s="669" t="s">
        <v>1099</v>
      </c>
      <c r="C23" s="668"/>
      <c r="D23" s="667" t="s">
        <v>1042</v>
      </c>
      <c r="E23" s="700">
        <f>+IF($A23="",IF($C23="",SUMIFS(全伝票!I:I,全伝票!$B:$B,$B23),SUMIFS(全伝票!I:I,全伝票!$C:$C,$C23)),IF($C23="",SUMIFS(全伝票!I:I,全伝票!$A:$A,$A23,全伝票!$B:$B,$B23),SUMIFS(全伝票!I:I,全伝票!$A:$A,$A23,全伝票!$C:$C,$C23)))</f>
        <v>98684</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98684</v>
      </c>
      <c r="K23" s="664">
        <f t="shared" si="0"/>
        <v>98684</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8971</v>
      </c>
      <c r="S23" s="664">
        <f t="shared" si="5"/>
        <v>8971</v>
      </c>
      <c r="T23" s="663">
        <f t="shared" si="6"/>
        <v>89713</v>
      </c>
      <c r="U23" s="650">
        <f t="shared" si="7"/>
        <v>0</v>
      </c>
      <c r="V23" s="650">
        <f t="shared" si="8"/>
        <v>0</v>
      </c>
      <c r="W23" s="650">
        <f t="shared" si="9"/>
        <v>0</v>
      </c>
      <c r="X23" s="650">
        <f t="shared" si="9"/>
        <v>0</v>
      </c>
      <c r="Y23" s="650">
        <f t="shared" si="10"/>
        <v>-0.27272727272793418</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1</v>
      </c>
      <c r="B24" s="669" t="s">
        <v>1098</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1</v>
      </c>
      <c r="B25" s="669" t="s">
        <v>1097</v>
      </c>
      <c r="C25" s="668"/>
      <c r="D25" s="667" t="s">
        <v>1038</v>
      </c>
      <c r="E25" s="700">
        <f>+IF($A25="",IF($C25="",SUMIFS(全伝票!I:I,全伝票!$B:$B,$B25),SUMIFS(全伝票!I:I,全伝票!$C:$C,$C25)),IF($C25="",SUMIFS(全伝票!I:I,全伝票!$A:$A,$A25,全伝票!$B:$B,$B25),SUMIFS(全伝票!I:I,全伝票!$A:$A,$A25,全伝票!$C:$C,$C25)))</f>
        <v>0</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0</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0</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1</v>
      </c>
      <c r="B26" s="669" t="s">
        <v>1096</v>
      </c>
      <c r="C26" s="668"/>
      <c r="D26" s="667" t="s">
        <v>1036</v>
      </c>
      <c r="E26" s="700">
        <f>+IF($A26="",IF($C26="",SUMIFS(全伝票!I:I,全伝票!$B:$B,$B26),SUMIFS(全伝票!I:I,全伝票!$C:$C,$C26)),IF($C26="",SUMIFS(全伝票!I:I,全伝票!$A:$A,$A26,全伝票!$B:$B,$B26),SUMIFS(全伝票!I:I,全伝票!$A:$A,$A26,全伝票!$C:$C,$C26)))</f>
        <v>0</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0</v>
      </c>
      <c r="N26" s="662">
        <f t="shared" si="1"/>
        <v>0</v>
      </c>
      <c r="O26" s="661">
        <f t="shared" si="2"/>
        <v>0</v>
      </c>
      <c r="P26" s="661">
        <f t="shared" si="3"/>
        <v>0</v>
      </c>
      <c r="Q26" s="661">
        <f t="shared" si="3"/>
        <v>0</v>
      </c>
      <c r="R26" s="665">
        <f t="shared" si="4"/>
        <v>0</v>
      </c>
      <c r="S26" s="664">
        <f t="shared" si="5"/>
        <v>0</v>
      </c>
      <c r="T26" s="663">
        <f t="shared" si="6"/>
        <v>0</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1</v>
      </c>
      <c r="B27" s="669" t="s">
        <v>1110</v>
      </c>
      <c r="C27" s="668">
        <v>615381003</v>
      </c>
      <c r="D27" s="667" t="s">
        <v>1349</v>
      </c>
      <c r="E27" s="700">
        <f>+IF($A27="",IF($C27="",SUMIFS(全伝票!I:I,全伝票!$B:$B,$B27),SUMIFS(全伝票!I:I,全伝票!$C:$C,$C27)),IF($C27="",SUMIFS(全伝票!I:I,全伝票!$A:$A,$A27,全伝票!$B:$B,$B27),SUMIFS(全伝票!I:I,全伝票!$A:$A,$A27,全伝票!$C:$C,$C27)))</f>
        <v>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0</v>
      </c>
      <c r="K27" s="664">
        <f t="shared" si="0"/>
        <v>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0</v>
      </c>
      <c r="S27" s="664">
        <f t="shared" si="5"/>
        <v>0</v>
      </c>
      <c r="T27" s="663">
        <f t="shared" si="6"/>
        <v>0</v>
      </c>
      <c r="U27" s="650">
        <f t="shared" si="7"/>
        <v>0</v>
      </c>
      <c r="V27" s="650">
        <f t="shared" si="8"/>
        <v>0</v>
      </c>
      <c r="W27" s="650">
        <f t="shared" si="9"/>
        <v>0</v>
      </c>
      <c r="X27" s="650">
        <f t="shared" si="9"/>
        <v>0</v>
      </c>
      <c r="Y27" s="650">
        <f t="shared" si="10"/>
        <v>0</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1</v>
      </c>
      <c r="B28" s="669" t="s">
        <v>1095</v>
      </c>
      <c r="C28" s="668"/>
      <c r="D28" s="667" t="s">
        <v>1034</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1"/>
        <v>0</v>
      </c>
      <c r="O28" s="661">
        <f t="shared" si="2"/>
        <v>0</v>
      </c>
      <c r="P28" s="661">
        <f t="shared" si="3"/>
        <v>0</v>
      </c>
      <c r="Q28" s="661">
        <f t="shared" si="3"/>
        <v>0</v>
      </c>
      <c r="R28" s="665">
        <f t="shared" si="4"/>
        <v>0</v>
      </c>
      <c r="S28" s="664">
        <f t="shared" si="5"/>
        <v>0</v>
      </c>
      <c r="T28" s="663">
        <f t="shared" si="6"/>
        <v>0</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1</v>
      </c>
      <c r="B29" s="669" t="s">
        <v>1094</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1</v>
      </c>
      <c r="B30" s="669" t="s">
        <v>1093</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0</v>
      </c>
      <c r="S30" s="664">
        <f t="shared" si="5"/>
        <v>0</v>
      </c>
      <c r="T30" s="663">
        <f t="shared" si="6"/>
        <v>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1</v>
      </c>
      <c r="B31" s="669" t="s">
        <v>1092</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1091</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1</v>
      </c>
      <c r="B33" s="669" t="s">
        <v>1090</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1</v>
      </c>
      <c r="B34" s="669" t="s">
        <v>1089</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1</v>
      </c>
      <c r="B35" s="669" t="s">
        <v>1083</v>
      </c>
      <c r="C35" s="668" t="s">
        <v>1088</v>
      </c>
      <c r="D35" s="667" t="s">
        <v>1020</v>
      </c>
      <c r="E35" s="700">
        <f>+IF($A35="",IF($C35="",SUMIFS(全伝票!I:I,全伝票!$B:$B,$B35),SUMIFS(全伝票!I:I,全伝票!$C:$C,$C35)),IF($C35="",SUMIFS(全伝票!I:I,全伝票!$A:$A,$A35,全伝票!$B:$B,$B35),SUMIFS(全伝票!I:I,全伝票!$A:$A,$A35,全伝票!$C:$C,$C35)))</f>
        <v>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0</v>
      </c>
      <c r="K35" s="664">
        <f t="shared" si="0"/>
        <v>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 t="shared" si="3"/>
        <v>0</v>
      </c>
      <c r="Q35" s="661">
        <f t="shared" si="3"/>
        <v>0</v>
      </c>
      <c r="R35" s="665">
        <f t="shared" si="4"/>
        <v>0</v>
      </c>
      <c r="S35" s="664">
        <f t="shared" si="5"/>
        <v>0</v>
      </c>
      <c r="T35" s="663">
        <f t="shared" si="6"/>
        <v>0</v>
      </c>
      <c r="U35" s="650">
        <f t="shared" si="7"/>
        <v>0</v>
      </c>
      <c r="V35" s="650">
        <f t="shared" si="8"/>
        <v>0</v>
      </c>
      <c r="W35" s="650">
        <f t="shared" si="9"/>
        <v>0</v>
      </c>
      <c r="X35" s="650">
        <f t="shared" si="9"/>
        <v>0</v>
      </c>
      <c r="Y35" s="650">
        <f t="shared" si="10"/>
        <v>0</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1</v>
      </c>
      <c r="B36" s="669" t="s">
        <v>1083</v>
      </c>
      <c r="C36" s="668" t="s">
        <v>1087</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1"/>
        <v>0</v>
      </c>
      <c r="O36" s="661">
        <f t="shared" si="2"/>
        <v>0</v>
      </c>
      <c r="P36" s="661">
        <f t="shared" si="3"/>
        <v>0</v>
      </c>
      <c r="Q36" s="661">
        <f t="shared" si="3"/>
        <v>0</v>
      </c>
      <c r="R36" s="665">
        <f t="shared" si="4"/>
        <v>0</v>
      </c>
      <c r="S36" s="664">
        <f t="shared" si="5"/>
        <v>0</v>
      </c>
      <c r="T36" s="663">
        <f t="shared" si="6"/>
        <v>0</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1</v>
      </c>
      <c r="B37" s="669" t="s">
        <v>1083</v>
      </c>
      <c r="C37" s="668" t="s">
        <v>1086</v>
      </c>
      <c r="D37" s="667" t="s">
        <v>1016</v>
      </c>
      <c r="E37" s="700">
        <f>+IF($A37="",IF($C37="",SUMIFS(全伝票!I:I,全伝票!$B:$B,$B37),SUMIFS(全伝票!I:I,全伝票!$C:$C,$C37)),IF($C37="",SUMIFS(全伝票!I:I,全伝票!$A:$A,$A37,全伝票!$B:$B,$B37),SUMIFS(全伝票!I:I,全伝票!$A:$A,$A37,全伝票!$C:$C,$C37)))</f>
        <v>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0</v>
      </c>
      <c r="K37" s="664">
        <f t="shared" si="0"/>
        <v>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0</v>
      </c>
      <c r="S37" s="664">
        <f t="shared" si="5"/>
        <v>0</v>
      </c>
      <c r="T37" s="663">
        <f t="shared" si="6"/>
        <v>0</v>
      </c>
      <c r="U37" s="650">
        <f t="shared" si="7"/>
        <v>0</v>
      </c>
      <c r="V37" s="650">
        <f t="shared" si="8"/>
        <v>0</v>
      </c>
      <c r="W37" s="650">
        <f t="shared" si="9"/>
        <v>0</v>
      </c>
      <c r="X37" s="650">
        <f t="shared" si="9"/>
        <v>0</v>
      </c>
      <c r="Y37" s="650">
        <f t="shared" si="10"/>
        <v>0</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1</v>
      </c>
      <c r="B38" s="669" t="s">
        <v>1083</v>
      </c>
      <c r="C38" s="668" t="s">
        <v>1085</v>
      </c>
      <c r="D38" s="667" t="s">
        <v>1014</v>
      </c>
      <c r="E38" s="700">
        <f>+IF($A38="",IF($C38="",SUMIFS(全伝票!I:I,全伝票!$B:$B,$B38),SUMIFS(全伝票!I:I,全伝票!$C:$C,$C38)),IF($C38="",SUMIFS(全伝票!I:I,全伝票!$A:$A,$A38,全伝票!$B:$B,$B38),SUMIFS(全伝票!I:I,全伝票!$A:$A,$A38,全伝票!$C:$C,$C38)))</f>
        <v>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0</v>
      </c>
      <c r="K38" s="664">
        <f t="shared" si="0"/>
        <v>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0</v>
      </c>
      <c r="S38" s="664">
        <f t="shared" si="5"/>
        <v>0</v>
      </c>
      <c r="T38" s="663">
        <f t="shared" si="6"/>
        <v>0</v>
      </c>
      <c r="U38" s="650">
        <f t="shared" si="7"/>
        <v>0</v>
      </c>
      <c r="V38" s="650">
        <f t="shared" si="8"/>
        <v>0</v>
      </c>
      <c r="W38" s="650">
        <f t="shared" si="9"/>
        <v>0</v>
      </c>
      <c r="X38" s="650">
        <f t="shared" si="9"/>
        <v>0</v>
      </c>
      <c r="Y38" s="650">
        <f t="shared" si="10"/>
        <v>0</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1</v>
      </c>
      <c r="B39" s="669" t="s">
        <v>1083</v>
      </c>
      <c r="C39" s="668" t="s">
        <v>1084</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1"/>
        <v>0</v>
      </c>
      <c r="O39" s="661">
        <f t="shared" si="2"/>
        <v>0</v>
      </c>
      <c r="P39" s="661">
        <f t="shared" si="3"/>
        <v>0</v>
      </c>
      <c r="Q39" s="661">
        <f t="shared" si="3"/>
        <v>0</v>
      </c>
      <c r="R39" s="665">
        <f t="shared" si="4"/>
        <v>0</v>
      </c>
      <c r="S39" s="664">
        <f t="shared" si="5"/>
        <v>0</v>
      </c>
      <c r="T39" s="663">
        <f t="shared" si="6"/>
        <v>0</v>
      </c>
      <c r="U39" s="650">
        <f t="shared" si="7"/>
        <v>0</v>
      </c>
      <c r="V39" s="650">
        <f t="shared" si="8"/>
        <v>0</v>
      </c>
      <c r="W39" s="650">
        <f t="shared" si="9"/>
        <v>0</v>
      </c>
      <c r="X39" s="650">
        <f t="shared" si="9"/>
        <v>0</v>
      </c>
      <c r="Y39" s="650">
        <f t="shared" si="10"/>
        <v>0</v>
      </c>
      <c r="Z39" s="649">
        <f t="shared" si="11"/>
        <v>0</v>
      </c>
      <c r="AA39" s="649">
        <f t="shared" si="12"/>
        <v>0</v>
      </c>
      <c r="AB39" s="649">
        <f t="shared" si="13"/>
        <v>0</v>
      </c>
      <c r="AC39" s="649">
        <f t="shared" si="13"/>
        <v>0</v>
      </c>
      <c r="AD39" s="649">
        <f t="shared" si="14"/>
        <v>0</v>
      </c>
      <c r="AE39" s="648"/>
      <c r="AF39" s="648"/>
      <c r="AG39" s="648"/>
      <c r="AH39" s="648"/>
      <c r="AI39" s="648"/>
    </row>
    <row r="40" spans="1:35" ht="14.25" thickBot="1" x14ac:dyDescent="0.2">
      <c r="A40" s="660">
        <v>1</v>
      </c>
      <c r="B40" s="659" t="s">
        <v>1083</v>
      </c>
      <c r="C40" s="658" t="s">
        <v>1082</v>
      </c>
      <c r="D40" s="657" t="s">
        <v>1009</v>
      </c>
      <c r="E40" s="696">
        <f>+IF($A40="",IF($C40="",SUMIFS(全伝票!I:I,全伝票!$B:$B,$B40),SUMIFS(全伝票!I:I,全伝票!$C:$C,$C40)),IF($C40="",SUMIFS(全伝票!I:I,全伝票!$A:$A,$A40,全伝票!$B:$B,$B40),SUMIFS(全伝票!I:I,全伝票!$A:$A,$A40,全伝票!$C:$C,$C40)))</f>
        <v>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15860357</v>
      </c>
      <c r="F41" s="643">
        <f t="shared" si="15"/>
        <v>0</v>
      </c>
      <c r="G41" s="642">
        <f t="shared" si="15"/>
        <v>0</v>
      </c>
      <c r="H41" s="642">
        <f t="shared" si="15"/>
        <v>0</v>
      </c>
      <c r="I41" s="642">
        <f t="shared" ref="I41" si="16">SUM(I5:I40)</f>
        <v>0</v>
      </c>
      <c r="J41" s="641">
        <f t="shared" si="15"/>
        <v>5973775</v>
      </c>
      <c r="K41" s="634">
        <f t="shared" si="15"/>
        <v>5973775</v>
      </c>
      <c r="L41" s="639">
        <f t="shared" si="15"/>
        <v>1647233</v>
      </c>
      <c r="M41" s="639">
        <f t="shared" si="15"/>
        <v>8239349</v>
      </c>
      <c r="N41" s="636">
        <f t="shared" si="15"/>
        <v>0</v>
      </c>
      <c r="O41" s="635">
        <f t="shared" si="15"/>
        <v>0</v>
      </c>
      <c r="P41" s="635">
        <f t="shared" si="15"/>
        <v>0</v>
      </c>
      <c r="Q41" s="635">
        <f t="shared" ref="Q41" si="17">SUM(Q5:Q40)</f>
        <v>0</v>
      </c>
      <c r="R41" s="638">
        <f t="shared" si="15"/>
        <v>543071</v>
      </c>
      <c r="S41" s="634">
        <f t="shared" si="15"/>
        <v>543071</v>
      </c>
      <c r="T41" s="637">
        <f t="shared" si="15"/>
        <v>15317286</v>
      </c>
    </row>
    <row r="42" spans="1:35" x14ac:dyDescent="0.15">
      <c r="A42" s="633"/>
      <c r="B42" s="632"/>
      <c r="C42" s="631"/>
      <c r="D42" s="630" t="s">
        <v>978</v>
      </c>
      <c r="E42" s="624">
        <f t="shared" ref="E42:J42" si="18">+E41</f>
        <v>15860357</v>
      </c>
      <c r="F42" s="629">
        <f t="shared" si="18"/>
        <v>0</v>
      </c>
      <c r="G42" s="628">
        <f t="shared" si="18"/>
        <v>0</v>
      </c>
      <c r="H42" s="628">
        <f t="shared" si="18"/>
        <v>0</v>
      </c>
      <c r="I42" s="628">
        <f t="shared" si="18"/>
        <v>0</v>
      </c>
      <c r="J42" s="627">
        <f t="shared" si="18"/>
        <v>5973775</v>
      </c>
      <c r="K42" s="623">
        <f>SUM(F42:J42)</f>
        <v>5973775</v>
      </c>
      <c r="L42" s="624">
        <f>+L41</f>
        <v>1647233</v>
      </c>
      <c r="M42" s="624">
        <f>+M41</f>
        <v>8239349</v>
      </c>
      <c r="N42" s="740">
        <f>+'4条支出'!N7</f>
        <v>0</v>
      </c>
      <c r="O42" s="741">
        <f>+'4条支出'!O7</f>
        <v>0</v>
      </c>
      <c r="P42" s="741">
        <f>+'4条支出'!P7</f>
        <v>0</v>
      </c>
      <c r="Q42" s="741">
        <f>+'4条支出'!Q7</f>
        <v>0</v>
      </c>
      <c r="R42" s="742">
        <f>+'4条支出'!R7</f>
        <v>543071</v>
      </c>
      <c r="S42" s="743">
        <f>+'4条支出'!S7</f>
        <v>543071</v>
      </c>
      <c r="T42" s="744">
        <f>+'4条支出'!T7</f>
        <v>15317286</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753"/>
      <c r="I45" s="753"/>
      <c r="J45" s="753"/>
    </row>
    <row r="46" spans="1:35" x14ac:dyDescent="0.15">
      <c r="G46" s="752"/>
      <c r="H46" s="753"/>
      <c r="I46" s="753"/>
      <c r="J46" s="753"/>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268" priority="4">
      <formula>ABS(Z5)=1</formula>
    </cfRule>
  </conditionalFormatting>
  <conditionalFormatting sqref="AD5:AD40">
    <cfRule type="expression" dxfId="267" priority="3">
      <formula>ABS(AD5)=1</formula>
    </cfRule>
  </conditionalFormatting>
  <conditionalFormatting sqref="Z6:AC40">
    <cfRule type="expression" dxfId="266" priority="6">
      <formula>ABS(Z6)=1</formula>
    </cfRule>
  </conditionalFormatting>
  <conditionalFormatting sqref="AE6:AE14 AE16:AE40">
    <cfRule type="notContainsBlanks" dxfId="265" priority="9" stopIfTrue="1">
      <formula>LEN(TRIM(AE6))&gt;0</formula>
    </cfRule>
  </conditionalFormatting>
  <conditionalFormatting sqref="AE6:AI40">
    <cfRule type="notContainsBlanks" dxfId="264" priority="8" stopIfTrue="1">
      <formula>LEN(TRIM(AE6))&gt;0</formula>
    </cfRule>
  </conditionalFormatting>
  <conditionalFormatting sqref="AE5:AI5">
    <cfRule type="notContainsBlanks" dxfId="263" priority="7" stopIfTrue="1">
      <formula>LEN(TRIM(AE5))&gt;0</formula>
    </cfRule>
  </conditionalFormatting>
  <conditionalFormatting sqref="AA6:AC40">
    <cfRule type="expression" dxfId="262" priority="5">
      <formula>ABS(AA6)=1</formula>
    </cfRule>
  </conditionalFormatting>
  <conditionalFormatting sqref="E43:H43 J43:T43">
    <cfRule type="cellIs" dxfId="261" priority="2" operator="notEqual">
      <formula>0</formula>
    </cfRule>
  </conditionalFormatting>
  <conditionalFormatting sqref="I43">
    <cfRule type="cellIs" dxfId="260"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6"/>
  <sheetViews>
    <sheetView topLeftCell="B1" zoomScale="80" zoomScaleNormal="80" zoomScaleSheetLayoutView="40" workbookViewId="0">
      <pane xSplit="3"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3" width="5.375" style="620" hidden="1" customWidth="1"/>
    <col min="24" max="24" width="5.375" style="620" customWidth="1"/>
    <col min="25" max="25" width="5.375" style="620" hidden="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1157</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v>1</v>
      </c>
      <c r="B5" s="684" t="s">
        <v>1156</v>
      </c>
      <c r="C5" s="683"/>
      <c r="D5" s="682" t="s">
        <v>1079</v>
      </c>
      <c r="E5" s="705">
        <f>+IF($A5="",IF($C5="",SUMIFS(全伝票!I:I,全伝票!$B:$B,$B5),SUMIFS(全伝票!I:I,全伝票!$C:$C,$C5)),IF($C5="",SUMIFS(全伝票!I:I,全伝票!$A:$A,$A5,全伝票!$B:$B,$B5),SUMIFS(全伝票!I:I,全伝票!$A:$A,$A5,全伝票!$C:$C,$C5)))</f>
        <v>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0</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0</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1</v>
      </c>
      <c r="B6" s="669" t="s">
        <v>1155</v>
      </c>
      <c r="C6" s="668"/>
      <c r="D6" s="667" t="s">
        <v>1077</v>
      </c>
      <c r="E6" s="700">
        <f>+IF($A6="",IF($C6="",SUMIFS(全伝票!I:I,全伝票!$B:$B,$B6),SUMIFS(全伝票!I:I,全伝票!$C:$C,$C6)),IF($C6="",SUMIFS(全伝票!I:I,全伝票!$A:$A,$A6,全伝票!$B:$B,$B6),SUMIFS(全伝票!I:I,全伝票!$A:$A,$A6,全伝票!$C:$C,$C6)))</f>
        <v>67726400</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67726400</v>
      </c>
      <c r="N6" s="662">
        <f t="shared" si="1"/>
        <v>0</v>
      </c>
      <c r="O6" s="661">
        <f t="shared" si="2"/>
        <v>0</v>
      </c>
      <c r="P6" s="661">
        <f t="shared" si="3"/>
        <v>0</v>
      </c>
      <c r="Q6" s="661">
        <f t="shared" si="3"/>
        <v>0</v>
      </c>
      <c r="R6" s="665">
        <f t="shared" si="4"/>
        <v>0</v>
      </c>
      <c r="S6" s="664">
        <f t="shared" si="5"/>
        <v>0</v>
      </c>
      <c r="T6" s="663">
        <f t="shared" si="6"/>
        <v>67726400</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1</v>
      </c>
      <c r="B7" s="669" t="s">
        <v>1154</v>
      </c>
      <c r="C7" s="668"/>
      <c r="D7" s="667" t="s">
        <v>1075</v>
      </c>
      <c r="E7" s="700">
        <f>+IF($A7="",IF($C7="",SUMIFS(全伝票!I:I,全伝票!$B:$B,$B7),SUMIFS(全伝票!I:I,全伝票!$C:$C,$C7)),IF($C7="",SUMIFS(全伝票!I:I,全伝票!$A:$A,$A7,全伝票!$B:$B,$B7),SUMIFS(全伝票!I:I,全伝票!$A:$A,$A7,全伝票!$C:$C,$C7)))</f>
        <v>56283763</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2482140</v>
      </c>
      <c r="K7" s="664">
        <f t="shared" si="0"/>
        <v>2482140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53801623</v>
      </c>
      <c r="N7" s="662">
        <f t="shared" si="1"/>
        <v>0</v>
      </c>
      <c r="O7" s="661">
        <f t="shared" si="2"/>
        <v>0</v>
      </c>
      <c r="P7" s="661">
        <f t="shared" si="3"/>
        <v>0</v>
      </c>
      <c r="Q7" s="661">
        <f t="shared" si="3"/>
        <v>0</v>
      </c>
      <c r="R7" s="665">
        <f t="shared" si="4"/>
        <v>225649</v>
      </c>
      <c r="S7" s="664">
        <f t="shared" si="5"/>
        <v>225649</v>
      </c>
      <c r="T7" s="663">
        <f t="shared" si="6"/>
        <v>56058114</v>
      </c>
      <c r="U7" s="650">
        <f t="shared" si="7"/>
        <v>0</v>
      </c>
      <c r="V7" s="650">
        <f t="shared" si="8"/>
        <v>0</v>
      </c>
      <c r="W7" s="650">
        <f t="shared" si="9"/>
        <v>0</v>
      </c>
      <c r="X7" s="650">
        <f t="shared" si="9"/>
        <v>0</v>
      </c>
      <c r="Y7" s="650">
        <f t="shared" si="10"/>
        <v>-9.0909090911736712E-2</v>
      </c>
      <c r="Z7" s="649">
        <f t="shared" si="11"/>
        <v>0</v>
      </c>
      <c r="AA7" s="649">
        <f t="shared" si="12"/>
        <v>0</v>
      </c>
      <c r="AB7" s="649">
        <f t="shared" si="13"/>
        <v>0</v>
      </c>
      <c r="AC7" s="649">
        <f t="shared" si="13"/>
        <v>0</v>
      </c>
      <c r="AD7" s="649">
        <f t="shared" si="14"/>
        <v>0</v>
      </c>
      <c r="AE7" s="648"/>
      <c r="AF7" s="648"/>
      <c r="AG7" s="648"/>
      <c r="AH7" s="648"/>
      <c r="AI7" s="648"/>
    </row>
    <row r="8" spans="1:35" x14ac:dyDescent="0.15">
      <c r="A8" s="670">
        <v>1</v>
      </c>
      <c r="B8" s="669" t="s">
        <v>1153</v>
      </c>
      <c r="C8" s="668"/>
      <c r="D8" s="667" t="s">
        <v>1073</v>
      </c>
      <c r="E8" s="700">
        <f>+IF($A8="",IF($C8="",SUMIFS(全伝票!I:I,全伝票!$B:$B,$B8),SUMIFS(全伝票!I:I,全伝票!$C:$C,$C8)),IF($C8="",SUMIFS(全伝票!I:I,全伝票!$A:$A,$A8,全伝票!$B:$B,$B8),SUMIFS(全伝票!I:I,全伝票!$A:$A,$A8,全伝票!$C:$C,$C8)))</f>
        <v>24613509</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24511921</v>
      </c>
      <c r="M8" s="700">
        <f>+IF($A8="",IF($C8="",SUMIFS(全伝票!P:P,全伝票!$B:$B,$B8),SUMIFS(全伝票!P:P,全伝票!$C:$C,$C8)),IF($C8="",SUMIFS(全伝票!P:P,全伝票!$A:$A,$A8,全伝票!$B:$B,$B8),SUMIFS(全伝票!P:P,全伝票!$A:$A,$A8,全伝票!$C:$C,$C8)))</f>
        <v>101588</v>
      </c>
      <c r="N8" s="662">
        <f t="shared" si="1"/>
        <v>0</v>
      </c>
      <c r="O8" s="661">
        <f t="shared" si="2"/>
        <v>0</v>
      </c>
      <c r="P8" s="661">
        <f t="shared" si="3"/>
        <v>0</v>
      </c>
      <c r="Q8" s="661">
        <f t="shared" si="3"/>
        <v>0</v>
      </c>
      <c r="R8" s="665">
        <f t="shared" si="4"/>
        <v>0</v>
      </c>
      <c r="S8" s="664">
        <f t="shared" si="5"/>
        <v>0</v>
      </c>
      <c r="T8" s="663">
        <f t="shared" si="6"/>
        <v>24613509</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1</v>
      </c>
      <c r="B9" s="669" t="s">
        <v>1152</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1</v>
      </c>
      <c r="B10" s="669" t="s">
        <v>1151</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1</v>
      </c>
      <c r="B11" s="669" t="s">
        <v>1150</v>
      </c>
      <c r="C11" s="668"/>
      <c r="D11" s="667" t="s">
        <v>1067</v>
      </c>
      <c r="E11" s="700">
        <f>+IF($A11="",IF($C11="",SUMIFS(全伝票!I:I,全伝票!$B:$B,$B11),SUMIFS(全伝票!I:I,全伝票!$C:$C,$C11)),IF($C11="",SUMIFS(全伝票!I:I,全伝票!$A:$A,$A11,全伝票!$B:$B,$B11),SUMIFS(全伝票!I:I,全伝票!$A:$A,$A11,全伝票!$C:$C,$C11)))</f>
        <v>0</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0</v>
      </c>
      <c r="N11" s="662">
        <f t="shared" si="1"/>
        <v>0</v>
      </c>
      <c r="O11" s="661">
        <f t="shared" si="2"/>
        <v>0</v>
      </c>
      <c r="P11" s="661">
        <f t="shared" si="3"/>
        <v>0</v>
      </c>
      <c r="Q11" s="661">
        <f t="shared" si="3"/>
        <v>0</v>
      </c>
      <c r="R11" s="665">
        <f t="shared" si="4"/>
        <v>0</v>
      </c>
      <c r="S11" s="664">
        <f t="shared" si="5"/>
        <v>0</v>
      </c>
      <c r="T11" s="663">
        <f t="shared" si="6"/>
        <v>0</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1</v>
      </c>
      <c r="B12" s="669" t="s">
        <v>1148</v>
      </c>
      <c r="C12" s="668" t="s">
        <v>1149</v>
      </c>
      <c r="D12" s="667" t="s">
        <v>1065</v>
      </c>
      <c r="E12" s="700">
        <f>+IF($A12="",IF($C12="",SUMIFS(全伝票!I:I,全伝票!$B:$B,$B12),SUMIFS(全伝票!I:I,全伝票!$C:$C,$C12)),IF($C12="",SUMIFS(全伝票!I:I,全伝票!$A:$A,$A12,全伝票!$B:$B,$B12),SUMIFS(全伝票!I:I,全伝票!$A:$A,$A12,全伝票!$C:$C,$C12)))</f>
        <v>0</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0</v>
      </c>
      <c r="K12" s="664">
        <f t="shared" si="0"/>
        <v>0</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 t="shared" si="4"/>
        <v>0</v>
      </c>
      <c r="S12" s="664">
        <f t="shared" si="5"/>
        <v>0</v>
      </c>
      <c r="T12" s="663">
        <f t="shared" si="6"/>
        <v>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1</v>
      </c>
      <c r="B13" s="669" t="s">
        <v>1148</v>
      </c>
      <c r="C13" s="668" t="s">
        <v>1147</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1</v>
      </c>
      <c r="B14" s="669" t="s">
        <v>1146</v>
      </c>
      <c r="C14" s="668"/>
      <c r="D14" s="667" t="s">
        <v>1060</v>
      </c>
      <c r="E14" s="700">
        <f>+IF($A14="",IF($C14="",SUMIFS(全伝票!I:I,全伝票!$B:$B,$B14),SUMIFS(全伝票!I:I,全伝票!$C:$C,$C14)),IF($C14="",SUMIFS(全伝票!I:I,全伝票!$A:$A,$A14,全伝票!$B:$B,$B14),SUMIFS(全伝票!I:I,全伝票!$A:$A,$A14,全伝票!$C:$C,$C14)))</f>
        <v>144037</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144037</v>
      </c>
      <c r="K14" s="664">
        <f t="shared" si="0"/>
        <v>144037</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 t="shared" si="3"/>
        <v>0</v>
      </c>
      <c r="R14" s="665">
        <f t="shared" si="4"/>
        <v>13094</v>
      </c>
      <c r="S14" s="664">
        <f t="shared" si="5"/>
        <v>13094</v>
      </c>
      <c r="T14" s="663">
        <f t="shared" si="6"/>
        <v>130943</v>
      </c>
      <c r="U14" s="650">
        <f t="shared" si="7"/>
        <v>0</v>
      </c>
      <c r="V14" s="650">
        <f t="shared" si="8"/>
        <v>0</v>
      </c>
      <c r="W14" s="650">
        <f t="shared" si="9"/>
        <v>0</v>
      </c>
      <c r="X14" s="650">
        <f t="shared" si="9"/>
        <v>0</v>
      </c>
      <c r="Y14" s="650">
        <f t="shared" si="10"/>
        <v>-0.27272727272793418</v>
      </c>
      <c r="Z14" s="649">
        <f t="shared" si="11"/>
        <v>0</v>
      </c>
      <c r="AA14" s="649">
        <f t="shared" si="12"/>
        <v>0</v>
      </c>
      <c r="AB14" s="649">
        <f t="shared" si="13"/>
        <v>0</v>
      </c>
      <c r="AC14" s="649">
        <f t="shared" si="13"/>
        <v>0</v>
      </c>
      <c r="AD14" s="649">
        <f t="shared" si="14"/>
        <v>0</v>
      </c>
      <c r="AE14" s="648"/>
      <c r="AF14" s="648"/>
      <c r="AG14" s="648"/>
      <c r="AH14" s="648"/>
      <c r="AI14" s="648"/>
    </row>
    <row r="15" spans="1:35" x14ac:dyDescent="0.15">
      <c r="A15" s="670">
        <v>1</v>
      </c>
      <c r="B15" s="669" t="s">
        <v>1145</v>
      </c>
      <c r="C15" s="668"/>
      <c r="D15" s="667" t="s">
        <v>1058</v>
      </c>
      <c r="E15" s="700">
        <f>+IF($A15="",IF($C15="",SUMIFS(全伝票!I:I,全伝票!$B:$B,$B15),SUMIFS(全伝票!I:I,全伝票!$C:$C,$C15)),IF($C15="",SUMIFS(全伝票!I:I,全伝票!$A:$A,$A15,全伝票!$B:$B,$B15),SUMIFS(全伝票!I:I,全伝票!$A:$A,$A15,全伝票!$C:$C,$C15)))</f>
        <v>181386</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181386</v>
      </c>
      <c r="K15" s="664">
        <f t="shared" si="0"/>
        <v>181386</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16490</v>
      </c>
      <c r="S15" s="664">
        <f t="shared" si="5"/>
        <v>16490</v>
      </c>
      <c r="T15" s="663">
        <f t="shared" si="6"/>
        <v>164896</v>
      </c>
      <c r="U15" s="650">
        <f t="shared" si="7"/>
        <v>0</v>
      </c>
      <c r="V15" s="650">
        <f t="shared" si="8"/>
        <v>0</v>
      </c>
      <c r="W15" s="650">
        <f t="shared" si="9"/>
        <v>0</v>
      </c>
      <c r="X15" s="650">
        <f t="shared" si="9"/>
        <v>0</v>
      </c>
      <c r="Y15" s="650">
        <f t="shared" si="10"/>
        <v>0.36363636363603291</v>
      </c>
      <c r="Z15" s="649">
        <f t="shared" si="11"/>
        <v>0</v>
      </c>
      <c r="AA15" s="649">
        <f t="shared" si="12"/>
        <v>0</v>
      </c>
      <c r="AB15" s="649">
        <f t="shared" si="13"/>
        <v>0</v>
      </c>
      <c r="AC15" s="649">
        <f t="shared" si="13"/>
        <v>0</v>
      </c>
      <c r="AD15" s="649">
        <f t="shared" si="14"/>
        <v>0</v>
      </c>
      <c r="AE15" s="648"/>
      <c r="AF15" s="648"/>
      <c r="AG15" s="648"/>
      <c r="AH15" s="648"/>
      <c r="AI15" s="648"/>
    </row>
    <row r="16" spans="1:35" x14ac:dyDescent="0.15">
      <c r="A16" s="670">
        <v>1</v>
      </c>
      <c r="B16" s="669" t="s">
        <v>1144</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1</v>
      </c>
      <c r="B17" s="669" t="s">
        <v>1143</v>
      </c>
      <c r="C17" s="668"/>
      <c r="D17" s="667" t="s">
        <v>1054</v>
      </c>
      <c r="E17" s="700">
        <f>+IF($A17="",IF($C17="",SUMIFS(全伝票!I:I,全伝票!$B:$B,$B17),SUMIFS(全伝票!I:I,全伝票!$C:$C,$C17)),IF($C17="",SUMIFS(全伝票!I:I,全伝票!$A:$A,$A17,全伝票!$B:$B,$B17),SUMIFS(全伝票!I:I,全伝票!$A:$A,$A17,全伝票!$C:$C,$C17)))</f>
        <v>120705</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120705</v>
      </c>
      <c r="K17" s="664">
        <f t="shared" si="0"/>
        <v>120705</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10973</v>
      </c>
      <c r="S17" s="664">
        <f t="shared" si="5"/>
        <v>10973</v>
      </c>
      <c r="T17" s="663">
        <f t="shared" si="6"/>
        <v>109732</v>
      </c>
      <c r="U17" s="650">
        <f t="shared" si="7"/>
        <v>0</v>
      </c>
      <c r="V17" s="650">
        <f t="shared" si="8"/>
        <v>0</v>
      </c>
      <c r="W17" s="650">
        <f t="shared" si="9"/>
        <v>0</v>
      </c>
      <c r="X17" s="650">
        <f t="shared" si="9"/>
        <v>0</v>
      </c>
      <c r="Y17" s="650">
        <f t="shared" si="10"/>
        <v>-0.18181818181801646</v>
      </c>
      <c r="Z17" s="649">
        <f t="shared" si="11"/>
        <v>0</v>
      </c>
      <c r="AA17" s="649">
        <f t="shared" si="12"/>
        <v>0</v>
      </c>
      <c r="AB17" s="649">
        <f t="shared" si="13"/>
        <v>0</v>
      </c>
      <c r="AC17" s="649">
        <f t="shared" si="13"/>
        <v>0</v>
      </c>
      <c r="AD17" s="649">
        <f t="shared" si="14"/>
        <v>0</v>
      </c>
      <c r="AE17" s="648"/>
      <c r="AF17" s="648"/>
      <c r="AG17" s="648"/>
      <c r="AH17" s="648"/>
      <c r="AI17" s="648"/>
    </row>
    <row r="18" spans="1:35" x14ac:dyDescent="0.15">
      <c r="A18" s="670">
        <v>1</v>
      </c>
      <c r="B18" s="669" t="s">
        <v>1142</v>
      </c>
      <c r="C18" s="668"/>
      <c r="D18" s="667" t="s">
        <v>1052</v>
      </c>
      <c r="E18" s="700">
        <f>+IF($A18="",IF($C18="",SUMIFS(全伝票!I:I,全伝票!$B:$B,$B18),SUMIFS(全伝票!I:I,全伝票!$C:$C,$C18)),IF($C18="",SUMIFS(全伝票!I:I,全伝票!$A:$A,$A18,全伝票!$B:$B,$B18),SUMIFS(全伝票!I:I,全伝票!$A:$A,$A18,全伝票!$C:$C,$C18)))</f>
        <v>3850</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3850</v>
      </c>
      <c r="K18" s="664">
        <f t="shared" si="0"/>
        <v>3850</v>
      </c>
      <c r="L18" s="700">
        <f>+IF($A18="",IF($C18="",SUMIFS(全伝票!O:O,全伝票!$B:$B,$B18),SUMIFS(全伝票!O:O,全伝票!$C:$C,$C18)),IF($C18="",SUMIFS(全伝票!O:O,全伝票!$A:$A,$A18,全伝票!$B:$B,$B18),SUMIFS(全伝票!O:O,全伝票!$A:$A,$A18,全伝票!$C:$C,$C18)))</f>
        <v>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350</v>
      </c>
      <c r="S18" s="664">
        <f t="shared" si="5"/>
        <v>350</v>
      </c>
      <c r="T18" s="663">
        <f t="shared" si="6"/>
        <v>3500</v>
      </c>
      <c r="U18" s="650">
        <f t="shared" si="7"/>
        <v>0</v>
      </c>
      <c r="V18" s="650">
        <f t="shared" si="8"/>
        <v>0</v>
      </c>
      <c r="W18" s="650">
        <f t="shared" si="9"/>
        <v>0</v>
      </c>
      <c r="X18" s="650">
        <f t="shared" si="9"/>
        <v>0</v>
      </c>
      <c r="Y18" s="650">
        <f t="shared" si="10"/>
        <v>0</v>
      </c>
      <c r="Z18" s="649">
        <f t="shared" si="11"/>
        <v>0</v>
      </c>
      <c r="AA18" s="649">
        <f t="shared" si="12"/>
        <v>0</v>
      </c>
      <c r="AB18" s="649">
        <f t="shared" si="13"/>
        <v>0</v>
      </c>
      <c r="AC18" s="649">
        <f t="shared" si="13"/>
        <v>0</v>
      </c>
      <c r="AD18" s="649">
        <f t="shared" si="14"/>
        <v>0</v>
      </c>
      <c r="AE18" s="648"/>
      <c r="AF18" s="648"/>
      <c r="AG18" s="648"/>
      <c r="AH18" s="648"/>
      <c r="AI18" s="648"/>
    </row>
    <row r="19" spans="1:35" x14ac:dyDescent="0.15">
      <c r="A19" s="670">
        <v>1</v>
      </c>
      <c r="B19" s="669" t="s">
        <v>1141</v>
      </c>
      <c r="C19" s="668"/>
      <c r="D19" s="667" t="s">
        <v>1050</v>
      </c>
      <c r="E19" s="700">
        <f>+IF($A19="",IF($C19="",SUMIFS(全伝票!I:I,全伝票!$B:$B,$B19),SUMIFS(全伝票!I:I,全伝票!$C:$C,$C19)),IF($C19="",SUMIFS(全伝票!I:I,全伝票!$A:$A,$A19,全伝票!$B:$B,$B19),SUMIFS(全伝票!I:I,全伝票!$A:$A,$A19,全伝票!$C:$C,$C19)))</f>
        <v>10980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10980</v>
      </c>
      <c r="K19" s="664">
        <f t="shared" si="0"/>
        <v>10980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1"/>
        <v>0</v>
      </c>
      <c r="O19" s="661">
        <f t="shared" si="2"/>
        <v>0</v>
      </c>
      <c r="P19" s="661">
        <f t="shared" si="3"/>
        <v>0</v>
      </c>
      <c r="Q19" s="661">
        <f t="shared" si="3"/>
        <v>0</v>
      </c>
      <c r="R19" s="665">
        <f t="shared" si="4"/>
        <v>998</v>
      </c>
      <c r="S19" s="664">
        <f t="shared" si="5"/>
        <v>998</v>
      </c>
      <c r="T19" s="663">
        <f t="shared" si="6"/>
        <v>9982</v>
      </c>
      <c r="U19" s="650">
        <f t="shared" si="7"/>
        <v>0</v>
      </c>
      <c r="V19" s="650">
        <f t="shared" si="8"/>
        <v>0</v>
      </c>
      <c r="W19" s="650">
        <f t="shared" si="9"/>
        <v>0</v>
      </c>
      <c r="X19" s="650">
        <f t="shared" si="9"/>
        <v>0</v>
      </c>
      <c r="Y19" s="650">
        <f t="shared" si="10"/>
        <v>-0.18181818181813014</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1</v>
      </c>
      <c r="B20" s="669" t="s">
        <v>1140</v>
      </c>
      <c r="C20" s="668"/>
      <c r="D20" s="667" t="s">
        <v>1048</v>
      </c>
      <c r="E20" s="700">
        <f>+IF($A20="",IF($C20="",SUMIFS(全伝票!I:I,全伝票!$B:$B,$B20),SUMIFS(全伝票!I:I,全伝票!$C:$C,$C20)),IF($C20="",SUMIFS(全伝票!I:I,全伝票!$A:$A,$A20,全伝票!$B:$B,$B20),SUMIFS(全伝票!I:I,全伝票!$A:$A,$A20,全伝票!$C:$C,$C20)))</f>
        <v>1071341</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1071341</v>
      </c>
      <c r="K20" s="664">
        <f t="shared" si="0"/>
        <v>1071341</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 t="shared" si="4"/>
        <v>97395</v>
      </c>
      <c r="S20" s="664">
        <f t="shared" si="5"/>
        <v>97395</v>
      </c>
      <c r="T20" s="663">
        <f t="shared" si="6"/>
        <v>973946</v>
      </c>
      <c r="U20" s="650">
        <f t="shared" si="7"/>
        <v>0</v>
      </c>
      <c r="V20" s="650">
        <f t="shared" si="8"/>
        <v>0</v>
      </c>
      <c r="W20" s="650">
        <f t="shared" si="9"/>
        <v>0</v>
      </c>
      <c r="X20" s="650">
        <f t="shared" si="9"/>
        <v>0</v>
      </c>
      <c r="Y20" s="650">
        <f t="shared" si="10"/>
        <v>0.36363636363239493</v>
      </c>
      <c r="Z20" s="649">
        <f t="shared" si="11"/>
        <v>0</v>
      </c>
      <c r="AA20" s="649">
        <f t="shared" si="12"/>
        <v>0</v>
      </c>
      <c r="AB20" s="649">
        <f t="shared" si="13"/>
        <v>0</v>
      </c>
      <c r="AC20" s="649">
        <f t="shared" si="13"/>
        <v>0</v>
      </c>
      <c r="AD20" s="649">
        <f t="shared" si="14"/>
        <v>0</v>
      </c>
      <c r="AE20" s="648"/>
      <c r="AF20" s="648"/>
      <c r="AG20" s="648"/>
      <c r="AH20" s="648"/>
      <c r="AI20" s="648"/>
    </row>
    <row r="21" spans="1:35" x14ac:dyDescent="0.15">
      <c r="A21" s="670">
        <v>1</v>
      </c>
      <c r="B21" s="669" t="s">
        <v>1139</v>
      </c>
      <c r="C21" s="668"/>
      <c r="D21" s="667" t="s">
        <v>1046</v>
      </c>
      <c r="E21" s="700">
        <f>+IF($A21="",IF($C21="",SUMIFS(全伝票!I:I,全伝票!$B:$B,$B21),SUMIFS(全伝票!I:I,全伝票!$C:$C,$C21)),IF($C21="",SUMIFS(全伝票!I:I,全伝票!$A:$A,$A21,全伝票!$B:$B,$B21),SUMIFS(全伝票!I:I,全伝票!$A:$A,$A21,全伝票!$C:$C,$C21)))</f>
        <v>206580</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206580</v>
      </c>
      <c r="K21" s="664">
        <f t="shared" si="0"/>
        <v>206580</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18780</v>
      </c>
      <c r="S21" s="664">
        <f t="shared" si="5"/>
        <v>18780</v>
      </c>
      <c r="T21" s="663">
        <f t="shared" si="6"/>
        <v>187800</v>
      </c>
      <c r="U21" s="650">
        <f t="shared" si="7"/>
        <v>0</v>
      </c>
      <c r="V21" s="650">
        <f t="shared" si="8"/>
        <v>0</v>
      </c>
      <c r="W21" s="650">
        <f t="shared" si="9"/>
        <v>0</v>
      </c>
      <c r="X21" s="650">
        <f t="shared" si="9"/>
        <v>0</v>
      </c>
      <c r="Y21" s="650">
        <f t="shared" si="10"/>
        <v>0</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1</v>
      </c>
      <c r="B22" s="669" t="s">
        <v>1138</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1</v>
      </c>
      <c r="B23" s="669" t="s">
        <v>1137</v>
      </c>
      <c r="C23" s="668"/>
      <c r="D23" s="667" t="s">
        <v>1042</v>
      </c>
      <c r="E23" s="700">
        <f>+IF($A23="",IF($C23="",SUMIFS(全伝票!I:I,全伝票!$B:$B,$B23),SUMIFS(全伝票!I:I,全伝票!$C:$C,$C23)),IF($C23="",SUMIFS(全伝票!I:I,全伝票!$A:$A,$A23,全伝票!$B:$B,$B23),SUMIFS(全伝票!I:I,全伝票!$A:$A,$A23,全伝票!$C:$C,$C23)))</f>
        <v>0</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0</v>
      </c>
      <c r="K23" s="664">
        <f t="shared" si="0"/>
        <v>0</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0</v>
      </c>
      <c r="S23" s="664">
        <f t="shared" si="5"/>
        <v>0</v>
      </c>
      <c r="T23" s="663">
        <f t="shared" si="6"/>
        <v>0</v>
      </c>
      <c r="U23" s="650">
        <f t="shared" si="7"/>
        <v>0</v>
      </c>
      <c r="V23" s="650">
        <f t="shared" si="8"/>
        <v>0</v>
      </c>
      <c r="W23" s="650">
        <f t="shared" si="9"/>
        <v>0</v>
      </c>
      <c r="X23" s="650">
        <f t="shared" si="9"/>
        <v>0</v>
      </c>
      <c r="Y23" s="650">
        <f t="shared" si="10"/>
        <v>0</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1</v>
      </c>
      <c r="B24" s="669" t="s">
        <v>1136</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1</v>
      </c>
      <c r="B25" s="669" t="s">
        <v>1135</v>
      </c>
      <c r="C25" s="668"/>
      <c r="D25" s="667" t="s">
        <v>1038</v>
      </c>
      <c r="E25" s="700">
        <f>+IF($A25="",IF($C25="",SUMIFS(全伝票!I:I,全伝票!$B:$B,$B25),SUMIFS(全伝票!I:I,全伝票!$C:$C,$C25)),IF($C25="",SUMIFS(全伝票!I:I,全伝票!$A:$A,$A25,全伝票!$B:$B,$B25),SUMIFS(全伝票!I:I,全伝票!$A:$A,$A25,全伝票!$C:$C,$C25)))</f>
        <v>10540</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10540</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10540</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1</v>
      </c>
      <c r="B26" s="669" t="s">
        <v>1134</v>
      </c>
      <c r="C26" s="668"/>
      <c r="D26" s="667" t="s">
        <v>1036</v>
      </c>
      <c r="E26" s="700">
        <f>+IF($A26="",IF($C26="",SUMIFS(全伝票!I:I,全伝票!$B:$B,$B26),SUMIFS(全伝票!I:I,全伝票!$C:$C,$C26)),IF($C26="",SUMIFS(全伝票!I:I,全伝票!$A:$A,$A26,全伝票!$B:$B,$B26),SUMIFS(全伝票!I:I,全伝票!$A:$A,$A26,全伝票!$C:$C,$C26)))</f>
        <v>0</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0</v>
      </c>
      <c r="N26" s="662">
        <f t="shared" si="1"/>
        <v>0</v>
      </c>
      <c r="O26" s="661">
        <f t="shared" si="2"/>
        <v>0</v>
      </c>
      <c r="P26" s="661">
        <f t="shared" si="3"/>
        <v>0</v>
      </c>
      <c r="Q26" s="661">
        <f t="shared" si="3"/>
        <v>0</v>
      </c>
      <c r="R26" s="665">
        <f t="shared" si="4"/>
        <v>0</v>
      </c>
      <c r="S26" s="664">
        <f t="shared" si="5"/>
        <v>0</v>
      </c>
      <c r="T26" s="663">
        <f t="shared" si="6"/>
        <v>0</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1</v>
      </c>
      <c r="B27" s="669" t="s">
        <v>1148</v>
      </c>
      <c r="C27" s="668">
        <v>615421003</v>
      </c>
      <c r="D27" s="667" t="s">
        <v>1349</v>
      </c>
      <c r="E27" s="700">
        <f>+IF($A27="",IF($C27="",SUMIFS(全伝票!I:I,全伝票!$B:$B,$B27),SUMIFS(全伝票!I:I,全伝票!$C:$C,$C27)),IF($C27="",SUMIFS(全伝票!I:I,全伝票!$A:$A,$A27,全伝票!$B:$B,$B27),SUMIFS(全伝票!I:I,全伝票!$A:$A,$A27,全伝票!$C:$C,$C27)))</f>
        <v>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0</v>
      </c>
      <c r="K27" s="664">
        <f t="shared" si="0"/>
        <v>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0</v>
      </c>
      <c r="S27" s="664">
        <f t="shared" si="5"/>
        <v>0</v>
      </c>
      <c r="T27" s="663">
        <f t="shared" si="6"/>
        <v>0</v>
      </c>
      <c r="U27" s="650">
        <f t="shared" si="7"/>
        <v>0</v>
      </c>
      <c r="V27" s="650">
        <f t="shared" si="8"/>
        <v>0</v>
      </c>
      <c r="W27" s="650">
        <f t="shared" si="9"/>
        <v>0</v>
      </c>
      <c r="X27" s="650">
        <f t="shared" si="9"/>
        <v>0</v>
      </c>
      <c r="Y27" s="650">
        <f t="shared" si="10"/>
        <v>0</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1</v>
      </c>
      <c r="B28" s="669" t="s">
        <v>1133</v>
      </c>
      <c r="C28" s="668"/>
      <c r="D28" s="667" t="s">
        <v>1034</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1"/>
        <v>0</v>
      </c>
      <c r="O28" s="661">
        <f t="shared" si="2"/>
        <v>0</v>
      </c>
      <c r="P28" s="661">
        <f t="shared" si="3"/>
        <v>0</v>
      </c>
      <c r="Q28" s="661">
        <f t="shared" si="3"/>
        <v>0</v>
      </c>
      <c r="R28" s="665">
        <f t="shared" si="4"/>
        <v>0</v>
      </c>
      <c r="S28" s="664">
        <f t="shared" si="5"/>
        <v>0</v>
      </c>
      <c r="T28" s="663">
        <f t="shared" si="6"/>
        <v>0</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1</v>
      </c>
      <c r="B29" s="669" t="s">
        <v>1132</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1</v>
      </c>
      <c r="B30" s="669" t="s">
        <v>1131</v>
      </c>
      <c r="C30" s="668"/>
      <c r="D30" s="667" t="s">
        <v>1030</v>
      </c>
      <c r="E30" s="700">
        <f>+IF($A30="",IF($C30="",SUMIFS(全伝票!I:I,全伝票!$B:$B,$B30),SUMIFS(全伝票!I:I,全伝票!$C:$C,$C30)),IF($C30="",SUMIFS(全伝票!I:I,全伝票!$A:$A,$A30,全伝票!$B:$B,$B30),SUMIFS(全伝票!I:I,全伝票!$A:$A,$A30,全伝票!$C:$C,$C30)))</f>
        <v>1448370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1448370</v>
      </c>
      <c r="K30" s="664">
        <f t="shared" si="0"/>
        <v>1448370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131670</v>
      </c>
      <c r="S30" s="664">
        <f t="shared" si="5"/>
        <v>131670</v>
      </c>
      <c r="T30" s="663">
        <f t="shared" si="6"/>
        <v>1316700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1</v>
      </c>
      <c r="B31" s="669" t="s">
        <v>1130</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1129</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1</v>
      </c>
      <c r="B33" s="669" t="s">
        <v>1128</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1</v>
      </c>
      <c r="B34" s="669" t="s">
        <v>1127</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1</v>
      </c>
      <c r="B35" s="669" t="s">
        <v>1121</v>
      </c>
      <c r="C35" s="668" t="s">
        <v>1126</v>
      </c>
      <c r="D35" s="667" t="s">
        <v>1020</v>
      </c>
      <c r="E35" s="700">
        <f>+IF($A35="",IF($C35="",SUMIFS(全伝票!I:I,全伝票!$B:$B,$B35),SUMIFS(全伝票!I:I,全伝票!$C:$C,$C35)),IF($C35="",SUMIFS(全伝票!I:I,全伝票!$A:$A,$A35,全伝票!$B:$B,$B35),SUMIFS(全伝票!I:I,全伝票!$A:$A,$A35,全伝票!$C:$C,$C35)))</f>
        <v>473572660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473572660</v>
      </c>
      <c r="K35" s="664">
        <f t="shared" si="0"/>
        <v>473572660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 t="shared" si="3"/>
        <v>0</v>
      </c>
      <c r="Q35" s="661">
        <f t="shared" si="3"/>
        <v>0</v>
      </c>
      <c r="R35" s="665">
        <f t="shared" si="4"/>
        <v>43052060</v>
      </c>
      <c r="S35" s="664">
        <f t="shared" si="5"/>
        <v>43052060</v>
      </c>
      <c r="T35" s="663">
        <f t="shared" si="6"/>
        <v>430520600</v>
      </c>
      <c r="U35" s="650">
        <f t="shared" si="7"/>
        <v>0</v>
      </c>
      <c r="V35" s="650">
        <f t="shared" si="8"/>
        <v>0</v>
      </c>
      <c r="W35" s="650">
        <f t="shared" si="9"/>
        <v>0</v>
      </c>
      <c r="X35" s="650">
        <f t="shared" si="9"/>
        <v>0</v>
      </c>
      <c r="Y35" s="650">
        <f t="shared" si="10"/>
        <v>0</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1</v>
      </c>
      <c r="B36" s="669" t="s">
        <v>1121</v>
      </c>
      <c r="C36" s="668" t="s">
        <v>1125</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1"/>
        <v>0</v>
      </c>
      <c r="O36" s="661">
        <f t="shared" si="2"/>
        <v>0</v>
      </c>
      <c r="P36" s="661">
        <f t="shared" si="3"/>
        <v>0</v>
      </c>
      <c r="Q36" s="661">
        <f t="shared" si="3"/>
        <v>0</v>
      </c>
      <c r="R36" s="665">
        <f t="shared" si="4"/>
        <v>0</v>
      </c>
      <c r="S36" s="664">
        <f t="shared" si="5"/>
        <v>0</v>
      </c>
      <c r="T36" s="663">
        <f t="shared" si="6"/>
        <v>0</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1</v>
      </c>
      <c r="B37" s="669" t="s">
        <v>1121</v>
      </c>
      <c r="C37" s="668" t="s">
        <v>1124</v>
      </c>
      <c r="D37" s="667" t="s">
        <v>1016</v>
      </c>
      <c r="E37" s="700">
        <f>+IF($A37="",IF($C37="",SUMIFS(全伝票!I:I,全伝票!$B:$B,$B37),SUMIFS(全伝票!I:I,全伝票!$C:$C,$C37)),IF($C37="",SUMIFS(全伝票!I:I,全伝票!$A:$A,$A37,全伝票!$B:$B,$B37),SUMIFS(全伝票!I:I,全伝票!$A:$A,$A37,全伝票!$C:$C,$C37)))</f>
        <v>28758400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28758400</v>
      </c>
      <c r="K37" s="664">
        <f t="shared" si="0"/>
        <v>28758400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2614400</v>
      </c>
      <c r="S37" s="664">
        <f t="shared" si="5"/>
        <v>2614400</v>
      </c>
      <c r="T37" s="663">
        <f t="shared" si="6"/>
        <v>26144000</v>
      </c>
      <c r="U37" s="650">
        <f t="shared" si="7"/>
        <v>0</v>
      </c>
      <c r="V37" s="650">
        <f t="shared" si="8"/>
        <v>0</v>
      </c>
      <c r="W37" s="650">
        <f t="shared" si="9"/>
        <v>0</v>
      </c>
      <c r="X37" s="650">
        <f t="shared" si="9"/>
        <v>0</v>
      </c>
      <c r="Y37" s="650">
        <f t="shared" si="10"/>
        <v>0</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1</v>
      </c>
      <c r="B38" s="669" t="s">
        <v>1121</v>
      </c>
      <c r="C38" s="668" t="s">
        <v>1123</v>
      </c>
      <c r="D38" s="667" t="s">
        <v>1014</v>
      </c>
      <c r="E38" s="700">
        <f>+IF($A38="",IF($C38="",SUMIFS(全伝票!I:I,全伝票!$B:$B,$B38),SUMIFS(全伝票!I:I,全伝票!$C:$C,$C38)),IF($C38="",SUMIFS(全伝票!I:I,全伝票!$A:$A,$A38,全伝票!$B:$B,$B38),SUMIFS(全伝票!I:I,全伝票!$A:$A,$A38,全伝票!$C:$C,$C38)))</f>
        <v>10619400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10619400</v>
      </c>
      <c r="K38" s="664">
        <f t="shared" si="0"/>
        <v>10619400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965400</v>
      </c>
      <c r="S38" s="664">
        <f t="shared" si="5"/>
        <v>965400</v>
      </c>
      <c r="T38" s="663">
        <f t="shared" si="6"/>
        <v>9654000</v>
      </c>
      <c r="U38" s="650">
        <f t="shared" si="7"/>
        <v>0</v>
      </c>
      <c r="V38" s="650">
        <f t="shared" si="8"/>
        <v>0</v>
      </c>
      <c r="W38" s="650">
        <f t="shared" si="9"/>
        <v>0</v>
      </c>
      <c r="X38" s="650">
        <f t="shared" si="9"/>
        <v>0</v>
      </c>
      <c r="Y38" s="650">
        <f t="shared" si="10"/>
        <v>0</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1</v>
      </c>
      <c r="B39" s="669" t="s">
        <v>1121</v>
      </c>
      <c r="C39" s="668" t="s">
        <v>1122</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1"/>
        <v>0</v>
      </c>
      <c r="O39" s="661">
        <f t="shared" si="2"/>
        <v>0</v>
      </c>
      <c r="P39" s="661">
        <f t="shared" si="3"/>
        <v>0</v>
      </c>
      <c r="Q39" s="661">
        <f t="shared" si="3"/>
        <v>0</v>
      </c>
      <c r="R39" s="665">
        <f t="shared" si="4"/>
        <v>0</v>
      </c>
      <c r="S39" s="664">
        <f t="shared" si="5"/>
        <v>0</v>
      </c>
      <c r="T39" s="663">
        <f t="shared" si="6"/>
        <v>0</v>
      </c>
      <c r="U39" s="650">
        <f t="shared" si="7"/>
        <v>0</v>
      </c>
      <c r="V39" s="650">
        <f t="shared" si="8"/>
        <v>0</v>
      </c>
      <c r="W39" s="650">
        <f t="shared" si="9"/>
        <v>0</v>
      </c>
      <c r="X39" s="650">
        <f t="shared" si="9"/>
        <v>0</v>
      </c>
      <c r="Y39" s="650">
        <f t="shared" si="10"/>
        <v>0</v>
      </c>
      <c r="Z39" s="649">
        <f t="shared" si="11"/>
        <v>0</v>
      </c>
      <c r="AA39" s="649">
        <f t="shared" si="12"/>
        <v>0</v>
      </c>
      <c r="AB39" s="649">
        <f t="shared" si="13"/>
        <v>0</v>
      </c>
      <c r="AC39" s="649">
        <f t="shared" si="13"/>
        <v>0</v>
      </c>
      <c r="AD39" s="649">
        <f t="shared" si="14"/>
        <v>0</v>
      </c>
      <c r="AE39" s="648"/>
      <c r="AF39" s="648"/>
      <c r="AG39" s="648"/>
      <c r="AH39" s="648"/>
      <c r="AI39" s="648"/>
    </row>
    <row r="40" spans="1:35" ht="14.25" thickBot="1" x14ac:dyDescent="0.2">
      <c r="A40" s="660">
        <v>1</v>
      </c>
      <c r="B40" s="659" t="s">
        <v>1121</v>
      </c>
      <c r="C40" s="658" t="s">
        <v>1120</v>
      </c>
      <c r="D40" s="657" t="s">
        <v>1009</v>
      </c>
      <c r="E40" s="696">
        <f>+IF($A40="",IF($C40="",SUMIFS(全伝票!I:I,全伝票!$B:$B,$B40),SUMIFS(全伝票!I:I,全伝票!$C:$C,$C40)),IF($C40="",SUMIFS(全伝票!I:I,全伝票!$A:$A,$A40,全伝票!$B:$B,$B40),SUMIFS(全伝票!I:I,全伝票!$A:$A,$A40,全伝票!$C:$C,$C40)))</f>
        <v>328230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328230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328230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665100151</v>
      </c>
      <c r="F41" s="643">
        <f t="shared" si="15"/>
        <v>0</v>
      </c>
      <c r="G41" s="642">
        <f t="shared" si="15"/>
        <v>0</v>
      </c>
      <c r="H41" s="642">
        <f t="shared" si="15"/>
        <v>0</v>
      </c>
      <c r="I41" s="642">
        <f t="shared" ref="I41" si="16">SUM(I5:I40)</f>
        <v>0</v>
      </c>
      <c r="J41" s="641">
        <f t="shared" si="15"/>
        <v>518619849</v>
      </c>
      <c r="K41" s="634">
        <f t="shared" si="15"/>
        <v>518619849</v>
      </c>
      <c r="L41" s="639">
        <f t="shared" si="15"/>
        <v>24850691</v>
      </c>
      <c r="M41" s="639">
        <f t="shared" si="15"/>
        <v>121629611</v>
      </c>
      <c r="N41" s="636">
        <f t="shared" si="15"/>
        <v>0</v>
      </c>
      <c r="O41" s="635">
        <f t="shared" si="15"/>
        <v>0</v>
      </c>
      <c r="P41" s="635">
        <f t="shared" si="15"/>
        <v>0</v>
      </c>
      <c r="Q41" s="635">
        <f t="shared" ref="Q41" si="17">SUM(Q5:Q40)</f>
        <v>0</v>
      </c>
      <c r="R41" s="638">
        <f t="shared" si="15"/>
        <v>47147259</v>
      </c>
      <c r="S41" s="634">
        <f t="shared" si="15"/>
        <v>47147259</v>
      </c>
      <c r="T41" s="637">
        <f t="shared" si="15"/>
        <v>617952892</v>
      </c>
    </row>
    <row r="42" spans="1:35" x14ac:dyDescent="0.15">
      <c r="A42" s="633"/>
      <c r="B42" s="632"/>
      <c r="C42" s="631"/>
      <c r="D42" s="630" t="s">
        <v>978</v>
      </c>
      <c r="E42" s="624">
        <f t="shared" ref="E42:J42" si="18">+E41</f>
        <v>665100151</v>
      </c>
      <c r="F42" s="629">
        <f t="shared" si="18"/>
        <v>0</v>
      </c>
      <c r="G42" s="628">
        <f t="shared" si="18"/>
        <v>0</v>
      </c>
      <c r="H42" s="628">
        <f t="shared" si="18"/>
        <v>0</v>
      </c>
      <c r="I42" s="628">
        <f t="shared" si="18"/>
        <v>0</v>
      </c>
      <c r="J42" s="627">
        <f t="shared" si="18"/>
        <v>518619849</v>
      </c>
      <c r="K42" s="623">
        <f>SUM(F42:J42)</f>
        <v>518619849</v>
      </c>
      <c r="L42" s="624">
        <f>+L41</f>
        <v>24850691</v>
      </c>
      <c r="M42" s="624">
        <f>+M41</f>
        <v>121629611</v>
      </c>
      <c r="N42" s="740">
        <f>+'4条支出'!N8</f>
        <v>0</v>
      </c>
      <c r="O42" s="741">
        <f>+'4条支出'!O8</f>
        <v>0</v>
      </c>
      <c r="P42" s="741">
        <f>+'4条支出'!P8</f>
        <v>0</v>
      </c>
      <c r="Q42" s="741">
        <f>+'4条支出'!Q8</f>
        <v>0</v>
      </c>
      <c r="R42" s="742">
        <f>+'4条支出'!R8</f>
        <v>47147259</v>
      </c>
      <c r="S42" s="743">
        <f>+'4条支出'!S8</f>
        <v>47147259</v>
      </c>
      <c r="T42" s="744">
        <f>+'4条支出'!T8</f>
        <v>617952892</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753"/>
      <c r="I45" s="753"/>
      <c r="J45" s="753"/>
    </row>
    <row r="46" spans="1:35" x14ac:dyDescent="0.15">
      <c r="G46" s="752"/>
      <c r="H46" s="753"/>
      <c r="I46" s="753"/>
      <c r="J46" s="753"/>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259" priority="4">
      <formula>ABS(Z5)=1</formula>
    </cfRule>
  </conditionalFormatting>
  <conditionalFormatting sqref="AD5:AD40">
    <cfRule type="expression" dxfId="258" priority="3">
      <formula>ABS(AD5)=1</formula>
    </cfRule>
  </conditionalFormatting>
  <conditionalFormatting sqref="Z6:AC40">
    <cfRule type="expression" dxfId="257" priority="6">
      <formula>ABS(Z6)=1</formula>
    </cfRule>
  </conditionalFormatting>
  <conditionalFormatting sqref="AE6:AE14 AE16:AE40">
    <cfRule type="notContainsBlanks" dxfId="256" priority="9" stopIfTrue="1">
      <formula>LEN(TRIM(AE6))&gt;0</formula>
    </cfRule>
  </conditionalFormatting>
  <conditionalFormatting sqref="AE6:AI40">
    <cfRule type="notContainsBlanks" dxfId="255" priority="8" stopIfTrue="1">
      <formula>LEN(TRIM(AE6))&gt;0</formula>
    </cfRule>
  </conditionalFormatting>
  <conditionalFormatting sqref="AE5:AI5">
    <cfRule type="notContainsBlanks" dxfId="254" priority="7" stopIfTrue="1">
      <formula>LEN(TRIM(AE5))&gt;0</formula>
    </cfRule>
  </conditionalFormatting>
  <conditionalFormatting sqref="AA6:AC40">
    <cfRule type="expression" dxfId="253" priority="5">
      <formula>ABS(AA6)=1</formula>
    </cfRule>
  </conditionalFormatting>
  <conditionalFormatting sqref="E43:H43 J43:T43">
    <cfRule type="cellIs" dxfId="252" priority="2" operator="notEqual">
      <formula>0</formula>
    </cfRule>
  </conditionalFormatting>
  <conditionalFormatting sqref="I43">
    <cfRule type="cellIs" dxfId="251"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topLeftCell="E1" zoomScale="80" zoomScaleNormal="80" zoomScaleSheetLayoutView="40" workbookViewId="0">
      <pane xSplit="1"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1195</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v>1</v>
      </c>
      <c r="B5" s="684" t="s">
        <v>1194</v>
      </c>
      <c r="C5" s="683"/>
      <c r="D5" s="682" t="s">
        <v>1079</v>
      </c>
      <c r="E5" s="681"/>
      <c r="F5" s="719"/>
      <c r="G5" s="718"/>
      <c r="H5" s="718"/>
      <c r="I5" s="718"/>
      <c r="J5" s="717">
        <f>+IF($A5="",IF($C5="",SUMIFS(全伝票!N:N,全伝票!$B:$B,$B5),SUMIFS(全伝票!N:N,全伝票!$C:$C,$C5)),IF($C5="",SUMIFS(全伝票!N:N,全伝票!$A:$A,$A5,全伝票!$B:$B,$B5),SUMIFS(全伝票!N:N,全伝票!$A:$A,$A5,全伝票!$C:$C,$C5)))</f>
        <v>0</v>
      </c>
      <c r="K5" s="716"/>
      <c r="L5" s="715"/>
      <c r="M5" s="715"/>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9">
        <f t="shared" ref="Z5:Z40" si="10">+IF(N$43=0,0,IF(N$43&lt;0,-RANK(U5,U$5:U$40,0),RANK(U5,U$5:U$40,1)))</f>
        <v>0</v>
      </c>
      <c r="AA5" s="649">
        <f t="shared" ref="AA5:AA40" si="11">+IF(O$43=0,0,IF(O$43&lt;0,-RANK(V5,V$5:V$40,0),RANK(V5,V$5:V$40,1)))</f>
        <v>0</v>
      </c>
      <c r="AB5" s="649">
        <f t="shared" ref="AB5:AC40" si="12">+IF(P$43=0,0,IF(P$43&lt;0,-RANK(W5,W$5:W$40,0),RANK(W5,W$5:W$40,1)))</f>
        <v>0</v>
      </c>
      <c r="AC5" s="649">
        <f t="shared" si="12"/>
        <v>0</v>
      </c>
      <c r="AD5" s="649">
        <f t="shared" ref="AD5:AD40" si="13">+IF(R$43=0,0,IF(R$43&lt;0,-RANK(Y5,Y$5:Y$40,0),RANK(Y5,Y$5:Y$40,1)))</f>
        <v>0</v>
      </c>
      <c r="AE5" s="648"/>
      <c r="AF5" s="648"/>
      <c r="AG5" s="648"/>
      <c r="AH5" s="648"/>
      <c r="AI5" s="648"/>
    </row>
    <row r="6" spans="1:35" x14ac:dyDescent="0.15">
      <c r="A6" s="670">
        <v>1</v>
      </c>
      <c r="B6" s="669" t="s">
        <v>1193</v>
      </c>
      <c r="C6" s="668"/>
      <c r="D6" s="667" t="s">
        <v>1077</v>
      </c>
      <c r="E6" s="666"/>
      <c r="F6" s="675"/>
      <c r="G6" s="674"/>
      <c r="H6" s="674"/>
      <c r="I6" s="674"/>
      <c r="J6" s="673"/>
      <c r="K6" s="672"/>
      <c r="L6" s="714"/>
      <c r="M6" s="714"/>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9">
        <f t="shared" si="10"/>
        <v>0</v>
      </c>
      <c r="AA6" s="649">
        <f t="shared" si="11"/>
        <v>0</v>
      </c>
      <c r="AB6" s="649">
        <f t="shared" si="12"/>
        <v>0</v>
      </c>
      <c r="AC6" s="649">
        <f t="shared" si="12"/>
        <v>0</v>
      </c>
      <c r="AD6" s="649">
        <f t="shared" si="13"/>
        <v>0</v>
      </c>
      <c r="AE6" s="648"/>
      <c r="AF6" s="648"/>
      <c r="AG6" s="648"/>
      <c r="AH6" s="648"/>
      <c r="AI6" s="648"/>
    </row>
    <row r="7" spans="1:35" x14ac:dyDescent="0.15">
      <c r="A7" s="670">
        <v>1</v>
      </c>
      <c r="B7" s="669" t="s">
        <v>1192</v>
      </c>
      <c r="C7" s="668"/>
      <c r="D7" s="667" t="s">
        <v>1075</v>
      </c>
      <c r="E7" s="666"/>
      <c r="F7" s="675"/>
      <c r="G7" s="674"/>
      <c r="H7" s="674"/>
      <c r="I7" s="674"/>
      <c r="J7" s="673"/>
      <c r="K7" s="672"/>
      <c r="L7" s="714"/>
      <c r="M7" s="714"/>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9">
        <f t="shared" si="10"/>
        <v>0</v>
      </c>
      <c r="AA7" s="649">
        <f t="shared" si="11"/>
        <v>0</v>
      </c>
      <c r="AB7" s="649">
        <f t="shared" si="12"/>
        <v>0</v>
      </c>
      <c r="AC7" s="649">
        <f t="shared" si="12"/>
        <v>0</v>
      </c>
      <c r="AD7" s="649">
        <f t="shared" si="13"/>
        <v>0</v>
      </c>
      <c r="AE7" s="648"/>
      <c r="AF7" s="648"/>
      <c r="AG7" s="648"/>
      <c r="AH7" s="648"/>
      <c r="AI7" s="648"/>
    </row>
    <row r="8" spans="1:35" x14ac:dyDescent="0.15">
      <c r="A8" s="670">
        <v>1</v>
      </c>
      <c r="B8" s="669" t="s">
        <v>1191</v>
      </c>
      <c r="C8" s="668"/>
      <c r="D8" s="667" t="s">
        <v>1073</v>
      </c>
      <c r="E8" s="666"/>
      <c r="F8" s="675"/>
      <c r="G8" s="674"/>
      <c r="H8" s="674"/>
      <c r="I8" s="674"/>
      <c r="J8" s="673"/>
      <c r="K8" s="672"/>
      <c r="L8" s="714"/>
      <c r="M8" s="714"/>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9">
        <f t="shared" si="10"/>
        <v>0</v>
      </c>
      <c r="AA8" s="649">
        <f t="shared" si="11"/>
        <v>0</v>
      </c>
      <c r="AB8" s="649">
        <f t="shared" si="12"/>
        <v>0</v>
      </c>
      <c r="AC8" s="649">
        <f t="shared" si="12"/>
        <v>0</v>
      </c>
      <c r="AD8" s="649">
        <f t="shared" si="13"/>
        <v>0</v>
      </c>
      <c r="AE8" s="648"/>
      <c r="AF8" s="648"/>
      <c r="AG8" s="648"/>
      <c r="AH8" s="648"/>
      <c r="AI8" s="648"/>
    </row>
    <row r="9" spans="1:35" x14ac:dyDescent="0.15">
      <c r="A9" s="670">
        <v>1</v>
      </c>
      <c r="B9" s="669" t="s">
        <v>1190</v>
      </c>
      <c r="C9" s="668"/>
      <c r="D9" s="667" t="s">
        <v>1071</v>
      </c>
      <c r="E9" s="666"/>
      <c r="F9" s="675"/>
      <c r="G9" s="674"/>
      <c r="H9" s="674"/>
      <c r="I9" s="674"/>
      <c r="J9" s="673"/>
      <c r="K9" s="672"/>
      <c r="L9" s="714"/>
      <c r="M9" s="714"/>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9">
        <f t="shared" si="10"/>
        <v>0</v>
      </c>
      <c r="AA9" s="649">
        <f t="shared" si="11"/>
        <v>0</v>
      </c>
      <c r="AB9" s="649">
        <f t="shared" si="12"/>
        <v>0</v>
      </c>
      <c r="AC9" s="649">
        <f t="shared" si="12"/>
        <v>0</v>
      </c>
      <c r="AD9" s="649">
        <f t="shared" si="13"/>
        <v>0</v>
      </c>
      <c r="AE9" s="648"/>
      <c r="AF9" s="648"/>
      <c r="AG9" s="648"/>
      <c r="AH9" s="648"/>
      <c r="AI9" s="648"/>
    </row>
    <row r="10" spans="1:35" x14ac:dyDescent="0.15">
      <c r="A10" s="670">
        <v>1</v>
      </c>
      <c r="B10" s="669" t="s">
        <v>1189</v>
      </c>
      <c r="C10" s="668"/>
      <c r="D10" s="667" t="s">
        <v>1069</v>
      </c>
      <c r="E10" s="666"/>
      <c r="F10" s="675"/>
      <c r="G10" s="674"/>
      <c r="H10" s="674"/>
      <c r="I10" s="674"/>
      <c r="J10" s="673"/>
      <c r="K10" s="672"/>
      <c r="L10" s="714"/>
      <c r="M10" s="714"/>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9">
        <f t="shared" si="10"/>
        <v>0</v>
      </c>
      <c r="AA10" s="649">
        <f t="shared" si="11"/>
        <v>0</v>
      </c>
      <c r="AB10" s="649">
        <f t="shared" si="12"/>
        <v>0</v>
      </c>
      <c r="AC10" s="649">
        <f t="shared" si="12"/>
        <v>0</v>
      </c>
      <c r="AD10" s="649">
        <f t="shared" si="13"/>
        <v>0</v>
      </c>
      <c r="AE10" s="648"/>
      <c r="AF10" s="648"/>
      <c r="AG10" s="648"/>
      <c r="AH10" s="648"/>
      <c r="AI10" s="648"/>
    </row>
    <row r="11" spans="1:35" x14ac:dyDescent="0.15">
      <c r="A11" s="670">
        <v>1</v>
      </c>
      <c r="B11" s="669" t="s">
        <v>1188</v>
      </c>
      <c r="C11" s="668"/>
      <c r="D11" s="667" t="s">
        <v>1067</v>
      </c>
      <c r="E11" s="666"/>
      <c r="F11" s="675"/>
      <c r="G11" s="674"/>
      <c r="H11" s="674"/>
      <c r="I11" s="674"/>
      <c r="J11" s="673"/>
      <c r="K11" s="672"/>
      <c r="L11" s="714"/>
      <c r="M11" s="714"/>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9">
        <f t="shared" si="10"/>
        <v>0</v>
      </c>
      <c r="AA11" s="649">
        <f t="shared" si="11"/>
        <v>0</v>
      </c>
      <c r="AB11" s="649">
        <f t="shared" si="12"/>
        <v>0</v>
      </c>
      <c r="AC11" s="649">
        <f t="shared" si="12"/>
        <v>0</v>
      </c>
      <c r="AD11" s="649">
        <f t="shared" si="13"/>
        <v>0</v>
      </c>
      <c r="AE11" s="648"/>
      <c r="AF11" s="648"/>
      <c r="AG11" s="648"/>
      <c r="AH11" s="648"/>
      <c r="AI11" s="648"/>
    </row>
    <row r="12" spans="1:35" x14ac:dyDescent="0.15">
      <c r="A12" s="670">
        <v>1</v>
      </c>
      <c r="B12" s="669" t="s">
        <v>1186</v>
      </c>
      <c r="C12" s="668" t="s">
        <v>1187</v>
      </c>
      <c r="D12" s="667" t="s">
        <v>1065</v>
      </c>
      <c r="E12" s="666"/>
      <c r="F12" s="675"/>
      <c r="G12" s="674"/>
      <c r="H12" s="674"/>
      <c r="I12" s="674"/>
      <c r="J12" s="673"/>
      <c r="K12" s="672"/>
      <c r="L12" s="714"/>
      <c r="M12" s="714"/>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9">
        <f t="shared" si="10"/>
        <v>0</v>
      </c>
      <c r="AA12" s="649">
        <f t="shared" si="11"/>
        <v>0</v>
      </c>
      <c r="AB12" s="649">
        <f t="shared" si="12"/>
        <v>0</v>
      </c>
      <c r="AC12" s="649">
        <f t="shared" si="12"/>
        <v>0</v>
      </c>
      <c r="AD12" s="649">
        <f t="shared" si="13"/>
        <v>0</v>
      </c>
      <c r="AE12" s="648"/>
      <c r="AF12" s="648"/>
      <c r="AG12" s="648"/>
      <c r="AH12" s="648"/>
      <c r="AI12" s="648"/>
    </row>
    <row r="13" spans="1:35" x14ac:dyDescent="0.15">
      <c r="A13" s="670">
        <v>1</v>
      </c>
      <c r="B13" s="669" t="s">
        <v>1186</v>
      </c>
      <c r="C13" s="668" t="s">
        <v>1185</v>
      </c>
      <c r="D13" s="667" t="s">
        <v>1062</v>
      </c>
      <c r="E13" s="666"/>
      <c r="F13" s="675"/>
      <c r="G13" s="674"/>
      <c r="H13" s="674"/>
      <c r="I13" s="674"/>
      <c r="J13" s="673"/>
      <c r="K13" s="672"/>
      <c r="L13" s="714"/>
      <c r="M13" s="714"/>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9">
        <f t="shared" si="10"/>
        <v>0</v>
      </c>
      <c r="AA13" s="649">
        <f t="shared" si="11"/>
        <v>0</v>
      </c>
      <c r="AB13" s="649">
        <f t="shared" si="12"/>
        <v>0</v>
      </c>
      <c r="AC13" s="649">
        <f t="shared" si="12"/>
        <v>0</v>
      </c>
      <c r="AD13" s="649">
        <f t="shared" si="13"/>
        <v>0</v>
      </c>
      <c r="AE13" s="648"/>
      <c r="AF13" s="648"/>
      <c r="AG13" s="648"/>
      <c r="AH13" s="648"/>
      <c r="AI13" s="648"/>
    </row>
    <row r="14" spans="1:35" x14ac:dyDescent="0.15">
      <c r="A14" s="670">
        <v>1</v>
      </c>
      <c r="B14" s="669" t="s">
        <v>1184</v>
      </c>
      <c r="C14" s="668"/>
      <c r="D14" s="667" t="s">
        <v>1060</v>
      </c>
      <c r="E14" s="666"/>
      <c r="F14" s="675"/>
      <c r="G14" s="674"/>
      <c r="H14" s="674"/>
      <c r="I14" s="674"/>
      <c r="J14" s="673"/>
      <c r="K14" s="672"/>
      <c r="L14" s="714"/>
      <c r="M14" s="714"/>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9">
        <f t="shared" si="10"/>
        <v>0</v>
      </c>
      <c r="AA14" s="649">
        <f t="shared" si="11"/>
        <v>0</v>
      </c>
      <c r="AB14" s="649">
        <f t="shared" si="12"/>
        <v>0</v>
      </c>
      <c r="AC14" s="649">
        <f t="shared" si="12"/>
        <v>0</v>
      </c>
      <c r="AD14" s="649">
        <f t="shared" si="13"/>
        <v>0</v>
      </c>
      <c r="AE14" s="648"/>
      <c r="AF14" s="648"/>
      <c r="AG14" s="648"/>
      <c r="AH14" s="648"/>
      <c r="AI14" s="648"/>
    </row>
    <row r="15" spans="1:35" x14ac:dyDescent="0.15">
      <c r="A15" s="670">
        <v>1</v>
      </c>
      <c r="B15" s="669" t="s">
        <v>1183</v>
      </c>
      <c r="C15" s="668"/>
      <c r="D15" s="667" t="s">
        <v>1058</v>
      </c>
      <c r="E15" s="666"/>
      <c r="F15" s="675"/>
      <c r="G15" s="674"/>
      <c r="H15" s="674"/>
      <c r="I15" s="674"/>
      <c r="J15" s="673"/>
      <c r="K15" s="672"/>
      <c r="L15" s="714"/>
      <c r="M15" s="714"/>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9">
        <f t="shared" si="10"/>
        <v>0</v>
      </c>
      <c r="AA15" s="649">
        <f t="shared" si="11"/>
        <v>0</v>
      </c>
      <c r="AB15" s="649">
        <f t="shared" si="12"/>
        <v>0</v>
      </c>
      <c r="AC15" s="649">
        <f t="shared" si="12"/>
        <v>0</v>
      </c>
      <c r="AD15" s="649">
        <f t="shared" si="13"/>
        <v>0</v>
      </c>
      <c r="AE15" s="648"/>
      <c r="AF15" s="648"/>
      <c r="AG15" s="648"/>
      <c r="AH15" s="648"/>
      <c r="AI15" s="648"/>
    </row>
    <row r="16" spans="1:35" x14ac:dyDescent="0.15">
      <c r="A16" s="670">
        <v>1</v>
      </c>
      <c r="B16" s="669" t="s">
        <v>1182</v>
      </c>
      <c r="C16" s="668"/>
      <c r="D16" s="667" t="s">
        <v>1056</v>
      </c>
      <c r="E16" s="666"/>
      <c r="F16" s="675"/>
      <c r="G16" s="674"/>
      <c r="H16" s="674"/>
      <c r="I16" s="674"/>
      <c r="J16" s="673"/>
      <c r="K16" s="672"/>
      <c r="L16" s="714"/>
      <c r="M16" s="714"/>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9">
        <f t="shared" si="10"/>
        <v>0</v>
      </c>
      <c r="AA16" s="649">
        <f t="shared" si="11"/>
        <v>0</v>
      </c>
      <c r="AB16" s="649">
        <f t="shared" si="12"/>
        <v>0</v>
      </c>
      <c r="AC16" s="649">
        <f t="shared" si="12"/>
        <v>0</v>
      </c>
      <c r="AD16" s="649">
        <f t="shared" si="13"/>
        <v>0</v>
      </c>
      <c r="AE16" s="648"/>
      <c r="AF16" s="648"/>
      <c r="AG16" s="648"/>
      <c r="AH16" s="648"/>
      <c r="AI16" s="648"/>
    </row>
    <row r="17" spans="1:35" x14ac:dyDescent="0.15">
      <c r="A17" s="670">
        <v>1</v>
      </c>
      <c r="B17" s="669" t="s">
        <v>1181</v>
      </c>
      <c r="C17" s="668"/>
      <c r="D17" s="667" t="s">
        <v>1054</v>
      </c>
      <c r="E17" s="666"/>
      <c r="F17" s="675"/>
      <c r="G17" s="674"/>
      <c r="H17" s="674"/>
      <c r="I17" s="674"/>
      <c r="J17" s="673"/>
      <c r="K17" s="672"/>
      <c r="L17" s="714"/>
      <c r="M17" s="714"/>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9">
        <f t="shared" si="10"/>
        <v>0</v>
      </c>
      <c r="AA17" s="649">
        <f t="shared" si="11"/>
        <v>0</v>
      </c>
      <c r="AB17" s="649">
        <f t="shared" si="12"/>
        <v>0</v>
      </c>
      <c r="AC17" s="649">
        <f t="shared" si="12"/>
        <v>0</v>
      </c>
      <c r="AD17" s="649">
        <f t="shared" si="13"/>
        <v>0</v>
      </c>
      <c r="AE17" s="648"/>
      <c r="AF17" s="648"/>
      <c r="AG17" s="648"/>
      <c r="AH17" s="648"/>
      <c r="AI17" s="648"/>
    </row>
    <row r="18" spans="1:35" x14ac:dyDescent="0.15">
      <c r="A18" s="670">
        <v>1</v>
      </c>
      <c r="B18" s="669" t="s">
        <v>1180</v>
      </c>
      <c r="C18" s="668"/>
      <c r="D18" s="667" t="s">
        <v>1052</v>
      </c>
      <c r="E18" s="666"/>
      <c r="F18" s="675"/>
      <c r="G18" s="674"/>
      <c r="H18" s="674"/>
      <c r="I18" s="674"/>
      <c r="J18" s="673"/>
      <c r="K18" s="672"/>
      <c r="L18" s="714"/>
      <c r="M18" s="714"/>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9">
        <f t="shared" si="10"/>
        <v>0</v>
      </c>
      <c r="AA18" s="649">
        <f t="shared" si="11"/>
        <v>0</v>
      </c>
      <c r="AB18" s="649">
        <f t="shared" si="12"/>
        <v>0</v>
      </c>
      <c r="AC18" s="649">
        <f t="shared" si="12"/>
        <v>0</v>
      </c>
      <c r="AD18" s="649">
        <f t="shared" si="13"/>
        <v>0</v>
      </c>
      <c r="AE18" s="648"/>
      <c r="AF18" s="648"/>
      <c r="AG18" s="648"/>
      <c r="AH18" s="648"/>
      <c r="AI18" s="648"/>
    </row>
    <row r="19" spans="1:35" x14ac:dyDescent="0.15">
      <c r="A19" s="670">
        <v>1</v>
      </c>
      <c r="B19" s="669" t="s">
        <v>1179</v>
      </c>
      <c r="C19" s="668"/>
      <c r="D19" s="667" t="s">
        <v>1050</v>
      </c>
      <c r="E19" s="666"/>
      <c r="F19" s="675"/>
      <c r="G19" s="674"/>
      <c r="H19" s="674"/>
      <c r="I19" s="674"/>
      <c r="J19" s="673"/>
      <c r="K19" s="672"/>
      <c r="L19" s="714"/>
      <c r="M19" s="714"/>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9">
        <f t="shared" si="10"/>
        <v>0</v>
      </c>
      <c r="AA19" s="649">
        <f t="shared" si="11"/>
        <v>0</v>
      </c>
      <c r="AB19" s="649">
        <f t="shared" si="12"/>
        <v>0</v>
      </c>
      <c r="AC19" s="649">
        <f t="shared" si="12"/>
        <v>0</v>
      </c>
      <c r="AD19" s="649">
        <f t="shared" si="13"/>
        <v>0</v>
      </c>
      <c r="AE19" s="648"/>
      <c r="AF19" s="648"/>
      <c r="AG19" s="648"/>
      <c r="AH19" s="648"/>
      <c r="AI19" s="648"/>
    </row>
    <row r="20" spans="1:35" x14ac:dyDescent="0.15">
      <c r="A20" s="670">
        <v>1</v>
      </c>
      <c r="B20" s="669" t="s">
        <v>1178</v>
      </c>
      <c r="C20" s="668"/>
      <c r="D20" s="667" t="s">
        <v>1048</v>
      </c>
      <c r="E20" s="666"/>
      <c r="F20" s="675"/>
      <c r="G20" s="674"/>
      <c r="H20" s="674"/>
      <c r="I20" s="674"/>
      <c r="J20" s="673"/>
      <c r="K20" s="672"/>
      <c r="L20" s="714"/>
      <c r="M20" s="714"/>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9">
        <f t="shared" si="10"/>
        <v>0</v>
      </c>
      <c r="AA20" s="649">
        <f t="shared" si="11"/>
        <v>0</v>
      </c>
      <c r="AB20" s="649">
        <f t="shared" si="12"/>
        <v>0</v>
      </c>
      <c r="AC20" s="649">
        <f t="shared" si="12"/>
        <v>0</v>
      </c>
      <c r="AD20" s="649">
        <f t="shared" si="13"/>
        <v>0</v>
      </c>
      <c r="AE20" s="648"/>
      <c r="AF20" s="648"/>
      <c r="AG20" s="648"/>
      <c r="AH20" s="648"/>
      <c r="AI20" s="648"/>
    </row>
    <row r="21" spans="1:35" x14ac:dyDescent="0.15">
      <c r="A21" s="670">
        <v>1</v>
      </c>
      <c r="B21" s="669" t="s">
        <v>1177</v>
      </c>
      <c r="C21" s="668"/>
      <c r="D21" s="667" t="s">
        <v>1046</v>
      </c>
      <c r="E21" s="666"/>
      <c r="F21" s="675"/>
      <c r="G21" s="674"/>
      <c r="H21" s="674"/>
      <c r="I21" s="674"/>
      <c r="J21" s="673"/>
      <c r="K21" s="672"/>
      <c r="L21" s="714"/>
      <c r="M21" s="714"/>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9">
        <f t="shared" si="10"/>
        <v>0</v>
      </c>
      <c r="AA21" s="649">
        <f t="shared" si="11"/>
        <v>0</v>
      </c>
      <c r="AB21" s="649">
        <f t="shared" si="12"/>
        <v>0</v>
      </c>
      <c r="AC21" s="649">
        <f t="shared" si="12"/>
        <v>0</v>
      </c>
      <c r="AD21" s="649">
        <f t="shared" si="13"/>
        <v>0</v>
      </c>
      <c r="AE21" s="648"/>
      <c r="AF21" s="648"/>
      <c r="AG21" s="648"/>
      <c r="AH21" s="648"/>
      <c r="AI21" s="648"/>
    </row>
    <row r="22" spans="1:35" x14ac:dyDescent="0.15">
      <c r="A22" s="670">
        <v>1</v>
      </c>
      <c r="B22" s="669" t="s">
        <v>1176</v>
      </c>
      <c r="C22" s="668"/>
      <c r="D22" s="667" t="s">
        <v>1044</v>
      </c>
      <c r="E22" s="666"/>
      <c r="F22" s="675"/>
      <c r="G22" s="674"/>
      <c r="H22" s="674"/>
      <c r="I22" s="674"/>
      <c r="J22" s="673"/>
      <c r="K22" s="672"/>
      <c r="L22" s="714"/>
      <c r="M22" s="714"/>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9">
        <f t="shared" si="10"/>
        <v>0</v>
      </c>
      <c r="AA22" s="649">
        <f t="shared" si="11"/>
        <v>0</v>
      </c>
      <c r="AB22" s="649">
        <f t="shared" si="12"/>
        <v>0</v>
      </c>
      <c r="AC22" s="649">
        <f t="shared" si="12"/>
        <v>0</v>
      </c>
      <c r="AD22" s="649">
        <f t="shared" si="13"/>
        <v>0</v>
      </c>
      <c r="AE22" s="648"/>
      <c r="AF22" s="648"/>
      <c r="AG22" s="648"/>
      <c r="AH22" s="648"/>
      <c r="AI22" s="648"/>
    </row>
    <row r="23" spans="1:35" x14ac:dyDescent="0.15">
      <c r="A23" s="670">
        <v>1</v>
      </c>
      <c r="B23" s="669" t="s">
        <v>1175</v>
      </c>
      <c r="C23" s="668"/>
      <c r="D23" s="667" t="s">
        <v>1042</v>
      </c>
      <c r="E23" s="666"/>
      <c r="F23" s="675"/>
      <c r="G23" s="674"/>
      <c r="H23" s="674"/>
      <c r="I23" s="674"/>
      <c r="J23" s="673"/>
      <c r="K23" s="672"/>
      <c r="L23" s="714"/>
      <c r="M23" s="714"/>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9">
        <f t="shared" si="10"/>
        <v>0</v>
      </c>
      <c r="AA23" s="649">
        <f t="shared" si="11"/>
        <v>0</v>
      </c>
      <c r="AB23" s="649">
        <f t="shared" si="12"/>
        <v>0</v>
      </c>
      <c r="AC23" s="649">
        <f t="shared" si="12"/>
        <v>0</v>
      </c>
      <c r="AD23" s="649">
        <f t="shared" si="13"/>
        <v>0</v>
      </c>
      <c r="AE23" s="648"/>
      <c r="AF23" s="648"/>
      <c r="AG23" s="648"/>
      <c r="AH23" s="648"/>
      <c r="AI23" s="648"/>
    </row>
    <row r="24" spans="1:35" x14ac:dyDescent="0.15">
      <c r="A24" s="670">
        <v>1</v>
      </c>
      <c r="B24" s="669" t="s">
        <v>1174</v>
      </c>
      <c r="C24" s="668"/>
      <c r="D24" s="667" t="s">
        <v>1040</v>
      </c>
      <c r="E24" s="666"/>
      <c r="F24" s="675"/>
      <c r="G24" s="674"/>
      <c r="H24" s="674"/>
      <c r="I24" s="674"/>
      <c r="J24" s="673"/>
      <c r="K24" s="672"/>
      <c r="L24" s="714"/>
      <c r="M24" s="714"/>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9">
        <f t="shared" si="10"/>
        <v>0</v>
      </c>
      <c r="AA24" s="649">
        <f t="shared" si="11"/>
        <v>0</v>
      </c>
      <c r="AB24" s="649">
        <f t="shared" si="12"/>
        <v>0</v>
      </c>
      <c r="AC24" s="649">
        <f t="shared" si="12"/>
        <v>0</v>
      </c>
      <c r="AD24" s="649">
        <f t="shared" si="13"/>
        <v>0</v>
      </c>
      <c r="AE24" s="648"/>
      <c r="AF24" s="648"/>
      <c r="AG24" s="648"/>
      <c r="AH24" s="648"/>
      <c r="AI24" s="648"/>
    </row>
    <row r="25" spans="1:35" x14ac:dyDescent="0.15">
      <c r="A25" s="670">
        <v>1</v>
      </c>
      <c r="B25" s="669" t="s">
        <v>1173</v>
      </c>
      <c r="C25" s="668"/>
      <c r="D25" s="667" t="s">
        <v>1038</v>
      </c>
      <c r="E25" s="666"/>
      <c r="F25" s="675"/>
      <c r="G25" s="674"/>
      <c r="H25" s="674"/>
      <c r="I25" s="674"/>
      <c r="J25" s="673"/>
      <c r="K25" s="672"/>
      <c r="L25" s="714"/>
      <c r="M25" s="714"/>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9">
        <f t="shared" si="10"/>
        <v>0</v>
      </c>
      <c r="AA25" s="649">
        <f t="shared" si="11"/>
        <v>0</v>
      </c>
      <c r="AB25" s="649">
        <f t="shared" si="12"/>
        <v>0</v>
      </c>
      <c r="AC25" s="649">
        <f t="shared" si="12"/>
        <v>0</v>
      </c>
      <c r="AD25" s="649">
        <f t="shared" si="13"/>
        <v>0</v>
      </c>
      <c r="AE25" s="648"/>
      <c r="AF25" s="648"/>
      <c r="AG25" s="648"/>
      <c r="AH25" s="648"/>
      <c r="AI25" s="648"/>
    </row>
    <row r="26" spans="1:35" x14ac:dyDescent="0.15">
      <c r="A26" s="670">
        <v>1</v>
      </c>
      <c r="B26" s="669" t="s">
        <v>1172</v>
      </c>
      <c r="C26" s="668"/>
      <c r="D26" s="667" t="s">
        <v>1036</v>
      </c>
      <c r="E26" s="666"/>
      <c r="F26" s="675"/>
      <c r="G26" s="674"/>
      <c r="H26" s="674"/>
      <c r="I26" s="674"/>
      <c r="J26" s="673"/>
      <c r="K26" s="672"/>
      <c r="L26" s="714"/>
      <c r="M26" s="714"/>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9">
        <f t="shared" si="10"/>
        <v>0</v>
      </c>
      <c r="AA26" s="649">
        <f t="shared" si="11"/>
        <v>0</v>
      </c>
      <c r="AB26" s="649">
        <f t="shared" si="12"/>
        <v>0</v>
      </c>
      <c r="AC26" s="649">
        <f t="shared" si="12"/>
        <v>0</v>
      </c>
      <c r="AD26" s="649">
        <f t="shared" si="13"/>
        <v>0</v>
      </c>
      <c r="AE26" s="648"/>
      <c r="AF26" s="648"/>
      <c r="AG26" s="648"/>
      <c r="AH26" s="648"/>
      <c r="AI26" s="648"/>
    </row>
    <row r="27" spans="1:35" x14ac:dyDescent="0.15">
      <c r="A27" s="670">
        <v>1</v>
      </c>
      <c r="B27" s="669" t="s">
        <v>1186</v>
      </c>
      <c r="C27" s="668">
        <v>615461003</v>
      </c>
      <c r="D27" s="667" t="s">
        <v>1348</v>
      </c>
      <c r="E27" s="666"/>
      <c r="F27" s="675"/>
      <c r="G27" s="674"/>
      <c r="H27" s="674"/>
      <c r="I27" s="674"/>
      <c r="J27" s="673"/>
      <c r="K27" s="672"/>
      <c r="L27" s="714"/>
      <c r="M27" s="714"/>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9">
        <f t="shared" si="10"/>
        <v>0</v>
      </c>
      <c r="AA27" s="649">
        <f t="shared" si="11"/>
        <v>0</v>
      </c>
      <c r="AB27" s="649">
        <f t="shared" si="12"/>
        <v>0</v>
      </c>
      <c r="AC27" s="649">
        <f t="shared" si="12"/>
        <v>0</v>
      </c>
      <c r="AD27" s="649">
        <f t="shared" si="13"/>
        <v>0</v>
      </c>
      <c r="AE27" s="648"/>
      <c r="AF27" s="648"/>
      <c r="AG27" s="648"/>
      <c r="AH27" s="648"/>
      <c r="AI27" s="648"/>
    </row>
    <row r="28" spans="1:35" x14ac:dyDescent="0.15">
      <c r="A28" s="670">
        <v>1</v>
      </c>
      <c r="B28" s="669" t="s">
        <v>1171</v>
      </c>
      <c r="C28" s="668"/>
      <c r="D28" s="667" t="s">
        <v>1034</v>
      </c>
      <c r="E28" s="666"/>
      <c r="F28" s="675"/>
      <c r="G28" s="674"/>
      <c r="H28" s="674"/>
      <c r="I28" s="674"/>
      <c r="J28" s="673"/>
      <c r="K28" s="672"/>
      <c r="L28" s="714"/>
      <c r="M28" s="714"/>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9">
        <f t="shared" si="10"/>
        <v>0</v>
      </c>
      <c r="AA28" s="649">
        <f t="shared" si="11"/>
        <v>0</v>
      </c>
      <c r="AB28" s="649">
        <f t="shared" si="12"/>
        <v>0</v>
      </c>
      <c r="AC28" s="649">
        <f t="shared" si="12"/>
        <v>0</v>
      </c>
      <c r="AD28" s="649">
        <f t="shared" si="13"/>
        <v>0</v>
      </c>
      <c r="AE28" s="648"/>
      <c r="AF28" s="648"/>
      <c r="AG28" s="648"/>
      <c r="AH28" s="648"/>
      <c r="AI28" s="648"/>
    </row>
    <row r="29" spans="1:35" x14ac:dyDescent="0.15">
      <c r="A29" s="670">
        <v>1</v>
      </c>
      <c r="B29" s="669" t="s">
        <v>1170</v>
      </c>
      <c r="C29" s="668"/>
      <c r="D29" s="667" t="s">
        <v>1032</v>
      </c>
      <c r="E29" s="666"/>
      <c r="F29" s="675"/>
      <c r="G29" s="674"/>
      <c r="H29" s="674"/>
      <c r="I29" s="674"/>
      <c r="J29" s="673"/>
      <c r="K29" s="672"/>
      <c r="L29" s="714"/>
      <c r="M29" s="714"/>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9">
        <f t="shared" si="10"/>
        <v>0</v>
      </c>
      <c r="AA29" s="649">
        <f t="shared" si="11"/>
        <v>0</v>
      </c>
      <c r="AB29" s="649">
        <f t="shared" si="12"/>
        <v>0</v>
      </c>
      <c r="AC29" s="649">
        <f t="shared" si="12"/>
        <v>0</v>
      </c>
      <c r="AD29" s="649">
        <f t="shared" si="13"/>
        <v>0</v>
      </c>
      <c r="AE29" s="648"/>
      <c r="AF29" s="648"/>
      <c r="AG29" s="648"/>
      <c r="AH29" s="648"/>
      <c r="AI29" s="648"/>
    </row>
    <row r="30" spans="1:35" x14ac:dyDescent="0.15">
      <c r="A30" s="670">
        <v>1</v>
      </c>
      <c r="B30" s="669" t="s">
        <v>1169</v>
      </c>
      <c r="C30" s="668"/>
      <c r="D30" s="667" t="s">
        <v>1030</v>
      </c>
      <c r="E30" s="666"/>
      <c r="F30" s="675"/>
      <c r="G30" s="674"/>
      <c r="H30" s="674"/>
      <c r="I30" s="674"/>
      <c r="J30" s="673"/>
      <c r="K30" s="672"/>
      <c r="L30" s="714"/>
      <c r="M30" s="714"/>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9">
        <f t="shared" si="10"/>
        <v>0</v>
      </c>
      <c r="AA30" s="649">
        <f t="shared" si="11"/>
        <v>0</v>
      </c>
      <c r="AB30" s="649">
        <f t="shared" si="12"/>
        <v>0</v>
      </c>
      <c r="AC30" s="649">
        <f t="shared" si="12"/>
        <v>0</v>
      </c>
      <c r="AD30" s="649">
        <f t="shared" si="13"/>
        <v>0</v>
      </c>
      <c r="AE30" s="648"/>
      <c r="AF30" s="648"/>
      <c r="AG30" s="648"/>
      <c r="AH30" s="648"/>
      <c r="AI30" s="648"/>
    </row>
    <row r="31" spans="1:35" x14ac:dyDescent="0.15">
      <c r="A31" s="670">
        <v>1</v>
      </c>
      <c r="B31" s="669" t="s">
        <v>1168</v>
      </c>
      <c r="C31" s="668"/>
      <c r="D31" s="667" t="s">
        <v>1028</v>
      </c>
      <c r="E31" s="666"/>
      <c r="F31" s="675"/>
      <c r="G31" s="674"/>
      <c r="H31" s="674"/>
      <c r="I31" s="674"/>
      <c r="J31" s="673"/>
      <c r="K31" s="672"/>
      <c r="L31" s="714"/>
      <c r="M31" s="714"/>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9">
        <f t="shared" si="10"/>
        <v>0</v>
      </c>
      <c r="AA31" s="649">
        <f t="shared" si="11"/>
        <v>0</v>
      </c>
      <c r="AB31" s="649">
        <f t="shared" si="12"/>
        <v>0</v>
      </c>
      <c r="AC31" s="649">
        <f t="shared" si="12"/>
        <v>0</v>
      </c>
      <c r="AD31" s="649">
        <f t="shared" si="13"/>
        <v>0</v>
      </c>
      <c r="AE31" s="648"/>
      <c r="AF31" s="648"/>
      <c r="AG31" s="648"/>
      <c r="AH31" s="648"/>
      <c r="AI31" s="648"/>
    </row>
    <row r="32" spans="1:35" x14ac:dyDescent="0.15">
      <c r="A32" s="670"/>
      <c r="B32" s="669" t="s">
        <v>1167</v>
      </c>
      <c r="C32" s="668"/>
      <c r="D32" s="667" t="s">
        <v>1026</v>
      </c>
      <c r="E32" s="666"/>
      <c r="F32" s="675"/>
      <c r="G32" s="674"/>
      <c r="H32" s="674"/>
      <c r="I32" s="674"/>
      <c r="J32" s="673"/>
      <c r="K32" s="672"/>
      <c r="L32" s="714"/>
      <c r="M32" s="714"/>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9">
        <f t="shared" si="10"/>
        <v>0</v>
      </c>
      <c r="AA32" s="649">
        <f t="shared" si="11"/>
        <v>0</v>
      </c>
      <c r="AB32" s="649">
        <f t="shared" si="12"/>
        <v>0</v>
      </c>
      <c r="AC32" s="649">
        <f t="shared" si="12"/>
        <v>0</v>
      </c>
      <c r="AD32" s="649">
        <f t="shared" si="13"/>
        <v>0</v>
      </c>
      <c r="AE32" s="648"/>
      <c r="AF32" s="648"/>
      <c r="AG32" s="648"/>
      <c r="AH32" s="648"/>
      <c r="AI32" s="648"/>
    </row>
    <row r="33" spans="1:35" x14ac:dyDescent="0.15">
      <c r="A33" s="670">
        <v>1</v>
      </c>
      <c r="B33" s="669" t="s">
        <v>1166</v>
      </c>
      <c r="C33" s="668"/>
      <c r="D33" s="667" t="s">
        <v>1024</v>
      </c>
      <c r="E33" s="666"/>
      <c r="F33" s="675"/>
      <c r="G33" s="674"/>
      <c r="H33" s="674"/>
      <c r="I33" s="674"/>
      <c r="J33" s="673"/>
      <c r="K33" s="672"/>
      <c r="L33" s="714"/>
      <c r="M33" s="714"/>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9">
        <f t="shared" si="10"/>
        <v>0</v>
      </c>
      <c r="AA33" s="649">
        <f t="shared" si="11"/>
        <v>0</v>
      </c>
      <c r="AB33" s="649">
        <f t="shared" si="12"/>
        <v>0</v>
      </c>
      <c r="AC33" s="649">
        <f t="shared" si="12"/>
        <v>0</v>
      </c>
      <c r="AD33" s="649">
        <f t="shared" si="13"/>
        <v>0</v>
      </c>
      <c r="AE33" s="648"/>
      <c r="AF33" s="648"/>
      <c r="AG33" s="648"/>
      <c r="AH33" s="648"/>
      <c r="AI33" s="648"/>
    </row>
    <row r="34" spans="1:35" x14ac:dyDescent="0.15">
      <c r="A34" s="670">
        <v>1</v>
      </c>
      <c r="B34" s="669" t="s">
        <v>1165</v>
      </c>
      <c r="C34" s="668"/>
      <c r="D34" s="667" t="s">
        <v>1022</v>
      </c>
      <c r="E34" s="666"/>
      <c r="F34" s="675"/>
      <c r="G34" s="674"/>
      <c r="H34" s="674"/>
      <c r="I34" s="674"/>
      <c r="J34" s="673"/>
      <c r="K34" s="672"/>
      <c r="L34" s="714"/>
      <c r="M34" s="714"/>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9">
        <f t="shared" si="10"/>
        <v>0</v>
      </c>
      <c r="AA34" s="649">
        <f t="shared" si="11"/>
        <v>0</v>
      </c>
      <c r="AB34" s="649">
        <f t="shared" si="12"/>
        <v>0</v>
      </c>
      <c r="AC34" s="649">
        <f t="shared" si="12"/>
        <v>0</v>
      </c>
      <c r="AD34" s="649">
        <f t="shared" si="13"/>
        <v>0</v>
      </c>
      <c r="AE34" s="648"/>
      <c r="AF34" s="648"/>
      <c r="AG34" s="648"/>
      <c r="AH34" s="648"/>
      <c r="AI34" s="648"/>
    </row>
    <row r="35" spans="1:35" x14ac:dyDescent="0.15">
      <c r="A35" s="670">
        <v>1</v>
      </c>
      <c r="B35" s="669" t="s">
        <v>1159</v>
      </c>
      <c r="C35" s="668" t="s">
        <v>1164</v>
      </c>
      <c r="D35" s="667" t="s">
        <v>1020</v>
      </c>
      <c r="E35" s="666"/>
      <c r="F35" s="675"/>
      <c r="G35" s="674"/>
      <c r="H35" s="674"/>
      <c r="I35" s="674"/>
      <c r="J35" s="673"/>
      <c r="K35" s="672"/>
      <c r="L35" s="714"/>
      <c r="M35" s="714"/>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9">
        <f t="shared" si="10"/>
        <v>0</v>
      </c>
      <c r="AA35" s="649">
        <f t="shared" si="11"/>
        <v>0</v>
      </c>
      <c r="AB35" s="649">
        <f t="shared" si="12"/>
        <v>0</v>
      </c>
      <c r="AC35" s="649">
        <f t="shared" si="12"/>
        <v>0</v>
      </c>
      <c r="AD35" s="649">
        <f t="shared" si="13"/>
        <v>0</v>
      </c>
      <c r="AE35" s="648"/>
      <c r="AF35" s="648"/>
      <c r="AG35" s="648"/>
      <c r="AH35" s="648"/>
      <c r="AI35" s="648"/>
    </row>
    <row r="36" spans="1:35" x14ac:dyDescent="0.15">
      <c r="A36" s="670">
        <v>1</v>
      </c>
      <c r="B36" s="669" t="s">
        <v>1159</v>
      </c>
      <c r="C36" s="668" t="s">
        <v>1163</v>
      </c>
      <c r="D36" s="667" t="s">
        <v>1018</v>
      </c>
      <c r="E36" s="666"/>
      <c r="F36" s="675"/>
      <c r="G36" s="674"/>
      <c r="H36" s="674"/>
      <c r="I36" s="674"/>
      <c r="J36" s="673"/>
      <c r="K36" s="672"/>
      <c r="L36" s="714"/>
      <c r="M36" s="714"/>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9">
        <f t="shared" si="10"/>
        <v>0</v>
      </c>
      <c r="AA36" s="649">
        <f t="shared" si="11"/>
        <v>0</v>
      </c>
      <c r="AB36" s="649">
        <f t="shared" si="12"/>
        <v>0</v>
      </c>
      <c r="AC36" s="649">
        <f t="shared" si="12"/>
        <v>0</v>
      </c>
      <c r="AD36" s="649">
        <f t="shared" si="13"/>
        <v>0</v>
      </c>
      <c r="AE36" s="648"/>
      <c r="AF36" s="648"/>
      <c r="AG36" s="648"/>
      <c r="AH36" s="648"/>
      <c r="AI36" s="648"/>
    </row>
    <row r="37" spans="1:35" x14ac:dyDescent="0.15">
      <c r="A37" s="670">
        <v>1</v>
      </c>
      <c r="B37" s="669" t="s">
        <v>1159</v>
      </c>
      <c r="C37" s="668" t="s">
        <v>1162</v>
      </c>
      <c r="D37" s="667" t="s">
        <v>1016</v>
      </c>
      <c r="E37" s="666"/>
      <c r="F37" s="675"/>
      <c r="G37" s="674"/>
      <c r="H37" s="674"/>
      <c r="I37" s="674"/>
      <c r="J37" s="673"/>
      <c r="K37" s="672"/>
      <c r="L37" s="714"/>
      <c r="M37" s="714"/>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9">
        <f t="shared" si="10"/>
        <v>0</v>
      </c>
      <c r="AA37" s="649">
        <f t="shared" si="11"/>
        <v>0</v>
      </c>
      <c r="AB37" s="649">
        <f t="shared" si="12"/>
        <v>0</v>
      </c>
      <c r="AC37" s="649">
        <f t="shared" si="12"/>
        <v>0</v>
      </c>
      <c r="AD37" s="649">
        <f t="shared" si="13"/>
        <v>0</v>
      </c>
      <c r="AE37" s="648"/>
      <c r="AF37" s="648"/>
      <c r="AG37" s="648"/>
      <c r="AH37" s="648"/>
      <c r="AI37" s="648"/>
    </row>
    <row r="38" spans="1:35" x14ac:dyDescent="0.15">
      <c r="A38" s="670">
        <v>1</v>
      </c>
      <c r="B38" s="669" t="s">
        <v>1159</v>
      </c>
      <c r="C38" s="668" t="s">
        <v>1161</v>
      </c>
      <c r="D38" s="667" t="s">
        <v>1014</v>
      </c>
      <c r="E38" s="666"/>
      <c r="F38" s="675"/>
      <c r="G38" s="674"/>
      <c r="H38" s="674"/>
      <c r="I38" s="674"/>
      <c r="J38" s="673"/>
      <c r="K38" s="672"/>
      <c r="L38" s="714"/>
      <c r="M38" s="714"/>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9">
        <f t="shared" si="10"/>
        <v>0</v>
      </c>
      <c r="AA38" s="649">
        <f t="shared" si="11"/>
        <v>0</v>
      </c>
      <c r="AB38" s="649">
        <f t="shared" si="12"/>
        <v>0</v>
      </c>
      <c r="AC38" s="649">
        <f t="shared" si="12"/>
        <v>0</v>
      </c>
      <c r="AD38" s="649">
        <f t="shared" si="13"/>
        <v>0</v>
      </c>
      <c r="AE38" s="648"/>
      <c r="AF38" s="648"/>
      <c r="AG38" s="648"/>
      <c r="AH38" s="648"/>
      <c r="AI38" s="648"/>
    </row>
    <row r="39" spans="1:35" x14ac:dyDescent="0.15">
      <c r="A39" s="670">
        <v>1</v>
      </c>
      <c r="B39" s="669" t="s">
        <v>1159</v>
      </c>
      <c r="C39" s="668" t="s">
        <v>1160</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SUM(F39:J39)</f>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9">
        <f t="shared" si="10"/>
        <v>0</v>
      </c>
      <c r="AA39" s="649">
        <f t="shared" si="11"/>
        <v>0</v>
      </c>
      <c r="AB39" s="649">
        <f t="shared" si="12"/>
        <v>0</v>
      </c>
      <c r="AC39" s="649">
        <f t="shared" si="12"/>
        <v>0</v>
      </c>
      <c r="AD39" s="649">
        <f t="shared" si="13"/>
        <v>0</v>
      </c>
      <c r="AE39" s="648"/>
      <c r="AF39" s="648"/>
      <c r="AG39" s="648"/>
      <c r="AH39" s="648"/>
      <c r="AI39" s="648"/>
    </row>
    <row r="40" spans="1:35" ht="14.25" thickBot="1" x14ac:dyDescent="0.2">
      <c r="A40" s="660">
        <v>1</v>
      </c>
      <c r="B40" s="659" t="s">
        <v>1159</v>
      </c>
      <c r="C40" s="658" t="s">
        <v>1158</v>
      </c>
      <c r="D40" s="657" t="s">
        <v>1009</v>
      </c>
      <c r="E40" s="656"/>
      <c r="F40" s="713"/>
      <c r="G40" s="712"/>
      <c r="H40" s="712"/>
      <c r="I40" s="712"/>
      <c r="J40" s="711"/>
      <c r="K40" s="710"/>
      <c r="L40" s="709"/>
      <c r="M40" s="709"/>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9">
        <f t="shared" si="10"/>
        <v>0</v>
      </c>
      <c r="AA40" s="649">
        <f t="shared" si="11"/>
        <v>0</v>
      </c>
      <c r="AB40" s="649">
        <f t="shared" si="12"/>
        <v>0</v>
      </c>
      <c r="AC40" s="649">
        <f t="shared" si="12"/>
        <v>0</v>
      </c>
      <c r="AD40" s="649">
        <f t="shared" si="13"/>
        <v>0</v>
      </c>
      <c r="AE40" s="648"/>
      <c r="AF40" s="648"/>
      <c r="AG40" s="648"/>
      <c r="AH40" s="648"/>
      <c r="AI40" s="648"/>
    </row>
    <row r="41" spans="1:35" ht="14.25" thickTop="1" x14ac:dyDescent="0.15">
      <c r="A41" s="647"/>
      <c r="B41" s="646"/>
      <c r="C41" s="645"/>
      <c r="D41" s="644" t="s">
        <v>979</v>
      </c>
      <c r="E41" s="639">
        <f t="shared" ref="E41:T41" si="14">SUM(E5:E40)</f>
        <v>0</v>
      </c>
      <c r="F41" s="643">
        <f t="shared" si="14"/>
        <v>0</v>
      </c>
      <c r="G41" s="642">
        <f t="shared" si="14"/>
        <v>0</v>
      </c>
      <c r="H41" s="642">
        <f t="shared" si="14"/>
        <v>0</v>
      </c>
      <c r="I41" s="642">
        <f t="shared" ref="I41" si="15">SUM(I5:I40)</f>
        <v>0</v>
      </c>
      <c r="J41" s="641">
        <f t="shared" si="14"/>
        <v>0</v>
      </c>
      <c r="K41" s="634">
        <f t="shared" si="14"/>
        <v>0</v>
      </c>
      <c r="L41" s="639">
        <f t="shared" si="14"/>
        <v>0</v>
      </c>
      <c r="M41" s="639">
        <f t="shared" si="14"/>
        <v>0</v>
      </c>
      <c r="N41" s="636">
        <f t="shared" si="14"/>
        <v>0</v>
      </c>
      <c r="O41" s="635">
        <f t="shared" si="14"/>
        <v>0</v>
      </c>
      <c r="P41" s="635">
        <f t="shared" si="14"/>
        <v>0</v>
      </c>
      <c r="Q41" s="635">
        <f t="shared" ref="Q41" si="16">SUM(Q5:Q40)</f>
        <v>0</v>
      </c>
      <c r="R41" s="638">
        <f t="shared" si="14"/>
        <v>0</v>
      </c>
      <c r="S41" s="634">
        <f t="shared" si="14"/>
        <v>0</v>
      </c>
      <c r="T41" s="637">
        <f t="shared" si="14"/>
        <v>0</v>
      </c>
    </row>
    <row r="42" spans="1:35" x14ac:dyDescent="0.15">
      <c r="A42" s="633"/>
      <c r="B42" s="632"/>
      <c r="C42" s="631"/>
      <c r="D42" s="630" t="s">
        <v>978</v>
      </c>
      <c r="E42" s="624">
        <f t="shared" ref="E42:J42" si="17">+E41</f>
        <v>0</v>
      </c>
      <c r="F42" s="629">
        <f t="shared" si="17"/>
        <v>0</v>
      </c>
      <c r="G42" s="628">
        <f t="shared" si="17"/>
        <v>0</v>
      </c>
      <c r="H42" s="628">
        <f t="shared" si="17"/>
        <v>0</v>
      </c>
      <c r="I42" s="628">
        <f t="shared" si="17"/>
        <v>0</v>
      </c>
      <c r="J42" s="627">
        <f t="shared" si="17"/>
        <v>0</v>
      </c>
      <c r="K42" s="623">
        <f>SUM(F42:J42)</f>
        <v>0</v>
      </c>
      <c r="L42" s="624">
        <f>+L41</f>
        <v>0</v>
      </c>
      <c r="M42" s="624">
        <f>+M41</f>
        <v>0</v>
      </c>
      <c r="N42" s="740">
        <f>+'4条支出'!N9</f>
        <v>0</v>
      </c>
      <c r="O42" s="741">
        <f>+'4条支出'!O9</f>
        <v>0</v>
      </c>
      <c r="P42" s="741">
        <f>+'4条支出'!P9</f>
        <v>0</v>
      </c>
      <c r="Q42" s="741">
        <f>+'4条支出'!Q9</f>
        <v>0</v>
      </c>
      <c r="R42" s="742">
        <f>+'4条支出'!R9</f>
        <v>0</v>
      </c>
      <c r="S42" s="743">
        <f>+'4条支出'!S9</f>
        <v>0</v>
      </c>
      <c r="T42" s="744">
        <f>+'4条支出'!T9</f>
        <v>0</v>
      </c>
    </row>
    <row r="43" spans="1:35" x14ac:dyDescent="0.15">
      <c r="E43" s="622">
        <f t="shared" ref="E43:T43" si="18">+E42-E41</f>
        <v>0</v>
      </c>
      <c r="F43" s="622">
        <f t="shared" si="18"/>
        <v>0</v>
      </c>
      <c r="G43" s="622">
        <f t="shared" si="18"/>
        <v>0</v>
      </c>
      <c r="H43" s="622">
        <f t="shared" si="18"/>
        <v>0</v>
      </c>
      <c r="I43" s="622">
        <f t="shared" ref="I43" si="19">+I42-I41</f>
        <v>0</v>
      </c>
      <c r="J43" s="622">
        <f t="shared" si="18"/>
        <v>0</v>
      </c>
      <c r="K43" s="622">
        <f t="shared" si="18"/>
        <v>0</v>
      </c>
      <c r="L43" s="622">
        <f t="shared" si="18"/>
        <v>0</v>
      </c>
      <c r="M43" s="622">
        <f t="shared" si="18"/>
        <v>0</v>
      </c>
      <c r="N43" s="622">
        <f t="shared" si="18"/>
        <v>0</v>
      </c>
      <c r="O43" s="622">
        <f t="shared" si="18"/>
        <v>0</v>
      </c>
      <c r="P43" s="622">
        <f t="shared" si="18"/>
        <v>0</v>
      </c>
      <c r="Q43" s="622">
        <f t="shared" ref="Q43" si="20">+Q42-Q41</f>
        <v>0</v>
      </c>
      <c r="R43" s="622">
        <f t="shared" si="18"/>
        <v>0</v>
      </c>
      <c r="S43" s="622">
        <f t="shared" si="18"/>
        <v>0</v>
      </c>
      <c r="T43" s="622">
        <f t="shared" si="18"/>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250" priority="4">
      <formula>ABS(Z5)=1</formula>
    </cfRule>
  </conditionalFormatting>
  <conditionalFormatting sqref="AD5:AD40">
    <cfRule type="expression" dxfId="249" priority="3">
      <formula>ABS(AD5)=1</formula>
    </cfRule>
  </conditionalFormatting>
  <conditionalFormatting sqref="Z6:AC40">
    <cfRule type="expression" dxfId="248" priority="6">
      <formula>ABS(Z6)=1</formula>
    </cfRule>
  </conditionalFormatting>
  <conditionalFormatting sqref="AE6:AE14 AE16:AE40">
    <cfRule type="notContainsBlanks" dxfId="247" priority="9" stopIfTrue="1">
      <formula>LEN(TRIM(AE6))&gt;0</formula>
    </cfRule>
  </conditionalFormatting>
  <conditionalFormatting sqref="AE6:AI40">
    <cfRule type="notContainsBlanks" dxfId="246" priority="8" stopIfTrue="1">
      <formula>LEN(TRIM(AE6))&gt;0</formula>
    </cfRule>
  </conditionalFormatting>
  <conditionalFormatting sqref="AE5:AI5">
    <cfRule type="notContainsBlanks" dxfId="245" priority="7" stopIfTrue="1">
      <formula>LEN(TRIM(AE5))&gt;0</formula>
    </cfRule>
  </conditionalFormatting>
  <conditionalFormatting sqref="AA6:AC40">
    <cfRule type="expression" dxfId="244" priority="5">
      <formula>ABS(AA6)=1</formula>
    </cfRule>
  </conditionalFormatting>
  <conditionalFormatting sqref="E43:H43 J43:T43">
    <cfRule type="cellIs" dxfId="243" priority="2" operator="notEqual">
      <formula>0</formula>
    </cfRule>
  </conditionalFormatting>
  <conditionalFormatting sqref="I43">
    <cfRule type="cellIs" dxfId="242"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topLeftCell="E1" zoomScale="80" zoomScaleNormal="80" zoomScaleSheetLayoutView="40" workbookViewId="0">
      <pane xSplit="1"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1233</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v>1</v>
      </c>
      <c r="B5" s="684" t="s">
        <v>1232</v>
      </c>
      <c r="C5" s="683"/>
      <c r="D5" s="682" t="s">
        <v>1079</v>
      </c>
      <c r="E5" s="681"/>
      <c r="F5" s="719"/>
      <c r="G5" s="718"/>
      <c r="H5" s="718"/>
      <c r="I5" s="718"/>
      <c r="J5" s="717">
        <f>+IF($A5="",IF($C5="",SUMIFS(全伝票!N:N,全伝票!$B:$B,$B5),SUMIFS(全伝票!N:N,全伝票!$C:$C,$C5)),IF($C5="",SUMIFS(全伝票!N:N,全伝票!$A:$A,$A5,全伝票!$B:$B,$B5),SUMIFS(全伝票!N:N,全伝票!$A:$A,$A5,全伝票!$C:$C,$C5)))</f>
        <v>0</v>
      </c>
      <c r="K5" s="716"/>
      <c r="L5" s="715"/>
      <c r="M5" s="715"/>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9">
        <f t="shared" ref="Z5:Z40" si="10">+IF(N$43=0,0,IF(N$43&lt;0,-RANK(U5,U$5:U$40,0),RANK(U5,U$5:U$40,1)))</f>
        <v>0</v>
      </c>
      <c r="AA5" s="649">
        <f t="shared" ref="AA5:AA40" si="11">+IF(O$43=0,0,IF(O$43&lt;0,-RANK(V5,V$5:V$40,0),RANK(V5,V$5:V$40,1)))</f>
        <v>0</v>
      </c>
      <c r="AB5" s="649">
        <f t="shared" ref="AB5:AC40" si="12">+IF(P$43=0,0,IF(P$43&lt;0,-RANK(W5,W$5:W$40,0),RANK(W5,W$5:W$40,1)))</f>
        <v>0</v>
      </c>
      <c r="AC5" s="649">
        <f t="shared" si="12"/>
        <v>0</v>
      </c>
      <c r="AD5" s="649">
        <f t="shared" ref="AD5:AD40" si="13">+IF(R$43=0,0,IF(R$43&lt;0,-RANK(Y5,Y$5:Y$40,0),RANK(Y5,Y$5:Y$40,1)))</f>
        <v>0</v>
      </c>
      <c r="AE5" s="648"/>
      <c r="AF5" s="648"/>
      <c r="AG5" s="648"/>
      <c r="AH5" s="648"/>
      <c r="AI5" s="648"/>
    </row>
    <row r="6" spans="1:35" x14ac:dyDescent="0.15">
      <c r="A6" s="670">
        <v>1</v>
      </c>
      <c r="B6" s="669" t="s">
        <v>1231</v>
      </c>
      <c r="C6" s="668"/>
      <c r="D6" s="667" t="s">
        <v>1077</v>
      </c>
      <c r="E6" s="666"/>
      <c r="F6" s="675"/>
      <c r="G6" s="674"/>
      <c r="H6" s="674"/>
      <c r="I6" s="674"/>
      <c r="J6" s="673"/>
      <c r="K6" s="672"/>
      <c r="L6" s="714"/>
      <c r="M6" s="714"/>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9">
        <f t="shared" si="10"/>
        <v>0</v>
      </c>
      <c r="AA6" s="649">
        <f t="shared" si="11"/>
        <v>0</v>
      </c>
      <c r="AB6" s="649">
        <f t="shared" si="12"/>
        <v>0</v>
      </c>
      <c r="AC6" s="649">
        <f t="shared" si="12"/>
        <v>0</v>
      </c>
      <c r="AD6" s="649">
        <f t="shared" si="13"/>
        <v>0</v>
      </c>
      <c r="AE6" s="648"/>
      <c r="AF6" s="648"/>
      <c r="AG6" s="648"/>
      <c r="AH6" s="648"/>
      <c r="AI6" s="648"/>
    </row>
    <row r="7" spans="1:35" x14ac:dyDescent="0.15">
      <c r="A7" s="670">
        <v>1</v>
      </c>
      <c r="B7" s="669" t="s">
        <v>1230</v>
      </c>
      <c r="C7" s="668"/>
      <c r="D7" s="667" t="s">
        <v>1075</v>
      </c>
      <c r="E7" s="666"/>
      <c r="F7" s="675"/>
      <c r="G7" s="674"/>
      <c r="H7" s="674"/>
      <c r="I7" s="674"/>
      <c r="J7" s="673"/>
      <c r="K7" s="672"/>
      <c r="L7" s="714"/>
      <c r="M7" s="714"/>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9">
        <f t="shared" si="10"/>
        <v>0</v>
      </c>
      <c r="AA7" s="649">
        <f t="shared" si="11"/>
        <v>0</v>
      </c>
      <c r="AB7" s="649">
        <f t="shared" si="12"/>
        <v>0</v>
      </c>
      <c r="AC7" s="649">
        <f t="shared" si="12"/>
        <v>0</v>
      </c>
      <c r="AD7" s="649">
        <f t="shared" si="13"/>
        <v>0</v>
      </c>
      <c r="AE7" s="648"/>
      <c r="AF7" s="648"/>
      <c r="AG7" s="648"/>
      <c r="AH7" s="648"/>
      <c r="AI7" s="648"/>
    </row>
    <row r="8" spans="1:35" x14ac:dyDescent="0.15">
      <c r="A8" s="670">
        <v>1</v>
      </c>
      <c r="B8" s="669" t="s">
        <v>1229</v>
      </c>
      <c r="C8" s="668"/>
      <c r="D8" s="667" t="s">
        <v>1073</v>
      </c>
      <c r="E8" s="666"/>
      <c r="F8" s="675"/>
      <c r="G8" s="674"/>
      <c r="H8" s="674"/>
      <c r="I8" s="674"/>
      <c r="J8" s="673"/>
      <c r="K8" s="672"/>
      <c r="L8" s="714"/>
      <c r="M8" s="714"/>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9">
        <f t="shared" si="10"/>
        <v>0</v>
      </c>
      <c r="AA8" s="649">
        <f t="shared" si="11"/>
        <v>0</v>
      </c>
      <c r="AB8" s="649">
        <f t="shared" si="12"/>
        <v>0</v>
      </c>
      <c r="AC8" s="649">
        <f t="shared" si="12"/>
        <v>0</v>
      </c>
      <c r="AD8" s="649">
        <f t="shared" si="13"/>
        <v>0</v>
      </c>
      <c r="AE8" s="648"/>
      <c r="AF8" s="648"/>
      <c r="AG8" s="648"/>
      <c r="AH8" s="648"/>
      <c r="AI8" s="648"/>
    </row>
    <row r="9" spans="1:35" x14ac:dyDescent="0.15">
      <c r="A9" s="670">
        <v>1</v>
      </c>
      <c r="B9" s="669" t="s">
        <v>1228</v>
      </c>
      <c r="C9" s="668"/>
      <c r="D9" s="667" t="s">
        <v>1071</v>
      </c>
      <c r="E9" s="666"/>
      <c r="F9" s="675"/>
      <c r="G9" s="674"/>
      <c r="H9" s="674"/>
      <c r="I9" s="674"/>
      <c r="J9" s="673"/>
      <c r="K9" s="672"/>
      <c r="L9" s="714"/>
      <c r="M9" s="714"/>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9">
        <f t="shared" si="10"/>
        <v>0</v>
      </c>
      <c r="AA9" s="649">
        <f t="shared" si="11"/>
        <v>0</v>
      </c>
      <c r="AB9" s="649">
        <f t="shared" si="12"/>
        <v>0</v>
      </c>
      <c r="AC9" s="649">
        <f t="shared" si="12"/>
        <v>0</v>
      </c>
      <c r="AD9" s="649">
        <f t="shared" si="13"/>
        <v>0</v>
      </c>
      <c r="AE9" s="648"/>
      <c r="AF9" s="648"/>
      <c r="AG9" s="648"/>
      <c r="AH9" s="648"/>
      <c r="AI9" s="648"/>
    </row>
    <row r="10" spans="1:35" x14ac:dyDescent="0.15">
      <c r="A10" s="670">
        <v>1</v>
      </c>
      <c r="B10" s="669" t="s">
        <v>1227</v>
      </c>
      <c r="C10" s="668"/>
      <c r="D10" s="667" t="s">
        <v>1069</v>
      </c>
      <c r="E10" s="666"/>
      <c r="F10" s="675"/>
      <c r="G10" s="674"/>
      <c r="H10" s="674"/>
      <c r="I10" s="674"/>
      <c r="J10" s="673"/>
      <c r="K10" s="672"/>
      <c r="L10" s="714"/>
      <c r="M10" s="714"/>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9">
        <f t="shared" si="10"/>
        <v>0</v>
      </c>
      <c r="AA10" s="649">
        <f t="shared" si="11"/>
        <v>0</v>
      </c>
      <c r="AB10" s="649">
        <f t="shared" si="12"/>
        <v>0</v>
      </c>
      <c r="AC10" s="649">
        <f t="shared" si="12"/>
        <v>0</v>
      </c>
      <c r="AD10" s="649">
        <f t="shared" si="13"/>
        <v>0</v>
      </c>
      <c r="AE10" s="648"/>
      <c r="AF10" s="648"/>
      <c r="AG10" s="648"/>
      <c r="AH10" s="648"/>
      <c r="AI10" s="648"/>
    </row>
    <row r="11" spans="1:35" x14ac:dyDescent="0.15">
      <c r="A11" s="670">
        <v>1</v>
      </c>
      <c r="B11" s="669" t="s">
        <v>1226</v>
      </c>
      <c r="C11" s="668"/>
      <c r="D11" s="667" t="s">
        <v>1067</v>
      </c>
      <c r="E11" s="666"/>
      <c r="F11" s="675"/>
      <c r="G11" s="674"/>
      <c r="H11" s="674"/>
      <c r="I11" s="674"/>
      <c r="J11" s="673"/>
      <c r="K11" s="672"/>
      <c r="L11" s="714"/>
      <c r="M11" s="714"/>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9">
        <f t="shared" si="10"/>
        <v>0</v>
      </c>
      <c r="AA11" s="649">
        <f t="shared" si="11"/>
        <v>0</v>
      </c>
      <c r="AB11" s="649">
        <f t="shared" si="12"/>
        <v>0</v>
      </c>
      <c r="AC11" s="649">
        <f t="shared" si="12"/>
        <v>0</v>
      </c>
      <c r="AD11" s="649">
        <f t="shared" si="13"/>
        <v>0</v>
      </c>
      <c r="AE11" s="648"/>
      <c r="AF11" s="648"/>
      <c r="AG11" s="648"/>
      <c r="AH11" s="648"/>
      <c r="AI11" s="648"/>
    </row>
    <row r="12" spans="1:35" x14ac:dyDescent="0.15">
      <c r="A12" s="670">
        <v>1</v>
      </c>
      <c r="B12" s="669" t="s">
        <v>1224</v>
      </c>
      <c r="C12" s="668" t="s">
        <v>1225</v>
      </c>
      <c r="D12" s="667" t="s">
        <v>1065</v>
      </c>
      <c r="E12" s="666"/>
      <c r="F12" s="675"/>
      <c r="G12" s="674"/>
      <c r="H12" s="674"/>
      <c r="I12" s="674"/>
      <c r="J12" s="673"/>
      <c r="K12" s="672"/>
      <c r="L12" s="714"/>
      <c r="M12" s="714"/>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9">
        <f t="shared" si="10"/>
        <v>0</v>
      </c>
      <c r="AA12" s="649">
        <f t="shared" si="11"/>
        <v>0</v>
      </c>
      <c r="AB12" s="649">
        <f t="shared" si="12"/>
        <v>0</v>
      </c>
      <c r="AC12" s="649">
        <f t="shared" si="12"/>
        <v>0</v>
      </c>
      <c r="AD12" s="649">
        <f t="shared" si="13"/>
        <v>0</v>
      </c>
      <c r="AE12" s="648"/>
      <c r="AF12" s="648"/>
      <c r="AG12" s="648"/>
      <c r="AH12" s="648"/>
      <c r="AI12" s="648"/>
    </row>
    <row r="13" spans="1:35" x14ac:dyDescent="0.15">
      <c r="A13" s="670">
        <v>1</v>
      </c>
      <c r="B13" s="669" t="s">
        <v>1224</v>
      </c>
      <c r="C13" s="668" t="s">
        <v>1223</v>
      </c>
      <c r="D13" s="667" t="s">
        <v>1062</v>
      </c>
      <c r="E13" s="666"/>
      <c r="F13" s="675"/>
      <c r="G13" s="674"/>
      <c r="H13" s="674"/>
      <c r="I13" s="674"/>
      <c r="J13" s="673"/>
      <c r="K13" s="672"/>
      <c r="L13" s="714"/>
      <c r="M13" s="714"/>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9">
        <f t="shared" si="10"/>
        <v>0</v>
      </c>
      <c r="AA13" s="649">
        <f t="shared" si="11"/>
        <v>0</v>
      </c>
      <c r="AB13" s="649">
        <f t="shared" si="12"/>
        <v>0</v>
      </c>
      <c r="AC13" s="649">
        <f t="shared" si="12"/>
        <v>0</v>
      </c>
      <c r="AD13" s="649">
        <f t="shared" si="13"/>
        <v>0</v>
      </c>
      <c r="AE13" s="648"/>
      <c r="AF13" s="648"/>
      <c r="AG13" s="648"/>
      <c r="AH13" s="648"/>
      <c r="AI13" s="648"/>
    </row>
    <row r="14" spans="1:35" x14ac:dyDescent="0.15">
      <c r="A14" s="670">
        <v>1</v>
      </c>
      <c r="B14" s="669" t="s">
        <v>1222</v>
      </c>
      <c r="C14" s="668"/>
      <c r="D14" s="667" t="s">
        <v>1060</v>
      </c>
      <c r="E14" s="666"/>
      <c r="F14" s="675"/>
      <c r="G14" s="674"/>
      <c r="H14" s="674"/>
      <c r="I14" s="674"/>
      <c r="J14" s="673"/>
      <c r="K14" s="672"/>
      <c r="L14" s="714"/>
      <c r="M14" s="714"/>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9">
        <f t="shared" si="10"/>
        <v>0</v>
      </c>
      <c r="AA14" s="649">
        <f t="shared" si="11"/>
        <v>0</v>
      </c>
      <c r="AB14" s="649">
        <f t="shared" si="12"/>
        <v>0</v>
      </c>
      <c r="AC14" s="649">
        <f t="shared" si="12"/>
        <v>0</v>
      </c>
      <c r="AD14" s="649">
        <f t="shared" si="13"/>
        <v>0</v>
      </c>
      <c r="AE14" s="648"/>
      <c r="AF14" s="648"/>
      <c r="AG14" s="648"/>
      <c r="AH14" s="648"/>
      <c r="AI14" s="648"/>
    </row>
    <row r="15" spans="1:35" x14ac:dyDescent="0.15">
      <c r="A15" s="670">
        <v>1</v>
      </c>
      <c r="B15" s="669" t="s">
        <v>1221</v>
      </c>
      <c r="C15" s="668"/>
      <c r="D15" s="667" t="s">
        <v>1058</v>
      </c>
      <c r="E15" s="666"/>
      <c r="F15" s="675"/>
      <c r="G15" s="674"/>
      <c r="H15" s="674"/>
      <c r="I15" s="674"/>
      <c r="J15" s="673"/>
      <c r="K15" s="672"/>
      <c r="L15" s="714"/>
      <c r="M15" s="714"/>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9">
        <f t="shared" si="10"/>
        <v>0</v>
      </c>
      <c r="AA15" s="649">
        <f t="shared" si="11"/>
        <v>0</v>
      </c>
      <c r="AB15" s="649">
        <f t="shared" si="12"/>
        <v>0</v>
      </c>
      <c r="AC15" s="649">
        <f t="shared" si="12"/>
        <v>0</v>
      </c>
      <c r="AD15" s="649">
        <f t="shared" si="13"/>
        <v>0</v>
      </c>
      <c r="AE15" s="648"/>
      <c r="AF15" s="648"/>
      <c r="AG15" s="648"/>
      <c r="AH15" s="648"/>
      <c r="AI15" s="648"/>
    </row>
    <row r="16" spans="1:35" x14ac:dyDescent="0.15">
      <c r="A16" s="670">
        <v>1</v>
      </c>
      <c r="B16" s="669" t="s">
        <v>1220</v>
      </c>
      <c r="C16" s="668"/>
      <c r="D16" s="667" t="s">
        <v>1056</v>
      </c>
      <c r="E16" s="666"/>
      <c r="F16" s="675"/>
      <c r="G16" s="674"/>
      <c r="H16" s="674"/>
      <c r="I16" s="674"/>
      <c r="J16" s="673"/>
      <c r="K16" s="672"/>
      <c r="L16" s="714"/>
      <c r="M16" s="714"/>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9">
        <f t="shared" si="10"/>
        <v>0</v>
      </c>
      <c r="AA16" s="649">
        <f t="shared" si="11"/>
        <v>0</v>
      </c>
      <c r="AB16" s="649">
        <f t="shared" si="12"/>
        <v>0</v>
      </c>
      <c r="AC16" s="649">
        <f t="shared" si="12"/>
        <v>0</v>
      </c>
      <c r="AD16" s="649">
        <f t="shared" si="13"/>
        <v>0</v>
      </c>
      <c r="AE16" s="648"/>
      <c r="AF16" s="648"/>
      <c r="AG16" s="648"/>
      <c r="AH16" s="648"/>
      <c r="AI16" s="648"/>
    </row>
    <row r="17" spans="1:35" x14ac:dyDescent="0.15">
      <c r="A17" s="670">
        <v>1</v>
      </c>
      <c r="B17" s="669" t="s">
        <v>1219</v>
      </c>
      <c r="C17" s="668"/>
      <c r="D17" s="667" t="s">
        <v>1054</v>
      </c>
      <c r="E17" s="666"/>
      <c r="F17" s="675"/>
      <c r="G17" s="674"/>
      <c r="H17" s="674"/>
      <c r="I17" s="674"/>
      <c r="J17" s="673"/>
      <c r="K17" s="672"/>
      <c r="L17" s="714"/>
      <c r="M17" s="714"/>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9">
        <f t="shared" si="10"/>
        <v>0</v>
      </c>
      <c r="AA17" s="649">
        <f t="shared" si="11"/>
        <v>0</v>
      </c>
      <c r="AB17" s="649">
        <f t="shared" si="12"/>
        <v>0</v>
      </c>
      <c r="AC17" s="649">
        <f t="shared" si="12"/>
        <v>0</v>
      </c>
      <c r="AD17" s="649">
        <f t="shared" si="13"/>
        <v>0</v>
      </c>
      <c r="AE17" s="648"/>
      <c r="AF17" s="648"/>
      <c r="AG17" s="648"/>
      <c r="AH17" s="648"/>
      <c r="AI17" s="648"/>
    </row>
    <row r="18" spans="1:35" x14ac:dyDescent="0.15">
      <c r="A18" s="670">
        <v>1</v>
      </c>
      <c r="B18" s="669" t="s">
        <v>1218</v>
      </c>
      <c r="C18" s="668"/>
      <c r="D18" s="667" t="s">
        <v>1052</v>
      </c>
      <c r="E18" s="666"/>
      <c r="F18" s="675"/>
      <c r="G18" s="674"/>
      <c r="H18" s="674"/>
      <c r="I18" s="674"/>
      <c r="J18" s="673"/>
      <c r="K18" s="672"/>
      <c r="L18" s="714"/>
      <c r="M18" s="714"/>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9">
        <f t="shared" si="10"/>
        <v>0</v>
      </c>
      <c r="AA18" s="649">
        <f t="shared" si="11"/>
        <v>0</v>
      </c>
      <c r="AB18" s="649">
        <f t="shared" si="12"/>
        <v>0</v>
      </c>
      <c r="AC18" s="649">
        <f t="shared" si="12"/>
        <v>0</v>
      </c>
      <c r="AD18" s="649">
        <f t="shared" si="13"/>
        <v>0</v>
      </c>
      <c r="AE18" s="648"/>
      <c r="AF18" s="648"/>
      <c r="AG18" s="648"/>
      <c r="AH18" s="648"/>
      <c r="AI18" s="648"/>
    </row>
    <row r="19" spans="1:35" x14ac:dyDescent="0.15">
      <c r="A19" s="670">
        <v>1</v>
      </c>
      <c r="B19" s="669" t="s">
        <v>1217</v>
      </c>
      <c r="C19" s="668"/>
      <c r="D19" s="667" t="s">
        <v>1050</v>
      </c>
      <c r="E19" s="666"/>
      <c r="F19" s="675"/>
      <c r="G19" s="674"/>
      <c r="H19" s="674"/>
      <c r="I19" s="674"/>
      <c r="J19" s="673"/>
      <c r="K19" s="672"/>
      <c r="L19" s="714"/>
      <c r="M19" s="714"/>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9">
        <f t="shared" si="10"/>
        <v>0</v>
      </c>
      <c r="AA19" s="649">
        <f t="shared" si="11"/>
        <v>0</v>
      </c>
      <c r="AB19" s="649">
        <f t="shared" si="12"/>
        <v>0</v>
      </c>
      <c r="AC19" s="649">
        <f t="shared" si="12"/>
        <v>0</v>
      </c>
      <c r="AD19" s="649">
        <f t="shared" si="13"/>
        <v>0</v>
      </c>
      <c r="AE19" s="648"/>
      <c r="AF19" s="648"/>
      <c r="AG19" s="648"/>
      <c r="AH19" s="648"/>
      <c r="AI19" s="648"/>
    </row>
    <row r="20" spans="1:35" x14ac:dyDescent="0.15">
      <c r="A20" s="670">
        <v>1</v>
      </c>
      <c r="B20" s="669" t="s">
        <v>1216</v>
      </c>
      <c r="C20" s="668"/>
      <c r="D20" s="667" t="s">
        <v>1048</v>
      </c>
      <c r="E20" s="666"/>
      <c r="F20" s="675"/>
      <c r="G20" s="674"/>
      <c r="H20" s="674"/>
      <c r="I20" s="674"/>
      <c r="J20" s="673"/>
      <c r="K20" s="672"/>
      <c r="L20" s="714"/>
      <c r="M20" s="714"/>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9">
        <f t="shared" si="10"/>
        <v>0</v>
      </c>
      <c r="AA20" s="649">
        <f t="shared" si="11"/>
        <v>0</v>
      </c>
      <c r="AB20" s="649">
        <f t="shared" si="12"/>
        <v>0</v>
      </c>
      <c r="AC20" s="649">
        <f t="shared" si="12"/>
        <v>0</v>
      </c>
      <c r="AD20" s="649">
        <f t="shared" si="13"/>
        <v>0</v>
      </c>
      <c r="AE20" s="648"/>
      <c r="AF20" s="648"/>
      <c r="AG20" s="648"/>
      <c r="AH20" s="648"/>
      <c r="AI20" s="648"/>
    </row>
    <row r="21" spans="1:35" x14ac:dyDescent="0.15">
      <c r="A21" s="670">
        <v>1</v>
      </c>
      <c r="B21" s="669" t="s">
        <v>1215</v>
      </c>
      <c r="C21" s="668"/>
      <c r="D21" s="667" t="s">
        <v>1046</v>
      </c>
      <c r="E21" s="666"/>
      <c r="F21" s="675"/>
      <c r="G21" s="674"/>
      <c r="H21" s="674"/>
      <c r="I21" s="674"/>
      <c r="J21" s="673"/>
      <c r="K21" s="672"/>
      <c r="L21" s="714"/>
      <c r="M21" s="714"/>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9">
        <f t="shared" si="10"/>
        <v>0</v>
      </c>
      <c r="AA21" s="649">
        <f t="shared" si="11"/>
        <v>0</v>
      </c>
      <c r="AB21" s="649">
        <f t="shared" si="12"/>
        <v>0</v>
      </c>
      <c r="AC21" s="649">
        <f t="shared" si="12"/>
        <v>0</v>
      </c>
      <c r="AD21" s="649">
        <f t="shared" si="13"/>
        <v>0</v>
      </c>
      <c r="AE21" s="648"/>
      <c r="AF21" s="648"/>
      <c r="AG21" s="648"/>
      <c r="AH21" s="648"/>
      <c r="AI21" s="648"/>
    </row>
    <row r="22" spans="1:35" x14ac:dyDescent="0.15">
      <c r="A22" s="670">
        <v>1</v>
      </c>
      <c r="B22" s="669" t="s">
        <v>1214</v>
      </c>
      <c r="C22" s="668"/>
      <c r="D22" s="667" t="s">
        <v>1044</v>
      </c>
      <c r="E22" s="666"/>
      <c r="F22" s="675"/>
      <c r="G22" s="674"/>
      <c r="H22" s="674"/>
      <c r="I22" s="674"/>
      <c r="J22" s="673"/>
      <c r="K22" s="672"/>
      <c r="L22" s="714"/>
      <c r="M22" s="714"/>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9">
        <f t="shared" si="10"/>
        <v>0</v>
      </c>
      <c r="AA22" s="649">
        <f t="shared" si="11"/>
        <v>0</v>
      </c>
      <c r="AB22" s="649">
        <f t="shared" si="12"/>
        <v>0</v>
      </c>
      <c r="AC22" s="649">
        <f t="shared" si="12"/>
        <v>0</v>
      </c>
      <c r="AD22" s="649">
        <f t="shared" si="13"/>
        <v>0</v>
      </c>
      <c r="AE22" s="648"/>
      <c r="AF22" s="648"/>
      <c r="AG22" s="648"/>
      <c r="AH22" s="648"/>
      <c r="AI22" s="648"/>
    </row>
    <row r="23" spans="1:35" x14ac:dyDescent="0.15">
      <c r="A23" s="670">
        <v>1</v>
      </c>
      <c r="B23" s="669" t="s">
        <v>1213</v>
      </c>
      <c r="C23" s="668"/>
      <c r="D23" s="667" t="s">
        <v>1042</v>
      </c>
      <c r="E23" s="666"/>
      <c r="F23" s="675"/>
      <c r="G23" s="674"/>
      <c r="H23" s="674"/>
      <c r="I23" s="674"/>
      <c r="J23" s="673"/>
      <c r="K23" s="672"/>
      <c r="L23" s="714"/>
      <c r="M23" s="714"/>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9">
        <f t="shared" si="10"/>
        <v>0</v>
      </c>
      <c r="AA23" s="649">
        <f t="shared" si="11"/>
        <v>0</v>
      </c>
      <c r="AB23" s="649">
        <f t="shared" si="12"/>
        <v>0</v>
      </c>
      <c r="AC23" s="649">
        <f t="shared" si="12"/>
        <v>0</v>
      </c>
      <c r="AD23" s="649">
        <f t="shared" si="13"/>
        <v>0</v>
      </c>
      <c r="AE23" s="648"/>
      <c r="AF23" s="648"/>
      <c r="AG23" s="648"/>
      <c r="AH23" s="648"/>
      <c r="AI23" s="648"/>
    </row>
    <row r="24" spans="1:35" x14ac:dyDescent="0.15">
      <c r="A24" s="670">
        <v>1</v>
      </c>
      <c r="B24" s="669" t="s">
        <v>1212</v>
      </c>
      <c r="C24" s="668"/>
      <c r="D24" s="667" t="s">
        <v>1040</v>
      </c>
      <c r="E24" s="666"/>
      <c r="F24" s="675"/>
      <c r="G24" s="674"/>
      <c r="H24" s="674"/>
      <c r="I24" s="674"/>
      <c r="J24" s="673"/>
      <c r="K24" s="672"/>
      <c r="L24" s="714"/>
      <c r="M24" s="714"/>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9">
        <f t="shared" si="10"/>
        <v>0</v>
      </c>
      <c r="AA24" s="649">
        <f t="shared" si="11"/>
        <v>0</v>
      </c>
      <c r="AB24" s="649">
        <f t="shared" si="12"/>
        <v>0</v>
      </c>
      <c r="AC24" s="649">
        <f t="shared" si="12"/>
        <v>0</v>
      </c>
      <c r="AD24" s="649">
        <f t="shared" si="13"/>
        <v>0</v>
      </c>
      <c r="AE24" s="648"/>
      <c r="AF24" s="648"/>
      <c r="AG24" s="648"/>
      <c r="AH24" s="648"/>
      <c r="AI24" s="648"/>
    </row>
    <row r="25" spans="1:35" x14ac:dyDescent="0.15">
      <c r="A25" s="670">
        <v>1</v>
      </c>
      <c r="B25" s="669" t="s">
        <v>1211</v>
      </c>
      <c r="C25" s="668"/>
      <c r="D25" s="667" t="s">
        <v>1038</v>
      </c>
      <c r="E25" s="666"/>
      <c r="F25" s="675"/>
      <c r="G25" s="674"/>
      <c r="H25" s="674"/>
      <c r="I25" s="674"/>
      <c r="J25" s="673"/>
      <c r="K25" s="672"/>
      <c r="L25" s="714"/>
      <c r="M25" s="714"/>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9">
        <f t="shared" si="10"/>
        <v>0</v>
      </c>
      <c r="AA25" s="649">
        <f t="shared" si="11"/>
        <v>0</v>
      </c>
      <c r="AB25" s="649">
        <f t="shared" si="12"/>
        <v>0</v>
      </c>
      <c r="AC25" s="649">
        <f t="shared" si="12"/>
        <v>0</v>
      </c>
      <c r="AD25" s="649">
        <f t="shared" si="13"/>
        <v>0</v>
      </c>
      <c r="AE25" s="648"/>
      <c r="AF25" s="648"/>
      <c r="AG25" s="648"/>
      <c r="AH25" s="648"/>
      <c r="AI25" s="648"/>
    </row>
    <row r="26" spans="1:35" x14ac:dyDescent="0.15">
      <c r="A26" s="670">
        <v>1</v>
      </c>
      <c r="B26" s="669" t="s">
        <v>1210</v>
      </c>
      <c r="C26" s="668"/>
      <c r="D26" s="667" t="s">
        <v>1036</v>
      </c>
      <c r="E26" s="666"/>
      <c r="F26" s="675"/>
      <c r="G26" s="674"/>
      <c r="H26" s="674"/>
      <c r="I26" s="674"/>
      <c r="J26" s="673"/>
      <c r="K26" s="672"/>
      <c r="L26" s="714"/>
      <c r="M26" s="714"/>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9">
        <f t="shared" si="10"/>
        <v>0</v>
      </c>
      <c r="AA26" s="649">
        <f t="shared" si="11"/>
        <v>0</v>
      </c>
      <c r="AB26" s="649">
        <f t="shared" si="12"/>
        <v>0</v>
      </c>
      <c r="AC26" s="649">
        <f t="shared" si="12"/>
        <v>0</v>
      </c>
      <c r="AD26" s="649">
        <f t="shared" si="13"/>
        <v>0</v>
      </c>
      <c r="AE26" s="648"/>
      <c r="AF26" s="648"/>
      <c r="AG26" s="648"/>
      <c r="AH26" s="648"/>
      <c r="AI26" s="648"/>
    </row>
    <row r="27" spans="1:35" x14ac:dyDescent="0.15">
      <c r="A27" s="670">
        <v>1</v>
      </c>
      <c r="B27" s="669" t="s">
        <v>1224</v>
      </c>
      <c r="C27" s="668">
        <v>615471003</v>
      </c>
      <c r="D27" s="667" t="s">
        <v>1348</v>
      </c>
      <c r="E27" s="666"/>
      <c r="F27" s="675"/>
      <c r="G27" s="674"/>
      <c r="H27" s="674"/>
      <c r="I27" s="674"/>
      <c r="J27" s="673"/>
      <c r="K27" s="672"/>
      <c r="L27" s="714"/>
      <c r="M27" s="714"/>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9">
        <f t="shared" si="10"/>
        <v>0</v>
      </c>
      <c r="AA27" s="649">
        <f t="shared" si="11"/>
        <v>0</v>
      </c>
      <c r="AB27" s="649">
        <f t="shared" si="12"/>
        <v>0</v>
      </c>
      <c r="AC27" s="649">
        <f t="shared" si="12"/>
        <v>0</v>
      </c>
      <c r="AD27" s="649">
        <f t="shared" si="13"/>
        <v>0</v>
      </c>
      <c r="AE27" s="648"/>
      <c r="AF27" s="648"/>
      <c r="AG27" s="648"/>
      <c r="AH27" s="648"/>
      <c r="AI27" s="648"/>
    </row>
    <row r="28" spans="1:35" x14ac:dyDescent="0.15">
      <c r="A28" s="670">
        <v>1</v>
      </c>
      <c r="B28" s="669" t="s">
        <v>1209</v>
      </c>
      <c r="C28" s="668"/>
      <c r="D28" s="667" t="s">
        <v>1034</v>
      </c>
      <c r="E28" s="666"/>
      <c r="F28" s="675"/>
      <c r="G28" s="674"/>
      <c r="H28" s="674"/>
      <c r="I28" s="674"/>
      <c r="J28" s="673"/>
      <c r="K28" s="672"/>
      <c r="L28" s="714"/>
      <c r="M28" s="714"/>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9">
        <f t="shared" si="10"/>
        <v>0</v>
      </c>
      <c r="AA28" s="649">
        <f t="shared" si="11"/>
        <v>0</v>
      </c>
      <c r="AB28" s="649">
        <f t="shared" si="12"/>
        <v>0</v>
      </c>
      <c r="AC28" s="649">
        <f t="shared" si="12"/>
        <v>0</v>
      </c>
      <c r="AD28" s="649">
        <f t="shared" si="13"/>
        <v>0</v>
      </c>
      <c r="AE28" s="648"/>
      <c r="AF28" s="648"/>
      <c r="AG28" s="648"/>
      <c r="AH28" s="648"/>
      <c r="AI28" s="648"/>
    </row>
    <row r="29" spans="1:35" x14ac:dyDescent="0.15">
      <c r="A29" s="670">
        <v>1</v>
      </c>
      <c r="B29" s="669" t="s">
        <v>1208</v>
      </c>
      <c r="C29" s="668"/>
      <c r="D29" s="667" t="s">
        <v>1032</v>
      </c>
      <c r="E29" s="666"/>
      <c r="F29" s="675"/>
      <c r="G29" s="674"/>
      <c r="H29" s="674"/>
      <c r="I29" s="674"/>
      <c r="J29" s="673"/>
      <c r="K29" s="672"/>
      <c r="L29" s="714"/>
      <c r="M29" s="714"/>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9">
        <f t="shared" si="10"/>
        <v>0</v>
      </c>
      <c r="AA29" s="649">
        <f t="shared" si="11"/>
        <v>0</v>
      </c>
      <c r="AB29" s="649">
        <f t="shared" si="12"/>
        <v>0</v>
      </c>
      <c r="AC29" s="649">
        <f t="shared" si="12"/>
        <v>0</v>
      </c>
      <c r="AD29" s="649">
        <f t="shared" si="13"/>
        <v>0</v>
      </c>
      <c r="AE29" s="648"/>
      <c r="AF29" s="648"/>
      <c r="AG29" s="648"/>
      <c r="AH29" s="648"/>
      <c r="AI29" s="648"/>
    </row>
    <row r="30" spans="1:35" x14ac:dyDescent="0.15">
      <c r="A30" s="670">
        <v>1</v>
      </c>
      <c r="B30" s="669" t="s">
        <v>1207</v>
      </c>
      <c r="C30" s="668"/>
      <c r="D30" s="667" t="s">
        <v>1030</v>
      </c>
      <c r="E30" s="666"/>
      <c r="F30" s="675"/>
      <c r="G30" s="674"/>
      <c r="H30" s="674"/>
      <c r="I30" s="674"/>
      <c r="J30" s="673"/>
      <c r="K30" s="672"/>
      <c r="L30" s="714"/>
      <c r="M30" s="714"/>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9">
        <f t="shared" si="10"/>
        <v>0</v>
      </c>
      <c r="AA30" s="649">
        <f t="shared" si="11"/>
        <v>0</v>
      </c>
      <c r="AB30" s="649">
        <f t="shared" si="12"/>
        <v>0</v>
      </c>
      <c r="AC30" s="649">
        <f t="shared" si="12"/>
        <v>0</v>
      </c>
      <c r="AD30" s="649">
        <f t="shared" si="13"/>
        <v>0</v>
      </c>
      <c r="AE30" s="648"/>
      <c r="AF30" s="648"/>
      <c r="AG30" s="648"/>
      <c r="AH30" s="648"/>
      <c r="AI30" s="648"/>
    </row>
    <row r="31" spans="1:35" x14ac:dyDescent="0.15">
      <c r="A31" s="670">
        <v>1</v>
      </c>
      <c r="B31" s="669" t="s">
        <v>1206</v>
      </c>
      <c r="C31" s="668"/>
      <c r="D31" s="667" t="s">
        <v>1028</v>
      </c>
      <c r="E31" s="666"/>
      <c r="F31" s="675"/>
      <c r="G31" s="674"/>
      <c r="H31" s="674"/>
      <c r="I31" s="674"/>
      <c r="J31" s="673"/>
      <c r="K31" s="672"/>
      <c r="L31" s="714"/>
      <c r="M31" s="714"/>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9">
        <f t="shared" si="10"/>
        <v>0</v>
      </c>
      <c r="AA31" s="649">
        <f t="shared" si="11"/>
        <v>0</v>
      </c>
      <c r="AB31" s="649">
        <f t="shared" si="12"/>
        <v>0</v>
      </c>
      <c r="AC31" s="649">
        <f t="shared" si="12"/>
        <v>0</v>
      </c>
      <c r="AD31" s="649">
        <f t="shared" si="13"/>
        <v>0</v>
      </c>
      <c r="AE31" s="648"/>
      <c r="AF31" s="648"/>
      <c r="AG31" s="648"/>
      <c r="AH31" s="648"/>
      <c r="AI31" s="648"/>
    </row>
    <row r="32" spans="1:35" x14ac:dyDescent="0.15">
      <c r="A32" s="670"/>
      <c r="B32" s="669" t="s">
        <v>1205</v>
      </c>
      <c r="C32" s="668"/>
      <c r="D32" s="667" t="s">
        <v>1026</v>
      </c>
      <c r="E32" s="666"/>
      <c r="F32" s="675"/>
      <c r="G32" s="674"/>
      <c r="H32" s="674"/>
      <c r="I32" s="674"/>
      <c r="J32" s="673"/>
      <c r="K32" s="672"/>
      <c r="L32" s="714"/>
      <c r="M32" s="714"/>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9">
        <f t="shared" si="10"/>
        <v>0</v>
      </c>
      <c r="AA32" s="649">
        <f t="shared" si="11"/>
        <v>0</v>
      </c>
      <c r="AB32" s="649">
        <f t="shared" si="12"/>
        <v>0</v>
      </c>
      <c r="AC32" s="649">
        <f t="shared" si="12"/>
        <v>0</v>
      </c>
      <c r="AD32" s="649">
        <f t="shared" si="13"/>
        <v>0</v>
      </c>
      <c r="AE32" s="648"/>
      <c r="AF32" s="648"/>
      <c r="AG32" s="648"/>
      <c r="AH32" s="648"/>
      <c r="AI32" s="648"/>
    </row>
    <row r="33" spans="1:35" x14ac:dyDescent="0.15">
      <c r="A33" s="670">
        <v>1</v>
      </c>
      <c r="B33" s="669" t="s">
        <v>1204</v>
      </c>
      <c r="C33" s="668"/>
      <c r="D33" s="667" t="s">
        <v>1024</v>
      </c>
      <c r="E33" s="666"/>
      <c r="F33" s="675"/>
      <c r="G33" s="674"/>
      <c r="H33" s="674"/>
      <c r="I33" s="674"/>
      <c r="J33" s="673"/>
      <c r="K33" s="672"/>
      <c r="L33" s="714"/>
      <c r="M33" s="714"/>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9">
        <f t="shared" si="10"/>
        <v>0</v>
      </c>
      <c r="AA33" s="649">
        <f t="shared" si="11"/>
        <v>0</v>
      </c>
      <c r="AB33" s="649">
        <f t="shared" si="12"/>
        <v>0</v>
      </c>
      <c r="AC33" s="649">
        <f t="shared" si="12"/>
        <v>0</v>
      </c>
      <c r="AD33" s="649">
        <f t="shared" si="13"/>
        <v>0</v>
      </c>
      <c r="AE33" s="648"/>
      <c r="AF33" s="648"/>
      <c r="AG33" s="648"/>
      <c r="AH33" s="648"/>
      <c r="AI33" s="648"/>
    </row>
    <row r="34" spans="1:35" x14ac:dyDescent="0.15">
      <c r="A34" s="670">
        <v>1</v>
      </c>
      <c r="B34" s="669" t="s">
        <v>1203</v>
      </c>
      <c r="C34" s="668"/>
      <c r="D34" s="667" t="s">
        <v>1022</v>
      </c>
      <c r="E34" s="666"/>
      <c r="F34" s="675"/>
      <c r="G34" s="674"/>
      <c r="H34" s="674"/>
      <c r="I34" s="674"/>
      <c r="J34" s="673"/>
      <c r="K34" s="672"/>
      <c r="L34" s="714"/>
      <c r="M34" s="714"/>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9">
        <f t="shared" si="10"/>
        <v>0</v>
      </c>
      <c r="AA34" s="649">
        <f t="shared" si="11"/>
        <v>0</v>
      </c>
      <c r="AB34" s="649">
        <f t="shared" si="12"/>
        <v>0</v>
      </c>
      <c r="AC34" s="649">
        <f t="shared" si="12"/>
        <v>0</v>
      </c>
      <c r="AD34" s="649">
        <f t="shared" si="13"/>
        <v>0</v>
      </c>
      <c r="AE34" s="648"/>
      <c r="AF34" s="648"/>
      <c r="AG34" s="648"/>
      <c r="AH34" s="648"/>
      <c r="AI34" s="648"/>
    </row>
    <row r="35" spans="1:35" x14ac:dyDescent="0.15">
      <c r="A35" s="670">
        <v>1</v>
      </c>
      <c r="B35" s="669" t="s">
        <v>1197</v>
      </c>
      <c r="C35" s="668" t="s">
        <v>1202</v>
      </c>
      <c r="D35" s="667" t="s">
        <v>1020</v>
      </c>
      <c r="E35" s="666"/>
      <c r="F35" s="675"/>
      <c r="G35" s="674"/>
      <c r="H35" s="674"/>
      <c r="I35" s="674"/>
      <c r="J35" s="673"/>
      <c r="K35" s="672"/>
      <c r="L35" s="714"/>
      <c r="M35" s="714"/>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9">
        <f t="shared" si="10"/>
        <v>0</v>
      </c>
      <c r="AA35" s="649">
        <f t="shared" si="11"/>
        <v>0</v>
      </c>
      <c r="AB35" s="649">
        <f t="shared" si="12"/>
        <v>0</v>
      </c>
      <c r="AC35" s="649">
        <f t="shared" si="12"/>
        <v>0</v>
      </c>
      <c r="AD35" s="649">
        <f t="shared" si="13"/>
        <v>0</v>
      </c>
      <c r="AE35" s="648"/>
      <c r="AF35" s="648"/>
      <c r="AG35" s="648"/>
      <c r="AH35" s="648"/>
      <c r="AI35" s="648"/>
    </row>
    <row r="36" spans="1:35" x14ac:dyDescent="0.15">
      <c r="A36" s="670">
        <v>1</v>
      </c>
      <c r="B36" s="669" t="s">
        <v>1197</v>
      </c>
      <c r="C36" s="668" t="s">
        <v>1201</v>
      </c>
      <c r="D36" s="667" t="s">
        <v>1018</v>
      </c>
      <c r="E36" s="666"/>
      <c r="F36" s="675"/>
      <c r="G36" s="674"/>
      <c r="H36" s="674"/>
      <c r="I36" s="674"/>
      <c r="J36" s="673"/>
      <c r="K36" s="672"/>
      <c r="L36" s="714"/>
      <c r="M36" s="714"/>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9">
        <f t="shared" si="10"/>
        <v>0</v>
      </c>
      <c r="AA36" s="649">
        <f t="shared" si="11"/>
        <v>0</v>
      </c>
      <c r="AB36" s="649">
        <f t="shared" si="12"/>
        <v>0</v>
      </c>
      <c r="AC36" s="649">
        <f t="shared" si="12"/>
        <v>0</v>
      </c>
      <c r="AD36" s="649">
        <f t="shared" si="13"/>
        <v>0</v>
      </c>
      <c r="AE36" s="648"/>
      <c r="AF36" s="648"/>
      <c r="AG36" s="648"/>
      <c r="AH36" s="648"/>
      <c r="AI36" s="648"/>
    </row>
    <row r="37" spans="1:35" x14ac:dyDescent="0.15">
      <c r="A37" s="670">
        <v>1</v>
      </c>
      <c r="B37" s="669" t="s">
        <v>1197</v>
      </c>
      <c r="C37" s="668" t="s">
        <v>1200</v>
      </c>
      <c r="D37" s="667" t="s">
        <v>1016</v>
      </c>
      <c r="E37" s="666"/>
      <c r="F37" s="675"/>
      <c r="G37" s="674"/>
      <c r="H37" s="674"/>
      <c r="I37" s="674"/>
      <c r="J37" s="673"/>
      <c r="K37" s="672"/>
      <c r="L37" s="714"/>
      <c r="M37" s="714"/>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9">
        <f t="shared" si="10"/>
        <v>0</v>
      </c>
      <c r="AA37" s="649">
        <f t="shared" si="11"/>
        <v>0</v>
      </c>
      <c r="AB37" s="649">
        <f t="shared" si="12"/>
        <v>0</v>
      </c>
      <c r="AC37" s="649">
        <f t="shared" si="12"/>
        <v>0</v>
      </c>
      <c r="AD37" s="649">
        <f t="shared" si="13"/>
        <v>0</v>
      </c>
      <c r="AE37" s="648"/>
      <c r="AF37" s="648"/>
      <c r="AG37" s="648"/>
      <c r="AH37" s="648"/>
      <c r="AI37" s="648"/>
    </row>
    <row r="38" spans="1:35" x14ac:dyDescent="0.15">
      <c r="A38" s="670">
        <v>1</v>
      </c>
      <c r="B38" s="669" t="s">
        <v>1197</v>
      </c>
      <c r="C38" s="668" t="s">
        <v>1199</v>
      </c>
      <c r="D38" s="667" t="s">
        <v>1014</v>
      </c>
      <c r="E38" s="666"/>
      <c r="F38" s="675"/>
      <c r="G38" s="674"/>
      <c r="H38" s="674"/>
      <c r="I38" s="674"/>
      <c r="J38" s="673"/>
      <c r="K38" s="672"/>
      <c r="L38" s="714"/>
      <c r="M38" s="714"/>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9">
        <f t="shared" si="10"/>
        <v>0</v>
      </c>
      <c r="AA38" s="649">
        <f t="shared" si="11"/>
        <v>0</v>
      </c>
      <c r="AB38" s="649">
        <f t="shared" si="12"/>
        <v>0</v>
      </c>
      <c r="AC38" s="649">
        <f t="shared" si="12"/>
        <v>0</v>
      </c>
      <c r="AD38" s="649">
        <f t="shared" si="13"/>
        <v>0</v>
      </c>
      <c r="AE38" s="648"/>
      <c r="AF38" s="648"/>
      <c r="AG38" s="648"/>
      <c r="AH38" s="648"/>
      <c r="AI38" s="648"/>
    </row>
    <row r="39" spans="1:35" x14ac:dyDescent="0.15">
      <c r="A39" s="670">
        <v>1</v>
      </c>
      <c r="B39" s="669" t="s">
        <v>1197</v>
      </c>
      <c r="C39" s="668" t="s">
        <v>1198</v>
      </c>
      <c r="D39" s="667" t="s">
        <v>1012</v>
      </c>
      <c r="E39" s="700">
        <f>+IF($A39="",IF($C39="",SUMIFS(全伝票!I:I,全伝票!$B:$B,$B39),SUMIFS(全伝票!I:I,全伝票!$C:$C,$C39)),IF($C39="",SUMIFS(全伝票!I:I,全伝票!$A:$A,$A39,全伝票!$B:$B,$B39),SUMIFS(全伝票!I:I,全伝票!$A:$A,$A39,全伝票!$C:$C,$C39)))</f>
        <v>131921564</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121228564</v>
      </c>
      <c r="K39" s="664">
        <f>SUM(F39:J39)</f>
        <v>121228564</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10693000</v>
      </c>
      <c r="N39" s="662">
        <f t="shared" si="0"/>
        <v>0</v>
      </c>
      <c r="O39" s="661">
        <f t="shared" si="1"/>
        <v>0</v>
      </c>
      <c r="P39" s="661">
        <f t="shared" si="2"/>
        <v>0</v>
      </c>
      <c r="Q39" s="661">
        <f t="shared" si="2"/>
        <v>0</v>
      </c>
      <c r="R39" s="665">
        <f t="shared" si="3"/>
        <v>11020779</v>
      </c>
      <c r="S39" s="664">
        <f t="shared" si="4"/>
        <v>11020779</v>
      </c>
      <c r="T39" s="663">
        <f t="shared" si="5"/>
        <v>120900785</v>
      </c>
      <c r="U39" s="650">
        <f t="shared" si="6"/>
        <v>0</v>
      </c>
      <c r="V39" s="650">
        <f t="shared" si="7"/>
        <v>0</v>
      </c>
      <c r="W39" s="650">
        <f t="shared" si="8"/>
        <v>0</v>
      </c>
      <c r="X39" s="650">
        <f t="shared" si="8"/>
        <v>0</v>
      </c>
      <c r="Y39" s="650">
        <f t="shared" si="9"/>
        <v>0.45454545505344868</v>
      </c>
      <c r="Z39" s="649">
        <f t="shared" si="10"/>
        <v>0</v>
      </c>
      <c r="AA39" s="649">
        <f t="shared" si="11"/>
        <v>0</v>
      </c>
      <c r="AB39" s="649">
        <f t="shared" si="12"/>
        <v>0</v>
      </c>
      <c r="AC39" s="649">
        <f t="shared" si="12"/>
        <v>0</v>
      </c>
      <c r="AD39" s="649">
        <f t="shared" si="13"/>
        <v>0</v>
      </c>
      <c r="AE39" s="648"/>
      <c r="AF39" s="648"/>
      <c r="AG39" s="648"/>
      <c r="AH39" s="648"/>
      <c r="AI39" s="648"/>
    </row>
    <row r="40" spans="1:35" ht="14.25" thickBot="1" x14ac:dyDescent="0.2">
      <c r="A40" s="660">
        <v>1</v>
      </c>
      <c r="B40" s="659" t="s">
        <v>1197</v>
      </c>
      <c r="C40" s="658" t="s">
        <v>1196</v>
      </c>
      <c r="D40" s="657" t="s">
        <v>1009</v>
      </c>
      <c r="E40" s="656"/>
      <c r="F40" s="713"/>
      <c r="G40" s="712"/>
      <c r="H40" s="712"/>
      <c r="I40" s="712"/>
      <c r="J40" s="711"/>
      <c r="K40" s="710"/>
      <c r="L40" s="709"/>
      <c r="M40" s="709"/>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9">
        <f t="shared" si="10"/>
        <v>0</v>
      </c>
      <c r="AA40" s="649">
        <f t="shared" si="11"/>
        <v>0</v>
      </c>
      <c r="AB40" s="649">
        <f t="shared" si="12"/>
        <v>0</v>
      </c>
      <c r="AC40" s="649">
        <f t="shared" si="12"/>
        <v>0</v>
      </c>
      <c r="AD40" s="649">
        <f t="shared" si="13"/>
        <v>0</v>
      </c>
      <c r="AE40" s="648"/>
      <c r="AF40" s="648"/>
      <c r="AG40" s="648"/>
      <c r="AH40" s="648"/>
      <c r="AI40" s="648"/>
    </row>
    <row r="41" spans="1:35" ht="14.25" thickTop="1" x14ac:dyDescent="0.15">
      <c r="A41" s="647"/>
      <c r="B41" s="646"/>
      <c r="C41" s="645"/>
      <c r="D41" s="644" t="s">
        <v>979</v>
      </c>
      <c r="E41" s="639">
        <f t="shared" ref="E41:T41" si="14">SUM(E5:E40)</f>
        <v>131921564</v>
      </c>
      <c r="F41" s="643">
        <f t="shared" si="14"/>
        <v>0</v>
      </c>
      <c r="G41" s="642">
        <f t="shared" si="14"/>
        <v>0</v>
      </c>
      <c r="H41" s="642">
        <f t="shared" si="14"/>
        <v>0</v>
      </c>
      <c r="I41" s="642">
        <f t="shared" ref="I41" si="15">SUM(I5:I40)</f>
        <v>0</v>
      </c>
      <c r="J41" s="641">
        <f t="shared" si="14"/>
        <v>121228564</v>
      </c>
      <c r="K41" s="634">
        <f t="shared" si="14"/>
        <v>121228564</v>
      </c>
      <c r="L41" s="639">
        <f t="shared" si="14"/>
        <v>0</v>
      </c>
      <c r="M41" s="639">
        <f t="shared" si="14"/>
        <v>10693000</v>
      </c>
      <c r="N41" s="636">
        <f t="shared" si="14"/>
        <v>0</v>
      </c>
      <c r="O41" s="635">
        <f t="shared" si="14"/>
        <v>0</v>
      </c>
      <c r="P41" s="635">
        <f t="shared" si="14"/>
        <v>0</v>
      </c>
      <c r="Q41" s="635">
        <f t="shared" ref="Q41" si="16">SUM(Q5:Q40)</f>
        <v>0</v>
      </c>
      <c r="R41" s="638">
        <f t="shared" si="14"/>
        <v>11020779</v>
      </c>
      <c r="S41" s="634">
        <f t="shared" si="14"/>
        <v>11020779</v>
      </c>
      <c r="T41" s="637">
        <f t="shared" si="14"/>
        <v>120900785</v>
      </c>
    </row>
    <row r="42" spans="1:35" x14ac:dyDescent="0.15">
      <c r="A42" s="633"/>
      <c r="B42" s="632"/>
      <c r="C42" s="631"/>
      <c r="D42" s="630" t="s">
        <v>978</v>
      </c>
      <c r="E42" s="624">
        <f t="shared" ref="E42:J42" si="17">+E41</f>
        <v>131921564</v>
      </c>
      <c r="F42" s="629">
        <f t="shared" si="17"/>
        <v>0</v>
      </c>
      <c r="G42" s="628">
        <f t="shared" si="17"/>
        <v>0</v>
      </c>
      <c r="H42" s="628">
        <f t="shared" si="17"/>
        <v>0</v>
      </c>
      <c r="I42" s="628">
        <f t="shared" si="17"/>
        <v>0</v>
      </c>
      <c r="J42" s="627">
        <f t="shared" si="17"/>
        <v>121228564</v>
      </c>
      <c r="K42" s="623">
        <f>SUM(F42:J42)</f>
        <v>121228564</v>
      </c>
      <c r="L42" s="624">
        <f>+L41</f>
        <v>0</v>
      </c>
      <c r="M42" s="624">
        <f>+M41</f>
        <v>10693000</v>
      </c>
      <c r="N42" s="740">
        <f>+'4条支出'!N10</f>
        <v>0</v>
      </c>
      <c r="O42" s="741">
        <f>+'4条支出'!O10</f>
        <v>0</v>
      </c>
      <c r="P42" s="741">
        <f>+'4条支出'!P10</f>
        <v>0</v>
      </c>
      <c r="Q42" s="741">
        <f>+'4条支出'!Q10</f>
        <v>0</v>
      </c>
      <c r="R42" s="742">
        <f>+'4条支出'!R10</f>
        <v>11020779</v>
      </c>
      <c r="S42" s="743">
        <f>+'4条支出'!S10</f>
        <v>11020779</v>
      </c>
      <c r="T42" s="744">
        <f>+'4条支出'!T10</f>
        <v>120900785</v>
      </c>
    </row>
    <row r="43" spans="1:35" x14ac:dyDescent="0.15">
      <c r="E43" s="622">
        <f t="shared" ref="E43:T43" si="18">+E42-E41</f>
        <v>0</v>
      </c>
      <c r="F43" s="622">
        <f t="shared" si="18"/>
        <v>0</v>
      </c>
      <c r="G43" s="622">
        <f t="shared" si="18"/>
        <v>0</v>
      </c>
      <c r="H43" s="622">
        <f t="shared" si="18"/>
        <v>0</v>
      </c>
      <c r="I43" s="622">
        <f t="shared" ref="I43" si="19">+I42-I41</f>
        <v>0</v>
      </c>
      <c r="J43" s="622">
        <f t="shared" si="18"/>
        <v>0</v>
      </c>
      <c r="K43" s="622">
        <f t="shared" si="18"/>
        <v>0</v>
      </c>
      <c r="L43" s="622">
        <f t="shared" si="18"/>
        <v>0</v>
      </c>
      <c r="M43" s="622">
        <f t="shared" si="18"/>
        <v>0</v>
      </c>
      <c r="N43" s="622">
        <f t="shared" si="18"/>
        <v>0</v>
      </c>
      <c r="O43" s="622">
        <f t="shared" si="18"/>
        <v>0</v>
      </c>
      <c r="P43" s="622">
        <f t="shared" si="18"/>
        <v>0</v>
      </c>
      <c r="Q43" s="622">
        <f t="shared" ref="Q43" si="20">+Q42-Q41</f>
        <v>0</v>
      </c>
      <c r="R43" s="622">
        <f t="shared" si="18"/>
        <v>0</v>
      </c>
      <c r="S43" s="622">
        <f t="shared" si="18"/>
        <v>0</v>
      </c>
      <c r="T43" s="622">
        <f t="shared" si="18"/>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241" priority="4">
      <formula>ABS(Z5)=1</formula>
    </cfRule>
  </conditionalFormatting>
  <conditionalFormatting sqref="AD5:AD40">
    <cfRule type="expression" dxfId="240" priority="3">
      <formula>ABS(AD5)=1</formula>
    </cfRule>
  </conditionalFormatting>
  <conditionalFormatting sqref="Z6:AC40">
    <cfRule type="expression" dxfId="239" priority="6">
      <formula>ABS(Z6)=1</formula>
    </cfRule>
  </conditionalFormatting>
  <conditionalFormatting sqref="AE6:AE14 AE16:AE40">
    <cfRule type="notContainsBlanks" dxfId="238" priority="9" stopIfTrue="1">
      <formula>LEN(TRIM(AE6))&gt;0</formula>
    </cfRule>
  </conditionalFormatting>
  <conditionalFormatting sqref="AE6:AI40">
    <cfRule type="notContainsBlanks" dxfId="237" priority="8" stopIfTrue="1">
      <formula>LEN(TRIM(AE6))&gt;0</formula>
    </cfRule>
  </conditionalFormatting>
  <conditionalFormatting sqref="AE5:AI5">
    <cfRule type="notContainsBlanks" dxfId="236" priority="7" stopIfTrue="1">
      <formula>LEN(TRIM(AE5))&gt;0</formula>
    </cfRule>
  </conditionalFormatting>
  <conditionalFormatting sqref="AA6:AC40">
    <cfRule type="expression" dxfId="235" priority="5">
      <formula>ABS(AA6)=1</formula>
    </cfRule>
  </conditionalFormatting>
  <conditionalFormatting sqref="E43:H43 J43:T43">
    <cfRule type="cellIs" dxfId="234" priority="2" operator="notEqual">
      <formula>0</formula>
    </cfRule>
  </conditionalFormatting>
  <conditionalFormatting sqref="I43">
    <cfRule type="cellIs" dxfId="233"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zoomScale="80" zoomScaleNormal="80" zoomScaleSheetLayoutView="40" workbookViewId="0">
      <pane xSplit="4"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1271</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1" t="s">
        <v>995</v>
      </c>
      <c r="AA3" s="761"/>
      <c r="AB3" s="761"/>
      <c r="AC3" s="761"/>
      <c r="AD3" s="761"/>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739">
        <v>3</v>
      </c>
      <c r="AA4" s="739">
        <v>5</v>
      </c>
      <c r="AB4" s="739">
        <v>8</v>
      </c>
      <c r="AC4" s="751">
        <v>8</v>
      </c>
      <c r="AD4" s="739">
        <v>10</v>
      </c>
      <c r="AE4" s="687">
        <v>3</v>
      </c>
      <c r="AF4" s="687">
        <v>5</v>
      </c>
      <c r="AG4" s="687">
        <v>8</v>
      </c>
      <c r="AH4" s="751">
        <v>8</v>
      </c>
      <c r="AI4" s="687">
        <v>10</v>
      </c>
    </row>
    <row r="5" spans="1:35" x14ac:dyDescent="0.15">
      <c r="A5" s="685">
        <v>1</v>
      </c>
      <c r="B5" s="684" t="s">
        <v>1270</v>
      </c>
      <c r="C5" s="683"/>
      <c r="D5" s="682" t="s">
        <v>1079</v>
      </c>
      <c r="E5" s="681"/>
      <c r="F5" s="719"/>
      <c r="G5" s="718"/>
      <c r="H5" s="718"/>
      <c r="I5" s="718"/>
      <c r="J5" s="717">
        <f>+IF($A5="",IF($C5="",SUMIFS(全伝票!N:N,全伝票!$B:$B,$B5),SUMIFS(全伝票!N:N,全伝票!$C:$C,$C5)),IF($C5="",SUMIFS(全伝票!N:N,全伝票!$A:$A,$A5,全伝票!$B:$B,$B5),SUMIFS(全伝票!N:N,全伝票!$A:$A,$A5,全伝票!$C:$C,$C5)))</f>
        <v>0</v>
      </c>
      <c r="K5" s="716"/>
      <c r="L5" s="715"/>
      <c r="M5" s="715"/>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8"/>
      <c r="AA5" s="648"/>
      <c r="AB5" s="648"/>
      <c r="AC5" s="648"/>
      <c r="AD5" s="648"/>
      <c r="AE5" s="648"/>
      <c r="AF5" s="648"/>
      <c r="AG5" s="648"/>
      <c r="AH5" s="648"/>
      <c r="AI5" s="648"/>
    </row>
    <row r="6" spans="1:35" x14ac:dyDescent="0.15">
      <c r="A6" s="670">
        <v>1</v>
      </c>
      <c r="B6" s="669" t="s">
        <v>1269</v>
      </c>
      <c r="C6" s="668"/>
      <c r="D6" s="667" t="s">
        <v>1077</v>
      </c>
      <c r="E6" s="666"/>
      <c r="F6" s="675"/>
      <c r="G6" s="674"/>
      <c r="H6" s="674"/>
      <c r="I6" s="674"/>
      <c r="J6" s="673"/>
      <c r="K6" s="672"/>
      <c r="L6" s="714"/>
      <c r="M6" s="714"/>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8"/>
      <c r="AA6" s="648"/>
      <c r="AB6" s="648"/>
      <c r="AC6" s="648"/>
      <c r="AD6" s="648"/>
      <c r="AE6" s="648"/>
      <c r="AF6" s="648"/>
      <c r="AG6" s="648"/>
      <c r="AH6" s="648"/>
      <c r="AI6" s="648"/>
    </row>
    <row r="7" spans="1:35" x14ac:dyDescent="0.15">
      <c r="A7" s="670">
        <v>1</v>
      </c>
      <c r="B7" s="669" t="s">
        <v>1268</v>
      </c>
      <c r="C7" s="668"/>
      <c r="D7" s="667" t="s">
        <v>1075</v>
      </c>
      <c r="E7" s="666"/>
      <c r="F7" s="675"/>
      <c r="G7" s="674"/>
      <c r="H7" s="674"/>
      <c r="I7" s="674"/>
      <c r="J7" s="673"/>
      <c r="K7" s="672"/>
      <c r="L7" s="714"/>
      <c r="M7" s="714"/>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8"/>
      <c r="AA7" s="648"/>
      <c r="AB7" s="648"/>
      <c r="AC7" s="648"/>
      <c r="AD7" s="648"/>
      <c r="AE7" s="648"/>
      <c r="AF7" s="648"/>
      <c r="AG7" s="648"/>
      <c r="AH7" s="648"/>
      <c r="AI7" s="648"/>
    </row>
    <row r="8" spans="1:35" x14ac:dyDescent="0.15">
      <c r="A8" s="670">
        <v>1</v>
      </c>
      <c r="B8" s="669" t="s">
        <v>1267</v>
      </c>
      <c r="C8" s="668"/>
      <c r="D8" s="667" t="s">
        <v>1073</v>
      </c>
      <c r="E8" s="666"/>
      <c r="F8" s="675"/>
      <c r="G8" s="674"/>
      <c r="H8" s="674"/>
      <c r="I8" s="674"/>
      <c r="J8" s="673"/>
      <c r="K8" s="672"/>
      <c r="L8" s="714"/>
      <c r="M8" s="714"/>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8"/>
      <c r="AA8" s="648"/>
      <c r="AB8" s="648"/>
      <c r="AC8" s="648"/>
      <c r="AD8" s="648"/>
      <c r="AE8" s="648"/>
      <c r="AF8" s="648"/>
      <c r="AG8" s="648"/>
      <c r="AH8" s="648"/>
      <c r="AI8" s="648"/>
    </row>
    <row r="9" spans="1:35" x14ac:dyDescent="0.15">
      <c r="A9" s="670">
        <v>1</v>
      </c>
      <c r="B9" s="669" t="s">
        <v>1266</v>
      </c>
      <c r="C9" s="668"/>
      <c r="D9" s="667" t="s">
        <v>1071</v>
      </c>
      <c r="E9" s="666"/>
      <c r="F9" s="675"/>
      <c r="G9" s="674"/>
      <c r="H9" s="674"/>
      <c r="I9" s="674"/>
      <c r="J9" s="673"/>
      <c r="K9" s="672"/>
      <c r="L9" s="714"/>
      <c r="M9" s="714"/>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8"/>
      <c r="AA9" s="648"/>
      <c r="AB9" s="648"/>
      <c r="AC9" s="648"/>
      <c r="AD9" s="648"/>
      <c r="AE9" s="648"/>
      <c r="AF9" s="648"/>
      <c r="AG9" s="648"/>
      <c r="AH9" s="648"/>
      <c r="AI9" s="648"/>
    </row>
    <row r="10" spans="1:35" x14ac:dyDescent="0.15">
      <c r="A10" s="670">
        <v>1</v>
      </c>
      <c r="B10" s="669" t="s">
        <v>1265</v>
      </c>
      <c r="C10" s="668"/>
      <c r="D10" s="667" t="s">
        <v>1069</v>
      </c>
      <c r="E10" s="666"/>
      <c r="F10" s="675"/>
      <c r="G10" s="674"/>
      <c r="H10" s="674"/>
      <c r="I10" s="674"/>
      <c r="J10" s="673"/>
      <c r="K10" s="672"/>
      <c r="L10" s="714"/>
      <c r="M10" s="714"/>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8"/>
      <c r="AA10" s="648"/>
      <c r="AB10" s="648"/>
      <c r="AC10" s="648"/>
      <c r="AD10" s="648"/>
      <c r="AE10" s="648"/>
      <c r="AF10" s="648"/>
      <c r="AG10" s="648"/>
      <c r="AH10" s="648"/>
      <c r="AI10" s="648"/>
    </row>
    <row r="11" spans="1:35" x14ac:dyDescent="0.15">
      <c r="A11" s="670">
        <v>1</v>
      </c>
      <c r="B11" s="669" t="s">
        <v>1264</v>
      </c>
      <c r="C11" s="668"/>
      <c r="D11" s="667" t="s">
        <v>1067</v>
      </c>
      <c r="E11" s="666"/>
      <c r="F11" s="675"/>
      <c r="G11" s="674"/>
      <c r="H11" s="674"/>
      <c r="I11" s="674"/>
      <c r="J11" s="673"/>
      <c r="K11" s="672"/>
      <c r="L11" s="714"/>
      <c r="M11" s="714"/>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8"/>
      <c r="AA11" s="648"/>
      <c r="AB11" s="648"/>
      <c r="AC11" s="648"/>
      <c r="AD11" s="648"/>
      <c r="AE11" s="648"/>
      <c r="AF11" s="648"/>
      <c r="AG11" s="648"/>
      <c r="AH11" s="648"/>
      <c r="AI11" s="648"/>
    </row>
    <row r="12" spans="1:35" x14ac:dyDescent="0.15">
      <c r="A12" s="670">
        <v>1</v>
      </c>
      <c r="B12" s="669" t="s">
        <v>1262</v>
      </c>
      <c r="C12" s="668" t="s">
        <v>1263</v>
      </c>
      <c r="D12" s="667" t="s">
        <v>1065</v>
      </c>
      <c r="E12" s="666"/>
      <c r="F12" s="675"/>
      <c r="G12" s="674"/>
      <c r="H12" s="674"/>
      <c r="I12" s="674"/>
      <c r="J12" s="673"/>
      <c r="K12" s="672"/>
      <c r="L12" s="714"/>
      <c r="M12" s="714"/>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8"/>
      <c r="AA12" s="648"/>
      <c r="AB12" s="648"/>
      <c r="AC12" s="648"/>
      <c r="AD12" s="648"/>
      <c r="AE12" s="648"/>
      <c r="AF12" s="648"/>
      <c r="AG12" s="648"/>
      <c r="AH12" s="648"/>
      <c r="AI12" s="648"/>
    </row>
    <row r="13" spans="1:35" x14ac:dyDescent="0.15">
      <c r="A13" s="670">
        <v>1</v>
      </c>
      <c r="B13" s="669" t="s">
        <v>1262</v>
      </c>
      <c r="C13" s="668" t="s">
        <v>1261</v>
      </c>
      <c r="D13" s="667" t="s">
        <v>1062</v>
      </c>
      <c r="E13" s="666"/>
      <c r="F13" s="675"/>
      <c r="G13" s="674"/>
      <c r="H13" s="674"/>
      <c r="I13" s="674"/>
      <c r="J13" s="673"/>
      <c r="K13" s="672"/>
      <c r="L13" s="714"/>
      <c r="M13" s="714"/>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8"/>
      <c r="AA13" s="648"/>
      <c r="AB13" s="648"/>
      <c r="AC13" s="648"/>
      <c r="AD13" s="648"/>
      <c r="AE13" s="648"/>
      <c r="AF13" s="648"/>
      <c r="AG13" s="648"/>
      <c r="AH13" s="648"/>
      <c r="AI13" s="648"/>
    </row>
    <row r="14" spans="1:35" x14ac:dyDescent="0.15">
      <c r="A14" s="670">
        <v>1</v>
      </c>
      <c r="B14" s="669" t="s">
        <v>1260</v>
      </c>
      <c r="C14" s="668"/>
      <c r="D14" s="667" t="s">
        <v>1060</v>
      </c>
      <c r="E14" s="666"/>
      <c r="F14" s="675"/>
      <c r="G14" s="674"/>
      <c r="H14" s="674"/>
      <c r="I14" s="674"/>
      <c r="J14" s="673"/>
      <c r="K14" s="672"/>
      <c r="L14" s="714"/>
      <c r="M14" s="714"/>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8"/>
      <c r="AA14" s="648"/>
      <c r="AB14" s="648"/>
      <c r="AC14" s="648"/>
      <c r="AD14" s="648"/>
      <c r="AE14" s="648"/>
      <c r="AF14" s="648"/>
      <c r="AG14" s="648"/>
      <c r="AH14" s="648"/>
      <c r="AI14" s="648"/>
    </row>
    <row r="15" spans="1:35" x14ac:dyDescent="0.15">
      <c r="A15" s="670">
        <v>1</v>
      </c>
      <c r="B15" s="669" t="s">
        <v>1259</v>
      </c>
      <c r="C15" s="668"/>
      <c r="D15" s="667" t="s">
        <v>1058</v>
      </c>
      <c r="E15" s="666"/>
      <c r="F15" s="675"/>
      <c r="G15" s="674"/>
      <c r="H15" s="674"/>
      <c r="I15" s="674"/>
      <c r="J15" s="673"/>
      <c r="K15" s="672"/>
      <c r="L15" s="714"/>
      <c r="M15" s="714"/>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8"/>
      <c r="AA15" s="648"/>
      <c r="AB15" s="648"/>
      <c r="AC15" s="648"/>
      <c r="AD15" s="648"/>
      <c r="AE15" s="648"/>
      <c r="AF15" s="648"/>
      <c r="AG15" s="648"/>
      <c r="AH15" s="648"/>
      <c r="AI15" s="648"/>
    </row>
    <row r="16" spans="1:35" x14ac:dyDescent="0.15">
      <c r="A16" s="670">
        <v>1</v>
      </c>
      <c r="B16" s="669" t="s">
        <v>1258</v>
      </c>
      <c r="C16" s="668"/>
      <c r="D16" s="667" t="s">
        <v>1056</v>
      </c>
      <c r="E16" s="666"/>
      <c r="F16" s="675"/>
      <c r="G16" s="674"/>
      <c r="H16" s="674"/>
      <c r="I16" s="674"/>
      <c r="J16" s="673"/>
      <c r="K16" s="672"/>
      <c r="L16" s="714"/>
      <c r="M16" s="714"/>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8"/>
      <c r="AA16" s="648"/>
      <c r="AB16" s="648"/>
      <c r="AC16" s="648"/>
      <c r="AD16" s="648"/>
      <c r="AE16" s="648"/>
      <c r="AF16" s="648"/>
      <c r="AG16" s="648"/>
      <c r="AH16" s="648"/>
      <c r="AI16" s="648"/>
    </row>
    <row r="17" spans="1:35" x14ac:dyDescent="0.15">
      <c r="A17" s="670">
        <v>1</v>
      </c>
      <c r="B17" s="669" t="s">
        <v>1257</v>
      </c>
      <c r="C17" s="668"/>
      <c r="D17" s="667" t="s">
        <v>1054</v>
      </c>
      <c r="E17" s="666"/>
      <c r="F17" s="675"/>
      <c r="G17" s="674"/>
      <c r="H17" s="674"/>
      <c r="I17" s="674"/>
      <c r="J17" s="673"/>
      <c r="K17" s="672"/>
      <c r="L17" s="714"/>
      <c r="M17" s="714"/>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8"/>
      <c r="AA17" s="648"/>
      <c r="AB17" s="648"/>
      <c r="AC17" s="648"/>
      <c r="AD17" s="648"/>
      <c r="AE17" s="648"/>
      <c r="AF17" s="648"/>
      <c r="AG17" s="648"/>
      <c r="AH17" s="648"/>
      <c r="AI17" s="648"/>
    </row>
    <row r="18" spans="1:35" x14ac:dyDescent="0.15">
      <c r="A18" s="670">
        <v>1</v>
      </c>
      <c r="B18" s="669" t="s">
        <v>1256</v>
      </c>
      <c r="C18" s="668"/>
      <c r="D18" s="667" t="s">
        <v>1052</v>
      </c>
      <c r="E18" s="666"/>
      <c r="F18" s="675"/>
      <c r="G18" s="674"/>
      <c r="H18" s="674"/>
      <c r="I18" s="674"/>
      <c r="J18" s="673"/>
      <c r="K18" s="672"/>
      <c r="L18" s="714"/>
      <c r="M18" s="714"/>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8"/>
      <c r="AA18" s="648"/>
      <c r="AB18" s="648"/>
      <c r="AC18" s="648"/>
      <c r="AD18" s="648"/>
      <c r="AE18" s="648"/>
      <c r="AF18" s="648"/>
      <c r="AG18" s="648"/>
      <c r="AH18" s="648"/>
      <c r="AI18" s="648"/>
    </row>
    <row r="19" spans="1:35" x14ac:dyDescent="0.15">
      <c r="A19" s="670">
        <v>1</v>
      </c>
      <c r="B19" s="669" t="s">
        <v>1255</v>
      </c>
      <c r="C19" s="668"/>
      <c r="D19" s="667" t="s">
        <v>1050</v>
      </c>
      <c r="E19" s="666"/>
      <c r="F19" s="675"/>
      <c r="G19" s="674"/>
      <c r="H19" s="674"/>
      <c r="I19" s="674"/>
      <c r="J19" s="673"/>
      <c r="K19" s="672"/>
      <c r="L19" s="714"/>
      <c r="M19" s="714"/>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8"/>
      <c r="AA19" s="648"/>
      <c r="AB19" s="648"/>
      <c r="AC19" s="648"/>
      <c r="AD19" s="648"/>
      <c r="AE19" s="648"/>
      <c r="AF19" s="648"/>
      <c r="AG19" s="648"/>
      <c r="AH19" s="648"/>
      <c r="AI19" s="648"/>
    </row>
    <row r="20" spans="1:35" x14ac:dyDescent="0.15">
      <c r="A20" s="670">
        <v>1</v>
      </c>
      <c r="B20" s="669" t="s">
        <v>1254</v>
      </c>
      <c r="C20" s="668"/>
      <c r="D20" s="667" t="s">
        <v>1048</v>
      </c>
      <c r="E20" s="666"/>
      <c r="F20" s="675"/>
      <c r="G20" s="674"/>
      <c r="H20" s="674"/>
      <c r="I20" s="674"/>
      <c r="J20" s="673"/>
      <c r="K20" s="672"/>
      <c r="L20" s="714"/>
      <c r="M20" s="714"/>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8"/>
      <c r="AA20" s="648"/>
      <c r="AB20" s="648"/>
      <c r="AC20" s="648"/>
      <c r="AD20" s="648"/>
      <c r="AE20" s="648"/>
      <c r="AF20" s="648"/>
      <c r="AG20" s="648"/>
      <c r="AH20" s="648"/>
      <c r="AI20" s="648"/>
    </row>
    <row r="21" spans="1:35" x14ac:dyDescent="0.15">
      <c r="A21" s="670">
        <v>1</v>
      </c>
      <c r="B21" s="669" t="s">
        <v>1253</v>
      </c>
      <c r="C21" s="668"/>
      <c r="D21" s="667" t="s">
        <v>1046</v>
      </c>
      <c r="E21" s="666"/>
      <c r="F21" s="675"/>
      <c r="G21" s="674"/>
      <c r="H21" s="674"/>
      <c r="I21" s="674"/>
      <c r="J21" s="673"/>
      <c r="K21" s="672"/>
      <c r="L21" s="714"/>
      <c r="M21" s="714"/>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8"/>
      <c r="AA21" s="648"/>
      <c r="AB21" s="648"/>
      <c r="AC21" s="648"/>
      <c r="AD21" s="648"/>
      <c r="AE21" s="648"/>
      <c r="AF21" s="648"/>
      <c r="AG21" s="648"/>
      <c r="AH21" s="648"/>
      <c r="AI21" s="648"/>
    </row>
    <row r="22" spans="1:35" x14ac:dyDescent="0.15">
      <c r="A22" s="670">
        <v>1</v>
      </c>
      <c r="B22" s="669" t="s">
        <v>1252</v>
      </c>
      <c r="C22" s="668"/>
      <c r="D22" s="667" t="s">
        <v>1044</v>
      </c>
      <c r="E22" s="666"/>
      <c r="F22" s="675"/>
      <c r="G22" s="674"/>
      <c r="H22" s="674"/>
      <c r="I22" s="674"/>
      <c r="J22" s="673"/>
      <c r="K22" s="672"/>
      <c r="L22" s="714"/>
      <c r="M22" s="714"/>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8"/>
      <c r="AA22" s="648"/>
      <c r="AB22" s="648"/>
      <c r="AC22" s="648"/>
      <c r="AD22" s="648"/>
      <c r="AE22" s="648"/>
      <c r="AF22" s="648"/>
      <c r="AG22" s="648"/>
      <c r="AH22" s="648"/>
      <c r="AI22" s="648"/>
    </row>
    <row r="23" spans="1:35" x14ac:dyDescent="0.15">
      <c r="A23" s="670">
        <v>1</v>
      </c>
      <c r="B23" s="669" t="s">
        <v>1251</v>
      </c>
      <c r="C23" s="668"/>
      <c r="D23" s="667" t="s">
        <v>1042</v>
      </c>
      <c r="E23" s="666"/>
      <c r="F23" s="675"/>
      <c r="G23" s="674"/>
      <c r="H23" s="674"/>
      <c r="I23" s="674"/>
      <c r="J23" s="673"/>
      <c r="K23" s="672"/>
      <c r="L23" s="714"/>
      <c r="M23" s="714"/>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8"/>
      <c r="AA23" s="648"/>
      <c r="AB23" s="648"/>
      <c r="AC23" s="648"/>
      <c r="AD23" s="648"/>
      <c r="AE23" s="648"/>
      <c r="AF23" s="648"/>
      <c r="AG23" s="648"/>
      <c r="AH23" s="648"/>
      <c r="AI23" s="648"/>
    </row>
    <row r="24" spans="1:35" x14ac:dyDescent="0.15">
      <c r="A24" s="670">
        <v>1</v>
      </c>
      <c r="B24" s="669" t="s">
        <v>1250</v>
      </c>
      <c r="C24" s="668"/>
      <c r="D24" s="667" t="s">
        <v>1040</v>
      </c>
      <c r="E24" s="666"/>
      <c r="F24" s="675"/>
      <c r="G24" s="674"/>
      <c r="H24" s="674"/>
      <c r="I24" s="674"/>
      <c r="J24" s="673"/>
      <c r="K24" s="672"/>
      <c r="L24" s="714"/>
      <c r="M24" s="714"/>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8"/>
      <c r="AA24" s="648"/>
      <c r="AB24" s="648"/>
      <c r="AC24" s="648"/>
      <c r="AD24" s="648"/>
      <c r="AE24" s="648"/>
      <c r="AF24" s="648"/>
      <c r="AG24" s="648"/>
      <c r="AH24" s="648"/>
      <c r="AI24" s="648"/>
    </row>
    <row r="25" spans="1:35" x14ac:dyDescent="0.15">
      <c r="A25" s="670">
        <v>1</v>
      </c>
      <c r="B25" s="669" t="s">
        <v>1249</v>
      </c>
      <c r="C25" s="668"/>
      <c r="D25" s="667" t="s">
        <v>1038</v>
      </c>
      <c r="E25" s="666"/>
      <c r="F25" s="675"/>
      <c r="G25" s="674"/>
      <c r="H25" s="674"/>
      <c r="I25" s="674"/>
      <c r="J25" s="673"/>
      <c r="K25" s="672"/>
      <c r="L25" s="714"/>
      <c r="M25" s="714"/>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8"/>
      <c r="AA25" s="648"/>
      <c r="AB25" s="648"/>
      <c r="AC25" s="648"/>
      <c r="AD25" s="648"/>
      <c r="AE25" s="648"/>
      <c r="AF25" s="648"/>
      <c r="AG25" s="648"/>
      <c r="AH25" s="648"/>
      <c r="AI25" s="648"/>
    </row>
    <row r="26" spans="1:35" x14ac:dyDescent="0.15">
      <c r="A26" s="670">
        <v>1</v>
      </c>
      <c r="B26" s="669" t="s">
        <v>1248</v>
      </c>
      <c r="C26" s="668"/>
      <c r="D26" s="667" t="s">
        <v>1036</v>
      </c>
      <c r="E26" s="666"/>
      <c r="F26" s="675"/>
      <c r="G26" s="674"/>
      <c r="H26" s="674"/>
      <c r="I26" s="674"/>
      <c r="J26" s="673"/>
      <c r="K26" s="672"/>
      <c r="L26" s="714"/>
      <c r="M26" s="714"/>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8"/>
      <c r="AA26" s="648"/>
      <c r="AB26" s="648"/>
      <c r="AC26" s="648"/>
      <c r="AD26" s="648"/>
      <c r="AE26" s="648"/>
      <c r="AF26" s="648"/>
      <c r="AG26" s="648"/>
      <c r="AH26" s="648"/>
      <c r="AI26" s="648"/>
    </row>
    <row r="27" spans="1:35" x14ac:dyDescent="0.15">
      <c r="A27" s="670">
        <v>1</v>
      </c>
      <c r="B27" s="669" t="s">
        <v>1262</v>
      </c>
      <c r="C27" s="668">
        <v>615501003</v>
      </c>
      <c r="D27" s="667" t="s">
        <v>1348</v>
      </c>
      <c r="E27" s="666"/>
      <c r="F27" s="675"/>
      <c r="G27" s="674"/>
      <c r="H27" s="674"/>
      <c r="I27" s="674"/>
      <c r="J27" s="673"/>
      <c r="K27" s="672"/>
      <c r="L27" s="714"/>
      <c r="M27" s="714"/>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8"/>
      <c r="AA27" s="648"/>
      <c r="AB27" s="648"/>
      <c r="AC27" s="648"/>
      <c r="AD27" s="648"/>
      <c r="AE27" s="648"/>
      <c r="AF27" s="648"/>
      <c r="AG27" s="648"/>
      <c r="AH27" s="648"/>
      <c r="AI27" s="648"/>
    </row>
    <row r="28" spans="1:35" x14ac:dyDescent="0.15">
      <c r="A28" s="670">
        <v>1</v>
      </c>
      <c r="B28" s="669" t="s">
        <v>1247</v>
      </c>
      <c r="C28" s="668"/>
      <c r="D28" s="667" t="s">
        <v>1034</v>
      </c>
      <c r="E28" s="666"/>
      <c r="F28" s="675"/>
      <c r="G28" s="674"/>
      <c r="H28" s="674"/>
      <c r="I28" s="674"/>
      <c r="J28" s="673"/>
      <c r="K28" s="672"/>
      <c r="L28" s="714"/>
      <c r="M28" s="714"/>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8"/>
      <c r="AA28" s="648"/>
      <c r="AB28" s="648"/>
      <c r="AC28" s="648"/>
      <c r="AD28" s="648"/>
      <c r="AE28" s="648"/>
      <c r="AF28" s="648"/>
      <c r="AG28" s="648"/>
      <c r="AH28" s="648"/>
      <c r="AI28" s="648"/>
    </row>
    <row r="29" spans="1:35" x14ac:dyDescent="0.15">
      <c r="A29" s="670">
        <v>1</v>
      </c>
      <c r="B29" s="669" t="s">
        <v>1246</v>
      </c>
      <c r="C29" s="668"/>
      <c r="D29" s="667" t="s">
        <v>1032</v>
      </c>
      <c r="E29" s="700">
        <f>+IF($A29="",IF($C29="",SUMIFS(全伝票!I:I,全伝票!$B:$B,$B29),SUMIFS(全伝票!I:I,全伝票!$C:$C,$C29)),IF($C29="",SUMIFS(全伝票!I:I,全伝票!$A:$A,$A29,全伝票!$B:$B,$B29),SUMIFS(全伝票!I:I,全伝票!$A:$A,$A29,全伝票!$C:$C,$C29)))</f>
        <v>3003980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3003980</v>
      </c>
      <c r="K29" s="664">
        <f t="shared" ref="K29:K40" si="10">SUM(F29:J29)</f>
        <v>3003980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0"/>
        <v>0</v>
      </c>
      <c r="O29" s="661">
        <f t="shared" si="1"/>
        <v>0</v>
      </c>
      <c r="P29" s="661">
        <f t="shared" si="2"/>
        <v>0</v>
      </c>
      <c r="Q29" s="661">
        <f t="shared" si="2"/>
        <v>0</v>
      </c>
      <c r="R29" s="665">
        <f t="shared" si="3"/>
        <v>273089</v>
      </c>
      <c r="S29" s="664">
        <f t="shared" si="4"/>
        <v>273089</v>
      </c>
      <c r="T29" s="663">
        <f t="shared" si="5"/>
        <v>2730891</v>
      </c>
      <c r="U29" s="650">
        <f t="shared" si="6"/>
        <v>0</v>
      </c>
      <c r="V29" s="650">
        <f t="shared" si="7"/>
        <v>0</v>
      </c>
      <c r="W29" s="650">
        <f t="shared" si="8"/>
        <v>0</v>
      </c>
      <c r="X29" s="650">
        <f t="shared" si="8"/>
        <v>0</v>
      </c>
      <c r="Y29" s="650">
        <f t="shared" si="9"/>
        <v>-9.0909090882632881E-2</v>
      </c>
      <c r="Z29" s="648"/>
      <c r="AA29" s="648"/>
      <c r="AB29" s="648"/>
      <c r="AC29" s="648"/>
      <c r="AD29" s="648"/>
      <c r="AE29" s="648"/>
      <c r="AF29" s="648"/>
      <c r="AG29" s="648"/>
      <c r="AH29" s="648"/>
      <c r="AI29" s="648"/>
    </row>
    <row r="30" spans="1:35" x14ac:dyDescent="0.15">
      <c r="A30" s="670">
        <v>1</v>
      </c>
      <c r="B30" s="669" t="s">
        <v>1245</v>
      </c>
      <c r="C30" s="668"/>
      <c r="D30" s="667" t="s">
        <v>1030</v>
      </c>
      <c r="E30" s="700">
        <f>+IF($A30="",IF($C30="",SUMIFS(全伝票!I:I,全伝票!$B:$B,$B30),SUMIFS(全伝票!I:I,全伝票!$C:$C,$C30)),IF($C30="",SUMIFS(全伝票!I:I,全伝票!$A:$A,$A30,全伝票!$B:$B,$B30),SUMIFS(全伝票!I:I,全伝票!$A:$A,$A30,全伝票!$C:$C,$C30)))</f>
        <v>6518930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6518930</v>
      </c>
      <c r="K30" s="664">
        <f t="shared" si="10"/>
        <v>6518930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0"/>
        <v>0</v>
      </c>
      <c r="O30" s="661">
        <f t="shared" si="1"/>
        <v>0</v>
      </c>
      <c r="P30" s="661">
        <f t="shared" si="2"/>
        <v>0</v>
      </c>
      <c r="Q30" s="661">
        <f t="shared" si="2"/>
        <v>0</v>
      </c>
      <c r="R30" s="665">
        <f t="shared" si="3"/>
        <v>592630</v>
      </c>
      <c r="S30" s="664">
        <f t="shared" si="4"/>
        <v>592630</v>
      </c>
      <c r="T30" s="663">
        <f t="shared" si="5"/>
        <v>5926300</v>
      </c>
      <c r="U30" s="650">
        <f t="shared" si="6"/>
        <v>0</v>
      </c>
      <c r="V30" s="650">
        <f t="shared" si="7"/>
        <v>0</v>
      </c>
      <c r="W30" s="650">
        <f t="shared" si="8"/>
        <v>0</v>
      </c>
      <c r="X30" s="650">
        <f t="shared" si="8"/>
        <v>0</v>
      </c>
      <c r="Y30" s="650">
        <f t="shared" si="9"/>
        <v>0</v>
      </c>
      <c r="Z30" s="648"/>
      <c r="AA30" s="648"/>
      <c r="AB30" s="648"/>
      <c r="AC30" s="648"/>
      <c r="AD30" s="648"/>
      <c r="AE30" s="648"/>
      <c r="AF30" s="648"/>
      <c r="AG30" s="648"/>
      <c r="AH30" s="648"/>
      <c r="AI30" s="648"/>
    </row>
    <row r="31" spans="1:35" x14ac:dyDescent="0.15">
      <c r="A31" s="670">
        <v>1</v>
      </c>
      <c r="B31" s="669" t="s">
        <v>1244</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1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8"/>
      <c r="AA31" s="648"/>
      <c r="AB31" s="648"/>
      <c r="AC31" s="648"/>
      <c r="AD31" s="648"/>
      <c r="AE31" s="648"/>
      <c r="AF31" s="648"/>
      <c r="AG31" s="648"/>
      <c r="AH31" s="648"/>
      <c r="AI31" s="648"/>
    </row>
    <row r="32" spans="1:35" x14ac:dyDescent="0.15">
      <c r="A32" s="670"/>
      <c r="B32" s="669" t="s">
        <v>1243</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1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8"/>
      <c r="AA32" s="648"/>
      <c r="AB32" s="648"/>
      <c r="AC32" s="648"/>
      <c r="AD32" s="648"/>
      <c r="AE32" s="648"/>
      <c r="AF32" s="648"/>
      <c r="AG32" s="648"/>
      <c r="AH32" s="648"/>
      <c r="AI32" s="648"/>
    </row>
    <row r="33" spans="1:35" x14ac:dyDescent="0.15">
      <c r="A33" s="670">
        <v>1</v>
      </c>
      <c r="B33" s="669" t="s">
        <v>1242</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1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8"/>
      <c r="AA33" s="648"/>
      <c r="AB33" s="648"/>
      <c r="AC33" s="648"/>
      <c r="AD33" s="648"/>
      <c r="AE33" s="648"/>
      <c r="AF33" s="648"/>
      <c r="AG33" s="648"/>
      <c r="AH33" s="648"/>
      <c r="AI33" s="648"/>
    </row>
    <row r="34" spans="1:35" x14ac:dyDescent="0.15">
      <c r="A34" s="670">
        <v>1</v>
      </c>
      <c r="B34" s="669" t="s">
        <v>1241</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1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8"/>
      <c r="AA34" s="648"/>
      <c r="AB34" s="648"/>
      <c r="AC34" s="648"/>
      <c r="AD34" s="648"/>
      <c r="AE34" s="648"/>
      <c r="AF34" s="648"/>
      <c r="AG34" s="648"/>
      <c r="AH34" s="648"/>
      <c r="AI34" s="648"/>
    </row>
    <row r="35" spans="1:35" x14ac:dyDescent="0.15">
      <c r="A35" s="670">
        <v>1</v>
      </c>
      <c r="B35" s="669" t="s">
        <v>1235</v>
      </c>
      <c r="C35" s="668" t="s">
        <v>1240</v>
      </c>
      <c r="D35" s="667" t="s">
        <v>1020</v>
      </c>
      <c r="E35" s="700">
        <f>+IF($A35="",IF($C35="",SUMIFS(全伝票!I:I,全伝票!$B:$B,$B35),SUMIFS(全伝票!I:I,全伝票!$C:$C,$C35)),IF($C35="",SUMIFS(全伝票!I:I,全伝票!$A:$A,$A35,全伝票!$B:$B,$B35),SUMIFS(全伝票!I:I,全伝票!$A:$A,$A35,全伝票!$C:$C,$C35)))</f>
        <v>48126100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48126100</v>
      </c>
      <c r="K35" s="664">
        <f t="shared" si="10"/>
        <v>48126100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0"/>
        <v>0</v>
      </c>
      <c r="O35" s="661">
        <f t="shared" si="1"/>
        <v>0</v>
      </c>
      <c r="P35" s="661">
        <f t="shared" si="2"/>
        <v>0</v>
      </c>
      <c r="Q35" s="661">
        <f t="shared" si="2"/>
        <v>0</v>
      </c>
      <c r="R35" s="665">
        <f t="shared" si="3"/>
        <v>4375100</v>
      </c>
      <c r="S35" s="664">
        <f t="shared" si="4"/>
        <v>4375100</v>
      </c>
      <c r="T35" s="663">
        <f t="shared" si="5"/>
        <v>43751000</v>
      </c>
      <c r="U35" s="650">
        <f t="shared" si="6"/>
        <v>0</v>
      </c>
      <c r="V35" s="650">
        <f t="shared" si="7"/>
        <v>0</v>
      </c>
      <c r="W35" s="650">
        <f t="shared" si="8"/>
        <v>0</v>
      </c>
      <c r="X35" s="650">
        <f t="shared" si="8"/>
        <v>0</v>
      </c>
      <c r="Y35" s="650">
        <f t="shared" si="9"/>
        <v>0</v>
      </c>
      <c r="Z35" s="648"/>
      <c r="AA35" s="648"/>
      <c r="AB35" s="648"/>
      <c r="AC35" s="648"/>
      <c r="AD35" s="648"/>
      <c r="AE35" s="648"/>
      <c r="AF35" s="648"/>
      <c r="AG35" s="648"/>
      <c r="AH35" s="648"/>
      <c r="AI35" s="648"/>
    </row>
    <row r="36" spans="1:35" x14ac:dyDescent="0.15">
      <c r="A36" s="670">
        <v>1</v>
      </c>
      <c r="B36" s="669" t="s">
        <v>1235</v>
      </c>
      <c r="C36" s="668" t="s">
        <v>1239</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1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8"/>
      <c r="AA36" s="648"/>
      <c r="AB36" s="648"/>
      <c r="AC36" s="648"/>
      <c r="AD36" s="648"/>
      <c r="AE36" s="648"/>
      <c r="AF36" s="648"/>
      <c r="AG36" s="648"/>
      <c r="AH36" s="648"/>
      <c r="AI36" s="648"/>
    </row>
    <row r="37" spans="1:35" x14ac:dyDescent="0.15">
      <c r="A37" s="670">
        <v>1</v>
      </c>
      <c r="B37" s="669" t="s">
        <v>1235</v>
      </c>
      <c r="C37" s="668" t="s">
        <v>1238</v>
      </c>
      <c r="D37" s="667" t="s">
        <v>1016</v>
      </c>
      <c r="E37" s="700">
        <f>+IF($A37="",IF($C37="",SUMIFS(全伝票!I:I,全伝票!$B:$B,$B37),SUMIFS(全伝票!I:I,全伝票!$C:$C,$C37)),IF($C37="",SUMIFS(全伝票!I:I,全伝票!$A:$A,$A37,全伝票!$B:$B,$B37),SUMIFS(全伝票!I:I,全伝票!$A:$A,$A37,全伝票!$C:$C,$C37)))</f>
        <v>1529000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1529000</v>
      </c>
      <c r="K37" s="664">
        <f t="shared" si="10"/>
        <v>1529000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0"/>
        <v>0</v>
      </c>
      <c r="O37" s="661">
        <f t="shared" si="1"/>
        <v>0</v>
      </c>
      <c r="P37" s="661">
        <f t="shared" si="2"/>
        <v>0</v>
      </c>
      <c r="Q37" s="661">
        <f t="shared" si="2"/>
        <v>0</v>
      </c>
      <c r="R37" s="665">
        <f t="shared" si="3"/>
        <v>139000</v>
      </c>
      <c r="S37" s="664">
        <f t="shared" si="4"/>
        <v>139000</v>
      </c>
      <c r="T37" s="663">
        <f t="shared" si="5"/>
        <v>1390000</v>
      </c>
      <c r="U37" s="650">
        <f t="shared" si="6"/>
        <v>0</v>
      </c>
      <c r="V37" s="650">
        <f t="shared" si="7"/>
        <v>0</v>
      </c>
      <c r="W37" s="650">
        <f t="shared" si="8"/>
        <v>0</v>
      </c>
      <c r="X37" s="650">
        <f t="shared" si="8"/>
        <v>0</v>
      </c>
      <c r="Y37" s="650">
        <f t="shared" si="9"/>
        <v>0</v>
      </c>
      <c r="Z37" s="648"/>
      <c r="AA37" s="648"/>
      <c r="AB37" s="648"/>
      <c r="AC37" s="648"/>
      <c r="AD37" s="648"/>
      <c r="AE37" s="648"/>
      <c r="AF37" s="648"/>
      <c r="AG37" s="648"/>
      <c r="AH37" s="648"/>
      <c r="AI37" s="648"/>
    </row>
    <row r="38" spans="1:35" x14ac:dyDescent="0.15">
      <c r="A38" s="670">
        <v>1</v>
      </c>
      <c r="B38" s="669" t="s">
        <v>1235</v>
      </c>
      <c r="C38" s="668" t="s">
        <v>1237</v>
      </c>
      <c r="D38" s="667" t="s">
        <v>1014</v>
      </c>
      <c r="E38" s="700">
        <f>+IF($A38="",IF($C38="",SUMIFS(全伝票!I:I,全伝票!$B:$B,$B38),SUMIFS(全伝票!I:I,全伝票!$C:$C,$C38)),IF($C38="",SUMIFS(全伝票!I:I,全伝票!$A:$A,$A38,全伝票!$B:$B,$B38),SUMIFS(全伝票!I:I,全伝票!$A:$A,$A38,全伝票!$C:$C,$C38)))</f>
        <v>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0</v>
      </c>
      <c r="K38" s="664">
        <f t="shared" si="10"/>
        <v>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8"/>
      <c r="AA38" s="648"/>
      <c r="AB38" s="648"/>
      <c r="AC38" s="648"/>
      <c r="AD38" s="648"/>
      <c r="AE38" s="648"/>
      <c r="AF38" s="648"/>
      <c r="AG38" s="648"/>
      <c r="AH38" s="648"/>
      <c r="AI38" s="648"/>
    </row>
    <row r="39" spans="1:35" x14ac:dyDescent="0.15">
      <c r="A39" s="670">
        <v>1</v>
      </c>
      <c r="B39" s="669" t="s">
        <v>1235</v>
      </c>
      <c r="C39" s="668" t="s">
        <v>1236</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1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8"/>
      <c r="AA39" s="648"/>
      <c r="AB39" s="648"/>
      <c r="AC39" s="648"/>
      <c r="AD39" s="648"/>
      <c r="AE39" s="648"/>
      <c r="AF39" s="648"/>
      <c r="AG39" s="648"/>
      <c r="AH39" s="648"/>
      <c r="AI39" s="648"/>
    </row>
    <row r="40" spans="1:35" ht="14.25" thickBot="1" x14ac:dyDescent="0.2">
      <c r="A40" s="660">
        <v>1</v>
      </c>
      <c r="B40" s="659" t="s">
        <v>1235</v>
      </c>
      <c r="C40" s="658" t="s">
        <v>1234</v>
      </c>
      <c r="D40" s="657" t="s">
        <v>1009</v>
      </c>
      <c r="E40" s="696">
        <f>+IF($A40="",IF($C40="",SUMIFS(全伝票!I:I,全伝票!$B:$B,$B40),SUMIFS(全伝票!I:I,全伝票!$C:$C,$C40)),IF($C40="",SUMIFS(全伝票!I:I,全伝票!$A:$A,$A40,全伝票!$B:$B,$B40),SUMIFS(全伝票!I:I,全伝票!$A:$A,$A40,全伝票!$C:$C,$C40)))</f>
        <v>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10"/>
        <v>0</v>
      </c>
      <c r="L40" s="696">
        <f>+IF($A40="",IF($C40="",SUMIFS(全伝票!O:O,全伝票!$B:$B,$B40),SUMIFS(全伝票!O:O,全伝票!$C:$C,$C40)),IF($C40="",SUMIFS(全伝票!O:O,全伝票!$A:$A,$A40,全伝票!$B:$B,$B40),SUMIFS(全伝票!O:O,全伝票!$A:$A,$A40,全伝票!$C:$C,$C40)))</f>
        <v>0</v>
      </c>
      <c r="M40" s="696">
        <f>+IF($A40="",IF($C40="",SUMIFS(全伝票!P:P,全伝票!$B:$B,$B40),SUMIFS(全伝票!P:P,全伝票!$C:$C,$C40)),IF($C40="",SUMIFS(全伝票!P:P,全伝票!$A:$A,$A40,全伝票!$B:$B,$B40),SUMIFS(全伝票!P:P,全伝票!$A:$A,$A40,全伝票!$C:$C,$C40)))</f>
        <v>0</v>
      </c>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8"/>
      <c r="AA40" s="648"/>
      <c r="AB40" s="648"/>
      <c r="AC40" s="648"/>
      <c r="AD40" s="648"/>
      <c r="AE40" s="648"/>
      <c r="AF40" s="648"/>
      <c r="AG40" s="648"/>
      <c r="AH40" s="648"/>
      <c r="AI40" s="648"/>
    </row>
    <row r="41" spans="1:35" ht="14.25" thickTop="1" x14ac:dyDescent="0.15">
      <c r="A41" s="647"/>
      <c r="B41" s="646"/>
      <c r="C41" s="645"/>
      <c r="D41" s="644" t="s">
        <v>979</v>
      </c>
      <c r="E41" s="639">
        <f t="shared" ref="E41:T41" si="11">SUM(E5:E40)</f>
        <v>59178010</v>
      </c>
      <c r="F41" s="643">
        <f t="shared" si="11"/>
        <v>0</v>
      </c>
      <c r="G41" s="642">
        <f t="shared" si="11"/>
        <v>0</v>
      </c>
      <c r="H41" s="642">
        <f t="shared" si="11"/>
        <v>0</v>
      </c>
      <c r="I41" s="642">
        <f t="shared" ref="I41" si="12">SUM(I5:I40)</f>
        <v>0</v>
      </c>
      <c r="J41" s="641">
        <f t="shared" si="11"/>
        <v>59178010</v>
      </c>
      <c r="K41" s="634">
        <f t="shared" si="11"/>
        <v>59178010</v>
      </c>
      <c r="L41" s="639">
        <f t="shared" si="11"/>
        <v>0</v>
      </c>
      <c r="M41" s="639">
        <f t="shared" si="11"/>
        <v>0</v>
      </c>
      <c r="N41" s="636">
        <f t="shared" si="11"/>
        <v>0</v>
      </c>
      <c r="O41" s="635">
        <f t="shared" si="11"/>
        <v>0</v>
      </c>
      <c r="P41" s="635">
        <f t="shared" si="11"/>
        <v>0</v>
      </c>
      <c r="Q41" s="635">
        <f t="shared" ref="Q41" si="13">SUM(Q5:Q40)</f>
        <v>0</v>
      </c>
      <c r="R41" s="638">
        <f t="shared" si="11"/>
        <v>5379819</v>
      </c>
      <c r="S41" s="634">
        <f t="shared" si="11"/>
        <v>5379819</v>
      </c>
      <c r="T41" s="637">
        <f t="shared" si="11"/>
        <v>53798191</v>
      </c>
    </row>
    <row r="42" spans="1:35" x14ac:dyDescent="0.15">
      <c r="A42" s="633"/>
      <c r="B42" s="632"/>
      <c r="C42" s="631"/>
      <c r="D42" s="630" t="s">
        <v>978</v>
      </c>
      <c r="E42" s="624">
        <f t="shared" ref="E42:J42" si="14">+E41</f>
        <v>59178010</v>
      </c>
      <c r="F42" s="629">
        <f t="shared" si="14"/>
        <v>0</v>
      </c>
      <c r="G42" s="628">
        <f t="shared" si="14"/>
        <v>0</v>
      </c>
      <c r="H42" s="628">
        <f t="shared" si="14"/>
        <v>0</v>
      </c>
      <c r="I42" s="628">
        <f t="shared" si="14"/>
        <v>0</v>
      </c>
      <c r="J42" s="627">
        <f t="shared" si="14"/>
        <v>59178010</v>
      </c>
      <c r="K42" s="623">
        <f>SUM(F42:J42)</f>
        <v>59178010</v>
      </c>
      <c r="L42" s="624">
        <f>+L41</f>
        <v>0</v>
      </c>
      <c r="M42" s="624">
        <f>+M41</f>
        <v>0</v>
      </c>
      <c r="N42" s="740">
        <f>+'4条支出'!N12</f>
        <v>0</v>
      </c>
      <c r="O42" s="741">
        <f>+'4条支出'!O12</f>
        <v>0</v>
      </c>
      <c r="P42" s="741">
        <f>+'4条支出'!P12</f>
        <v>0</v>
      </c>
      <c r="Q42" s="741">
        <f>+'4条支出'!Q12</f>
        <v>0</v>
      </c>
      <c r="R42" s="742">
        <f>+'4条支出'!R12</f>
        <v>5379819</v>
      </c>
      <c r="S42" s="743">
        <f>+'4条支出'!S12</f>
        <v>5379819</v>
      </c>
      <c r="T42" s="744">
        <f>+'4条支出'!T12</f>
        <v>53798191</v>
      </c>
    </row>
    <row r="43" spans="1:35" x14ac:dyDescent="0.15">
      <c r="E43" s="622">
        <f t="shared" ref="E43:T43" si="15">+E42-E41</f>
        <v>0</v>
      </c>
      <c r="F43" s="622">
        <f t="shared" si="15"/>
        <v>0</v>
      </c>
      <c r="G43" s="622">
        <f t="shared" si="15"/>
        <v>0</v>
      </c>
      <c r="H43" s="622">
        <f t="shared" si="15"/>
        <v>0</v>
      </c>
      <c r="I43" s="622">
        <f t="shared" ref="I43" si="16">+I42-I41</f>
        <v>0</v>
      </c>
      <c r="J43" s="622">
        <f t="shared" si="15"/>
        <v>0</v>
      </c>
      <c r="K43" s="622">
        <f t="shared" si="15"/>
        <v>0</v>
      </c>
      <c r="L43" s="622">
        <f t="shared" si="15"/>
        <v>0</v>
      </c>
      <c r="M43" s="622">
        <f t="shared" si="15"/>
        <v>0</v>
      </c>
      <c r="N43" s="622">
        <f t="shared" si="15"/>
        <v>0</v>
      </c>
      <c r="O43" s="622">
        <f t="shared" si="15"/>
        <v>0</v>
      </c>
      <c r="P43" s="622">
        <f t="shared" si="15"/>
        <v>0</v>
      </c>
      <c r="Q43" s="622">
        <f t="shared" ref="Q43" si="17">+Q42-Q41</f>
        <v>0</v>
      </c>
      <c r="R43" s="622">
        <f t="shared" si="15"/>
        <v>0</v>
      </c>
      <c r="S43" s="622">
        <f t="shared" si="15"/>
        <v>0</v>
      </c>
      <c r="T43" s="622">
        <f t="shared" si="15"/>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AE6:AE14 AE16:AE40">
    <cfRule type="notContainsBlanks" dxfId="232" priority="20" stopIfTrue="1">
      <formula>LEN(TRIM(AE6))&gt;0</formula>
    </cfRule>
  </conditionalFormatting>
  <conditionalFormatting sqref="AE6:AI40">
    <cfRule type="notContainsBlanks" dxfId="231" priority="19" stopIfTrue="1">
      <formula>LEN(TRIM(AE6))&gt;0</formula>
    </cfRule>
  </conditionalFormatting>
  <conditionalFormatting sqref="AE5:AI5">
    <cfRule type="notContainsBlanks" dxfId="230" priority="18" stopIfTrue="1">
      <formula>LEN(TRIM(AE5))&gt;0</formula>
    </cfRule>
  </conditionalFormatting>
  <conditionalFormatting sqref="Z6:Z14 Z16:Z40">
    <cfRule type="notContainsBlanks" dxfId="229" priority="5" stopIfTrue="1">
      <formula>LEN(TRIM(Z6))&gt;0</formula>
    </cfRule>
  </conditionalFormatting>
  <conditionalFormatting sqref="Z6:AD40">
    <cfRule type="notContainsBlanks" dxfId="228" priority="4" stopIfTrue="1">
      <formula>LEN(TRIM(Z6))&gt;0</formula>
    </cfRule>
  </conditionalFormatting>
  <conditionalFormatting sqref="Z5:AD5">
    <cfRule type="notContainsBlanks" dxfId="227" priority="3" stopIfTrue="1">
      <formula>LEN(TRIM(Z5))&gt;0</formula>
    </cfRule>
  </conditionalFormatting>
  <conditionalFormatting sqref="E43:H43 J43:T43">
    <cfRule type="cellIs" dxfId="226" priority="2" operator="notEqual">
      <formula>0</formula>
    </cfRule>
  </conditionalFormatting>
  <conditionalFormatting sqref="I43">
    <cfRule type="cellIs" dxfId="225"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zoomScale="80" zoomScaleNormal="80" zoomScaleSheetLayoutView="40" workbookViewId="0">
      <pane xSplit="4"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1272</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1" t="s">
        <v>995</v>
      </c>
      <c r="AA3" s="761"/>
      <c r="AB3" s="761"/>
      <c r="AC3" s="761"/>
      <c r="AD3" s="761"/>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739">
        <v>3</v>
      </c>
      <c r="AA4" s="739">
        <v>5</v>
      </c>
      <c r="AB4" s="739">
        <v>8</v>
      </c>
      <c r="AC4" s="751">
        <v>8</v>
      </c>
      <c r="AD4" s="739">
        <v>10</v>
      </c>
      <c r="AE4" s="687">
        <v>3</v>
      </c>
      <c r="AF4" s="687">
        <v>5</v>
      </c>
      <c r="AG4" s="687">
        <v>8</v>
      </c>
      <c r="AH4" s="751">
        <v>8</v>
      </c>
      <c r="AI4" s="687">
        <v>10</v>
      </c>
    </row>
    <row r="5" spans="1:35" x14ac:dyDescent="0.15">
      <c r="A5" s="685">
        <v>2</v>
      </c>
      <c r="B5" s="684" t="s">
        <v>1270</v>
      </c>
      <c r="C5" s="683"/>
      <c r="D5" s="682" t="s">
        <v>1079</v>
      </c>
      <c r="E5" s="681"/>
      <c r="F5" s="719"/>
      <c r="G5" s="718"/>
      <c r="H5" s="718"/>
      <c r="I5" s="718"/>
      <c r="J5" s="717">
        <f>+IF($A5="",IF($C5="",SUMIFS(全伝票!N:N,全伝票!$B:$B,$B5),SUMIFS(全伝票!N:N,全伝票!$C:$C,$C5)),IF($C5="",SUMIFS(全伝票!N:N,全伝票!$A:$A,$A5,全伝票!$B:$B,$B5),SUMIFS(全伝票!N:N,全伝票!$A:$A,$A5,全伝票!$C:$C,$C5)))</f>
        <v>0</v>
      </c>
      <c r="K5" s="716"/>
      <c r="L5" s="715"/>
      <c r="M5" s="715"/>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8"/>
      <c r="AA5" s="648"/>
      <c r="AB5" s="648"/>
      <c r="AC5" s="648"/>
      <c r="AD5" s="648"/>
      <c r="AE5" s="648"/>
      <c r="AF5" s="648"/>
      <c r="AG5" s="648"/>
      <c r="AH5" s="648"/>
      <c r="AI5" s="648"/>
    </row>
    <row r="6" spans="1:35" x14ac:dyDescent="0.15">
      <c r="A6" s="670">
        <v>2</v>
      </c>
      <c r="B6" s="669" t="s">
        <v>1269</v>
      </c>
      <c r="C6" s="668"/>
      <c r="D6" s="667" t="s">
        <v>1077</v>
      </c>
      <c r="E6" s="666"/>
      <c r="F6" s="675"/>
      <c r="G6" s="674"/>
      <c r="H6" s="674"/>
      <c r="I6" s="674"/>
      <c r="J6" s="673"/>
      <c r="K6" s="672"/>
      <c r="L6" s="714"/>
      <c r="M6" s="714"/>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8"/>
      <c r="AA6" s="648"/>
      <c r="AB6" s="648"/>
      <c r="AC6" s="648"/>
      <c r="AD6" s="648"/>
      <c r="AE6" s="648"/>
      <c r="AF6" s="648"/>
      <c r="AG6" s="648"/>
      <c r="AH6" s="648"/>
      <c r="AI6" s="648"/>
    </row>
    <row r="7" spans="1:35" x14ac:dyDescent="0.15">
      <c r="A7" s="670">
        <v>2</v>
      </c>
      <c r="B7" s="669" t="s">
        <v>1268</v>
      </c>
      <c r="C7" s="668"/>
      <c r="D7" s="667" t="s">
        <v>1075</v>
      </c>
      <c r="E7" s="666"/>
      <c r="F7" s="675"/>
      <c r="G7" s="674"/>
      <c r="H7" s="674"/>
      <c r="I7" s="674"/>
      <c r="J7" s="673"/>
      <c r="K7" s="672"/>
      <c r="L7" s="714"/>
      <c r="M7" s="714"/>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8"/>
      <c r="AA7" s="648"/>
      <c r="AB7" s="648"/>
      <c r="AC7" s="648"/>
      <c r="AD7" s="648"/>
      <c r="AE7" s="648"/>
      <c r="AF7" s="648"/>
      <c r="AG7" s="648"/>
      <c r="AH7" s="648"/>
      <c r="AI7" s="648"/>
    </row>
    <row r="8" spans="1:35" x14ac:dyDescent="0.15">
      <c r="A8" s="670">
        <v>2</v>
      </c>
      <c r="B8" s="669" t="s">
        <v>1267</v>
      </c>
      <c r="C8" s="668"/>
      <c r="D8" s="667" t="s">
        <v>1073</v>
      </c>
      <c r="E8" s="666"/>
      <c r="F8" s="675"/>
      <c r="G8" s="674"/>
      <c r="H8" s="674"/>
      <c r="I8" s="674"/>
      <c r="J8" s="673"/>
      <c r="K8" s="672"/>
      <c r="L8" s="714"/>
      <c r="M8" s="714"/>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8"/>
      <c r="AA8" s="648"/>
      <c r="AB8" s="648"/>
      <c r="AC8" s="648"/>
      <c r="AD8" s="648"/>
      <c r="AE8" s="648"/>
      <c r="AF8" s="648"/>
      <c r="AG8" s="648"/>
      <c r="AH8" s="648"/>
      <c r="AI8" s="648"/>
    </row>
    <row r="9" spans="1:35" x14ac:dyDescent="0.15">
      <c r="A9" s="670">
        <v>2</v>
      </c>
      <c r="B9" s="669" t="s">
        <v>1266</v>
      </c>
      <c r="C9" s="668"/>
      <c r="D9" s="667" t="s">
        <v>1071</v>
      </c>
      <c r="E9" s="666"/>
      <c r="F9" s="675"/>
      <c r="G9" s="674"/>
      <c r="H9" s="674"/>
      <c r="I9" s="674"/>
      <c r="J9" s="673"/>
      <c r="K9" s="672"/>
      <c r="L9" s="714"/>
      <c r="M9" s="714"/>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8"/>
      <c r="AA9" s="648"/>
      <c r="AB9" s="648"/>
      <c r="AC9" s="648"/>
      <c r="AD9" s="648"/>
      <c r="AE9" s="648"/>
      <c r="AF9" s="648"/>
      <c r="AG9" s="648"/>
      <c r="AH9" s="648"/>
      <c r="AI9" s="648"/>
    </row>
    <row r="10" spans="1:35" x14ac:dyDescent="0.15">
      <c r="A10" s="670">
        <v>2</v>
      </c>
      <c r="B10" s="669" t="s">
        <v>1265</v>
      </c>
      <c r="C10" s="668"/>
      <c r="D10" s="667" t="s">
        <v>1069</v>
      </c>
      <c r="E10" s="666"/>
      <c r="F10" s="675"/>
      <c r="G10" s="674"/>
      <c r="H10" s="674"/>
      <c r="I10" s="674"/>
      <c r="J10" s="673"/>
      <c r="K10" s="672"/>
      <c r="L10" s="714"/>
      <c r="M10" s="714"/>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8"/>
      <c r="AA10" s="648"/>
      <c r="AB10" s="648"/>
      <c r="AC10" s="648"/>
      <c r="AD10" s="648"/>
      <c r="AE10" s="648"/>
      <c r="AF10" s="648"/>
      <c r="AG10" s="648"/>
      <c r="AH10" s="648"/>
      <c r="AI10" s="648"/>
    </row>
    <row r="11" spans="1:35" x14ac:dyDescent="0.15">
      <c r="A11" s="670">
        <v>2</v>
      </c>
      <c r="B11" s="669" t="s">
        <v>1264</v>
      </c>
      <c r="C11" s="668"/>
      <c r="D11" s="667" t="s">
        <v>1067</v>
      </c>
      <c r="E11" s="666"/>
      <c r="F11" s="675"/>
      <c r="G11" s="674"/>
      <c r="H11" s="674"/>
      <c r="I11" s="674"/>
      <c r="J11" s="673"/>
      <c r="K11" s="672"/>
      <c r="L11" s="714"/>
      <c r="M11" s="714"/>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8"/>
      <c r="AA11" s="648"/>
      <c r="AB11" s="648"/>
      <c r="AC11" s="648"/>
      <c r="AD11" s="648"/>
      <c r="AE11" s="648"/>
      <c r="AF11" s="648"/>
      <c r="AG11" s="648"/>
      <c r="AH11" s="648"/>
      <c r="AI11" s="648"/>
    </row>
    <row r="12" spans="1:35" x14ac:dyDescent="0.15">
      <c r="A12" s="670">
        <v>2</v>
      </c>
      <c r="B12" s="669" t="s">
        <v>1262</v>
      </c>
      <c r="C12" s="668" t="s">
        <v>1263</v>
      </c>
      <c r="D12" s="667" t="s">
        <v>1065</v>
      </c>
      <c r="E12" s="666"/>
      <c r="F12" s="675"/>
      <c r="G12" s="674"/>
      <c r="H12" s="674"/>
      <c r="I12" s="674"/>
      <c r="J12" s="673"/>
      <c r="K12" s="672"/>
      <c r="L12" s="714"/>
      <c r="M12" s="714"/>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8"/>
      <c r="AA12" s="648"/>
      <c r="AB12" s="648"/>
      <c r="AC12" s="648"/>
      <c r="AD12" s="648"/>
      <c r="AE12" s="648"/>
      <c r="AF12" s="648"/>
      <c r="AG12" s="648"/>
      <c r="AH12" s="648"/>
      <c r="AI12" s="648"/>
    </row>
    <row r="13" spans="1:35" x14ac:dyDescent="0.15">
      <c r="A13" s="670">
        <v>2</v>
      </c>
      <c r="B13" s="669" t="s">
        <v>1262</v>
      </c>
      <c r="C13" s="668" t="s">
        <v>1261</v>
      </c>
      <c r="D13" s="667" t="s">
        <v>1062</v>
      </c>
      <c r="E13" s="666"/>
      <c r="F13" s="675"/>
      <c r="G13" s="674"/>
      <c r="H13" s="674"/>
      <c r="I13" s="674"/>
      <c r="J13" s="673"/>
      <c r="K13" s="672"/>
      <c r="L13" s="714"/>
      <c r="M13" s="714"/>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8"/>
      <c r="AA13" s="648"/>
      <c r="AB13" s="648"/>
      <c r="AC13" s="648"/>
      <c r="AD13" s="648"/>
      <c r="AE13" s="648"/>
      <c r="AF13" s="648"/>
      <c r="AG13" s="648"/>
      <c r="AH13" s="648"/>
      <c r="AI13" s="648"/>
    </row>
    <row r="14" spans="1:35" x14ac:dyDescent="0.15">
      <c r="A14" s="670">
        <v>2</v>
      </c>
      <c r="B14" s="669" t="s">
        <v>1260</v>
      </c>
      <c r="C14" s="668"/>
      <c r="D14" s="667" t="s">
        <v>1060</v>
      </c>
      <c r="E14" s="666"/>
      <c r="F14" s="675"/>
      <c r="G14" s="674"/>
      <c r="H14" s="674"/>
      <c r="I14" s="674"/>
      <c r="J14" s="673"/>
      <c r="K14" s="672"/>
      <c r="L14" s="714"/>
      <c r="M14" s="714"/>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8"/>
      <c r="AA14" s="648"/>
      <c r="AB14" s="648"/>
      <c r="AC14" s="648"/>
      <c r="AD14" s="648"/>
      <c r="AE14" s="648"/>
      <c r="AF14" s="648"/>
      <c r="AG14" s="648"/>
      <c r="AH14" s="648"/>
      <c r="AI14" s="648"/>
    </row>
    <row r="15" spans="1:35" x14ac:dyDescent="0.15">
      <c r="A15" s="670">
        <v>2</v>
      </c>
      <c r="B15" s="669" t="s">
        <v>1259</v>
      </c>
      <c r="C15" s="668"/>
      <c r="D15" s="667" t="s">
        <v>1058</v>
      </c>
      <c r="E15" s="666"/>
      <c r="F15" s="675"/>
      <c r="G15" s="674"/>
      <c r="H15" s="674"/>
      <c r="I15" s="674"/>
      <c r="J15" s="673"/>
      <c r="K15" s="672"/>
      <c r="L15" s="714"/>
      <c r="M15" s="714"/>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8"/>
      <c r="AA15" s="648"/>
      <c r="AB15" s="648"/>
      <c r="AC15" s="648"/>
      <c r="AD15" s="648"/>
      <c r="AE15" s="648"/>
      <c r="AF15" s="648"/>
      <c r="AG15" s="648"/>
      <c r="AH15" s="648"/>
      <c r="AI15" s="648"/>
    </row>
    <row r="16" spans="1:35" x14ac:dyDescent="0.15">
      <c r="A16" s="670">
        <v>2</v>
      </c>
      <c r="B16" s="669" t="s">
        <v>1258</v>
      </c>
      <c r="C16" s="668"/>
      <c r="D16" s="667" t="s">
        <v>1056</v>
      </c>
      <c r="E16" s="666"/>
      <c r="F16" s="675"/>
      <c r="G16" s="674"/>
      <c r="H16" s="674"/>
      <c r="I16" s="674"/>
      <c r="J16" s="673"/>
      <c r="K16" s="672"/>
      <c r="L16" s="714"/>
      <c r="M16" s="714"/>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8"/>
      <c r="AA16" s="648"/>
      <c r="AB16" s="648"/>
      <c r="AC16" s="648"/>
      <c r="AD16" s="648"/>
      <c r="AE16" s="648"/>
      <c r="AF16" s="648"/>
      <c r="AG16" s="648"/>
      <c r="AH16" s="648"/>
      <c r="AI16" s="648"/>
    </row>
    <row r="17" spans="1:35" x14ac:dyDescent="0.15">
      <c r="A17" s="670">
        <v>2</v>
      </c>
      <c r="B17" s="669" t="s">
        <v>1257</v>
      </c>
      <c r="C17" s="668"/>
      <c r="D17" s="667" t="s">
        <v>1054</v>
      </c>
      <c r="E17" s="666"/>
      <c r="F17" s="675"/>
      <c r="G17" s="674"/>
      <c r="H17" s="674"/>
      <c r="I17" s="674"/>
      <c r="J17" s="673"/>
      <c r="K17" s="672"/>
      <c r="L17" s="714"/>
      <c r="M17" s="714"/>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8"/>
      <c r="AA17" s="648"/>
      <c r="AB17" s="648"/>
      <c r="AC17" s="648"/>
      <c r="AD17" s="648"/>
      <c r="AE17" s="648"/>
      <c r="AF17" s="648"/>
      <c r="AG17" s="648"/>
      <c r="AH17" s="648"/>
      <c r="AI17" s="648"/>
    </row>
    <row r="18" spans="1:35" x14ac:dyDescent="0.15">
      <c r="A18" s="670">
        <v>2</v>
      </c>
      <c r="B18" s="669" t="s">
        <v>1256</v>
      </c>
      <c r="C18" s="668"/>
      <c r="D18" s="667" t="s">
        <v>1052</v>
      </c>
      <c r="E18" s="666"/>
      <c r="F18" s="675"/>
      <c r="G18" s="674"/>
      <c r="H18" s="674"/>
      <c r="I18" s="674"/>
      <c r="J18" s="673"/>
      <c r="K18" s="672"/>
      <c r="L18" s="714"/>
      <c r="M18" s="714"/>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8"/>
      <c r="AA18" s="648"/>
      <c r="AB18" s="648"/>
      <c r="AC18" s="648"/>
      <c r="AD18" s="648"/>
      <c r="AE18" s="648"/>
      <c r="AF18" s="648"/>
      <c r="AG18" s="648"/>
      <c r="AH18" s="648"/>
      <c r="AI18" s="648"/>
    </row>
    <row r="19" spans="1:35" x14ac:dyDescent="0.15">
      <c r="A19" s="670">
        <v>2</v>
      </c>
      <c r="B19" s="669" t="s">
        <v>1255</v>
      </c>
      <c r="C19" s="668"/>
      <c r="D19" s="667" t="s">
        <v>1050</v>
      </c>
      <c r="E19" s="666"/>
      <c r="F19" s="675"/>
      <c r="G19" s="674"/>
      <c r="H19" s="674"/>
      <c r="I19" s="674"/>
      <c r="J19" s="673"/>
      <c r="K19" s="672"/>
      <c r="L19" s="714"/>
      <c r="M19" s="714"/>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8"/>
      <c r="AA19" s="648"/>
      <c r="AB19" s="648"/>
      <c r="AC19" s="648"/>
      <c r="AD19" s="648"/>
      <c r="AE19" s="648"/>
      <c r="AF19" s="648"/>
      <c r="AG19" s="648"/>
      <c r="AH19" s="648"/>
      <c r="AI19" s="648"/>
    </row>
    <row r="20" spans="1:35" x14ac:dyDescent="0.15">
      <c r="A20" s="670">
        <v>2</v>
      </c>
      <c r="B20" s="669" t="s">
        <v>1254</v>
      </c>
      <c r="C20" s="668"/>
      <c r="D20" s="667" t="s">
        <v>1048</v>
      </c>
      <c r="E20" s="666"/>
      <c r="F20" s="675"/>
      <c r="G20" s="674"/>
      <c r="H20" s="674"/>
      <c r="I20" s="674"/>
      <c r="J20" s="673"/>
      <c r="K20" s="672"/>
      <c r="L20" s="714"/>
      <c r="M20" s="714"/>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8"/>
      <c r="AA20" s="648"/>
      <c r="AB20" s="648"/>
      <c r="AC20" s="648"/>
      <c r="AD20" s="648"/>
      <c r="AE20" s="648"/>
      <c r="AF20" s="648"/>
      <c r="AG20" s="648"/>
      <c r="AH20" s="648"/>
      <c r="AI20" s="648"/>
    </row>
    <row r="21" spans="1:35" x14ac:dyDescent="0.15">
      <c r="A21" s="670">
        <v>2</v>
      </c>
      <c r="B21" s="669" t="s">
        <v>1253</v>
      </c>
      <c r="C21" s="668"/>
      <c r="D21" s="667" t="s">
        <v>1046</v>
      </c>
      <c r="E21" s="666"/>
      <c r="F21" s="675"/>
      <c r="G21" s="674"/>
      <c r="H21" s="674"/>
      <c r="I21" s="674"/>
      <c r="J21" s="673"/>
      <c r="K21" s="672"/>
      <c r="L21" s="714"/>
      <c r="M21" s="714"/>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8"/>
      <c r="AA21" s="648"/>
      <c r="AB21" s="648"/>
      <c r="AC21" s="648"/>
      <c r="AD21" s="648"/>
      <c r="AE21" s="648"/>
      <c r="AF21" s="648"/>
      <c r="AG21" s="648"/>
      <c r="AH21" s="648"/>
      <c r="AI21" s="648"/>
    </row>
    <row r="22" spans="1:35" x14ac:dyDescent="0.15">
      <c r="A22" s="670">
        <v>2</v>
      </c>
      <c r="B22" s="669" t="s">
        <v>1252</v>
      </c>
      <c r="C22" s="668"/>
      <c r="D22" s="667" t="s">
        <v>1044</v>
      </c>
      <c r="E22" s="666"/>
      <c r="F22" s="675"/>
      <c r="G22" s="674"/>
      <c r="H22" s="674"/>
      <c r="I22" s="674"/>
      <c r="J22" s="673"/>
      <c r="K22" s="672"/>
      <c r="L22" s="714"/>
      <c r="M22" s="714"/>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8"/>
      <c r="AA22" s="648"/>
      <c r="AB22" s="648"/>
      <c r="AC22" s="648"/>
      <c r="AD22" s="648"/>
      <c r="AE22" s="648"/>
      <c r="AF22" s="648"/>
      <c r="AG22" s="648"/>
      <c r="AH22" s="648"/>
      <c r="AI22" s="648"/>
    </row>
    <row r="23" spans="1:35" x14ac:dyDescent="0.15">
      <c r="A23" s="670">
        <v>2</v>
      </c>
      <c r="B23" s="669" t="s">
        <v>1251</v>
      </c>
      <c r="C23" s="668"/>
      <c r="D23" s="667" t="s">
        <v>1042</v>
      </c>
      <c r="E23" s="666"/>
      <c r="F23" s="675"/>
      <c r="G23" s="674"/>
      <c r="H23" s="674"/>
      <c r="I23" s="674"/>
      <c r="J23" s="673"/>
      <c r="K23" s="672"/>
      <c r="L23" s="714"/>
      <c r="M23" s="714"/>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8"/>
      <c r="AA23" s="648"/>
      <c r="AB23" s="648"/>
      <c r="AC23" s="648"/>
      <c r="AD23" s="648"/>
      <c r="AE23" s="648"/>
      <c r="AF23" s="648"/>
      <c r="AG23" s="648"/>
      <c r="AH23" s="648"/>
      <c r="AI23" s="648"/>
    </row>
    <row r="24" spans="1:35" x14ac:dyDescent="0.15">
      <c r="A24" s="670">
        <v>2</v>
      </c>
      <c r="B24" s="669" t="s">
        <v>1250</v>
      </c>
      <c r="C24" s="668"/>
      <c r="D24" s="667" t="s">
        <v>1040</v>
      </c>
      <c r="E24" s="666"/>
      <c r="F24" s="675"/>
      <c r="G24" s="674"/>
      <c r="H24" s="674"/>
      <c r="I24" s="674"/>
      <c r="J24" s="673"/>
      <c r="K24" s="672"/>
      <c r="L24" s="714"/>
      <c r="M24" s="714"/>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8"/>
      <c r="AA24" s="648"/>
      <c r="AB24" s="648"/>
      <c r="AC24" s="648"/>
      <c r="AD24" s="648"/>
      <c r="AE24" s="648"/>
      <c r="AF24" s="648"/>
      <c r="AG24" s="648"/>
      <c r="AH24" s="648"/>
      <c r="AI24" s="648"/>
    </row>
    <row r="25" spans="1:35" x14ac:dyDescent="0.15">
      <c r="A25" s="670">
        <v>2</v>
      </c>
      <c r="B25" s="669" t="s">
        <v>1249</v>
      </c>
      <c r="C25" s="668"/>
      <c r="D25" s="667" t="s">
        <v>1038</v>
      </c>
      <c r="E25" s="666"/>
      <c r="F25" s="675"/>
      <c r="G25" s="674"/>
      <c r="H25" s="674"/>
      <c r="I25" s="674"/>
      <c r="J25" s="673"/>
      <c r="K25" s="672"/>
      <c r="L25" s="714"/>
      <c r="M25" s="714"/>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8"/>
      <c r="AA25" s="648"/>
      <c r="AB25" s="648"/>
      <c r="AC25" s="648"/>
      <c r="AD25" s="648"/>
      <c r="AE25" s="648"/>
      <c r="AF25" s="648"/>
      <c r="AG25" s="648"/>
      <c r="AH25" s="648"/>
      <c r="AI25" s="648"/>
    </row>
    <row r="26" spans="1:35" x14ac:dyDescent="0.15">
      <c r="A26" s="670">
        <v>2</v>
      </c>
      <c r="B26" s="669" t="s">
        <v>1248</v>
      </c>
      <c r="C26" s="668"/>
      <c r="D26" s="667" t="s">
        <v>1036</v>
      </c>
      <c r="E26" s="666"/>
      <c r="F26" s="675"/>
      <c r="G26" s="674"/>
      <c r="H26" s="674"/>
      <c r="I26" s="674"/>
      <c r="J26" s="673"/>
      <c r="K26" s="672"/>
      <c r="L26" s="714"/>
      <c r="M26" s="714"/>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8"/>
      <c r="AA26" s="648"/>
      <c r="AB26" s="648"/>
      <c r="AC26" s="648"/>
      <c r="AD26" s="648"/>
      <c r="AE26" s="648"/>
      <c r="AF26" s="648"/>
      <c r="AG26" s="648"/>
      <c r="AH26" s="648"/>
      <c r="AI26" s="648"/>
    </row>
    <row r="27" spans="1:35" x14ac:dyDescent="0.15">
      <c r="A27" s="670">
        <v>2</v>
      </c>
      <c r="B27" s="669" t="s">
        <v>1262</v>
      </c>
      <c r="C27" s="668">
        <v>615501003</v>
      </c>
      <c r="D27" s="667" t="s">
        <v>1348</v>
      </c>
      <c r="E27" s="666"/>
      <c r="F27" s="675"/>
      <c r="G27" s="674"/>
      <c r="H27" s="674"/>
      <c r="I27" s="674"/>
      <c r="J27" s="673"/>
      <c r="K27" s="672"/>
      <c r="L27" s="714"/>
      <c r="M27" s="714"/>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8"/>
      <c r="AA27" s="648"/>
      <c r="AB27" s="648"/>
      <c r="AC27" s="648"/>
      <c r="AD27" s="648"/>
      <c r="AE27" s="648"/>
      <c r="AF27" s="648"/>
      <c r="AG27" s="648"/>
      <c r="AH27" s="648"/>
      <c r="AI27" s="648"/>
    </row>
    <row r="28" spans="1:35" x14ac:dyDescent="0.15">
      <c r="A28" s="670">
        <v>2</v>
      </c>
      <c r="B28" s="669" t="s">
        <v>1247</v>
      </c>
      <c r="C28" s="668"/>
      <c r="D28" s="667" t="s">
        <v>1034</v>
      </c>
      <c r="E28" s="666"/>
      <c r="F28" s="675"/>
      <c r="G28" s="674"/>
      <c r="H28" s="674"/>
      <c r="I28" s="674"/>
      <c r="J28" s="673"/>
      <c r="K28" s="672"/>
      <c r="L28" s="714"/>
      <c r="M28" s="714"/>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8"/>
      <c r="AA28" s="648"/>
      <c r="AB28" s="648"/>
      <c r="AC28" s="648"/>
      <c r="AD28" s="648"/>
      <c r="AE28" s="648"/>
      <c r="AF28" s="648"/>
      <c r="AG28" s="648"/>
      <c r="AH28" s="648"/>
      <c r="AI28" s="648"/>
    </row>
    <row r="29" spans="1:35" x14ac:dyDescent="0.15">
      <c r="A29" s="670">
        <v>2</v>
      </c>
      <c r="B29" s="669" t="s">
        <v>1246</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ref="K29:K40" si="10">SUM(F29:J29)</f>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8"/>
      <c r="AA29" s="648"/>
      <c r="AB29" s="648"/>
      <c r="AC29" s="648"/>
      <c r="AD29" s="648"/>
      <c r="AE29" s="648"/>
      <c r="AF29" s="648"/>
      <c r="AG29" s="648"/>
      <c r="AH29" s="648"/>
      <c r="AI29" s="648"/>
    </row>
    <row r="30" spans="1:35" x14ac:dyDescent="0.15">
      <c r="A30" s="670">
        <v>2</v>
      </c>
      <c r="B30" s="669" t="s">
        <v>1245</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1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8"/>
      <c r="AA30" s="648"/>
      <c r="AB30" s="648"/>
      <c r="AC30" s="648"/>
      <c r="AD30" s="648"/>
      <c r="AE30" s="648"/>
      <c r="AF30" s="648"/>
      <c r="AG30" s="648"/>
      <c r="AH30" s="648"/>
      <c r="AI30" s="648"/>
    </row>
    <row r="31" spans="1:35" x14ac:dyDescent="0.15">
      <c r="A31" s="670">
        <v>2</v>
      </c>
      <c r="B31" s="669" t="s">
        <v>1244</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1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8"/>
      <c r="AA31" s="648"/>
      <c r="AB31" s="648"/>
      <c r="AC31" s="648"/>
      <c r="AD31" s="648"/>
      <c r="AE31" s="648"/>
      <c r="AF31" s="648"/>
      <c r="AG31" s="648"/>
      <c r="AH31" s="648"/>
      <c r="AI31" s="648"/>
    </row>
    <row r="32" spans="1:35" x14ac:dyDescent="0.15">
      <c r="A32" s="670"/>
      <c r="B32" s="669" t="s">
        <v>1243</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1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8"/>
      <c r="AA32" s="648"/>
      <c r="AB32" s="648"/>
      <c r="AC32" s="648"/>
      <c r="AD32" s="648"/>
      <c r="AE32" s="648"/>
      <c r="AF32" s="648"/>
      <c r="AG32" s="648"/>
      <c r="AH32" s="648"/>
      <c r="AI32" s="648"/>
    </row>
    <row r="33" spans="1:35" x14ac:dyDescent="0.15">
      <c r="A33" s="670">
        <v>2</v>
      </c>
      <c r="B33" s="669" t="s">
        <v>1242</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1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8"/>
      <c r="AA33" s="648"/>
      <c r="AB33" s="648"/>
      <c r="AC33" s="648"/>
      <c r="AD33" s="648"/>
      <c r="AE33" s="648"/>
      <c r="AF33" s="648"/>
      <c r="AG33" s="648"/>
      <c r="AH33" s="648"/>
      <c r="AI33" s="648"/>
    </row>
    <row r="34" spans="1:35" x14ac:dyDescent="0.15">
      <c r="A34" s="670">
        <v>2</v>
      </c>
      <c r="B34" s="669" t="s">
        <v>1241</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1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8"/>
      <c r="AA34" s="648"/>
      <c r="AB34" s="648"/>
      <c r="AC34" s="648"/>
      <c r="AD34" s="648"/>
      <c r="AE34" s="648"/>
      <c r="AF34" s="648"/>
      <c r="AG34" s="648"/>
      <c r="AH34" s="648"/>
      <c r="AI34" s="648"/>
    </row>
    <row r="35" spans="1:35" x14ac:dyDescent="0.15">
      <c r="A35" s="670">
        <v>2</v>
      </c>
      <c r="B35" s="669" t="s">
        <v>1235</v>
      </c>
      <c r="C35" s="668" t="s">
        <v>1240</v>
      </c>
      <c r="D35" s="667" t="s">
        <v>1020</v>
      </c>
      <c r="E35" s="700">
        <f>+IF($A35="",IF($C35="",SUMIFS(全伝票!I:I,全伝票!$B:$B,$B35),SUMIFS(全伝票!I:I,全伝票!$C:$C,$C35)),IF($C35="",SUMIFS(全伝票!I:I,全伝票!$A:$A,$A35,全伝票!$B:$B,$B35),SUMIFS(全伝票!I:I,全伝票!$A:$A,$A35,全伝票!$C:$C,$C35)))</f>
        <v>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0</v>
      </c>
      <c r="K35" s="664">
        <f t="shared" si="10"/>
        <v>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8"/>
      <c r="AA35" s="648"/>
      <c r="AB35" s="648"/>
      <c r="AC35" s="648"/>
      <c r="AD35" s="648"/>
      <c r="AE35" s="648"/>
      <c r="AF35" s="648"/>
      <c r="AG35" s="648"/>
      <c r="AH35" s="648"/>
      <c r="AI35" s="648"/>
    </row>
    <row r="36" spans="1:35" x14ac:dyDescent="0.15">
      <c r="A36" s="670">
        <v>2</v>
      </c>
      <c r="B36" s="669" t="s">
        <v>1235</v>
      </c>
      <c r="C36" s="668" t="s">
        <v>1239</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1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8"/>
      <c r="AA36" s="648"/>
      <c r="AB36" s="648"/>
      <c r="AC36" s="648"/>
      <c r="AD36" s="648"/>
      <c r="AE36" s="648"/>
      <c r="AF36" s="648"/>
      <c r="AG36" s="648"/>
      <c r="AH36" s="648"/>
      <c r="AI36" s="648"/>
    </row>
    <row r="37" spans="1:35" x14ac:dyDescent="0.15">
      <c r="A37" s="670">
        <v>2</v>
      </c>
      <c r="B37" s="669" t="s">
        <v>1235</v>
      </c>
      <c r="C37" s="668" t="s">
        <v>1238</v>
      </c>
      <c r="D37" s="667" t="s">
        <v>1016</v>
      </c>
      <c r="E37" s="700">
        <f>+IF($A37="",IF($C37="",SUMIFS(全伝票!I:I,全伝票!$B:$B,$B37),SUMIFS(全伝票!I:I,全伝票!$C:$C,$C37)),IF($C37="",SUMIFS(全伝票!I:I,全伝票!$A:$A,$A37,全伝票!$B:$B,$B37),SUMIFS(全伝票!I:I,全伝票!$A:$A,$A37,全伝票!$C:$C,$C37)))</f>
        <v>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0</v>
      </c>
      <c r="K37" s="664">
        <f t="shared" si="10"/>
        <v>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8"/>
      <c r="AA37" s="648"/>
      <c r="AB37" s="648"/>
      <c r="AC37" s="648"/>
      <c r="AD37" s="648"/>
      <c r="AE37" s="648"/>
      <c r="AF37" s="648"/>
      <c r="AG37" s="648"/>
      <c r="AH37" s="648"/>
      <c r="AI37" s="648"/>
    </row>
    <row r="38" spans="1:35" x14ac:dyDescent="0.15">
      <c r="A38" s="670">
        <v>2</v>
      </c>
      <c r="B38" s="669" t="s">
        <v>1235</v>
      </c>
      <c r="C38" s="668" t="s">
        <v>1237</v>
      </c>
      <c r="D38" s="667" t="s">
        <v>1014</v>
      </c>
      <c r="E38" s="700">
        <f>+IF($A38="",IF($C38="",SUMIFS(全伝票!I:I,全伝票!$B:$B,$B38),SUMIFS(全伝票!I:I,全伝票!$C:$C,$C38)),IF($C38="",SUMIFS(全伝票!I:I,全伝票!$A:$A,$A38,全伝票!$B:$B,$B38),SUMIFS(全伝票!I:I,全伝票!$A:$A,$A38,全伝票!$C:$C,$C38)))</f>
        <v>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0</v>
      </c>
      <c r="K38" s="664">
        <f t="shared" si="10"/>
        <v>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8"/>
      <c r="AA38" s="648"/>
      <c r="AB38" s="648"/>
      <c r="AC38" s="648"/>
      <c r="AD38" s="648"/>
      <c r="AE38" s="648"/>
      <c r="AF38" s="648"/>
      <c r="AG38" s="648"/>
      <c r="AH38" s="648"/>
      <c r="AI38" s="648"/>
    </row>
    <row r="39" spans="1:35" x14ac:dyDescent="0.15">
      <c r="A39" s="670">
        <v>2</v>
      </c>
      <c r="B39" s="669" t="s">
        <v>1235</v>
      </c>
      <c r="C39" s="668" t="s">
        <v>1236</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1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8"/>
      <c r="AA39" s="648"/>
      <c r="AB39" s="648"/>
      <c r="AC39" s="648"/>
      <c r="AD39" s="648"/>
      <c r="AE39" s="648"/>
      <c r="AF39" s="648"/>
      <c r="AG39" s="648"/>
      <c r="AH39" s="648"/>
      <c r="AI39" s="648"/>
    </row>
    <row r="40" spans="1:35" ht="14.25" thickBot="1" x14ac:dyDescent="0.2">
      <c r="A40" s="660">
        <v>2</v>
      </c>
      <c r="B40" s="659" t="s">
        <v>1235</v>
      </c>
      <c r="C40" s="658" t="s">
        <v>1234</v>
      </c>
      <c r="D40" s="657" t="s">
        <v>1009</v>
      </c>
      <c r="E40" s="696">
        <f>+IF($A40="",IF($C40="",SUMIFS(全伝票!I:I,全伝票!$B:$B,$B40),SUMIFS(全伝票!I:I,全伝票!$C:$C,$C40)),IF($C40="",SUMIFS(全伝票!I:I,全伝票!$A:$A,$A40,全伝票!$B:$B,$B40),SUMIFS(全伝票!I:I,全伝票!$A:$A,$A40,全伝票!$C:$C,$C40)))</f>
        <v>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10"/>
        <v>0</v>
      </c>
      <c r="L40" s="696">
        <f>+IF($A40="",IF($C40="",SUMIFS(全伝票!O:O,全伝票!$B:$B,$B40),SUMIFS(全伝票!O:O,全伝票!$C:$C,$C40)),IF($C40="",SUMIFS(全伝票!O:O,全伝票!$A:$A,$A40,全伝票!$B:$B,$B40),SUMIFS(全伝票!O:O,全伝票!$A:$A,$A40,全伝票!$C:$C,$C40)))</f>
        <v>0</v>
      </c>
      <c r="M40" s="696">
        <f>+IF($A40="",IF($C40="",SUMIFS(全伝票!P:P,全伝票!$B:$B,$B40),SUMIFS(全伝票!P:P,全伝票!$C:$C,$C40)),IF($C40="",SUMIFS(全伝票!P:P,全伝票!$A:$A,$A40,全伝票!$B:$B,$B40),SUMIFS(全伝票!P:P,全伝票!$A:$A,$A40,全伝票!$C:$C,$C40)))</f>
        <v>0</v>
      </c>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8"/>
      <c r="AA40" s="648"/>
      <c r="AB40" s="648"/>
      <c r="AC40" s="648"/>
      <c r="AD40" s="648"/>
      <c r="AE40" s="648"/>
      <c r="AF40" s="648"/>
      <c r="AG40" s="648"/>
      <c r="AH40" s="648"/>
      <c r="AI40" s="648"/>
    </row>
    <row r="41" spans="1:35" ht="14.25" thickTop="1" x14ac:dyDescent="0.15">
      <c r="A41" s="647"/>
      <c r="B41" s="646"/>
      <c r="C41" s="645"/>
      <c r="D41" s="644" t="s">
        <v>979</v>
      </c>
      <c r="E41" s="639">
        <f t="shared" ref="E41:T41" si="11">SUM(E5:E40)</f>
        <v>0</v>
      </c>
      <c r="F41" s="643">
        <f t="shared" si="11"/>
        <v>0</v>
      </c>
      <c r="G41" s="642">
        <f t="shared" si="11"/>
        <v>0</v>
      </c>
      <c r="H41" s="642">
        <f t="shared" si="11"/>
        <v>0</v>
      </c>
      <c r="I41" s="642">
        <f t="shared" ref="I41" si="12">SUM(I5:I40)</f>
        <v>0</v>
      </c>
      <c r="J41" s="641">
        <f t="shared" si="11"/>
        <v>0</v>
      </c>
      <c r="K41" s="634">
        <f t="shared" si="11"/>
        <v>0</v>
      </c>
      <c r="L41" s="639">
        <f t="shared" si="11"/>
        <v>0</v>
      </c>
      <c r="M41" s="639">
        <f t="shared" si="11"/>
        <v>0</v>
      </c>
      <c r="N41" s="636">
        <f t="shared" si="11"/>
        <v>0</v>
      </c>
      <c r="O41" s="635">
        <f t="shared" si="11"/>
        <v>0</v>
      </c>
      <c r="P41" s="635">
        <f t="shared" si="11"/>
        <v>0</v>
      </c>
      <c r="Q41" s="635">
        <f t="shared" ref="Q41" si="13">SUM(Q5:Q40)</f>
        <v>0</v>
      </c>
      <c r="R41" s="638">
        <f t="shared" si="11"/>
        <v>0</v>
      </c>
      <c r="S41" s="634">
        <f t="shared" si="11"/>
        <v>0</v>
      </c>
      <c r="T41" s="637">
        <f t="shared" si="11"/>
        <v>0</v>
      </c>
    </row>
    <row r="42" spans="1:35" x14ac:dyDescent="0.15">
      <c r="A42" s="633"/>
      <c r="B42" s="632"/>
      <c r="C42" s="631"/>
      <c r="D42" s="630" t="s">
        <v>978</v>
      </c>
      <c r="E42" s="624">
        <f t="shared" ref="E42:J42" si="14">+E41</f>
        <v>0</v>
      </c>
      <c r="F42" s="629">
        <f t="shared" si="14"/>
        <v>0</v>
      </c>
      <c r="G42" s="628">
        <f t="shared" si="14"/>
        <v>0</v>
      </c>
      <c r="H42" s="628">
        <f t="shared" si="14"/>
        <v>0</v>
      </c>
      <c r="I42" s="628">
        <f t="shared" si="14"/>
        <v>0</v>
      </c>
      <c r="J42" s="627">
        <f t="shared" si="14"/>
        <v>0</v>
      </c>
      <c r="K42" s="623">
        <f>SUM(F42:J42)</f>
        <v>0</v>
      </c>
      <c r="L42" s="624">
        <f>+L41</f>
        <v>0</v>
      </c>
      <c r="M42" s="624">
        <f>+M41</f>
        <v>0</v>
      </c>
      <c r="N42" s="740">
        <f>+'4条支出'!N13</f>
        <v>0</v>
      </c>
      <c r="O42" s="741">
        <f>+'4条支出'!O13</f>
        <v>0</v>
      </c>
      <c r="P42" s="741">
        <f>+'4条支出'!P13</f>
        <v>0</v>
      </c>
      <c r="Q42" s="741">
        <f>+'4条支出'!Q13</f>
        <v>0</v>
      </c>
      <c r="R42" s="742">
        <f>+'4条支出'!R13</f>
        <v>0</v>
      </c>
      <c r="S42" s="743">
        <f>+'4条支出'!S13</f>
        <v>0</v>
      </c>
      <c r="T42" s="744">
        <f>+'4条支出'!T13</f>
        <v>0</v>
      </c>
    </row>
    <row r="43" spans="1:35" x14ac:dyDescent="0.15">
      <c r="E43" s="622">
        <f t="shared" ref="E43:T43" si="15">+E42-E41</f>
        <v>0</v>
      </c>
      <c r="F43" s="622">
        <f t="shared" si="15"/>
        <v>0</v>
      </c>
      <c r="G43" s="622">
        <f t="shared" si="15"/>
        <v>0</v>
      </c>
      <c r="H43" s="622">
        <f t="shared" si="15"/>
        <v>0</v>
      </c>
      <c r="I43" s="622">
        <f t="shared" ref="I43" si="16">+I42-I41</f>
        <v>0</v>
      </c>
      <c r="J43" s="622">
        <f t="shared" si="15"/>
        <v>0</v>
      </c>
      <c r="K43" s="622">
        <f t="shared" si="15"/>
        <v>0</v>
      </c>
      <c r="L43" s="622">
        <f t="shared" si="15"/>
        <v>0</v>
      </c>
      <c r="M43" s="622">
        <f t="shared" si="15"/>
        <v>0</v>
      </c>
      <c r="N43" s="622">
        <f t="shared" si="15"/>
        <v>0</v>
      </c>
      <c r="O43" s="622">
        <f t="shared" si="15"/>
        <v>0</v>
      </c>
      <c r="P43" s="622">
        <f t="shared" si="15"/>
        <v>0</v>
      </c>
      <c r="Q43" s="622">
        <f t="shared" ref="Q43" si="17">+Q42-Q41</f>
        <v>0</v>
      </c>
      <c r="R43" s="622">
        <f t="shared" si="15"/>
        <v>0</v>
      </c>
      <c r="S43" s="622">
        <f t="shared" si="15"/>
        <v>0</v>
      </c>
      <c r="T43" s="622">
        <f t="shared" si="15"/>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AE6:AE14 AE16:AE40">
    <cfRule type="notContainsBlanks" dxfId="224" priority="20" stopIfTrue="1">
      <formula>LEN(TRIM(AE6))&gt;0</formula>
    </cfRule>
  </conditionalFormatting>
  <conditionalFormatting sqref="AE6:AI40">
    <cfRule type="notContainsBlanks" dxfId="223" priority="19" stopIfTrue="1">
      <formula>LEN(TRIM(AE6))&gt;0</formula>
    </cfRule>
  </conditionalFormatting>
  <conditionalFormatting sqref="AE5:AI5">
    <cfRule type="notContainsBlanks" dxfId="222" priority="18" stopIfTrue="1">
      <formula>LEN(TRIM(AE5))&gt;0</formula>
    </cfRule>
  </conditionalFormatting>
  <conditionalFormatting sqref="Z6:Z14 Z16:Z40">
    <cfRule type="notContainsBlanks" dxfId="221" priority="5" stopIfTrue="1">
      <formula>LEN(TRIM(Z6))&gt;0</formula>
    </cfRule>
  </conditionalFormatting>
  <conditionalFormatting sqref="Z6:AD40">
    <cfRule type="notContainsBlanks" dxfId="220" priority="4" stopIfTrue="1">
      <formula>LEN(TRIM(Z6))&gt;0</formula>
    </cfRule>
  </conditionalFormatting>
  <conditionalFormatting sqref="Z5:AD5">
    <cfRule type="notContainsBlanks" dxfId="219" priority="3" stopIfTrue="1">
      <formula>LEN(TRIM(Z5))&gt;0</formula>
    </cfRule>
  </conditionalFormatting>
  <conditionalFormatting sqref="E43:H43 J43:T43">
    <cfRule type="cellIs" dxfId="218" priority="2" operator="notEqual">
      <formula>0</formula>
    </cfRule>
  </conditionalFormatting>
  <conditionalFormatting sqref="I43">
    <cfRule type="cellIs" dxfId="217" priority="1" operator="notEqual">
      <formula>0</formula>
    </cfRule>
  </conditionalFormatting>
  <pageMargins left="0.39370078740157483" right="0.39370078740157483" top="0.59055118110236227" bottom="0.39370078740157483" header="0.39370078740157483" footer="0.19685039370078741"/>
  <pageSetup paperSize="9" scale="71" fitToHeight="2" orientation="landscape" blackAndWhite="1" r:id="rId1"/>
  <headerFooter>
    <oddFooter>&amp;L&amp;8&amp;Z&amp;F&amp;A&amp;R&amp;8&amp;D&amp;T</oddFooter>
  </headerFooter>
</worksheet>
</file>

<file path=xl/worksheets/w3_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zoomScale="80" zoomScaleNormal="80" zoomScaleSheetLayoutView="40" workbookViewId="0">
      <pane xSplit="4"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1273</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1" t="s">
        <v>995</v>
      </c>
      <c r="AA3" s="761"/>
      <c r="AB3" s="761"/>
      <c r="AC3" s="761"/>
      <c r="AD3" s="761"/>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739">
        <v>3</v>
      </c>
      <c r="AA4" s="739">
        <v>5</v>
      </c>
      <c r="AB4" s="739">
        <v>8</v>
      </c>
      <c r="AC4" s="751">
        <v>8</v>
      </c>
      <c r="AD4" s="739">
        <v>10</v>
      </c>
      <c r="AE4" s="687">
        <v>3</v>
      </c>
      <c r="AF4" s="687">
        <v>5</v>
      </c>
      <c r="AG4" s="687">
        <v>8</v>
      </c>
      <c r="AH4" s="751">
        <v>8</v>
      </c>
      <c r="AI4" s="687">
        <v>10</v>
      </c>
    </row>
    <row r="5" spans="1:35" x14ac:dyDescent="0.15">
      <c r="A5" s="685">
        <v>3</v>
      </c>
      <c r="B5" s="684" t="s">
        <v>1270</v>
      </c>
      <c r="C5" s="683"/>
      <c r="D5" s="682" t="s">
        <v>1079</v>
      </c>
      <c r="E5" s="681"/>
      <c r="F5" s="719"/>
      <c r="G5" s="718"/>
      <c r="H5" s="718"/>
      <c r="I5" s="718"/>
      <c r="J5" s="717">
        <f>+IF($A5="",IF($C5="",SUMIFS(全伝票!N:N,全伝票!$B:$B,$B5),SUMIFS(全伝票!N:N,全伝票!$C:$C,$C5)),IF($C5="",SUMIFS(全伝票!N:N,全伝票!$A:$A,$A5,全伝票!$B:$B,$B5),SUMIFS(全伝票!N:N,全伝票!$A:$A,$A5,全伝票!$C:$C,$C5)))</f>
        <v>0</v>
      </c>
      <c r="K5" s="716"/>
      <c r="L5" s="715"/>
      <c r="M5" s="715"/>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8"/>
      <c r="AA5" s="648"/>
      <c r="AB5" s="648"/>
      <c r="AC5" s="648"/>
      <c r="AD5" s="648"/>
      <c r="AE5" s="648"/>
      <c r="AF5" s="648"/>
      <c r="AG5" s="648"/>
      <c r="AH5" s="648"/>
      <c r="AI5" s="648"/>
    </row>
    <row r="6" spans="1:35" x14ac:dyDescent="0.15">
      <c r="A6" s="670">
        <v>3</v>
      </c>
      <c r="B6" s="669" t="s">
        <v>1269</v>
      </c>
      <c r="C6" s="668"/>
      <c r="D6" s="667" t="s">
        <v>1077</v>
      </c>
      <c r="E6" s="666"/>
      <c r="F6" s="675"/>
      <c r="G6" s="674"/>
      <c r="H6" s="674"/>
      <c r="I6" s="674"/>
      <c r="J6" s="673"/>
      <c r="K6" s="672"/>
      <c r="L6" s="714"/>
      <c r="M6" s="714"/>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8"/>
      <c r="AA6" s="648"/>
      <c r="AB6" s="648"/>
      <c r="AC6" s="648"/>
      <c r="AD6" s="648"/>
      <c r="AE6" s="648"/>
      <c r="AF6" s="648"/>
      <c r="AG6" s="648"/>
      <c r="AH6" s="648"/>
      <c r="AI6" s="648"/>
    </row>
    <row r="7" spans="1:35" x14ac:dyDescent="0.15">
      <c r="A7" s="670">
        <v>3</v>
      </c>
      <c r="B7" s="669" t="s">
        <v>1268</v>
      </c>
      <c r="C7" s="668"/>
      <c r="D7" s="667" t="s">
        <v>1075</v>
      </c>
      <c r="E7" s="666"/>
      <c r="F7" s="675"/>
      <c r="G7" s="674"/>
      <c r="H7" s="674"/>
      <c r="I7" s="674"/>
      <c r="J7" s="673"/>
      <c r="K7" s="672"/>
      <c r="L7" s="714"/>
      <c r="M7" s="714"/>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8"/>
      <c r="AA7" s="648"/>
      <c r="AB7" s="648"/>
      <c r="AC7" s="648"/>
      <c r="AD7" s="648"/>
      <c r="AE7" s="648"/>
      <c r="AF7" s="648"/>
      <c r="AG7" s="648"/>
      <c r="AH7" s="648"/>
      <c r="AI7" s="648"/>
    </row>
    <row r="8" spans="1:35" x14ac:dyDescent="0.15">
      <c r="A8" s="670">
        <v>3</v>
      </c>
      <c r="B8" s="669" t="s">
        <v>1267</v>
      </c>
      <c r="C8" s="668"/>
      <c r="D8" s="667" t="s">
        <v>1073</v>
      </c>
      <c r="E8" s="666"/>
      <c r="F8" s="675"/>
      <c r="G8" s="674"/>
      <c r="H8" s="674"/>
      <c r="I8" s="674"/>
      <c r="J8" s="673"/>
      <c r="K8" s="672"/>
      <c r="L8" s="714"/>
      <c r="M8" s="714"/>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8"/>
      <c r="AA8" s="648"/>
      <c r="AB8" s="648"/>
      <c r="AC8" s="648"/>
      <c r="AD8" s="648"/>
      <c r="AE8" s="648"/>
      <c r="AF8" s="648"/>
      <c r="AG8" s="648"/>
      <c r="AH8" s="648"/>
      <c r="AI8" s="648"/>
    </row>
    <row r="9" spans="1:35" x14ac:dyDescent="0.15">
      <c r="A9" s="670">
        <v>3</v>
      </c>
      <c r="B9" s="669" t="s">
        <v>1266</v>
      </c>
      <c r="C9" s="668"/>
      <c r="D9" s="667" t="s">
        <v>1071</v>
      </c>
      <c r="E9" s="666"/>
      <c r="F9" s="675"/>
      <c r="G9" s="674"/>
      <c r="H9" s="674"/>
      <c r="I9" s="674"/>
      <c r="J9" s="673"/>
      <c r="K9" s="672"/>
      <c r="L9" s="714"/>
      <c r="M9" s="714"/>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8"/>
      <c r="AA9" s="648"/>
      <c r="AB9" s="648"/>
      <c r="AC9" s="648"/>
      <c r="AD9" s="648"/>
      <c r="AE9" s="648"/>
      <c r="AF9" s="648"/>
      <c r="AG9" s="648"/>
      <c r="AH9" s="648"/>
      <c r="AI9" s="648"/>
    </row>
    <row r="10" spans="1:35" x14ac:dyDescent="0.15">
      <c r="A10" s="670">
        <v>3</v>
      </c>
      <c r="B10" s="669" t="s">
        <v>1265</v>
      </c>
      <c r="C10" s="668"/>
      <c r="D10" s="667" t="s">
        <v>1069</v>
      </c>
      <c r="E10" s="666"/>
      <c r="F10" s="675"/>
      <c r="G10" s="674"/>
      <c r="H10" s="674"/>
      <c r="I10" s="674"/>
      <c r="J10" s="673"/>
      <c r="K10" s="672"/>
      <c r="L10" s="714"/>
      <c r="M10" s="714"/>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8"/>
      <c r="AA10" s="648"/>
      <c r="AB10" s="648"/>
      <c r="AC10" s="648"/>
      <c r="AD10" s="648"/>
      <c r="AE10" s="648"/>
      <c r="AF10" s="648"/>
      <c r="AG10" s="648"/>
      <c r="AH10" s="648"/>
      <c r="AI10" s="648"/>
    </row>
    <row r="11" spans="1:35" x14ac:dyDescent="0.15">
      <c r="A11" s="670">
        <v>3</v>
      </c>
      <c r="B11" s="669" t="s">
        <v>1264</v>
      </c>
      <c r="C11" s="668"/>
      <c r="D11" s="667" t="s">
        <v>1067</v>
      </c>
      <c r="E11" s="666"/>
      <c r="F11" s="675"/>
      <c r="G11" s="674"/>
      <c r="H11" s="674"/>
      <c r="I11" s="674"/>
      <c r="J11" s="673"/>
      <c r="K11" s="672"/>
      <c r="L11" s="714"/>
      <c r="M11" s="714"/>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8"/>
      <c r="AA11" s="648"/>
      <c r="AB11" s="648"/>
      <c r="AC11" s="648"/>
      <c r="AD11" s="648"/>
      <c r="AE11" s="648"/>
      <c r="AF11" s="648"/>
      <c r="AG11" s="648"/>
      <c r="AH11" s="648"/>
      <c r="AI11" s="648"/>
    </row>
    <row r="12" spans="1:35" x14ac:dyDescent="0.15">
      <c r="A12" s="670">
        <v>3</v>
      </c>
      <c r="B12" s="669" t="s">
        <v>1262</v>
      </c>
      <c r="C12" s="668" t="s">
        <v>1263</v>
      </c>
      <c r="D12" s="667" t="s">
        <v>1065</v>
      </c>
      <c r="E12" s="666"/>
      <c r="F12" s="675"/>
      <c r="G12" s="674"/>
      <c r="H12" s="674"/>
      <c r="I12" s="674"/>
      <c r="J12" s="673"/>
      <c r="K12" s="672"/>
      <c r="L12" s="714"/>
      <c r="M12" s="714"/>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8"/>
      <c r="AA12" s="648"/>
      <c r="AB12" s="648"/>
      <c r="AC12" s="648"/>
      <c r="AD12" s="648"/>
      <c r="AE12" s="648"/>
      <c r="AF12" s="648"/>
      <c r="AG12" s="648"/>
      <c r="AH12" s="648"/>
      <c r="AI12" s="648"/>
    </row>
    <row r="13" spans="1:35" x14ac:dyDescent="0.15">
      <c r="A13" s="670">
        <v>3</v>
      </c>
      <c r="B13" s="669" t="s">
        <v>1262</v>
      </c>
      <c r="C13" s="668" t="s">
        <v>1261</v>
      </c>
      <c r="D13" s="667" t="s">
        <v>1062</v>
      </c>
      <c r="E13" s="666"/>
      <c r="F13" s="675"/>
      <c r="G13" s="674"/>
      <c r="H13" s="674"/>
      <c r="I13" s="674"/>
      <c r="J13" s="673"/>
      <c r="K13" s="672"/>
      <c r="L13" s="714"/>
      <c r="M13" s="714"/>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8"/>
      <c r="AA13" s="648"/>
      <c r="AB13" s="648"/>
      <c r="AC13" s="648"/>
      <c r="AD13" s="648"/>
      <c r="AE13" s="648"/>
      <c r="AF13" s="648"/>
      <c r="AG13" s="648"/>
      <c r="AH13" s="648"/>
      <c r="AI13" s="648"/>
    </row>
    <row r="14" spans="1:35" x14ac:dyDescent="0.15">
      <c r="A14" s="670">
        <v>3</v>
      </c>
      <c r="B14" s="669" t="s">
        <v>1260</v>
      </c>
      <c r="C14" s="668"/>
      <c r="D14" s="667" t="s">
        <v>1060</v>
      </c>
      <c r="E14" s="666"/>
      <c r="F14" s="675"/>
      <c r="G14" s="674"/>
      <c r="H14" s="674"/>
      <c r="I14" s="674"/>
      <c r="J14" s="673"/>
      <c r="K14" s="672"/>
      <c r="L14" s="714"/>
      <c r="M14" s="714"/>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8"/>
      <c r="AA14" s="648"/>
      <c r="AB14" s="648"/>
      <c r="AC14" s="648"/>
      <c r="AD14" s="648"/>
      <c r="AE14" s="648"/>
      <c r="AF14" s="648"/>
      <c r="AG14" s="648"/>
      <c r="AH14" s="648"/>
      <c r="AI14" s="648"/>
    </row>
    <row r="15" spans="1:35" x14ac:dyDescent="0.15">
      <c r="A15" s="670">
        <v>3</v>
      </c>
      <c r="B15" s="669" t="s">
        <v>1259</v>
      </c>
      <c r="C15" s="668"/>
      <c r="D15" s="667" t="s">
        <v>1058</v>
      </c>
      <c r="E15" s="666"/>
      <c r="F15" s="675"/>
      <c r="G15" s="674"/>
      <c r="H15" s="674"/>
      <c r="I15" s="674"/>
      <c r="J15" s="673"/>
      <c r="K15" s="672"/>
      <c r="L15" s="714"/>
      <c r="M15" s="714"/>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8"/>
      <c r="AA15" s="648"/>
      <c r="AB15" s="648"/>
      <c r="AC15" s="648"/>
      <c r="AD15" s="648"/>
      <c r="AE15" s="648"/>
      <c r="AF15" s="648"/>
      <c r="AG15" s="648"/>
      <c r="AH15" s="648"/>
      <c r="AI15" s="648"/>
    </row>
    <row r="16" spans="1:35" x14ac:dyDescent="0.15">
      <c r="A16" s="670">
        <v>3</v>
      </c>
      <c r="B16" s="669" t="s">
        <v>1258</v>
      </c>
      <c r="C16" s="668"/>
      <c r="D16" s="667" t="s">
        <v>1056</v>
      </c>
      <c r="E16" s="666"/>
      <c r="F16" s="675"/>
      <c r="G16" s="674"/>
      <c r="H16" s="674"/>
      <c r="I16" s="674"/>
      <c r="J16" s="673"/>
      <c r="K16" s="672"/>
      <c r="L16" s="714"/>
      <c r="M16" s="714"/>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8"/>
      <c r="AA16" s="648"/>
      <c r="AB16" s="648"/>
      <c r="AC16" s="648"/>
      <c r="AD16" s="648"/>
      <c r="AE16" s="648"/>
      <c r="AF16" s="648"/>
      <c r="AG16" s="648"/>
      <c r="AH16" s="648"/>
      <c r="AI16" s="648"/>
    </row>
    <row r="17" spans="1:35" x14ac:dyDescent="0.15">
      <c r="A17" s="670">
        <v>3</v>
      </c>
      <c r="B17" s="669" t="s">
        <v>1257</v>
      </c>
      <c r="C17" s="668"/>
      <c r="D17" s="667" t="s">
        <v>1054</v>
      </c>
      <c r="E17" s="666"/>
      <c r="F17" s="675"/>
      <c r="G17" s="674"/>
      <c r="H17" s="674"/>
      <c r="I17" s="674"/>
      <c r="J17" s="673"/>
      <c r="K17" s="672"/>
      <c r="L17" s="714"/>
      <c r="M17" s="714"/>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8"/>
      <c r="AA17" s="648"/>
      <c r="AB17" s="648"/>
      <c r="AC17" s="648"/>
      <c r="AD17" s="648"/>
      <c r="AE17" s="648"/>
      <c r="AF17" s="648"/>
      <c r="AG17" s="648"/>
      <c r="AH17" s="648"/>
      <c r="AI17" s="648"/>
    </row>
    <row r="18" spans="1:35" x14ac:dyDescent="0.15">
      <c r="A18" s="670">
        <v>3</v>
      </c>
      <c r="B18" s="669" t="s">
        <v>1256</v>
      </c>
      <c r="C18" s="668"/>
      <c r="D18" s="667" t="s">
        <v>1052</v>
      </c>
      <c r="E18" s="666"/>
      <c r="F18" s="675"/>
      <c r="G18" s="674"/>
      <c r="H18" s="674"/>
      <c r="I18" s="674"/>
      <c r="J18" s="673"/>
      <c r="K18" s="672"/>
      <c r="L18" s="714"/>
      <c r="M18" s="714"/>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8"/>
      <c r="AA18" s="648"/>
      <c r="AB18" s="648"/>
      <c r="AC18" s="648"/>
      <c r="AD18" s="648"/>
      <c r="AE18" s="648"/>
      <c r="AF18" s="648"/>
      <c r="AG18" s="648"/>
      <c r="AH18" s="648"/>
      <c r="AI18" s="648"/>
    </row>
    <row r="19" spans="1:35" x14ac:dyDescent="0.15">
      <c r="A19" s="670">
        <v>3</v>
      </c>
      <c r="B19" s="669" t="s">
        <v>1255</v>
      </c>
      <c r="C19" s="668"/>
      <c r="D19" s="667" t="s">
        <v>1050</v>
      </c>
      <c r="E19" s="666"/>
      <c r="F19" s="675"/>
      <c r="G19" s="674"/>
      <c r="H19" s="674"/>
      <c r="I19" s="674"/>
      <c r="J19" s="673"/>
      <c r="K19" s="672"/>
      <c r="L19" s="714"/>
      <c r="M19" s="714"/>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8"/>
      <c r="AA19" s="648"/>
      <c r="AB19" s="648"/>
      <c r="AC19" s="648"/>
      <c r="AD19" s="648"/>
      <c r="AE19" s="648"/>
      <c r="AF19" s="648"/>
      <c r="AG19" s="648"/>
      <c r="AH19" s="648"/>
      <c r="AI19" s="648"/>
    </row>
    <row r="20" spans="1:35" x14ac:dyDescent="0.15">
      <c r="A20" s="670">
        <v>3</v>
      </c>
      <c r="B20" s="669" t="s">
        <v>1254</v>
      </c>
      <c r="C20" s="668"/>
      <c r="D20" s="667" t="s">
        <v>1048</v>
      </c>
      <c r="E20" s="666"/>
      <c r="F20" s="675"/>
      <c r="G20" s="674"/>
      <c r="H20" s="674"/>
      <c r="I20" s="674"/>
      <c r="J20" s="673"/>
      <c r="K20" s="672"/>
      <c r="L20" s="714"/>
      <c r="M20" s="714"/>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8"/>
      <c r="AA20" s="648"/>
      <c r="AB20" s="648"/>
      <c r="AC20" s="648"/>
      <c r="AD20" s="648"/>
      <c r="AE20" s="648"/>
      <c r="AF20" s="648"/>
      <c r="AG20" s="648"/>
      <c r="AH20" s="648"/>
      <c r="AI20" s="648"/>
    </row>
    <row r="21" spans="1:35" x14ac:dyDescent="0.15">
      <c r="A21" s="670">
        <v>3</v>
      </c>
      <c r="B21" s="669" t="s">
        <v>1253</v>
      </c>
      <c r="C21" s="668"/>
      <c r="D21" s="667" t="s">
        <v>1046</v>
      </c>
      <c r="E21" s="666"/>
      <c r="F21" s="675"/>
      <c r="G21" s="674"/>
      <c r="H21" s="674"/>
      <c r="I21" s="674"/>
      <c r="J21" s="673"/>
      <c r="K21" s="672"/>
      <c r="L21" s="714"/>
      <c r="M21" s="714"/>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8"/>
      <c r="AA21" s="648"/>
      <c r="AB21" s="648"/>
      <c r="AC21" s="648"/>
      <c r="AD21" s="648"/>
      <c r="AE21" s="648"/>
      <c r="AF21" s="648"/>
      <c r="AG21" s="648"/>
      <c r="AH21" s="648"/>
      <c r="AI21" s="648"/>
    </row>
    <row r="22" spans="1:35" x14ac:dyDescent="0.15">
      <c r="A22" s="670">
        <v>3</v>
      </c>
      <c r="B22" s="669" t="s">
        <v>1252</v>
      </c>
      <c r="C22" s="668"/>
      <c r="D22" s="667" t="s">
        <v>1044</v>
      </c>
      <c r="E22" s="666"/>
      <c r="F22" s="675"/>
      <c r="G22" s="674"/>
      <c r="H22" s="674"/>
      <c r="I22" s="674"/>
      <c r="J22" s="673"/>
      <c r="K22" s="672"/>
      <c r="L22" s="714"/>
      <c r="M22" s="714"/>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8"/>
      <c r="AA22" s="648"/>
      <c r="AB22" s="648"/>
      <c r="AC22" s="648"/>
      <c r="AD22" s="648"/>
      <c r="AE22" s="648"/>
      <c r="AF22" s="648"/>
      <c r="AG22" s="648"/>
      <c r="AH22" s="648"/>
      <c r="AI22" s="648"/>
    </row>
    <row r="23" spans="1:35" x14ac:dyDescent="0.15">
      <c r="A23" s="670">
        <v>3</v>
      </c>
      <c r="B23" s="669" t="s">
        <v>1251</v>
      </c>
      <c r="C23" s="668"/>
      <c r="D23" s="667" t="s">
        <v>1042</v>
      </c>
      <c r="E23" s="666"/>
      <c r="F23" s="675"/>
      <c r="G23" s="674"/>
      <c r="H23" s="674"/>
      <c r="I23" s="674"/>
      <c r="J23" s="673"/>
      <c r="K23" s="672"/>
      <c r="L23" s="714"/>
      <c r="M23" s="714"/>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8"/>
      <c r="AA23" s="648"/>
      <c r="AB23" s="648"/>
      <c r="AC23" s="648"/>
      <c r="AD23" s="648"/>
      <c r="AE23" s="648"/>
      <c r="AF23" s="648"/>
      <c r="AG23" s="648"/>
      <c r="AH23" s="648"/>
      <c r="AI23" s="648"/>
    </row>
    <row r="24" spans="1:35" x14ac:dyDescent="0.15">
      <c r="A24" s="670">
        <v>3</v>
      </c>
      <c r="B24" s="669" t="s">
        <v>1250</v>
      </c>
      <c r="C24" s="668"/>
      <c r="D24" s="667" t="s">
        <v>1040</v>
      </c>
      <c r="E24" s="666"/>
      <c r="F24" s="675"/>
      <c r="G24" s="674"/>
      <c r="H24" s="674"/>
      <c r="I24" s="674"/>
      <c r="J24" s="673"/>
      <c r="K24" s="672"/>
      <c r="L24" s="714"/>
      <c r="M24" s="714"/>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8"/>
      <c r="AA24" s="648"/>
      <c r="AB24" s="648"/>
      <c r="AC24" s="648"/>
      <c r="AD24" s="648"/>
      <c r="AE24" s="648"/>
      <c r="AF24" s="648"/>
      <c r="AG24" s="648"/>
      <c r="AH24" s="648"/>
      <c r="AI24" s="648"/>
    </row>
    <row r="25" spans="1:35" x14ac:dyDescent="0.15">
      <c r="A25" s="670">
        <v>3</v>
      </c>
      <c r="B25" s="669" t="s">
        <v>1249</v>
      </c>
      <c r="C25" s="668"/>
      <c r="D25" s="667" t="s">
        <v>1038</v>
      </c>
      <c r="E25" s="666"/>
      <c r="F25" s="675"/>
      <c r="G25" s="674"/>
      <c r="H25" s="674"/>
      <c r="I25" s="674"/>
      <c r="J25" s="673"/>
      <c r="K25" s="672"/>
      <c r="L25" s="714"/>
      <c r="M25" s="714"/>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8"/>
      <c r="AA25" s="648"/>
      <c r="AB25" s="648"/>
      <c r="AC25" s="648"/>
      <c r="AD25" s="648"/>
      <c r="AE25" s="648"/>
      <c r="AF25" s="648"/>
      <c r="AG25" s="648"/>
      <c r="AH25" s="648"/>
      <c r="AI25" s="648"/>
    </row>
    <row r="26" spans="1:35" x14ac:dyDescent="0.15">
      <c r="A26" s="670">
        <v>3</v>
      </c>
      <c r="B26" s="669" t="s">
        <v>1248</v>
      </c>
      <c r="C26" s="668"/>
      <c r="D26" s="667" t="s">
        <v>1036</v>
      </c>
      <c r="E26" s="666"/>
      <c r="F26" s="675"/>
      <c r="G26" s="674"/>
      <c r="H26" s="674"/>
      <c r="I26" s="674"/>
      <c r="J26" s="673"/>
      <c r="K26" s="672"/>
      <c r="L26" s="714"/>
      <c r="M26" s="714"/>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8"/>
      <c r="AA26" s="648"/>
      <c r="AB26" s="648"/>
      <c r="AC26" s="648"/>
      <c r="AD26" s="648"/>
      <c r="AE26" s="648"/>
      <c r="AF26" s="648"/>
      <c r="AG26" s="648"/>
      <c r="AH26" s="648"/>
      <c r="AI26" s="648"/>
    </row>
    <row r="27" spans="1:35" x14ac:dyDescent="0.15">
      <c r="A27" s="670">
        <v>3</v>
      </c>
      <c r="B27" s="669" t="s">
        <v>1262</v>
      </c>
      <c r="C27" s="668">
        <v>615501003</v>
      </c>
      <c r="D27" s="667" t="s">
        <v>1348</v>
      </c>
      <c r="E27" s="666"/>
      <c r="F27" s="675"/>
      <c r="G27" s="674"/>
      <c r="H27" s="674"/>
      <c r="I27" s="674"/>
      <c r="J27" s="673"/>
      <c r="K27" s="672"/>
      <c r="L27" s="714"/>
      <c r="M27" s="714"/>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8"/>
      <c r="AA27" s="648"/>
      <c r="AB27" s="648"/>
      <c r="AC27" s="648"/>
      <c r="AD27" s="648"/>
      <c r="AE27" s="648"/>
      <c r="AF27" s="648"/>
      <c r="AG27" s="648"/>
      <c r="AH27" s="648"/>
      <c r="AI27" s="648"/>
    </row>
    <row r="28" spans="1:35" x14ac:dyDescent="0.15">
      <c r="A28" s="670">
        <v>3</v>
      </c>
      <c r="B28" s="669" t="s">
        <v>1247</v>
      </c>
      <c r="C28" s="668"/>
      <c r="D28" s="667" t="s">
        <v>1034</v>
      </c>
      <c r="E28" s="666"/>
      <c r="F28" s="675"/>
      <c r="G28" s="674"/>
      <c r="H28" s="674"/>
      <c r="I28" s="674"/>
      <c r="J28" s="673"/>
      <c r="K28" s="672"/>
      <c r="L28" s="714"/>
      <c r="M28" s="714"/>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8"/>
      <c r="AA28" s="648"/>
      <c r="AB28" s="648"/>
      <c r="AC28" s="648"/>
      <c r="AD28" s="648"/>
      <c r="AE28" s="648"/>
      <c r="AF28" s="648"/>
      <c r="AG28" s="648"/>
      <c r="AH28" s="648"/>
      <c r="AI28" s="648"/>
    </row>
    <row r="29" spans="1:35" x14ac:dyDescent="0.15">
      <c r="A29" s="670">
        <v>3</v>
      </c>
      <c r="B29" s="669" t="s">
        <v>1246</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ref="K29:K40" si="10">SUM(F29:J29)</f>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8"/>
      <c r="AA29" s="648"/>
      <c r="AB29" s="648"/>
      <c r="AC29" s="648"/>
      <c r="AD29" s="648"/>
      <c r="AE29" s="648"/>
      <c r="AF29" s="648"/>
      <c r="AG29" s="648"/>
      <c r="AH29" s="648"/>
      <c r="AI29" s="648"/>
    </row>
    <row r="30" spans="1:35" x14ac:dyDescent="0.15">
      <c r="A30" s="670">
        <v>3</v>
      </c>
      <c r="B30" s="669" t="s">
        <v>1245</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1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8"/>
      <c r="AA30" s="648"/>
      <c r="AB30" s="648"/>
      <c r="AC30" s="648"/>
      <c r="AD30" s="648"/>
      <c r="AE30" s="648"/>
      <c r="AF30" s="648"/>
      <c r="AG30" s="648"/>
      <c r="AH30" s="648"/>
      <c r="AI30" s="648"/>
    </row>
    <row r="31" spans="1:35" x14ac:dyDescent="0.15">
      <c r="A31" s="670">
        <v>3</v>
      </c>
      <c r="B31" s="669" t="s">
        <v>1244</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1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8"/>
      <c r="AA31" s="648"/>
      <c r="AB31" s="648"/>
      <c r="AC31" s="648"/>
      <c r="AD31" s="648"/>
      <c r="AE31" s="648"/>
      <c r="AF31" s="648"/>
      <c r="AG31" s="648"/>
      <c r="AH31" s="648"/>
      <c r="AI31" s="648"/>
    </row>
    <row r="32" spans="1:35" x14ac:dyDescent="0.15">
      <c r="A32" s="670"/>
      <c r="B32" s="669" t="s">
        <v>1243</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1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8"/>
      <c r="AA32" s="648"/>
      <c r="AB32" s="648"/>
      <c r="AC32" s="648"/>
      <c r="AD32" s="648"/>
      <c r="AE32" s="648"/>
      <c r="AF32" s="648"/>
      <c r="AG32" s="648"/>
      <c r="AH32" s="648"/>
      <c r="AI32" s="648"/>
    </row>
    <row r="33" spans="1:35" x14ac:dyDescent="0.15">
      <c r="A33" s="670">
        <v>3</v>
      </c>
      <c r="B33" s="669" t="s">
        <v>1242</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1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8"/>
      <c r="AA33" s="648"/>
      <c r="AB33" s="648"/>
      <c r="AC33" s="648"/>
      <c r="AD33" s="648"/>
      <c r="AE33" s="648"/>
      <c r="AF33" s="648"/>
      <c r="AG33" s="648"/>
      <c r="AH33" s="648"/>
      <c r="AI33" s="648"/>
    </row>
    <row r="34" spans="1:35" x14ac:dyDescent="0.15">
      <c r="A34" s="670">
        <v>3</v>
      </c>
      <c r="B34" s="669" t="s">
        <v>1241</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1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8"/>
      <c r="AA34" s="648"/>
      <c r="AB34" s="648"/>
      <c r="AC34" s="648"/>
      <c r="AD34" s="648"/>
      <c r="AE34" s="648"/>
      <c r="AF34" s="648"/>
      <c r="AG34" s="648"/>
      <c r="AH34" s="648"/>
      <c r="AI34" s="648"/>
    </row>
    <row r="35" spans="1:35" x14ac:dyDescent="0.15">
      <c r="A35" s="670">
        <v>3</v>
      </c>
      <c r="B35" s="669" t="s">
        <v>1235</v>
      </c>
      <c r="C35" s="668" t="s">
        <v>1240</v>
      </c>
      <c r="D35" s="667" t="s">
        <v>1020</v>
      </c>
      <c r="E35" s="700">
        <f>+IF($A35="",IF($C35="",SUMIFS(全伝票!I:I,全伝票!$B:$B,$B35),SUMIFS(全伝票!I:I,全伝票!$C:$C,$C35)),IF($C35="",SUMIFS(全伝票!I:I,全伝票!$A:$A,$A35,全伝票!$B:$B,$B35),SUMIFS(全伝票!I:I,全伝票!$A:$A,$A35,全伝票!$C:$C,$C35)))</f>
        <v>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0</v>
      </c>
      <c r="K35" s="664">
        <f t="shared" si="10"/>
        <v>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8"/>
      <c r="AA35" s="648"/>
      <c r="AB35" s="648"/>
      <c r="AC35" s="648"/>
      <c r="AD35" s="648"/>
      <c r="AE35" s="648"/>
      <c r="AF35" s="648"/>
      <c r="AG35" s="648"/>
      <c r="AH35" s="648"/>
      <c r="AI35" s="648"/>
    </row>
    <row r="36" spans="1:35" x14ac:dyDescent="0.15">
      <c r="A36" s="670">
        <v>3</v>
      </c>
      <c r="B36" s="669" t="s">
        <v>1235</v>
      </c>
      <c r="C36" s="668" t="s">
        <v>1239</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1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8"/>
      <c r="AA36" s="648"/>
      <c r="AB36" s="648"/>
      <c r="AC36" s="648"/>
      <c r="AD36" s="648"/>
      <c r="AE36" s="648"/>
      <c r="AF36" s="648"/>
      <c r="AG36" s="648"/>
      <c r="AH36" s="648"/>
      <c r="AI36" s="648"/>
    </row>
    <row r="37" spans="1:35" x14ac:dyDescent="0.15">
      <c r="A37" s="670">
        <v>3</v>
      </c>
      <c r="B37" s="669" t="s">
        <v>1235</v>
      </c>
      <c r="C37" s="668" t="s">
        <v>1238</v>
      </c>
      <c r="D37" s="667" t="s">
        <v>1016</v>
      </c>
      <c r="E37" s="700">
        <f>+IF($A37="",IF($C37="",SUMIFS(全伝票!I:I,全伝票!$B:$B,$B37),SUMIFS(全伝票!I:I,全伝票!$C:$C,$C37)),IF($C37="",SUMIFS(全伝票!I:I,全伝票!$A:$A,$A37,全伝票!$B:$B,$B37),SUMIFS(全伝票!I:I,全伝票!$A:$A,$A37,全伝票!$C:$C,$C37)))</f>
        <v>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0</v>
      </c>
      <c r="K37" s="664">
        <f t="shared" si="10"/>
        <v>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8"/>
      <c r="AA37" s="648"/>
      <c r="AB37" s="648"/>
      <c r="AC37" s="648"/>
      <c r="AD37" s="648"/>
      <c r="AE37" s="648"/>
      <c r="AF37" s="648"/>
      <c r="AG37" s="648"/>
      <c r="AH37" s="648"/>
      <c r="AI37" s="648"/>
    </row>
    <row r="38" spans="1:35" x14ac:dyDescent="0.15">
      <c r="A38" s="670">
        <v>3</v>
      </c>
      <c r="B38" s="669" t="s">
        <v>1235</v>
      </c>
      <c r="C38" s="668" t="s">
        <v>1237</v>
      </c>
      <c r="D38" s="667" t="s">
        <v>1014</v>
      </c>
      <c r="E38" s="700">
        <f>+IF($A38="",IF($C38="",SUMIFS(全伝票!I:I,全伝票!$B:$B,$B38),SUMIFS(全伝票!I:I,全伝票!$C:$C,$C38)),IF($C38="",SUMIFS(全伝票!I:I,全伝票!$A:$A,$A38,全伝票!$B:$B,$B38),SUMIFS(全伝票!I:I,全伝票!$A:$A,$A38,全伝票!$C:$C,$C38)))</f>
        <v>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0</v>
      </c>
      <c r="K38" s="664">
        <f t="shared" si="10"/>
        <v>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8"/>
      <c r="AA38" s="648"/>
      <c r="AB38" s="648"/>
      <c r="AC38" s="648"/>
      <c r="AD38" s="648"/>
      <c r="AE38" s="648"/>
      <c r="AF38" s="648"/>
      <c r="AG38" s="648"/>
      <c r="AH38" s="648"/>
      <c r="AI38" s="648"/>
    </row>
    <row r="39" spans="1:35" x14ac:dyDescent="0.15">
      <c r="A39" s="670">
        <v>3</v>
      </c>
      <c r="B39" s="669" t="s">
        <v>1235</v>
      </c>
      <c r="C39" s="668" t="s">
        <v>1236</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1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8"/>
      <c r="AA39" s="648"/>
      <c r="AB39" s="648"/>
      <c r="AC39" s="648"/>
      <c r="AD39" s="648"/>
      <c r="AE39" s="648"/>
      <c r="AF39" s="648"/>
      <c r="AG39" s="648"/>
      <c r="AH39" s="648"/>
      <c r="AI39" s="648"/>
    </row>
    <row r="40" spans="1:35" ht="14.25" thickBot="1" x14ac:dyDescent="0.2">
      <c r="A40" s="660">
        <v>3</v>
      </c>
      <c r="B40" s="659" t="s">
        <v>1235</v>
      </c>
      <c r="C40" s="658" t="s">
        <v>1234</v>
      </c>
      <c r="D40" s="657" t="s">
        <v>1009</v>
      </c>
      <c r="E40" s="696">
        <f>+IF($A40="",IF($C40="",SUMIFS(全伝票!I:I,全伝票!$B:$B,$B40),SUMIFS(全伝票!I:I,全伝票!$C:$C,$C40)),IF($C40="",SUMIFS(全伝票!I:I,全伝票!$A:$A,$A40,全伝票!$B:$B,$B40),SUMIFS(全伝票!I:I,全伝票!$A:$A,$A40,全伝票!$C:$C,$C40)))</f>
        <v>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10"/>
        <v>0</v>
      </c>
      <c r="L40" s="696">
        <f>+IF($A40="",IF($C40="",SUMIFS(全伝票!O:O,全伝票!$B:$B,$B40),SUMIFS(全伝票!O:O,全伝票!$C:$C,$C40)),IF($C40="",SUMIFS(全伝票!O:O,全伝票!$A:$A,$A40,全伝票!$B:$B,$B40),SUMIFS(全伝票!O:O,全伝票!$A:$A,$A40,全伝票!$C:$C,$C40)))</f>
        <v>0</v>
      </c>
      <c r="M40" s="696">
        <f>+IF($A40="",IF($C40="",SUMIFS(全伝票!P:P,全伝票!$B:$B,$B40),SUMIFS(全伝票!P:P,全伝票!$C:$C,$C40)),IF($C40="",SUMIFS(全伝票!P:P,全伝票!$A:$A,$A40,全伝票!$B:$B,$B40),SUMIFS(全伝票!P:P,全伝票!$A:$A,$A40,全伝票!$C:$C,$C40)))</f>
        <v>0</v>
      </c>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8"/>
      <c r="AA40" s="648"/>
      <c r="AB40" s="648"/>
      <c r="AC40" s="648"/>
      <c r="AD40" s="648"/>
      <c r="AE40" s="648"/>
      <c r="AF40" s="648"/>
      <c r="AG40" s="648"/>
      <c r="AH40" s="648"/>
      <c r="AI40" s="648"/>
    </row>
    <row r="41" spans="1:35" ht="14.25" thickTop="1" x14ac:dyDescent="0.15">
      <c r="A41" s="647"/>
      <c r="B41" s="646"/>
      <c r="C41" s="645"/>
      <c r="D41" s="644" t="s">
        <v>979</v>
      </c>
      <c r="E41" s="639">
        <f t="shared" ref="E41:T41" si="11">SUM(E5:E40)</f>
        <v>0</v>
      </c>
      <c r="F41" s="643">
        <f t="shared" si="11"/>
        <v>0</v>
      </c>
      <c r="G41" s="642">
        <f t="shared" si="11"/>
        <v>0</v>
      </c>
      <c r="H41" s="642">
        <f t="shared" si="11"/>
        <v>0</v>
      </c>
      <c r="I41" s="642">
        <f t="shared" ref="I41" si="12">SUM(I5:I40)</f>
        <v>0</v>
      </c>
      <c r="J41" s="641">
        <f t="shared" si="11"/>
        <v>0</v>
      </c>
      <c r="K41" s="634">
        <f t="shared" si="11"/>
        <v>0</v>
      </c>
      <c r="L41" s="639">
        <f t="shared" si="11"/>
        <v>0</v>
      </c>
      <c r="M41" s="639">
        <f t="shared" si="11"/>
        <v>0</v>
      </c>
      <c r="N41" s="636">
        <f t="shared" si="11"/>
        <v>0</v>
      </c>
      <c r="O41" s="635">
        <f t="shared" si="11"/>
        <v>0</v>
      </c>
      <c r="P41" s="635">
        <f t="shared" si="11"/>
        <v>0</v>
      </c>
      <c r="Q41" s="635">
        <f t="shared" ref="Q41" si="13">SUM(Q5:Q40)</f>
        <v>0</v>
      </c>
      <c r="R41" s="638">
        <f t="shared" si="11"/>
        <v>0</v>
      </c>
      <c r="S41" s="634">
        <f t="shared" si="11"/>
        <v>0</v>
      </c>
      <c r="T41" s="637">
        <f t="shared" si="11"/>
        <v>0</v>
      </c>
    </row>
    <row r="42" spans="1:35" x14ac:dyDescent="0.15">
      <c r="A42" s="633"/>
      <c r="B42" s="632"/>
      <c r="C42" s="631"/>
      <c r="D42" s="630" t="s">
        <v>978</v>
      </c>
      <c r="E42" s="624">
        <f t="shared" ref="E42:J42" si="14">+E41</f>
        <v>0</v>
      </c>
      <c r="F42" s="629">
        <f t="shared" si="14"/>
        <v>0</v>
      </c>
      <c r="G42" s="628">
        <f t="shared" si="14"/>
        <v>0</v>
      </c>
      <c r="H42" s="628">
        <f t="shared" si="14"/>
        <v>0</v>
      </c>
      <c r="I42" s="628">
        <f t="shared" si="14"/>
        <v>0</v>
      </c>
      <c r="J42" s="627">
        <f t="shared" si="14"/>
        <v>0</v>
      </c>
      <c r="K42" s="623">
        <f>SUM(F42:J42)</f>
        <v>0</v>
      </c>
      <c r="L42" s="624">
        <f>+L41</f>
        <v>0</v>
      </c>
      <c r="M42" s="624">
        <f>+M41</f>
        <v>0</v>
      </c>
      <c r="N42" s="740">
        <f>+'4条支出'!N14</f>
        <v>0</v>
      </c>
      <c r="O42" s="741">
        <f>+'4条支出'!O14</f>
        <v>0</v>
      </c>
      <c r="P42" s="741">
        <f>+'4条支出'!P14</f>
        <v>0</v>
      </c>
      <c r="Q42" s="741">
        <f>+'4条支出'!Q14</f>
        <v>0</v>
      </c>
      <c r="R42" s="742">
        <f>+'4条支出'!R14</f>
        <v>0</v>
      </c>
      <c r="S42" s="743">
        <f>+'4条支出'!S14</f>
        <v>0</v>
      </c>
      <c r="T42" s="744">
        <f>+'4条支出'!T14</f>
        <v>0</v>
      </c>
    </row>
    <row r="43" spans="1:35" x14ac:dyDescent="0.15">
      <c r="E43" s="622">
        <f t="shared" ref="E43:T43" si="15">+E42-E41</f>
        <v>0</v>
      </c>
      <c r="F43" s="622">
        <f t="shared" si="15"/>
        <v>0</v>
      </c>
      <c r="G43" s="622">
        <f t="shared" si="15"/>
        <v>0</v>
      </c>
      <c r="H43" s="622">
        <f t="shared" si="15"/>
        <v>0</v>
      </c>
      <c r="I43" s="622">
        <f t="shared" ref="I43" si="16">+I42-I41</f>
        <v>0</v>
      </c>
      <c r="J43" s="622">
        <f t="shared" si="15"/>
        <v>0</v>
      </c>
      <c r="K43" s="622">
        <f t="shared" si="15"/>
        <v>0</v>
      </c>
      <c r="L43" s="622">
        <f t="shared" si="15"/>
        <v>0</v>
      </c>
      <c r="M43" s="622">
        <f t="shared" si="15"/>
        <v>0</v>
      </c>
      <c r="N43" s="622">
        <f t="shared" si="15"/>
        <v>0</v>
      </c>
      <c r="O43" s="622">
        <f t="shared" si="15"/>
        <v>0</v>
      </c>
      <c r="P43" s="622">
        <f t="shared" si="15"/>
        <v>0</v>
      </c>
      <c r="Q43" s="622">
        <f t="shared" ref="Q43" si="17">+Q42-Q41</f>
        <v>0</v>
      </c>
      <c r="R43" s="622">
        <f t="shared" si="15"/>
        <v>0</v>
      </c>
      <c r="S43" s="622">
        <f t="shared" si="15"/>
        <v>0</v>
      </c>
      <c r="T43" s="622">
        <f t="shared" si="15"/>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AE6:AE14 AE16:AE40">
    <cfRule type="notContainsBlanks" dxfId="216" priority="20" stopIfTrue="1">
      <formula>LEN(TRIM(AE6))&gt;0</formula>
    </cfRule>
  </conditionalFormatting>
  <conditionalFormatting sqref="AE6:AI40">
    <cfRule type="notContainsBlanks" dxfId="215" priority="19" stopIfTrue="1">
      <formula>LEN(TRIM(AE6))&gt;0</formula>
    </cfRule>
  </conditionalFormatting>
  <conditionalFormatting sqref="AE5:AI5">
    <cfRule type="notContainsBlanks" dxfId="214" priority="18" stopIfTrue="1">
      <formula>LEN(TRIM(AE5))&gt;0</formula>
    </cfRule>
  </conditionalFormatting>
  <conditionalFormatting sqref="Z6:Z14 Z16:Z40">
    <cfRule type="notContainsBlanks" dxfId="213" priority="5" stopIfTrue="1">
      <formula>LEN(TRIM(Z6))&gt;0</formula>
    </cfRule>
  </conditionalFormatting>
  <conditionalFormatting sqref="Z6:AD40">
    <cfRule type="notContainsBlanks" dxfId="212" priority="4" stopIfTrue="1">
      <formula>LEN(TRIM(Z6))&gt;0</formula>
    </cfRule>
  </conditionalFormatting>
  <conditionalFormatting sqref="Z5:AD5">
    <cfRule type="notContainsBlanks" dxfId="211" priority="3" stopIfTrue="1">
      <formula>LEN(TRIM(Z5))&gt;0</formula>
    </cfRule>
  </conditionalFormatting>
  <conditionalFormatting sqref="E43:H43 J43:T43">
    <cfRule type="cellIs" dxfId="210" priority="2" operator="notEqual">
      <formula>0</formula>
    </cfRule>
  </conditionalFormatting>
  <conditionalFormatting sqref="I43">
    <cfRule type="cellIs" dxfId="209"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topLeftCell="D1" zoomScale="80" zoomScaleNormal="80" zoomScaleSheetLayoutView="40" workbookViewId="0">
      <pane xSplit="2"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1276</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c r="B5" s="684" t="s">
        <v>1275</v>
      </c>
      <c r="C5" s="683"/>
      <c r="D5" s="682" t="s">
        <v>1274</v>
      </c>
      <c r="E5" s="705">
        <f>+IF($A5="",IF($C5="",SUMIFS(全伝票!I:I,全伝票!$B:$B,$B5),SUMIFS(全伝票!I:I,全伝票!$C:$C,$C5)),IF($C5="",SUMIFS(全伝票!I:I,全伝票!$A:$A,$A5,全伝票!$B:$B,$B5),SUMIFS(全伝票!I:I,全伝票!$A:$A,$A5,全伝票!$C:$C,$C5)))</f>
        <v>12600000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SUM(F5:J5)</f>
        <v>0</v>
      </c>
      <c r="L5" s="705">
        <f>+IF($A5="",IF($C5="",SUMIFS(全伝票!O:O,全伝票!$B:$B,$B5),SUMIFS(全伝票!O:O,全伝票!$C:$C,$C5)),IF($C5="",SUMIFS(全伝票!O:O,全伝票!$A:$A,$A5,全伝票!$B:$B,$B5),SUMIFS(全伝票!O:O,全伝票!$A:$A,$A5,全伝票!$C:$C,$C5)))</f>
        <v>12600000</v>
      </c>
      <c r="M5" s="705">
        <f>+IF($A5="",IF($C5="",SUMIFS(全伝票!P:P,全伝票!$B:$B,$B5),SUMIFS(全伝票!P:P,全伝票!$C:$C,$C5)),IF($C5="",SUMIFS(全伝票!P:P,全伝票!$A:$A,$A5,全伝票!$B:$B,$B5),SUMIFS(全伝票!P:P,全伝票!$A:$A,$A5,全伝票!$C:$C,$C5)))</f>
        <v>0</v>
      </c>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12600000</v>
      </c>
      <c r="U5" s="650">
        <f t="shared" ref="U5:U40" si="6">N5-F5*F$4/(100+F$4)</f>
        <v>0</v>
      </c>
      <c r="V5" s="650">
        <f t="shared" ref="V5:V40" si="7">O5-G5*G$4/(100+G$4)</f>
        <v>0</v>
      </c>
      <c r="W5" s="650">
        <f t="shared" ref="W5:X40" si="8">P5-H5*H$4/(100+H$4)</f>
        <v>0</v>
      </c>
      <c r="X5" s="650">
        <f t="shared" si="8"/>
        <v>0</v>
      </c>
      <c r="Y5" s="650">
        <f t="shared" ref="Y5:Y40" si="9">R5-J5*J$4/(100+J$4)</f>
        <v>0</v>
      </c>
      <c r="Z5" s="649">
        <f t="shared" ref="Z5:Z40" si="10">+IF(N$43=0,0,IF(N$43&lt;0,-RANK(U5,U$5:U$40,0),RANK(U5,U$5:U$40,1)))</f>
        <v>0</v>
      </c>
      <c r="AA5" s="649">
        <f t="shared" ref="AA5:AA40" si="11">+IF(O$43=0,0,IF(O$43&lt;0,-RANK(V5,V$5:V$40,0),RANK(V5,V$5:V$40,1)))</f>
        <v>0</v>
      </c>
      <c r="AB5" s="649">
        <f t="shared" ref="AB5:AC40" si="12">+IF(P$43=0,0,IF(P$43&lt;0,-RANK(W5,W$5:W$40,0),RANK(W5,W$5:W$40,1)))</f>
        <v>0</v>
      </c>
      <c r="AC5" s="649">
        <f t="shared" si="12"/>
        <v>0</v>
      </c>
      <c r="AD5" s="649">
        <f t="shared" ref="AD5:AD40" si="13">+IF(R$43=0,0,IF(R$43&lt;0,-RANK(Y5,Y$5:Y$40,0),RANK(Y5,Y$5:Y$40,1)))</f>
        <v>0</v>
      </c>
      <c r="AE5" s="648"/>
      <c r="AF5" s="648"/>
      <c r="AG5" s="648"/>
      <c r="AH5" s="648"/>
      <c r="AI5" s="648"/>
    </row>
    <row r="6" spans="1:35" x14ac:dyDescent="0.15">
      <c r="A6" s="670"/>
      <c r="B6" s="669"/>
      <c r="C6" s="668"/>
      <c r="D6" s="667"/>
      <c r="E6" s="666"/>
      <c r="F6" s="662"/>
      <c r="G6" s="661"/>
      <c r="H6" s="661"/>
      <c r="I6" s="661"/>
      <c r="J6" s="665"/>
      <c r="K6" s="664"/>
      <c r="L6" s="666"/>
      <c r="M6" s="666"/>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9">
        <f t="shared" si="10"/>
        <v>0</v>
      </c>
      <c r="AA6" s="649">
        <f t="shared" si="11"/>
        <v>0</v>
      </c>
      <c r="AB6" s="649">
        <f t="shared" si="12"/>
        <v>0</v>
      </c>
      <c r="AC6" s="649">
        <f t="shared" si="12"/>
        <v>0</v>
      </c>
      <c r="AD6" s="649">
        <f t="shared" si="13"/>
        <v>0</v>
      </c>
      <c r="AE6" s="648"/>
      <c r="AF6" s="648"/>
      <c r="AG6" s="648"/>
      <c r="AH6" s="648"/>
      <c r="AI6" s="648"/>
    </row>
    <row r="7" spans="1:35" x14ac:dyDescent="0.15">
      <c r="A7" s="670"/>
      <c r="B7" s="669"/>
      <c r="C7" s="668"/>
      <c r="D7" s="667"/>
      <c r="E7" s="666"/>
      <c r="F7" s="662"/>
      <c r="G7" s="661"/>
      <c r="H7" s="661"/>
      <c r="I7" s="661"/>
      <c r="J7" s="665"/>
      <c r="K7" s="664"/>
      <c r="L7" s="666"/>
      <c r="M7" s="666"/>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9">
        <f t="shared" si="10"/>
        <v>0</v>
      </c>
      <c r="AA7" s="649">
        <f t="shared" si="11"/>
        <v>0</v>
      </c>
      <c r="AB7" s="649">
        <f t="shared" si="12"/>
        <v>0</v>
      </c>
      <c r="AC7" s="649">
        <f t="shared" si="12"/>
        <v>0</v>
      </c>
      <c r="AD7" s="649">
        <f t="shared" si="13"/>
        <v>0</v>
      </c>
      <c r="AE7" s="648"/>
      <c r="AF7" s="648"/>
      <c r="AG7" s="648"/>
      <c r="AH7" s="648"/>
      <c r="AI7" s="648"/>
    </row>
    <row r="8" spans="1:35" x14ac:dyDescent="0.15">
      <c r="A8" s="670"/>
      <c r="B8" s="669"/>
      <c r="C8" s="668"/>
      <c r="D8" s="667"/>
      <c r="E8" s="666"/>
      <c r="F8" s="662"/>
      <c r="G8" s="661"/>
      <c r="H8" s="661"/>
      <c r="I8" s="661"/>
      <c r="J8" s="665"/>
      <c r="K8" s="664"/>
      <c r="L8" s="666"/>
      <c r="M8" s="666"/>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9">
        <f t="shared" si="10"/>
        <v>0</v>
      </c>
      <c r="AA8" s="649">
        <f t="shared" si="11"/>
        <v>0</v>
      </c>
      <c r="AB8" s="649">
        <f t="shared" si="12"/>
        <v>0</v>
      </c>
      <c r="AC8" s="649">
        <f t="shared" si="12"/>
        <v>0</v>
      </c>
      <c r="AD8" s="649">
        <f t="shared" si="13"/>
        <v>0</v>
      </c>
      <c r="AE8" s="648"/>
      <c r="AF8" s="648"/>
      <c r="AG8" s="648"/>
      <c r="AH8" s="648"/>
      <c r="AI8" s="648"/>
    </row>
    <row r="9" spans="1:35" x14ac:dyDescent="0.15">
      <c r="A9" s="670"/>
      <c r="B9" s="669"/>
      <c r="C9" s="668"/>
      <c r="D9" s="667"/>
      <c r="E9" s="666"/>
      <c r="F9" s="662"/>
      <c r="G9" s="661"/>
      <c r="H9" s="661"/>
      <c r="I9" s="661"/>
      <c r="J9" s="665"/>
      <c r="K9" s="664"/>
      <c r="L9" s="666"/>
      <c r="M9" s="666"/>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9">
        <f t="shared" si="10"/>
        <v>0</v>
      </c>
      <c r="AA9" s="649">
        <f t="shared" si="11"/>
        <v>0</v>
      </c>
      <c r="AB9" s="649">
        <f t="shared" si="12"/>
        <v>0</v>
      </c>
      <c r="AC9" s="649">
        <f t="shared" si="12"/>
        <v>0</v>
      </c>
      <c r="AD9" s="649">
        <f t="shared" si="13"/>
        <v>0</v>
      </c>
      <c r="AE9" s="648"/>
      <c r="AF9" s="648"/>
      <c r="AG9" s="648"/>
      <c r="AH9" s="648"/>
      <c r="AI9" s="648"/>
    </row>
    <row r="10" spans="1:35" x14ac:dyDescent="0.15">
      <c r="A10" s="670"/>
      <c r="B10" s="669"/>
      <c r="C10" s="668"/>
      <c r="D10" s="667"/>
      <c r="E10" s="666"/>
      <c r="F10" s="662"/>
      <c r="G10" s="661"/>
      <c r="H10" s="661"/>
      <c r="I10" s="661"/>
      <c r="J10" s="665"/>
      <c r="K10" s="664"/>
      <c r="L10" s="666"/>
      <c r="M10" s="666"/>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9">
        <f t="shared" si="10"/>
        <v>0</v>
      </c>
      <c r="AA10" s="649">
        <f t="shared" si="11"/>
        <v>0</v>
      </c>
      <c r="AB10" s="649">
        <f t="shared" si="12"/>
        <v>0</v>
      </c>
      <c r="AC10" s="649">
        <f t="shared" si="12"/>
        <v>0</v>
      </c>
      <c r="AD10" s="649">
        <f t="shared" si="13"/>
        <v>0</v>
      </c>
      <c r="AE10" s="648"/>
      <c r="AF10" s="648"/>
      <c r="AG10" s="648"/>
      <c r="AH10" s="648"/>
      <c r="AI10" s="648"/>
    </row>
    <row r="11" spans="1:35" x14ac:dyDescent="0.15">
      <c r="A11" s="670"/>
      <c r="B11" s="669"/>
      <c r="C11" s="668"/>
      <c r="D11" s="667"/>
      <c r="E11" s="666"/>
      <c r="F11" s="662"/>
      <c r="G11" s="661"/>
      <c r="H11" s="661"/>
      <c r="I11" s="661"/>
      <c r="J11" s="665"/>
      <c r="K11" s="664"/>
      <c r="L11" s="666"/>
      <c r="M11" s="666"/>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9">
        <f t="shared" si="10"/>
        <v>0</v>
      </c>
      <c r="AA11" s="649">
        <f t="shared" si="11"/>
        <v>0</v>
      </c>
      <c r="AB11" s="649">
        <f t="shared" si="12"/>
        <v>0</v>
      </c>
      <c r="AC11" s="649">
        <f t="shared" si="12"/>
        <v>0</v>
      </c>
      <c r="AD11" s="649">
        <f t="shared" si="13"/>
        <v>0</v>
      </c>
      <c r="AE11" s="648"/>
      <c r="AF11" s="648"/>
      <c r="AG11" s="648"/>
      <c r="AH11" s="648"/>
      <c r="AI11" s="648"/>
    </row>
    <row r="12" spans="1:35" x14ac:dyDescent="0.15">
      <c r="A12" s="670"/>
      <c r="B12" s="669"/>
      <c r="C12" s="668"/>
      <c r="D12" s="667"/>
      <c r="E12" s="666"/>
      <c r="F12" s="662"/>
      <c r="G12" s="661"/>
      <c r="H12" s="661"/>
      <c r="I12" s="661"/>
      <c r="J12" s="665"/>
      <c r="K12" s="664"/>
      <c r="L12" s="666"/>
      <c r="M12" s="666"/>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9">
        <f t="shared" si="10"/>
        <v>0</v>
      </c>
      <c r="AA12" s="649">
        <f t="shared" si="11"/>
        <v>0</v>
      </c>
      <c r="AB12" s="649">
        <f t="shared" si="12"/>
        <v>0</v>
      </c>
      <c r="AC12" s="649">
        <f t="shared" si="12"/>
        <v>0</v>
      </c>
      <c r="AD12" s="649">
        <f t="shared" si="13"/>
        <v>0</v>
      </c>
      <c r="AE12" s="648"/>
      <c r="AF12" s="648"/>
      <c r="AG12" s="648"/>
      <c r="AH12" s="648"/>
      <c r="AI12" s="648"/>
    </row>
    <row r="13" spans="1:35" x14ac:dyDescent="0.15">
      <c r="A13" s="670"/>
      <c r="B13" s="669"/>
      <c r="C13" s="668"/>
      <c r="D13" s="667"/>
      <c r="E13" s="666"/>
      <c r="F13" s="662"/>
      <c r="G13" s="661"/>
      <c r="H13" s="661"/>
      <c r="I13" s="661"/>
      <c r="J13" s="665"/>
      <c r="K13" s="664"/>
      <c r="L13" s="666"/>
      <c r="M13" s="666"/>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9">
        <f t="shared" si="10"/>
        <v>0</v>
      </c>
      <c r="AA13" s="649">
        <f t="shared" si="11"/>
        <v>0</v>
      </c>
      <c r="AB13" s="649">
        <f t="shared" si="12"/>
        <v>0</v>
      </c>
      <c r="AC13" s="649">
        <f t="shared" si="12"/>
        <v>0</v>
      </c>
      <c r="AD13" s="649">
        <f t="shared" si="13"/>
        <v>0</v>
      </c>
      <c r="AE13" s="648"/>
      <c r="AF13" s="648"/>
      <c r="AG13" s="648"/>
      <c r="AH13" s="648"/>
      <c r="AI13" s="648"/>
    </row>
    <row r="14" spans="1:35" x14ac:dyDescent="0.15">
      <c r="A14" s="670"/>
      <c r="B14" s="669"/>
      <c r="C14" s="668"/>
      <c r="D14" s="667"/>
      <c r="E14" s="666"/>
      <c r="F14" s="662"/>
      <c r="G14" s="661"/>
      <c r="H14" s="661"/>
      <c r="I14" s="661"/>
      <c r="J14" s="665"/>
      <c r="K14" s="664"/>
      <c r="L14" s="666"/>
      <c r="M14" s="666"/>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9">
        <f t="shared" si="10"/>
        <v>0</v>
      </c>
      <c r="AA14" s="649">
        <f t="shared" si="11"/>
        <v>0</v>
      </c>
      <c r="AB14" s="649">
        <f t="shared" si="12"/>
        <v>0</v>
      </c>
      <c r="AC14" s="649">
        <f t="shared" si="12"/>
        <v>0</v>
      </c>
      <c r="AD14" s="649">
        <f t="shared" si="13"/>
        <v>0</v>
      </c>
      <c r="AE14" s="648"/>
      <c r="AF14" s="648"/>
      <c r="AG14" s="648"/>
      <c r="AH14" s="648"/>
      <c r="AI14" s="648"/>
    </row>
    <row r="15" spans="1:35" x14ac:dyDescent="0.15">
      <c r="A15" s="670"/>
      <c r="B15" s="669"/>
      <c r="C15" s="668"/>
      <c r="D15" s="667"/>
      <c r="E15" s="666"/>
      <c r="F15" s="662"/>
      <c r="G15" s="661"/>
      <c r="H15" s="661"/>
      <c r="I15" s="661"/>
      <c r="J15" s="665"/>
      <c r="K15" s="664"/>
      <c r="L15" s="666"/>
      <c r="M15" s="666"/>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9">
        <f t="shared" si="10"/>
        <v>0</v>
      </c>
      <c r="AA15" s="649">
        <f t="shared" si="11"/>
        <v>0</v>
      </c>
      <c r="AB15" s="649">
        <f t="shared" si="12"/>
        <v>0</v>
      </c>
      <c r="AC15" s="649">
        <f t="shared" si="12"/>
        <v>0</v>
      </c>
      <c r="AD15" s="649">
        <f t="shared" si="13"/>
        <v>0</v>
      </c>
      <c r="AE15" s="648"/>
      <c r="AF15" s="648"/>
      <c r="AG15" s="648"/>
      <c r="AH15" s="648"/>
      <c r="AI15" s="648"/>
    </row>
    <row r="16" spans="1:35" x14ac:dyDescent="0.15">
      <c r="A16" s="670"/>
      <c r="B16" s="669"/>
      <c r="C16" s="668"/>
      <c r="D16" s="667"/>
      <c r="E16" s="666"/>
      <c r="F16" s="662"/>
      <c r="G16" s="661"/>
      <c r="H16" s="661"/>
      <c r="I16" s="661"/>
      <c r="J16" s="665"/>
      <c r="K16" s="664"/>
      <c r="L16" s="666"/>
      <c r="M16" s="666"/>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9">
        <f t="shared" si="10"/>
        <v>0</v>
      </c>
      <c r="AA16" s="649">
        <f t="shared" si="11"/>
        <v>0</v>
      </c>
      <c r="AB16" s="649">
        <f t="shared" si="12"/>
        <v>0</v>
      </c>
      <c r="AC16" s="649">
        <f t="shared" si="12"/>
        <v>0</v>
      </c>
      <c r="AD16" s="649">
        <f t="shared" si="13"/>
        <v>0</v>
      </c>
      <c r="AE16" s="648"/>
      <c r="AF16" s="648"/>
      <c r="AG16" s="648"/>
      <c r="AH16" s="648"/>
      <c r="AI16" s="648"/>
    </row>
    <row r="17" spans="1:35" x14ac:dyDescent="0.15">
      <c r="A17" s="670"/>
      <c r="B17" s="669"/>
      <c r="C17" s="668"/>
      <c r="D17" s="667"/>
      <c r="E17" s="666"/>
      <c r="F17" s="662"/>
      <c r="G17" s="661"/>
      <c r="H17" s="661"/>
      <c r="I17" s="661"/>
      <c r="J17" s="665"/>
      <c r="K17" s="664"/>
      <c r="L17" s="666"/>
      <c r="M17" s="666"/>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9">
        <f t="shared" si="10"/>
        <v>0</v>
      </c>
      <c r="AA17" s="649">
        <f t="shared" si="11"/>
        <v>0</v>
      </c>
      <c r="AB17" s="649">
        <f t="shared" si="12"/>
        <v>0</v>
      </c>
      <c r="AC17" s="649">
        <f t="shared" si="12"/>
        <v>0</v>
      </c>
      <c r="AD17" s="649">
        <f t="shared" si="13"/>
        <v>0</v>
      </c>
      <c r="AE17" s="648"/>
      <c r="AF17" s="648"/>
      <c r="AG17" s="648"/>
      <c r="AH17" s="648"/>
      <c r="AI17" s="648"/>
    </row>
    <row r="18" spans="1:35" x14ac:dyDescent="0.15">
      <c r="A18" s="670"/>
      <c r="B18" s="669"/>
      <c r="C18" s="668"/>
      <c r="D18" s="667"/>
      <c r="E18" s="666"/>
      <c r="F18" s="662"/>
      <c r="G18" s="661"/>
      <c r="H18" s="661"/>
      <c r="I18" s="661"/>
      <c r="J18" s="665"/>
      <c r="K18" s="664"/>
      <c r="L18" s="666"/>
      <c r="M18" s="666"/>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9">
        <f t="shared" si="10"/>
        <v>0</v>
      </c>
      <c r="AA18" s="649">
        <f t="shared" si="11"/>
        <v>0</v>
      </c>
      <c r="AB18" s="649">
        <f t="shared" si="12"/>
        <v>0</v>
      </c>
      <c r="AC18" s="649">
        <f t="shared" si="12"/>
        <v>0</v>
      </c>
      <c r="AD18" s="649">
        <f t="shared" si="13"/>
        <v>0</v>
      </c>
      <c r="AE18" s="648"/>
      <c r="AF18" s="648"/>
      <c r="AG18" s="648"/>
      <c r="AH18" s="648"/>
      <c r="AI18" s="648"/>
    </row>
    <row r="19" spans="1:35" x14ac:dyDescent="0.15">
      <c r="A19" s="670"/>
      <c r="B19" s="669"/>
      <c r="C19" s="668"/>
      <c r="D19" s="667"/>
      <c r="E19" s="666"/>
      <c r="F19" s="662"/>
      <c r="G19" s="661"/>
      <c r="H19" s="661"/>
      <c r="I19" s="661"/>
      <c r="J19" s="665"/>
      <c r="K19" s="664"/>
      <c r="L19" s="666"/>
      <c r="M19" s="666"/>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9">
        <f t="shared" si="10"/>
        <v>0</v>
      </c>
      <c r="AA19" s="649">
        <f t="shared" si="11"/>
        <v>0</v>
      </c>
      <c r="AB19" s="649">
        <f t="shared" si="12"/>
        <v>0</v>
      </c>
      <c r="AC19" s="649">
        <f t="shared" si="12"/>
        <v>0</v>
      </c>
      <c r="AD19" s="649">
        <f t="shared" si="13"/>
        <v>0</v>
      </c>
      <c r="AE19" s="648"/>
      <c r="AF19" s="648"/>
      <c r="AG19" s="648"/>
      <c r="AH19" s="648"/>
      <c r="AI19" s="648"/>
    </row>
    <row r="20" spans="1:35" x14ac:dyDescent="0.15">
      <c r="A20" s="670"/>
      <c r="B20" s="669"/>
      <c r="C20" s="668"/>
      <c r="D20" s="667"/>
      <c r="E20" s="666"/>
      <c r="F20" s="662"/>
      <c r="G20" s="661"/>
      <c r="H20" s="661"/>
      <c r="I20" s="661"/>
      <c r="J20" s="665"/>
      <c r="K20" s="664"/>
      <c r="L20" s="666"/>
      <c r="M20" s="666"/>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9">
        <f t="shared" si="10"/>
        <v>0</v>
      </c>
      <c r="AA20" s="649">
        <f t="shared" si="11"/>
        <v>0</v>
      </c>
      <c r="AB20" s="649">
        <f t="shared" si="12"/>
        <v>0</v>
      </c>
      <c r="AC20" s="649">
        <f t="shared" si="12"/>
        <v>0</v>
      </c>
      <c r="AD20" s="649">
        <f t="shared" si="13"/>
        <v>0</v>
      </c>
      <c r="AE20" s="648"/>
      <c r="AF20" s="648"/>
      <c r="AG20" s="648"/>
      <c r="AH20" s="648"/>
      <c r="AI20" s="648"/>
    </row>
    <row r="21" spans="1:35" x14ac:dyDescent="0.15">
      <c r="A21" s="670"/>
      <c r="B21" s="669"/>
      <c r="C21" s="668"/>
      <c r="D21" s="667"/>
      <c r="E21" s="666"/>
      <c r="F21" s="662"/>
      <c r="G21" s="661"/>
      <c r="H21" s="661"/>
      <c r="I21" s="661"/>
      <c r="J21" s="665"/>
      <c r="K21" s="664"/>
      <c r="L21" s="666"/>
      <c r="M21" s="666"/>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9">
        <f t="shared" si="10"/>
        <v>0</v>
      </c>
      <c r="AA21" s="649">
        <f t="shared" si="11"/>
        <v>0</v>
      </c>
      <c r="AB21" s="649">
        <f t="shared" si="12"/>
        <v>0</v>
      </c>
      <c r="AC21" s="649">
        <f t="shared" si="12"/>
        <v>0</v>
      </c>
      <c r="AD21" s="649">
        <f t="shared" si="13"/>
        <v>0</v>
      </c>
      <c r="AE21" s="648"/>
      <c r="AF21" s="648"/>
      <c r="AG21" s="648"/>
      <c r="AH21" s="648"/>
      <c r="AI21" s="648"/>
    </row>
    <row r="22" spans="1:35" x14ac:dyDescent="0.15">
      <c r="A22" s="670"/>
      <c r="B22" s="669"/>
      <c r="C22" s="668"/>
      <c r="D22" s="667"/>
      <c r="E22" s="666"/>
      <c r="F22" s="662"/>
      <c r="G22" s="661"/>
      <c r="H22" s="661"/>
      <c r="I22" s="661"/>
      <c r="J22" s="665"/>
      <c r="K22" s="664"/>
      <c r="L22" s="666"/>
      <c r="M22" s="666"/>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9">
        <f t="shared" si="10"/>
        <v>0</v>
      </c>
      <c r="AA22" s="649">
        <f t="shared" si="11"/>
        <v>0</v>
      </c>
      <c r="AB22" s="649">
        <f t="shared" si="12"/>
        <v>0</v>
      </c>
      <c r="AC22" s="649">
        <f t="shared" si="12"/>
        <v>0</v>
      </c>
      <c r="AD22" s="649">
        <f t="shared" si="13"/>
        <v>0</v>
      </c>
      <c r="AE22" s="648"/>
      <c r="AF22" s="648"/>
      <c r="AG22" s="648"/>
      <c r="AH22" s="648"/>
      <c r="AI22" s="648"/>
    </row>
    <row r="23" spans="1:35" x14ac:dyDescent="0.15">
      <c r="A23" s="670"/>
      <c r="B23" s="669"/>
      <c r="C23" s="668"/>
      <c r="D23" s="667"/>
      <c r="E23" s="666"/>
      <c r="F23" s="662"/>
      <c r="G23" s="661"/>
      <c r="H23" s="661"/>
      <c r="I23" s="661"/>
      <c r="J23" s="665"/>
      <c r="K23" s="664"/>
      <c r="L23" s="666"/>
      <c r="M23" s="666"/>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9">
        <f t="shared" si="10"/>
        <v>0</v>
      </c>
      <c r="AA23" s="649">
        <f t="shared" si="11"/>
        <v>0</v>
      </c>
      <c r="AB23" s="649">
        <f t="shared" si="12"/>
        <v>0</v>
      </c>
      <c r="AC23" s="649">
        <f t="shared" si="12"/>
        <v>0</v>
      </c>
      <c r="AD23" s="649">
        <f t="shared" si="13"/>
        <v>0</v>
      </c>
      <c r="AE23" s="648"/>
      <c r="AF23" s="648"/>
      <c r="AG23" s="648"/>
      <c r="AH23" s="648"/>
      <c r="AI23" s="648"/>
    </row>
    <row r="24" spans="1:35" x14ac:dyDescent="0.15">
      <c r="A24" s="670"/>
      <c r="B24" s="669"/>
      <c r="C24" s="668"/>
      <c r="D24" s="667"/>
      <c r="E24" s="666"/>
      <c r="F24" s="662"/>
      <c r="G24" s="661"/>
      <c r="H24" s="661"/>
      <c r="I24" s="661"/>
      <c r="J24" s="665"/>
      <c r="K24" s="664"/>
      <c r="L24" s="666"/>
      <c r="M24" s="666"/>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9">
        <f t="shared" si="10"/>
        <v>0</v>
      </c>
      <c r="AA24" s="649">
        <f t="shared" si="11"/>
        <v>0</v>
      </c>
      <c r="AB24" s="649">
        <f t="shared" si="12"/>
        <v>0</v>
      </c>
      <c r="AC24" s="649">
        <f t="shared" si="12"/>
        <v>0</v>
      </c>
      <c r="AD24" s="649">
        <f t="shared" si="13"/>
        <v>0</v>
      </c>
      <c r="AE24" s="648"/>
      <c r="AF24" s="648"/>
      <c r="AG24" s="648"/>
      <c r="AH24" s="648"/>
      <c r="AI24" s="648"/>
    </row>
    <row r="25" spans="1:35" x14ac:dyDescent="0.15">
      <c r="A25" s="670"/>
      <c r="B25" s="669"/>
      <c r="C25" s="668"/>
      <c r="D25" s="667"/>
      <c r="E25" s="666"/>
      <c r="F25" s="662"/>
      <c r="G25" s="661"/>
      <c r="H25" s="661"/>
      <c r="I25" s="661"/>
      <c r="J25" s="665"/>
      <c r="K25" s="664"/>
      <c r="L25" s="666"/>
      <c r="M25" s="666"/>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9">
        <f t="shared" si="10"/>
        <v>0</v>
      </c>
      <c r="AA25" s="649">
        <f t="shared" si="11"/>
        <v>0</v>
      </c>
      <c r="AB25" s="649">
        <f t="shared" si="12"/>
        <v>0</v>
      </c>
      <c r="AC25" s="649">
        <f t="shared" si="12"/>
        <v>0</v>
      </c>
      <c r="AD25" s="649">
        <f t="shared" si="13"/>
        <v>0</v>
      </c>
      <c r="AE25" s="648"/>
      <c r="AF25" s="648"/>
      <c r="AG25" s="648"/>
      <c r="AH25" s="648"/>
      <c r="AI25" s="648"/>
    </row>
    <row r="26" spans="1:35" x14ac:dyDescent="0.15">
      <c r="A26" s="670"/>
      <c r="B26" s="669"/>
      <c r="C26" s="668"/>
      <c r="D26" s="667"/>
      <c r="E26" s="666"/>
      <c r="F26" s="662"/>
      <c r="G26" s="661"/>
      <c r="H26" s="661"/>
      <c r="I26" s="661"/>
      <c r="J26" s="665"/>
      <c r="K26" s="664"/>
      <c r="L26" s="666"/>
      <c r="M26" s="666"/>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9">
        <f t="shared" si="10"/>
        <v>0</v>
      </c>
      <c r="AA26" s="649">
        <f t="shared" si="11"/>
        <v>0</v>
      </c>
      <c r="AB26" s="649">
        <f t="shared" si="12"/>
        <v>0</v>
      </c>
      <c r="AC26" s="649">
        <f t="shared" si="12"/>
        <v>0</v>
      </c>
      <c r="AD26" s="649">
        <f t="shared" si="13"/>
        <v>0</v>
      </c>
      <c r="AE26" s="648"/>
      <c r="AF26" s="648"/>
      <c r="AG26" s="648"/>
      <c r="AH26" s="648"/>
      <c r="AI26" s="648"/>
    </row>
    <row r="27" spans="1:35" x14ac:dyDescent="0.15">
      <c r="A27" s="670"/>
      <c r="B27" s="669"/>
      <c r="C27" s="668"/>
      <c r="D27" s="667"/>
      <c r="E27" s="666"/>
      <c r="F27" s="662"/>
      <c r="G27" s="661"/>
      <c r="H27" s="661"/>
      <c r="I27" s="661"/>
      <c r="J27" s="665"/>
      <c r="K27" s="664"/>
      <c r="L27" s="666"/>
      <c r="M27" s="666"/>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9">
        <f t="shared" si="10"/>
        <v>0</v>
      </c>
      <c r="AA27" s="649">
        <f t="shared" si="11"/>
        <v>0</v>
      </c>
      <c r="AB27" s="649">
        <f t="shared" si="12"/>
        <v>0</v>
      </c>
      <c r="AC27" s="649">
        <f t="shared" si="12"/>
        <v>0</v>
      </c>
      <c r="AD27" s="649">
        <f t="shared" si="13"/>
        <v>0</v>
      </c>
      <c r="AE27" s="648"/>
      <c r="AF27" s="648"/>
      <c r="AG27" s="648"/>
      <c r="AH27" s="648"/>
      <c r="AI27" s="648"/>
    </row>
    <row r="28" spans="1:35" x14ac:dyDescent="0.15">
      <c r="A28" s="670"/>
      <c r="B28" s="669"/>
      <c r="C28" s="668"/>
      <c r="D28" s="667"/>
      <c r="E28" s="666"/>
      <c r="F28" s="662"/>
      <c r="G28" s="661"/>
      <c r="H28" s="661"/>
      <c r="I28" s="661"/>
      <c r="J28" s="665"/>
      <c r="K28" s="664"/>
      <c r="L28" s="666"/>
      <c r="M28" s="666"/>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9">
        <f t="shared" si="10"/>
        <v>0</v>
      </c>
      <c r="AA28" s="649">
        <f t="shared" si="11"/>
        <v>0</v>
      </c>
      <c r="AB28" s="649">
        <f t="shared" si="12"/>
        <v>0</v>
      </c>
      <c r="AC28" s="649">
        <f t="shared" si="12"/>
        <v>0</v>
      </c>
      <c r="AD28" s="649">
        <f t="shared" si="13"/>
        <v>0</v>
      </c>
      <c r="AE28" s="648"/>
      <c r="AF28" s="648"/>
      <c r="AG28" s="648"/>
      <c r="AH28" s="648"/>
      <c r="AI28" s="648"/>
    </row>
    <row r="29" spans="1:35" x14ac:dyDescent="0.15">
      <c r="A29" s="670"/>
      <c r="B29" s="669"/>
      <c r="C29" s="668"/>
      <c r="D29" s="667"/>
      <c r="E29" s="666"/>
      <c r="F29" s="662"/>
      <c r="G29" s="661"/>
      <c r="H29" s="661"/>
      <c r="I29" s="661"/>
      <c r="J29" s="665"/>
      <c r="K29" s="664"/>
      <c r="L29" s="666"/>
      <c r="M29" s="666"/>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9">
        <f t="shared" si="10"/>
        <v>0</v>
      </c>
      <c r="AA29" s="649">
        <f t="shared" si="11"/>
        <v>0</v>
      </c>
      <c r="AB29" s="649">
        <f t="shared" si="12"/>
        <v>0</v>
      </c>
      <c r="AC29" s="649">
        <f t="shared" si="12"/>
        <v>0</v>
      </c>
      <c r="AD29" s="649">
        <f t="shared" si="13"/>
        <v>0</v>
      </c>
      <c r="AE29" s="648"/>
      <c r="AF29" s="648"/>
      <c r="AG29" s="648"/>
      <c r="AH29" s="648"/>
      <c r="AI29" s="648"/>
    </row>
    <row r="30" spans="1:35" x14ac:dyDescent="0.15">
      <c r="A30" s="670"/>
      <c r="B30" s="669"/>
      <c r="C30" s="668"/>
      <c r="D30" s="667"/>
      <c r="E30" s="666"/>
      <c r="F30" s="662"/>
      <c r="G30" s="661"/>
      <c r="H30" s="661"/>
      <c r="I30" s="661"/>
      <c r="J30" s="665"/>
      <c r="K30" s="664"/>
      <c r="L30" s="666"/>
      <c r="M30" s="666"/>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9">
        <f t="shared" si="10"/>
        <v>0</v>
      </c>
      <c r="AA30" s="649">
        <f t="shared" si="11"/>
        <v>0</v>
      </c>
      <c r="AB30" s="649">
        <f t="shared" si="12"/>
        <v>0</v>
      </c>
      <c r="AC30" s="649">
        <f t="shared" si="12"/>
        <v>0</v>
      </c>
      <c r="AD30" s="649">
        <f t="shared" si="13"/>
        <v>0</v>
      </c>
      <c r="AE30" s="648"/>
      <c r="AF30" s="648"/>
      <c r="AG30" s="648"/>
      <c r="AH30" s="648"/>
      <c r="AI30" s="648"/>
    </row>
    <row r="31" spans="1:35" x14ac:dyDescent="0.15">
      <c r="A31" s="670"/>
      <c r="B31" s="669"/>
      <c r="C31" s="668"/>
      <c r="D31" s="667"/>
      <c r="E31" s="666"/>
      <c r="F31" s="662"/>
      <c r="G31" s="661"/>
      <c r="H31" s="661"/>
      <c r="I31" s="661"/>
      <c r="J31" s="665"/>
      <c r="K31" s="664"/>
      <c r="L31" s="666"/>
      <c r="M31" s="666"/>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9">
        <f t="shared" si="10"/>
        <v>0</v>
      </c>
      <c r="AA31" s="649">
        <f t="shared" si="11"/>
        <v>0</v>
      </c>
      <c r="AB31" s="649">
        <f t="shared" si="12"/>
        <v>0</v>
      </c>
      <c r="AC31" s="649">
        <f t="shared" si="12"/>
        <v>0</v>
      </c>
      <c r="AD31" s="649">
        <f t="shared" si="13"/>
        <v>0</v>
      </c>
      <c r="AE31" s="648"/>
      <c r="AF31" s="648"/>
      <c r="AG31" s="648"/>
      <c r="AH31" s="648"/>
      <c r="AI31" s="648"/>
    </row>
    <row r="32" spans="1:35" x14ac:dyDescent="0.15">
      <c r="A32" s="670"/>
      <c r="B32" s="669"/>
      <c r="C32" s="668"/>
      <c r="D32" s="667"/>
      <c r="E32" s="666"/>
      <c r="F32" s="662"/>
      <c r="G32" s="661"/>
      <c r="H32" s="661"/>
      <c r="I32" s="661"/>
      <c r="J32" s="665"/>
      <c r="K32" s="664"/>
      <c r="L32" s="666"/>
      <c r="M32" s="666"/>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9">
        <f t="shared" si="10"/>
        <v>0</v>
      </c>
      <c r="AA32" s="649">
        <f t="shared" si="11"/>
        <v>0</v>
      </c>
      <c r="AB32" s="649">
        <f t="shared" si="12"/>
        <v>0</v>
      </c>
      <c r="AC32" s="649">
        <f t="shared" si="12"/>
        <v>0</v>
      </c>
      <c r="AD32" s="649">
        <f t="shared" si="13"/>
        <v>0</v>
      </c>
      <c r="AE32" s="648"/>
      <c r="AF32" s="648"/>
      <c r="AG32" s="648"/>
      <c r="AH32" s="648"/>
      <c r="AI32" s="648"/>
    </row>
    <row r="33" spans="1:35" x14ac:dyDescent="0.15">
      <c r="A33" s="670"/>
      <c r="B33" s="669"/>
      <c r="C33" s="668"/>
      <c r="D33" s="667"/>
      <c r="E33" s="666"/>
      <c r="F33" s="662"/>
      <c r="G33" s="661"/>
      <c r="H33" s="661"/>
      <c r="I33" s="661"/>
      <c r="J33" s="665"/>
      <c r="K33" s="664"/>
      <c r="L33" s="666"/>
      <c r="M33" s="666"/>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9">
        <f t="shared" si="10"/>
        <v>0</v>
      </c>
      <c r="AA33" s="649">
        <f t="shared" si="11"/>
        <v>0</v>
      </c>
      <c r="AB33" s="649">
        <f t="shared" si="12"/>
        <v>0</v>
      </c>
      <c r="AC33" s="649">
        <f t="shared" si="12"/>
        <v>0</v>
      </c>
      <c r="AD33" s="649">
        <f t="shared" si="13"/>
        <v>0</v>
      </c>
      <c r="AE33" s="648"/>
      <c r="AF33" s="648"/>
      <c r="AG33" s="648"/>
      <c r="AH33" s="648"/>
      <c r="AI33" s="648"/>
    </row>
    <row r="34" spans="1:35" x14ac:dyDescent="0.15">
      <c r="A34" s="670"/>
      <c r="B34" s="669"/>
      <c r="C34" s="668"/>
      <c r="D34" s="667"/>
      <c r="E34" s="666"/>
      <c r="F34" s="662"/>
      <c r="G34" s="661"/>
      <c r="H34" s="661"/>
      <c r="I34" s="661"/>
      <c r="J34" s="665"/>
      <c r="K34" s="664"/>
      <c r="L34" s="666"/>
      <c r="M34" s="666"/>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9">
        <f t="shared" si="10"/>
        <v>0</v>
      </c>
      <c r="AA34" s="649">
        <f t="shared" si="11"/>
        <v>0</v>
      </c>
      <c r="AB34" s="649">
        <f t="shared" si="12"/>
        <v>0</v>
      </c>
      <c r="AC34" s="649">
        <f t="shared" si="12"/>
        <v>0</v>
      </c>
      <c r="AD34" s="649">
        <f t="shared" si="13"/>
        <v>0</v>
      </c>
      <c r="AE34" s="648"/>
      <c r="AF34" s="648"/>
      <c r="AG34" s="648"/>
      <c r="AH34" s="648"/>
      <c r="AI34" s="648"/>
    </row>
    <row r="35" spans="1:35" x14ac:dyDescent="0.15">
      <c r="A35" s="670"/>
      <c r="B35" s="669"/>
      <c r="C35" s="668"/>
      <c r="D35" s="667"/>
      <c r="E35" s="666"/>
      <c r="F35" s="662"/>
      <c r="G35" s="661"/>
      <c r="H35" s="661"/>
      <c r="I35" s="661"/>
      <c r="J35" s="665"/>
      <c r="K35" s="664"/>
      <c r="L35" s="666"/>
      <c r="M35" s="666"/>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9">
        <f t="shared" si="10"/>
        <v>0</v>
      </c>
      <c r="AA35" s="649">
        <f t="shared" si="11"/>
        <v>0</v>
      </c>
      <c r="AB35" s="649">
        <f t="shared" si="12"/>
        <v>0</v>
      </c>
      <c r="AC35" s="649">
        <f t="shared" si="12"/>
        <v>0</v>
      </c>
      <c r="AD35" s="649">
        <f t="shared" si="13"/>
        <v>0</v>
      </c>
      <c r="AE35" s="648"/>
      <c r="AF35" s="648"/>
      <c r="AG35" s="648"/>
      <c r="AH35" s="648"/>
      <c r="AI35" s="648"/>
    </row>
    <row r="36" spans="1:35" x14ac:dyDescent="0.15">
      <c r="A36" s="670"/>
      <c r="B36" s="669"/>
      <c r="C36" s="668"/>
      <c r="D36" s="667"/>
      <c r="E36" s="666"/>
      <c r="F36" s="662"/>
      <c r="G36" s="661"/>
      <c r="H36" s="661"/>
      <c r="I36" s="661"/>
      <c r="J36" s="665"/>
      <c r="K36" s="664"/>
      <c r="L36" s="666"/>
      <c r="M36" s="666"/>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9">
        <f t="shared" si="10"/>
        <v>0</v>
      </c>
      <c r="AA36" s="649">
        <f t="shared" si="11"/>
        <v>0</v>
      </c>
      <c r="AB36" s="649">
        <f t="shared" si="12"/>
        <v>0</v>
      </c>
      <c r="AC36" s="649">
        <f t="shared" si="12"/>
        <v>0</v>
      </c>
      <c r="AD36" s="649">
        <f t="shared" si="13"/>
        <v>0</v>
      </c>
      <c r="AE36" s="648"/>
      <c r="AF36" s="648"/>
      <c r="AG36" s="648"/>
      <c r="AH36" s="648"/>
      <c r="AI36" s="648"/>
    </row>
    <row r="37" spans="1:35" x14ac:dyDescent="0.15">
      <c r="A37" s="670"/>
      <c r="B37" s="669"/>
      <c r="C37" s="668"/>
      <c r="D37" s="667"/>
      <c r="E37" s="666"/>
      <c r="F37" s="662"/>
      <c r="G37" s="661"/>
      <c r="H37" s="661"/>
      <c r="I37" s="661"/>
      <c r="J37" s="665"/>
      <c r="K37" s="664"/>
      <c r="L37" s="666"/>
      <c r="M37" s="666"/>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9">
        <f t="shared" si="10"/>
        <v>0</v>
      </c>
      <c r="AA37" s="649">
        <f t="shared" si="11"/>
        <v>0</v>
      </c>
      <c r="AB37" s="649">
        <f t="shared" si="12"/>
        <v>0</v>
      </c>
      <c r="AC37" s="649">
        <f t="shared" si="12"/>
        <v>0</v>
      </c>
      <c r="AD37" s="649">
        <f t="shared" si="13"/>
        <v>0</v>
      </c>
      <c r="AE37" s="648"/>
      <c r="AF37" s="648"/>
      <c r="AG37" s="648"/>
      <c r="AH37" s="648"/>
      <c r="AI37" s="648"/>
    </row>
    <row r="38" spans="1:35" x14ac:dyDescent="0.15">
      <c r="A38" s="670"/>
      <c r="B38" s="669"/>
      <c r="C38" s="668"/>
      <c r="D38" s="667"/>
      <c r="E38" s="666"/>
      <c r="F38" s="662"/>
      <c r="G38" s="661"/>
      <c r="H38" s="661"/>
      <c r="I38" s="661"/>
      <c r="J38" s="665"/>
      <c r="K38" s="664"/>
      <c r="L38" s="666"/>
      <c r="M38" s="666"/>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9">
        <f t="shared" si="10"/>
        <v>0</v>
      </c>
      <c r="AA38" s="649">
        <f t="shared" si="11"/>
        <v>0</v>
      </c>
      <c r="AB38" s="649">
        <f t="shared" si="12"/>
        <v>0</v>
      </c>
      <c r="AC38" s="649">
        <f t="shared" si="12"/>
        <v>0</v>
      </c>
      <c r="AD38" s="649">
        <f t="shared" si="13"/>
        <v>0</v>
      </c>
      <c r="AE38" s="648"/>
      <c r="AF38" s="648"/>
      <c r="AG38" s="648"/>
      <c r="AH38" s="648"/>
      <c r="AI38" s="648"/>
    </row>
    <row r="39" spans="1:35" x14ac:dyDescent="0.15">
      <c r="A39" s="670"/>
      <c r="B39" s="669"/>
      <c r="C39" s="668"/>
      <c r="D39" s="667"/>
      <c r="E39" s="666"/>
      <c r="F39" s="662"/>
      <c r="G39" s="661"/>
      <c r="H39" s="661"/>
      <c r="I39" s="661"/>
      <c r="J39" s="665"/>
      <c r="K39" s="664"/>
      <c r="L39" s="666"/>
      <c r="M39" s="666"/>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9">
        <f t="shared" si="10"/>
        <v>0</v>
      </c>
      <c r="AA39" s="649">
        <f t="shared" si="11"/>
        <v>0</v>
      </c>
      <c r="AB39" s="649">
        <f t="shared" si="12"/>
        <v>0</v>
      </c>
      <c r="AC39" s="649">
        <f t="shared" si="12"/>
        <v>0</v>
      </c>
      <c r="AD39" s="649">
        <f t="shared" si="13"/>
        <v>0</v>
      </c>
      <c r="AE39" s="648"/>
      <c r="AF39" s="648"/>
      <c r="AG39" s="648"/>
      <c r="AH39" s="648"/>
      <c r="AI39" s="648"/>
    </row>
    <row r="40" spans="1:35" ht="14.25" thickBot="1" x14ac:dyDescent="0.2">
      <c r="A40" s="660"/>
      <c r="B40" s="659"/>
      <c r="C40" s="658"/>
      <c r="D40" s="657"/>
      <c r="E40" s="656"/>
      <c r="F40" s="652"/>
      <c r="G40" s="651"/>
      <c r="H40" s="651"/>
      <c r="I40" s="651"/>
      <c r="J40" s="655"/>
      <c r="K40" s="654"/>
      <c r="L40" s="656"/>
      <c r="M40" s="656"/>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9">
        <f t="shared" si="10"/>
        <v>0</v>
      </c>
      <c r="AA40" s="649">
        <f t="shared" si="11"/>
        <v>0</v>
      </c>
      <c r="AB40" s="649">
        <f t="shared" si="12"/>
        <v>0</v>
      </c>
      <c r="AC40" s="649">
        <f t="shared" si="12"/>
        <v>0</v>
      </c>
      <c r="AD40" s="649">
        <f t="shared" si="13"/>
        <v>0</v>
      </c>
      <c r="AE40" s="648"/>
      <c r="AF40" s="648"/>
      <c r="AG40" s="648"/>
      <c r="AH40" s="648"/>
      <c r="AI40" s="648"/>
    </row>
    <row r="41" spans="1:35" ht="14.25" thickTop="1" x14ac:dyDescent="0.15">
      <c r="A41" s="647"/>
      <c r="B41" s="646"/>
      <c r="C41" s="645"/>
      <c r="D41" s="644" t="s">
        <v>979</v>
      </c>
      <c r="E41" s="639">
        <f t="shared" ref="E41:T41" si="14">SUM(E5:E40)</f>
        <v>12600000</v>
      </c>
      <c r="F41" s="643">
        <f t="shared" si="14"/>
        <v>0</v>
      </c>
      <c r="G41" s="642">
        <f t="shared" si="14"/>
        <v>0</v>
      </c>
      <c r="H41" s="642">
        <f t="shared" si="14"/>
        <v>0</v>
      </c>
      <c r="I41" s="642">
        <f t="shared" ref="I41" si="15">SUM(I5:I40)</f>
        <v>0</v>
      </c>
      <c r="J41" s="641">
        <f t="shared" si="14"/>
        <v>0</v>
      </c>
      <c r="K41" s="634">
        <f t="shared" si="14"/>
        <v>0</v>
      </c>
      <c r="L41" s="639">
        <f t="shared" si="14"/>
        <v>12600000</v>
      </c>
      <c r="M41" s="639">
        <f t="shared" si="14"/>
        <v>0</v>
      </c>
      <c r="N41" s="636">
        <f t="shared" si="14"/>
        <v>0</v>
      </c>
      <c r="O41" s="635">
        <f t="shared" si="14"/>
        <v>0</v>
      </c>
      <c r="P41" s="635">
        <f t="shared" si="14"/>
        <v>0</v>
      </c>
      <c r="Q41" s="635">
        <f t="shared" ref="Q41" si="16">SUM(Q5:Q40)</f>
        <v>0</v>
      </c>
      <c r="R41" s="638">
        <f t="shared" si="14"/>
        <v>0</v>
      </c>
      <c r="S41" s="634">
        <f t="shared" si="14"/>
        <v>0</v>
      </c>
      <c r="T41" s="637">
        <f t="shared" si="14"/>
        <v>12600000</v>
      </c>
    </row>
    <row r="42" spans="1:35" x14ac:dyDescent="0.15">
      <c r="A42" s="633"/>
      <c r="B42" s="632"/>
      <c r="C42" s="631"/>
      <c r="D42" s="630" t="s">
        <v>978</v>
      </c>
      <c r="E42" s="624">
        <f t="shared" ref="E42:J42" si="17">+E41</f>
        <v>12600000</v>
      </c>
      <c r="F42" s="629">
        <f t="shared" si="17"/>
        <v>0</v>
      </c>
      <c r="G42" s="628">
        <f t="shared" si="17"/>
        <v>0</v>
      </c>
      <c r="H42" s="628">
        <f t="shared" si="17"/>
        <v>0</v>
      </c>
      <c r="I42" s="628">
        <f t="shared" si="17"/>
        <v>0</v>
      </c>
      <c r="J42" s="627">
        <f t="shared" si="17"/>
        <v>0</v>
      </c>
      <c r="K42" s="623">
        <f>SUM(F42:J42)</f>
        <v>0</v>
      </c>
      <c r="L42" s="624">
        <f>+L41</f>
        <v>12600000</v>
      </c>
      <c r="M42" s="624">
        <f>+M41</f>
        <v>0</v>
      </c>
      <c r="N42" s="740">
        <f>+'4条支出'!N15</f>
        <v>0</v>
      </c>
      <c r="O42" s="741">
        <f>+'4条支出'!O15</f>
        <v>0</v>
      </c>
      <c r="P42" s="741">
        <f>+'4条支出'!P15</f>
        <v>0</v>
      </c>
      <c r="Q42" s="741">
        <f>+'4条支出'!Q15</f>
        <v>0</v>
      </c>
      <c r="R42" s="742">
        <f>+'4条支出'!R15</f>
        <v>0</v>
      </c>
      <c r="S42" s="743">
        <f>+'4条支出'!S15</f>
        <v>0</v>
      </c>
      <c r="T42" s="744">
        <f>+'4条支出'!T15</f>
        <v>12600000</v>
      </c>
    </row>
    <row r="43" spans="1:35" x14ac:dyDescent="0.15">
      <c r="E43" s="622">
        <f t="shared" ref="E43:T43" si="18">+E42-E41</f>
        <v>0</v>
      </c>
      <c r="F43" s="622">
        <f t="shared" si="18"/>
        <v>0</v>
      </c>
      <c r="G43" s="622">
        <f t="shared" si="18"/>
        <v>0</v>
      </c>
      <c r="H43" s="622">
        <f t="shared" si="18"/>
        <v>0</v>
      </c>
      <c r="I43" s="622">
        <f t="shared" ref="I43" si="19">+I42-I41</f>
        <v>0</v>
      </c>
      <c r="J43" s="622">
        <f t="shared" si="18"/>
        <v>0</v>
      </c>
      <c r="K43" s="622">
        <f t="shared" si="18"/>
        <v>0</v>
      </c>
      <c r="L43" s="622">
        <f t="shared" si="18"/>
        <v>0</v>
      </c>
      <c r="M43" s="622">
        <f t="shared" si="18"/>
        <v>0</v>
      </c>
      <c r="N43" s="622">
        <f t="shared" si="18"/>
        <v>0</v>
      </c>
      <c r="O43" s="622">
        <f t="shared" si="18"/>
        <v>0</v>
      </c>
      <c r="P43" s="622">
        <f t="shared" si="18"/>
        <v>0</v>
      </c>
      <c r="Q43" s="622">
        <f t="shared" ref="Q43" si="20">+Q42-Q41</f>
        <v>0</v>
      </c>
      <c r="R43" s="622">
        <f t="shared" si="18"/>
        <v>0</v>
      </c>
      <c r="S43" s="622">
        <f t="shared" si="18"/>
        <v>0</v>
      </c>
      <c r="T43" s="622">
        <f t="shared" si="18"/>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208" priority="4">
      <formula>ABS(Z5)=1</formula>
    </cfRule>
  </conditionalFormatting>
  <conditionalFormatting sqref="AD5:AD40">
    <cfRule type="expression" dxfId="207" priority="3">
      <formula>ABS(AD5)=1</formula>
    </cfRule>
  </conditionalFormatting>
  <conditionalFormatting sqref="Z6:AC40">
    <cfRule type="expression" dxfId="206" priority="6">
      <formula>ABS(Z6)=1</formula>
    </cfRule>
  </conditionalFormatting>
  <conditionalFormatting sqref="AE6:AE14 AE16:AE40">
    <cfRule type="notContainsBlanks" dxfId="205" priority="9" stopIfTrue="1">
      <formula>LEN(TRIM(AE6))&gt;0</formula>
    </cfRule>
  </conditionalFormatting>
  <conditionalFormatting sqref="AE6:AI40">
    <cfRule type="notContainsBlanks" dxfId="204" priority="8" stopIfTrue="1">
      <formula>LEN(TRIM(AE6))&gt;0</formula>
    </cfRule>
  </conditionalFormatting>
  <conditionalFormatting sqref="AE5:AI5">
    <cfRule type="notContainsBlanks" dxfId="203" priority="7" stopIfTrue="1">
      <formula>LEN(TRIM(AE5))&gt;0</formula>
    </cfRule>
  </conditionalFormatting>
  <conditionalFormatting sqref="AA6:AC40">
    <cfRule type="expression" dxfId="202" priority="5">
      <formula>ABS(AA6)=1</formula>
    </cfRule>
  </conditionalFormatting>
  <conditionalFormatting sqref="E43:H43 J43:T43">
    <cfRule type="cellIs" dxfId="201" priority="2" operator="notEqual">
      <formula>0</formula>
    </cfRule>
  </conditionalFormatting>
  <conditionalFormatting sqref="I43">
    <cfRule type="cellIs" dxfId="200"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7"/>
  <sheetViews>
    <sheetView zoomScale="80" zoomScaleNormal="80" zoomScaleSheetLayoutView="40" workbookViewId="0">
      <pane xSplit="5"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1314</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745">
        <v>3</v>
      </c>
      <c r="V4" s="745">
        <v>5</v>
      </c>
      <c r="W4" s="745">
        <v>8</v>
      </c>
      <c r="X4" s="751">
        <v>8</v>
      </c>
      <c r="Y4" s="745">
        <v>10</v>
      </c>
      <c r="Z4" s="745">
        <v>3</v>
      </c>
      <c r="AA4" s="745">
        <v>5</v>
      </c>
      <c r="AB4" s="745">
        <v>8</v>
      </c>
      <c r="AC4" s="751">
        <v>8</v>
      </c>
      <c r="AD4" s="745">
        <v>10</v>
      </c>
      <c r="AE4" s="745">
        <v>3</v>
      </c>
      <c r="AF4" s="745">
        <v>5</v>
      </c>
      <c r="AG4" s="745">
        <v>8</v>
      </c>
      <c r="AH4" s="751">
        <v>8</v>
      </c>
      <c r="AI4" s="745">
        <v>10</v>
      </c>
    </row>
    <row r="5" spans="1:35" x14ac:dyDescent="0.15">
      <c r="A5" s="685">
        <v>2</v>
      </c>
      <c r="B5" s="684" t="s">
        <v>1313</v>
      </c>
      <c r="C5" s="683"/>
      <c r="D5" s="682" t="s">
        <v>1079</v>
      </c>
      <c r="E5" s="705">
        <f>+IF($A5="",IF($C5="",SUMIFS(全伝票!I:I,全伝票!$B:$B,$B5),SUMIFS(全伝票!I:I,全伝票!$C:$C,$C5)),IF($C5="",SUMIFS(全伝票!I:I,全伝票!$A:$A,$A5,全伝票!$B:$B,$B5),SUMIFS(全伝票!I:I,全伝票!$A:$A,$A5,全伝票!$C:$C,$C5)))</f>
        <v>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0</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0</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2</v>
      </c>
      <c r="B6" s="669" t="s">
        <v>1312</v>
      </c>
      <c r="C6" s="668"/>
      <c r="D6" s="667" t="s">
        <v>1077</v>
      </c>
      <c r="E6" s="700">
        <f>+IF($A6="",IF($C6="",SUMIFS(全伝票!I:I,全伝票!$B:$B,$B6),SUMIFS(全伝票!I:I,全伝票!$C:$C,$C6)),IF($C6="",SUMIFS(全伝票!I:I,全伝票!$A:$A,$A6,全伝票!$B:$B,$B6),SUMIFS(全伝票!I:I,全伝票!$A:$A,$A6,全伝票!$C:$C,$C6)))</f>
        <v>3280800</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3280800</v>
      </c>
      <c r="N6" s="662">
        <f t="shared" si="1"/>
        <v>0</v>
      </c>
      <c r="O6" s="661">
        <f t="shared" si="2"/>
        <v>0</v>
      </c>
      <c r="P6" s="661">
        <f t="shared" si="3"/>
        <v>0</v>
      </c>
      <c r="Q6" s="661">
        <f t="shared" si="3"/>
        <v>0</v>
      </c>
      <c r="R6" s="665">
        <f t="shared" si="4"/>
        <v>0</v>
      </c>
      <c r="S6" s="664">
        <f t="shared" si="5"/>
        <v>0</v>
      </c>
      <c r="T6" s="663">
        <f t="shared" si="6"/>
        <v>3280800</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2</v>
      </c>
      <c r="B7" s="669" t="s">
        <v>1311</v>
      </c>
      <c r="C7" s="668"/>
      <c r="D7" s="667" t="s">
        <v>1075</v>
      </c>
      <c r="E7" s="700">
        <f>+IF($A7="",IF($C7="",SUMIFS(全伝票!I:I,全伝票!$B:$B,$B7),SUMIFS(全伝票!I:I,全伝票!$C:$C,$C7)),IF($C7="",SUMIFS(全伝票!I:I,全伝票!$A:$A,$A7,全伝票!$B:$B,$B7),SUMIFS(全伝票!I:I,全伝票!$A:$A,$A7,全伝票!$C:$C,$C7)))</f>
        <v>3103509</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0</v>
      </c>
      <c r="K7" s="664">
        <f t="shared" si="0"/>
        <v>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3103509</v>
      </c>
      <c r="N7" s="662">
        <f t="shared" si="1"/>
        <v>0</v>
      </c>
      <c r="O7" s="661">
        <f t="shared" si="2"/>
        <v>0</v>
      </c>
      <c r="P7" s="661">
        <f t="shared" si="3"/>
        <v>0</v>
      </c>
      <c r="Q7" s="661">
        <f t="shared" si="3"/>
        <v>0</v>
      </c>
      <c r="R7" s="665">
        <f t="shared" si="4"/>
        <v>0</v>
      </c>
      <c r="S7" s="664">
        <f t="shared" si="5"/>
        <v>0</v>
      </c>
      <c r="T7" s="663">
        <f t="shared" si="6"/>
        <v>3103509</v>
      </c>
      <c r="U7" s="650">
        <f t="shared" si="7"/>
        <v>0</v>
      </c>
      <c r="V7" s="650">
        <f t="shared" si="8"/>
        <v>0</v>
      </c>
      <c r="W7" s="650">
        <f t="shared" si="9"/>
        <v>0</v>
      </c>
      <c r="X7" s="650">
        <f t="shared" si="9"/>
        <v>0</v>
      </c>
      <c r="Y7" s="650">
        <f t="shared" si="10"/>
        <v>0</v>
      </c>
      <c r="Z7" s="649">
        <f t="shared" si="11"/>
        <v>0</v>
      </c>
      <c r="AA7" s="649">
        <f t="shared" si="12"/>
        <v>0</v>
      </c>
      <c r="AB7" s="649">
        <f t="shared" si="13"/>
        <v>0</v>
      </c>
      <c r="AC7" s="649">
        <f t="shared" si="13"/>
        <v>0</v>
      </c>
      <c r="AD7" s="649">
        <f t="shared" si="14"/>
        <v>0</v>
      </c>
      <c r="AE7" s="648"/>
      <c r="AF7" s="648"/>
      <c r="AG7" s="648"/>
      <c r="AH7" s="648"/>
      <c r="AI7" s="648"/>
    </row>
    <row r="8" spans="1:35" x14ac:dyDescent="0.15">
      <c r="A8" s="670">
        <v>2</v>
      </c>
      <c r="B8" s="669" t="s">
        <v>1310</v>
      </c>
      <c r="C8" s="668"/>
      <c r="D8" s="667" t="s">
        <v>1073</v>
      </c>
      <c r="E8" s="700">
        <f>+IF($A8="",IF($C8="",SUMIFS(全伝票!I:I,全伝票!$B:$B,$B8),SUMIFS(全伝票!I:I,全伝票!$C:$C,$C8)),IF($C8="",SUMIFS(全伝票!I:I,全伝票!$A:$A,$A8,全伝票!$B:$B,$B8),SUMIFS(全伝票!I:I,全伝票!$A:$A,$A8,全伝票!$C:$C,$C8)))</f>
        <v>1162587</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1157667</v>
      </c>
      <c r="M8" s="700">
        <f>+IF($A8="",IF($C8="",SUMIFS(全伝票!P:P,全伝票!$B:$B,$B8),SUMIFS(全伝票!P:P,全伝票!$C:$C,$C8)),IF($C8="",SUMIFS(全伝票!P:P,全伝票!$A:$A,$A8,全伝票!$B:$B,$B8),SUMIFS(全伝票!P:P,全伝票!$A:$A,$A8,全伝票!$C:$C,$C8)))</f>
        <v>4920</v>
      </c>
      <c r="N8" s="662">
        <f t="shared" si="1"/>
        <v>0</v>
      </c>
      <c r="O8" s="661">
        <f t="shared" si="2"/>
        <v>0</v>
      </c>
      <c r="P8" s="661">
        <f t="shared" si="3"/>
        <v>0</v>
      </c>
      <c r="Q8" s="661">
        <f t="shared" si="3"/>
        <v>0</v>
      </c>
      <c r="R8" s="665">
        <f t="shared" si="4"/>
        <v>0</v>
      </c>
      <c r="S8" s="664">
        <f t="shared" si="5"/>
        <v>0</v>
      </c>
      <c r="T8" s="663">
        <f t="shared" si="6"/>
        <v>1162587</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2</v>
      </c>
      <c r="B9" s="669" t="s">
        <v>1309</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2</v>
      </c>
      <c r="B10" s="669" t="s">
        <v>1308</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2</v>
      </c>
      <c r="B11" s="669" t="s">
        <v>1307</v>
      </c>
      <c r="C11" s="668"/>
      <c r="D11" s="667" t="s">
        <v>1067</v>
      </c>
      <c r="E11" s="700">
        <f>+IF($A11="",IF($C11="",SUMIFS(全伝票!I:I,全伝票!$B:$B,$B11),SUMIFS(全伝票!I:I,全伝票!$C:$C,$C11)),IF($C11="",SUMIFS(全伝票!I:I,全伝票!$A:$A,$A11,全伝票!$B:$B,$B11),SUMIFS(全伝票!I:I,全伝票!$A:$A,$A11,全伝票!$C:$C,$C11)))</f>
        <v>918000</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918000</v>
      </c>
      <c r="N11" s="662">
        <f t="shared" si="1"/>
        <v>0</v>
      </c>
      <c r="O11" s="661">
        <f t="shared" si="2"/>
        <v>0</v>
      </c>
      <c r="P11" s="661">
        <f t="shared" si="3"/>
        <v>0</v>
      </c>
      <c r="Q11" s="661">
        <f t="shared" si="3"/>
        <v>0</v>
      </c>
      <c r="R11" s="665">
        <f t="shared" si="4"/>
        <v>0</v>
      </c>
      <c r="S11" s="664">
        <f t="shared" si="5"/>
        <v>0</v>
      </c>
      <c r="T11" s="663">
        <f t="shared" si="6"/>
        <v>918000</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2</v>
      </c>
      <c r="B12" s="669" t="s">
        <v>1305</v>
      </c>
      <c r="C12" s="668" t="s">
        <v>1306</v>
      </c>
      <c r="D12" s="667" t="s">
        <v>1065</v>
      </c>
      <c r="E12" s="700">
        <f>+IF($A12="",IF($C12="",SUMIFS(全伝票!I:I,全伝票!$B:$B,$B12),SUMIFS(全伝票!I:I,全伝票!$C:$C,$C12)),IF($C12="",SUMIFS(全伝票!I:I,全伝票!$A:$A,$A12,全伝票!$B:$B,$B12),SUMIFS(全伝票!I:I,全伝票!$A:$A,$A12,全伝票!$C:$C,$C12)))</f>
        <v>0</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0</v>
      </c>
      <c r="K12" s="664">
        <f t="shared" si="0"/>
        <v>0</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 t="shared" si="4"/>
        <v>0</v>
      </c>
      <c r="S12" s="664">
        <f t="shared" si="5"/>
        <v>0</v>
      </c>
      <c r="T12" s="663">
        <f t="shared" si="6"/>
        <v>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2</v>
      </c>
      <c r="B13" s="669" t="s">
        <v>1305</v>
      </c>
      <c r="C13" s="668" t="s">
        <v>1304</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2</v>
      </c>
      <c r="B14" s="669" t="s">
        <v>1303</v>
      </c>
      <c r="C14" s="668"/>
      <c r="D14" s="667" t="s">
        <v>1060</v>
      </c>
      <c r="E14" s="700">
        <f>+IF($A14="",IF($C14="",SUMIFS(全伝票!I:I,全伝票!$B:$B,$B14),SUMIFS(全伝票!I:I,全伝票!$C:$C,$C14)),IF($C14="",SUMIFS(全伝票!I:I,全伝票!$A:$A,$A14,全伝票!$B:$B,$B14),SUMIFS(全伝票!I:I,全伝票!$A:$A,$A14,全伝票!$C:$C,$C14)))</f>
        <v>766743</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766743</v>
      </c>
      <c r="K14" s="664">
        <f t="shared" si="0"/>
        <v>766743</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 t="shared" si="3"/>
        <v>0</v>
      </c>
      <c r="R14" s="665">
        <f t="shared" si="4"/>
        <v>69704</v>
      </c>
      <c r="S14" s="664">
        <f t="shared" si="5"/>
        <v>69704</v>
      </c>
      <c r="T14" s="663">
        <f t="shared" si="6"/>
        <v>697039</v>
      </c>
      <c r="U14" s="650">
        <f t="shared" si="7"/>
        <v>0</v>
      </c>
      <c r="V14" s="650">
        <f t="shared" si="8"/>
        <v>0</v>
      </c>
      <c r="W14" s="650">
        <f t="shared" si="9"/>
        <v>0</v>
      </c>
      <c r="X14" s="650">
        <f t="shared" si="9"/>
        <v>0</v>
      </c>
      <c r="Y14" s="650">
        <f t="shared" si="10"/>
        <v>9.0909090911736712E-2</v>
      </c>
      <c r="Z14" s="649">
        <f t="shared" si="11"/>
        <v>0</v>
      </c>
      <c r="AA14" s="649">
        <f t="shared" si="12"/>
        <v>0</v>
      </c>
      <c r="AB14" s="649">
        <f t="shared" si="13"/>
        <v>0</v>
      </c>
      <c r="AC14" s="649">
        <f t="shared" si="13"/>
        <v>0</v>
      </c>
      <c r="AD14" s="649">
        <f t="shared" si="14"/>
        <v>0</v>
      </c>
      <c r="AE14" s="648"/>
      <c r="AF14" s="648"/>
      <c r="AG14" s="648"/>
      <c r="AH14" s="648"/>
      <c r="AI14" s="648"/>
    </row>
    <row r="15" spans="1:35" x14ac:dyDescent="0.15">
      <c r="A15" s="670">
        <v>2</v>
      </c>
      <c r="B15" s="669" t="s">
        <v>1302</v>
      </c>
      <c r="C15" s="668"/>
      <c r="D15" s="667" t="s">
        <v>1058</v>
      </c>
      <c r="E15" s="700">
        <f>+IF($A15="",IF($C15="",SUMIFS(全伝票!I:I,全伝票!$B:$B,$B15),SUMIFS(全伝票!I:I,全伝票!$C:$C,$C15)),IF($C15="",SUMIFS(全伝票!I:I,全伝票!$A:$A,$A15,全伝票!$B:$B,$B15),SUMIFS(全伝票!I:I,全伝票!$A:$A,$A15,全伝票!$C:$C,$C15)))</f>
        <v>71900</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71900</v>
      </c>
      <c r="K15" s="664">
        <f t="shared" si="0"/>
        <v>71900</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6536</v>
      </c>
      <c r="S15" s="664">
        <f t="shared" si="5"/>
        <v>6536</v>
      </c>
      <c r="T15" s="663">
        <f t="shared" si="6"/>
        <v>65364</v>
      </c>
      <c r="U15" s="650">
        <f t="shared" si="7"/>
        <v>0</v>
      </c>
      <c r="V15" s="650">
        <f t="shared" si="8"/>
        <v>0</v>
      </c>
      <c r="W15" s="650">
        <f t="shared" si="9"/>
        <v>0</v>
      </c>
      <c r="X15" s="650">
        <f t="shared" si="9"/>
        <v>0</v>
      </c>
      <c r="Y15" s="650">
        <f t="shared" si="10"/>
        <v>-0.36363636363603291</v>
      </c>
      <c r="Z15" s="649">
        <f t="shared" si="11"/>
        <v>0</v>
      </c>
      <c r="AA15" s="649">
        <f t="shared" si="12"/>
        <v>0</v>
      </c>
      <c r="AB15" s="649">
        <f t="shared" si="13"/>
        <v>0</v>
      </c>
      <c r="AC15" s="649">
        <f t="shared" si="13"/>
        <v>0</v>
      </c>
      <c r="AD15" s="649">
        <f t="shared" si="14"/>
        <v>0</v>
      </c>
      <c r="AE15" s="648"/>
      <c r="AF15" s="648"/>
      <c r="AG15" s="648"/>
      <c r="AH15" s="648"/>
      <c r="AI15" s="648"/>
    </row>
    <row r="16" spans="1:35" x14ac:dyDescent="0.15">
      <c r="A16" s="670">
        <v>2</v>
      </c>
      <c r="B16" s="669" t="s">
        <v>1301</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2</v>
      </c>
      <c r="B17" s="669" t="s">
        <v>1300</v>
      </c>
      <c r="C17" s="668"/>
      <c r="D17" s="667" t="s">
        <v>1054</v>
      </c>
      <c r="E17" s="700">
        <f>+IF($A17="",IF($C17="",SUMIFS(全伝票!I:I,全伝票!$B:$B,$B17),SUMIFS(全伝票!I:I,全伝票!$C:$C,$C17)),IF($C17="",SUMIFS(全伝票!I:I,全伝票!$A:$A,$A17,全伝票!$B:$B,$B17),SUMIFS(全伝票!I:I,全伝票!$A:$A,$A17,全伝票!$C:$C,$C17)))</f>
        <v>35232</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35232</v>
      </c>
      <c r="K17" s="664">
        <f t="shared" si="0"/>
        <v>35232</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3203</v>
      </c>
      <c r="S17" s="664">
        <f t="shared" si="5"/>
        <v>3203</v>
      </c>
      <c r="T17" s="663">
        <f t="shared" si="6"/>
        <v>32029</v>
      </c>
      <c r="U17" s="650">
        <f t="shared" si="7"/>
        <v>0</v>
      </c>
      <c r="V17" s="650">
        <f t="shared" si="8"/>
        <v>0</v>
      </c>
      <c r="W17" s="650">
        <f t="shared" si="9"/>
        <v>0</v>
      </c>
      <c r="X17" s="650">
        <f t="shared" si="9"/>
        <v>0</v>
      </c>
      <c r="Y17" s="650">
        <f t="shared" si="10"/>
        <v>9.0909090909008228E-2</v>
      </c>
      <c r="Z17" s="649">
        <f t="shared" si="11"/>
        <v>0</v>
      </c>
      <c r="AA17" s="649">
        <f t="shared" si="12"/>
        <v>0</v>
      </c>
      <c r="AB17" s="649">
        <f t="shared" si="13"/>
        <v>0</v>
      </c>
      <c r="AC17" s="649">
        <f t="shared" si="13"/>
        <v>0</v>
      </c>
      <c r="AD17" s="649">
        <f t="shared" si="14"/>
        <v>0</v>
      </c>
      <c r="AE17" s="648"/>
      <c r="AF17" s="648"/>
      <c r="AG17" s="648"/>
      <c r="AH17" s="648"/>
      <c r="AI17" s="648"/>
    </row>
    <row r="18" spans="1:35" x14ac:dyDescent="0.15">
      <c r="A18" s="670">
        <v>2</v>
      </c>
      <c r="B18" s="669" t="s">
        <v>1299</v>
      </c>
      <c r="C18" s="668"/>
      <c r="D18" s="667" t="s">
        <v>1052</v>
      </c>
      <c r="E18" s="700">
        <f>+IF($A18="",IF($C18="",SUMIFS(全伝票!I:I,全伝票!$B:$B,$B18),SUMIFS(全伝票!I:I,全伝票!$C:$C,$C18)),IF($C18="",SUMIFS(全伝票!I:I,全伝票!$A:$A,$A18,全伝票!$B:$B,$B18),SUMIFS(全伝票!I:I,全伝票!$A:$A,$A18,全伝票!$C:$C,$C18)))</f>
        <v>2241</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441</v>
      </c>
      <c r="K18" s="664">
        <f t="shared" si="0"/>
        <v>441</v>
      </c>
      <c r="L18" s="700">
        <f>+IF($A18="",IF($C18="",SUMIFS(全伝票!O:O,全伝票!$B:$B,$B18),SUMIFS(全伝票!O:O,全伝票!$C:$C,$C18)),IF($C18="",SUMIFS(全伝票!O:O,全伝票!$A:$A,$A18,全伝票!$B:$B,$B18),SUMIFS(全伝票!O:O,全伝票!$A:$A,$A18,全伝票!$C:$C,$C18)))</f>
        <v>1800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40</v>
      </c>
      <c r="S18" s="664">
        <f t="shared" si="5"/>
        <v>40</v>
      </c>
      <c r="T18" s="663">
        <f t="shared" si="6"/>
        <v>2201</v>
      </c>
      <c r="U18" s="650">
        <f t="shared" si="7"/>
        <v>0</v>
      </c>
      <c r="V18" s="650">
        <f t="shared" si="8"/>
        <v>0</v>
      </c>
      <c r="W18" s="650">
        <f t="shared" si="9"/>
        <v>0</v>
      </c>
      <c r="X18" s="650">
        <f t="shared" si="9"/>
        <v>0</v>
      </c>
      <c r="Y18" s="650">
        <f t="shared" si="10"/>
        <v>-9.0909090909093493E-2</v>
      </c>
      <c r="Z18" s="649">
        <f t="shared" si="11"/>
        <v>0</v>
      </c>
      <c r="AA18" s="649">
        <f t="shared" si="12"/>
        <v>0</v>
      </c>
      <c r="AB18" s="649">
        <f t="shared" si="13"/>
        <v>0</v>
      </c>
      <c r="AC18" s="649">
        <f t="shared" si="13"/>
        <v>0</v>
      </c>
      <c r="AD18" s="649">
        <f t="shared" si="14"/>
        <v>0</v>
      </c>
      <c r="AE18" s="648"/>
      <c r="AF18" s="648"/>
      <c r="AG18" s="648"/>
      <c r="AH18" s="648"/>
      <c r="AI18" s="648"/>
    </row>
    <row r="19" spans="1:35" x14ac:dyDescent="0.15">
      <c r="A19" s="670">
        <v>2</v>
      </c>
      <c r="B19" s="669" t="s">
        <v>1298</v>
      </c>
      <c r="C19" s="668"/>
      <c r="D19" s="667" t="s">
        <v>1050</v>
      </c>
      <c r="E19" s="700">
        <f>+IF($A19="",IF($C19="",SUMIFS(全伝票!I:I,全伝票!$B:$B,$B19),SUMIFS(全伝票!I:I,全伝票!$C:$C,$C19)),IF($C19="",SUMIFS(全伝票!I:I,全伝票!$A:$A,$A19,全伝票!$B:$B,$B19),SUMIFS(全伝票!I:I,全伝票!$A:$A,$A19,全伝票!$C:$C,$C19)))</f>
        <v>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0</v>
      </c>
      <c r="K19" s="664">
        <f t="shared" si="0"/>
        <v>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1"/>
        <v>0</v>
      </c>
      <c r="O19" s="661">
        <f t="shared" si="2"/>
        <v>0</v>
      </c>
      <c r="P19" s="661">
        <f t="shared" si="3"/>
        <v>0</v>
      </c>
      <c r="Q19" s="661">
        <f t="shared" si="3"/>
        <v>0</v>
      </c>
      <c r="R19" s="665">
        <f t="shared" si="4"/>
        <v>0</v>
      </c>
      <c r="S19" s="664">
        <f t="shared" si="5"/>
        <v>0</v>
      </c>
      <c r="T19" s="663">
        <f t="shared" si="6"/>
        <v>0</v>
      </c>
      <c r="U19" s="650">
        <f t="shared" si="7"/>
        <v>0</v>
      </c>
      <c r="V19" s="650">
        <f t="shared" si="8"/>
        <v>0</v>
      </c>
      <c r="W19" s="650">
        <f t="shared" si="9"/>
        <v>0</v>
      </c>
      <c r="X19" s="650">
        <f t="shared" si="9"/>
        <v>0</v>
      </c>
      <c r="Y19" s="650">
        <f t="shared" si="10"/>
        <v>0</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2</v>
      </c>
      <c r="B20" s="669" t="s">
        <v>1297</v>
      </c>
      <c r="C20" s="668"/>
      <c r="D20" s="667" t="s">
        <v>1048</v>
      </c>
      <c r="E20" s="700">
        <f>+IF($A20="",IF($C20="",SUMIFS(全伝票!I:I,全伝票!$B:$B,$B20),SUMIFS(全伝票!I:I,全伝票!$C:$C,$C20)),IF($C20="",SUMIFS(全伝票!I:I,全伝票!$A:$A,$A20,全伝票!$B:$B,$B20),SUMIFS(全伝票!I:I,全伝票!$A:$A,$A20,全伝票!$C:$C,$C20)))</f>
        <v>9051</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9051</v>
      </c>
      <c r="K20" s="664">
        <f t="shared" si="0"/>
        <v>9051</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 t="shared" si="4"/>
        <v>823</v>
      </c>
      <c r="S20" s="664">
        <f t="shared" si="5"/>
        <v>823</v>
      </c>
      <c r="T20" s="663">
        <f t="shared" si="6"/>
        <v>8228</v>
      </c>
      <c r="U20" s="650">
        <f t="shared" si="7"/>
        <v>0</v>
      </c>
      <c r="V20" s="650">
        <f t="shared" si="8"/>
        <v>0</v>
      </c>
      <c r="W20" s="650">
        <f t="shared" si="9"/>
        <v>0</v>
      </c>
      <c r="X20" s="650">
        <f t="shared" si="9"/>
        <v>0</v>
      </c>
      <c r="Y20" s="650">
        <f t="shared" si="10"/>
        <v>0.18181818181813014</v>
      </c>
      <c r="Z20" s="649">
        <f t="shared" si="11"/>
        <v>0</v>
      </c>
      <c r="AA20" s="649">
        <f t="shared" si="12"/>
        <v>0</v>
      </c>
      <c r="AB20" s="649">
        <f t="shared" si="13"/>
        <v>0</v>
      </c>
      <c r="AC20" s="649">
        <f t="shared" si="13"/>
        <v>0</v>
      </c>
      <c r="AD20" s="649">
        <f t="shared" si="14"/>
        <v>0</v>
      </c>
      <c r="AE20" s="648"/>
      <c r="AF20" s="648"/>
      <c r="AG20" s="648"/>
      <c r="AH20" s="648"/>
      <c r="AI20" s="648"/>
    </row>
    <row r="21" spans="1:35" x14ac:dyDescent="0.15">
      <c r="A21" s="670">
        <v>2</v>
      </c>
      <c r="B21" s="669" t="s">
        <v>1296</v>
      </c>
      <c r="C21" s="668"/>
      <c r="D21" s="667" t="s">
        <v>1046</v>
      </c>
      <c r="E21" s="700">
        <f>+IF($A21="",IF($C21="",SUMIFS(全伝票!I:I,全伝票!$B:$B,$B21),SUMIFS(全伝票!I:I,全伝票!$C:$C,$C21)),IF($C21="",SUMIFS(全伝票!I:I,全伝票!$A:$A,$A21,全伝票!$B:$B,$B21),SUMIFS(全伝票!I:I,全伝票!$A:$A,$A21,全伝票!$C:$C,$C21)))</f>
        <v>166925</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166925</v>
      </c>
      <c r="K21" s="664">
        <f t="shared" si="0"/>
        <v>166925</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15175</v>
      </c>
      <c r="S21" s="664">
        <f t="shared" si="5"/>
        <v>15175</v>
      </c>
      <c r="T21" s="663">
        <f t="shared" si="6"/>
        <v>151750</v>
      </c>
      <c r="U21" s="650">
        <f t="shared" si="7"/>
        <v>0</v>
      </c>
      <c r="V21" s="650">
        <f t="shared" si="8"/>
        <v>0</v>
      </c>
      <c r="W21" s="650">
        <f t="shared" si="9"/>
        <v>0</v>
      </c>
      <c r="X21" s="650">
        <f t="shared" si="9"/>
        <v>0</v>
      </c>
      <c r="Y21" s="650">
        <f t="shared" si="10"/>
        <v>0</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2</v>
      </c>
      <c r="B22" s="669" t="s">
        <v>1295</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2</v>
      </c>
      <c r="B23" s="669" t="s">
        <v>1294</v>
      </c>
      <c r="C23" s="668"/>
      <c r="D23" s="667" t="s">
        <v>1042</v>
      </c>
      <c r="E23" s="700">
        <f>+IF($A23="",IF($C23="",SUMIFS(全伝票!I:I,全伝票!$B:$B,$B23),SUMIFS(全伝票!I:I,全伝票!$C:$C,$C23)),IF($C23="",SUMIFS(全伝票!I:I,全伝票!$A:$A,$A23,全伝票!$B:$B,$B23),SUMIFS(全伝票!I:I,全伝票!$A:$A,$A23,全伝票!$C:$C,$C23)))</f>
        <v>0</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0</v>
      </c>
      <c r="K23" s="664">
        <f t="shared" si="0"/>
        <v>0</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0</v>
      </c>
      <c r="S23" s="664">
        <f t="shared" si="5"/>
        <v>0</v>
      </c>
      <c r="T23" s="663">
        <f t="shared" si="6"/>
        <v>0</v>
      </c>
      <c r="U23" s="650">
        <f t="shared" si="7"/>
        <v>0</v>
      </c>
      <c r="V23" s="650">
        <f t="shared" si="8"/>
        <v>0</v>
      </c>
      <c r="W23" s="650">
        <f t="shared" si="9"/>
        <v>0</v>
      </c>
      <c r="X23" s="650">
        <f t="shared" si="9"/>
        <v>0</v>
      </c>
      <c r="Y23" s="650">
        <f t="shared" si="10"/>
        <v>0</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2</v>
      </c>
      <c r="B24" s="669" t="s">
        <v>1293</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2</v>
      </c>
      <c r="B25" s="669" t="s">
        <v>1292</v>
      </c>
      <c r="C25" s="668"/>
      <c r="D25" s="667" t="s">
        <v>1038</v>
      </c>
      <c r="E25" s="700">
        <f>+IF($A25="",IF($C25="",SUMIFS(全伝票!I:I,全伝票!$B:$B,$B25),SUMIFS(全伝票!I:I,全伝票!$C:$C,$C25)),IF($C25="",SUMIFS(全伝票!I:I,全伝票!$A:$A,$A25,全伝票!$B:$B,$B25),SUMIFS(全伝票!I:I,全伝票!$A:$A,$A25,全伝票!$C:$C,$C25)))</f>
        <v>28080</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28080</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28080</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2</v>
      </c>
      <c r="B26" s="669" t="s">
        <v>1291</v>
      </c>
      <c r="C26" s="668"/>
      <c r="D26" s="667" t="s">
        <v>1036</v>
      </c>
      <c r="E26" s="700">
        <f>+IF($A26="",IF($C26="",SUMIFS(全伝票!I:I,全伝票!$B:$B,$B26),SUMIFS(全伝票!I:I,全伝票!$C:$C,$C26)),IF($C26="",SUMIFS(全伝票!I:I,全伝票!$A:$A,$A26,全伝票!$B:$B,$B26),SUMIFS(全伝票!I:I,全伝票!$A:$A,$A26,全伝票!$C:$C,$C26)))</f>
        <v>8200</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8200</v>
      </c>
      <c r="N26" s="662">
        <f t="shared" si="1"/>
        <v>0</v>
      </c>
      <c r="O26" s="661">
        <f t="shared" si="2"/>
        <v>0</v>
      </c>
      <c r="P26" s="661">
        <f t="shared" si="3"/>
        <v>0</v>
      </c>
      <c r="Q26" s="661">
        <f t="shared" si="3"/>
        <v>0</v>
      </c>
      <c r="R26" s="665">
        <f t="shared" si="4"/>
        <v>0</v>
      </c>
      <c r="S26" s="664">
        <f t="shared" si="5"/>
        <v>0</v>
      </c>
      <c r="T26" s="663">
        <f t="shared" si="6"/>
        <v>8200</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2</v>
      </c>
      <c r="B27" s="669" t="s">
        <v>1305</v>
      </c>
      <c r="C27" s="668">
        <v>615531003</v>
      </c>
      <c r="D27" s="667" t="s">
        <v>1348</v>
      </c>
      <c r="E27" s="700">
        <f>+IF($A27="",IF($C27="",SUMIFS(全伝票!I:I,全伝票!$B:$B,$B27),SUMIFS(全伝票!I:I,全伝票!$C:$C,$C27)),IF($C27="",SUMIFS(全伝票!I:I,全伝票!$A:$A,$A27,全伝票!$B:$B,$B27),SUMIFS(全伝票!I:I,全伝票!$A:$A,$A27,全伝票!$C:$C,$C27)))</f>
        <v>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0</v>
      </c>
      <c r="K27" s="664">
        <f t="shared" si="0"/>
        <v>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0</v>
      </c>
      <c r="S27" s="664">
        <f t="shared" si="5"/>
        <v>0</v>
      </c>
      <c r="T27" s="663">
        <f t="shared" si="6"/>
        <v>0</v>
      </c>
      <c r="U27" s="650">
        <f t="shared" si="7"/>
        <v>0</v>
      </c>
      <c r="V27" s="650">
        <f t="shared" si="8"/>
        <v>0</v>
      </c>
      <c r="W27" s="650">
        <f t="shared" si="9"/>
        <v>0</v>
      </c>
      <c r="X27" s="650">
        <f t="shared" si="9"/>
        <v>0</v>
      </c>
      <c r="Y27" s="650">
        <f t="shared" si="10"/>
        <v>0</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2</v>
      </c>
      <c r="B28" s="669" t="s">
        <v>1290</v>
      </c>
      <c r="C28" s="668"/>
      <c r="D28" s="667" t="s">
        <v>1034</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1"/>
        <v>0</v>
      </c>
      <c r="O28" s="661">
        <f t="shared" si="2"/>
        <v>0</v>
      </c>
      <c r="P28" s="661">
        <f t="shared" si="3"/>
        <v>0</v>
      </c>
      <c r="Q28" s="661">
        <f t="shared" si="3"/>
        <v>0</v>
      </c>
      <c r="R28" s="665">
        <f t="shared" si="4"/>
        <v>0</v>
      </c>
      <c r="S28" s="664">
        <f t="shared" si="5"/>
        <v>0</v>
      </c>
      <c r="T28" s="663">
        <f t="shared" si="6"/>
        <v>0</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2</v>
      </c>
      <c r="B29" s="669" t="s">
        <v>1289</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2</v>
      </c>
      <c r="B30" s="669" t="s">
        <v>1288</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0</v>
      </c>
      <c r="S30" s="664">
        <f t="shared" si="5"/>
        <v>0</v>
      </c>
      <c r="T30" s="663">
        <f t="shared" si="6"/>
        <v>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2</v>
      </c>
      <c r="B31" s="669" t="s">
        <v>1287</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1286</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2</v>
      </c>
      <c r="B33" s="669" t="s">
        <v>1285</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2</v>
      </c>
      <c r="B34" s="669" t="s">
        <v>1284</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2</v>
      </c>
      <c r="B35" s="669" t="s">
        <v>1278</v>
      </c>
      <c r="C35" s="668" t="s">
        <v>1283</v>
      </c>
      <c r="D35" s="667" t="s">
        <v>1020</v>
      </c>
      <c r="E35" s="700">
        <f>+IF($A35="",IF($C35="",SUMIFS(全伝票!I:I,全伝票!$B:$B,$B35),SUMIFS(全伝票!I:I,全伝票!$C:$C,$C35)),IF($C35="",SUMIFS(全伝票!I:I,全伝票!$A:$A,$A35,全伝票!$B:$B,$B35),SUMIFS(全伝票!I:I,全伝票!$A:$A,$A35,全伝票!$C:$C,$C35)))</f>
        <v>419535338</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419535338</v>
      </c>
      <c r="K35" s="664">
        <f t="shared" si="0"/>
        <v>419535338</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 t="shared" si="3"/>
        <v>0</v>
      </c>
      <c r="Q35" s="661">
        <f t="shared" si="3"/>
        <v>0</v>
      </c>
      <c r="R35" s="665">
        <f t="shared" si="4"/>
        <v>38139576</v>
      </c>
      <c r="S35" s="664">
        <f t="shared" si="5"/>
        <v>38139576</v>
      </c>
      <c r="T35" s="663">
        <f t="shared" si="6"/>
        <v>381395762</v>
      </c>
      <c r="U35" s="650">
        <f t="shared" si="7"/>
        <v>0</v>
      </c>
      <c r="V35" s="650">
        <f t="shared" si="8"/>
        <v>0</v>
      </c>
      <c r="W35" s="650">
        <f t="shared" si="9"/>
        <v>0</v>
      </c>
      <c r="X35" s="650">
        <f t="shared" si="9"/>
        <v>0</v>
      </c>
      <c r="Y35" s="650">
        <f t="shared" si="10"/>
        <v>-0.18181817978620529</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2</v>
      </c>
      <c r="B36" s="669" t="s">
        <v>1278</v>
      </c>
      <c r="C36" s="668" t="s">
        <v>1282</v>
      </c>
      <c r="D36" s="667" t="s">
        <v>1018</v>
      </c>
      <c r="E36" s="700">
        <f>+IF($A36="",IF($C36="",SUMIFS(全伝票!I:I,全伝票!$B:$B,$B36),SUMIFS(全伝票!I:I,全伝票!$C:$C,$C36)),IF($C36="",SUMIFS(全伝票!I:I,全伝票!$A:$A,$A36,全伝票!$B:$B,$B36),SUMIFS(全伝票!I:I,全伝票!$A:$A,$A36,全伝票!$C:$C,$C36)))</f>
        <v>4022728</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4022728</v>
      </c>
      <c r="N36" s="662">
        <f t="shared" si="1"/>
        <v>0</v>
      </c>
      <c r="O36" s="661">
        <f t="shared" si="2"/>
        <v>0</v>
      </c>
      <c r="P36" s="661">
        <f t="shared" si="3"/>
        <v>0</v>
      </c>
      <c r="Q36" s="661">
        <f t="shared" si="3"/>
        <v>0</v>
      </c>
      <c r="R36" s="665">
        <f t="shared" si="4"/>
        <v>0</v>
      </c>
      <c r="S36" s="664">
        <f t="shared" si="5"/>
        <v>0</v>
      </c>
      <c r="T36" s="663">
        <f t="shared" si="6"/>
        <v>4022728</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2</v>
      </c>
      <c r="B37" s="669" t="s">
        <v>1278</v>
      </c>
      <c r="C37" s="668" t="s">
        <v>1281</v>
      </c>
      <c r="D37" s="667" t="s">
        <v>1016</v>
      </c>
      <c r="E37" s="700">
        <f>+IF($A37="",IF($C37="",SUMIFS(全伝票!I:I,全伝票!$B:$B,$B37),SUMIFS(全伝票!I:I,全伝票!$C:$C,$C37)),IF($C37="",SUMIFS(全伝票!I:I,全伝票!$A:$A,$A37,全伝票!$B:$B,$B37),SUMIFS(全伝票!I:I,全伝票!$A:$A,$A37,全伝票!$C:$C,$C37)))</f>
        <v>12423600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12423600</v>
      </c>
      <c r="K37" s="664">
        <f t="shared" si="0"/>
        <v>12423600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1129418</v>
      </c>
      <c r="S37" s="664">
        <f t="shared" si="5"/>
        <v>1129418</v>
      </c>
      <c r="T37" s="663">
        <f t="shared" si="6"/>
        <v>11294182</v>
      </c>
      <c r="U37" s="650">
        <f t="shared" si="7"/>
        <v>0</v>
      </c>
      <c r="V37" s="650">
        <f t="shared" si="8"/>
        <v>0</v>
      </c>
      <c r="W37" s="650">
        <f t="shared" si="9"/>
        <v>0</v>
      </c>
      <c r="X37" s="650">
        <f t="shared" si="9"/>
        <v>0</v>
      </c>
      <c r="Y37" s="650">
        <f t="shared" si="10"/>
        <v>-0.18181818188168108</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2</v>
      </c>
      <c r="B38" s="669" t="s">
        <v>1278</v>
      </c>
      <c r="C38" s="668" t="s">
        <v>1280</v>
      </c>
      <c r="D38" s="667" t="s">
        <v>1014</v>
      </c>
      <c r="E38" s="700">
        <f>+IF($A38="",IF($C38="",SUMIFS(全伝票!I:I,全伝票!$B:$B,$B38),SUMIFS(全伝票!I:I,全伝票!$C:$C,$C38)),IF($C38="",SUMIFS(全伝票!I:I,全伝票!$A:$A,$A38,全伝票!$B:$B,$B38),SUMIFS(全伝票!I:I,全伝票!$A:$A,$A38,全伝票!$C:$C,$C38)))</f>
        <v>7632900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7632900</v>
      </c>
      <c r="K38" s="664">
        <f t="shared" si="0"/>
        <v>7632900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693900</v>
      </c>
      <c r="S38" s="664">
        <f t="shared" si="5"/>
        <v>693900</v>
      </c>
      <c r="T38" s="663">
        <f t="shared" si="6"/>
        <v>6939000</v>
      </c>
      <c r="U38" s="650">
        <f t="shared" si="7"/>
        <v>0</v>
      </c>
      <c r="V38" s="650">
        <f t="shared" si="8"/>
        <v>0</v>
      </c>
      <c r="W38" s="650">
        <f t="shared" si="9"/>
        <v>0</v>
      </c>
      <c r="X38" s="650">
        <f t="shared" si="9"/>
        <v>0</v>
      </c>
      <c r="Y38" s="650">
        <f t="shared" si="10"/>
        <v>0</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2</v>
      </c>
      <c r="B39" s="669" t="s">
        <v>1278</v>
      </c>
      <c r="C39" s="668" t="s">
        <v>1279</v>
      </c>
      <c r="D39" s="667" t="s">
        <v>1012</v>
      </c>
      <c r="E39" s="700">
        <f>+IF($A39="",IF($C39="",SUMIFS(全伝票!I:I,全伝票!$B:$B,$B39),SUMIFS(全伝票!I:I,全伝票!$C:$C,$C39)),IF($C39="",SUMIFS(全伝票!I:I,全伝票!$A:$A,$A39,全伝票!$B:$B,$B39),SUMIFS(全伝票!I:I,全伝票!$A:$A,$A39,全伝票!$C:$C,$C39)))</f>
        <v>45870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45870</v>
      </c>
      <c r="K39" s="664">
        <f t="shared" si="0"/>
        <v>45870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1"/>
        <v>0</v>
      </c>
      <c r="O39" s="661">
        <f t="shared" si="2"/>
        <v>0</v>
      </c>
      <c r="P39" s="661">
        <f t="shared" si="3"/>
        <v>0</v>
      </c>
      <c r="Q39" s="661">
        <f t="shared" si="3"/>
        <v>0</v>
      </c>
      <c r="R39" s="665">
        <f t="shared" si="4"/>
        <v>4170</v>
      </c>
      <c r="S39" s="664">
        <f t="shared" si="5"/>
        <v>4170</v>
      </c>
      <c r="T39" s="663">
        <f t="shared" si="6"/>
        <v>41700</v>
      </c>
      <c r="U39" s="650">
        <f t="shared" si="7"/>
        <v>0</v>
      </c>
      <c r="V39" s="650">
        <f t="shared" si="8"/>
        <v>0</v>
      </c>
      <c r="W39" s="650">
        <f t="shared" si="9"/>
        <v>0</v>
      </c>
      <c r="X39" s="650">
        <f t="shared" si="9"/>
        <v>0</v>
      </c>
      <c r="Y39" s="650">
        <f t="shared" si="10"/>
        <v>0</v>
      </c>
      <c r="Z39" s="649">
        <f t="shared" si="11"/>
        <v>0</v>
      </c>
      <c r="AA39" s="649">
        <f t="shared" si="12"/>
        <v>0</v>
      </c>
      <c r="AB39" s="649">
        <f t="shared" si="13"/>
        <v>0</v>
      </c>
      <c r="AC39" s="649">
        <f t="shared" si="13"/>
        <v>0</v>
      </c>
      <c r="AD39" s="649">
        <f t="shared" si="14"/>
        <v>0</v>
      </c>
      <c r="AE39" s="648"/>
      <c r="AF39" s="648"/>
      <c r="AG39" s="648"/>
      <c r="AH39" s="648"/>
      <c r="AI39" s="648"/>
    </row>
    <row r="40" spans="1:35" ht="14.25" thickBot="1" x14ac:dyDescent="0.2">
      <c r="A40" s="660">
        <v>2</v>
      </c>
      <c r="B40" s="659" t="s">
        <v>1278</v>
      </c>
      <c r="C40" s="658" t="s">
        <v>1277</v>
      </c>
      <c r="D40" s="657" t="s">
        <v>1009</v>
      </c>
      <c r="E40" s="696">
        <f>+IF($A40="",IF($C40="",SUMIFS(全伝票!I:I,全伝票!$B:$B,$B40),SUMIFS(全伝票!I:I,全伝票!$C:$C,$C40)),IF($C40="",SUMIFS(全伝票!I:I,全伝票!$A:$A,$A40,全伝票!$B:$B,$B40),SUMIFS(全伝票!I:I,全伝票!$A:$A,$A40,全伝票!$C:$C,$C40)))</f>
        <v>525070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525070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525070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453738774</v>
      </c>
      <c r="F41" s="643">
        <f t="shared" si="15"/>
        <v>0</v>
      </c>
      <c r="G41" s="642">
        <f t="shared" si="15"/>
        <v>0</v>
      </c>
      <c r="H41" s="642">
        <f t="shared" si="15"/>
        <v>0</v>
      </c>
      <c r="I41" s="642">
        <f t="shared" ref="I41" si="16">SUM(I5:I40)</f>
        <v>0</v>
      </c>
      <c r="J41" s="641">
        <f t="shared" si="15"/>
        <v>440688000</v>
      </c>
      <c r="K41" s="634">
        <f t="shared" si="15"/>
        <v>440688000</v>
      </c>
      <c r="L41" s="639">
        <f t="shared" si="15"/>
        <v>1712617</v>
      </c>
      <c r="M41" s="639">
        <f t="shared" si="15"/>
        <v>11338157</v>
      </c>
      <c r="N41" s="636">
        <f t="shared" si="15"/>
        <v>0</v>
      </c>
      <c r="O41" s="635">
        <f t="shared" si="15"/>
        <v>0</v>
      </c>
      <c r="P41" s="635">
        <f t="shared" si="15"/>
        <v>0</v>
      </c>
      <c r="Q41" s="635">
        <f t="shared" ref="Q41" si="17">SUM(Q5:Q40)</f>
        <v>0</v>
      </c>
      <c r="R41" s="638">
        <f t="shared" si="15"/>
        <v>40062545</v>
      </c>
      <c r="S41" s="634">
        <f t="shared" si="15"/>
        <v>40062545</v>
      </c>
      <c r="T41" s="637">
        <f t="shared" si="15"/>
        <v>413676229</v>
      </c>
    </row>
    <row r="42" spans="1:35" x14ac:dyDescent="0.15">
      <c r="A42" s="633"/>
      <c r="B42" s="632"/>
      <c r="C42" s="631"/>
      <c r="D42" s="630" t="s">
        <v>978</v>
      </c>
      <c r="E42" s="624">
        <f t="shared" ref="E42:J42" si="18">+E41</f>
        <v>453738774</v>
      </c>
      <c r="F42" s="629">
        <f t="shared" si="18"/>
        <v>0</v>
      </c>
      <c r="G42" s="628">
        <f t="shared" si="18"/>
        <v>0</v>
      </c>
      <c r="H42" s="628">
        <f t="shared" si="18"/>
        <v>0</v>
      </c>
      <c r="I42" s="628">
        <f t="shared" si="18"/>
        <v>0</v>
      </c>
      <c r="J42" s="627">
        <f t="shared" si="18"/>
        <v>440688000</v>
      </c>
      <c r="K42" s="623">
        <f>SUM(F42:J42)</f>
        <v>440688000</v>
      </c>
      <c r="L42" s="624">
        <f>+L41</f>
        <v>1712617</v>
      </c>
      <c r="M42" s="624">
        <f>+M41</f>
        <v>11338157</v>
      </c>
      <c r="N42" s="740">
        <f>+'4条支出'!N117</f>
        <v>0</v>
      </c>
      <c r="O42" s="741">
        <f>+'4条支出'!O17</f>
        <v>0</v>
      </c>
      <c r="P42" s="741">
        <f>+'4条支出'!P17</f>
        <v>0</v>
      </c>
      <c r="Q42" s="741">
        <f>+'4条支出'!Q17</f>
        <v>0</v>
      </c>
      <c r="R42" s="742">
        <f>+'4条支出'!R17</f>
        <v>40062545</v>
      </c>
      <c r="S42" s="743">
        <f>+'4条支出'!S17</f>
        <v>40062545</v>
      </c>
      <c r="T42" s="744">
        <f>+'4条支出'!T17</f>
        <v>413676229</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753"/>
      <c r="I45" s="753"/>
      <c r="J45" s="753"/>
    </row>
    <row r="46" spans="1:35" x14ac:dyDescent="0.15">
      <c r="G46" s="752"/>
      <c r="H46" s="753"/>
      <c r="I46" s="753"/>
      <c r="J46" s="753"/>
    </row>
    <row r="47" spans="1:35" x14ac:dyDescent="0.15">
      <c r="G47" s="753"/>
      <c r="H47" s="753"/>
      <c r="I47" s="753"/>
      <c r="J47" s="753"/>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199" priority="4">
      <formula>ABS(Z5)=1</formula>
    </cfRule>
  </conditionalFormatting>
  <conditionalFormatting sqref="AD5:AD40">
    <cfRule type="expression" dxfId="198" priority="3">
      <formula>ABS(AD5)=1</formula>
    </cfRule>
  </conditionalFormatting>
  <conditionalFormatting sqref="Z6:AC40">
    <cfRule type="expression" dxfId="197" priority="6">
      <formula>ABS(Z6)=1</formula>
    </cfRule>
  </conditionalFormatting>
  <conditionalFormatting sqref="AE6:AE14 AE16:AE40">
    <cfRule type="notContainsBlanks" dxfId="196" priority="9" stopIfTrue="1">
      <formula>LEN(TRIM(AE6))&gt;0</formula>
    </cfRule>
  </conditionalFormatting>
  <conditionalFormatting sqref="AE6:AI40">
    <cfRule type="notContainsBlanks" dxfId="195" priority="8" stopIfTrue="1">
      <formula>LEN(TRIM(AE6))&gt;0</formula>
    </cfRule>
  </conditionalFormatting>
  <conditionalFormatting sqref="AE5:AI5">
    <cfRule type="notContainsBlanks" dxfId="194" priority="7" stopIfTrue="1">
      <formula>LEN(TRIM(AE5))&gt;0</formula>
    </cfRule>
  </conditionalFormatting>
  <conditionalFormatting sqref="AA6:AC40">
    <cfRule type="expression" dxfId="193" priority="5">
      <formula>ABS(AA6)=1</formula>
    </cfRule>
  </conditionalFormatting>
  <conditionalFormatting sqref="E43:H43 J43:T43">
    <cfRule type="cellIs" dxfId="192" priority="2" operator="notEqual">
      <formula>0</formula>
    </cfRule>
  </conditionalFormatting>
  <conditionalFormatting sqref="I43">
    <cfRule type="cellIs" dxfId="191"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6"/>
  <sheetViews>
    <sheetView zoomScale="80" zoomScaleNormal="80" zoomScaleSheetLayoutView="40" workbookViewId="0">
      <pane xSplit="5"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2" width="5.375" style="620" customWidth="1"/>
    <col min="23" max="23" width="6.875" style="620" bestFit="1" customWidth="1"/>
    <col min="24"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1315</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745">
        <v>3</v>
      </c>
      <c r="V4" s="745">
        <v>5</v>
      </c>
      <c r="W4" s="745">
        <v>8</v>
      </c>
      <c r="X4" s="751">
        <v>8</v>
      </c>
      <c r="Y4" s="745">
        <v>10</v>
      </c>
      <c r="Z4" s="745">
        <v>3</v>
      </c>
      <c r="AA4" s="745">
        <v>5</v>
      </c>
      <c r="AB4" s="745">
        <v>8</v>
      </c>
      <c r="AC4" s="751">
        <v>8</v>
      </c>
      <c r="AD4" s="745">
        <v>10</v>
      </c>
      <c r="AE4" s="745">
        <v>3</v>
      </c>
      <c r="AF4" s="745">
        <v>5</v>
      </c>
      <c r="AG4" s="745">
        <v>8</v>
      </c>
      <c r="AH4" s="751">
        <v>8</v>
      </c>
      <c r="AI4" s="745">
        <v>10</v>
      </c>
    </row>
    <row r="5" spans="1:35" x14ac:dyDescent="0.15">
      <c r="A5" s="685">
        <v>3</v>
      </c>
      <c r="B5" s="684" t="s">
        <v>1313</v>
      </c>
      <c r="C5" s="683"/>
      <c r="D5" s="682" t="s">
        <v>1079</v>
      </c>
      <c r="E5" s="705">
        <f>+IF($A5="",IF($C5="",SUMIFS(全伝票!I:I,全伝票!$B:$B,$B5),SUMIFS(全伝票!I:I,全伝票!$C:$C,$C5)),IF($C5="",SUMIFS(全伝票!I:I,全伝票!$A:$A,$A5,全伝票!$B:$B,$B5),SUMIFS(全伝票!I:I,全伝票!$A:$A,$A5,全伝票!$C:$C,$C5)))</f>
        <v>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0</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0</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3</v>
      </c>
      <c r="B6" s="669" t="s">
        <v>1312</v>
      </c>
      <c r="C6" s="668"/>
      <c r="D6" s="667" t="s">
        <v>1077</v>
      </c>
      <c r="E6" s="700">
        <f>+IF($A6="",IF($C6="",SUMIFS(全伝票!I:I,全伝票!$B:$B,$B6),SUMIFS(全伝票!I:I,全伝票!$C:$C,$C6)),IF($C6="",SUMIFS(全伝票!I:I,全伝票!$A:$A,$A6,全伝票!$B:$B,$B6),SUMIFS(全伝票!I:I,全伝票!$A:$A,$A6,全伝票!$C:$C,$C6)))</f>
        <v>3978000</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3978000</v>
      </c>
      <c r="N6" s="662">
        <f t="shared" si="1"/>
        <v>0</v>
      </c>
      <c r="O6" s="661">
        <f t="shared" si="2"/>
        <v>0</v>
      </c>
      <c r="P6" s="661">
        <f t="shared" si="3"/>
        <v>0</v>
      </c>
      <c r="Q6" s="661">
        <f t="shared" si="3"/>
        <v>0</v>
      </c>
      <c r="R6" s="665">
        <f t="shared" si="4"/>
        <v>0</v>
      </c>
      <c r="S6" s="664">
        <f t="shared" si="5"/>
        <v>0</v>
      </c>
      <c r="T6" s="663">
        <f t="shared" si="6"/>
        <v>3978000</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3</v>
      </c>
      <c r="B7" s="669" t="s">
        <v>1311</v>
      </c>
      <c r="C7" s="668"/>
      <c r="D7" s="667" t="s">
        <v>1075</v>
      </c>
      <c r="E7" s="700">
        <f>+IF($A7="",IF($C7="",SUMIFS(全伝票!I:I,全伝票!$B:$B,$B7),SUMIFS(全伝票!I:I,全伝票!$C:$C,$C7)),IF($C7="",SUMIFS(全伝票!I:I,全伝票!$A:$A,$A7,全伝票!$B:$B,$B7),SUMIFS(全伝票!I:I,全伝票!$A:$A,$A7,全伝票!$C:$C,$C7)))</f>
        <v>2994384</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242040</v>
      </c>
      <c r="K7" s="664">
        <f t="shared" si="0"/>
        <v>242040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2752344</v>
      </c>
      <c r="N7" s="662">
        <f t="shared" si="1"/>
        <v>0</v>
      </c>
      <c r="O7" s="661">
        <f t="shared" si="2"/>
        <v>0</v>
      </c>
      <c r="P7" s="661">
        <f t="shared" si="3"/>
        <v>0</v>
      </c>
      <c r="Q7" s="661">
        <f t="shared" si="3"/>
        <v>0</v>
      </c>
      <c r="R7" s="665">
        <f t="shared" si="4"/>
        <v>22004</v>
      </c>
      <c r="S7" s="664">
        <f t="shared" si="5"/>
        <v>22004</v>
      </c>
      <c r="T7" s="663">
        <f t="shared" si="6"/>
        <v>2972380</v>
      </c>
      <c r="U7" s="650">
        <f t="shared" si="7"/>
        <v>0</v>
      </c>
      <c r="V7" s="650">
        <f t="shared" si="8"/>
        <v>0</v>
      </c>
      <c r="W7" s="650">
        <f t="shared" si="9"/>
        <v>0</v>
      </c>
      <c r="X7" s="650">
        <f t="shared" si="9"/>
        <v>0</v>
      </c>
      <c r="Y7" s="650">
        <f t="shared" si="10"/>
        <v>0.36363636363603291</v>
      </c>
      <c r="Z7" s="649">
        <f t="shared" si="11"/>
        <v>0</v>
      </c>
      <c r="AA7" s="649">
        <f t="shared" si="12"/>
        <v>0</v>
      </c>
      <c r="AB7" s="649">
        <f t="shared" si="13"/>
        <v>0</v>
      </c>
      <c r="AC7" s="649">
        <f t="shared" si="13"/>
        <v>0</v>
      </c>
      <c r="AD7" s="649">
        <f t="shared" si="14"/>
        <v>0</v>
      </c>
      <c r="AE7" s="648"/>
      <c r="AF7" s="648"/>
      <c r="AG7" s="648"/>
      <c r="AH7" s="648"/>
      <c r="AI7" s="648"/>
    </row>
    <row r="8" spans="1:35" x14ac:dyDescent="0.15">
      <c r="A8" s="670">
        <v>3</v>
      </c>
      <c r="B8" s="669" t="s">
        <v>1310</v>
      </c>
      <c r="C8" s="668"/>
      <c r="D8" s="667" t="s">
        <v>1073</v>
      </c>
      <c r="E8" s="700">
        <f>+IF($A8="",IF($C8="",SUMIFS(全伝票!I:I,全伝票!$B:$B,$B8),SUMIFS(全伝票!I:I,全伝票!$C:$C,$C8)),IF($C8="",SUMIFS(全伝票!I:I,全伝票!$A:$A,$A8,全伝票!$B:$B,$B8),SUMIFS(全伝票!I:I,全伝票!$A:$A,$A8,全伝票!$C:$C,$C8)))</f>
        <v>1441863</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1435899</v>
      </c>
      <c r="M8" s="700">
        <f>+IF($A8="",IF($C8="",SUMIFS(全伝票!P:P,全伝票!$B:$B,$B8),SUMIFS(全伝票!P:P,全伝票!$C:$C,$C8)),IF($C8="",SUMIFS(全伝票!P:P,全伝票!$A:$A,$A8,全伝票!$B:$B,$B8),SUMIFS(全伝票!P:P,全伝票!$A:$A,$A8,全伝票!$C:$C,$C8)))</f>
        <v>5964</v>
      </c>
      <c r="N8" s="662">
        <f t="shared" si="1"/>
        <v>0</v>
      </c>
      <c r="O8" s="661">
        <f t="shared" si="2"/>
        <v>0</v>
      </c>
      <c r="P8" s="661">
        <f t="shared" si="3"/>
        <v>0</v>
      </c>
      <c r="Q8" s="661">
        <f t="shared" si="3"/>
        <v>0</v>
      </c>
      <c r="R8" s="665">
        <f t="shared" si="4"/>
        <v>0</v>
      </c>
      <c r="S8" s="664">
        <f t="shared" si="5"/>
        <v>0</v>
      </c>
      <c r="T8" s="663">
        <f t="shared" si="6"/>
        <v>1441863</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3</v>
      </c>
      <c r="B9" s="669" t="s">
        <v>1309</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3</v>
      </c>
      <c r="B10" s="669" t="s">
        <v>1308</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3</v>
      </c>
      <c r="B11" s="669" t="s">
        <v>1307</v>
      </c>
      <c r="C11" s="668"/>
      <c r="D11" s="667" t="s">
        <v>1067</v>
      </c>
      <c r="E11" s="700">
        <f>+IF($A11="",IF($C11="",SUMIFS(全伝票!I:I,全伝票!$B:$B,$B11),SUMIFS(全伝票!I:I,全伝票!$C:$C,$C11)),IF($C11="",SUMIFS(全伝票!I:I,全伝票!$A:$A,$A11,全伝票!$B:$B,$B11),SUMIFS(全伝票!I:I,全伝票!$A:$A,$A11,全伝票!$C:$C,$C11)))</f>
        <v>798400</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798400</v>
      </c>
      <c r="N11" s="662">
        <f t="shared" si="1"/>
        <v>0</v>
      </c>
      <c r="O11" s="661">
        <f t="shared" si="2"/>
        <v>0</v>
      </c>
      <c r="P11" s="661">
        <f t="shared" si="3"/>
        <v>0</v>
      </c>
      <c r="Q11" s="661">
        <f t="shared" si="3"/>
        <v>0</v>
      </c>
      <c r="R11" s="665">
        <f t="shared" si="4"/>
        <v>0</v>
      </c>
      <c r="S11" s="664">
        <f t="shared" si="5"/>
        <v>0</v>
      </c>
      <c r="T11" s="663">
        <f t="shared" si="6"/>
        <v>798400</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3</v>
      </c>
      <c r="B12" s="669" t="s">
        <v>1305</v>
      </c>
      <c r="C12" s="668" t="s">
        <v>1306</v>
      </c>
      <c r="D12" s="667" t="s">
        <v>1065</v>
      </c>
      <c r="E12" s="700">
        <f>+IF($A12="",IF($C12="",SUMIFS(全伝票!I:I,全伝票!$B:$B,$B12),SUMIFS(全伝票!I:I,全伝票!$C:$C,$C12)),IF($C12="",SUMIFS(全伝票!I:I,全伝票!$A:$A,$A12,全伝票!$B:$B,$B12),SUMIFS(全伝票!I:I,全伝票!$A:$A,$A12,全伝票!$C:$C,$C12)))</f>
        <v>0</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0</v>
      </c>
      <c r="K12" s="664">
        <f t="shared" si="0"/>
        <v>0</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 t="shared" si="4"/>
        <v>0</v>
      </c>
      <c r="S12" s="664">
        <f t="shared" si="5"/>
        <v>0</v>
      </c>
      <c r="T12" s="663">
        <f t="shared" si="6"/>
        <v>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3</v>
      </c>
      <c r="B13" s="669" t="s">
        <v>1305</v>
      </c>
      <c r="C13" s="668" t="s">
        <v>1304</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3</v>
      </c>
      <c r="B14" s="669" t="s">
        <v>1303</v>
      </c>
      <c r="C14" s="668"/>
      <c r="D14" s="667" t="s">
        <v>1060</v>
      </c>
      <c r="E14" s="700">
        <f>+IF($A14="",IF($C14="",SUMIFS(全伝票!I:I,全伝票!$B:$B,$B14),SUMIFS(全伝票!I:I,全伝票!$C:$C,$C14)),IF($C14="",SUMIFS(全伝票!I:I,全伝票!$A:$A,$A14,全伝票!$B:$B,$B14),SUMIFS(全伝票!I:I,全伝票!$A:$A,$A14,全伝票!$C:$C,$C14)))</f>
        <v>276770</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276770</v>
      </c>
      <c r="K14" s="664">
        <f t="shared" si="0"/>
        <v>276770</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 t="shared" si="3"/>
        <v>0</v>
      </c>
      <c r="R14" s="665">
        <f t="shared" si="4"/>
        <v>25161</v>
      </c>
      <c r="S14" s="664">
        <f t="shared" si="5"/>
        <v>25161</v>
      </c>
      <c r="T14" s="663">
        <f t="shared" si="6"/>
        <v>251609</v>
      </c>
      <c r="U14" s="650">
        <f t="shared" si="7"/>
        <v>0</v>
      </c>
      <c r="V14" s="650">
        <f t="shared" si="8"/>
        <v>0</v>
      </c>
      <c r="W14" s="650">
        <f t="shared" si="9"/>
        <v>0</v>
      </c>
      <c r="X14" s="650">
        <f t="shared" si="9"/>
        <v>0</v>
      </c>
      <c r="Y14" s="650">
        <f t="shared" si="10"/>
        <v>9.0909090908098733E-2</v>
      </c>
      <c r="Z14" s="649">
        <f t="shared" si="11"/>
        <v>0</v>
      </c>
      <c r="AA14" s="649">
        <f t="shared" si="12"/>
        <v>0</v>
      </c>
      <c r="AB14" s="649">
        <f t="shared" si="13"/>
        <v>0</v>
      </c>
      <c r="AC14" s="649">
        <f t="shared" si="13"/>
        <v>0</v>
      </c>
      <c r="AD14" s="649">
        <f t="shared" si="14"/>
        <v>0</v>
      </c>
      <c r="AE14" s="648"/>
      <c r="AF14" s="648"/>
      <c r="AG14" s="648"/>
      <c r="AH14" s="648"/>
      <c r="AI14" s="648"/>
    </row>
    <row r="15" spans="1:35" x14ac:dyDescent="0.15">
      <c r="A15" s="670">
        <v>3</v>
      </c>
      <c r="B15" s="669" t="s">
        <v>1302</v>
      </c>
      <c r="C15" s="668"/>
      <c r="D15" s="667" t="s">
        <v>1058</v>
      </c>
      <c r="E15" s="700">
        <f>+IF($A15="",IF($C15="",SUMIFS(全伝票!I:I,全伝票!$B:$B,$B15),SUMIFS(全伝票!I:I,全伝票!$C:$C,$C15)),IF($C15="",SUMIFS(全伝票!I:I,全伝票!$A:$A,$A15,全伝票!$B:$B,$B15),SUMIFS(全伝票!I:I,全伝票!$A:$A,$A15,全伝票!$C:$C,$C15)))</f>
        <v>134790</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134790</v>
      </c>
      <c r="K15" s="664">
        <f t="shared" si="0"/>
        <v>134790</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12254</v>
      </c>
      <c r="S15" s="664">
        <f t="shared" si="5"/>
        <v>12254</v>
      </c>
      <c r="T15" s="663">
        <f t="shared" si="6"/>
        <v>122536</v>
      </c>
      <c r="U15" s="650">
        <f t="shared" si="7"/>
        <v>0</v>
      </c>
      <c r="V15" s="650">
        <f t="shared" si="8"/>
        <v>0</v>
      </c>
      <c r="W15" s="650">
        <f t="shared" si="9"/>
        <v>0</v>
      </c>
      <c r="X15" s="650">
        <f t="shared" si="9"/>
        <v>0</v>
      </c>
      <c r="Y15" s="650">
        <f t="shared" si="10"/>
        <v>0.36363636363603291</v>
      </c>
      <c r="Z15" s="649">
        <f t="shared" si="11"/>
        <v>0</v>
      </c>
      <c r="AA15" s="649">
        <f t="shared" si="12"/>
        <v>0</v>
      </c>
      <c r="AB15" s="649">
        <f t="shared" si="13"/>
        <v>0</v>
      </c>
      <c r="AC15" s="649">
        <f t="shared" si="13"/>
        <v>0</v>
      </c>
      <c r="AD15" s="649">
        <f t="shared" si="14"/>
        <v>0</v>
      </c>
      <c r="AE15" s="648"/>
      <c r="AF15" s="648"/>
      <c r="AG15" s="648"/>
      <c r="AH15" s="648"/>
      <c r="AI15" s="648"/>
    </row>
    <row r="16" spans="1:35" x14ac:dyDescent="0.15">
      <c r="A16" s="670">
        <v>3</v>
      </c>
      <c r="B16" s="669" t="s">
        <v>1301</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3</v>
      </c>
      <c r="B17" s="669" t="s">
        <v>1300</v>
      </c>
      <c r="C17" s="668"/>
      <c r="D17" s="667" t="s">
        <v>1054</v>
      </c>
      <c r="E17" s="700">
        <f>+IF($A17="",IF($C17="",SUMIFS(全伝票!I:I,全伝票!$B:$B,$B17),SUMIFS(全伝票!I:I,全伝票!$C:$C,$C17)),IF($C17="",SUMIFS(全伝票!I:I,全伝票!$A:$A,$A17,全伝票!$B:$B,$B17),SUMIFS(全伝票!I:I,全伝票!$A:$A,$A17,全伝票!$C:$C,$C17)))</f>
        <v>33182</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33182</v>
      </c>
      <c r="K17" s="664">
        <f t="shared" si="0"/>
        <v>33182</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3016</v>
      </c>
      <c r="S17" s="664">
        <f t="shared" si="5"/>
        <v>3016</v>
      </c>
      <c r="T17" s="663">
        <f t="shared" si="6"/>
        <v>30166</v>
      </c>
      <c r="U17" s="650">
        <f t="shared" si="7"/>
        <v>0</v>
      </c>
      <c r="V17" s="650">
        <f t="shared" si="8"/>
        <v>0</v>
      </c>
      <c r="W17" s="650">
        <f t="shared" si="9"/>
        <v>0</v>
      </c>
      <c r="X17" s="650">
        <f t="shared" si="9"/>
        <v>0</v>
      </c>
      <c r="Y17" s="650">
        <f t="shared" si="10"/>
        <v>-0.54545454545450411</v>
      </c>
      <c r="Z17" s="649">
        <f t="shared" si="11"/>
        <v>0</v>
      </c>
      <c r="AA17" s="649">
        <f t="shared" si="12"/>
        <v>0</v>
      </c>
      <c r="AB17" s="649">
        <f t="shared" si="13"/>
        <v>0</v>
      </c>
      <c r="AC17" s="649">
        <f t="shared" si="13"/>
        <v>0</v>
      </c>
      <c r="AD17" s="649">
        <f t="shared" si="14"/>
        <v>0</v>
      </c>
      <c r="AE17" s="648"/>
      <c r="AF17" s="648"/>
      <c r="AG17" s="648"/>
      <c r="AH17" s="648"/>
      <c r="AI17" s="648">
        <v>-1</v>
      </c>
    </row>
    <row r="18" spans="1:35" x14ac:dyDescent="0.15">
      <c r="A18" s="670">
        <v>3</v>
      </c>
      <c r="B18" s="669" t="s">
        <v>1299</v>
      </c>
      <c r="C18" s="668"/>
      <c r="D18" s="667" t="s">
        <v>1052</v>
      </c>
      <c r="E18" s="700">
        <f>+IF($A18="",IF($C18="",SUMIFS(全伝票!I:I,全伝票!$B:$B,$B18),SUMIFS(全伝票!I:I,全伝票!$C:$C,$C18)),IF($C18="",SUMIFS(全伝票!I:I,全伝票!$A:$A,$A18,全伝票!$B:$B,$B18),SUMIFS(全伝票!I:I,全伝票!$A:$A,$A18,全伝票!$C:$C,$C18)))</f>
        <v>4061</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461</v>
      </c>
      <c r="K18" s="664">
        <f t="shared" si="0"/>
        <v>461</v>
      </c>
      <c r="L18" s="700">
        <f>+IF($A18="",IF($C18="",SUMIFS(全伝票!O:O,全伝票!$B:$B,$B18),SUMIFS(全伝票!O:O,全伝票!$C:$C,$C18)),IF($C18="",SUMIFS(全伝票!O:O,全伝票!$A:$A,$A18,全伝票!$B:$B,$B18),SUMIFS(全伝票!O:O,全伝票!$A:$A,$A18,全伝票!$C:$C,$C18)))</f>
        <v>3600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42</v>
      </c>
      <c r="S18" s="664">
        <f t="shared" si="5"/>
        <v>42</v>
      </c>
      <c r="T18" s="663">
        <f t="shared" si="6"/>
        <v>4019</v>
      </c>
      <c r="U18" s="650">
        <f t="shared" si="7"/>
        <v>0</v>
      </c>
      <c r="V18" s="650">
        <f t="shared" si="8"/>
        <v>0</v>
      </c>
      <c r="W18" s="650">
        <f t="shared" si="9"/>
        <v>0</v>
      </c>
      <c r="X18" s="650">
        <f t="shared" si="9"/>
        <v>0</v>
      </c>
      <c r="Y18" s="650">
        <f t="shared" si="10"/>
        <v>9.0909090909093493E-2</v>
      </c>
      <c r="Z18" s="649">
        <f t="shared" si="11"/>
        <v>0</v>
      </c>
      <c r="AA18" s="649">
        <f t="shared" si="12"/>
        <v>0</v>
      </c>
      <c r="AB18" s="649">
        <f t="shared" si="13"/>
        <v>0</v>
      </c>
      <c r="AC18" s="649">
        <f t="shared" si="13"/>
        <v>0</v>
      </c>
      <c r="AD18" s="649">
        <f t="shared" si="14"/>
        <v>0</v>
      </c>
      <c r="AE18" s="648"/>
      <c r="AF18" s="648"/>
      <c r="AG18" s="648"/>
      <c r="AH18" s="648"/>
      <c r="AI18" s="648"/>
    </row>
    <row r="19" spans="1:35" x14ac:dyDescent="0.15">
      <c r="A19" s="670">
        <v>3</v>
      </c>
      <c r="B19" s="669" t="s">
        <v>1298</v>
      </c>
      <c r="C19" s="668"/>
      <c r="D19" s="667" t="s">
        <v>1050</v>
      </c>
      <c r="E19" s="700">
        <f>+IF($A19="",IF($C19="",SUMIFS(全伝票!I:I,全伝票!$B:$B,$B19),SUMIFS(全伝票!I:I,全伝票!$C:$C,$C19)),IF($C19="",SUMIFS(全伝票!I:I,全伝票!$A:$A,$A19,全伝票!$B:$B,$B19),SUMIFS(全伝票!I:I,全伝票!$A:$A,$A19,全伝票!$C:$C,$C19)))</f>
        <v>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0</v>
      </c>
      <c r="K19" s="664">
        <f t="shared" si="0"/>
        <v>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1"/>
        <v>0</v>
      </c>
      <c r="O19" s="661">
        <f t="shared" si="2"/>
        <v>0</v>
      </c>
      <c r="P19" s="661">
        <f t="shared" si="3"/>
        <v>0</v>
      </c>
      <c r="Q19" s="661">
        <f t="shared" si="3"/>
        <v>0</v>
      </c>
      <c r="R19" s="665">
        <f t="shared" si="4"/>
        <v>0</v>
      </c>
      <c r="S19" s="664">
        <f t="shared" si="5"/>
        <v>0</v>
      </c>
      <c r="T19" s="663">
        <f t="shared" si="6"/>
        <v>0</v>
      </c>
      <c r="U19" s="650">
        <f t="shared" si="7"/>
        <v>0</v>
      </c>
      <c r="V19" s="650">
        <f t="shared" si="8"/>
        <v>0</v>
      </c>
      <c r="W19" s="650">
        <f t="shared" si="9"/>
        <v>0</v>
      </c>
      <c r="X19" s="650">
        <f t="shared" si="9"/>
        <v>0</v>
      </c>
      <c r="Y19" s="650">
        <f t="shared" si="10"/>
        <v>0</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3</v>
      </c>
      <c r="B20" s="669" t="s">
        <v>1297</v>
      </c>
      <c r="C20" s="668"/>
      <c r="D20" s="667" t="s">
        <v>1048</v>
      </c>
      <c r="E20" s="700">
        <f>+IF($A20="",IF($C20="",SUMIFS(全伝票!I:I,全伝票!$B:$B,$B20),SUMIFS(全伝票!I:I,全伝票!$C:$C,$C20)),IF($C20="",SUMIFS(全伝票!I:I,全伝票!$A:$A,$A20,全伝票!$B:$B,$B20),SUMIFS(全伝票!I:I,全伝票!$A:$A,$A20,全伝票!$C:$C,$C20)))</f>
        <v>7072</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7072</v>
      </c>
      <c r="K20" s="664">
        <f t="shared" si="0"/>
        <v>7072</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 t="shared" si="4"/>
        <v>643</v>
      </c>
      <c r="S20" s="664">
        <f t="shared" si="5"/>
        <v>643</v>
      </c>
      <c r="T20" s="663">
        <f t="shared" si="6"/>
        <v>6429</v>
      </c>
      <c r="U20" s="650">
        <f t="shared" si="7"/>
        <v>0</v>
      </c>
      <c r="V20" s="650">
        <f t="shared" si="8"/>
        <v>0</v>
      </c>
      <c r="W20" s="650">
        <f t="shared" si="9"/>
        <v>0</v>
      </c>
      <c r="X20" s="650">
        <f t="shared" si="9"/>
        <v>0</v>
      </c>
      <c r="Y20" s="650">
        <f t="shared" si="10"/>
        <v>9.0909090909121915E-2</v>
      </c>
      <c r="Z20" s="649">
        <f t="shared" si="11"/>
        <v>0</v>
      </c>
      <c r="AA20" s="649">
        <f t="shared" si="12"/>
        <v>0</v>
      </c>
      <c r="AB20" s="649">
        <f t="shared" si="13"/>
        <v>0</v>
      </c>
      <c r="AC20" s="649">
        <f t="shared" si="13"/>
        <v>0</v>
      </c>
      <c r="AD20" s="649">
        <f t="shared" si="14"/>
        <v>0</v>
      </c>
      <c r="AE20" s="648"/>
      <c r="AF20" s="648"/>
      <c r="AG20" s="648"/>
      <c r="AH20" s="648"/>
      <c r="AI20" s="648"/>
    </row>
    <row r="21" spans="1:35" x14ac:dyDescent="0.15">
      <c r="A21" s="670">
        <v>3</v>
      </c>
      <c r="B21" s="669" t="s">
        <v>1296</v>
      </c>
      <c r="C21" s="668"/>
      <c r="D21" s="667" t="s">
        <v>1046</v>
      </c>
      <c r="E21" s="700">
        <f>+IF($A21="",IF($C21="",SUMIFS(全伝票!I:I,全伝票!$B:$B,$B21),SUMIFS(全伝票!I:I,全伝票!$C:$C,$C21)),IF($C21="",SUMIFS(全伝票!I:I,全伝票!$A:$A,$A21,全伝票!$B:$B,$B21),SUMIFS(全伝票!I:I,全伝票!$A:$A,$A21,全伝票!$C:$C,$C21)))</f>
        <v>131873</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131873</v>
      </c>
      <c r="K21" s="664">
        <f t="shared" si="0"/>
        <v>131873</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11988</v>
      </c>
      <c r="S21" s="664">
        <f t="shared" si="5"/>
        <v>11988</v>
      </c>
      <c r="T21" s="663">
        <f t="shared" si="6"/>
        <v>119885</v>
      </c>
      <c r="U21" s="650">
        <f t="shared" si="7"/>
        <v>0</v>
      </c>
      <c r="V21" s="650">
        <f t="shared" si="8"/>
        <v>0</v>
      </c>
      <c r="W21" s="650">
        <f t="shared" si="9"/>
        <v>0</v>
      </c>
      <c r="X21" s="650">
        <f t="shared" si="9"/>
        <v>0</v>
      </c>
      <c r="Y21" s="650">
        <f t="shared" si="10"/>
        <v>-0.45454545454595063</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3</v>
      </c>
      <c r="B22" s="669" t="s">
        <v>1295</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3</v>
      </c>
      <c r="B23" s="669" t="s">
        <v>1294</v>
      </c>
      <c r="C23" s="668"/>
      <c r="D23" s="667" t="s">
        <v>1042</v>
      </c>
      <c r="E23" s="700">
        <f>+IF($A23="",IF($C23="",SUMIFS(全伝票!I:I,全伝票!$B:$B,$B23),SUMIFS(全伝票!I:I,全伝票!$C:$C,$C23)),IF($C23="",SUMIFS(全伝票!I:I,全伝票!$A:$A,$A23,全伝票!$B:$B,$B23),SUMIFS(全伝票!I:I,全伝票!$A:$A,$A23,全伝票!$C:$C,$C23)))</f>
        <v>0</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0</v>
      </c>
      <c r="K23" s="664">
        <f t="shared" si="0"/>
        <v>0</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0</v>
      </c>
      <c r="S23" s="664">
        <f t="shared" si="5"/>
        <v>0</v>
      </c>
      <c r="T23" s="663">
        <f t="shared" si="6"/>
        <v>0</v>
      </c>
      <c r="U23" s="650">
        <f t="shared" si="7"/>
        <v>0</v>
      </c>
      <c r="V23" s="650">
        <f t="shared" si="8"/>
        <v>0</v>
      </c>
      <c r="W23" s="650">
        <f t="shared" si="9"/>
        <v>0</v>
      </c>
      <c r="X23" s="650">
        <f t="shared" si="9"/>
        <v>0</v>
      </c>
      <c r="Y23" s="650">
        <f t="shared" si="10"/>
        <v>0</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3</v>
      </c>
      <c r="B24" s="669" t="s">
        <v>1293</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3</v>
      </c>
      <c r="B25" s="669" t="s">
        <v>1292</v>
      </c>
      <c r="C25" s="668"/>
      <c r="D25" s="667" t="s">
        <v>1038</v>
      </c>
      <c r="E25" s="700">
        <f>+IF($A25="",IF($C25="",SUMIFS(全伝票!I:I,全伝票!$B:$B,$B25),SUMIFS(全伝票!I:I,全伝票!$C:$C,$C25)),IF($C25="",SUMIFS(全伝票!I:I,全伝票!$A:$A,$A25,全伝票!$B:$B,$B25),SUMIFS(全伝票!I:I,全伝票!$A:$A,$A25,全伝票!$C:$C,$C25)))</f>
        <v>76260</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76260</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76260</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3</v>
      </c>
      <c r="B26" s="669" t="s">
        <v>1291</v>
      </c>
      <c r="C26" s="668"/>
      <c r="D26" s="667" t="s">
        <v>1036</v>
      </c>
      <c r="E26" s="700">
        <f>+IF($A26="",IF($C26="",SUMIFS(全伝票!I:I,全伝票!$B:$B,$B26),SUMIFS(全伝票!I:I,全伝票!$C:$C,$C26)),IF($C26="",SUMIFS(全伝票!I:I,全伝票!$A:$A,$A26,全伝票!$B:$B,$B26),SUMIFS(全伝票!I:I,全伝票!$A:$A,$A26,全伝票!$C:$C,$C26)))</f>
        <v>49407</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49407</v>
      </c>
      <c r="N26" s="662">
        <f t="shared" si="1"/>
        <v>0</v>
      </c>
      <c r="O26" s="661">
        <f t="shared" si="2"/>
        <v>0</v>
      </c>
      <c r="P26" s="661">
        <f t="shared" si="3"/>
        <v>0</v>
      </c>
      <c r="Q26" s="661">
        <f t="shared" si="3"/>
        <v>0</v>
      </c>
      <c r="R26" s="665">
        <f t="shared" si="4"/>
        <v>0</v>
      </c>
      <c r="S26" s="664">
        <f t="shared" si="5"/>
        <v>0</v>
      </c>
      <c r="T26" s="663">
        <f t="shared" si="6"/>
        <v>49407</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3</v>
      </c>
      <c r="B27" s="669" t="s">
        <v>1305</v>
      </c>
      <c r="C27" s="668">
        <v>615531003</v>
      </c>
      <c r="D27" s="667" t="s">
        <v>1349</v>
      </c>
      <c r="E27" s="700">
        <f>+IF($A27="",IF($C27="",SUMIFS(全伝票!I:I,全伝票!$B:$B,$B27),SUMIFS(全伝票!I:I,全伝票!$C:$C,$C27)),IF($C27="",SUMIFS(全伝票!I:I,全伝票!$A:$A,$A27,全伝票!$B:$B,$B27),SUMIFS(全伝票!I:I,全伝票!$A:$A,$A27,全伝票!$C:$C,$C27)))</f>
        <v>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0</v>
      </c>
      <c r="K27" s="664">
        <f t="shared" si="0"/>
        <v>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0</v>
      </c>
      <c r="S27" s="664">
        <f t="shared" si="5"/>
        <v>0</v>
      </c>
      <c r="T27" s="663">
        <f t="shared" si="6"/>
        <v>0</v>
      </c>
      <c r="U27" s="650">
        <f t="shared" si="7"/>
        <v>0</v>
      </c>
      <c r="V27" s="650">
        <f t="shared" si="8"/>
        <v>0</v>
      </c>
      <c r="W27" s="650">
        <f t="shared" si="9"/>
        <v>0</v>
      </c>
      <c r="X27" s="650">
        <f t="shared" si="9"/>
        <v>0</v>
      </c>
      <c r="Y27" s="650">
        <f t="shared" si="10"/>
        <v>0</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3</v>
      </c>
      <c r="B28" s="669" t="s">
        <v>1290</v>
      </c>
      <c r="C28" s="668"/>
      <c r="D28" s="667" t="s">
        <v>1034</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1"/>
        <v>0</v>
      </c>
      <c r="O28" s="661">
        <f t="shared" si="2"/>
        <v>0</v>
      </c>
      <c r="P28" s="661">
        <f t="shared" si="3"/>
        <v>0</v>
      </c>
      <c r="Q28" s="661">
        <f t="shared" si="3"/>
        <v>0</v>
      </c>
      <c r="R28" s="665">
        <f t="shared" si="4"/>
        <v>0</v>
      </c>
      <c r="S28" s="664">
        <f t="shared" si="5"/>
        <v>0</v>
      </c>
      <c r="T28" s="663">
        <f t="shared" si="6"/>
        <v>0</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3</v>
      </c>
      <c r="B29" s="669" t="s">
        <v>1289</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3</v>
      </c>
      <c r="B30" s="669" t="s">
        <v>1288</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0</v>
      </c>
      <c r="S30" s="664">
        <f t="shared" si="5"/>
        <v>0</v>
      </c>
      <c r="T30" s="663">
        <f t="shared" si="6"/>
        <v>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3</v>
      </c>
      <c r="B31" s="669" t="s">
        <v>1287</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1286</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3</v>
      </c>
      <c r="B33" s="669" t="s">
        <v>1285</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3</v>
      </c>
      <c r="B34" s="669" t="s">
        <v>1284</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3</v>
      </c>
      <c r="B35" s="669" t="s">
        <v>1278</v>
      </c>
      <c r="C35" s="668" t="s">
        <v>1283</v>
      </c>
      <c r="D35" s="667" t="s">
        <v>1020</v>
      </c>
      <c r="E35" s="700">
        <f>+IF($A35="",IF($C35="",SUMIFS(全伝票!I:I,全伝票!$B:$B,$B35),SUMIFS(全伝票!I:I,全伝票!$C:$C,$C35)),IF($C35="",SUMIFS(全伝票!I:I,全伝票!$A:$A,$A35,全伝票!$B:$B,$B35),SUMIFS(全伝票!I:I,全伝票!$A:$A,$A35,全伝票!$C:$C,$C35)))</f>
        <v>122037821</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122037821</v>
      </c>
      <c r="K35" s="664">
        <f t="shared" si="0"/>
        <v>122037821</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 t="shared" si="3"/>
        <v>0</v>
      </c>
      <c r="Q35" s="661">
        <f t="shared" si="3"/>
        <v>0</v>
      </c>
      <c r="R35" s="665">
        <f t="shared" si="4"/>
        <v>11094347</v>
      </c>
      <c r="S35" s="664">
        <f t="shared" si="5"/>
        <v>11094347</v>
      </c>
      <c r="T35" s="663">
        <f t="shared" si="6"/>
        <v>110943474</v>
      </c>
      <c r="U35" s="650">
        <f t="shared" si="7"/>
        <v>0</v>
      </c>
      <c r="V35" s="650">
        <f t="shared" si="8"/>
        <v>0</v>
      </c>
      <c r="W35" s="650">
        <f t="shared" si="9"/>
        <v>0</v>
      </c>
      <c r="X35" s="650">
        <f t="shared" si="9"/>
        <v>0</v>
      </c>
      <c r="Y35" s="650">
        <f t="shared" si="10"/>
        <v>-0.36363636329770088</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3</v>
      </c>
      <c r="B36" s="669" t="s">
        <v>1278</v>
      </c>
      <c r="C36" s="668" t="s">
        <v>1282</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1"/>
        <v>0</v>
      </c>
      <c r="O36" s="661">
        <f t="shared" si="2"/>
        <v>0</v>
      </c>
      <c r="P36" s="661">
        <f t="shared" si="3"/>
        <v>0</v>
      </c>
      <c r="Q36" s="661">
        <f t="shared" si="3"/>
        <v>0</v>
      </c>
      <c r="R36" s="665">
        <f t="shared" si="4"/>
        <v>0</v>
      </c>
      <c r="S36" s="664">
        <f t="shared" si="5"/>
        <v>0</v>
      </c>
      <c r="T36" s="663">
        <f t="shared" si="6"/>
        <v>0</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3</v>
      </c>
      <c r="B37" s="669" t="s">
        <v>1278</v>
      </c>
      <c r="C37" s="668" t="s">
        <v>1281</v>
      </c>
      <c r="D37" s="667" t="s">
        <v>1016</v>
      </c>
      <c r="E37" s="700">
        <f>+IF($A37="",IF($C37="",SUMIFS(全伝票!I:I,全伝票!$B:$B,$B37),SUMIFS(全伝票!I:I,全伝票!$C:$C,$C37)),IF($C37="",SUMIFS(全伝票!I:I,全伝票!$A:$A,$A37,全伝票!$B:$B,$B37),SUMIFS(全伝票!I:I,全伝票!$A:$A,$A37,全伝票!$C:$C,$C37)))</f>
        <v>10447900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10447900</v>
      </c>
      <c r="K37" s="664">
        <f t="shared" si="0"/>
        <v>10447900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949809</v>
      </c>
      <c r="S37" s="664">
        <f t="shared" si="5"/>
        <v>949809</v>
      </c>
      <c r="T37" s="663">
        <f t="shared" si="6"/>
        <v>9498091</v>
      </c>
      <c r="U37" s="650">
        <f t="shared" si="7"/>
        <v>0</v>
      </c>
      <c r="V37" s="650">
        <f t="shared" si="8"/>
        <v>0</v>
      </c>
      <c r="W37" s="650">
        <f t="shared" si="9"/>
        <v>0</v>
      </c>
      <c r="X37" s="650">
        <f t="shared" si="9"/>
        <v>0</v>
      </c>
      <c r="Y37" s="650">
        <f t="shared" si="10"/>
        <v>-9.0909090940840542E-2</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3</v>
      </c>
      <c r="B38" s="669" t="s">
        <v>1278</v>
      </c>
      <c r="C38" s="668" t="s">
        <v>1280</v>
      </c>
      <c r="D38" s="667" t="s">
        <v>1014</v>
      </c>
      <c r="E38" s="700">
        <f>+IF($A38="",IF($C38="",SUMIFS(全伝票!I:I,全伝票!$B:$B,$B38),SUMIFS(全伝票!I:I,全伝票!$C:$C,$C38)),IF($C38="",SUMIFS(全伝票!I:I,全伝票!$A:$A,$A38,全伝票!$B:$B,$B38),SUMIFS(全伝票!I:I,全伝票!$A:$A,$A38,全伝票!$C:$C,$C38)))</f>
        <v>3268100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3268100</v>
      </c>
      <c r="K38" s="664">
        <f t="shared" si="0"/>
        <v>3268100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297100</v>
      </c>
      <c r="S38" s="664">
        <f t="shared" si="5"/>
        <v>297100</v>
      </c>
      <c r="T38" s="663">
        <f t="shared" si="6"/>
        <v>2971000</v>
      </c>
      <c r="U38" s="650">
        <f t="shared" si="7"/>
        <v>0</v>
      </c>
      <c r="V38" s="650">
        <f t="shared" si="8"/>
        <v>0</v>
      </c>
      <c r="W38" s="650">
        <f t="shared" si="9"/>
        <v>0</v>
      </c>
      <c r="X38" s="650">
        <f t="shared" si="9"/>
        <v>0</v>
      </c>
      <c r="Y38" s="650">
        <f t="shared" si="10"/>
        <v>0</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3</v>
      </c>
      <c r="B39" s="669" t="s">
        <v>1278</v>
      </c>
      <c r="C39" s="668" t="s">
        <v>1279</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1"/>
        <v>0</v>
      </c>
      <c r="O39" s="661">
        <f t="shared" si="2"/>
        <v>0</v>
      </c>
      <c r="P39" s="661">
        <f t="shared" si="3"/>
        <v>0</v>
      </c>
      <c r="Q39" s="661">
        <f t="shared" si="3"/>
        <v>0</v>
      </c>
      <c r="R39" s="665">
        <f t="shared" si="4"/>
        <v>0</v>
      </c>
      <c r="S39" s="664">
        <f t="shared" si="5"/>
        <v>0</v>
      </c>
      <c r="T39" s="663">
        <f t="shared" si="6"/>
        <v>0</v>
      </c>
      <c r="U39" s="650">
        <f t="shared" si="7"/>
        <v>0</v>
      </c>
      <c r="V39" s="650">
        <f t="shared" si="8"/>
        <v>0</v>
      </c>
      <c r="W39" s="650">
        <f t="shared" si="9"/>
        <v>0</v>
      </c>
      <c r="X39" s="650">
        <f t="shared" si="9"/>
        <v>0</v>
      </c>
      <c r="Y39" s="650">
        <f t="shared" si="10"/>
        <v>0</v>
      </c>
      <c r="Z39" s="649">
        <f t="shared" si="11"/>
        <v>0</v>
      </c>
      <c r="AA39" s="649">
        <f t="shared" si="12"/>
        <v>0</v>
      </c>
      <c r="AB39" s="649">
        <f t="shared" si="13"/>
        <v>0</v>
      </c>
      <c r="AC39" s="649">
        <f t="shared" si="13"/>
        <v>0</v>
      </c>
      <c r="AD39" s="649">
        <f t="shared" si="14"/>
        <v>0</v>
      </c>
      <c r="AE39" s="648"/>
      <c r="AF39" s="648"/>
      <c r="AG39" s="648"/>
      <c r="AH39" s="648"/>
      <c r="AI39" s="648"/>
    </row>
    <row r="40" spans="1:35" ht="14.25" thickBot="1" x14ac:dyDescent="0.2">
      <c r="A40" s="660">
        <v>3</v>
      </c>
      <c r="B40" s="659" t="s">
        <v>1278</v>
      </c>
      <c r="C40" s="658" t="s">
        <v>1277</v>
      </c>
      <c r="D40" s="657" t="s">
        <v>1009</v>
      </c>
      <c r="E40" s="696">
        <f>+IF($A40="",IF($C40="",SUMIFS(全伝票!I:I,全伝票!$B:$B,$B40),SUMIFS(全伝票!I:I,全伝票!$C:$C,$C40)),IF($C40="",SUMIFS(全伝票!I:I,全伝票!$A:$A,$A40,全伝票!$B:$B,$B40),SUMIFS(全伝票!I:I,全伝票!$A:$A,$A40,全伝票!$C:$C,$C40)))</f>
        <v>426920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426920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426920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146106803</v>
      </c>
      <c r="F41" s="643">
        <f t="shared" si="15"/>
        <v>0</v>
      </c>
      <c r="G41" s="642">
        <f t="shared" si="15"/>
        <v>0</v>
      </c>
      <c r="H41" s="642">
        <f t="shared" si="15"/>
        <v>0</v>
      </c>
      <c r="I41" s="642">
        <f t="shared" ref="I41" si="16">SUM(I5:I40)</f>
        <v>0</v>
      </c>
      <c r="J41" s="641">
        <f t="shared" si="15"/>
        <v>136580009</v>
      </c>
      <c r="K41" s="634">
        <f t="shared" si="15"/>
        <v>136580009</v>
      </c>
      <c r="L41" s="639">
        <f t="shared" si="15"/>
        <v>1942679</v>
      </c>
      <c r="M41" s="639">
        <f t="shared" si="15"/>
        <v>7584115</v>
      </c>
      <c r="N41" s="636">
        <f t="shared" si="15"/>
        <v>0</v>
      </c>
      <c r="O41" s="635">
        <f t="shared" si="15"/>
        <v>0</v>
      </c>
      <c r="P41" s="635">
        <f t="shared" si="15"/>
        <v>0</v>
      </c>
      <c r="Q41" s="635">
        <f t="shared" ref="Q41" si="17">SUM(Q5:Q40)</f>
        <v>0</v>
      </c>
      <c r="R41" s="638">
        <f t="shared" si="15"/>
        <v>12416364</v>
      </c>
      <c r="S41" s="634">
        <f t="shared" si="15"/>
        <v>12416364</v>
      </c>
      <c r="T41" s="637">
        <f t="shared" si="15"/>
        <v>133690439</v>
      </c>
    </row>
    <row r="42" spans="1:35" x14ac:dyDescent="0.15">
      <c r="A42" s="633"/>
      <c r="B42" s="632"/>
      <c r="C42" s="631"/>
      <c r="D42" s="630" t="s">
        <v>978</v>
      </c>
      <c r="E42" s="624">
        <f t="shared" ref="E42:J42" si="18">+E41</f>
        <v>146106803</v>
      </c>
      <c r="F42" s="629">
        <f t="shared" si="18"/>
        <v>0</v>
      </c>
      <c r="G42" s="628">
        <f t="shared" si="18"/>
        <v>0</v>
      </c>
      <c r="H42" s="628">
        <f t="shared" si="18"/>
        <v>0</v>
      </c>
      <c r="I42" s="628">
        <f t="shared" si="18"/>
        <v>0</v>
      </c>
      <c r="J42" s="627">
        <f t="shared" si="18"/>
        <v>136580009</v>
      </c>
      <c r="K42" s="623">
        <f>SUM(F42:J42)</f>
        <v>136580009</v>
      </c>
      <c r="L42" s="624">
        <f>+L41</f>
        <v>1942679</v>
      </c>
      <c r="M42" s="624">
        <f>+M41</f>
        <v>7584115</v>
      </c>
      <c r="N42" s="740">
        <f>+'4条支出'!N18</f>
        <v>0</v>
      </c>
      <c r="O42" s="741">
        <f>+'4条支出'!O18</f>
        <v>0</v>
      </c>
      <c r="P42" s="741">
        <f>+'4条支出'!P18</f>
        <v>0</v>
      </c>
      <c r="Q42" s="741">
        <f>+'4条支出'!Q18</f>
        <v>0</v>
      </c>
      <c r="R42" s="742">
        <f>+'4条支出'!R18</f>
        <v>12416364</v>
      </c>
      <c r="S42" s="743">
        <f>+'4条支出'!S18</f>
        <v>12416364</v>
      </c>
      <c r="T42" s="744">
        <f>+'4条支出'!T18</f>
        <v>133690439</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753"/>
      <c r="I45" s="753"/>
      <c r="J45" s="753"/>
    </row>
    <row r="46" spans="1:35" x14ac:dyDescent="0.15">
      <c r="G46" s="752"/>
      <c r="H46" s="753"/>
      <c r="I46" s="753"/>
      <c r="J46" s="753"/>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190" priority="4">
      <formula>ABS(Z5)=1</formula>
    </cfRule>
  </conditionalFormatting>
  <conditionalFormatting sqref="AD5:AD40">
    <cfRule type="expression" dxfId="189" priority="3">
      <formula>ABS(AD5)=1</formula>
    </cfRule>
  </conditionalFormatting>
  <conditionalFormatting sqref="Z6:AC40">
    <cfRule type="expression" dxfId="188" priority="6">
      <formula>ABS(Z6)=1</formula>
    </cfRule>
  </conditionalFormatting>
  <conditionalFormatting sqref="AE6:AE14 AE16:AE40">
    <cfRule type="notContainsBlanks" dxfId="187" priority="9" stopIfTrue="1">
      <formula>LEN(TRIM(AE6))&gt;0</formula>
    </cfRule>
  </conditionalFormatting>
  <conditionalFormatting sqref="AE6:AI40">
    <cfRule type="notContainsBlanks" dxfId="186" priority="8" stopIfTrue="1">
      <formula>LEN(TRIM(AE6))&gt;0</formula>
    </cfRule>
  </conditionalFormatting>
  <conditionalFormatting sqref="AE5:AI5">
    <cfRule type="notContainsBlanks" dxfId="185" priority="7" stopIfTrue="1">
      <formula>LEN(TRIM(AE5))&gt;0</formula>
    </cfRule>
  </conditionalFormatting>
  <conditionalFormatting sqref="AA6:AC40">
    <cfRule type="expression" dxfId="184" priority="5">
      <formula>ABS(AA6)=1</formula>
    </cfRule>
  </conditionalFormatting>
  <conditionalFormatting sqref="E43:H43 J43:T43">
    <cfRule type="cellIs" dxfId="183" priority="2" operator="notEqual">
      <formula>0</formula>
    </cfRule>
  </conditionalFormatting>
  <conditionalFormatting sqref="I43">
    <cfRule type="cellIs" dxfId="182" priority="1" operator="notEqual">
      <formula>0</formula>
    </cfRule>
  </conditionalFormatting>
  <pageMargins left="0.39370078740157483" right="0.39370078740157483" top="0.78740157480314965" bottom="0.39370078740157483" header="0.39370078740157483" footer="0.19685039370078741"/>
  <pageSetup paperSize="9" scale="71" fitToHeight="2" orientation="landscape" blackAndWhite="1" r:id="rId1"/>
  <headerFooter>
    <oddFooter>&amp;L&amp;8&amp;Z&amp;F&amp;A&amp;R&amp;8&amp;D&amp;T</oddFooter>
  </headerFooter>
</worksheet>
</file>

<file path=xl/worksheets/w3_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6"/>
  <sheetViews>
    <sheetView zoomScale="80" zoomScaleNormal="80" zoomScaleSheetLayoutView="40" workbookViewId="0">
      <pane xSplit="5"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24" width="5.375" style="620" customWidth="1"/>
    <col min="25" max="25" width="6.875" style="620" bestFit="1" customWidth="1"/>
    <col min="26" max="35" width="5.375" style="620" customWidth="1"/>
    <col min="36" max="16384" width="9" style="620"/>
  </cols>
  <sheetData>
    <row r="1" spans="1:35" x14ac:dyDescent="0.15">
      <c r="D1" s="620" t="str">
        <f>+'4条支出'!D1</f>
        <v>令和５年度決算　消費税算出資料</v>
      </c>
    </row>
    <row r="2" spans="1:35" x14ac:dyDescent="0.15">
      <c r="D2" s="620" t="s">
        <v>1316</v>
      </c>
      <c r="V2" s="686"/>
      <c r="W2" s="686"/>
      <c r="X2" s="686"/>
      <c r="Y2" s="686"/>
      <c r="Z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745">
        <v>3</v>
      </c>
      <c r="V4" s="745">
        <v>5</v>
      </c>
      <c r="W4" s="745">
        <v>8</v>
      </c>
      <c r="X4" s="751">
        <v>8</v>
      </c>
      <c r="Y4" s="745">
        <v>10</v>
      </c>
      <c r="Z4" s="745">
        <v>3</v>
      </c>
      <c r="AA4" s="745">
        <v>5</v>
      </c>
      <c r="AB4" s="745">
        <v>8</v>
      </c>
      <c r="AC4" s="751">
        <v>8</v>
      </c>
      <c r="AD4" s="745">
        <v>10</v>
      </c>
      <c r="AE4" s="745">
        <v>3</v>
      </c>
      <c r="AF4" s="745">
        <v>5</v>
      </c>
      <c r="AG4" s="745">
        <v>8</v>
      </c>
      <c r="AH4" s="751">
        <v>8</v>
      </c>
      <c r="AI4" s="745">
        <v>10</v>
      </c>
    </row>
    <row r="5" spans="1:35" x14ac:dyDescent="0.15">
      <c r="A5" s="685">
        <v>4</v>
      </c>
      <c r="B5" s="684" t="s">
        <v>1313</v>
      </c>
      <c r="C5" s="683"/>
      <c r="D5" s="682" t="s">
        <v>1079</v>
      </c>
      <c r="E5" s="705">
        <f>+IF($A5="",IF($C5="",SUMIFS(全伝票!I:I,全伝票!$B:$B,$B5),SUMIFS(全伝票!I:I,全伝票!$C:$C,$C5)),IF($C5="",SUMIFS(全伝票!I:I,全伝票!$A:$A,$A5,全伝票!$B:$B,$B5),SUMIFS(全伝票!I:I,全伝票!$A:$A,$A5,全伝票!$C:$C,$C5)))</f>
        <v>2110500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 t="shared" ref="K5:K40" si="0">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2110500</v>
      </c>
      <c r="N5" s="680">
        <f t="shared" ref="N5:N40" si="1">+ROUND(F5*F$4/(100+F$4),0)+AE5</f>
        <v>0</v>
      </c>
      <c r="O5" s="679">
        <f t="shared" ref="O5:O40" si="2">+ROUND(G5*G$4/(100+G$4),0)+AF5</f>
        <v>0</v>
      </c>
      <c r="P5" s="679">
        <f t="shared" ref="P5:Q40" si="3">+ROUND(H5*H$4/(100+H$4),0)+AG5</f>
        <v>0</v>
      </c>
      <c r="Q5" s="679">
        <f t="shared" si="3"/>
        <v>0</v>
      </c>
      <c r="R5" s="678">
        <f t="shared" ref="R5:R40" si="4">+ROUND(J5*J$4/(100+J$4),0)+AI5</f>
        <v>0</v>
      </c>
      <c r="S5" s="677">
        <f t="shared" ref="S5:S40" si="5">SUM(N5:R5)</f>
        <v>0</v>
      </c>
      <c r="T5" s="704">
        <f t="shared" ref="T5:T40" si="6">+E5-S5</f>
        <v>2110500</v>
      </c>
      <c r="U5" s="650">
        <f t="shared" ref="U5:U40" si="7">N5-F5*F$4/(100+F$4)</f>
        <v>0</v>
      </c>
      <c r="V5" s="650">
        <f t="shared" ref="V5:V40" si="8">O5-G5*G$4/(100+G$4)</f>
        <v>0</v>
      </c>
      <c r="W5" s="650">
        <f t="shared" ref="W5:X40" si="9">P5-H5*H$4/(100+H$4)</f>
        <v>0</v>
      </c>
      <c r="X5" s="650">
        <f t="shared" si="9"/>
        <v>0</v>
      </c>
      <c r="Y5" s="650">
        <f t="shared" ref="Y5:Y40" si="10">R5-J5*J$4/(100+J$4)</f>
        <v>0</v>
      </c>
      <c r="Z5" s="649">
        <f t="shared" ref="Z5:Z40" si="11">+IF(N$43=0,0,IF(N$43&lt;0,-RANK(U5,U$5:U$40,0),RANK(U5,U$5:U$40,1)))</f>
        <v>0</v>
      </c>
      <c r="AA5" s="649">
        <f t="shared" ref="AA5:AA40" si="12">+IF(O$43=0,0,IF(O$43&lt;0,-RANK(V5,V$5:V$40,0),RANK(V5,V$5:V$40,1)))</f>
        <v>0</v>
      </c>
      <c r="AB5" s="649">
        <f t="shared" ref="AB5:AC40" si="13">+IF(P$43=0,0,IF(P$43&lt;0,-RANK(W5,W$5:W$40,0),RANK(W5,W$5:W$40,1)))</f>
        <v>0</v>
      </c>
      <c r="AC5" s="649">
        <f t="shared" si="13"/>
        <v>0</v>
      </c>
      <c r="AD5" s="649">
        <f t="shared" ref="AD5:AD40" si="14">+IF(R$43=0,0,IF(R$43&lt;0,-RANK(Y5,Y$5:Y$40,0),RANK(Y5,Y$5:Y$40,1)))</f>
        <v>0</v>
      </c>
      <c r="AE5" s="648"/>
      <c r="AF5" s="648"/>
      <c r="AG5" s="648"/>
      <c r="AH5" s="648"/>
      <c r="AI5" s="648"/>
    </row>
    <row r="6" spans="1:35" x14ac:dyDescent="0.15">
      <c r="A6" s="670">
        <v>4</v>
      </c>
      <c r="B6" s="669" t="s">
        <v>1312</v>
      </c>
      <c r="C6" s="668"/>
      <c r="D6" s="667" t="s">
        <v>1077</v>
      </c>
      <c r="E6" s="700">
        <f>+IF($A6="",IF($C6="",SUMIFS(全伝票!I:I,全伝票!$B:$B,$B6),SUMIFS(全伝票!I:I,全伝票!$C:$C,$C6)),IF($C6="",SUMIFS(全伝票!I:I,全伝票!$A:$A,$A6,全伝票!$B:$B,$B6),SUMIFS(全伝票!I:I,全伝票!$A:$A,$A6,全伝票!$C:$C,$C6)))</f>
        <v>2474400</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 t="shared" si="0"/>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2474400</v>
      </c>
      <c r="N6" s="662">
        <f t="shared" si="1"/>
        <v>0</v>
      </c>
      <c r="O6" s="661">
        <f t="shared" si="2"/>
        <v>0</v>
      </c>
      <c r="P6" s="661">
        <f t="shared" si="3"/>
        <v>0</v>
      </c>
      <c r="Q6" s="661">
        <f t="shared" si="3"/>
        <v>0</v>
      </c>
      <c r="R6" s="665">
        <f t="shared" si="4"/>
        <v>0</v>
      </c>
      <c r="S6" s="664">
        <f t="shared" si="5"/>
        <v>0</v>
      </c>
      <c r="T6" s="663">
        <f t="shared" si="6"/>
        <v>2474400</v>
      </c>
      <c r="U6" s="650">
        <f t="shared" si="7"/>
        <v>0</v>
      </c>
      <c r="V6" s="650">
        <f t="shared" si="8"/>
        <v>0</v>
      </c>
      <c r="W6" s="650">
        <f t="shared" si="9"/>
        <v>0</v>
      </c>
      <c r="X6" s="650">
        <f t="shared" si="9"/>
        <v>0</v>
      </c>
      <c r="Y6" s="650">
        <f t="shared" si="10"/>
        <v>0</v>
      </c>
      <c r="Z6" s="649">
        <f t="shared" si="11"/>
        <v>0</v>
      </c>
      <c r="AA6" s="649">
        <f t="shared" si="12"/>
        <v>0</v>
      </c>
      <c r="AB6" s="649">
        <f t="shared" si="13"/>
        <v>0</v>
      </c>
      <c r="AC6" s="649">
        <f t="shared" si="13"/>
        <v>0</v>
      </c>
      <c r="AD6" s="649">
        <f t="shared" si="14"/>
        <v>0</v>
      </c>
      <c r="AE6" s="648"/>
      <c r="AF6" s="648"/>
      <c r="AG6" s="648"/>
      <c r="AH6" s="648"/>
      <c r="AI6" s="648"/>
    </row>
    <row r="7" spans="1:35" x14ac:dyDescent="0.15">
      <c r="A7" s="670">
        <v>4</v>
      </c>
      <c r="B7" s="669" t="s">
        <v>1311</v>
      </c>
      <c r="C7" s="668"/>
      <c r="D7" s="667" t="s">
        <v>1075</v>
      </c>
      <c r="E7" s="700">
        <f>+IF($A7="",IF($C7="",SUMIFS(全伝票!I:I,全伝票!$B:$B,$B7),SUMIFS(全伝票!I:I,全伝票!$C:$C,$C7)),IF($C7="",SUMIFS(全伝票!I:I,全伝票!$A:$A,$A7,全伝票!$B:$B,$B7),SUMIFS(全伝票!I:I,全伝票!$A:$A,$A7,全伝票!$C:$C,$C7)))</f>
        <v>3010754</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194020</v>
      </c>
      <c r="K7" s="664">
        <f t="shared" si="0"/>
        <v>194020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2816734</v>
      </c>
      <c r="N7" s="662">
        <f t="shared" si="1"/>
        <v>0</v>
      </c>
      <c r="O7" s="661">
        <f t="shared" si="2"/>
        <v>0</v>
      </c>
      <c r="P7" s="661">
        <f t="shared" si="3"/>
        <v>0</v>
      </c>
      <c r="Q7" s="661">
        <f t="shared" si="3"/>
        <v>0</v>
      </c>
      <c r="R7" s="665">
        <f t="shared" si="4"/>
        <v>17638</v>
      </c>
      <c r="S7" s="664">
        <f t="shared" si="5"/>
        <v>17638</v>
      </c>
      <c r="T7" s="663">
        <f t="shared" si="6"/>
        <v>2993116</v>
      </c>
      <c r="U7" s="650">
        <f t="shared" si="7"/>
        <v>0</v>
      </c>
      <c r="V7" s="650">
        <f t="shared" si="8"/>
        <v>0</v>
      </c>
      <c r="W7" s="650">
        <f t="shared" si="9"/>
        <v>0</v>
      </c>
      <c r="X7" s="650">
        <f t="shared" si="9"/>
        <v>0</v>
      </c>
      <c r="Y7" s="650">
        <f t="shared" si="10"/>
        <v>-0.18181818181983544</v>
      </c>
      <c r="Z7" s="649">
        <f t="shared" si="11"/>
        <v>0</v>
      </c>
      <c r="AA7" s="649">
        <f t="shared" si="12"/>
        <v>0</v>
      </c>
      <c r="AB7" s="649">
        <f t="shared" si="13"/>
        <v>0</v>
      </c>
      <c r="AC7" s="649">
        <f t="shared" si="13"/>
        <v>0</v>
      </c>
      <c r="AD7" s="649">
        <f t="shared" si="14"/>
        <v>0</v>
      </c>
      <c r="AE7" s="648"/>
      <c r="AF7" s="648"/>
      <c r="AG7" s="648"/>
      <c r="AH7" s="648"/>
      <c r="AI7" s="648"/>
    </row>
    <row r="8" spans="1:35" x14ac:dyDescent="0.15">
      <c r="A8" s="670">
        <v>4</v>
      </c>
      <c r="B8" s="669" t="s">
        <v>1310</v>
      </c>
      <c r="C8" s="668"/>
      <c r="D8" s="667" t="s">
        <v>1073</v>
      </c>
      <c r="E8" s="700">
        <f>+IF($A8="",IF($C8="",SUMIFS(全伝票!I:I,全伝票!$B:$B,$B8),SUMIFS(全伝票!I:I,全伝票!$C:$C,$C8)),IF($C8="",SUMIFS(全伝票!I:I,全伝票!$A:$A,$A8,全伝票!$B:$B,$B8),SUMIFS(全伝票!I:I,全伝票!$A:$A,$A8,全伝票!$C:$C,$C8)))</f>
        <v>1354980</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 t="shared" si="0"/>
        <v>0</v>
      </c>
      <c r="L8" s="700">
        <f>+IF($A8="",IF($C8="",SUMIFS(全伝票!O:O,全伝票!$B:$B,$B8),SUMIFS(全伝票!O:O,全伝票!$C:$C,$C8)),IF($C8="",SUMIFS(全伝票!O:O,全伝票!$A:$A,$A8,全伝票!$B:$B,$B8),SUMIFS(全伝票!O:O,全伝票!$A:$A,$A8,全伝票!$C:$C,$C8)))</f>
        <v>1348404</v>
      </c>
      <c r="M8" s="700">
        <f>+IF($A8="",IF($C8="",SUMIFS(全伝票!P:P,全伝票!$B:$B,$B8),SUMIFS(全伝票!P:P,全伝票!$C:$C,$C8)),IF($C8="",SUMIFS(全伝票!P:P,全伝票!$A:$A,$A8,全伝票!$B:$B,$B8),SUMIFS(全伝票!P:P,全伝票!$A:$A,$A8,全伝票!$C:$C,$C8)))</f>
        <v>6576</v>
      </c>
      <c r="N8" s="662">
        <f t="shared" si="1"/>
        <v>0</v>
      </c>
      <c r="O8" s="661">
        <f t="shared" si="2"/>
        <v>0</v>
      </c>
      <c r="P8" s="661">
        <f t="shared" si="3"/>
        <v>0</v>
      </c>
      <c r="Q8" s="661">
        <f t="shared" si="3"/>
        <v>0</v>
      </c>
      <c r="R8" s="665">
        <f t="shared" si="4"/>
        <v>0</v>
      </c>
      <c r="S8" s="664">
        <f t="shared" si="5"/>
        <v>0</v>
      </c>
      <c r="T8" s="663">
        <f t="shared" si="6"/>
        <v>1354980</v>
      </c>
      <c r="U8" s="650">
        <f t="shared" si="7"/>
        <v>0</v>
      </c>
      <c r="V8" s="650">
        <f t="shared" si="8"/>
        <v>0</v>
      </c>
      <c r="W8" s="650">
        <f t="shared" si="9"/>
        <v>0</v>
      </c>
      <c r="X8" s="650">
        <f t="shared" si="9"/>
        <v>0</v>
      </c>
      <c r="Y8" s="650">
        <f t="shared" si="10"/>
        <v>0</v>
      </c>
      <c r="Z8" s="649">
        <f t="shared" si="11"/>
        <v>0</v>
      </c>
      <c r="AA8" s="649">
        <f t="shared" si="12"/>
        <v>0</v>
      </c>
      <c r="AB8" s="649">
        <f t="shared" si="13"/>
        <v>0</v>
      </c>
      <c r="AC8" s="649">
        <f t="shared" si="13"/>
        <v>0</v>
      </c>
      <c r="AD8" s="649">
        <f t="shared" si="14"/>
        <v>0</v>
      </c>
      <c r="AE8" s="648"/>
      <c r="AF8" s="648"/>
      <c r="AG8" s="648"/>
      <c r="AH8" s="648"/>
      <c r="AI8" s="648"/>
    </row>
    <row r="9" spans="1:35" x14ac:dyDescent="0.15">
      <c r="A9" s="670">
        <v>4</v>
      </c>
      <c r="B9" s="669" t="s">
        <v>1309</v>
      </c>
      <c r="C9" s="668"/>
      <c r="D9" s="667" t="s">
        <v>1071</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 t="shared" si="0"/>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1"/>
        <v>0</v>
      </c>
      <c r="O9" s="661">
        <f t="shared" si="2"/>
        <v>0</v>
      </c>
      <c r="P9" s="661">
        <f t="shared" si="3"/>
        <v>0</v>
      </c>
      <c r="Q9" s="661">
        <f t="shared" si="3"/>
        <v>0</v>
      </c>
      <c r="R9" s="665">
        <f t="shared" si="4"/>
        <v>0</v>
      </c>
      <c r="S9" s="664">
        <f t="shared" si="5"/>
        <v>0</v>
      </c>
      <c r="T9" s="663">
        <f t="shared" si="6"/>
        <v>0</v>
      </c>
      <c r="U9" s="650">
        <f t="shared" si="7"/>
        <v>0</v>
      </c>
      <c r="V9" s="650">
        <f t="shared" si="8"/>
        <v>0</v>
      </c>
      <c r="W9" s="650">
        <f t="shared" si="9"/>
        <v>0</v>
      </c>
      <c r="X9" s="650">
        <f t="shared" si="9"/>
        <v>0</v>
      </c>
      <c r="Y9" s="650">
        <f t="shared" si="10"/>
        <v>0</v>
      </c>
      <c r="Z9" s="649">
        <f t="shared" si="11"/>
        <v>0</v>
      </c>
      <c r="AA9" s="649">
        <f t="shared" si="12"/>
        <v>0</v>
      </c>
      <c r="AB9" s="649">
        <f t="shared" si="13"/>
        <v>0</v>
      </c>
      <c r="AC9" s="649">
        <f t="shared" si="13"/>
        <v>0</v>
      </c>
      <c r="AD9" s="649">
        <f t="shared" si="14"/>
        <v>0</v>
      </c>
      <c r="AE9" s="648"/>
      <c r="AF9" s="648"/>
      <c r="AG9" s="648"/>
      <c r="AH9" s="648"/>
      <c r="AI9" s="648"/>
    </row>
    <row r="10" spans="1:35" x14ac:dyDescent="0.15">
      <c r="A10" s="670">
        <v>4</v>
      </c>
      <c r="B10" s="669" t="s">
        <v>1308</v>
      </c>
      <c r="C10" s="668"/>
      <c r="D10" s="667" t="s">
        <v>1069</v>
      </c>
      <c r="E10" s="700">
        <f>+IF($A10="",IF($C10="",SUMIFS(全伝票!I:I,全伝票!$B:$B,$B10),SUMIFS(全伝票!I:I,全伝票!$C:$C,$C10)),IF($C10="",SUMIFS(全伝票!I:I,全伝票!$A:$A,$A10,全伝票!$B:$B,$B10),SUMIFS(全伝票!I:I,全伝票!$A:$A,$A10,全伝票!$C:$C,$C10)))</f>
        <v>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 t="shared" si="0"/>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0</v>
      </c>
      <c r="N10" s="662">
        <f t="shared" si="1"/>
        <v>0</v>
      </c>
      <c r="O10" s="661">
        <f t="shared" si="2"/>
        <v>0</v>
      </c>
      <c r="P10" s="661">
        <f t="shared" si="3"/>
        <v>0</v>
      </c>
      <c r="Q10" s="661">
        <f t="shared" si="3"/>
        <v>0</v>
      </c>
      <c r="R10" s="665">
        <f t="shared" si="4"/>
        <v>0</v>
      </c>
      <c r="S10" s="664">
        <f t="shared" si="5"/>
        <v>0</v>
      </c>
      <c r="T10" s="663">
        <f t="shared" si="6"/>
        <v>0</v>
      </c>
      <c r="U10" s="650">
        <f t="shared" si="7"/>
        <v>0</v>
      </c>
      <c r="V10" s="650">
        <f t="shared" si="8"/>
        <v>0</v>
      </c>
      <c r="W10" s="650">
        <f t="shared" si="9"/>
        <v>0</v>
      </c>
      <c r="X10" s="650">
        <f t="shared" si="9"/>
        <v>0</v>
      </c>
      <c r="Y10" s="650">
        <f t="shared" si="10"/>
        <v>0</v>
      </c>
      <c r="Z10" s="649">
        <f t="shared" si="11"/>
        <v>0</v>
      </c>
      <c r="AA10" s="649">
        <f t="shared" si="12"/>
        <v>0</v>
      </c>
      <c r="AB10" s="649">
        <f t="shared" si="13"/>
        <v>0</v>
      </c>
      <c r="AC10" s="649">
        <f t="shared" si="13"/>
        <v>0</v>
      </c>
      <c r="AD10" s="649">
        <f t="shared" si="14"/>
        <v>0</v>
      </c>
      <c r="AE10" s="648"/>
      <c r="AF10" s="648"/>
      <c r="AG10" s="648"/>
      <c r="AH10" s="648"/>
      <c r="AI10" s="648"/>
    </row>
    <row r="11" spans="1:35" x14ac:dyDescent="0.15">
      <c r="A11" s="670">
        <v>4</v>
      </c>
      <c r="B11" s="669" t="s">
        <v>1307</v>
      </c>
      <c r="C11" s="668"/>
      <c r="D11" s="667" t="s">
        <v>1067</v>
      </c>
      <c r="E11" s="700">
        <f>+IF($A11="",IF($C11="",SUMIFS(全伝票!I:I,全伝票!$B:$B,$B11),SUMIFS(全伝票!I:I,全伝票!$C:$C,$C11)),IF($C11="",SUMIFS(全伝票!I:I,全伝票!$A:$A,$A11,全伝票!$B:$B,$B11),SUMIFS(全伝票!I:I,全伝票!$A:$A,$A11,全伝票!$C:$C,$C11)))</f>
        <v>240000</v>
      </c>
      <c r="F11" s="703">
        <f>+IF($A11="",IF($C11="",SUMIFS(全伝票!J:J,全伝票!$B:$B,$B11),SUMIFS(全伝票!J:J,全伝票!$C:$C,$C11)),IF($C11="",SUMIFS(全伝票!J:J,全伝票!$A:$A,$A11,全伝票!$B:$B,$B11),SUMIFS(全伝票!J:J,全伝票!$A:$A,$A11,全伝票!$C:$C,$C11)))</f>
        <v>0</v>
      </c>
      <c r="G11" s="702">
        <f>+IF($A11="",IF($C11="",SUMIFS(全伝票!K:K,全伝票!$B:$B,$B11),SUMIFS(全伝票!K:K,全伝票!$C:$C,$C11)),IF($C11="",SUMIFS(全伝票!K:K,全伝票!$A:$A,$A11,全伝票!$B:$B,$B11),SUMIFS(全伝票!K:K,全伝票!$A:$A,$A11,全伝票!$C:$C,$C11)))</f>
        <v>0</v>
      </c>
      <c r="H11" s="702">
        <f>+IF($A11="",IF($C11="",SUMIFS(全伝票!L:L,全伝票!$B:$B,$B11),SUMIFS(全伝票!L:L,全伝票!$C:$C,$C11)),IF($C11="",SUMIFS(全伝票!L:L,全伝票!$A:$A,$A11,全伝票!$B:$B,$B11),SUMIFS(全伝票!L:L,全伝票!$A:$A,$A11,全伝票!$C:$C,$C11)))</f>
        <v>0</v>
      </c>
      <c r="I11" s="702">
        <f>+IF($A11="",IF($C11="",SUMIFS(全伝票!M:M,全伝票!$B:$B,$B11),SUMIFS(全伝票!M:M,全伝票!$C:$C,$C11)),IF($C11="",SUMIFS(全伝票!M:M,全伝票!$A:$A,$A11,全伝票!$B:$B,$B11),SUMIFS(全伝票!M:M,全伝票!$A:$A,$A11,全伝票!$C:$C,$C11)))</f>
        <v>0</v>
      </c>
      <c r="J11" s="701">
        <f>+IF($A11="",IF($C11="",SUMIFS(全伝票!N:N,全伝票!$B:$B,$B11),SUMIFS(全伝票!N:N,全伝票!$C:$C,$C11)),IF($C11="",SUMIFS(全伝票!N:N,全伝票!$A:$A,$A11,全伝票!$B:$B,$B11),SUMIFS(全伝票!N:N,全伝票!$A:$A,$A11,全伝票!$C:$C,$C11)))</f>
        <v>0</v>
      </c>
      <c r="K11" s="664">
        <f t="shared" si="0"/>
        <v>0</v>
      </c>
      <c r="L11" s="700">
        <f>+IF($A11="",IF($C11="",SUMIFS(全伝票!O:O,全伝票!$B:$B,$B11),SUMIFS(全伝票!O:O,全伝票!$C:$C,$C11)),IF($C11="",SUMIFS(全伝票!O:O,全伝票!$A:$A,$A11,全伝票!$B:$B,$B11),SUMIFS(全伝票!O:O,全伝票!$A:$A,$A11,全伝票!$C:$C,$C11)))</f>
        <v>0</v>
      </c>
      <c r="M11" s="700">
        <f>+IF($A11="",IF($C11="",SUMIFS(全伝票!P:P,全伝票!$B:$B,$B11),SUMIFS(全伝票!P:P,全伝票!$C:$C,$C11)),IF($C11="",SUMIFS(全伝票!P:P,全伝票!$A:$A,$A11,全伝票!$B:$B,$B11),SUMIFS(全伝票!P:P,全伝票!$A:$A,$A11,全伝票!$C:$C,$C11)))</f>
        <v>240000</v>
      </c>
      <c r="N11" s="662">
        <f t="shared" si="1"/>
        <v>0</v>
      </c>
      <c r="O11" s="661">
        <f t="shared" si="2"/>
        <v>0</v>
      </c>
      <c r="P11" s="661">
        <f t="shared" si="3"/>
        <v>0</v>
      </c>
      <c r="Q11" s="661">
        <f t="shared" si="3"/>
        <v>0</v>
      </c>
      <c r="R11" s="665">
        <f t="shared" si="4"/>
        <v>0</v>
      </c>
      <c r="S11" s="664">
        <f t="shared" si="5"/>
        <v>0</v>
      </c>
      <c r="T11" s="663">
        <f t="shared" si="6"/>
        <v>240000</v>
      </c>
      <c r="U11" s="650">
        <f t="shared" si="7"/>
        <v>0</v>
      </c>
      <c r="V11" s="650">
        <f t="shared" si="8"/>
        <v>0</v>
      </c>
      <c r="W11" s="650">
        <f t="shared" si="9"/>
        <v>0</v>
      </c>
      <c r="X11" s="650">
        <f t="shared" si="9"/>
        <v>0</v>
      </c>
      <c r="Y11" s="650">
        <f t="shared" si="10"/>
        <v>0</v>
      </c>
      <c r="Z11" s="649">
        <f t="shared" si="11"/>
        <v>0</v>
      </c>
      <c r="AA11" s="649">
        <f t="shared" si="12"/>
        <v>0</v>
      </c>
      <c r="AB11" s="649">
        <f t="shared" si="13"/>
        <v>0</v>
      </c>
      <c r="AC11" s="649">
        <f t="shared" si="13"/>
        <v>0</v>
      </c>
      <c r="AD11" s="649">
        <f t="shared" si="14"/>
        <v>0</v>
      </c>
      <c r="AE11" s="648"/>
      <c r="AF11" s="648"/>
      <c r="AG11" s="648"/>
      <c r="AH11" s="648"/>
      <c r="AI11" s="648"/>
    </row>
    <row r="12" spans="1:35" x14ac:dyDescent="0.15">
      <c r="A12" s="670">
        <v>4</v>
      </c>
      <c r="B12" s="669" t="s">
        <v>1305</v>
      </c>
      <c r="C12" s="668" t="s">
        <v>1306</v>
      </c>
      <c r="D12" s="667" t="s">
        <v>1065</v>
      </c>
      <c r="E12" s="700">
        <f>+IF($A12="",IF($C12="",SUMIFS(全伝票!I:I,全伝票!$B:$B,$B12),SUMIFS(全伝票!I:I,全伝票!$C:$C,$C12)),IF($C12="",SUMIFS(全伝票!I:I,全伝票!$A:$A,$A12,全伝票!$B:$B,$B12),SUMIFS(全伝票!I:I,全伝票!$A:$A,$A12,全伝票!$C:$C,$C12)))</f>
        <v>0</v>
      </c>
      <c r="F12" s="703">
        <f>+IF($A12="",IF($C12="",SUMIFS(全伝票!J:J,全伝票!$B:$B,$B12),SUMIFS(全伝票!J:J,全伝票!$C:$C,$C12)),IF($C12="",SUMIFS(全伝票!J:J,全伝票!$A:$A,$A12,全伝票!$B:$B,$B12),SUMIFS(全伝票!J:J,全伝票!$A:$A,$A12,全伝票!$C:$C,$C12)))</f>
        <v>0</v>
      </c>
      <c r="G12" s="702">
        <f>+IF($A12="",IF($C12="",SUMIFS(全伝票!K:K,全伝票!$B:$B,$B12),SUMIFS(全伝票!K:K,全伝票!$C:$C,$C12)),IF($C12="",SUMIFS(全伝票!K:K,全伝票!$A:$A,$A12,全伝票!$B:$B,$B12),SUMIFS(全伝票!K:K,全伝票!$A:$A,$A12,全伝票!$C:$C,$C12)))</f>
        <v>0</v>
      </c>
      <c r="H12" s="702">
        <f>+IF($A12="",IF($C12="",SUMIFS(全伝票!L:L,全伝票!$B:$B,$B12),SUMIFS(全伝票!L:L,全伝票!$C:$C,$C12)),IF($C12="",SUMIFS(全伝票!L:L,全伝票!$A:$A,$A12,全伝票!$B:$B,$B12),SUMIFS(全伝票!L:L,全伝票!$A:$A,$A12,全伝票!$C:$C,$C12)))</f>
        <v>0</v>
      </c>
      <c r="I12" s="702">
        <f>+IF($A12="",IF($C12="",SUMIFS(全伝票!M:M,全伝票!$B:$B,$B12),SUMIFS(全伝票!M:M,全伝票!$C:$C,$C12)),IF($C12="",SUMIFS(全伝票!M:M,全伝票!$A:$A,$A12,全伝票!$B:$B,$B12),SUMIFS(全伝票!M:M,全伝票!$A:$A,$A12,全伝票!$C:$C,$C12)))</f>
        <v>0</v>
      </c>
      <c r="J12" s="701">
        <f>+IF($A12="",IF($C12="",SUMIFS(全伝票!N:N,全伝票!$B:$B,$B12),SUMIFS(全伝票!N:N,全伝票!$C:$C,$C12)),IF($C12="",SUMIFS(全伝票!N:N,全伝票!$A:$A,$A12,全伝票!$B:$B,$B12),SUMIFS(全伝票!N:N,全伝票!$A:$A,$A12,全伝票!$C:$C,$C12)))</f>
        <v>0</v>
      </c>
      <c r="K12" s="664">
        <f t="shared" si="0"/>
        <v>0</v>
      </c>
      <c r="L12" s="700">
        <f>+IF($A12="",IF($C12="",SUMIFS(全伝票!O:O,全伝票!$B:$B,$B12),SUMIFS(全伝票!O:O,全伝票!$C:$C,$C12)),IF($C12="",SUMIFS(全伝票!O:O,全伝票!$A:$A,$A12,全伝票!$B:$B,$B12),SUMIFS(全伝票!O:O,全伝票!$A:$A,$A12,全伝票!$C:$C,$C12)))</f>
        <v>0</v>
      </c>
      <c r="M12" s="700">
        <f>+IF($A12="",IF($C12="",SUMIFS(全伝票!P:P,全伝票!$B:$B,$B12),SUMIFS(全伝票!P:P,全伝票!$C:$C,$C12)),IF($C12="",SUMIFS(全伝票!P:P,全伝票!$A:$A,$A12,全伝票!$B:$B,$B12),SUMIFS(全伝票!P:P,全伝票!$A:$A,$A12,全伝票!$C:$C,$C12)))</f>
        <v>0</v>
      </c>
      <c r="N12" s="662">
        <f t="shared" si="1"/>
        <v>0</v>
      </c>
      <c r="O12" s="661">
        <f t="shared" si="2"/>
        <v>0</v>
      </c>
      <c r="P12" s="661">
        <f t="shared" si="3"/>
        <v>0</v>
      </c>
      <c r="Q12" s="661">
        <f t="shared" si="3"/>
        <v>0</v>
      </c>
      <c r="R12" s="665">
        <f t="shared" si="4"/>
        <v>0</v>
      </c>
      <c r="S12" s="664">
        <f t="shared" si="5"/>
        <v>0</v>
      </c>
      <c r="T12" s="663">
        <f t="shared" si="6"/>
        <v>0</v>
      </c>
      <c r="U12" s="650">
        <f t="shared" si="7"/>
        <v>0</v>
      </c>
      <c r="V12" s="650">
        <f t="shared" si="8"/>
        <v>0</v>
      </c>
      <c r="W12" s="650">
        <f t="shared" si="9"/>
        <v>0</v>
      </c>
      <c r="X12" s="650">
        <f t="shared" si="9"/>
        <v>0</v>
      </c>
      <c r="Y12" s="650">
        <f t="shared" si="10"/>
        <v>0</v>
      </c>
      <c r="Z12" s="649">
        <f t="shared" si="11"/>
        <v>0</v>
      </c>
      <c r="AA12" s="649">
        <f t="shared" si="12"/>
        <v>0</v>
      </c>
      <c r="AB12" s="649">
        <f t="shared" si="13"/>
        <v>0</v>
      </c>
      <c r="AC12" s="649">
        <f t="shared" si="13"/>
        <v>0</v>
      </c>
      <c r="AD12" s="649">
        <f t="shared" si="14"/>
        <v>0</v>
      </c>
      <c r="AE12" s="648"/>
      <c r="AF12" s="648"/>
      <c r="AG12" s="648"/>
      <c r="AH12" s="648"/>
      <c r="AI12" s="648"/>
    </row>
    <row r="13" spans="1:35" x14ac:dyDescent="0.15">
      <c r="A13" s="670">
        <v>4</v>
      </c>
      <c r="B13" s="669" t="s">
        <v>1305</v>
      </c>
      <c r="C13" s="668" t="s">
        <v>1304</v>
      </c>
      <c r="D13" s="667" t="s">
        <v>1062</v>
      </c>
      <c r="E13" s="700">
        <f>+IF($A13="",IF($C13="",SUMIFS(全伝票!I:I,全伝票!$B:$B,$B13),SUMIFS(全伝票!I:I,全伝票!$C:$C,$C13)),IF($C13="",SUMIFS(全伝票!I:I,全伝票!$A:$A,$A13,全伝票!$B:$B,$B13),SUMIFS(全伝票!I:I,全伝票!$A:$A,$A13,全伝票!$C:$C,$C13)))</f>
        <v>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 t="shared" si="0"/>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0</v>
      </c>
      <c r="N13" s="662">
        <f t="shared" si="1"/>
        <v>0</v>
      </c>
      <c r="O13" s="661">
        <f t="shared" si="2"/>
        <v>0</v>
      </c>
      <c r="P13" s="661">
        <f t="shared" si="3"/>
        <v>0</v>
      </c>
      <c r="Q13" s="661">
        <f t="shared" si="3"/>
        <v>0</v>
      </c>
      <c r="R13" s="665">
        <f t="shared" si="4"/>
        <v>0</v>
      </c>
      <c r="S13" s="664">
        <f t="shared" si="5"/>
        <v>0</v>
      </c>
      <c r="T13" s="663">
        <f t="shared" si="6"/>
        <v>0</v>
      </c>
      <c r="U13" s="650">
        <f t="shared" si="7"/>
        <v>0</v>
      </c>
      <c r="V13" s="650">
        <f t="shared" si="8"/>
        <v>0</v>
      </c>
      <c r="W13" s="650">
        <f t="shared" si="9"/>
        <v>0</v>
      </c>
      <c r="X13" s="650">
        <f t="shared" si="9"/>
        <v>0</v>
      </c>
      <c r="Y13" s="650">
        <f t="shared" si="10"/>
        <v>0</v>
      </c>
      <c r="Z13" s="649">
        <f t="shared" si="11"/>
        <v>0</v>
      </c>
      <c r="AA13" s="649">
        <f t="shared" si="12"/>
        <v>0</v>
      </c>
      <c r="AB13" s="649">
        <f t="shared" si="13"/>
        <v>0</v>
      </c>
      <c r="AC13" s="649">
        <f t="shared" si="13"/>
        <v>0</v>
      </c>
      <c r="AD13" s="649">
        <f t="shared" si="14"/>
        <v>0</v>
      </c>
      <c r="AE13" s="648"/>
      <c r="AF13" s="648"/>
      <c r="AG13" s="648"/>
      <c r="AH13" s="648"/>
      <c r="AI13" s="648"/>
    </row>
    <row r="14" spans="1:35" x14ac:dyDescent="0.15">
      <c r="A14" s="670">
        <v>4</v>
      </c>
      <c r="B14" s="669" t="s">
        <v>1303</v>
      </c>
      <c r="C14" s="668"/>
      <c r="D14" s="667" t="s">
        <v>1060</v>
      </c>
      <c r="E14" s="700">
        <f>+IF($A14="",IF($C14="",SUMIFS(全伝票!I:I,全伝票!$B:$B,$B14),SUMIFS(全伝票!I:I,全伝票!$C:$C,$C14)),IF($C14="",SUMIFS(全伝票!I:I,全伝票!$A:$A,$A14,全伝票!$B:$B,$B14),SUMIFS(全伝票!I:I,全伝票!$A:$A,$A14,全伝票!$C:$C,$C14)))</f>
        <v>232236</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232236</v>
      </c>
      <c r="K14" s="664">
        <f t="shared" si="0"/>
        <v>232236</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1"/>
        <v>0</v>
      </c>
      <c r="O14" s="661">
        <f t="shared" si="2"/>
        <v>0</v>
      </c>
      <c r="P14" s="661">
        <f t="shared" si="3"/>
        <v>0</v>
      </c>
      <c r="Q14" s="661">
        <f t="shared" si="3"/>
        <v>0</v>
      </c>
      <c r="R14" s="665">
        <f t="shared" si="4"/>
        <v>21112</v>
      </c>
      <c r="S14" s="664">
        <f t="shared" si="5"/>
        <v>21112</v>
      </c>
      <c r="T14" s="663">
        <f t="shared" si="6"/>
        <v>211124</v>
      </c>
      <c r="U14" s="650">
        <f t="shared" si="7"/>
        <v>0</v>
      </c>
      <c r="V14" s="650">
        <f t="shared" si="8"/>
        <v>0</v>
      </c>
      <c r="W14" s="650">
        <f t="shared" si="9"/>
        <v>0</v>
      </c>
      <c r="X14" s="650">
        <f t="shared" si="9"/>
        <v>0</v>
      </c>
      <c r="Y14" s="650">
        <f t="shared" si="10"/>
        <v>-0.36363636363603291</v>
      </c>
      <c r="Z14" s="649">
        <f t="shared" si="11"/>
        <v>0</v>
      </c>
      <c r="AA14" s="649">
        <f t="shared" si="12"/>
        <v>0</v>
      </c>
      <c r="AB14" s="649">
        <f t="shared" si="13"/>
        <v>0</v>
      </c>
      <c r="AC14" s="649">
        <f t="shared" si="13"/>
        <v>0</v>
      </c>
      <c r="AD14" s="649">
        <f t="shared" si="14"/>
        <v>0</v>
      </c>
      <c r="AE14" s="648"/>
      <c r="AF14" s="648"/>
      <c r="AG14" s="648"/>
      <c r="AH14" s="648"/>
      <c r="AI14" s="648"/>
    </row>
    <row r="15" spans="1:35" x14ac:dyDescent="0.15">
      <c r="A15" s="670">
        <v>4</v>
      </c>
      <c r="B15" s="669" t="s">
        <v>1302</v>
      </c>
      <c r="C15" s="668"/>
      <c r="D15" s="667" t="s">
        <v>1058</v>
      </c>
      <c r="E15" s="700">
        <f>+IF($A15="",IF($C15="",SUMIFS(全伝票!I:I,全伝票!$B:$B,$B15),SUMIFS(全伝票!I:I,全伝票!$C:$C,$C15)),IF($C15="",SUMIFS(全伝票!I:I,全伝票!$A:$A,$A15,全伝票!$B:$B,$B15),SUMIFS(全伝票!I:I,全伝票!$A:$A,$A15,全伝票!$C:$C,$C15)))</f>
        <v>0</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0</v>
      </c>
      <c r="K15" s="664">
        <f t="shared" si="0"/>
        <v>0</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0</v>
      </c>
      <c r="N15" s="662">
        <f t="shared" si="1"/>
        <v>0</v>
      </c>
      <c r="O15" s="661">
        <f t="shared" si="2"/>
        <v>0</v>
      </c>
      <c r="P15" s="661">
        <f t="shared" si="3"/>
        <v>0</v>
      </c>
      <c r="Q15" s="661">
        <f t="shared" si="3"/>
        <v>0</v>
      </c>
      <c r="R15" s="665">
        <f t="shared" si="4"/>
        <v>0</v>
      </c>
      <c r="S15" s="664">
        <f t="shared" si="5"/>
        <v>0</v>
      </c>
      <c r="T15" s="663">
        <f t="shared" si="6"/>
        <v>0</v>
      </c>
      <c r="U15" s="650">
        <f t="shared" si="7"/>
        <v>0</v>
      </c>
      <c r="V15" s="650">
        <f t="shared" si="8"/>
        <v>0</v>
      </c>
      <c r="W15" s="650">
        <f t="shared" si="9"/>
        <v>0</v>
      </c>
      <c r="X15" s="650">
        <f t="shared" si="9"/>
        <v>0</v>
      </c>
      <c r="Y15" s="650">
        <f t="shared" si="10"/>
        <v>0</v>
      </c>
      <c r="Z15" s="649">
        <f t="shared" si="11"/>
        <v>0</v>
      </c>
      <c r="AA15" s="649">
        <f t="shared" si="12"/>
        <v>0</v>
      </c>
      <c r="AB15" s="649">
        <f t="shared" si="13"/>
        <v>0</v>
      </c>
      <c r="AC15" s="649">
        <f t="shared" si="13"/>
        <v>0</v>
      </c>
      <c r="AD15" s="649">
        <f t="shared" si="14"/>
        <v>0</v>
      </c>
      <c r="AE15" s="648"/>
      <c r="AF15" s="648"/>
      <c r="AG15" s="648"/>
      <c r="AH15" s="648"/>
      <c r="AI15" s="648"/>
    </row>
    <row r="16" spans="1:35" x14ac:dyDescent="0.15">
      <c r="A16" s="670">
        <v>4</v>
      </c>
      <c r="B16" s="669" t="s">
        <v>1301</v>
      </c>
      <c r="C16" s="668"/>
      <c r="D16" s="667" t="s">
        <v>1056</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 t="shared" si="0"/>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1"/>
        <v>0</v>
      </c>
      <c r="O16" s="661">
        <f t="shared" si="2"/>
        <v>0</v>
      </c>
      <c r="P16" s="661">
        <f t="shared" si="3"/>
        <v>0</v>
      </c>
      <c r="Q16" s="661">
        <f t="shared" si="3"/>
        <v>0</v>
      </c>
      <c r="R16" s="665">
        <f t="shared" si="4"/>
        <v>0</v>
      </c>
      <c r="S16" s="664">
        <f t="shared" si="5"/>
        <v>0</v>
      </c>
      <c r="T16" s="663">
        <f t="shared" si="6"/>
        <v>0</v>
      </c>
      <c r="U16" s="650">
        <f t="shared" si="7"/>
        <v>0</v>
      </c>
      <c r="V16" s="650">
        <f t="shared" si="8"/>
        <v>0</v>
      </c>
      <c r="W16" s="650">
        <f t="shared" si="9"/>
        <v>0</v>
      </c>
      <c r="X16" s="650">
        <f t="shared" si="9"/>
        <v>0</v>
      </c>
      <c r="Y16" s="650">
        <f t="shared" si="10"/>
        <v>0</v>
      </c>
      <c r="Z16" s="649">
        <f t="shared" si="11"/>
        <v>0</v>
      </c>
      <c r="AA16" s="649">
        <f t="shared" si="12"/>
        <v>0</v>
      </c>
      <c r="AB16" s="649">
        <f t="shared" si="13"/>
        <v>0</v>
      </c>
      <c r="AC16" s="649">
        <f t="shared" si="13"/>
        <v>0</v>
      </c>
      <c r="AD16" s="649">
        <f t="shared" si="14"/>
        <v>0</v>
      </c>
      <c r="AE16" s="648"/>
      <c r="AF16" s="648"/>
      <c r="AG16" s="648"/>
      <c r="AH16" s="648"/>
      <c r="AI16" s="648"/>
    </row>
    <row r="17" spans="1:35" x14ac:dyDescent="0.15">
      <c r="A17" s="670">
        <v>4</v>
      </c>
      <c r="B17" s="669" t="s">
        <v>1300</v>
      </c>
      <c r="C17" s="668"/>
      <c r="D17" s="667" t="s">
        <v>1054</v>
      </c>
      <c r="E17" s="700">
        <f>+IF($A17="",IF($C17="",SUMIFS(全伝票!I:I,全伝票!$B:$B,$B17),SUMIFS(全伝票!I:I,全伝票!$C:$C,$C17)),IF($C17="",SUMIFS(全伝票!I:I,全伝票!$A:$A,$A17,全伝票!$B:$B,$B17),SUMIFS(全伝票!I:I,全伝票!$A:$A,$A17,全伝票!$C:$C,$C17)))</f>
        <v>7600</v>
      </c>
      <c r="F17" s="703">
        <f>+IF($A17="",IF($C17="",SUMIFS(全伝票!J:J,全伝票!$B:$B,$B17),SUMIFS(全伝票!J:J,全伝票!$C:$C,$C17)),IF($C17="",SUMIFS(全伝票!J:J,全伝票!$A:$A,$A17,全伝票!$B:$B,$B17),SUMIFS(全伝票!J:J,全伝票!$A:$A,$A17,全伝票!$C:$C,$C17)))</f>
        <v>0</v>
      </c>
      <c r="G17" s="702">
        <f>+IF($A17="",IF($C17="",SUMIFS(全伝票!K:K,全伝票!$B:$B,$B17),SUMIFS(全伝票!K:K,全伝票!$C:$C,$C17)),IF($C17="",SUMIFS(全伝票!K:K,全伝票!$A:$A,$A17,全伝票!$B:$B,$B17),SUMIFS(全伝票!K:K,全伝票!$A:$A,$A17,全伝票!$C:$C,$C17)))</f>
        <v>0</v>
      </c>
      <c r="H17" s="702">
        <f>+IF($A17="",IF($C17="",SUMIFS(全伝票!L:L,全伝票!$B:$B,$B17),SUMIFS(全伝票!L:L,全伝票!$C:$C,$C17)),IF($C17="",SUMIFS(全伝票!L:L,全伝票!$A:$A,$A17,全伝票!$B:$B,$B17),SUMIFS(全伝票!L:L,全伝票!$A:$A,$A17,全伝票!$C:$C,$C17)))</f>
        <v>0</v>
      </c>
      <c r="I17" s="702">
        <f>+IF($A17="",IF($C17="",SUMIFS(全伝票!M:M,全伝票!$B:$B,$B17),SUMIFS(全伝票!M:M,全伝票!$C:$C,$C17)),IF($C17="",SUMIFS(全伝票!M:M,全伝票!$A:$A,$A17,全伝票!$B:$B,$B17),SUMIFS(全伝票!M:M,全伝票!$A:$A,$A17,全伝票!$C:$C,$C17)))</f>
        <v>0</v>
      </c>
      <c r="J17" s="701">
        <f>+IF($A17="",IF($C17="",SUMIFS(全伝票!N:N,全伝票!$B:$B,$B17),SUMIFS(全伝票!N:N,全伝票!$C:$C,$C17)),IF($C17="",SUMIFS(全伝票!N:N,全伝票!$A:$A,$A17,全伝票!$B:$B,$B17),SUMIFS(全伝票!N:N,全伝票!$A:$A,$A17,全伝票!$C:$C,$C17)))</f>
        <v>7600</v>
      </c>
      <c r="K17" s="664">
        <f t="shared" si="0"/>
        <v>7600</v>
      </c>
      <c r="L17" s="700">
        <f>+IF($A17="",IF($C17="",SUMIFS(全伝票!O:O,全伝票!$B:$B,$B17),SUMIFS(全伝票!O:O,全伝票!$C:$C,$C17)),IF($C17="",SUMIFS(全伝票!O:O,全伝票!$A:$A,$A17,全伝票!$B:$B,$B17),SUMIFS(全伝票!O:O,全伝票!$A:$A,$A17,全伝票!$C:$C,$C17)))</f>
        <v>0</v>
      </c>
      <c r="M17" s="700">
        <f>+IF($A17="",IF($C17="",SUMIFS(全伝票!P:P,全伝票!$B:$B,$B17),SUMIFS(全伝票!P:P,全伝票!$C:$C,$C17)),IF($C17="",SUMIFS(全伝票!P:P,全伝票!$A:$A,$A17,全伝票!$B:$B,$B17),SUMIFS(全伝票!P:P,全伝票!$A:$A,$A17,全伝票!$C:$C,$C17)))</f>
        <v>0</v>
      </c>
      <c r="N17" s="662">
        <f t="shared" si="1"/>
        <v>0</v>
      </c>
      <c r="O17" s="661">
        <f t="shared" si="2"/>
        <v>0</v>
      </c>
      <c r="P17" s="661">
        <f t="shared" si="3"/>
        <v>0</v>
      </c>
      <c r="Q17" s="661">
        <f t="shared" si="3"/>
        <v>0</v>
      </c>
      <c r="R17" s="665">
        <f t="shared" si="4"/>
        <v>691</v>
      </c>
      <c r="S17" s="664">
        <f t="shared" si="5"/>
        <v>691</v>
      </c>
      <c r="T17" s="663">
        <f t="shared" si="6"/>
        <v>6909</v>
      </c>
      <c r="U17" s="650">
        <f t="shared" si="7"/>
        <v>0</v>
      </c>
      <c r="V17" s="650">
        <f t="shared" si="8"/>
        <v>0</v>
      </c>
      <c r="W17" s="650">
        <f t="shared" si="9"/>
        <v>0</v>
      </c>
      <c r="X17" s="650">
        <f t="shared" si="9"/>
        <v>0</v>
      </c>
      <c r="Y17" s="650">
        <f t="shared" si="10"/>
        <v>9.0909090909121915E-2</v>
      </c>
      <c r="Z17" s="649">
        <f t="shared" si="11"/>
        <v>0</v>
      </c>
      <c r="AA17" s="649">
        <f t="shared" si="12"/>
        <v>0</v>
      </c>
      <c r="AB17" s="649">
        <f t="shared" si="13"/>
        <v>0</v>
      </c>
      <c r="AC17" s="649">
        <f t="shared" si="13"/>
        <v>0</v>
      </c>
      <c r="AD17" s="649">
        <f t="shared" si="14"/>
        <v>0</v>
      </c>
      <c r="AE17" s="648"/>
      <c r="AF17" s="648"/>
      <c r="AG17" s="648"/>
      <c r="AH17" s="648"/>
      <c r="AI17" s="648"/>
    </row>
    <row r="18" spans="1:35" x14ac:dyDescent="0.15">
      <c r="A18" s="670">
        <v>4</v>
      </c>
      <c r="B18" s="669" t="s">
        <v>1299</v>
      </c>
      <c r="C18" s="668"/>
      <c r="D18" s="667" t="s">
        <v>1052</v>
      </c>
      <c r="E18" s="700">
        <f>+IF($A18="",IF($C18="",SUMIFS(全伝票!I:I,全伝票!$B:$B,$B18),SUMIFS(全伝票!I:I,全伝票!$C:$C,$C18)),IF($C18="",SUMIFS(全伝票!I:I,全伝票!$A:$A,$A18,全伝票!$B:$B,$B18),SUMIFS(全伝票!I:I,全伝票!$A:$A,$A18,全伝票!$C:$C,$C18)))</f>
        <v>283</v>
      </c>
      <c r="F18" s="703">
        <f>+IF($A18="",IF($C18="",SUMIFS(全伝票!J:J,全伝票!$B:$B,$B18),SUMIFS(全伝票!J:J,全伝票!$C:$C,$C18)),IF($C18="",SUMIFS(全伝票!J:J,全伝票!$A:$A,$A18,全伝票!$B:$B,$B18),SUMIFS(全伝票!J:J,全伝票!$A:$A,$A18,全伝票!$C:$C,$C18)))</f>
        <v>0</v>
      </c>
      <c r="G18" s="702">
        <f>+IF($A18="",IF($C18="",SUMIFS(全伝票!K:K,全伝票!$B:$B,$B18),SUMIFS(全伝票!K:K,全伝票!$C:$C,$C18)),IF($C18="",SUMIFS(全伝票!K:K,全伝票!$A:$A,$A18,全伝票!$B:$B,$B18),SUMIFS(全伝票!K:K,全伝票!$A:$A,$A18,全伝票!$C:$C,$C18)))</f>
        <v>0</v>
      </c>
      <c r="H18" s="702">
        <f>+IF($A18="",IF($C18="",SUMIFS(全伝票!L:L,全伝票!$B:$B,$B18),SUMIFS(全伝票!L:L,全伝票!$C:$C,$C18)),IF($C18="",SUMIFS(全伝票!L:L,全伝票!$A:$A,$A18,全伝票!$B:$B,$B18),SUMIFS(全伝票!L:L,全伝票!$A:$A,$A18,全伝票!$C:$C,$C18)))</f>
        <v>0</v>
      </c>
      <c r="I18" s="702">
        <f>+IF($A18="",IF($C18="",SUMIFS(全伝票!M:M,全伝票!$B:$B,$B18),SUMIFS(全伝票!M:M,全伝票!$C:$C,$C18)),IF($C18="",SUMIFS(全伝票!M:M,全伝票!$A:$A,$A18,全伝票!$B:$B,$B18),SUMIFS(全伝票!M:M,全伝票!$A:$A,$A18,全伝票!$C:$C,$C18)))</f>
        <v>0</v>
      </c>
      <c r="J18" s="701">
        <f>+IF($A18="",IF($C18="",SUMIFS(全伝票!N:N,全伝票!$B:$B,$B18),SUMIFS(全伝票!N:N,全伝票!$C:$C,$C18)),IF($C18="",SUMIFS(全伝票!N:N,全伝票!$A:$A,$A18,全伝票!$B:$B,$B18),SUMIFS(全伝票!N:N,全伝票!$A:$A,$A18,全伝票!$C:$C,$C18)))</f>
        <v>283</v>
      </c>
      <c r="K18" s="664">
        <f t="shared" si="0"/>
        <v>283</v>
      </c>
      <c r="L18" s="700">
        <f>+IF($A18="",IF($C18="",SUMIFS(全伝票!O:O,全伝票!$B:$B,$B18),SUMIFS(全伝票!O:O,全伝票!$C:$C,$C18)),IF($C18="",SUMIFS(全伝票!O:O,全伝票!$A:$A,$A18,全伝票!$B:$B,$B18),SUMIFS(全伝票!O:O,全伝票!$A:$A,$A18,全伝票!$C:$C,$C18)))</f>
        <v>0</v>
      </c>
      <c r="M18" s="700">
        <f>+IF($A18="",IF($C18="",SUMIFS(全伝票!P:P,全伝票!$B:$B,$B18),SUMIFS(全伝票!P:P,全伝票!$C:$C,$C18)),IF($C18="",SUMIFS(全伝票!P:P,全伝票!$A:$A,$A18,全伝票!$B:$B,$B18),SUMIFS(全伝票!P:P,全伝票!$A:$A,$A18,全伝票!$C:$C,$C18)))</f>
        <v>0</v>
      </c>
      <c r="N18" s="662">
        <f t="shared" si="1"/>
        <v>0</v>
      </c>
      <c r="O18" s="661">
        <f t="shared" si="2"/>
        <v>0</v>
      </c>
      <c r="P18" s="661">
        <f t="shared" si="3"/>
        <v>0</v>
      </c>
      <c r="Q18" s="661">
        <f t="shared" si="3"/>
        <v>0</v>
      </c>
      <c r="R18" s="665">
        <f t="shared" si="4"/>
        <v>26</v>
      </c>
      <c r="S18" s="664">
        <f t="shared" si="5"/>
        <v>26</v>
      </c>
      <c r="T18" s="663">
        <f t="shared" si="6"/>
        <v>257</v>
      </c>
      <c r="U18" s="650">
        <f t="shared" si="7"/>
        <v>0</v>
      </c>
      <c r="V18" s="650">
        <f t="shared" si="8"/>
        <v>0</v>
      </c>
      <c r="W18" s="650">
        <f t="shared" si="9"/>
        <v>0</v>
      </c>
      <c r="X18" s="650">
        <f t="shared" si="9"/>
        <v>0</v>
      </c>
      <c r="Y18" s="650">
        <f t="shared" si="10"/>
        <v>0.27272727272727337</v>
      </c>
      <c r="Z18" s="649">
        <f t="shared" si="11"/>
        <v>0</v>
      </c>
      <c r="AA18" s="649">
        <f t="shared" si="12"/>
        <v>0</v>
      </c>
      <c r="AB18" s="649">
        <f t="shared" si="13"/>
        <v>0</v>
      </c>
      <c r="AC18" s="649">
        <f t="shared" si="13"/>
        <v>0</v>
      </c>
      <c r="AD18" s="649">
        <f t="shared" si="14"/>
        <v>0</v>
      </c>
      <c r="AE18" s="648"/>
      <c r="AF18" s="648"/>
      <c r="AG18" s="648"/>
      <c r="AH18" s="648"/>
      <c r="AI18" s="648"/>
    </row>
    <row r="19" spans="1:35" x14ac:dyDescent="0.15">
      <c r="A19" s="670">
        <v>4</v>
      </c>
      <c r="B19" s="669" t="s">
        <v>1298</v>
      </c>
      <c r="C19" s="668"/>
      <c r="D19" s="667" t="s">
        <v>1050</v>
      </c>
      <c r="E19" s="700">
        <f>+IF($A19="",IF($C19="",SUMIFS(全伝票!I:I,全伝票!$B:$B,$B19),SUMIFS(全伝票!I:I,全伝票!$C:$C,$C19)),IF($C19="",SUMIFS(全伝票!I:I,全伝票!$A:$A,$A19,全伝票!$B:$B,$B19),SUMIFS(全伝票!I:I,全伝票!$A:$A,$A19,全伝票!$C:$C,$C19)))</f>
        <v>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0</v>
      </c>
      <c r="K19" s="664">
        <f t="shared" si="0"/>
        <v>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1"/>
        <v>0</v>
      </c>
      <c r="O19" s="661">
        <f t="shared" si="2"/>
        <v>0</v>
      </c>
      <c r="P19" s="661">
        <f t="shared" si="3"/>
        <v>0</v>
      </c>
      <c r="Q19" s="661">
        <f t="shared" si="3"/>
        <v>0</v>
      </c>
      <c r="R19" s="665">
        <f t="shared" si="4"/>
        <v>0</v>
      </c>
      <c r="S19" s="664">
        <f t="shared" si="5"/>
        <v>0</v>
      </c>
      <c r="T19" s="663">
        <f t="shared" si="6"/>
        <v>0</v>
      </c>
      <c r="U19" s="650">
        <f t="shared" si="7"/>
        <v>0</v>
      </c>
      <c r="V19" s="650">
        <f t="shared" si="8"/>
        <v>0</v>
      </c>
      <c r="W19" s="650">
        <f t="shared" si="9"/>
        <v>0</v>
      </c>
      <c r="X19" s="650">
        <f t="shared" si="9"/>
        <v>0</v>
      </c>
      <c r="Y19" s="650">
        <f t="shared" si="10"/>
        <v>0</v>
      </c>
      <c r="Z19" s="649">
        <f t="shared" si="11"/>
        <v>0</v>
      </c>
      <c r="AA19" s="649">
        <f t="shared" si="12"/>
        <v>0</v>
      </c>
      <c r="AB19" s="649">
        <f t="shared" si="13"/>
        <v>0</v>
      </c>
      <c r="AC19" s="649">
        <f t="shared" si="13"/>
        <v>0</v>
      </c>
      <c r="AD19" s="649">
        <f t="shared" si="14"/>
        <v>0</v>
      </c>
      <c r="AE19" s="648"/>
      <c r="AF19" s="648"/>
      <c r="AG19" s="648"/>
      <c r="AH19" s="648"/>
      <c r="AI19" s="648"/>
    </row>
    <row r="20" spans="1:35" x14ac:dyDescent="0.15">
      <c r="A20" s="670">
        <v>4</v>
      </c>
      <c r="B20" s="669" t="s">
        <v>1297</v>
      </c>
      <c r="C20" s="668"/>
      <c r="D20" s="667" t="s">
        <v>1048</v>
      </c>
      <c r="E20" s="700">
        <f>+IF($A20="",IF($C20="",SUMIFS(全伝票!I:I,全伝票!$B:$B,$B20),SUMIFS(全伝票!I:I,全伝票!$C:$C,$C20)),IF($C20="",SUMIFS(全伝票!I:I,全伝票!$A:$A,$A20,全伝票!$B:$B,$B20),SUMIFS(全伝票!I:I,全伝票!$A:$A,$A20,全伝票!$C:$C,$C20)))</f>
        <v>2041</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2041</v>
      </c>
      <c r="K20" s="664">
        <f t="shared" si="0"/>
        <v>2041</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1"/>
        <v>0</v>
      </c>
      <c r="O20" s="661">
        <f t="shared" si="2"/>
        <v>0</v>
      </c>
      <c r="P20" s="661">
        <f t="shared" si="3"/>
        <v>0</v>
      </c>
      <c r="Q20" s="661">
        <f t="shared" si="3"/>
        <v>0</v>
      </c>
      <c r="R20" s="665">
        <f t="shared" si="4"/>
        <v>185</v>
      </c>
      <c r="S20" s="664">
        <f t="shared" si="5"/>
        <v>185</v>
      </c>
      <c r="T20" s="663">
        <f t="shared" si="6"/>
        <v>1856</v>
      </c>
      <c r="U20" s="650">
        <f t="shared" si="7"/>
        <v>0</v>
      </c>
      <c r="V20" s="650">
        <f t="shared" si="8"/>
        <v>0</v>
      </c>
      <c r="W20" s="650">
        <f t="shared" si="9"/>
        <v>0</v>
      </c>
      <c r="X20" s="650">
        <f t="shared" si="9"/>
        <v>0</v>
      </c>
      <c r="Y20" s="650">
        <f t="shared" si="10"/>
        <v>-0.54545454545453254</v>
      </c>
      <c r="Z20" s="649">
        <f t="shared" si="11"/>
        <v>0</v>
      </c>
      <c r="AA20" s="649">
        <f t="shared" si="12"/>
        <v>0</v>
      </c>
      <c r="AB20" s="649">
        <f t="shared" si="13"/>
        <v>0</v>
      </c>
      <c r="AC20" s="649">
        <f t="shared" si="13"/>
        <v>0</v>
      </c>
      <c r="AD20" s="649">
        <f t="shared" si="14"/>
        <v>0</v>
      </c>
      <c r="AE20" s="648"/>
      <c r="AF20" s="648"/>
      <c r="AG20" s="648"/>
      <c r="AH20" s="648"/>
      <c r="AI20" s="648">
        <v>-1</v>
      </c>
    </row>
    <row r="21" spans="1:35" x14ac:dyDescent="0.15">
      <c r="A21" s="670">
        <v>4</v>
      </c>
      <c r="B21" s="669" t="s">
        <v>1296</v>
      </c>
      <c r="C21" s="668"/>
      <c r="D21" s="667" t="s">
        <v>1046</v>
      </c>
      <c r="E21" s="700">
        <f>+IF($A21="",IF($C21="",SUMIFS(全伝票!I:I,全伝票!$B:$B,$B21),SUMIFS(全伝票!I:I,全伝票!$C:$C,$C21)),IF($C21="",SUMIFS(全伝票!I:I,全伝票!$A:$A,$A21,全伝票!$B:$B,$B21),SUMIFS(全伝票!I:I,全伝票!$A:$A,$A21,全伝票!$C:$C,$C21)))</f>
        <v>0</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0</v>
      </c>
      <c r="K21" s="664">
        <f t="shared" si="0"/>
        <v>0</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1"/>
        <v>0</v>
      </c>
      <c r="O21" s="661">
        <f t="shared" si="2"/>
        <v>0</v>
      </c>
      <c r="P21" s="661">
        <f t="shared" si="3"/>
        <v>0</v>
      </c>
      <c r="Q21" s="661">
        <f t="shared" si="3"/>
        <v>0</v>
      </c>
      <c r="R21" s="665">
        <f t="shared" si="4"/>
        <v>0</v>
      </c>
      <c r="S21" s="664">
        <f t="shared" si="5"/>
        <v>0</v>
      </c>
      <c r="T21" s="663">
        <f t="shared" si="6"/>
        <v>0</v>
      </c>
      <c r="U21" s="650">
        <f t="shared" si="7"/>
        <v>0</v>
      </c>
      <c r="V21" s="650">
        <f t="shared" si="8"/>
        <v>0</v>
      </c>
      <c r="W21" s="650">
        <f t="shared" si="9"/>
        <v>0</v>
      </c>
      <c r="X21" s="650">
        <f t="shared" si="9"/>
        <v>0</v>
      </c>
      <c r="Y21" s="650">
        <f t="shared" si="10"/>
        <v>0</v>
      </c>
      <c r="Z21" s="649">
        <f t="shared" si="11"/>
        <v>0</v>
      </c>
      <c r="AA21" s="649">
        <f t="shared" si="12"/>
        <v>0</v>
      </c>
      <c r="AB21" s="649">
        <f t="shared" si="13"/>
        <v>0</v>
      </c>
      <c r="AC21" s="649">
        <f t="shared" si="13"/>
        <v>0</v>
      </c>
      <c r="AD21" s="649">
        <f t="shared" si="14"/>
        <v>0</v>
      </c>
      <c r="AE21" s="648"/>
      <c r="AF21" s="648"/>
      <c r="AG21" s="648"/>
      <c r="AH21" s="648"/>
      <c r="AI21" s="648"/>
    </row>
    <row r="22" spans="1:35" x14ac:dyDescent="0.15">
      <c r="A22" s="670">
        <v>4</v>
      </c>
      <c r="B22" s="669" t="s">
        <v>1295</v>
      </c>
      <c r="C22" s="668"/>
      <c r="D22" s="667" t="s">
        <v>1044</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 t="shared" si="0"/>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1"/>
        <v>0</v>
      </c>
      <c r="O22" s="661">
        <f t="shared" si="2"/>
        <v>0</v>
      </c>
      <c r="P22" s="661">
        <f t="shared" si="3"/>
        <v>0</v>
      </c>
      <c r="Q22" s="661">
        <f t="shared" si="3"/>
        <v>0</v>
      </c>
      <c r="R22" s="665">
        <f t="shared" si="4"/>
        <v>0</v>
      </c>
      <c r="S22" s="664">
        <f t="shared" si="5"/>
        <v>0</v>
      </c>
      <c r="T22" s="663">
        <f t="shared" si="6"/>
        <v>0</v>
      </c>
      <c r="U22" s="650">
        <f t="shared" si="7"/>
        <v>0</v>
      </c>
      <c r="V22" s="650">
        <f t="shared" si="8"/>
        <v>0</v>
      </c>
      <c r="W22" s="650">
        <f t="shared" si="9"/>
        <v>0</v>
      </c>
      <c r="X22" s="650">
        <f t="shared" si="9"/>
        <v>0</v>
      </c>
      <c r="Y22" s="650">
        <f t="shared" si="10"/>
        <v>0</v>
      </c>
      <c r="Z22" s="649">
        <f t="shared" si="11"/>
        <v>0</v>
      </c>
      <c r="AA22" s="649">
        <f t="shared" si="12"/>
        <v>0</v>
      </c>
      <c r="AB22" s="649">
        <f t="shared" si="13"/>
        <v>0</v>
      </c>
      <c r="AC22" s="649">
        <f t="shared" si="13"/>
        <v>0</v>
      </c>
      <c r="AD22" s="649">
        <f t="shared" si="14"/>
        <v>0</v>
      </c>
      <c r="AE22" s="648"/>
      <c r="AF22" s="648"/>
      <c r="AG22" s="648"/>
      <c r="AH22" s="648"/>
      <c r="AI22" s="648"/>
    </row>
    <row r="23" spans="1:35" x14ac:dyDescent="0.15">
      <c r="A23" s="670">
        <v>4</v>
      </c>
      <c r="B23" s="669" t="s">
        <v>1294</v>
      </c>
      <c r="C23" s="668"/>
      <c r="D23" s="667" t="s">
        <v>1042</v>
      </c>
      <c r="E23" s="700">
        <f>+IF($A23="",IF($C23="",SUMIFS(全伝票!I:I,全伝票!$B:$B,$B23),SUMIFS(全伝票!I:I,全伝票!$C:$C,$C23)),IF($C23="",SUMIFS(全伝票!I:I,全伝票!$A:$A,$A23,全伝票!$B:$B,$B23),SUMIFS(全伝票!I:I,全伝票!$A:$A,$A23,全伝票!$C:$C,$C23)))</f>
        <v>0</v>
      </c>
      <c r="F23" s="703">
        <f>+IF($A23="",IF($C23="",SUMIFS(全伝票!J:J,全伝票!$B:$B,$B23),SUMIFS(全伝票!J:J,全伝票!$C:$C,$C23)),IF($C23="",SUMIFS(全伝票!J:J,全伝票!$A:$A,$A23,全伝票!$B:$B,$B23),SUMIFS(全伝票!J:J,全伝票!$A:$A,$A23,全伝票!$C:$C,$C23)))</f>
        <v>0</v>
      </c>
      <c r="G23" s="702">
        <f>+IF($A23="",IF($C23="",SUMIFS(全伝票!K:K,全伝票!$B:$B,$B23),SUMIFS(全伝票!K:K,全伝票!$C:$C,$C23)),IF($C23="",SUMIFS(全伝票!K:K,全伝票!$A:$A,$A23,全伝票!$B:$B,$B23),SUMIFS(全伝票!K:K,全伝票!$A:$A,$A23,全伝票!$C:$C,$C23)))</f>
        <v>0</v>
      </c>
      <c r="H23" s="702">
        <f>+IF($A23="",IF($C23="",SUMIFS(全伝票!L:L,全伝票!$B:$B,$B23),SUMIFS(全伝票!L:L,全伝票!$C:$C,$C23)),IF($C23="",SUMIFS(全伝票!L:L,全伝票!$A:$A,$A23,全伝票!$B:$B,$B23),SUMIFS(全伝票!L:L,全伝票!$A:$A,$A23,全伝票!$C:$C,$C23)))</f>
        <v>0</v>
      </c>
      <c r="I23" s="702">
        <f>+IF($A23="",IF($C23="",SUMIFS(全伝票!M:M,全伝票!$B:$B,$B23),SUMIFS(全伝票!M:M,全伝票!$C:$C,$C23)),IF($C23="",SUMIFS(全伝票!M:M,全伝票!$A:$A,$A23,全伝票!$B:$B,$B23),SUMIFS(全伝票!M:M,全伝票!$A:$A,$A23,全伝票!$C:$C,$C23)))</f>
        <v>0</v>
      </c>
      <c r="J23" s="701">
        <f>+IF($A23="",IF($C23="",SUMIFS(全伝票!N:N,全伝票!$B:$B,$B23),SUMIFS(全伝票!N:N,全伝票!$C:$C,$C23)),IF($C23="",SUMIFS(全伝票!N:N,全伝票!$A:$A,$A23,全伝票!$B:$B,$B23),SUMIFS(全伝票!N:N,全伝票!$A:$A,$A23,全伝票!$C:$C,$C23)))</f>
        <v>0</v>
      </c>
      <c r="K23" s="664">
        <f t="shared" si="0"/>
        <v>0</v>
      </c>
      <c r="L23" s="700">
        <f>+IF($A23="",IF($C23="",SUMIFS(全伝票!O:O,全伝票!$B:$B,$B23),SUMIFS(全伝票!O:O,全伝票!$C:$C,$C23)),IF($C23="",SUMIFS(全伝票!O:O,全伝票!$A:$A,$A23,全伝票!$B:$B,$B23),SUMIFS(全伝票!O:O,全伝票!$A:$A,$A23,全伝票!$C:$C,$C23)))</f>
        <v>0</v>
      </c>
      <c r="M23" s="700">
        <f>+IF($A23="",IF($C23="",SUMIFS(全伝票!P:P,全伝票!$B:$B,$B23),SUMIFS(全伝票!P:P,全伝票!$C:$C,$C23)),IF($C23="",SUMIFS(全伝票!P:P,全伝票!$A:$A,$A23,全伝票!$B:$B,$B23),SUMIFS(全伝票!P:P,全伝票!$A:$A,$A23,全伝票!$C:$C,$C23)))</f>
        <v>0</v>
      </c>
      <c r="N23" s="662">
        <f t="shared" si="1"/>
        <v>0</v>
      </c>
      <c r="O23" s="661">
        <f t="shared" si="2"/>
        <v>0</v>
      </c>
      <c r="P23" s="661">
        <f t="shared" si="3"/>
        <v>0</v>
      </c>
      <c r="Q23" s="661">
        <f t="shared" si="3"/>
        <v>0</v>
      </c>
      <c r="R23" s="665">
        <f t="shared" si="4"/>
        <v>0</v>
      </c>
      <c r="S23" s="664">
        <f t="shared" si="5"/>
        <v>0</v>
      </c>
      <c r="T23" s="663">
        <f t="shared" si="6"/>
        <v>0</v>
      </c>
      <c r="U23" s="650">
        <f t="shared" si="7"/>
        <v>0</v>
      </c>
      <c r="V23" s="650">
        <f t="shared" si="8"/>
        <v>0</v>
      </c>
      <c r="W23" s="650">
        <f t="shared" si="9"/>
        <v>0</v>
      </c>
      <c r="X23" s="650">
        <f t="shared" si="9"/>
        <v>0</v>
      </c>
      <c r="Y23" s="650">
        <f t="shared" si="10"/>
        <v>0</v>
      </c>
      <c r="Z23" s="649">
        <f t="shared" si="11"/>
        <v>0</v>
      </c>
      <c r="AA23" s="649">
        <f t="shared" si="12"/>
        <v>0</v>
      </c>
      <c r="AB23" s="649">
        <f t="shared" si="13"/>
        <v>0</v>
      </c>
      <c r="AC23" s="649">
        <f t="shared" si="13"/>
        <v>0</v>
      </c>
      <c r="AD23" s="649">
        <f t="shared" si="14"/>
        <v>0</v>
      </c>
      <c r="AE23" s="648"/>
      <c r="AF23" s="648"/>
      <c r="AG23" s="648"/>
      <c r="AH23" s="648"/>
      <c r="AI23" s="648"/>
    </row>
    <row r="24" spans="1:35" x14ac:dyDescent="0.15">
      <c r="A24" s="670">
        <v>4</v>
      </c>
      <c r="B24" s="669" t="s">
        <v>1293</v>
      </c>
      <c r="C24" s="668"/>
      <c r="D24" s="667" t="s">
        <v>1040</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 t="shared" si="0"/>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1"/>
        <v>0</v>
      </c>
      <c r="O24" s="661">
        <f t="shared" si="2"/>
        <v>0</v>
      </c>
      <c r="P24" s="661">
        <f t="shared" si="3"/>
        <v>0</v>
      </c>
      <c r="Q24" s="661">
        <f t="shared" si="3"/>
        <v>0</v>
      </c>
      <c r="R24" s="665">
        <f t="shared" si="4"/>
        <v>0</v>
      </c>
      <c r="S24" s="664">
        <f t="shared" si="5"/>
        <v>0</v>
      </c>
      <c r="T24" s="663">
        <f t="shared" si="6"/>
        <v>0</v>
      </c>
      <c r="U24" s="650">
        <f t="shared" si="7"/>
        <v>0</v>
      </c>
      <c r="V24" s="650">
        <f t="shared" si="8"/>
        <v>0</v>
      </c>
      <c r="W24" s="650">
        <f t="shared" si="9"/>
        <v>0</v>
      </c>
      <c r="X24" s="650">
        <f t="shared" si="9"/>
        <v>0</v>
      </c>
      <c r="Y24" s="650">
        <f t="shared" si="10"/>
        <v>0</v>
      </c>
      <c r="Z24" s="649">
        <f t="shared" si="11"/>
        <v>0</v>
      </c>
      <c r="AA24" s="649">
        <f t="shared" si="12"/>
        <v>0</v>
      </c>
      <c r="AB24" s="649">
        <f t="shared" si="13"/>
        <v>0</v>
      </c>
      <c r="AC24" s="649">
        <f t="shared" si="13"/>
        <v>0</v>
      </c>
      <c r="AD24" s="649">
        <f t="shared" si="14"/>
        <v>0</v>
      </c>
      <c r="AE24" s="648"/>
      <c r="AF24" s="648"/>
      <c r="AG24" s="648"/>
      <c r="AH24" s="648"/>
      <c r="AI24" s="648"/>
    </row>
    <row r="25" spans="1:35" x14ac:dyDescent="0.15">
      <c r="A25" s="670">
        <v>4</v>
      </c>
      <c r="B25" s="669" t="s">
        <v>1292</v>
      </c>
      <c r="C25" s="668"/>
      <c r="D25" s="667" t="s">
        <v>1038</v>
      </c>
      <c r="E25" s="700">
        <f>+IF($A25="",IF($C25="",SUMIFS(全伝票!I:I,全伝票!$B:$B,$B25),SUMIFS(全伝票!I:I,全伝票!$C:$C,$C25)),IF($C25="",SUMIFS(全伝票!I:I,全伝票!$A:$A,$A25,全伝票!$B:$B,$B25),SUMIFS(全伝票!I:I,全伝票!$A:$A,$A25,全伝票!$C:$C,$C25)))</f>
        <v>0</v>
      </c>
      <c r="F25" s="703">
        <f>+IF($A25="",IF($C25="",SUMIFS(全伝票!J:J,全伝票!$B:$B,$B25),SUMIFS(全伝票!J:J,全伝票!$C:$C,$C25)),IF($C25="",SUMIFS(全伝票!J:J,全伝票!$A:$A,$A25,全伝票!$B:$B,$B25),SUMIFS(全伝票!J:J,全伝票!$A:$A,$A25,全伝票!$C:$C,$C25)))</f>
        <v>0</v>
      </c>
      <c r="G25" s="702">
        <f>+IF($A25="",IF($C25="",SUMIFS(全伝票!K:K,全伝票!$B:$B,$B25),SUMIFS(全伝票!K:K,全伝票!$C:$C,$C25)),IF($C25="",SUMIFS(全伝票!K:K,全伝票!$A:$A,$A25,全伝票!$B:$B,$B25),SUMIFS(全伝票!K:K,全伝票!$A:$A,$A25,全伝票!$C:$C,$C25)))</f>
        <v>0</v>
      </c>
      <c r="H25" s="702">
        <f>+IF($A25="",IF($C25="",SUMIFS(全伝票!L:L,全伝票!$B:$B,$B25),SUMIFS(全伝票!L:L,全伝票!$C:$C,$C25)),IF($C25="",SUMIFS(全伝票!L:L,全伝票!$A:$A,$A25,全伝票!$B:$B,$B25),SUMIFS(全伝票!L:L,全伝票!$A:$A,$A25,全伝票!$C:$C,$C25)))</f>
        <v>0</v>
      </c>
      <c r="I25" s="702">
        <f>+IF($A25="",IF($C25="",SUMIFS(全伝票!M:M,全伝票!$B:$B,$B25),SUMIFS(全伝票!M:M,全伝票!$C:$C,$C25)),IF($C25="",SUMIFS(全伝票!M:M,全伝票!$A:$A,$A25,全伝票!$B:$B,$B25),SUMIFS(全伝票!M:M,全伝票!$A:$A,$A25,全伝票!$C:$C,$C25)))</f>
        <v>0</v>
      </c>
      <c r="J25" s="701">
        <f>+IF($A25="",IF($C25="",SUMIFS(全伝票!N:N,全伝票!$B:$B,$B25),SUMIFS(全伝票!N:N,全伝票!$C:$C,$C25)),IF($C25="",SUMIFS(全伝票!N:N,全伝票!$A:$A,$A25,全伝票!$B:$B,$B25),SUMIFS(全伝票!N:N,全伝票!$A:$A,$A25,全伝票!$C:$C,$C25)))</f>
        <v>0</v>
      </c>
      <c r="K25" s="664">
        <f t="shared" si="0"/>
        <v>0</v>
      </c>
      <c r="L25" s="700">
        <f>+IF($A25="",IF($C25="",SUMIFS(全伝票!O:O,全伝票!$B:$B,$B25),SUMIFS(全伝票!O:O,全伝票!$C:$C,$C25)),IF($C25="",SUMIFS(全伝票!O:O,全伝票!$A:$A,$A25,全伝票!$B:$B,$B25),SUMIFS(全伝票!O:O,全伝票!$A:$A,$A25,全伝票!$C:$C,$C25)))</f>
        <v>0</v>
      </c>
      <c r="M25" s="700">
        <f>+IF($A25="",IF($C25="",SUMIFS(全伝票!P:P,全伝票!$B:$B,$B25),SUMIFS(全伝票!P:P,全伝票!$C:$C,$C25)),IF($C25="",SUMIFS(全伝票!P:P,全伝票!$A:$A,$A25,全伝票!$B:$B,$B25),SUMIFS(全伝票!P:P,全伝票!$A:$A,$A25,全伝票!$C:$C,$C25)))</f>
        <v>0</v>
      </c>
      <c r="N25" s="662">
        <f t="shared" si="1"/>
        <v>0</v>
      </c>
      <c r="O25" s="661">
        <f t="shared" si="2"/>
        <v>0</v>
      </c>
      <c r="P25" s="661">
        <f t="shared" si="3"/>
        <v>0</v>
      </c>
      <c r="Q25" s="661">
        <f t="shared" si="3"/>
        <v>0</v>
      </c>
      <c r="R25" s="665">
        <f t="shared" si="4"/>
        <v>0</v>
      </c>
      <c r="S25" s="664">
        <f t="shared" si="5"/>
        <v>0</v>
      </c>
      <c r="T25" s="663">
        <f t="shared" si="6"/>
        <v>0</v>
      </c>
      <c r="U25" s="650">
        <f t="shared" si="7"/>
        <v>0</v>
      </c>
      <c r="V25" s="650">
        <f t="shared" si="8"/>
        <v>0</v>
      </c>
      <c r="W25" s="650">
        <f t="shared" si="9"/>
        <v>0</v>
      </c>
      <c r="X25" s="650">
        <f t="shared" si="9"/>
        <v>0</v>
      </c>
      <c r="Y25" s="650">
        <f t="shared" si="10"/>
        <v>0</v>
      </c>
      <c r="Z25" s="649">
        <f t="shared" si="11"/>
        <v>0</v>
      </c>
      <c r="AA25" s="649">
        <f t="shared" si="12"/>
        <v>0</v>
      </c>
      <c r="AB25" s="649">
        <f t="shared" si="13"/>
        <v>0</v>
      </c>
      <c r="AC25" s="649">
        <f t="shared" si="13"/>
        <v>0</v>
      </c>
      <c r="AD25" s="649">
        <f t="shared" si="14"/>
        <v>0</v>
      </c>
      <c r="AE25" s="648"/>
      <c r="AF25" s="648"/>
      <c r="AG25" s="648"/>
      <c r="AH25" s="648"/>
      <c r="AI25" s="648"/>
    </row>
    <row r="26" spans="1:35" x14ac:dyDescent="0.15">
      <c r="A26" s="670">
        <v>4</v>
      </c>
      <c r="B26" s="669" t="s">
        <v>1291</v>
      </c>
      <c r="C26" s="668"/>
      <c r="D26" s="667" t="s">
        <v>1036</v>
      </c>
      <c r="E26" s="700">
        <f>+IF($A26="",IF($C26="",SUMIFS(全伝票!I:I,全伝票!$B:$B,$B26),SUMIFS(全伝票!I:I,全伝票!$C:$C,$C26)),IF($C26="",SUMIFS(全伝票!I:I,全伝票!$A:$A,$A26,全伝票!$B:$B,$B26),SUMIFS(全伝票!I:I,全伝票!$A:$A,$A26,全伝票!$C:$C,$C26)))</f>
        <v>0</v>
      </c>
      <c r="F26" s="703">
        <f>+IF($A26="",IF($C26="",SUMIFS(全伝票!J:J,全伝票!$B:$B,$B26),SUMIFS(全伝票!J:J,全伝票!$C:$C,$C26)),IF($C26="",SUMIFS(全伝票!J:J,全伝票!$A:$A,$A26,全伝票!$B:$B,$B26),SUMIFS(全伝票!J:J,全伝票!$A:$A,$A26,全伝票!$C:$C,$C26)))</f>
        <v>0</v>
      </c>
      <c r="G26" s="702">
        <f>+IF($A26="",IF($C26="",SUMIFS(全伝票!K:K,全伝票!$B:$B,$B26),SUMIFS(全伝票!K:K,全伝票!$C:$C,$C26)),IF($C26="",SUMIFS(全伝票!K:K,全伝票!$A:$A,$A26,全伝票!$B:$B,$B26),SUMIFS(全伝票!K:K,全伝票!$A:$A,$A26,全伝票!$C:$C,$C26)))</f>
        <v>0</v>
      </c>
      <c r="H26" s="702">
        <f>+IF($A26="",IF($C26="",SUMIFS(全伝票!L:L,全伝票!$B:$B,$B26),SUMIFS(全伝票!L:L,全伝票!$C:$C,$C26)),IF($C26="",SUMIFS(全伝票!L:L,全伝票!$A:$A,$A26,全伝票!$B:$B,$B26),SUMIFS(全伝票!L:L,全伝票!$A:$A,$A26,全伝票!$C:$C,$C26)))</f>
        <v>0</v>
      </c>
      <c r="I26" s="702">
        <f>+IF($A26="",IF($C26="",SUMIFS(全伝票!M:M,全伝票!$B:$B,$B26),SUMIFS(全伝票!M:M,全伝票!$C:$C,$C26)),IF($C26="",SUMIFS(全伝票!M:M,全伝票!$A:$A,$A26,全伝票!$B:$B,$B26),SUMIFS(全伝票!M:M,全伝票!$A:$A,$A26,全伝票!$C:$C,$C26)))</f>
        <v>0</v>
      </c>
      <c r="J26" s="701">
        <f>+IF($A26="",IF($C26="",SUMIFS(全伝票!N:N,全伝票!$B:$B,$B26),SUMIFS(全伝票!N:N,全伝票!$C:$C,$C26)),IF($C26="",SUMIFS(全伝票!N:N,全伝票!$A:$A,$A26,全伝票!$B:$B,$B26),SUMIFS(全伝票!N:N,全伝票!$A:$A,$A26,全伝票!$C:$C,$C26)))</f>
        <v>0</v>
      </c>
      <c r="K26" s="664">
        <f t="shared" si="0"/>
        <v>0</v>
      </c>
      <c r="L26" s="700">
        <f>+IF($A26="",IF($C26="",SUMIFS(全伝票!O:O,全伝票!$B:$B,$B26),SUMIFS(全伝票!O:O,全伝票!$C:$C,$C26)),IF($C26="",SUMIFS(全伝票!O:O,全伝票!$A:$A,$A26,全伝票!$B:$B,$B26),SUMIFS(全伝票!O:O,全伝票!$A:$A,$A26,全伝票!$C:$C,$C26)))</f>
        <v>0</v>
      </c>
      <c r="M26" s="700">
        <f>+IF($A26="",IF($C26="",SUMIFS(全伝票!P:P,全伝票!$B:$B,$B26),SUMIFS(全伝票!P:P,全伝票!$C:$C,$C26)),IF($C26="",SUMIFS(全伝票!P:P,全伝票!$A:$A,$A26,全伝票!$B:$B,$B26),SUMIFS(全伝票!P:P,全伝票!$A:$A,$A26,全伝票!$C:$C,$C26)))</f>
        <v>0</v>
      </c>
      <c r="N26" s="662">
        <f t="shared" si="1"/>
        <v>0</v>
      </c>
      <c r="O26" s="661">
        <f t="shared" si="2"/>
        <v>0</v>
      </c>
      <c r="P26" s="661">
        <f t="shared" si="3"/>
        <v>0</v>
      </c>
      <c r="Q26" s="661">
        <f t="shared" si="3"/>
        <v>0</v>
      </c>
      <c r="R26" s="665">
        <f t="shared" si="4"/>
        <v>0</v>
      </c>
      <c r="S26" s="664">
        <f t="shared" si="5"/>
        <v>0</v>
      </c>
      <c r="T26" s="663">
        <f t="shared" si="6"/>
        <v>0</v>
      </c>
      <c r="U26" s="650">
        <f t="shared" si="7"/>
        <v>0</v>
      </c>
      <c r="V26" s="650">
        <f t="shared" si="8"/>
        <v>0</v>
      </c>
      <c r="W26" s="650">
        <f t="shared" si="9"/>
        <v>0</v>
      </c>
      <c r="X26" s="650">
        <f t="shared" si="9"/>
        <v>0</v>
      </c>
      <c r="Y26" s="650">
        <f t="shared" si="10"/>
        <v>0</v>
      </c>
      <c r="Z26" s="649">
        <f t="shared" si="11"/>
        <v>0</v>
      </c>
      <c r="AA26" s="649">
        <f t="shared" si="12"/>
        <v>0</v>
      </c>
      <c r="AB26" s="649">
        <f t="shared" si="13"/>
        <v>0</v>
      </c>
      <c r="AC26" s="649">
        <f t="shared" si="13"/>
        <v>0</v>
      </c>
      <c r="AD26" s="649">
        <f t="shared" si="14"/>
        <v>0</v>
      </c>
      <c r="AE26" s="648"/>
      <c r="AF26" s="648"/>
      <c r="AG26" s="648"/>
      <c r="AH26" s="648"/>
      <c r="AI26" s="648"/>
    </row>
    <row r="27" spans="1:35" x14ac:dyDescent="0.15">
      <c r="A27" s="670">
        <v>4</v>
      </c>
      <c r="B27" s="669" t="s">
        <v>1305</v>
      </c>
      <c r="C27" s="668">
        <v>615531003</v>
      </c>
      <c r="D27" s="667" t="s">
        <v>1349</v>
      </c>
      <c r="E27" s="700">
        <f>+IF($A27="",IF($C27="",SUMIFS(全伝票!I:I,全伝票!$B:$B,$B27),SUMIFS(全伝票!I:I,全伝票!$C:$C,$C27)),IF($C27="",SUMIFS(全伝票!I:I,全伝票!$A:$A,$A27,全伝票!$B:$B,$B27),SUMIFS(全伝票!I:I,全伝票!$A:$A,$A27,全伝票!$C:$C,$C27)))</f>
        <v>208660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208660</v>
      </c>
      <c r="K27" s="664">
        <f t="shared" si="0"/>
        <v>208660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1"/>
        <v>0</v>
      </c>
      <c r="O27" s="661">
        <f t="shared" si="2"/>
        <v>0</v>
      </c>
      <c r="P27" s="661">
        <f t="shared" si="3"/>
        <v>0</v>
      </c>
      <c r="Q27" s="661">
        <f t="shared" si="3"/>
        <v>0</v>
      </c>
      <c r="R27" s="665">
        <f t="shared" si="4"/>
        <v>18969</v>
      </c>
      <c r="S27" s="664">
        <f t="shared" si="5"/>
        <v>18969</v>
      </c>
      <c r="T27" s="663">
        <f t="shared" si="6"/>
        <v>189691</v>
      </c>
      <c r="U27" s="650">
        <f t="shared" si="7"/>
        <v>0</v>
      </c>
      <c r="V27" s="650">
        <f t="shared" si="8"/>
        <v>0</v>
      </c>
      <c r="W27" s="650">
        <f t="shared" si="9"/>
        <v>0</v>
      </c>
      <c r="X27" s="650">
        <f t="shared" si="9"/>
        <v>0</v>
      </c>
      <c r="Y27" s="650">
        <f t="shared" si="10"/>
        <v>-9.0909090908098733E-2</v>
      </c>
      <c r="Z27" s="649">
        <f t="shared" si="11"/>
        <v>0</v>
      </c>
      <c r="AA27" s="649">
        <f t="shared" si="12"/>
        <v>0</v>
      </c>
      <c r="AB27" s="649">
        <f t="shared" si="13"/>
        <v>0</v>
      </c>
      <c r="AC27" s="649">
        <f t="shared" si="13"/>
        <v>0</v>
      </c>
      <c r="AD27" s="649">
        <f t="shared" si="14"/>
        <v>0</v>
      </c>
      <c r="AE27" s="648"/>
      <c r="AF27" s="648"/>
      <c r="AG27" s="648"/>
      <c r="AH27" s="648"/>
      <c r="AI27" s="648"/>
    </row>
    <row r="28" spans="1:35" x14ac:dyDescent="0.15">
      <c r="A28" s="670">
        <v>4</v>
      </c>
      <c r="B28" s="669" t="s">
        <v>1290</v>
      </c>
      <c r="C28" s="668"/>
      <c r="D28" s="667" t="s">
        <v>1034</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0"/>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1"/>
        <v>0</v>
      </c>
      <c r="O28" s="661">
        <f t="shared" si="2"/>
        <v>0</v>
      </c>
      <c r="P28" s="661">
        <f t="shared" si="3"/>
        <v>0</v>
      </c>
      <c r="Q28" s="661">
        <f t="shared" si="3"/>
        <v>0</v>
      </c>
      <c r="R28" s="665">
        <f t="shared" si="4"/>
        <v>0</v>
      </c>
      <c r="S28" s="664">
        <f t="shared" si="5"/>
        <v>0</v>
      </c>
      <c r="T28" s="663">
        <f t="shared" si="6"/>
        <v>0</v>
      </c>
      <c r="U28" s="650">
        <f t="shared" si="7"/>
        <v>0</v>
      </c>
      <c r="V28" s="650">
        <f t="shared" si="8"/>
        <v>0</v>
      </c>
      <c r="W28" s="650">
        <f t="shared" si="9"/>
        <v>0</v>
      </c>
      <c r="X28" s="650">
        <f t="shared" si="9"/>
        <v>0</v>
      </c>
      <c r="Y28" s="650">
        <f t="shared" si="10"/>
        <v>0</v>
      </c>
      <c r="Z28" s="649">
        <f t="shared" si="11"/>
        <v>0</v>
      </c>
      <c r="AA28" s="649">
        <f t="shared" si="12"/>
        <v>0</v>
      </c>
      <c r="AB28" s="649">
        <f t="shared" si="13"/>
        <v>0</v>
      </c>
      <c r="AC28" s="649">
        <f t="shared" si="13"/>
        <v>0</v>
      </c>
      <c r="AD28" s="649">
        <f t="shared" si="14"/>
        <v>0</v>
      </c>
      <c r="AE28" s="648"/>
      <c r="AF28" s="648"/>
      <c r="AG28" s="648"/>
      <c r="AH28" s="648"/>
      <c r="AI28" s="648"/>
    </row>
    <row r="29" spans="1:35" x14ac:dyDescent="0.15">
      <c r="A29" s="670">
        <v>4</v>
      </c>
      <c r="B29" s="669" t="s">
        <v>1289</v>
      </c>
      <c r="C29" s="668"/>
      <c r="D29" s="667" t="s">
        <v>1032</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0"/>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1"/>
        <v>0</v>
      </c>
      <c r="O29" s="661">
        <f t="shared" si="2"/>
        <v>0</v>
      </c>
      <c r="P29" s="661">
        <f t="shared" si="3"/>
        <v>0</v>
      </c>
      <c r="Q29" s="661">
        <f t="shared" si="3"/>
        <v>0</v>
      </c>
      <c r="R29" s="665">
        <f t="shared" si="4"/>
        <v>0</v>
      </c>
      <c r="S29" s="664">
        <f t="shared" si="5"/>
        <v>0</v>
      </c>
      <c r="T29" s="663">
        <f t="shared" si="6"/>
        <v>0</v>
      </c>
      <c r="U29" s="650">
        <f t="shared" si="7"/>
        <v>0</v>
      </c>
      <c r="V29" s="650">
        <f t="shared" si="8"/>
        <v>0</v>
      </c>
      <c r="W29" s="650">
        <f t="shared" si="9"/>
        <v>0</v>
      </c>
      <c r="X29" s="650">
        <f t="shared" si="9"/>
        <v>0</v>
      </c>
      <c r="Y29" s="650">
        <f t="shared" si="10"/>
        <v>0</v>
      </c>
      <c r="Z29" s="649">
        <f t="shared" si="11"/>
        <v>0</v>
      </c>
      <c r="AA29" s="649">
        <f t="shared" si="12"/>
        <v>0</v>
      </c>
      <c r="AB29" s="649">
        <f t="shared" si="13"/>
        <v>0</v>
      </c>
      <c r="AC29" s="649">
        <f t="shared" si="13"/>
        <v>0</v>
      </c>
      <c r="AD29" s="649">
        <f t="shared" si="14"/>
        <v>0</v>
      </c>
      <c r="AE29" s="648"/>
      <c r="AF29" s="648"/>
      <c r="AG29" s="648"/>
      <c r="AH29" s="648"/>
      <c r="AI29" s="648"/>
    </row>
    <row r="30" spans="1:35" x14ac:dyDescent="0.15">
      <c r="A30" s="670">
        <v>4</v>
      </c>
      <c r="B30" s="669" t="s">
        <v>1288</v>
      </c>
      <c r="C30" s="668"/>
      <c r="D30" s="667" t="s">
        <v>1030</v>
      </c>
      <c r="E30" s="700">
        <f>+IF($A30="",IF($C30="",SUMIFS(全伝票!I:I,全伝票!$B:$B,$B30),SUMIFS(全伝票!I:I,全伝票!$C:$C,$C30)),IF($C30="",SUMIFS(全伝票!I:I,全伝票!$A:$A,$A30,全伝票!$B:$B,$B30),SUMIFS(全伝票!I:I,全伝票!$A:$A,$A30,全伝票!$C:$C,$C30)))</f>
        <v>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0"/>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0</v>
      </c>
      <c r="N30" s="662">
        <f t="shared" si="1"/>
        <v>0</v>
      </c>
      <c r="O30" s="661">
        <f t="shared" si="2"/>
        <v>0</v>
      </c>
      <c r="P30" s="661">
        <f t="shared" si="3"/>
        <v>0</v>
      </c>
      <c r="Q30" s="661">
        <f t="shared" si="3"/>
        <v>0</v>
      </c>
      <c r="R30" s="665">
        <f t="shared" si="4"/>
        <v>0</v>
      </c>
      <c r="S30" s="664">
        <f t="shared" si="5"/>
        <v>0</v>
      </c>
      <c r="T30" s="663">
        <f t="shared" si="6"/>
        <v>0</v>
      </c>
      <c r="U30" s="650">
        <f t="shared" si="7"/>
        <v>0</v>
      </c>
      <c r="V30" s="650">
        <f t="shared" si="8"/>
        <v>0</v>
      </c>
      <c r="W30" s="650">
        <f t="shared" si="9"/>
        <v>0</v>
      </c>
      <c r="X30" s="650">
        <f t="shared" si="9"/>
        <v>0</v>
      </c>
      <c r="Y30" s="650">
        <f t="shared" si="10"/>
        <v>0</v>
      </c>
      <c r="Z30" s="649">
        <f t="shared" si="11"/>
        <v>0</v>
      </c>
      <c r="AA30" s="649">
        <f t="shared" si="12"/>
        <v>0</v>
      </c>
      <c r="AB30" s="649">
        <f t="shared" si="13"/>
        <v>0</v>
      </c>
      <c r="AC30" s="649">
        <f t="shared" si="13"/>
        <v>0</v>
      </c>
      <c r="AD30" s="649">
        <f t="shared" si="14"/>
        <v>0</v>
      </c>
      <c r="AE30" s="648"/>
      <c r="AF30" s="648"/>
      <c r="AG30" s="648"/>
      <c r="AH30" s="648"/>
      <c r="AI30" s="648"/>
    </row>
    <row r="31" spans="1:35" x14ac:dyDescent="0.15">
      <c r="A31" s="670">
        <v>4</v>
      </c>
      <c r="B31" s="669" t="s">
        <v>1287</v>
      </c>
      <c r="C31" s="668"/>
      <c r="D31" s="667" t="s">
        <v>1028</v>
      </c>
      <c r="E31" s="700">
        <f>+IF($A31="",IF($C31="",SUMIFS(全伝票!I:I,全伝票!$B:$B,$B31),SUMIFS(全伝票!I:I,全伝票!$C:$C,$C31)),IF($C31="",SUMIFS(全伝票!I:I,全伝票!$A:$A,$A31,全伝票!$B:$B,$B31),SUMIFS(全伝票!I:I,全伝票!$A:$A,$A31,全伝票!$C:$C,$C31)))</f>
        <v>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0"/>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0</v>
      </c>
      <c r="N31" s="662">
        <f t="shared" si="1"/>
        <v>0</v>
      </c>
      <c r="O31" s="661">
        <f t="shared" si="2"/>
        <v>0</v>
      </c>
      <c r="P31" s="661">
        <f t="shared" si="3"/>
        <v>0</v>
      </c>
      <c r="Q31" s="661">
        <f t="shared" si="3"/>
        <v>0</v>
      </c>
      <c r="R31" s="665">
        <f t="shared" si="4"/>
        <v>0</v>
      </c>
      <c r="S31" s="664">
        <f t="shared" si="5"/>
        <v>0</v>
      </c>
      <c r="T31" s="663">
        <f t="shared" si="6"/>
        <v>0</v>
      </c>
      <c r="U31" s="650">
        <f t="shared" si="7"/>
        <v>0</v>
      </c>
      <c r="V31" s="650">
        <f t="shared" si="8"/>
        <v>0</v>
      </c>
      <c r="W31" s="650">
        <f t="shared" si="9"/>
        <v>0</v>
      </c>
      <c r="X31" s="650">
        <f t="shared" si="9"/>
        <v>0</v>
      </c>
      <c r="Y31" s="650">
        <f t="shared" si="10"/>
        <v>0</v>
      </c>
      <c r="Z31" s="649">
        <f t="shared" si="11"/>
        <v>0</v>
      </c>
      <c r="AA31" s="649">
        <f t="shared" si="12"/>
        <v>0</v>
      </c>
      <c r="AB31" s="649">
        <f t="shared" si="13"/>
        <v>0</v>
      </c>
      <c r="AC31" s="649">
        <f t="shared" si="13"/>
        <v>0</v>
      </c>
      <c r="AD31" s="649">
        <f t="shared" si="14"/>
        <v>0</v>
      </c>
      <c r="AE31" s="648"/>
      <c r="AF31" s="648"/>
      <c r="AG31" s="648"/>
      <c r="AH31" s="648"/>
      <c r="AI31" s="648"/>
    </row>
    <row r="32" spans="1:35" x14ac:dyDescent="0.15">
      <c r="A32" s="670"/>
      <c r="B32" s="669" t="s">
        <v>1286</v>
      </c>
      <c r="C32" s="668"/>
      <c r="D32" s="667" t="s">
        <v>1026</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0"/>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1"/>
        <v>0</v>
      </c>
      <c r="O32" s="661">
        <f t="shared" si="2"/>
        <v>0</v>
      </c>
      <c r="P32" s="661">
        <f t="shared" si="3"/>
        <v>0</v>
      </c>
      <c r="Q32" s="661">
        <f t="shared" si="3"/>
        <v>0</v>
      </c>
      <c r="R32" s="665">
        <f t="shared" si="4"/>
        <v>0</v>
      </c>
      <c r="S32" s="664">
        <f t="shared" si="5"/>
        <v>0</v>
      </c>
      <c r="T32" s="663">
        <f t="shared" si="6"/>
        <v>0</v>
      </c>
      <c r="U32" s="650">
        <f t="shared" si="7"/>
        <v>0</v>
      </c>
      <c r="V32" s="650">
        <f t="shared" si="8"/>
        <v>0</v>
      </c>
      <c r="W32" s="650">
        <f t="shared" si="9"/>
        <v>0</v>
      </c>
      <c r="X32" s="650">
        <f t="shared" si="9"/>
        <v>0</v>
      </c>
      <c r="Y32" s="650">
        <f t="shared" si="10"/>
        <v>0</v>
      </c>
      <c r="Z32" s="649">
        <f t="shared" si="11"/>
        <v>0</v>
      </c>
      <c r="AA32" s="649">
        <f t="shared" si="12"/>
        <v>0</v>
      </c>
      <c r="AB32" s="649">
        <f t="shared" si="13"/>
        <v>0</v>
      </c>
      <c r="AC32" s="649">
        <f t="shared" si="13"/>
        <v>0</v>
      </c>
      <c r="AD32" s="649">
        <f t="shared" si="14"/>
        <v>0</v>
      </c>
      <c r="AE32" s="648"/>
      <c r="AF32" s="648"/>
      <c r="AG32" s="648"/>
      <c r="AH32" s="648"/>
      <c r="AI32" s="648"/>
    </row>
    <row r="33" spans="1:35" x14ac:dyDescent="0.15">
      <c r="A33" s="670">
        <v>4</v>
      </c>
      <c r="B33" s="669" t="s">
        <v>1285</v>
      </c>
      <c r="C33" s="668"/>
      <c r="D33" s="667" t="s">
        <v>1024</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0"/>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1"/>
        <v>0</v>
      </c>
      <c r="O33" s="661">
        <f t="shared" si="2"/>
        <v>0</v>
      </c>
      <c r="P33" s="661">
        <f t="shared" si="3"/>
        <v>0</v>
      </c>
      <c r="Q33" s="661">
        <f t="shared" si="3"/>
        <v>0</v>
      </c>
      <c r="R33" s="665">
        <f t="shared" si="4"/>
        <v>0</v>
      </c>
      <c r="S33" s="664">
        <f t="shared" si="5"/>
        <v>0</v>
      </c>
      <c r="T33" s="663">
        <f t="shared" si="6"/>
        <v>0</v>
      </c>
      <c r="U33" s="650">
        <f t="shared" si="7"/>
        <v>0</v>
      </c>
      <c r="V33" s="650">
        <f t="shared" si="8"/>
        <v>0</v>
      </c>
      <c r="W33" s="650">
        <f t="shared" si="9"/>
        <v>0</v>
      </c>
      <c r="X33" s="650">
        <f t="shared" si="9"/>
        <v>0</v>
      </c>
      <c r="Y33" s="650">
        <f t="shared" si="10"/>
        <v>0</v>
      </c>
      <c r="Z33" s="649">
        <f t="shared" si="11"/>
        <v>0</v>
      </c>
      <c r="AA33" s="649">
        <f t="shared" si="12"/>
        <v>0</v>
      </c>
      <c r="AB33" s="649">
        <f t="shared" si="13"/>
        <v>0</v>
      </c>
      <c r="AC33" s="649">
        <f t="shared" si="13"/>
        <v>0</v>
      </c>
      <c r="AD33" s="649">
        <f t="shared" si="14"/>
        <v>0</v>
      </c>
      <c r="AE33" s="648"/>
      <c r="AF33" s="648"/>
      <c r="AG33" s="648"/>
      <c r="AH33" s="648"/>
      <c r="AI33" s="648"/>
    </row>
    <row r="34" spans="1:35" x14ac:dyDescent="0.15">
      <c r="A34" s="670">
        <v>4</v>
      </c>
      <c r="B34" s="669" t="s">
        <v>1284</v>
      </c>
      <c r="C34" s="668"/>
      <c r="D34" s="667" t="s">
        <v>1022</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0"/>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1"/>
        <v>0</v>
      </c>
      <c r="O34" s="661">
        <f t="shared" si="2"/>
        <v>0</v>
      </c>
      <c r="P34" s="661">
        <f t="shared" si="3"/>
        <v>0</v>
      </c>
      <c r="Q34" s="661">
        <f t="shared" si="3"/>
        <v>0</v>
      </c>
      <c r="R34" s="665">
        <f t="shared" si="4"/>
        <v>0</v>
      </c>
      <c r="S34" s="664">
        <f t="shared" si="5"/>
        <v>0</v>
      </c>
      <c r="T34" s="663">
        <f t="shared" si="6"/>
        <v>0</v>
      </c>
      <c r="U34" s="650">
        <f t="shared" si="7"/>
        <v>0</v>
      </c>
      <c r="V34" s="650">
        <f t="shared" si="8"/>
        <v>0</v>
      </c>
      <c r="W34" s="650">
        <f t="shared" si="9"/>
        <v>0</v>
      </c>
      <c r="X34" s="650">
        <f t="shared" si="9"/>
        <v>0</v>
      </c>
      <c r="Y34" s="650">
        <f t="shared" si="10"/>
        <v>0</v>
      </c>
      <c r="Z34" s="649">
        <f t="shared" si="11"/>
        <v>0</v>
      </c>
      <c r="AA34" s="649">
        <f t="shared" si="12"/>
        <v>0</v>
      </c>
      <c r="AB34" s="649">
        <f t="shared" si="13"/>
        <v>0</v>
      </c>
      <c r="AC34" s="649">
        <f t="shared" si="13"/>
        <v>0</v>
      </c>
      <c r="AD34" s="649">
        <f t="shared" si="14"/>
        <v>0</v>
      </c>
      <c r="AE34" s="648"/>
      <c r="AF34" s="648"/>
      <c r="AG34" s="648"/>
      <c r="AH34" s="648"/>
      <c r="AI34" s="648"/>
    </row>
    <row r="35" spans="1:35" x14ac:dyDescent="0.15">
      <c r="A35" s="670">
        <v>4</v>
      </c>
      <c r="B35" s="669" t="s">
        <v>1278</v>
      </c>
      <c r="C35" s="668" t="s">
        <v>1283</v>
      </c>
      <c r="D35" s="667" t="s">
        <v>1020</v>
      </c>
      <c r="E35" s="700">
        <f>+IF($A35="",IF($C35="",SUMIFS(全伝票!I:I,全伝票!$B:$B,$B35),SUMIFS(全伝票!I:I,全伝票!$C:$C,$C35)),IF($C35="",SUMIFS(全伝票!I:I,全伝票!$A:$A,$A35,全伝票!$B:$B,$B35),SUMIFS(全伝票!I:I,全伝票!$A:$A,$A35,全伝票!$C:$C,$C35)))</f>
        <v>59382913</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59382913</v>
      </c>
      <c r="K35" s="664">
        <f t="shared" si="0"/>
        <v>59382913</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1"/>
        <v>0</v>
      </c>
      <c r="O35" s="661">
        <f t="shared" si="2"/>
        <v>0</v>
      </c>
      <c r="P35" s="661">
        <f t="shared" si="3"/>
        <v>0</v>
      </c>
      <c r="Q35" s="661">
        <f t="shared" si="3"/>
        <v>0</v>
      </c>
      <c r="R35" s="665">
        <f t="shared" si="4"/>
        <v>5398447</v>
      </c>
      <c r="S35" s="664">
        <f t="shared" si="5"/>
        <v>5398447</v>
      </c>
      <c r="T35" s="663">
        <f t="shared" si="6"/>
        <v>53984466</v>
      </c>
      <c r="U35" s="650">
        <f t="shared" si="7"/>
        <v>0</v>
      </c>
      <c r="V35" s="650">
        <f t="shared" si="8"/>
        <v>0</v>
      </c>
      <c r="W35" s="650">
        <f t="shared" si="9"/>
        <v>0</v>
      </c>
      <c r="X35" s="650">
        <f t="shared" si="9"/>
        <v>0</v>
      </c>
      <c r="Y35" s="650">
        <f t="shared" si="10"/>
        <v>0.36363636329770088</v>
      </c>
      <c r="Z35" s="649">
        <f t="shared" si="11"/>
        <v>0</v>
      </c>
      <c r="AA35" s="649">
        <f t="shared" si="12"/>
        <v>0</v>
      </c>
      <c r="AB35" s="649">
        <f t="shared" si="13"/>
        <v>0</v>
      </c>
      <c r="AC35" s="649">
        <f t="shared" si="13"/>
        <v>0</v>
      </c>
      <c r="AD35" s="649">
        <f t="shared" si="14"/>
        <v>0</v>
      </c>
      <c r="AE35" s="648"/>
      <c r="AF35" s="648"/>
      <c r="AG35" s="648"/>
      <c r="AH35" s="648"/>
      <c r="AI35" s="648"/>
    </row>
    <row r="36" spans="1:35" x14ac:dyDescent="0.15">
      <c r="A36" s="670">
        <v>4</v>
      </c>
      <c r="B36" s="669" t="s">
        <v>1278</v>
      </c>
      <c r="C36" s="668" t="s">
        <v>1282</v>
      </c>
      <c r="D36" s="667" t="s">
        <v>1018</v>
      </c>
      <c r="E36" s="700">
        <f>+IF($A36="",IF($C36="",SUMIFS(全伝票!I:I,全伝票!$B:$B,$B36),SUMIFS(全伝票!I:I,全伝票!$C:$C,$C36)),IF($C36="",SUMIFS(全伝票!I:I,全伝票!$A:$A,$A36,全伝票!$B:$B,$B36),SUMIFS(全伝票!I:I,全伝票!$A:$A,$A36,全伝票!$C:$C,$C36)))</f>
        <v>0</v>
      </c>
      <c r="F36" s="703">
        <f>+IF($A36="",IF($C36="",SUMIFS(全伝票!J:J,全伝票!$B:$B,$B36),SUMIFS(全伝票!J:J,全伝票!$C:$C,$C36)),IF($C36="",SUMIFS(全伝票!J:J,全伝票!$A:$A,$A36,全伝票!$B:$B,$B36),SUMIFS(全伝票!J:J,全伝票!$A:$A,$A36,全伝票!$C:$C,$C36)))</f>
        <v>0</v>
      </c>
      <c r="G36" s="702">
        <f>+IF($A36="",IF($C36="",SUMIFS(全伝票!K:K,全伝票!$B:$B,$B36),SUMIFS(全伝票!K:K,全伝票!$C:$C,$C36)),IF($C36="",SUMIFS(全伝票!K:K,全伝票!$A:$A,$A36,全伝票!$B:$B,$B36),SUMIFS(全伝票!K:K,全伝票!$A:$A,$A36,全伝票!$C:$C,$C36)))</f>
        <v>0</v>
      </c>
      <c r="H36" s="702">
        <f>+IF($A36="",IF($C36="",SUMIFS(全伝票!L:L,全伝票!$B:$B,$B36),SUMIFS(全伝票!L:L,全伝票!$C:$C,$C36)),IF($C36="",SUMIFS(全伝票!L:L,全伝票!$A:$A,$A36,全伝票!$B:$B,$B36),SUMIFS(全伝票!L:L,全伝票!$A:$A,$A36,全伝票!$C:$C,$C36)))</f>
        <v>0</v>
      </c>
      <c r="I36" s="702">
        <f>+IF($A36="",IF($C36="",SUMIFS(全伝票!M:M,全伝票!$B:$B,$B36),SUMIFS(全伝票!M:M,全伝票!$C:$C,$C36)),IF($C36="",SUMIFS(全伝票!M:M,全伝票!$A:$A,$A36,全伝票!$B:$B,$B36),SUMIFS(全伝票!M:M,全伝票!$A:$A,$A36,全伝票!$C:$C,$C36)))</f>
        <v>0</v>
      </c>
      <c r="J36" s="701">
        <f>+IF($A36="",IF($C36="",SUMIFS(全伝票!N:N,全伝票!$B:$B,$B36),SUMIFS(全伝票!N:N,全伝票!$C:$C,$C36)),IF($C36="",SUMIFS(全伝票!N:N,全伝票!$A:$A,$A36,全伝票!$B:$B,$B36),SUMIFS(全伝票!N:N,全伝票!$A:$A,$A36,全伝票!$C:$C,$C36)))</f>
        <v>0</v>
      </c>
      <c r="K36" s="664">
        <f t="shared" si="0"/>
        <v>0</v>
      </c>
      <c r="L36" s="700">
        <f>+IF($A36="",IF($C36="",SUMIFS(全伝票!O:O,全伝票!$B:$B,$B36),SUMIFS(全伝票!O:O,全伝票!$C:$C,$C36)),IF($C36="",SUMIFS(全伝票!O:O,全伝票!$A:$A,$A36,全伝票!$B:$B,$B36),SUMIFS(全伝票!O:O,全伝票!$A:$A,$A36,全伝票!$C:$C,$C36)))</f>
        <v>0</v>
      </c>
      <c r="M36" s="700">
        <f>+IF($A36="",IF($C36="",SUMIFS(全伝票!P:P,全伝票!$B:$B,$B36),SUMIFS(全伝票!P:P,全伝票!$C:$C,$C36)),IF($C36="",SUMIFS(全伝票!P:P,全伝票!$A:$A,$A36,全伝票!$B:$B,$B36),SUMIFS(全伝票!P:P,全伝票!$A:$A,$A36,全伝票!$C:$C,$C36)))</f>
        <v>0</v>
      </c>
      <c r="N36" s="662">
        <f t="shared" si="1"/>
        <v>0</v>
      </c>
      <c r="O36" s="661">
        <f t="shared" si="2"/>
        <v>0</v>
      </c>
      <c r="P36" s="661">
        <f t="shared" si="3"/>
        <v>0</v>
      </c>
      <c r="Q36" s="661">
        <f t="shared" si="3"/>
        <v>0</v>
      </c>
      <c r="R36" s="665">
        <f t="shared" si="4"/>
        <v>0</v>
      </c>
      <c r="S36" s="664">
        <f t="shared" si="5"/>
        <v>0</v>
      </c>
      <c r="T36" s="663">
        <f t="shared" si="6"/>
        <v>0</v>
      </c>
      <c r="U36" s="650">
        <f t="shared" si="7"/>
        <v>0</v>
      </c>
      <c r="V36" s="650">
        <f t="shared" si="8"/>
        <v>0</v>
      </c>
      <c r="W36" s="650">
        <f t="shared" si="9"/>
        <v>0</v>
      </c>
      <c r="X36" s="650">
        <f t="shared" si="9"/>
        <v>0</v>
      </c>
      <c r="Y36" s="650">
        <f t="shared" si="10"/>
        <v>0</v>
      </c>
      <c r="Z36" s="649">
        <f t="shared" si="11"/>
        <v>0</v>
      </c>
      <c r="AA36" s="649">
        <f t="shared" si="12"/>
        <v>0</v>
      </c>
      <c r="AB36" s="649">
        <f t="shared" si="13"/>
        <v>0</v>
      </c>
      <c r="AC36" s="649">
        <f t="shared" si="13"/>
        <v>0</v>
      </c>
      <c r="AD36" s="649">
        <f t="shared" si="14"/>
        <v>0</v>
      </c>
      <c r="AE36" s="648"/>
      <c r="AF36" s="648"/>
      <c r="AG36" s="648"/>
      <c r="AH36" s="648"/>
      <c r="AI36" s="648"/>
    </row>
    <row r="37" spans="1:35" x14ac:dyDescent="0.15">
      <c r="A37" s="670">
        <v>4</v>
      </c>
      <c r="B37" s="669" t="s">
        <v>1278</v>
      </c>
      <c r="C37" s="668" t="s">
        <v>1281</v>
      </c>
      <c r="D37" s="667" t="s">
        <v>1016</v>
      </c>
      <c r="E37" s="700">
        <f>+IF($A37="",IF($C37="",SUMIFS(全伝票!I:I,全伝票!$B:$B,$B37),SUMIFS(全伝票!I:I,全伝票!$C:$C,$C37)),IF($C37="",SUMIFS(全伝票!I:I,全伝票!$A:$A,$A37,全伝票!$B:$B,$B37),SUMIFS(全伝票!I:I,全伝票!$A:$A,$A37,全伝票!$C:$C,$C37)))</f>
        <v>16918900</v>
      </c>
      <c r="F37" s="703">
        <f>+IF($A37="",IF($C37="",SUMIFS(全伝票!J:J,全伝票!$B:$B,$B37),SUMIFS(全伝票!J:J,全伝票!$C:$C,$C37)),IF($C37="",SUMIFS(全伝票!J:J,全伝票!$A:$A,$A37,全伝票!$B:$B,$B37),SUMIFS(全伝票!J:J,全伝票!$A:$A,$A37,全伝票!$C:$C,$C37)))</f>
        <v>0</v>
      </c>
      <c r="G37" s="702">
        <f>+IF($A37="",IF($C37="",SUMIFS(全伝票!K:K,全伝票!$B:$B,$B37),SUMIFS(全伝票!K:K,全伝票!$C:$C,$C37)),IF($C37="",SUMIFS(全伝票!K:K,全伝票!$A:$A,$A37,全伝票!$B:$B,$B37),SUMIFS(全伝票!K:K,全伝票!$A:$A,$A37,全伝票!$C:$C,$C37)))</f>
        <v>0</v>
      </c>
      <c r="H37" s="702">
        <f>+IF($A37="",IF($C37="",SUMIFS(全伝票!L:L,全伝票!$B:$B,$B37),SUMIFS(全伝票!L:L,全伝票!$C:$C,$C37)),IF($C37="",SUMIFS(全伝票!L:L,全伝票!$A:$A,$A37,全伝票!$B:$B,$B37),SUMIFS(全伝票!L:L,全伝票!$A:$A,$A37,全伝票!$C:$C,$C37)))</f>
        <v>0</v>
      </c>
      <c r="I37" s="702">
        <f>+IF($A37="",IF($C37="",SUMIFS(全伝票!M:M,全伝票!$B:$B,$B37),SUMIFS(全伝票!M:M,全伝票!$C:$C,$C37)),IF($C37="",SUMIFS(全伝票!M:M,全伝票!$A:$A,$A37,全伝票!$B:$B,$B37),SUMIFS(全伝票!M:M,全伝票!$A:$A,$A37,全伝票!$C:$C,$C37)))</f>
        <v>0</v>
      </c>
      <c r="J37" s="701">
        <f>+IF($A37="",IF($C37="",SUMIFS(全伝票!N:N,全伝票!$B:$B,$B37),SUMIFS(全伝票!N:N,全伝票!$C:$C,$C37)),IF($C37="",SUMIFS(全伝票!N:N,全伝票!$A:$A,$A37,全伝票!$B:$B,$B37),SUMIFS(全伝票!N:N,全伝票!$A:$A,$A37,全伝票!$C:$C,$C37)))</f>
        <v>16918900</v>
      </c>
      <c r="K37" s="664">
        <f t="shared" si="0"/>
        <v>16918900</v>
      </c>
      <c r="L37" s="700">
        <f>+IF($A37="",IF($C37="",SUMIFS(全伝票!O:O,全伝票!$B:$B,$B37),SUMIFS(全伝票!O:O,全伝票!$C:$C,$C37)),IF($C37="",SUMIFS(全伝票!O:O,全伝票!$A:$A,$A37,全伝票!$B:$B,$B37),SUMIFS(全伝票!O:O,全伝票!$A:$A,$A37,全伝票!$C:$C,$C37)))</f>
        <v>0</v>
      </c>
      <c r="M37" s="700">
        <f>+IF($A37="",IF($C37="",SUMIFS(全伝票!P:P,全伝票!$B:$B,$B37),SUMIFS(全伝票!P:P,全伝票!$C:$C,$C37)),IF($C37="",SUMIFS(全伝票!P:P,全伝票!$A:$A,$A37,全伝票!$B:$B,$B37),SUMIFS(全伝票!P:P,全伝票!$A:$A,$A37,全伝票!$C:$C,$C37)))</f>
        <v>0</v>
      </c>
      <c r="N37" s="662">
        <f t="shared" si="1"/>
        <v>0</v>
      </c>
      <c r="O37" s="661">
        <f t="shared" si="2"/>
        <v>0</v>
      </c>
      <c r="P37" s="661">
        <f t="shared" si="3"/>
        <v>0</v>
      </c>
      <c r="Q37" s="661">
        <f t="shared" si="3"/>
        <v>0</v>
      </c>
      <c r="R37" s="665">
        <f t="shared" si="4"/>
        <v>1538082</v>
      </c>
      <c r="S37" s="664">
        <f t="shared" si="5"/>
        <v>1538082</v>
      </c>
      <c r="T37" s="663">
        <f t="shared" si="6"/>
        <v>15380818</v>
      </c>
      <c r="U37" s="650">
        <f t="shared" si="7"/>
        <v>0</v>
      </c>
      <c r="V37" s="650">
        <f t="shared" si="8"/>
        <v>0</v>
      </c>
      <c r="W37" s="650">
        <f t="shared" si="9"/>
        <v>0</v>
      </c>
      <c r="X37" s="650">
        <f t="shared" si="9"/>
        <v>0</v>
      </c>
      <c r="Y37" s="650">
        <f t="shared" si="10"/>
        <v>0.18181818188168108</v>
      </c>
      <c r="Z37" s="649">
        <f t="shared" si="11"/>
        <v>0</v>
      </c>
      <c r="AA37" s="649">
        <f t="shared" si="12"/>
        <v>0</v>
      </c>
      <c r="AB37" s="649">
        <f t="shared" si="13"/>
        <v>0</v>
      </c>
      <c r="AC37" s="649">
        <f t="shared" si="13"/>
        <v>0</v>
      </c>
      <c r="AD37" s="649">
        <f t="shared" si="14"/>
        <v>0</v>
      </c>
      <c r="AE37" s="648"/>
      <c r="AF37" s="648"/>
      <c r="AG37" s="648"/>
      <c r="AH37" s="648"/>
      <c r="AI37" s="648"/>
    </row>
    <row r="38" spans="1:35" x14ac:dyDescent="0.15">
      <c r="A38" s="670">
        <v>4</v>
      </c>
      <c r="B38" s="669" t="s">
        <v>1278</v>
      </c>
      <c r="C38" s="668" t="s">
        <v>1280</v>
      </c>
      <c r="D38" s="667" t="s">
        <v>1014</v>
      </c>
      <c r="E38" s="700">
        <f>+IF($A38="",IF($C38="",SUMIFS(全伝票!I:I,全伝票!$B:$B,$B38),SUMIFS(全伝票!I:I,全伝票!$C:$C,$C38)),IF($C38="",SUMIFS(全伝票!I:I,全伝票!$A:$A,$A38,全伝票!$B:$B,$B38),SUMIFS(全伝票!I:I,全伝票!$A:$A,$A38,全伝票!$C:$C,$C38)))</f>
        <v>2450800</v>
      </c>
      <c r="F38" s="703">
        <f>+IF($A38="",IF($C38="",SUMIFS(全伝票!J:J,全伝票!$B:$B,$B38),SUMIFS(全伝票!J:J,全伝票!$C:$C,$C38)),IF($C38="",SUMIFS(全伝票!J:J,全伝票!$A:$A,$A38,全伝票!$B:$B,$B38),SUMIFS(全伝票!J:J,全伝票!$A:$A,$A38,全伝票!$C:$C,$C38)))</f>
        <v>0</v>
      </c>
      <c r="G38" s="702">
        <f>+IF($A38="",IF($C38="",SUMIFS(全伝票!K:K,全伝票!$B:$B,$B38),SUMIFS(全伝票!K:K,全伝票!$C:$C,$C38)),IF($C38="",SUMIFS(全伝票!K:K,全伝票!$A:$A,$A38,全伝票!$B:$B,$B38),SUMIFS(全伝票!K:K,全伝票!$A:$A,$A38,全伝票!$C:$C,$C38)))</f>
        <v>0</v>
      </c>
      <c r="H38" s="702">
        <f>+IF($A38="",IF($C38="",SUMIFS(全伝票!L:L,全伝票!$B:$B,$B38),SUMIFS(全伝票!L:L,全伝票!$C:$C,$C38)),IF($C38="",SUMIFS(全伝票!L:L,全伝票!$A:$A,$A38,全伝票!$B:$B,$B38),SUMIFS(全伝票!L:L,全伝票!$A:$A,$A38,全伝票!$C:$C,$C38)))</f>
        <v>0</v>
      </c>
      <c r="I38" s="702">
        <f>+IF($A38="",IF($C38="",SUMIFS(全伝票!M:M,全伝票!$B:$B,$B38),SUMIFS(全伝票!M:M,全伝票!$C:$C,$C38)),IF($C38="",SUMIFS(全伝票!M:M,全伝票!$A:$A,$A38,全伝票!$B:$B,$B38),SUMIFS(全伝票!M:M,全伝票!$A:$A,$A38,全伝票!$C:$C,$C38)))</f>
        <v>0</v>
      </c>
      <c r="J38" s="701">
        <f>+IF($A38="",IF($C38="",SUMIFS(全伝票!N:N,全伝票!$B:$B,$B38),SUMIFS(全伝票!N:N,全伝票!$C:$C,$C38)),IF($C38="",SUMIFS(全伝票!N:N,全伝票!$A:$A,$A38,全伝票!$B:$B,$B38),SUMIFS(全伝票!N:N,全伝票!$A:$A,$A38,全伝票!$C:$C,$C38)))</f>
        <v>2450800</v>
      </c>
      <c r="K38" s="664">
        <f t="shared" si="0"/>
        <v>2450800</v>
      </c>
      <c r="L38" s="700">
        <f>+IF($A38="",IF($C38="",SUMIFS(全伝票!O:O,全伝票!$B:$B,$B38),SUMIFS(全伝票!O:O,全伝票!$C:$C,$C38)),IF($C38="",SUMIFS(全伝票!O:O,全伝票!$A:$A,$A38,全伝票!$B:$B,$B38),SUMIFS(全伝票!O:O,全伝票!$A:$A,$A38,全伝票!$C:$C,$C38)))</f>
        <v>0</v>
      </c>
      <c r="M38" s="700">
        <f>+IF($A38="",IF($C38="",SUMIFS(全伝票!P:P,全伝票!$B:$B,$B38),SUMIFS(全伝票!P:P,全伝票!$C:$C,$C38)),IF($C38="",SUMIFS(全伝票!P:P,全伝票!$A:$A,$A38,全伝票!$B:$B,$B38),SUMIFS(全伝票!P:P,全伝票!$A:$A,$A38,全伝票!$C:$C,$C38)))</f>
        <v>0</v>
      </c>
      <c r="N38" s="662">
        <f t="shared" si="1"/>
        <v>0</v>
      </c>
      <c r="O38" s="661">
        <f t="shared" si="2"/>
        <v>0</v>
      </c>
      <c r="P38" s="661">
        <f t="shared" si="3"/>
        <v>0</v>
      </c>
      <c r="Q38" s="661">
        <f t="shared" si="3"/>
        <v>0</v>
      </c>
      <c r="R38" s="665">
        <f t="shared" si="4"/>
        <v>222800</v>
      </c>
      <c r="S38" s="664">
        <f t="shared" si="5"/>
        <v>222800</v>
      </c>
      <c r="T38" s="663">
        <f t="shared" si="6"/>
        <v>2228000</v>
      </c>
      <c r="U38" s="650">
        <f t="shared" si="7"/>
        <v>0</v>
      </c>
      <c r="V38" s="650">
        <f t="shared" si="8"/>
        <v>0</v>
      </c>
      <c r="W38" s="650">
        <f t="shared" si="9"/>
        <v>0</v>
      </c>
      <c r="X38" s="650">
        <f t="shared" si="9"/>
        <v>0</v>
      </c>
      <c r="Y38" s="650">
        <f t="shared" si="10"/>
        <v>0</v>
      </c>
      <c r="Z38" s="649">
        <f t="shared" si="11"/>
        <v>0</v>
      </c>
      <c r="AA38" s="649">
        <f t="shared" si="12"/>
        <v>0</v>
      </c>
      <c r="AB38" s="649">
        <f t="shared" si="13"/>
        <v>0</v>
      </c>
      <c r="AC38" s="649">
        <f t="shared" si="13"/>
        <v>0</v>
      </c>
      <c r="AD38" s="649">
        <f t="shared" si="14"/>
        <v>0</v>
      </c>
      <c r="AE38" s="648"/>
      <c r="AF38" s="648"/>
      <c r="AG38" s="648"/>
      <c r="AH38" s="648"/>
      <c r="AI38" s="648"/>
    </row>
    <row r="39" spans="1:35" x14ac:dyDescent="0.15">
      <c r="A39" s="670">
        <v>4</v>
      </c>
      <c r="B39" s="669" t="s">
        <v>1278</v>
      </c>
      <c r="C39" s="668" t="s">
        <v>1279</v>
      </c>
      <c r="D39" s="667" t="s">
        <v>1012</v>
      </c>
      <c r="E39" s="700">
        <f>+IF($A39="",IF($C39="",SUMIFS(全伝票!I:I,全伝票!$B:$B,$B39),SUMIFS(全伝票!I:I,全伝票!$C:$C,$C39)),IF($C39="",SUMIFS(全伝票!I:I,全伝票!$A:$A,$A39,全伝票!$B:$B,$B39),SUMIFS(全伝票!I:I,全伝票!$A:$A,$A39,全伝票!$C:$C,$C39)))</f>
        <v>0</v>
      </c>
      <c r="F39" s="703">
        <f>+IF($A39="",IF($C39="",SUMIFS(全伝票!J:J,全伝票!$B:$B,$B39),SUMIFS(全伝票!J:J,全伝票!$C:$C,$C39)),IF($C39="",SUMIFS(全伝票!J:J,全伝票!$A:$A,$A39,全伝票!$B:$B,$B39),SUMIFS(全伝票!J:J,全伝票!$A:$A,$A39,全伝票!$C:$C,$C39)))</f>
        <v>0</v>
      </c>
      <c r="G39" s="702">
        <f>+IF($A39="",IF($C39="",SUMIFS(全伝票!K:K,全伝票!$B:$B,$B39),SUMIFS(全伝票!K:K,全伝票!$C:$C,$C39)),IF($C39="",SUMIFS(全伝票!K:K,全伝票!$A:$A,$A39,全伝票!$B:$B,$B39),SUMIFS(全伝票!K:K,全伝票!$A:$A,$A39,全伝票!$C:$C,$C39)))</f>
        <v>0</v>
      </c>
      <c r="H39" s="702">
        <f>+IF($A39="",IF($C39="",SUMIFS(全伝票!L:L,全伝票!$B:$B,$B39),SUMIFS(全伝票!L:L,全伝票!$C:$C,$C39)),IF($C39="",SUMIFS(全伝票!L:L,全伝票!$A:$A,$A39,全伝票!$B:$B,$B39),SUMIFS(全伝票!L:L,全伝票!$A:$A,$A39,全伝票!$C:$C,$C39)))</f>
        <v>0</v>
      </c>
      <c r="I39" s="702">
        <f>+IF($A39="",IF($C39="",SUMIFS(全伝票!M:M,全伝票!$B:$B,$B39),SUMIFS(全伝票!M:M,全伝票!$C:$C,$C39)),IF($C39="",SUMIFS(全伝票!M:M,全伝票!$A:$A,$A39,全伝票!$B:$B,$B39),SUMIFS(全伝票!M:M,全伝票!$A:$A,$A39,全伝票!$C:$C,$C39)))</f>
        <v>0</v>
      </c>
      <c r="J39" s="701">
        <f>+IF($A39="",IF($C39="",SUMIFS(全伝票!N:N,全伝票!$B:$B,$B39),SUMIFS(全伝票!N:N,全伝票!$C:$C,$C39)),IF($C39="",SUMIFS(全伝票!N:N,全伝票!$A:$A,$A39,全伝票!$B:$B,$B39),SUMIFS(全伝票!N:N,全伝票!$A:$A,$A39,全伝票!$C:$C,$C39)))</f>
        <v>0</v>
      </c>
      <c r="K39" s="664">
        <f t="shared" si="0"/>
        <v>0</v>
      </c>
      <c r="L39" s="700">
        <f>+IF($A39="",IF($C39="",SUMIFS(全伝票!O:O,全伝票!$B:$B,$B39),SUMIFS(全伝票!O:O,全伝票!$C:$C,$C39)),IF($C39="",SUMIFS(全伝票!O:O,全伝票!$A:$A,$A39,全伝票!$B:$B,$B39),SUMIFS(全伝票!O:O,全伝票!$A:$A,$A39,全伝票!$C:$C,$C39)))</f>
        <v>0</v>
      </c>
      <c r="M39" s="700">
        <f>+IF($A39="",IF($C39="",SUMIFS(全伝票!P:P,全伝票!$B:$B,$B39),SUMIFS(全伝票!P:P,全伝票!$C:$C,$C39)),IF($C39="",SUMIFS(全伝票!P:P,全伝票!$A:$A,$A39,全伝票!$B:$B,$B39),SUMIFS(全伝票!P:P,全伝票!$A:$A,$A39,全伝票!$C:$C,$C39)))</f>
        <v>0</v>
      </c>
      <c r="N39" s="662">
        <f t="shared" si="1"/>
        <v>0</v>
      </c>
      <c r="O39" s="661">
        <f t="shared" si="2"/>
        <v>0</v>
      </c>
      <c r="P39" s="661">
        <f t="shared" si="3"/>
        <v>0</v>
      </c>
      <c r="Q39" s="661">
        <f t="shared" si="3"/>
        <v>0</v>
      </c>
      <c r="R39" s="665">
        <f t="shared" si="4"/>
        <v>0</v>
      </c>
      <c r="S39" s="664">
        <f t="shared" si="5"/>
        <v>0</v>
      </c>
      <c r="T39" s="663">
        <f t="shared" si="6"/>
        <v>0</v>
      </c>
      <c r="U39" s="650">
        <f t="shared" si="7"/>
        <v>0</v>
      </c>
      <c r="V39" s="650">
        <f t="shared" si="8"/>
        <v>0</v>
      </c>
      <c r="W39" s="650">
        <f t="shared" si="9"/>
        <v>0</v>
      </c>
      <c r="X39" s="650">
        <f t="shared" si="9"/>
        <v>0</v>
      </c>
      <c r="Y39" s="650">
        <f t="shared" si="10"/>
        <v>0</v>
      </c>
      <c r="Z39" s="649">
        <f t="shared" si="11"/>
        <v>0</v>
      </c>
      <c r="AA39" s="649">
        <f t="shared" si="12"/>
        <v>0</v>
      </c>
      <c r="AB39" s="649">
        <f t="shared" si="13"/>
        <v>0</v>
      </c>
      <c r="AC39" s="649">
        <f t="shared" si="13"/>
        <v>0</v>
      </c>
      <c r="AD39" s="649">
        <f t="shared" si="14"/>
        <v>0</v>
      </c>
      <c r="AE39" s="648"/>
      <c r="AF39" s="648"/>
      <c r="AG39" s="648"/>
      <c r="AH39" s="648"/>
      <c r="AI39" s="648"/>
    </row>
    <row r="40" spans="1:35" ht="14.25" thickBot="1" x14ac:dyDescent="0.2">
      <c r="A40" s="660">
        <v>4</v>
      </c>
      <c r="B40" s="659" t="s">
        <v>1278</v>
      </c>
      <c r="C40" s="658" t="s">
        <v>1277</v>
      </c>
      <c r="D40" s="657" t="s">
        <v>1009</v>
      </c>
      <c r="E40" s="696">
        <f>+IF($A40="",IF($C40="",SUMIFS(全伝票!I:I,全伝票!$B:$B,$B40),SUMIFS(全伝票!I:I,全伝票!$C:$C,$C40)),IF($C40="",SUMIFS(全伝票!I:I,全伝票!$A:$A,$A40,全伝票!$B:$B,$B40),SUMIFS(全伝票!I:I,全伝票!$A:$A,$A40,全伝票!$C:$C,$C40)))</f>
        <v>5780</v>
      </c>
      <c r="F40" s="699">
        <f>+IF($A40="",IF($C40="",SUMIFS(全伝票!J:J,全伝票!$B:$B,$B40),SUMIFS(全伝票!J:J,全伝票!$C:$C,$C40)),IF($C40="",SUMIFS(全伝票!J:J,全伝票!$A:$A,$A40,全伝票!$B:$B,$B40),SUMIFS(全伝票!J:J,全伝票!$A:$A,$A40,全伝票!$C:$C,$C40)))</f>
        <v>0</v>
      </c>
      <c r="G40" s="698">
        <f>+IF($A40="",IF($C40="",SUMIFS(全伝票!K:K,全伝票!$B:$B,$B40),SUMIFS(全伝票!K:K,全伝票!$C:$C,$C40)),IF($C40="",SUMIFS(全伝票!K:K,全伝票!$A:$A,$A40,全伝票!$B:$B,$B40),SUMIFS(全伝票!K:K,全伝票!$A:$A,$A40,全伝票!$C:$C,$C40)))</f>
        <v>0</v>
      </c>
      <c r="H40" s="698">
        <f>+IF($A40="",IF($C40="",SUMIFS(全伝票!L:L,全伝票!$B:$B,$B40),SUMIFS(全伝票!L:L,全伝票!$C:$C,$C40)),IF($C40="",SUMIFS(全伝票!L:L,全伝票!$A:$A,$A40,全伝票!$B:$B,$B40),SUMIFS(全伝票!L:L,全伝票!$A:$A,$A40,全伝票!$C:$C,$C40)))</f>
        <v>0</v>
      </c>
      <c r="I40" s="698">
        <f>+IF($A40="",IF($C40="",SUMIFS(全伝票!M:M,全伝票!$B:$B,$B40),SUMIFS(全伝票!M:M,全伝票!$C:$C,$C40)),IF($C40="",SUMIFS(全伝票!M:M,全伝票!$A:$A,$A40,全伝票!$B:$B,$B40),SUMIFS(全伝票!M:M,全伝票!$A:$A,$A40,全伝票!$C:$C,$C40)))</f>
        <v>0</v>
      </c>
      <c r="J40" s="697">
        <f>+IF($A40="",IF($C40="",SUMIFS(全伝票!N:N,全伝票!$B:$B,$B40),SUMIFS(全伝票!N:N,全伝票!$C:$C,$C40)),IF($C40="",SUMIFS(全伝票!N:N,全伝票!$A:$A,$A40,全伝票!$B:$B,$B40),SUMIFS(全伝票!N:N,全伝票!$A:$A,$A40,全伝票!$C:$C,$C40)))</f>
        <v>0</v>
      </c>
      <c r="K40" s="654">
        <f t="shared" si="0"/>
        <v>0</v>
      </c>
      <c r="L40" s="696">
        <f>+IF($A40="",IF($C40="",SUMIFS(全伝票!O:O,全伝票!$B:$B,$B40),SUMIFS(全伝票!O:O,全伝票!$C:$C,$C40)),IF($C40="",SUMIFS(全伝票!O:O,全伝票!$A:$A,$A40,全伝票!$B:$B,$B40),SUMIFS(全伝票!O:O,全伝票!$A:$A,$A40,全伝票!$C:$C,$C40)))</f>
        <v>5780</v>
      </c>
      <c r="M40" s="696">
        <f>+IF($A40="",IF($C40="",SUMIFS(全伝票!P:P,全伝票!$B:$B,$B40),SUMIFS(全伝票!P:P,全伝票!$C:$C,$C40)),IF($C40="",SUMIFS(全伝票!P:P,全伝票!$A:$A,$A40,全伝票!$B:$B,$B40),SUMIFS(全伝票!P:P,全伝票!$A:$A,$A40,全伝票!$C:$C,$C40)))</f>
        <v>0</v>
      </c>
      <c r="N40" s="652">
        <f t="shared" si="1"/>
        <v>0</v>
      </c>
      <c r="O40" s="651">
        <f t="shared" si="2"/>
        <v>0</v>
      </c>
      <c r="P40" s="651">
        <f t="shared" si="3"/>
        <v>0</v>
      </c>
      <c r="Q40" s="651">
        <f t="shared" si="3"/>
        <v>0</v>
      </c>
      <c r="R40" s="655">
        <f t="shared" si="4"/>
        <v>0</v>
      </c>
      <c r="S40" s="654">
        <f t="shared" si="5"/>
        <v>0</v>
      </c>
      <c r="T40" s="653">
        <f t="shared" si="6"/>
        <v>5780</v>
      </c>
      <c r="U40" s="650">
        <f t="shared" si="7"/>
        <v>0</v>
      </c>
      <c r="V40" s="650">
        <f t="shared" si="8"/>
        <v>0</v>
      </c>
      <c r="W40" s="650">
        <f t="shared" si="9"/>
        <v>0</v>
      </c>
      <c r="X40" s="650">
        <f t="shared" si="9"/>
        <v>0</v>
      </c>
      <c r="Y40" s="650">
        <f t="shared" si="10"/>
        <v>0</v>
      </c>
      <c r="Z40" s="649">
        <f t="shared" si="11"/>
        <v>0</v>
      </c>
      <c r="AA40" s="649">
        <f t="shared" si="12"/>
        <v>0</v>
      </c>
      <c r="AB40" s="649">
        <f t="shared" si="13"/>
        <v>0</v>
      </c>
      <c r="AC40" s="649">
        <f t="shared" si="13"/>
        <v>0</v>
      </c>
      <c r="AD40" s="649">
        <f t="shared" si="14"/>
        <v>0</v>
      </c>
      <c r="AE40" s="648"/>
      <c r="AF40" s="648"/>
      <c r="AG40" s="648"/>
      <c r="AH40" s="648"/>
      <c r="AI40" s="648"/>
    </row>
    <row r="41" spans="1:35" ht="14.25" thickTop="1" x14ac:dyDescent="0.15">
      <c r="A41" s="647"/>
      <c r="B41" s="646"/>
      <c r="C41" s="645"/>
      <c r="D41" s="644" t="s">
        <v>979</v>
      </c>
      <c r="E41" s="639">
        <f t="shared" ref="E41:T41" si="15">SUM(E5:E40)</f>
        <v>88399847</v>
      </c>
      <c r="F41" s="643">
        <f t="shared" si="15"/>
        <v>0</v>
      </c>
      <c r="G41" s="642">
        <f t="shared" si="15"/>
        <v>0</v>
      </c>
      <c r="H41" s="642">
        <f t="shared" si="15"/>
        <v>0</v>
      </c>
      <c r="I41" s="642">
        <f t="shared" ref="I41" si="16">SUM(I5:I40)</f>
        <v>0</v>
      </c>
      <c r="J41" s="641">
        <f t="shared" si="15"/>
        <v>79397453</v>
      </c>
      <c r="K41" s="634">
        <f t="shared" si="15"/>
        <v>79397453</v>
      </c>
      <c r="L41" s="639">
        <f t="shared" si="15"/>
        <v>1354184</v>
      </c>
      <c r="M41" s="639">
        <f t="shared" si="15"/>
        <v>7648210</v>
      </c>
      <c r="N41" s="636">
        <f t="shared" si="15"/>
        <v>0</v>
      </c>
      <c r="O41" s="635">
        <f t="shared" si="15"/>
        <v>0</v>
      </c>
      <c r="P41" s="635">
        <f t="shared" si="15"/>
        <v>0</v>
      </c>
      <c r="Q41" s="635">
        <f t="shared" ref="Q41" si="17">SUM(Q5:Q40)</f>
        <v>0</v>
      </c>
      <c r="R41" s="638">
        <f t="shared" si="15"/>
        <v>7217950</v>
      </c>
      <c r="S41" s="634">
        <f t="shared" si="15"/>
        <v>7217950</v>
      </c>
      <c r="T41" s="637">
        <f t="shared" si="15"/>
        <v>81181897</v>
      </c>
    </row>
    <row r="42" spans="1:35" x14ac:dyDescent="0.15">
      <c r="A42" s="633"/>
      <c r="B42" s="632"/>
      <c r="C42" s="631"/>
      <c r="D42" s="630" t="s">
        <v>978</v>
      </c>
      <c r="E42" s="624">
        <f t="shared" ref="E42:J42" si="18">+E41</f>
        <v>88399847</v>
      </c>
      <c r="F42" s="629">
        <f t="shared" si="18"/>
        <v>0</v>
      </c>
      <c r="G42" s="628">
        <f t="shared" si="18"/>
        <v>0</v>
      </c>
      <c r="H42" s="628">
        <f t="shared" si="18"/>
        <v>0</v>
      </c>
      <c r="I42" s="628">
        <f t="shared" si="18"/>
        <v>0</v>
      </c>
      <c r="J42" s="627">
        <f t="shared" si="18"/>
        <v>79397453</v>
      </c>
      <c r="K42" s="623">
        <f>SUM(F42:J42)</f>
        <v>79397453</v>
      </c>
      <c r="L42" s="624">
        <f>+L41</f>
        <v>1354184</v>
      </c>
      <c r="M42" s="624">
        <f>+M41</f>
        <v>7648210</v>
      </c>
      <c r="N42" s="740">
        <f>+'4条支出'!N19</f>
        <v>0</v>
      </c>
      <c r="O42" s="741">
        <f>+'4条支出'!O19</f>
        <v>0</v>
      </c>
      <c r="P42" s="741">
        <f>+'4条支出'!P19</f>
        <v>0</v>
      </c>
      <c r="Q42" s="741">
        <f>+'4条支出'!Q19</f>
        <v>0</v>
      </c>
      <c r="R42" s="742">
        <f>+'4条支出'!R19</f>
        <v>7217950</v>
      </c>
      <c r="S42" s="743">
        <f>+'4条支出'!S19</f>
        <v>7217950</v>
      </c>
      <c r="T42" s="744">
        <f>+'4条支出'!T19</f>
        <v>81181897</v>
      </c>
    </row>
    <row r="43" spans="1:35" x14ac:dyDescent="0.15">
      <c r="E43" s="622">
        <f t="shared" ref="E43:T43" si="19">+E42-E41</f>
        <v>0</v>
      </c>
      <c r="F43" s="622">
        <f t="shared" si="19"/>
        <v>0</v>
      </c>
      <c r="G43" s="622">
        <f t="shared" si="19"/>
        <v>0</v>
      </c>
      <c r="H43" s="622">
        <f t="shared" si="19"/>
        <v>0</v>
      </c>
      <c r="I43" s="622">
        <f t="shared" ref="I43" si="20">+I42-I41</f>
        <v>0</v>
      </c>
      <c r="J43" s="622">
        <f t="shared" si="19"/>
        <v>0</v>
      </c>
      <c r="K43" s="622">
        <f t="shared" si="19"/>
        <v>0</v>
      </c>
      <c r="L43" s="622">
        <f t="shared" si="19"/>
        <v>0</v>
      </c>
      <c r="M43" s="622">
        <f t="shared" si="19"/>
        <v>0</v>
      </c>
      <c r="N43" s="622">
        <f t="shared" si="19"/>
        <v>0</v>
      </c>
      <c r="O43" s="622">
        <f t="shared" si="19"/>
        <v>0</v>
      </c>
      <c r="P43" s="622">
        <f t="shared" si="19"/>
        <v>0</v>
      </c>
      <c r="Q43" s="622">
        <f t="shared" ref="Q43" si="21">+Q42-Q41</f>
        <v>0</v>
      </c>
      <c r="R43" s="622">
        <f t="shared" si="19"/>
        <v>0</v>
      </c>
      <c r="S43" s="622">
        <f t="shared" si="19"/>
        <v>0</v>
      </c>
      <c r="T43" s="622">
        <f t="shared" si="19"/>
        <v>0</v>
      </c>
    </row>
    <row r="45" spans="1:35" x14ac:dyDescent="0.15">
      <c r="G45" s="752"/>
      <c r="H45" s="753"/>
      <c r="I45" s="753"/>
      <c r="J45" s="753"/>
    </row>
    <row r="46" spans="1:35" x14ac:dyDescent="0.15">
      <c r="G46" s="752"/>
      <c r="H46" s="753"/>
      <c r="I46" s="753"/>
      <c r="J46" s="753"/>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181" priority="4">
      <formula>ABS(Z5)=1</formula>
    </cfRule>
  </conditionalFormatting>
  <conditionalFormatting sqref="AD5:AD40">
    <cfRule type="expression" dxfId="180" priority="3">
      <formula>ABS(AD5)=1</formula>
    </cfRule>
  </conditionalFormatting>
  <conditionalFormatting sqref="Z6:AC40">
    <cfRule type="expression" dxfId="179" priority="6">
      <formula>ABS(Z6)=1</formula>
    </cfRule>
  </conditionalFormatting>
  <conditionalFormatting sqref="AE6:AE14 AE16:AE40">
    <cfRule type="notContainsBlanks" dxfId="178" priority="9" stopIfTrue="1">
      <formula>LEN(TRIM(AE6))&gt;0</formula>
    </cfRule>
  </conditionalFormatting>
  <conditionalFormatting sqref="AE6:AI40">
    <cfRule type="notContainsBlanks" dxfId="177" priority="8" stopIfTrue="1">
      <formula>LEN(TRIM(AE6))&gt;0</formula>
    </cfRule>
  </conditionalFormatting>
  <conditionalFormatting sqref="AE5:AI5">
    <cfRule type="notContainsBlanks" dxfId="176" priority="7" stopIfTrue="1">
      <formula>LEN(TRIM(AE5))&gt;0</formula>
    </cfRule>
  </conditionalFormatting>
  <conditionalFormatting sqref="AA6:AC40">
    <cfRule type="expression" dxfId="175" priority="5">
      <formula>ABS(AA6)=1</formula>
    </cfRule>
  </conditionalFormatting>
  <conditionalFormatting sqref="E43:H43 J43:T43">
    <cfRule type="cellIs" dxfId="174" priority="2" operator="notEqual">
      <formula>0</formula>
    </cfRule>
  </conditionalFormatting>
  <conditionalFormatting sqref="I43">
    <cfRule type="cellIs" dxfId="173" priority="1" operator="notEqual">
      <formula>0</formula>
    </cfRule>
  </conditionalFormatting>
  <pageMargins left="0.39370078740157483" right="0.39370078740157483" top="0.78740157480314965" bottom="0.39370078740157483" header="0.39370078740157483" footer="0.19685039370078741"/>
  <pageSetup paperSize="9" scale="71" fitToHeight="2" orientation="landscape" blackAndWhite="1" r:id="rId1"/>
  <headerFooter>
    <oddFooter>&amp;L&amp;8&amp;Z&amp;F&amp;A&amp;R&amp;8&amp;D&amp;T</oddFooter>
  </headerFooter>
</worksheet>
</file>

<file path=xl/worksheets/w3_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zoomScale="80" zoomScaleNormal="80" zoomScaleSheetLayoutView="40" workbookViewId="0">
      <pane xSplit="5" ySplit="4" topLeftCell="F5" activePane="bottomRight" state="frozen"/>
      <selection activeCell="E5" sqref="E5"/>
      <selection pane="topRight" activeCell="E5" sqref="E5"/>
      <selection pane="bottomLeft" activeCell="E5" sqref="E5"/>
      <selection pane="bottomRight" activeCell="G5" sqref="G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hidden="1" customWidth="1" outlineLevel="1"/>
    <col min="7" max="7" width="12.625" style="620" customWidth="1" collapsed="1"/>
    <col min="8" max="9" width="13.625" style="620" customWidth="1"/>
    <col min="10" max="10" width="11.625" style="620" customWidth="1"/>
    <col min="11" max="11" width="13.625" style="621" customWidth="1"/>
    <col min="12" max="13" width="13.625" style="620" customWidth="1"/>
    <col min="14" max="14" width="10.625" style="621" hidden="1" customWidth="1" outlineLevel="1"/>
    <col min="15" max="15" width="12.625" style="621" customWidth="1" collapsed="1"/>
    <col min="16"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1320</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724"/>
      <c r="B5" s="723" t="s">
        <v>1319</v>
      </c>
      <c r="C5" s="722"/>
      <c r="D5" s="721" t="s">
        <v>985</v>
      </c>
      <c r="E5" s="720">
        <f>+IF($A5="",IF($C5="",SUMIFS(全伝票!I:I,全伝票!$B:$B,$B5),SUMIFS(全伝票!I:I,全伝票!$C:$C,$C5)),IF($C5="",SUMIFS(全伝票!I:I,全伝票!$A:$A,$A5,全伝票!$B:$B,$B5),SUMIFS(全伝票!I:I,全伝票!$A:$A,$A5,全伝票!$C:$C,$C5)))</f>
        <v>44590502042</v>
      </c>
      <c r="F5" s="746">
        <f>+IF($A5="",IF($C5="",SUMIFS(全伝票!J:J,全伝票!$B:$B,$B5),SUMIFS(全伝票!J:J,全伝票!$C:$C,$C5)),IF($C5="",SUMIFS(全伝票!J:J,全伝票!$A:$A,$A5,全伝票!$B:$B,$B5),SUMIFS(全伝票!J:J,全伝票!$A:$A,$A5,全伝票!$C:$C,$C5)))</f>
        <v>0</v>
      </c>
      <c r="G5" s="747">
        <f>+IF($A5="",IF($C5="",SUMIFS(全伝票!K:K,全伝票!$B:$B,$B5),SUMIFS(全伝票!K:K,全伝票!$C:$C,$C5)),IF($C5="",SUMIFS(全伝票!K:K,全伝票!$A:$A,$A5,全伝票!$B:$B,$B5),SUMIFS(全伝票!K:K,全伝票!$A:$A,$A5,全伝票!$C:$C,$C5)))</f>
        <v>0</v>
      </c>
      <c r="H5" s="747">
        <f>+IF($A5="",IF($C5="",SUMIFS(全伝票!L:L,全伝票!$B:$B,$B5),SUMIFS(全伝票!L:L,全伝票!$C:$C,$C5)),IF($C5="",SUMIFS(全伝票!L:L,全伝票!$A:$A,$A5,全伝票!$B:$B,$B5),SUMIFS(全伝票!L:L,全伝票!$A:$A,$A5,全伝票!$C:$C,$C5)))</f>
        <v>0</v>
      </c>
      <c r="I5" s="747">
        <f>+IF($A5="",IF($C5="",SUMIFS(全伝票!M:M,全伝票!$B:$B,$B5),SUMIFS(全伝票!M:M,全伝票!$C:$C,$C5)),IF($C5="",SUMIFS(全伝票!M:M,全伝票!$A:$A,$A5,全伝票!$B:$B,$B5),SUMIFS(全伝票!M:M,全伝票!$A:$A,$A5,全伝票!$C:$C,$C5)))</f>
        <v>0</v>
      </c>
      <c r="J5" s="748">
        <f>+IF($A5="",IF($C5="",SUMIFS(全伝票!N:N,全伝票!$B:$B,$B5),SUMIFS(全伝票!N:N,全伝票!$C:$C,$C5)),IF($C5="",SUMIFS(全伝票!N:N,全伝票!$A:$A,$A5,全伝票!$B:$B,$B5),SUMIFS(全伝票!N:N,全伝票!$A:$A,$A5,全伝票!$C:$C,$C5)))</f>
        <v>0</v>
      </c>
      <c r="K5" s="749">
        <f>SUM(F5:J5)</f>
        <v>0</v>
      </c>
      <c r="L5" s="720">
        <f>+IF($A5="",IF($C5="",SUMIFS(全伝票!O:O,全伝票!$B:$B,$B5),SUMIFS(全伝票!O:O,全伝票!$C:$C,$C5)),IF($C5="",SUMIFS(全伝票!O:O,全伝票!$A:$A,$A5,全伝票!$B:$B,$B5),SUMIFS(全伝票!O:O,全伝票!$A:$A,$A5,全伝票!$C:$C,$C5)))</f>
        <v>0</v>
      </c>
      <c r="M5" s="720">
        <f>+IF($A5="",IF($C5="",SUMIFS(全伝票!P:P,全伝票!$B:$B,$B5),SUMIFS(全伝票!P:P,全伝票!$C:$C,$C5)),IF($C5="",SUMIFS(全伝票!P:P,全伝票!$A:$A,$A5,全伝票!$B:$B,$B5),SUMIFS(全伝票!P:P,全伝票!$A:$A,$A5,全伝票!$C:$C,$C5)))</f>
        <v>44590502042</v>
      </c>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44590502042</v>
      </c>
      <c r="U5" s="650">
        <f t="shared" ref="U5:U40" si="6">N5-F5*F$4/(100+F$4)</f>
        <v>0</v>
      </c>
      <c r="V5" s="650">
        <f t="shared" ref="V5:V40" si="7">O5-G5*G$4/(100+G$4)</f>
        <v>0</v>
      </c>
      <c r="W5" s="650">
        <f t="shared" ref="W5:X40" si="8">P5-H5*H$4/(100+H$4)</f>
        <v>0</v>
      </c>
      <c r="X5" s="650">
        <f t="shared" si="8"/>
        <v>0</v>
      </c>
      <c r="Y5" s="650">
        <f t="shared" ref="Y5:Y40" si="9">R5-J5*J$4/(100+J$4)</f>
        <v>0</v>
      </c>
      <c r="Z5" s="649">
        <f t="shared" ref="Z5:Z40" si="10">+IF(N$43=0,0,IF(N$43&lt;0,-RANK(U5,U$5:U$40,0),RANK(U5,U$5:U$40,1)))</f>
        <v>0</v>
      </c>
      <c r="AA5" s="649">
        <f t="shared" ref="AA5:AA40" si="11">+IF(O$43=0,0,IF(O$43&lt;0,-RANK(V5,V$5:V$40,0),RANK(V5,V$5:V$40,1)))</f>
        <v>0</v>
      </c>
      <c r="AB5" s="649">
        <f t="shared" ref="AB5:AC40" si="12">+IF(P$43=0,0,IF(P$43&lt;0,-RANK(W5,W$5:W$40,0),RANK(W5,W$5:W$40,1)))</f>
        <v>0</v>
      </c>
      <c r="AC5" s="649">
        <f t="shared" si="12"/>
        <v>0</v>
      </c>
      <c r="AD5" s="649">
        <f t="shared" ref="AD5:AD40" si="13">+IF(R$43=0,0,IF(R$43&lt;0,-RANK(Y5,Y$5:Y$40,0),RANK(Y5,Y$5:Y$40,1)))</f>
        <v>0</v>
      </c>
      <c r="AE5" s="648"/>
      <c r="AF5" s="648"/>
      <c r="AG5" s="648"/>
      <c r="AH5" s="648"/>
      <c r="AI5" s="648"/>
    </row>
    <row r="6" spans="1:35" x14ac:dyDescent="0.15">
      <c r="A6" s="670"/>
      <c r="B6" s="669">
        <v>6160102</v>
      </c>
      <c r="C6" s="668"/>
      <c r="D6" s="667" t="s">
        <v>1347</v>
      </c>
      <c r="E6" s="700">
        <f>+IF($A6="",IF($C6="",SUMIFS(全伝票!I:I,全伝票!$B:$B,$B6),SUMIFS(全伝票!I:I,全伝票!$C:$C,$C6)),IF($C6="",SUMIFS(全伝票!I:I,全伝票!$A:$A,$A6,全伝票!$B:$B,$B6),SUMIFS(全伝票!I:I,全伝票!$A:$A,$A6,全伝票!$C:$C,$C6)))</f>
        <v>30738425</v>
      </c>
      <c r="F6" s="703">
        <f>+IF($A6="",IF($C6="",SUMIFS(全伝票!J:J,全伝票!$B:$B,$B6),SUMIFS(全伝票!J:J,全伝票!$C:$C,$C6)),IF($C6="",SUMIFS(全伝票!J:J,全伝票!$A:$A,$A6,全伝票!$B:$B,$B6),SUMIFS(全伝票!J:J,全伝票!$A:$A,$A6,全伝票!$C:$C,$C6)))</f>
        <v>0</v>
      </c>
      <c r="G6" s="702">
        <f>+IF($A6="",IF($C6="",SUMIFS(全伝票!K:K,全伝票!$B:$B,$B6),SUMIFS(全伝票!K:K,全伝票!$C:$C,$C6)),IF($C6="",SUMIFS(全伝票!K:K,全伝票!$A:$A,$A6,全伝票!$B:$B,$B6),SUMIFS(全伝票!K:K,全伝票!$A:$A,$A6,全伝票!$C:$C,$C6)))</f>
        <v>0</v>
      </c>
      <c r="H6" s="702">
        <f>+IF($A6="",IF($C6="",SUMIFS(全伝票!L:L,全伝票!$B:$B,$B6),SUMIFS(全伝票!L:L,全伝票!$C:$C,$C6)),IF($C6="",SUMIFS(全伝票!L:L,全伝票!$A:$A,$A6,全伝票!$B:$B,$B6),SUMIFS(全伝票!L:L,全伝票!$A:$A,$A6,全伝票!$C:$C,$C6)))</f>
        <v>0</v>
      </c>
      <c r="I6" s="702">
        <f>+IF($A6="",IF($C6="",SUMIFS(全伝票!M:M,全伝票!$B:$B,$B6),SUMIFS(全伝票!M:M,全伝票!$C:$C,$C6)),IF($C6="",SUMIFS(全伝票!M:M,全伝票!$A:$A,$A6,全伝票!$B:$B,$B6),SUMIFS(全伝票!M:M,全伝票!$A:$A,$A6,全伝票!$C:$C,$C6)))</f>
        <v>0</v>
      </c>
      <c r="J6" s="701">
        <f>+IF($A6="",IF($C6="",SUMIFS(全伝票!N:N,全伝票!$B:$B,$B6),SUMIFS(全伝票!N:N,全伝票!$C:$C,$C6)),IF($C6="",SUMIFS(全伝票!N:N,全伝票!$A:$A,$A6,全伝票!$B:$B,$B6),SUMIFS(全伝票!N:N,全伝票!$A:$A,$A6,全伝票!$C:$C,$C6)))</f>
        <v>0</v>
      </c>
      <c r="K6" s="664">
        <f>SUM(F6:J6)</f>
        <v>0</v>
      </c>
      <c r="L6" s="700">
        <f>+IF($A6="",IF($C6="",SUMIFS(全伝票!O:O,全伝票!$B:$B,$B6),SUMIFS(全伝票!O:O,全伝票!$C:$C,$C6)),IF($C6="",SUMIFS(全伝票!O:O,全伝票!$A:$A,$A6,全伝票!$B:$B,$B6),SUMIFS(全伝票!O:O,全伝票!$A:$A,$A6,全伝票!$C:$C,$C6)))</f>
        <v>0</v>
      </c>
      <c r="M6" s="700">
        <f>+IF($A6="",IF($C6="",SUMIFS(全伝票!P:P,全伝票!$B:$B,$B6),SUMIFS(全伝票!P:P,全伝票!$C:$C,$C6)),IF($C6="",SUMIFS(全伝票!P:P,全伝票!$A:$A,$A6,全伝票!$B:$B,$B6),SUMIFS(全伝票!P:P,全伝票!$A:$A,$A6,全伝票!$C:$C,$C6)))</f>
        <v>30738425</v>
      </c>
      <c r="N6" s="662">
        <f t="shared" si="0"/>
        <v>0</v>
      </c>
      <c r="O6" s="661">
        <f t="shared" si="1"/>
        <v>0</v>
      </c>
      <c r="P6" s="661">
        <f t="shared" si="2"/>
        <v>0</v>
      </c>
      <c r="Q6" s="661">
        <f t="shared" si="2"/>
        <v>0</v>
      </c>
      <c r="R6" s="665">
        <f t="shared" si="3"/>
        <v>0</v>
      </c>
      <c r="S6" s="664">
        <f t="shared" si="4"/>
        <v>0</v>
      </c>
      <c r="T6" s="663">
        <f t="shared" si="5"/>
        <v>30738425</v>
      </c>
      <c r="U6" s="650">
        <f t="shared" si="6"/>
        <v>0</v>
      </c>
      <c r="V6" s="650">
        <f t="shared" si="7"/>
        <v>0</v>
      </c>
      <c r="W6" s="650">
        <f t="shared" si="8"/>
        <v>0</v>
      </c>
      <c r="X6" s="650">
        <f t="shared" si="8"/>
        <v>0</v>
      </c>
      <c r="Y6" s="650">
        <f t="shared" si="9"/>
        <v>0</v>
      </c>
      <c r="Z6" s="649">
        <f t="shared" si="10"/>
        <v>0</v>
      </c>
      <c r="AA6" s="649">
        <f t="shared" si="11"/>
        <v>0</v>
      </c>
      <c r="AB6" s="649">
        <f t="shared" si="12"/>
        <v>0</v>
      </c>
      <c r="AC6" s="649">
        <f t="shared" si="12"/>
        <v>0</v>
      </c>
      <c r="AD6" s="649">
        <f t="shared" si="13"/>
        <v>0</v>
      </c>
      <c r="AE6" s="648"/>
      <c r="AF6" s="648"/>
      <c r="AG6" s="648"/>
      <c r="AH6" s="648"/>
      <c r="AI6" s="648"/>
    </row>
    <row r="7" spans="1:35" x14ac:dyDescent="0.15">
      <c r="A7" s="670"/>
      <c r="B7" s="669" t="s">
        <v>1318</v>
      </c>
      <c r="C7" s="668"/>
      <c r="D7" s="667" t="s">
        <v>1317</v>
      </c>
      <c r="E7" s="700">
        <f>+IF($A7="",IF($C7="",SUMIFS(全伝票!I:I,全伝票!$B:$B,$B7),SUMIFS(全伝票!I:I,全伝票!$C:$C,$C7)),IF($C7="",SUMIFS(全伝票!I:I,全伝票!$A:$A,$A7,全伝票!$B:$B,$B7),SUMIFS(全伝票!I:I,全伝票!$A:$A,$A7,全伝票!$C:$C,$C7)))</f>
        <v>0</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0</v>
      </c>
      <c r="K7" s="664">
        <f>SUM(F7:J7)</f>
        <v>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0</v>
      </c>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9">
        <f t="shared" si="10"/>
        <v>0</v>
      </c>
      <c r="AA7" s="649">
        <f t="shared" si="11"/>
        <v>0</v>
      </c>
      <c r="AB7" s="649">
        <f t="shared" si="12"/>
        <v>0</v>
      </c>
      <c r="AC7" s="649">
        <f t="shared" si="12"/>
        <v>0</v>
      </c>
      <c r="AD7" s="649">
        <f t="shared" si="13"/>
        <v>0</v>
      </c>
      <c r="AE7" s="648"/>
      <c r="AF7" s="648"/>
      <c r="AG7" s="648"/>
      <c r="AH7" s="648"/>
      <c r="AI7" s="648"/>
    </row>
    <row r="8" spans="1:35" x14ac:dyDescent="0.15">
      <c r="A8" s="670"/>
      <c r="B8" s="669"/>
      <c r="C8" s="668"/>
      <c r="D8" s="667"/>
      <c r="E8" s="666"/>
      <c r="F8" s="662"/>
      <c r="G8" s="661"/>
      <c r="H8" s="661"/>
      <c r="I8" s="661"/>
      <c r="J8" s="665"/>
      <c r="K8" s="664"/>
      <c r="L8" s="666"/>
      <c r="M8" s="666"/>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9">
        <f t="shared" si="10"/>
        <v>0</v>
      </c>
      <c r="AA8" s="649">
        <f t="shared" si="11"/>
        <v>0</v>
      </c>
      <c r="AB8" s="649">
        <f t="shared" si="12"/>
        <v>0</v>
      </c>
      <c r="AC8" s="649">
        <f t="shared" si="12"/>
        <v>0</v>
      </c>
      <c r="AD8" s="649">
        <f t="shared" si="13"/>
        <v>0</v>
      </c>
      <c r="AE8" s="648"/>
      <c r="AF8" s="648"/>
      <c r="AG8" s="648"/>
      <c r="AH8" s="648"/>
      <c r="AI8" s="648"/>
    </row>
    <row r="9" spans="1:35" x14ac:dyDescent="0.15">
      <c r="A9" s="670"/>
      <c r="B9" s="669"/>
      <c r="C9" s="668"/>
      <c r="D9" s="667"/>
      <c r="E9" s="666"/>
      <c r="F9" s="662"/>
      <c r="G9" s="661"/>
      <c r="H9" s="661"/>
      <c r="I9" s="661"/>
      <c r="J9" s="665"/>
      <c r="K9" s="664"/>
      <c r="L9" s="666"/>
      <c r="M9" s="666"/>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9">
        <f t="shared" si="10"/>
        <v>0</v>
      </c>
      <c r="AA9" s="649">
        <f t="shared" si="11"/>
        <v>0</v>
      </c>
      <c r="AB9" s="649">
        <f t="shared" si="12"/>
        <v>0</v>
      </c>
      <c r="AC9" s="649">
        <f t="shared" si="12"/>
        <v>0</v>
      </c>
      <c r="AD9" s="649">
        <f t="shared" si="13"/>
        <v>0</v>
      </c>
      <c r="AE9" s="648"/>
      <c r="AF9" s="648"/>
      <c r="AG9" s="648"/>
      <c r="AH9" s="648"/>
      <c r="AI9" s="648"/>
    </row>
    <row r="10" spans="1:35" x14ac:dyDescent="0.15">
      <c r="A10" s="670"/>
      <c r="B10" s="669"/>
      <c r="C10" s="668"/>
      <c r="D10" s="667"/>
      <c r="E10" s="666"/>
      <c r="F10" s="662"/>
      <c r="G10" s="661"/>
      <c r="H10" s="661"/>
      <c r="I10" s="661"/>
      <c r="J10" s="665"/>
      <c r="K10" s="664"/>
      <c r="L10" s="666"/>
      <c r="M10" s="666"/>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9">
        <f t="shared" si="10"/>
        <v>0</v>
      </c>
      <c r="AA10" s="649">
        <f t="shared" si="11"/>
        <v>0</v>
      </c>
      <c r="AB10" s="649">
        <f t="shared" si="12"/>
        <v>0</v>
      </c>
      <c r="AC10" s="649">
        <f t="shared" si="12"/>
        <v>0</v>
      </c>
      <c r="AD10" s="649">
        <f t="shared" si="13"/>
        <v>0</v>
      </c>
      <c r="AE10" s="648"/>
      <c r="AF10" s="648"/>
      <c r="AG10" s="648"/>
      <c r="AH10" s="648"/>
      <c r="AI10" s="648"/>
    </row>
    <row r="11" spans="1:35" x14ac:dyDescent="0.15">
      <c r="A11" s="670"/>
      <c r="B11" s="669"/>
      <c r="C11" s="668"/>
      <c r="D11" s="667"/>
      <c r="E11" s="666"/>
      <c r="F11" s="662"/>
      <c r="G11" s="661"/>
      <c r="H11" s="661"/>
      <c r="I11" s="661"/>
      <c r="J11" s="665"/>
      <c r="K11" s="664"/>
      <c r="L11" s="666"/>
      <c r="M11" s="666"/>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9">
        <f t="shared" si="10"/>
        <v>0</v>
      </c>
      <c r="AA11" s="649">
        <f t="shared" si="11"/>
        <v>0</v>
      </c>
      <c r="AB11" s="649">
        <f t="shared" si="12"/>
        <v>0</v>
      </c>
      <c r="AC11" s="649">
        <f t="shared" si="12"/>
        <v>0</v>
      </c>
      <c r="AD11" s="649">
        <f t="shared" si="13"/>
        <v>0</v>
      </c>
      <c r="AE11" s="648"/>
      <c r="AF11" s="648"/>
      <c r="AG11" s="648"/>
      <c r="AH11" s="648"/>
      <c r="AI11" s="648"/>
    </row>
    <row r="12" spans="1:35" x14ac:dyDescent="0.15">
      <c r="A12" s="670"/>
      <c r="B12" s="669"/>
      <c r="C12" s="668"/>
      <c r="D12" s="667"/>
      <c r="E12" s="666"/>
      <c r="F12" s="662"/>
      <c r="G12" s="661"/>
      <c r="H12" s="661"/>
      <c r="I12" s="661"/>
      <c r="J12" s="665"/>
      <c r="K12" s="664"/>
      <c r="L12" s="666"/>
      <c r="M12" s="666"/>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9">
        <f t="shared" si="10"/>
        <v>0</v>
      </c>
      <c r="AA12" s="649">
        <f t="shared" si="11"/>
        <v>0</v>
      </c>
      <c r="AB12" s="649">
        <f t="shared" si="12"/>
        <v>0</v>
      </c>
      <c r="AC12" s="649">
        <f t="shared" si="12"/>
        <v>0</v>
      </c>
      <c r="AD12" s="649">
        <f t="shared" si="13"/>
        <v>0</v>
      </c>
      <c r="AE12" s="648"/>
      <c r="AF12" s="648"/>
      <c r="AG12" s="648"/>
      <c r="AH12" s="648"/>
      <c r="AI12" s="648"/>
    </row>
    <row r="13" spans="1:35" x14ac:dyDescent="0.15">
      <c r="A13" s="670"/>
      <c r="B13" s="669"/>
      <c r="C13" s="668"/>
      <c r="D13" s="667"/>
      <c r="E13" s="666"/>
      <c r="F13" s="662"/>
      <c r="G13" s="661"/>
      <c r="H13" s="661"/>
      <c r="I13" s="661"/>
      <c r="J13" s="665"/>
      <c r="K13" s="664"/>
      <c r="L13" s="666"/>
      <c r="M13" s="666"/>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9">
        <f t="shared" si="10"/>
        <v>0</v>
      </c>
      <c r="AA13" s="649">
        <f t="shared" si="11"/>
        <v>0</v>
      </c>
      <c r="AB13" s="649">
        <f t="shared" si="12"/>
        <v>0</v>
      </c>
      <c r="AC13" s="649">
        <f t="shared" si="12"/>
        <v>0</v>
      </c>
      <c r="AD13" s="649">
        <f t="shared" si="13"/>
        <v>0</v>
      </c>
      <c r="AE13" s="648"/>
      <c r="AF13" s="648"/>
      <c r="AG13" s="648"/>
      <c r="AH13" s="648"/>
      <c r="AI13" s="648"/>
    </row>
    <row r="14" spans="1:35" x14ac:dyDescent="0.15">
      <c r="A14" s="670"/>
      <c r="B14" s="669"/>
      <c r="C14" s="668"/>
      <c r="D14" s="667"/>
      <c r="E14" s="666"/>
      <c r="F14" s="662"/>
      <c r="G14" s="661"/>
      <c r="H14" s="661"/>
      <c r="I14" s="661"/>
      <c r="J14" s="665"/>
      <c r="K14" s="664"/>
      <c r="L14" s="666"/>
      <c r="M14" s="666"/>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9">
        <f t="shared" si="10"/>
        <v>0</v>
      </c>
      <c r="AA14" s="649">
        <f t="shared" si="11"/>
        <v>0</v>
      </c>
      <c r="AB14" s="649">
        <f t="shared" si="12"/>
        <v>0</v>
      </c>
      <c r="AC14" s="649">
        <f t="shared" si="12"/>
        <v>0</v>
      </c>
      <c r="AD14" s="649">
        <f t="shared" si="13"/>
        <v>0</v>
      </c>
      <c r="AE14" s="648"/>
      <c r="AF14" s="648"/>
      <c r="AG14" s="648"/>
      <c r="AH14" s="648"/>
      <c r="AI14" s="648"/>
    </row>
    <row r="15" spans="1:35" x14ac:dyDescent="0.15">
      <c r="A15" s="670"/>
      <c r="B15" s="669"/>
      <c r="C15" s="668"/>
      <c r="D15" s="667"/>
      <c r="E15" s="666"/>
      <c r="F15" s="662"/>
      <c r="G15" s="661"/>
      <c r="H15" s="661"/>
      <c r="I15" s="661"/>
      <c r="J15" s="665"/>
      <c r="K15" s="664"/>
      <c r="L15" s="666"/>
      <c r="M15" s="666"/>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9">
        <f t="shared" si="10"/>
        <v>0</v>
      </c>
      <c r="AA15" s="649">
        <f t="shared" si="11"/>
        <v>0</v>
      </c>
      <c r="AB15" s="649">
        <f t="shared" si="12"/>
        <v>0</v>
      </c>
      <c r="AC15" s="649">
        <f t="shared" si="12"/>
        <v>0</v>
      </c>
      <c r="AD15" s="649">
        <f t="shared" si="13"/>
        <v>0</v>
      </c>
      <c r="AE15" s="648"/>
      <c r="AF15" s="648"/>
      <c r="AG15" s="648"/>
      <c r="AH15" s="648"/>
      <c r="AI15" s="648"/>
    </row>
    <row r="16" spans="1:35" x14ac:dyDescent="0.15">
      <c r="A16" s="670"/>
      <c r="B16" s="669"/>
      <c r="C16" s="668"/>
      <c r="D16" s="667"/>
      <c r="E16" s="666"/>
      <c r="F16" s="662"/>
      <c r="G16" s="661"/>
      <c r="H16" s="661"/>
      <c r="I16" s="661"/>
      <c r="J16" s="665"/>
      <c r="K16" s="664"/>
      <c r="L16" s="666"/>
      <c r="M16" s="666"/>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9">
        <f t="shared" si="10"/>
        <v>0</v>
      </c>
      <c r="AA16" s="649">
        <f t="shared" si="11"/>
        <v>0</v>
      </c>
      <c r="AB16" s="649">
        <f t="shared" si="12"/>
        <v>0</v>
      </c>
      <c r="AC16" s="649">
        <f t="shared" si="12"/>
        <v>0</v>
      </c>
      <c r="AD16" s="649">
        <f t="shared" si="13"/>
        <v>0</v>
      </c>
      <c r="AE16" s="648"/>
      <c r="AF16" s="648"/>
      <c r="AG16" s="648"/>
      <c r="AH16" s="648"/>
      <c r="AI16" s="648"/>
    </row>
    <row r="17" spans="1:35" x14ac:dyDescent="0.15">
      <c r="A17" s="670"/>
      <c r="B17" s="669"/>
      <c r="C17" s="668"/>
      <c r="D17" s="667"/>
      <c r="E17" s="666"/>
      <c r="F17" s="662"/>
      <c r="G17" s="661"/>
      <c r="H17" s="661"/>
      <c r="I17" s="661"/>
      <c r="J17" s="665"/>
      <c r="K17" s="664"/>
      <c r="L17" s="666"/>
      <c r="M17" s="666"/>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9">
        <f t="shared" si="10"/>
        <v>0</v>
      </c>
      <c r="AA17" s="649">
        <f t="shared" si="11"/>
        <v>0</v>
      </c>
      <c r="AB17" s="649">
        <f t="shared" si="12"/>
        <v>0</v>
      </c>
      <c r="AC17" s="649">
        <f t="shared" si="12"/>
        <v>0</v>
      </c>
      <c r="AD17" s="649">
        <f t="shared" si="13"/>
        <v>0</v>
      </c>
      <c r="AE17" s="648"/>
      <c r="AF17" s="648"/>
      <c r="AG17" s="648"/>
      <c r="AH17" s="648"/>
      <c r="AI17" s="648"/>
    </row>
    <row r="18" spans="1:35" x14ac:dyDescent="0.15">
      <c r="A18" s="670"/>
      <c r="B18" s="669"/>
      <c r="C18" s="668"/>
      <c r="D18" s="667"/>
      <c r="E18" s="666"/>
      <c r="F18" s="662"/>
      <c r="G18" s="661"/>
      <c r="H18" s="661"/>
      <c r="I18" s="661"/>
      <c r="J18" s="665"/>
      <c r="K18" s="664"/>
      <c r="L18" s="666"/>
      <c r="M18" s="666"/>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9">
        <f t="shared" si="10"/>
        <v>0</v>
      </c>
      <c r="AA18" s="649">
        <f t="shared" si="11"/>
        <v>0</v>
      </c>
      <c r="AB18" s="649">
        <f t="shared" si="12"/>
        <v>0</v>
      </c>
      <c r="AC18" s="649">
        <f t="shared" si="12"/>
        <v>0</v>
      </c>
      <c r="AD18" s="649">
        <f t="shared" si="13"/>
        <v>0</v>
      </c>
      <c r="AE18" s="648"/>
      <c r="AF18" s="648"/>
      <c r="AG18" s="648"/>
      <c r="AH18" s="648"/>
      <c r="AI18" s="648"/>
    </row>
    <row r="19" spans="1:35" x14ac:dyDescent="0.15">
      <c r="A19" s="670"/>
      <c r="B19" s="669"/>
      <c r="C19" s="668"/>
      <c r="D19" s="667"/>
      <c r="E19" s="666"/>
      <c r="F19" s="662"/>
      <c r="G19" s="661"/>
      <c r="H19" s="661"/>
      <c r="I19" s="661"/>
      <c r="J19" s="665"/>
      <c r="K19" s="664"/>
      <c r="L19" s="666"/>
      <c r="M19" s="666"/>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9">
        <f t="shared" si="10"/>
        <v>0</v>
      </c>
      <c r="AA19" s="649">
        <f t="shared" si="11"/>
        <v>0</v>
      </c>
      <c r="AB19" s="649">
        <f t="shared" si="12"/>
        <v>0</v>
      </c>
      <c r="AC19" s="649">
        <f t="shared" si="12"/>
        <v>0</v>
      </c>
      <c r="AD19" s="649">
        <f t="shared" si="13"/>
        <v>0</v>
      </c>
      <c r="AE19" s="648"/>
      <c r="AF19" s="648"/>
      <c r="AG19" s="648"/>
      <c r="AH19" s="648"/>
      <c r="AI19" s="648"/>
    </row>
    <row r="20" spans="1:35" x14ac:dyDescent="0.15">
      <c r="A20" s="670"/>
      <c r="B20" s="669"/>
      <c r="C20" s="668"/>
      <c r="D20" s="667"/>
      <c r="E20" s="666"/>
      <c r="F20" s="662"/>
      <c r="G20" s="661"/>
      <c r="H20" s="661"/>
      <c r="I20" s="661"/>
      <c r="J20" s="665"/>
      <c r="K20" s="664"/>
      <c r="L20" s="666"/>
      <c r="M20" s="666"/>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9">
        <f t="shared" si="10"/>
        <v>0</v>
      </c>
      <c r="AA20" s="649">
        <f t="shared" si="11"/>
        <v>0</v>
      </c>
      <c r="AB20" s="649">
        <f t="shared" si="12"/>
        <v>0</v>
      </c>
      <c r="AC20" s="649">
        <f t="shared" si="12"/>
        <v>0</v>
      </c>
      <c r="AD20" s="649">
        <f t="shared" si="13"/>
        <v>0</v>
      </c>
      <c r="AE20" s="648"/>
      <c r="AF20" s="648"/>
      <c r="AG20" s="648"/>
      <c r="AH20" s="648"/>
      <c r="AI20" s="648"/>
    </row>
    <row r="21" spans="1:35" x14ac:dyDescent="0.15">
      <c r="A21" s="670"/>
      <c r="B21" s="669"/>
      <c r="C21" s="668"/>
      <c r="D21" s="667"/>
      <c r="E21" s="666"/>
      <c r="F21" s="662"/>
      <c r="G21" s="661"/>
      <c r="H21" s="661"/>
      <c r="I21" s="661"/>
      <c r="J21" s="665"/>
      <c r="K21" s="664"/>
      <c r="L21" s="666"/>
      <c r="M21" s="666"/>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9">
        <f t="shared" si="10"/>
        <v>0</v>
      </c>
      <c r="AA21" s="649">
        <f t="shared" si="11"/>
        <v>0</v>
      </c>
      <c r="AB21" s="649">
        <f t="shared" si="12"/>
        <v>0</v>
      </c>
      <c r="AC21" s="649">
        <f t="shared" si="12"/>
        <v>0</v>
      </c>
      <c r="AD21" s="649">
        <f t="shared" si="13"/>
        <v>0</v>
      </c>
      <c r="AE21" s="648"/>
      <c r="AF21" s="648"/>
      <c r="AG21" s="648"/>
      <c r="AH21" s="648"/>
      <c r="AI21" s="648"/>
    </row>
    <row r="22" spans="1:35" x14ac:dyDescent="0.15">
      <c r="A22" s="670"/>
      <c r="B22" s="669"/>
      <c r="C22" s="668"/>
      <c r="D22" s="667"/>
      <c r="E22" s="666"/>
      <c r="F22" s="662"/>
      <c r="G22" s="661"/>
      <c r="H22" s="661"/>
      <c r="I22" s="661"/>
      <c r="J22" s="665"/>
      <c r="K22" s="664"/>
      <c r="L22" s="666"/>
      <c r="M22" s="666"/>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9">
        <f t="shared" si="10"/>
        <v>0</v>
      </c>
      <c r="AA22" s="649">
        <f t="shared" si="11"/>
        <v>0</v>
      </c>
      <c r="AB22" s="649">
        <f t="shared" si="12"/>
        <v>0</v>
      </c>
      <c r="AC22" s="649">
        <f t="shared" si="12"/>
        <v>0</v>
      </c>
      <c r="AD22" s="649">
        <f t="shared" si="13"/>
        <v>0</v>
      </c>
      <c r="AE22" s="648"/>
      <c r="AF22" s="648"/>
      <c r="AG22" s="648"/>
      <c r="AH22" s="648"/>
      <c r="AI22" s="648"/>
    </row>
    <row r="23" spans="1:35" x14ac:dyDescent="0.15">
      <c r="A23" s="670"/>
      <c r="B23" s="669"/>
      <c r="C23" s="668"/>
      <c r="D23" s="667"/>
      <c r="E23" s="666"/>
      <c r="F23" s="662"/>
      <c r="G23" s="661"/>
      <c r="H23" s="661"/>
      <c r="I23" s="661"/>
      <c r="J23" s="665"/>
      <c r="K23" s="664"/>
      <c r="L23" s="666"/>
      <c r="M23" s="666"/>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9">
        <f t="shared" si="10"/>
        <v>0</v>
      </c>
      <c r="AA23" s="649">
        <f t="shared" si="11"/>
        <v>0</v>
      </c>
      <c r="AB23" s="649">
        <f t="shared" si="12"/>
        <v>0</v>
      </c>
      <c r="AC23" s="649">
        <f t="shared" si="12"/>
        <v>0</v>
      </c>
      <c r="AD23" s="649">
        <f t="shared" si="13"/>
        <v>0</v>
      </c>
      <c r="AE23" s="648"/>
      <c r="AF23" s="648"/>
      <c r="AG23" s="648"/>
      <c r="AH23" s="648"/>
      <c r="AI23" s="648"/>
    </row>
    <row r="24" spans="1:35" x14ac:dyDescent="0.15">
      <c r="A24" s="670"/>
      <c r="B24" s="669"/>
      <c r="C24" s="668"/>
      <c r="D24" s="667"/>
      <c r="E24" s="666"/>
      <c r="F24" s="662"/>
      <c r="G24" s="661"/>
      <c r="H24" s="661"/>
      <c r="I24" s="661"/>
      <c r="J24" s="665"/>
      <c r="K24" s="664"/>
      <c r="L24" s="666"/>
      <c r="M24" s="666"/>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9">
        <f t="shared" si="10"/>
        <v>0</v>
      </c>
      <c r="AA24" s="649">
        <f t="shared" si="11"/>
        <v>0</v>
      </c>
      <c r="AB24" s="649">
        <f t="shared" si="12"/>
        <v>0</v>
      </c>
      <c r="AC24" s="649">
        <f t="shared" si="12"/>
        <v>0</v>
      </c>
      <c r="AD24" s="649">
        <f t="shared" si="13"/>
        <v>0</v>
      </c>
      <c r="AE24" s="648"/>
      <c r="AF24" s="648"/>
      <c r="AG24" s="648"/>
      <c r="AH24" s="648"/>
      <c r="AI24" s="648"/>
    </row>
    <row r="25" spans="1:35" x14ac:dyDescent="0.15">
      <c r="A25" s="670"/>
      <c r="B25" s="669"/>
      <c r="C25" s="668"/>
      <c r="D25" s="667"/>
      <c r="E25" s="666"/>
      <c r="F25" s="662"/>
      <c r="G25" s="661"/>
      <c r="H25" s="661"/>
      <c r="I25" s="661"/>
      <c r="J25" s="665"/>
      <c r="K25" s="664"/>
      <c r="L25" s="666"/>
      <c r="M25" s="666"/>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9">
        <f t="shared" si="10"/>
        <v>0</v>
      </c>
      <c r="AA25" s="649">
        <f t="shared" si="11"/>
        <v>0</v>
      </c>
      <c r="AB25" s="649">
        <f t="shared" si="12"/>
        <v>0</v>
      </c>
      <c r="AC25" s="649">
        <f t="shared" si="12"/>
        <v>0</v>
      </c>
      <c r="AD25" s="649">
        <f t="shared" si="13"/>
        <v>0</v>
      </c>
      <c r="AE25" s="648"/>
      <c r="AF25" s="648"/>
      <c r="AG25" s="648"/>
      <c r="AH25" s="648"/>
      <c r="AI25" s="648"/>
    </row>
    <row r="26" spans="1:35" x14ac:dyDescent="0.15">
      <c r="A26" s="670"/>
      <c r="B26" s="669"/>
      <c r="C26" s="668"/>
      <c r="D26" s="667"/>
      <c r="E26" s="666"/>
      <c r="F26" s="662"/>
      <c r="G26" s="661"/>
      <c r="H26" s="661"/>
      <c r="I26" s="661"/>
      <c r="J26" s="665"/>
      <c r="K26" s="664"/>
      <c r="L26" s="666"/>
      <c r="M26" s="666"/>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9">
        <f t="shared" si="10"/>
        <v>0</v>
      </c>
      <c r="AA26" s="649">
        <f t="shared" si="11"/>
        <v>0</v>
      </c>
      <c r="AB26" s="649">
        <f t="shared" si="12"/>
        <v>0</v>
      </c>
      <c r="AC26" s="649">
        <f t="shared" si="12"/>
        <v>0</v>
      </c>
      <c r="AD26" s="649">
        <f t="shared" si="13"/>
        <v>0</v>
      </c>
      <c r="AE26" s="648"/>
      <c r="AF26" s="648"/>
      <c r="AG26" s="648"/>
      <c r="AH26" s="648"/>
      <c r="AI26" s="648"/>
    </row>
    <row r="27" spans="1:35" x14ac:dyDescent="0.15">
      <c r="A27" s="670"/>
      <c r="B27" s="669"/>
      <c r="C27" s="668"/>
      <c r="D27" s="667"/>
      <c r="E27" s="666"/>
      <c r="F27" s="662"/>
      <c r="G27" s="661"/>
      <c r="H27" s="661"/>
      <c r="I27" s="661"/>
      <c r="J27" s="665"/>
      <c r="K27" s="664"/>
      <c r="L27" s="666"/>
      <c r="M27" s="666"/>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9">
        <f t="shared" si="10"/>
        <v>0</v>
      </c>
      <c r="AA27" s="649">
        <f t="shared" si="11"/>
        <v>0</v>
      </c>
      <c r="AB27" s="649">
        <f t="shared" si="12"/>
        <v>0</v>
      </c>
      <c r="AC27" s="649">
        <f t="shared" si="12"/>
        <v>0</v>
      </c>
      <c r="AD27" s="649">
        <f t="shared" si="13"/>
        <v>0</v>
      </c>
      <c r="AE27" s="648"/>
      <c r="AF27" s="648"/>
      <c r="AG27" s="648"/>
      <c r="AH27" s="648"/>
      <c r="AI27" s="648"/>
    </row>
    <row r="28" spans="1:35" x14ac:dyDescent="0.15">
      <c r="A28" s="670"/>
      <c r="B28" s="669"/>
      <c r="C28" s="668"/>
      <c r="D28" s="667"/>
      <c r="E28" s="666"/>
      <c r="F28" s="662"/>
      <c r="G28" s="661"/>
      <c r="H28" s="661"/>
      <c r="I28" s="661"/>
      <c r="J28" s="665"/>
      <c r="K28" s="664"/>
      <c r="L28" s="666"/>
      <c r="M28" s="666"/>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9">
        <f t="shared" si="10"/>
        <v>0</v>
      </c>
      <c r="AA28" s="649">
        <f t="shared" si="11"/>
        <v>0</v>
      </c>
      <c r="AB28" s="649">
        <f t="shared" si="12"/>
        <v>0</v>
      </c>
      <c r="AC28" s="649">
        <f t="shared" si="12"/>
        <v>0</v>
      </c>
      <c r="AD28" s="649">
        <f t="shared" si="13"/>
        <v>0</v>
      </c>
      <c r="AE28" s="648"/>
      <c r="AF28" s="648"/>
      <c r="AG28" s="648"/>
      <c r="AH28" s="648"/>
      <c r="AI28" s="648"/>
    </row>
    <row r="29" spans="1:35" x14ac:dyDescent="0.15">
      <c r="A29" s="670"/>
      <c r="B29" s="669"/>
      <c r="C29" s="668"/>
      <c r="D29" s="667"/>
      <c r="E29" s="666"/>
      <c r="F29" s="662"/>
      <c r="G29" s="661"/>
      <c r="H29" s="661"/>
      <c r="I29" s="661"/>
      <c r="J29" s="665"/>
      <c r="K29" s="664"/>
      <c r="L29" s="666"/>
      <c r="M29" s="666"/>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9">
        <f t="shared" si="10"/>
        <v>0</v>
      </c>
      <c r="AA29" s="649">
        <f t="shared" si="11"/>
        <v>0</v>
      </c>
      <c r="AB29" s="649">
        <f t="shared" si="12"/>
        <v>0</v>
      </c>
      <c r="AC29" s="649">
        <f t="shared" si="12"/>
        <v>0</v>
      </c>
      <c r="AD29" s="649">
        <f t="shared" si="13"/>
        <v>0</v>
      </c>
      <c r="AE29" s="648"/>
      <c r="AF29" s="648"/>
      <c r="AG29" s="648"/>
      <c r="AH29" s="648"/>
      <c r="AI29" s="648"/>
    </row>
    <row r="30" spans="1:35" x14ac:dyDescent="0.15">
      <c r="A30" s="670"/>
      <c r="B30" s="669"/>
      <c r="C30" s="668"/>
      <c r="D30" s="667"/>
      <c r="E30" s="666"/>
      <c r="F30" s="662"/>
      <c r="G30" s="661"/>
      <c r="H30" s="661"/>
      <c r="I30" s="661"/>
      <c r="J30" s="665"/>
      <c r="K30" s="664"/>
      <c r="L30" s="666"/>
      <c r="M30" s="666"/>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9">
        <f t="shared" si="10"/>
        <v>0</v>
      </c>
      <c r="AA30" s="649">
        <f t="shared" si="11"/>
        <v>0</v>
      </c>
      <c r="AB30" s="649">
        <f t="shared" si="12"/>
        <v>0</v>
      </c>
      <c r="AC30" s="649">
        <f t="shared" si="12"/>
        <v>0</v>
      </c>
      <c r="AD30" s="649">
        <f t="shared" si="13"/>
        <v>0</v>
      </c>
      <c r="AE30" s="648"/>
      <c r="AF30" s="648"/>
      <c r="AG30" s="648"/>
      <c r="AH30" s="648"/>
      <c r="AI30" s="648"/>
    </row>
    <row r="31" spans="1:35" x14ac:dyDescent="0.15">
      <c r="A31" s="670"/>
      <c r="B31" s="669"/>
      <c r="C31" s="668"/>
      <c r="D31" s="667"/>
      <c r="E31" s="666"/>
      <c r="F31" s="662"/>
      <c r="G31" s="661"/>
      <c r="H31" s="661"/>
      <c r="I31" s="661"/>
      <c r="J31" s="665"/>
      <c r="K31" s="664"/>
      <c r="L31" s="666"/>
      <c r="M31" s="666"/>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9">
        <f t="shared" si="10"/>
        <v>0</v>
      </c>
      <c r="AA31" s="649">
        <f t="shared" si="11"/>
        <v>0</v>
      </c>
      <c r="AB31" s="649">
        <f t="shared" si="12"/>
        <v>0</v>
      </c>
      <c r="AC31" s="649">
        <f t="shared" si="12"/>
        <v>0</v>
      </c>
      <c r="AD31" s="649">
        <f t="shared" si="13"/>
        <v>0</v>
      </c>
      <c r="AE31" s="648"/>
      <c r="AF31" s="648"/>
      <c r="AG31" s="648"/>
      <c r="AH31" s="648"/>
      <c r="AI31" s="648"/>
    </row>
    <row r="32" spans="1:35" x14ac:dyDescent="0.15">
      <c r="A32" s="670"/>
      <c r="B32" s="669"/>
      <c r="C32" s="668"/>
      <c r="D32" s="667"/>
      <c r="E32" s="666"/>
      <c r="F32" s="662"/>
      <c r="G32" s="661"/>
      <c r="H32" s="661"/>
      <c r="I32" s="661"/>
      <c r="J32" s="665"/>
      <c r="K32" s="664"/>
      <c r="L32" s="666"/>
      <c r="M32" s="666"/>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9">
        <f t="shared" si="10"/>
        <v>0</v>
      </c>
      <c r="AA32" s="649">
        <f t="shared" si="11"/>
        <v>0</v>
      </c>
      <c r="AB32" s="649">
        <f t="shared" si="12"/>
        <v>0</v>
      </c>
      <c r="AC32" s="649">
        <f t="shared" si="12"/>
        <v>0</v>
      </c>
      <c r="AD32" s="649">
        <f t="shared" si="13"/>
        <v>0</v>
      </c>
      <c r="AE32" s="648"/>
      <c r="AF32" s="648"/>
      <c r="AG32" s="648"/>
      <c r="AH32" s="648"/>
      <c r="AI32" s="648"/>
    </row>
    <row r="33" spans="1:35" x14ac:dyDescent="0.15">
      <c r="A33" s="670"/>
      <c r="B33" s="669"/>
      <c r="C33" s="668"/>
      <c r="D33" s="667"/>
      <c r="E33" s="666"/>
      <c r="F33" s="662"/>
      <c r="G33" s="661"/>
      <c r="H33" s="661"/>
      <c r="I33" s="661"/>
      <c r="J33" s="665"/>
      <c r="K33" s="664"/>
      <c r="L33" s="666"/>
      <c r="M33" s="666"/>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9">
        <f t="shared" si="10"/>
        <v>0</v>
      </c>
      <c r="AA33" s="649">
        <f t="shared" si="11"/>
        <v>0</v>
      </c>
      <c r="AB33" s="649">
        <f t="shared" si="12"/>
        <v>0</v>
      </c>
      <c r="AC33" s="649">
        <f t="shared" si="12"/>
        <v>0</v>
      </c>
      <c r="AD33" s="649">
        <f t="shared" si="13"/>
        <v>0</v>
      </c>
      <c r="AE33" s="648"/>
      <c r="AF33" s="648"/>
      <c r="AG33" s="648"/>
      <c r="AH33" s="648"/>
      <c r="AI33" s="648"/>
    </row>
    <row r="34" spans="1:35" x14ac:dyDescent="0.15">
      <c r="A34" s="670"/>
      <c r="B34" s="669"/>
      <c r="C34" s="668"/>
      <c r="D34" s="667"/>
      <c r="E34" s="666"/>
      <c r="F34" s="662"/>
      <c r="G34" s="661"/>
      <c r="H34" s="661"/>
      <c r="I34" s="661"/>
      <c r="J34" s="665"/>
      <c r="K34" s="664"/>
      <c r="L34" s="666"/>
      <c r="M34" s="666"/>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9">
        <f t="shared" si="10"/>
        <v>0</v>
      </c>
      <c r="AA34" s="649">
        <f t="shared" si="11"/>
        <v>0</v>
      </c>
      <c r="AB34" s="649">
        <f t="shared" si="12"/>
        <v>0</v>
      </c>
      <c r="AC34" s="649">
        <f t="shared" si="12"/>
        <v>0</v>
      </c>
      <c r="AD34" s="649">
        <f t="shared" si="13"/>
        <v>0</v>
      </c>
      <c r="AE34" s="648"/>
      <c r="AF34" s="648"/>
      <c r="AG34" s="648"/>
      <c r="AH34" s="648"/>
      <c r="AI34" s="648"/>
    </row>
    <row r="35" spans="1:35" x14ac:dyDescent="0.15">
      <c r="A35" s="670"/>
      <c r="B35" s="669"/>
      <c r="C35" s="668"/>
      <c r="D35" s="667"/>
      <c r="E35" s="666"/>
      <c r="F35" s="662"/>
      <c r="G35" s="661"/>
      <c r="H35" s="661"/>
      <c r="I35" s="661"/>
      <c r="J35" s="665"/>
      <c r="K35" s="664"/>
      <c r="L35" s="666"/>
      <c r="M35" s="666"/>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9">
        <f t="shared" si="10"/>
        <v>0</v>
      </c>
      <c r="AA35" s="649">
        <f t="shared" si="11"/>
        <v>0</v>
      </c>
      <c r="AB35" s="649">
        <f t="shared" si="12"/>
        <v>0</v>
      </c>
      <c r="AC35" s="649">
        <f t="shared" si="12"/>
        <v>0</v>
      </c>
      <c r="AD35" s="649">
        <f t="shared" si="13"/>
        <v>0</v>
      </c>
      <c r="AE35" s="648"/>
      <c r="AF35" s="648"/>
      <c r="AG35" s="648"/>
      <c r="AH35" s="648"/>
      <c r="AI35" s="648"/>
    </row>
    <row r="36" spans="1:35" x14ac:dyDescent="0.15">
      <c r="A36" s="670"/>
      <c r="B36" s="669"/>
      <c r="C36" s="668"/>
      <c r="D36" s="667"/>
      <c r="E36" s="666"/>
      <c r="F36" s="662"/>
      <c r="G36" s="661"/>
      <c r="H36" s="661"/>
      <c r="I36" s="661"/>
      <c r="J36" s="665"/>
      <c r="K36" s="664"/>
      <c r="L36" s="666"/>
      <c r="M36" s="666"/>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9">
        <f t="shared" si="10"/>
        <v>0</v>
      </c>
      <c r="AA36" s="649">
        <f t="shared" si="11"/>
        <v>0</v>
      </c>
      <c r="AB36" s="649">
        <f t="shared" si="12"/>
        <v>0</v>
      </c>
      <c r="AC36" s="649">
        <f t="shared" si="12"/>
        <v>0</v>
      </c>
      <c r="AD36" s="649">
        <f t="shared" si="13"/>
        <v>0</v>
      </c>
      <c r="AE36" s="648"/>
      <c r="AF36" s="648"/>
      <c r="AG36" s="648"/>
      <c r="AH36" s="648"/>
      <c r="AI36" s="648"/>
    </row>
    <row r="37" spans="1:35" x14ac:dyDescent="0.15">
      <c r="A37" s="670"/>
      <c r="B37" s="669"/>
      <c r="C37" s="668"/>
      <c r="D37" s="667"/>
      <c r="E37" s="666"/>
      <c r="F37" s="662"/>
      <c r="G37" s="661"/>
      <c r="H37" s="661"/>
      <c r="I37" s="661"/>
      <c r="J37" s="665"/>
      <c r="K37" s="664"/>
      <c r="L37" s="666"/>
      <c r="M37" s="666"/>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9">
        <f t="shared" si="10"/>
        <v>0</v>
      </c>
      <c r="AA37" s="649">
        <f t="shared" si="11"/>
        <v>0</v>
      </c>
      <c r="AB37" s="649">
        <f t="shared" si="12"/>
        <v>0</v>
      </c>
      <c r="AC37" s="649">
        <f t="shared" si="12"/>
        <v>0</v>
      </c>
      <c r="AD37" s="649">
        <f t="shared" si="13"/>
        <v>0</v>
      </c>
      <c r="AE37" s="648"/>
      <c r="AF37" s="648"/>
      <c r="AG37" s="648"/>
      <c r="AH37" s="648"/>
      <c r="AI37" s="648"/>
    </row>
    <row r="38" spans="1:35" x14ac:dyDescent="0.15">
      <c r="A38" s="670"/>
      <c r="B38" s="669"/>
      <c r="C38" s="668"/>
      <c r="D38" s="667"/>
      <c r="E38" s="666"/>
      <c r="F38" s="662"/>
      <c r="G38" s="661"/>
      <c r="H38" s="661"/>
      <c r="I38" s="661"/>
      <c r="J38" s="665"/>
      <c r="K38" s="664"/>
      <c r="L38" s="666"/>
      <c r="M38" s="666"/>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9">
        <f t="shared" si="10"/>
        <v>0</v>
      </c>
      <c r="AA38" s="649">
        <f t="shared" si="11"/>
        <v>0</v>
      </c>
      <c r="AB38" s="649">
        <f t="shared" si="12"/>
        <v>0</v>
      </c>
      <c r="AC38" s="649">
        <f t="shared" si="12"/>
        <v>0</v>
      </c>
      <c r="AD38" s="649">
        <f t="shared" si="13"/>
        <v>0</v>
      </c>
      <c r="AE38" s="648"/>
      <c r="AF38" s="648"/>
      <c r="AG38" s="648"/>
      <c r="AH38" s="648"/>
      <c r="AI38" s="648"/>
    </row>
    <row r="39" spans="1:35" x14ac:dyDescent="0.15">
      <c r="A39" s="670"/>
      <c r="B39" s="669"/>
      <c r="C39" s="668"/>
      <c r="D39" s="667"/>
      <c r="E39" s="666"/>
      <c r="F39" s="662"/>
      <c r="G39" s="661"/>
      <c r="H39" s="661"/>
      <c r="I39" s="661"/>
      <c r="J39" s="665"/>
      <c r="K39" s="664"/>
      <c r="L39" s="666"/>
      <c r="M39" s="666"/>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9">
        <f t="shared" si="10"/>
        <v>0</v>
      </c>
      <c r="AA39" s="649">
        <f t="shared" si="11"/>
        <v>0</v>
      </c>
      <c r="AB39" s="649">
        <f t="shared" si="12"/>
        <v>0</v>
      </c>
      <c r="AC39" s="649">
        <f t="shared" si="12"/>
        <v>0</v>
      </c>
      <c r="AD39" s="649">
        <f t="shared" si="13"/>
        <v>0</v>
      </c>
      <c r="AE39" s="648"/>
      <c r="AF39" s="648"/>
      <c r="AG39" s="648"/>
      <c r="AH39" s="648"/>
      <c r="AI39" s="648"/>
    </row>
    <row r="40" spans="1:35" ht="14.25" thickBot="1" x14ac:dyDescent="0.2">
      <c r="A40" s="660"/>
      <c r="B40" s="659"/>
      <c r="C40" s="658"/>
      <c r="D40" s="657"/>
      <c r="E40" s="656"/>
      <c r="F40" s="652"/>
      <c r="G40" s="651"/>
      <c r="H40" s="651"/>
      <c r="I40" s="651"/>
      <c r="J40" s="655"/>
      <c r="K40" s="654"/>
      <c r="L40" s="656"/>
      <c r="M40" s="656"/>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9">
        <f t="shared" si="10"/>
        <v>0</v>
      </c>
      <c r="AA40" s="649">
        <f t="shared" si="11"/>
        <v>0</v>
      </c>
      <c r="AB40" s="649">
        <f t="shared" si="12"/>
        <v>0</v>
      </c>
      <c r="AC40" s="649">
        <f t="shared" si="12"/>
        <v>0</v>
      </c>
      <c r="AD40" s="649">
        <f t="shared" si="13"/>
        <v>0</v>
      </c>
      <c r="AE40" s="648"/>
      <c r="AF40" s="648"/>
      <c r="AG40" s="648"/>
      <c r="AH40" s="648"/>
      <c r="AI40" s="648"/>
    </row>
    <row r="41" spans="1:35" ht="14.25" thickTop="1" x14ac:dyDescent="0.15">
      <c r="A41" s="647"/>
      <c r="B41" s="646"/>
      <c r="C41" s="645"/>
      <c r="D41" s="644" t="s">
        <v>979</v>
      </c>
      <c r="E41" s="639">
        <f t="shared" ref="E41:T41" si="14">SUM(E5:E40)</f>
        <v>44621240467</v>
      </c>
      <c r="F41" s="643">
        <f t="shared" si="14"/>
        <v>0</v>
      </c>
      <c r="G41" s="642">
        <f t="shared" si="14"/>
        <v>0</v>
      </c>
      <c r="H41" s="642">
        <f t="shared" si="14"/>
        <v>0</v>
      </c>
      <c r="I41" s="642">
        <f t="shared" ref="I41" si="15">SUM(I5:I40)</f>
        <v>0</v>
      </c>
      <c r="J41" s="641">
        <f t="shared" si="14"/>
        <v>0</v>
      </c>
      <c r="K41" s="634">
        <f t="shared" si="14"/>
        <v>0</v>
      </c>
      <c r="L41" s="639">
        <f t="shared" si="14"/>
        <v>0</v>
      </c>
      <c r="M41" s="639">
        <f t="shared" si="14"/>
        <v>44621240467</v>
      </c>
      <c r="N41" s="636">
        <f t="shared" si="14"/>
        <v>0</v>
      </c>
      <c r="O41" s="635">
        <f t="shared" si="14"/>
        <v>0</v>
      </c>
      <c r="P41" s="635">
        <f t="shared" si="14"/>
        <v>0</v>
      </c>
      <c r="Q41" s="635">
        <f t="shared" ref="Q41" si="16">SUM(Q5:Q40)</f>
        <v>0</v>
      </c>
      <c r="R41" s="638">
        <f t="shared" si="14"/>
        <v>0</v>
      </c>
      <c r="S41" s="634">
        <f t="shared" si="14"/>
        <v>0</v>
      </c>
      <c r="T41" s="637">
        <f t="shared" si="14"/>
        <v>44621240467</v>
      </c>
    </row>
    <row r="42" spans="1:35" x14ac:dyDescent="0.15">
      <c r="A42" s="633"/>
      <c r="B42" s="632"/>
      <c r="C42" s="631"/>
      <c r="D42" s="630" t="s">
        <v>978</v>
      </c>
      <c r="E42" s="624">
        <f t="shared" ref="E42:J42" si="17">+E41</f>
        <v>44621240467</v>
      </c>
      <c r="F42" s="629">
        <f t="shared" si="17"/>
        <v>0</v>
      </c>
      <c r="G42" s="628">
        <f t="shared" si="17"/>
        <v>0</v>
      </c>
      <c r="H42" s="628">
        <f t="shared" si="17"/>
        <v>0</v>
      </c>
      <c r="I42" s="628">
        <f t="shared" si="17"/>
        <v>0</v>
      </c>
      <c r="J42" s="627">
        <f t="shared" si="17"/>
        <v>0</v>
      </c>
      <c r="K42" s="623">
        <f>SUM(F42:J42)</f>
        <v>0</v>
      </c>
      <c r="L42" s="624">
        <f>+L41</f>
        <v>0</v>
      </c>
      <c r="M42" s="624">
        <f>+M41</f>
        <v>44621240467</v>
      </c>
      <c r="N42" s="740">
        <f>+'4条支出'!N21</f>
        <v>0</v>
      </c>
      <c r="O42" s="741">
        <f>+'4条支出'!O21</f>
        <v>0</v>
      </c>
      <c r="P42" s="741">
        <f>+'4条支出'!P21</f>
        <v>0</v>
      </c>
      <c r="Q42" s="741">
        <f>+'4条支出'!Q21</f>
        <v>0</v>
      </c>
      <c r="R42" s="742">
        <f>+'4条支出'!R21</f>
        <v>0</v>
      </c>
      <c r="S42" s="743">
        <f>+'4条支出'!S21</f>
        <v>0</v>
      </c>
      <c r="T42" s="744">
        <f>+'4条支出'!T21</f>
        <v>44621240467</v>
      </c>
    </row>
    <row r="43" spans="1:35" x14ac:dyDescent="0.15">
      <c r="E43" s="622">
        <f t="shared" ref="E43:T43" si="18">+E42-E41</f>
        <v>0</v>
      </c>
      <c r="F43" s="622">
        <f t="shared" si="18"/>
        <v>0</v>
      </c>
      <c r="G43" s="622">
        <f t="shared" si="18"/>
        <v>0</v>
      </c>
      <c r="H43" s="622">
        <f t="shared" si="18"/>
        <v>0</v>
      </c>
      <c r="I43" s="622">
        <f t="shared" ref="I43" si="19">+I42-I41</f>
        <v>0</v>
      </c>
      <c r="J43" s="622">
        <f t="shared" si="18"/>
        <v>0</v>
      </c>
      <c r="K43" s="622">
        <f t="shared" si="18"/>
        <v>0</v>
      </c>
      <c r="L43" s="622">
        <f t="shared" si="18"/>
        <v>0</v>
      </c>
      <c r="M43" s="622">
        <f t="shared" si="18"/>
        <v>0</v>
      </c>
      <c r="N43" s="622">
        <f t="shared" si="18"/>
        <v>0</v>
      </c>
      <c r="O43" s="622">
        <f t="shared" si="18"/>
        <v>0</v>
      </c>
      <c r="P43" s="622">
        <f t="shared" si="18"/>
        <v>0</v>
      </c>
      <c r="Q43" s="622">
        <f t="shared" ref="Q43" si="20">+Q42-Q41</f>
        <v>0</v>
      </c>
      <c r="R43" s="622">
        <f t="shared" si="18"/>
        <v>0</v>
      </c>
      <c r="S43" s="622">
        <f t="shared" si="18"/>
        <v>0</v>
      </c>
      <c r="T43" s="622">
        <f t="shared" si="18"/>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172" priority="4">
      <formula>ABS(Z5)=1</formula>
    </cfRule>
  </conditionalFormatting>
  <conditionalFormatting sqref="AD5:AD40">
    <cfRule type="expression" dxfId="171" priority="3">
      <formula>ABS(AD5)=1</formula>
    </cfRule>
  </conditionalFormatting>
  <conditionalFormatting sqref="Z6:AC40">
    <cfRule type="expression" dxfId="170" priority="6">
      <formula>ABS(Z6)=1</formula>
    </cfRule>
  </conditionalFormatting>
  <conditionalFormatting sqref="AE6:AE14 AE16:AE40">
    <cfRule type="notContainsBlanks" dxfId="169" priority="9" stopIfTrue="1">
      <formula>LEN(TRIM(AE6))&gt;0</formula>
    </cfRule>
  </conditionalFormatting>
  <conditionalFormatting sqref="AE6:AI40">
    <cfRule type="notContainsBlanks" dxfId="168" priority="8" stopIfTrue="1">
      <formula>LEN(TRIM(AE6))&gt;0</formula>
    </cfRule>
  </conditionalFormatting>
  <conditionalFormatting sqref="AE5:AI5">
    <cfRule type="notContainsBlanks" dxfId="167" priority="7" stopIfTrue="1">
      <formula>LEN(TRIM(AE5))&gt;0</formula>
    </cfRule>
  </conditionalFormatting>
  <conditionalFormatting sqref="AA6:AC40">
    <cfRule type="expression" dxfId="166" priority="5">
      <formula>ABS(AA6)=1</formula>
    </cfRule>
  </conditionalFormatting>
  <conditionalFormatting sqref="E43:H43 J43:T43">
    <cfRule type="cellIs" dxfId="165" priority="2" operator="notEqual">
      <formula>0</formula>
    </cfRule>
  </conditionalFormatting>
  <conditionalFormatting sqref="I43">
    <cfRule type="cellIs" dxfId="164" priority="1" operator="notEqual">
      <formula>0</formula>
    </cfRule>
  </conditionalFormatting>
  <pageMargins left="0.39370078740157483" right="0.39370078740157483" top="0.78740157480314965" bottom="0.19685039370078741" header="0.39370078740157483" footer="0.19685039370078741"/>
  <pageSetup paperSize="9" scale="71" fitToHeight="2" orientation="landscape" blackAndWhite="1" r:id="rId1"/>
  <headerFooter>
    <oddFooter>&amp;L&amp;8&amp;Z&amp;F&amp;A&amp;R&amp;8&amp;D&amp;T</oddFooter>
  </headerFooter>
</worksheet>
</file>

<file path=xl/worksheets/w3_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topLeftCell="D1" zoomScale="80" zoomScaleNormal="80" zoomScaleSheetLayoutView="40" workbookViewId="0">
      <pane xSplit="1"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22.625" style="620" customWidth="1"/>
    <col min="5" max="5" width="13.625" style="620" customWidth="1"/>
    <col min="6" max="6" width="11.625" style="620" customWidth="1" outlineLevel="1"/>
    <col min="7" max="10" width="11.625" style="620" customWidth="1"/>
    <col min="11" max="11" width="11.625" style="621" customWidth="1"/>
    <col min="12" max="13" width="13.625" style="620" customWidth="1"/>
    <col min="14" max="14" width="10.625" style="621" customWidth="1" outlineLevel="1"/>
    <col min="15" max="17" width="11.625" style="621" customWidth="1"/>
    <col min="18" max="18" width="10.625" style="621" customWidth="1"/>
    <col min="19" max="19" width="11.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1331</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s="686" customFormat="1" x14ac:dyDescent="0.15">
      <c r="A5" s="738"/>
      <c r="B5" s="737"/>
      <c r="C5" s="736"/>
      <c r="D5" s="735" t="s">
        <v>1330</v>
      </c>
      <c r="E5" s="681">
        <f t="shared" ref="E5:M5" si="0">+SUM(E6,E12,E18)</f>
        <v>3759000</v>
      </c>
      <c r="F5" s="680">
        <f t="shared" si="0"/>
        <v>0</v>
      </c>
      <c r="G5" s="679">
        <f t="shared" si="0"/>
        <v>0</v>
      </c>
      <c r="H5" s="679">
        <f t="shared" si="0"/>
        <v>0</v>
      </c>
      <c r="I5" s="679">
        <f t="shared" ref="I5" si="1">+SUM(I6,I12,I18)</f>
        <v>0</v>
      </c>
      <c r="J5" s="678">
        <f>+IF($A5="",IF($C5="",SUMIFS(全伝票!N:N,全伝票!$B:$B,$B5),SUMIFS(全伝票!N:N,全伝票!$C:$C,$C5)),IF($C5="",SUMIFS(全伝票!N:N,全伝票!$A:$A,$A5,全伝票!$B:$B,$B5),SUMIFS(全伝票!N:N,全伝票!$A:$A,$A5,全伝票!$C:$C,$C5)))</f>
        <v>0</v>
      </c>
      <c r="K5" s="677">
        <f t="shared" si="0"/>
        <v>0</v>
      </c>
      <c r="L5" s="681">
        <f t="shared" si="0"/>
        <v>0</v>
      </c>
      <c r="M5" s="681">
        <f t="shared" si="0"/>
        <v>3759000</v>
      </c>
      <c r="N5" s="680">
        <f t="shared" ref="N5:N40" si="2">+ROUND(F5*F$4/(100+F$4),0)+AE5</f>
        <v>0</v>
      </c>
      <c r="O5" s="679">
        <f t="shared" ref="O5:O40" si="3">+ROUND(G5*G$4/(100+G$4),0)+AF5</f>
        <v>0</v>
      </c>
      <c r="P5" s="679">
        <f t="shared" ref="P5:Q40" si="4">+ROUND(H5*H$4/(100+H$4),0)+AG5</f>
        <v>0</v>
      </c>
      <c r="Q5" s="679">
        <f t="shared" si="4"/>
        <v>0</v>
      </c>
      <c r="R5" s="678">
        <f t="shared" ref="R5:R40" si="5">+ROUND(J5*J$4/(100+J$4),0)+AI5</f>
        <v>0</v>
      </c>
      <c r="S5" s="677">
        <f t="shared" ref="S5:S40" si="6">SUM(N5:R5)</f>
        <v>0</v>
      </c>
      <c r="T5" s="704">
        <f t="shared" ref="T5:T40" si="7">+E5-S5</f>
        <v>3759000</v>
      </c>
      <c r="U5" s="650">
        <f t="shared" ref="U5:U40" si="8">N5-F5*F$4/(100+F$4)</f>
        <v>0</v>
      </c>
      <c r="V5" s="650">
        <f t="shared" ref="V5:V40" si="9">O5-G5*G$4/(100+G$4)</f>
        <v>0</v>
      </c>
      <c r="W5" s="650">
        <f t="shared" ref="W5:X40" si="10">P5-H5*H$4/(100+H$4)</f>
        <v>0</v>
      </c>
      <c r="X5" s="650">
        <f t="shared" si="10"/>
        <v>0</v>
      </c>
      <c r="Y5" s="650">
        <f t="shared" ref="Y5:Y40" si="11">R5-J5*J$4/(100+J$4)</f>
        <v>0</v>
      </c>
      <c r="Z5" s="649">
        <f t="shared" ref="Z5:Z40" si="12">+IF(N$43=0,0,IF(N$43&lt;0,-RANK(U5,U$5:U$40,0),RANK(U5,U$5:U$40,1)))</f>
        <v>0</v>
      </c>
      <c r="AA5" s="649">
        <f t="shared" ref="AA5:AA40" si="13">+IF(O$43=0,0,IF(O$43&lt;0,-RANK(V5,V$5:V$40,0),RANK(V5,V$5:V$40,1)))</f>
        <v>0</v>
      </c>
      <c r="AB5" s="649">
        <f t="shared" ref="AB5:AC40" si="14">+IF(P$43=0,0,IF(P$43&lt;0,-RANK(W5,W$5:W$40,0),RANK(W5,W$5:W$40,1)))</f>
        <v>0</v>
      </c>
      <c r="AC5" s="649">
        <f t="shared" si="14"/>
        <v>0</v>
      </c>
      <c r="AD5" s="649">
        <f t="shared" ref="AD5:AD40" si="15">+IF(R$43=0,0,IF(R$43&lt;0,-RANK(Y5,Y$5:Y$40,0),RANK(Y5,Y$5:Y$40,1)))</f>
        <v>0</v>
      </c>
      <c r="AE5" s="648"/>
      <c r="AF5" s="648"/>
      <c r="AG5" s="648"/>
      <c r="AH5" s="648"/>
      <c r="AI5" s="648"/>
    </row>
    <row r="6" spans="1:35" x14ac:dyDescent="0.15">
      <c r="A6" s="734"/>
      <c r="B6" s="733"/>
      <c r="C6" s="732"/>
      <c r="D6" s="731" t="s">
        <v>1329</v>
      </c>
      <c r="E6" s="726">
        <f t="shared" ref="E6:M6" si="16">+SUM(E7:E10)</f>
        <v>2600000</v>
      </c>
      <c r="F6" s="730">
        <f t="shared" si="16"/>
        <v>0</v>
      </c>
      <c r="G6" s="729">
        <f t="shared" si="16"/>
        <v>0</v>
      </c>
      <c r="H6" s="729">
        <f t="shared" si="16"/>
        <v>0</v>
      </c>
      <c r="I6" s="729">
        <f t="shared" ref="I6" si="17">+SUM(I7:I10)</f>
        <v>0</v>
      </c>
      <c r="J6" s="728">
        <f t="shared" si="16"/>
        <v>0</v>
      </c>
      <c r="K6" s="727">
        <f t="shared" si="16"/>
        <v>0</v>
      </c>
      <c r="L6" s="726">
        <f t="shared" si="16"/>
        <v>0</v>
      </c>
      <c r="M6" s="726">
        <f t="shared" si="16"/>
        <v>2600000</v>
      </c>
      <c r="N6" s="662">
        <f t="shared" si="2"/>
        <v>0</v>
      </c>
      <c r="O6" s="661">
        <f t="shared" si="3"/>
        <v>0</v>
      </c>
      <c r="P6" s="661">
        <f t="shared" si="4"/>
        <v>0</v>
      </c>
      <c r="Q6" s="661">
        <f t="shared" si="4"/>
        <v>0</v>
      </c>
      <c r="R6" s="665">
        <f t="shared" si="5"/>
        <v>0</v>
      </c>
      <c r="S6" s="664">
        <f t="shared" si="6"/>
        <v>0</v>
      </c>
      <c r="T6" s="663">
        <f t="shared" si="7"/>
        <v>2600000</v>
      </c>
      <c r="U6" s="650">
        <f t="shared" si="8"/>
        <v>0</v>
      </c>
      <c r="V6" s="650">
        <f t="shared" si="9"/>
        <v>0</v>
      </c>
      <c r="W6" s="650">
        <f t="shared" si="10"/>
        <v>0</v>
      </c>
      <c r="X6" s="650">
        <f t="shared" si="10"/>
        <v>0</v>
      </c>
      <c r="Y6" s="650">
        <f t="shared" si="11"/>
        <v>0</v>
      </c>
      <c r="Z6" s="649">
        <f t="shared" si="12"/>
        <v>0</v>
      </c>
      <c r="AA6" s="649">
        <f t="shared" si="13"/>
        <v>0</v>
      </c>
      <c r="AB6" s="649">
        <f t="shared" si="14"/>
        <v>0</v>
      </c>
      <c r="AC6" s="649">
        <f t="shared" si="14"/>
        <v>0</v>
      </c>
      <c r="AD6" s="649">
        <f t="shared" si="15"/>
        <v>0</v>
      </c>
      <c r="AE6" s="648"/>
      <c r="AF6" s="648"/>
      <c r="AG6" s="648"/>
      <c r="AH6" s="648"/>
      <c r="AI6" s="648"/>
    </row>
    <row r="7" spans="1:35" x14ac:dyDescent="0.15">
      <c r="A7" s="670">
        <v>1</v>
      </c>
      <c r="B7" s="669">
        <v>6170202</v>
      </c>
      <c r="C7" s="668"/>
      <c r="D7" s="725" t="s">
        <v>1326</v>
      </c>
      <c r="E7" s="700">
        <f>+IF($A7="",IF($C7="",SUMIFS(全伝票!I:I,全伝票!$B:$B,$B7),SUMIFS(全伝票!I:I,全伝票!$C:$C,$C7)),IF($C7="",SUMIFS(全伝票!I:I,全伝票!$A:$A,$A7,全伝票!$B:$B,$B7),SUMIFS(全伝票!I:I,全伝票!$A:$A,$A7,全伝票!$C:$C,$C7)))</f>
        <v>1040000</v>
      </c>
      <c r="F7" s="703">
        <f>+IF($A7="",IF($C7="",SUMIFS(全伝票!J:J,全伝票!$B:$B,$B7),SUMIFS(全伝票!J:J,全伝票!$C:$C,$C7)),IF($C7="",SUMIFS(全伝票!J:J,全伝票!$A:$A,$A7,全伝票!$B:$B,$B7),SUMIFS(全伝票!J:J,全伝票!$A:$A,$A7,全伝票!$C:$C,$C7)))</f>
        <v>0</v>
      </c>
      <c r="G7" s="702">
        <f>+IF($A7="",IF($C7="",SUMIFS(全伝票!K:K,全伝票!$B:$B,$B7),SUMIFS(全伝票!K:K,全伝票!$C:$C,$C7)),IF($C7="",SUMIFS(全伝票!K:K,全伝票!$A:$A,$A7,全伝票!$B:$B,$B7),SUMIFS(全伝票!K:K,全伝票!$A:$A,$A7,全伝票!$C:$C,$C7)))</f>
        <v>0</v>
      </c>
      <c r="H7" s="702">
        <f>+IF($A7="",IF($C7="",SUMIFS(全伝票!L:L,全伝票!$B:$B,$B7),SUMIFS(全伝票!L:L,全伝票!$C:$C,$C7)),IF($C7="",SUMIFS(全伝票!L:L,全伝票!$A:$A,$A7,全伝票!$B:$B,$B7),SUMIFS(全伝票!L:L,全伝票!$A:$A,$A7,全伝票!$C:$C,$C7)))</f>
        <v>0</v>
      </c>
      <c r="I7" s="702">
        <f>+IF($A7="",IF($C7="",SUMIFS(全伝票!M:M,全伝票!$B:$B,$B7),SUMIFS(全伝票!M:M,全伝票!$C:$C,$C7)),IF($C7="",SUMIFS(全伝票!M:M,全伝票!$A:$A,$A7,全伝票!$B:$B,$B7),SUMIFS(全伝票!M:M,全伝票!$A:$A,$A7,全伝票!$C:$C,$C7)))</f>
        <v>0</v>
      </c>
      <c r="J7" s="701">
        <f>+IF($A7="",IF($C7="",SUMIFS(全伝票!N:N,全伝票!$B:$B,$B7),SUMIFS(全伝票!N:N,全伝票!$C:$C,$C7)),IF($C7="",SUMIFS(全伝票!N:N,全伝票!$A:$A,$A7,全伝票!$B:$B,$B7),SUMIFS(全伝票!N:N,全伝票!$A:$A,$A7,全伝票!$C:$C,$C7)))</f>
        <v>0</v>
      </c>
      <c r="K7" s="664">
        <f>SUM(F7:J7)</f>
        <v>0</v>
      </c>
      <c r="L7" s="700">
        <f>+IF($A7="",IF($C7="",SUMIFS(全伝票!O:O,全伝票!$B:$B,$B7),SUMIFS(全伝票!O:O,全伝票!$C:$C,$C7)),IF($C7="",SUMIFS(全伝票!O:O,全伝票!$A:$A,$A7,全伝票!$B:$B,$B7),SUMIFS(全伝票!O:O,全伝票!$A:$A,$A7,全伝票!$C:$C,$C7)))</f>
        <v>0</v>
      </c>
      <c r="M7" s="700">
        <f>+IF($A7="",IF($C7="",SUMIFS(全伝票!P:P,全伝票!$B:$B,$B7),SUMIFS(全伝票!P:P,全伝票!$C:$C,$C7)),IF($C7="",SUMIFS(全伝票!P:P,全伝票!$A:$A,$A7,全伝票!$B:$B,$B7),SUMIFS(全伝票!P:P,全伝票!$A:$A,$A7,全伝票!$C:$C,$C7)))</f>
        <v>1040000</v>
      </c>
      <c r="N7" s="662">
        <f t="shared" si="2"/>
        <v>0</v>
      </c>
      <c r="O7" s="661">
        <f t="shared" si="3"/>
        <v>0</v>
      </c>
      <c r="P7" s="661">
        <f t="shared" si="4"/>
        <v>0</v>
      </c>
      <c r="Q7" s="661">
        <f t="shared" si="4"/>
        <v>0</v>
      </c>
      <c r="R7" s="665">
        <f t="shared" si="5"/>
        <v>0</v>
      </c>
      <c r="S7" s="664">
        <f t="shared" si="6"/>
        <v>0</v>
      </c>
      <c r="T7" s="663">
        <f t="shared" si="7"/>
        <v>1040000</v>
      </c>
      <c r="U7" s="650">
        <f t="shared" si="8"/>
        <v>0</v>
      </c>
      <c r="V7" s="650">
        <f t="shared" si="9"/>
        <v>0</v>
      </c>
      <c r="W7" s="650">
        <f t="shared" si="10"/>
        <v>0</v>
      </c>
      <c r="X7" s="650">
        <f t="shared" si="10"/>
        <v>0</v>
      </c>
      <c r="Y7" s="650">
        <f t="shared" si="11"/>
        <v>0</v>
      </c>
      <c r="Z7" s="649">
        <f t="shared" si="12"/>
        <v>0</v>
      </c>
      <c r="AA7" s="649">
        <f t="shared" si="13"/>
        <v>0</v>
      </c>
      <c r="AB7" s="649">
        <f t="shared" si="14"/>
        <v>0</v>
      </c>
      <c r="AC7" s="649">
        <f t="shared" si="14"/>
        <v>0</v>
      </c>
      <c r="AD7" s="649">
        <f t="shared" si="15"/>
        <v>0</v>
      </c>
      <c r="AE7" s="648"/>
      <c r="AF7" s="648"/>
      <c r="AG7" s="648"/>
      <c r="AH7" s="648"/>
      <c r="AI7" s="648"/>
    </row>
    <row r="8" spans="1:35" x14ac:dyDescent="0.15">
      <c r="A8" s="670">
        <v>2</v>
      </c>
      <c r="B8" s="669">
        <v>6170208</v>
      </c>
      <c r="C8" s="668"/>
      <c r="D8" s="725" t="s">
        <v>1325</v>
      </c>
      <c r="E8" s="700">
        <f>+IF($A8="",IF($C8="",SUMIFS(全伝票!I:I,全伝票!$B:$B,$B8),SUMIFS(全伝票!I:I,全伝票!$C:$C,$C8)),IF($C8="",SUMIFS(全伝票!I:I,全伝票!$A:$A,$A8,全伝票!$B:$B,$B8),SUMIFS(全伝票!I:I,全伝票!$A:$A,$A8,全伝票!$C:$C,$C8)))</f>
        <v>1040000</v>
      </c>
      <c r="F8" s="703">
        <f>+IF($A8="",IF($C8="",SUMIFS(全伝票!J:J,全伝票!$B:$B,$B8),SUMIFS(全伝票!J:J,全伝票!$C:$C,$C8)),IF($C8="",SUMIFS(全伝票!J:J,全伝票!$A:$A,$A8,全伝票!$B:$B,$B8),SUMIFS(全伝票!J:J,全伝票!$A:$A,$A8,全伝票!$C:$C,$C8)))</f>
        <v>0</v>
      </c>
      <c r="G8" s="702">
        <f>+IF($A8="",IF($C8="",SUMIFS(全伝票!K:K,全伝票!$B:$B,$B8),SUMIFS(全伝票!K:K,全伝票!$C:$C,$C8)),IF($C8="",SUMIFS(全伝票!K:K,全伝票!$A:$A,$A8,全伝票!$B:$B,$B8),SUMIFS(全伝票!K:K,全伝票!$A:$A,$A8,全伝票!$C:$C,$C8)))</f>
        <v>0</v>
      </c>
      <c r="H8" s="702">
        <f>+IF($A8="",IF($C8="",SUMIFS(全伝票!L:L,全伝票!$B:$B,$B8),SUMIFS(全伝票!L:L,全伝票!$C:$C,$C8)),IF($C8="",SUMIFS(全伝票!L:L,全伝票!$A:$A,$A8,全伝票!$B:$B,$B8),SUMIFS(全伝票!L:L,全伝票!$A:$A,$A8,全伝票!$C:$C,$C8)))</f>
        <v>0</v>
      </c>
      <c r="I8" s="702">
        <f>+IF($A8="",IF($C8="",SUMIFS(全伝票!M:M,全伝票!$B:$B,$B8),SUMIFS(全伝票!M:M,全伝票!$C:$C,$C8)),IF($C8="",SUMIFS(全伝票!M:M,全伝票!$A:$A,$A8,全伝票!$B:$B,$B8),SUMIFS(全伝票!M:M,全伝票!$A:$A,$A8,全伝票!$C:$C,$C8)))</f>
        <v>0</v>
      </c>
      <c r="J8" s="701">
        <f>+IF($A8="",IF($C8="",SUMIFS(全伝票!N:N,全伝票!$B:$B,$B8),SUMIFS(全伝票!N:N,全伝票!$C:$C,$C8)),IF($C8="",SUMIFS(全伝票!N:N,全伝票!$A:$A,$A8,全伝票!$B:$B,$B8),SUMIFS(全伝票!N:N,全伝票!$A:$A,$A8,全伝票!$C:$C,$C8)))</f>
        <v>0</v>
      </c>
      <c r="K8" s="664">
        <f>SUM(F8:J8)</f>
        <v>0</v>
      </c>
      <c r="L8" s="700">
        <f>+IF($A8="",IF($C8="",SUMIFS(全伝票!O:O,全伝票!$B:$B,$B8),SUMIFS(全伝票!O:O,全伝票!$C:$C,$C8)),IF($C8="",SUMIFS(全伝票!O:O,全伝票!$A:$A,$A8,全伝票!$B:$B,$B8),SUMIFS(全伝票!O:O,全伝票!$A:$A,$A8,全伝票!$C:$C,$C8)))</f>
        <v>0</v>
      </c>
      <c r="M8" s="700">
        <f>+IF($A8="",IF($C8="",SUMIFS(全伝票!P:P,全伝票!$B:$B,$B8),SUMIFS(全伝票!P:P,全伝票!$C:$C,$C8)),IF($C8="",SUMIFS(全伝票!P:P,全伝票!$A:$A,$A8,全伝票!$B:$B,$B8),SUMIFS(全伝票!P:P,全伝票!$A:$A,$A8,全伝票!$C:$C,$C8)))</f>
        <v>1040000</v>
      </c>
      <c r="N8" s="662">
        <f t="shared" si="2"/>
        <v>0</v>
      </c>
      <c r="O8" s="661">
        <f t="shared" si="3"/>
        <v>0</v>
      </c>
      <c r="P8" s="661">
        <f t="shared" si="4"/>
        <v>0</v>
      </c>
      <c r="Q8" s="661">
        <f t="shared" si="4"/>
        <v>0</v>
      </c>
      <c r="R8" s="665">
        <f t="shared" si="5"/>
        <v>0</v>
      </c>
      <c r="S8" s="664">
        <f t="shared" si="6"/>
        <v>0</v>
      </c>
      <c r="T8" s="663">
        <f t="shared" si="7"/>
        <v>1040000</v>
      </c>
      <c r="U8" s="650">
        <f t="shared" si="8"/>
        <v>0</v>
      </c>
      <c r="V8" s="650">
        <f t="shared" si="9"/>
        <v>0</v>
      </c>
      <c r="W8" s="650">
        <f t="shared" si="10"/>
        <v>0</v>
      </c>
      <c r="X8" s="650">
        <f t="shared" si="10"/>
        <v>0</v>
      </c>
      <c r="Y8" s="650">
        <f t="shared" si="11"/>
        <v>0</v>
      </c>
      <c r="Z8" s="649">
        <f t="shared" si="12"/>
        <v>0</v>
      </c>
      <c r="AA8" s="649">
        <f t="shared" si="13"/>
        <v>0</v>
      </c>
      <c r="AB8" s="649">
        <f t="shared" si="14"/>
        <v>0</v>
      </c>
      <c r="AC8" s="649">
        <f t="shared" si="14"/>
        <v>0</v>
      </c>
      <c r="AD8" s="649">
        <f t="shared" si="15"/>
        <v>0</v>
      </c>
      <c r="AE8" s="648"/>
      <c r="AF8" s="648"/>
      <c r="AG8" s="648"/>
      <c r="AH8" s="648"/>
      <c r="AI8" s="648"/>
    </row>
    <row r="9" spans="1:35" x14ac:dyDescent="0.15">
      <c r="A9" s="670">
        <v>3</v>
      </c>
      <c r="B9" s="669">
        <v>6170214</v>
      </c>
      <c r="C9" s="668"/>
      <c r="D9" s="725" t="s">
        <v>1324</v>
      </c>
      <c r="E9" s="700">
        <f>+IF($A9="",IF($C9="",SUMIFS(全伝票!I:I,全伝票!$B:$B,$B9),SUMIFS(全伝票!I:I,全伝票!$C:$C,$C9)),IF($C9="",SUMIFS(全伝票!I:I,全伝票!$A:$A,$A9,全伝票!$B:$B,$B9),SUMIFS(全伝票!I:I,全伝票!$A:$A,$A9,全伝票!$C:$C,$C9)))</f>
        <v>0</v>
      </c>
      <c r="F9" s="703">
        <f>+IF($A9="",IF($C9="",SUMIFS(全伝票!J:J,全伝票!$B:$B,$B9),SUMIFS(全伝票!J:J,全伝票!$C:$C,$C9)),IF($C9="",SUMIFS(全伝票!J:J,全伝票!$A:$A,$A9,全伝票!$B:$B,$B9),SUMIFS(全伝票!J:J,全伝票!$A:$A,$A9,全伝票!$C:$C,$C9)))</f>
        <v>0</v>
      </c>
      <c r="G9" s="702">
        <f>+IF($A9="",IF($C9="",SUMIFS(全伝票!K:K,全伝票!$B:$B,$B9),SUMIFS(全伝票!K:K,全伝票!$C:$C,$C9)),IF($C9="",SUMIFS(全伝票!K:K,全伝票!$A:$A,$A9,全伝票!$B:$B,$B9),SUMIFS(全伝票!K:K,全伝票!$A:$A,$A9,全伝票!$C:$C,$C9)))</f>
        <v>0</v>
      </c>
      <c r="H9" s="702">
        <f>+IF($A9="",IF($C9="",SUMIFS(全伝票!L:L,全伝票!$B:$B,$B9),SUMIFS(全伝票!L:L,全伝票!$C:$C,$C9)),IF($C9="",SUMIFS(全伝票!L:L,全伝票!$A:$A,$A9,全伝票!$B:$B,$B9),SUMIFS(全伝票!L:L,全伝票!$A:$A,$A9,全伝票!$C:$C,$C9)))</f>
        <v>0</v>
      </c>
      <c r="I9" s="702">
        <f>+IF($A9="",IF($C9="",SUMIFS(全伝票!M:M,全伝票!$B:$B,$B9),SUMIFS(全伝票!M:M,全伝票!$C:$C,$C9)),IF($C9="",SUMIFS(全伝票!M:M,全伝票!$A:$A,$A9,全伝票!$B:$B,$B9),SUMIFS(全伝票!M:M,全伝票!$A:$A,$A9,全伝票!$C:$C,$C9)))</f>
        <v>0</v>
      </c>
      <c r="J9" s="701">
        <f>+IF($A9="",IF($C9="",SUMIFS(全伝票!N:N,全伝票!$B:$B,$B9),SUMIFS(全伝票!N:N,全伝票!$C:$C,$C9)),IF($C9="",SUMIFS(全伝票!N:N,全伝票!$A:$A,$A9,全伝票!$B:$B,$B9),SUMIFS(全伝票!N:N,全伝票!$A:$A,$A9,全伝票!$C:$C,$C9)))</f>
        <v>0</v>
      </c>
      <c r="K9" s="664">
        <f>SUM(F9:J9)</f>
        <v>0</v>
      </c>
      <c r="L9" s="700">
        <f>+IF($A9="",IF($C9="",SUMIFS(全伝票!O:O,全伝票!$B:$B,$B9),SUMIFS(全伝票!O:O,全伝票!$C:$C,$C9)),IF($C9="",SUMIFS(全伝票!O:O,全伝票!$A:$A,$A9,全伝票!$B:$B,$B9),SUMIFS(全伝票!O:O,全伝票!$A:$A,$A9,全伝票!$C:$C,$C9)))</f>
        <v>0</v>
      </c>
      <c r="M9" s="700">
        <f>+IF($A9="",IF($C9="",SUMIFS(全伝票!P:P,全伝票!$B:$B,$B9),SUMIFS(全伝票!P:P,全伝票!$C:$C,$C9)),IF($C9="",SUMIFS(全伝票!P:P,全伝票!$A:$A,$A9,全伝票!$B:$B,$B9),SUMIFS(全伝票!P:P,全伝票!$A:$A,$A9,全伝票!$C:$C,$C9)))</f>
        <v>0</v>
      </c>
      <c r="N9" s="662">
        <f t="shared" si="2"/>
        <v>0</v>
      </c>
      <c r="O9" s="661">
        <f t="shared" si="3"/>
        <v>0</v>
      </c>
      <c r="P9" s="661">
        <f t="shared" si="4"/>
        <v>0</v>
      </c>
      <c r="Q9" s="661">
        <f t="shared" si="4"/>
        <v>0</v>
      </c>
      <c r="R9" s="665">
        <f t="shared" si="5"/>
        <v>0</v>
      </c>
      <c r="S9" s="664">
        <f t="shared" si="6"/>
        <v>0</v>
      </c>
      <c r="T9" s="663">
        <f t="shared" si="7"/>
        <v>0</v>
      </c>
      <c r="U9" s="650">
        <f t="shared" si="8"/>
        <v>0</v>
      </c>
      <c r="V9" s="650">
        <f t="shared" si="9"/>
        <v>0</v>
      </c>
      <c r="W9" s="650">
        <f t="shared" si="10"/>
        <v>0</v>
      </c>
      <c r="X9" s="650">
        <f t="shared" si="10"/>
        <v>0</v>
      </c>
      <c r="Y9" s="650">
        <f t="shared" si="11"/>
        <v>0</v>
      </c>
      <c r="Z9" s="649">
        <f t="shared" si="12"/>
        <v>0</v>
      </c>
      <c r="AA9" s="649">
        <f t="shared" si="13"/>
        <v>0</v>
      </c>
      <c r="AB9" s="649">
        <f t="shared" si="14"/>
        <v>0</v>
      </c>
      <c r="AC9" s="649">
        <f t="shared" si="14"/>
        <v>0</v>
      </c>
      <c r="AD9" s="649">
        <f t="shared" si="15"/>
        <v>0</v>
      </c>
      <c r="AE9" s="648"/>
      <c r="AF9" s="648"/>
      <c r="AG9" s="648"/>
      <c r="AH9" s="648"/>
      <c r="AI9" s="648"/>
    </row>
    <row r="10" spans="1:35" x14ac:dyDescent="0.15">
      <c r="A10" s="670">
        <v>4</v>
      </c>
      <c r="B10" s="669">
        <v>6170220</v>
      </c>
      <c r="C10" s="668"/>
      <c r="D10" s="725" t="s">
        <v>1323</v>
      </c>
      <c r="E10" s="700">
        <f>+IF($A10="",IF($C10="",SUMIFS(全伝票!I:I,全伝票!$B:$B,$B10),SUMIFS(全伝票!I:I,全伝票!$C:$C,$C10)),IF($C10="",SUMIFS(全伝票!I:I,全伝票!$A:$A,$A10,全伝票!$B:$B,$B10),SUMIFS(全伝票!I:I,全伝票!$A:$A,$A10,全伝票!$C:$C,$C10)))</f>
        <v>520000</v>
      </c>
      <c r="F10" s="703">
        <f>+IF($A10="",IF($C10="",SUMIFS(全伝票!J:J,全伝票!$B:$B,$B10),SUMIFS(全伝票!J:J,全伝票!$C:$C,$C10)),IF($C10="",SUMIFS(全伝票!J:J,全伝票!$A:$A,$A10,全伝票!$B:$B,$B10),SUMIFS(全伝票!J:J,全伝票!$A:$A,$A10,全伝票!$C:$C,$C10)))</f>
        <v>0</v>
      </c>
      <c r="G10" s="702">
        <f>+IF($A10="",IF($C10="",SUMIFS(全伝票!K:K,全伝票!$B:$B,$B10),SUMIFS(全伝票!K:K,全伝票!$C:$C,$C10)),IF($C10="",SUMIFS(全伝票!K:K,全伝票!$A:$A,$A10,全伝票!$B:$B,$B10),SUMIFS(全伝票!K:K,全伝票!$A:$A,$A10,全伝票!$C:$C,$C10)))</f>
        <v>0</v>
      </c>
      <c r="H10" s="702">
        <f>+IF($A10="",IF($C10="",SUMIFS(全伝票!L:L,全伝票!$B:$B,$B10),SUMIFS(全伝票!L:L,全伝票!$C:$C,$C10)),IF($C10="",SUMIFS(全伝票!L:L,全伝票!$A:$A,$A10,全伝票!$B:$B,$B10),SUMIFS(全伝票!L:L,全伝票!$A:$A,$A10,全伝票!$C:$C,$C10)))</f>
        <v>0</v>
      </c>
      <c r="I10" s="702">
        <f>+IF($A10="",IF($C10="",SUMIFS(全伝票!M:M,全伝票!$B:$B,$B10),SUMIFS(全伝票!M:M,全伝票!$C:$C,$C10)),IF($C10="",SUMIFS(全伝票!M:M,全伝票!$A:$A,$A10,全伝票!$B:$B,$B10),SUMIFS(全伝票!M:M,全伝票!$A:$A,$A10,全伝票!$C:$C,$C10)))</f>
        <v>0</v>
      </c>
      <c r="J10" s="701">
        <f>+IF($A10="",IF($C10="",SUMIFS(全伝票!N:N,全伝票!$B:$B,$B10),SUMIFS(全伝票!N:N,全伝票!$C:$C,$C10)),IF($C10="",SUMIFS(全伝票!N:N,全伝票!$A:$A,$A10,全伝票!$B:$B,$B10),SUMIFS(全伝票!N:N,全伝票!$A:$A,$A10,全伝票!$C:$C,$C10)))</f>
        <v>0</v>
      </c>
      <c r="K10" s="664">
        <f>SUM(F10:J10)</f>
        <v>0</v>
      </c>
      <c r="L10" s="700">
        <f>+IF($A10="",IF($C10="",SUMIFS(全伝票!O:O,全伝票!$B:$B,$B10),SUMIFS(全伝票!O:O,全伝票!$C:$C,$C10)),IF($C10="",SUMIFS(全伝票!O:O,全伝票!$A:$A,$A10,全伝票!$B:$B,$B10),SUMIFS(全伝票!O:O,全伝票!$A:$A,$A10,全伝票!$C:$C,$C10)))</f>
        <v>0</v>
      </c>
      <c r="M10" s="700">
        <f>+IF($A10="",IF($C10="",SUMIFS(全伝票!P:P,全伝票!$B:$B,$B10),SUMIFS(全伝票!P:P,全伝票!$C:$C,$C10)),IF($C10="",SUMIFS(全伝票!P:P,全伝票!$A:$A,$A10,全伝票!$B:$B,$B10),SUMIFS(全伝票!P:P,全伝票!$A:$A,$A10,全伝票!$C:$C,$C10)))</f>
        <v>520000</v>
      </c>
      <c r="N10" s="662">
        <f t="shared" si="2"/>
        <v>0</v>
      </c>
      <c r="O10" s="661">
        <f t="shared" si="3"/>
        <v>0</v>
      </c>
      <c r="P10" s="661">
        <f t="shared" si="4"/>
        <v>0</v>
      </c>
      <c r="Q10" s="661">
        <f t="shared" si="4"/>
        <v>0</v>
      </c>
      <c r="R10" s="665">
        <f t="shared" si="5"/>
        <v>0</v>
      </c>
      <c r="S10" s="664">
        <f t="shared" si="6"/>
        <v>0</v>
      </c>
      <c r="T10" s="663">
        <f t="shared" si="7"/>
        <v>520000</v>
      </c>
      <c r="U10" s="650">
        <f t="shared" si="8"/>
        <v>0</v>
      </c>
      <c r="V10" s="650">
        <f t="shared" si="9"/>
        <v>0</v>
      </c>
      <c r="W10" s="650">
        <f t="shared" si="10"/>
        <v>0</v>
      </c>
      <c r="X10" s="650">
        <f t="shared" si="10"/>
        <v>0</v>
      </c>
      <c r="Y10" s="650">
        <f t="shared" si="11"/>
        <v>0</v>
      </c>
      <c r="Z10" s="649">
        <f t="shared" si="12"/>
        <v>0</v>
      </c>
      <c r="AA10" s="649">
        <f t="shared" si="13"/>
        <v>0</v>
      </c>
      <c r="AB10" s="649">
        <f t="shared" si="14"/>
        <v>0</v>
      </c>
      <c r="AC10" s="649">
        <f t="shared" si="14"/>
        <v>0</v>
      </c>
      <c r="AD10" s="649">
        <f t="shared" si="15"/>
        <v>0</v>
      </c>
      <c r="AE10" s="648"/>
      <c r="AF10" s="648"/>
      <c r="AG10" s="648"/>
      <c r="AH10" s="648"/>
      <c r="AI10" s="648"/>
    </row>
    <row r="11" spans="1:35" x14ac:dyDescent="0.15">
      <c r="A11" s="670"/>
      <c r="B11" s="669"/>
      <c r="C11" s="668"/>
      <c r="D11" s="725"/>
      <c r="E11" s="666"/>
      <c r="F11" s="662"/>
      <c r="G11" s="661"/>
      <c r="H11" s="661"/>
      <c r="I11" s="661"/>
      <c r="J11" s="665"/>
      <c r="K11" s="664"/>
      <c r="L11" s="666"/>
      <c r="M11" s="666"/>
      <c r="N11" s="662">
        <f t="shared" si="2"/>
        <v>0</v>
      </c>
      <c r="O11" s="661">
        <f t="shared" si="3"/>
        <v>0</v>
      </c>
      <c r="P11" s="661">
        <f t="shared" si="4"/>
        <v>0</v>
      </c>
      <c r="Q11" s="661">
        <f t="shared" si="4"/>
        <v>0</v>
      </c>
      <c r="R11" s="665">
        <f t="shared" si="5"/>
        <v>0</v>
      </c>
      <c r="S11" s="664">
        <f t="shared" si="6"/>
        <v>0</v>
      </c>
      <c r="T11" s="663">
        <f t="shared" si="7"/>
        <v>0</v>
      </c>
      <c r="U11" s="650">
        <f t="shared" si="8"/>
        <v>0</v>
      </c>
      <c r="V11" s="650">
        <f t="shared" si="9"/>
        <v>0</v>
      </c>
      <c r="W11" s="650">
        <f t="shared" si="10"/>
        <v>0</v>
      </c>
      <c r="X11" s="650">
        <f t="shared" si="10"/>
        <v>0</v>
      </c>
      <c r="Y11" s="650">
        <f t="shared" si="11"/>
        <v>0</v>
      </c>
      <c r="Z11" s="649">
        <f t="shared" si="12"/>
        <v>0</v>
      </c>
      <c r="AA11" s="649">
        <f t="shared" si="13"/>
        <v>0</v>
      </c>
      <c r="AB11" s="649">
        <f t="shared" si="14"/>
        <v>0</v>
      </c>
      <c r="AC11" s="649">
        <f t="shared" si="14"/>
        <v>0</v>
      </c>
      <c r="AD11" s="649">
        <f t="shared" si="15"/>
        <v>0</v>
      </c>
      <c r="AE11" s="648"/>
      <c r="AF11" s="648"/>
      <c r="AG11" s="648"/>
      <c r="AH11" s="648"/>
      <c r="AI11" s="648"/>
    </row>
    <row r="12" spans="1:35" x14ac:dyDescent="0.15">
      <c r="A12" s="670"/>
      <c r="B12" s="669"/>
      <c r="C12" s="668"/>
      <c r="D12" s="725" t="s">
        <v>1328</v>
      </c>
      <c r="E12" s="666">
        <f t="shared" ref="E12:M12" si="18">+SUM(E13:E16)</f>
        <v>1159000</v>
      </c>
      <c r="F12" s="662">
        <f t="shared" si="18"/>
        <v>0</v>
      </c>
      <c r="G12" s="661">
        <f t="shared" si="18"/>
        <v>0</v>
      </c>
      <c r="H12" s="661">
        <f t="shared" si="18"/>
        <v>0</v>
      </c>
      <c r="I12" s="661">
        <f t="shared" ref="I12" si="19">+SUM(I13:I16)</f>
        <v>0</v>
      </c>
      <c r="J12" s="665">
        <f t="shared" si="18"/>
        <v>0</v>
      </c>
      <c r="K12" s="664">
        <f t="shared" si="18"/>
        <v>0</v>
      </c>
      <c r="L12" s="666">
        <f t="shared" si="18"/>
        <v>0</v>
      </c>
      <c r="M12" s="666">
        <f t="shared" si="18"/>
        <v>1159000</v>
      </c>
      <c r="N12" s="662">
        <f t="shared" si="2"/>
        <v>0</v>
      </c>
      <c r="O12" s="661">
        <f t="shared" si="3"/>
        <v>0</v>
      </c>
      <c r="P12" s="661">
        <f t="shared" si="4"/>
        <v>0</v>
      </c>
      <c r="Q12" s="661">
        <f t="shared" si="4"/>
        <v>0</v>
      </c>
      <c r="R12" s="665">
        <f t="shared" si="5"/>
        <v>0</v>
      </c>
      <c r="S12" s="664">
        <f t="shared" si="6"/>
        <v>0</v>
      </c>
      <c r="T12" s="663">
        <f t="shared" si="7"/>
        <v>1159000</v>
      </c>
      <c r="U12" s="650">
        <f t="shared" si="8"/>
        <v>0</v>
      </c>
      <c r="V12" s="650">
        <f t="shared" si="9"/>
        <v>0</v>
      </c>
      <c r="W12" s="650">
        <f t="shared" si="10"/>
        <v>0</v>
      </c>
      <c r="X12" s="650">
        <f t="shared" si="10"/>
        <v>0</v>
      </c>
      <c r="Y12" s="650">
        <f t="shared" si="11"/>
        <v>0</v>
      </c>
      <c r="Z12" s="649">
        <f t="shared" si="12"/>
        <v>0</v>
      </c>
      <c r="AA12" s="649">
        <f t="shared" si="13"/>
        <v>0</v>
      </c>
      <c r="AB12" s="649">
        <f t="shared" si="14"/>
        <v>0</v>
      </c>
      <c r="AC12" s="649">
        <f t="shared" si="14"/>
        <v>0</v>
      </c>
      <c r="AD12" s="649">
        <f t="shared" si="15"/>
        <v>0</v>
      </c>
      <c r="AE12" s="648"/>
      <c r="AF12" s="648"/>
      <c r="AG12" s="648"/>
      <c r="AH12" s="648"/>
      <c r="AI12" s="648"/>
    </row>
    <row r="13" spans="1:35" x14ac:dyDescent="0.15">
      <c r="A13" s="670">
        <v>1</v>
      </c>
      <c r="B13" s="669">
        <v>6170204</v>
      </c>
      <c r="C13" s="668"/>
      <c r="D13" s="725" t="s">
        <v>1326</v>
      </c>
      <c r="E13" s="700">
        <f>+IF($A13="",IF($C13="",SUMIFS(全伝票!I:I,全伝票!$B:$B,$B13),SUMIFS(全伝票!I:I,全伝票!$C:$C,$C13)),IF($C13="",SUMIFS(全伝票!I:I,全伝票!$A:$A,$A13,全伝票!$B:$B,$B13),SUMIFS(全伝票!I:I,全伝票!$A:$A,$A13,全伝票!$C:$C,$C13)))</f>
        <v>874000</v>
      </c>
      <c r="F13" s="703">
        <f>+IF($A13="",IF($C13="",SUMIFS(全伝票!J:J,全伝票!$B:$B,$B13),SUMIFS(全伝票!J:J,全伝票!$C:$C,$C13)),IF($C13="",SUMIFS(全伝票!J:J,全伝票!$A:$A,$A13,全伝票!$B:$B,$B13),SUMIFS(全伝票!J:J,全伝票!$A:$A,$A13,全伝票!$C:$C,$C13)))</f>
        <v>0</v>
      </c>
      <c r="G13" s="702">
        <f>+IF($A13="",IF($C13="",SUMIFS(全伝票!K:K,全伝票!$B:$B,$B13),SUMIFS(全伝票!K:K,全伝票!$C:$C,$C13)),IF($C13="",SUMIFS(全伝票!K:K,全伝票!$A:$A,$A13,全伝票!$B:$B,$B13),SUMIFS(全伝票!K:K,全伝票!$A:$A,$A13,全伝票!$C:$C,$C13)))</f>
        <v>0</v>
      </c>
      <c r="H13" s="702">
        <f>+IF($A13="",IF($C13="",SUMIFS(全伝票!L:L,全伝票!$B:$B,$B13),SUMIFS(全伝票!L:L,全伝票!$C:$C,$C13)),IF($C13="",SUMIFS(全伝票!L:L,全伝票!$A:$A,$A13,全伝票!$B:$B,$B13),SUMIFS(全伝票!L:L,全伝票!$A:$A,$A13,全伝票!$C:$C,$C13)))</f>
        <v>0</v>
      </c>
      <c r="I13" s="702">
        <f>+IF($A13="",IF($C13="",SUMIFS(全伝票!M:M,全伝票!$B:$B,$B13),SUMIFS(全伝票!M:M,全伝票!$C:$C,$C13)),IF($C13="",SUMIFS(全伝票!M:M,全伝票!$A:$A,$A13,全伝票!$B:$B,$B13),SUMIFS(全伝票!M:M,全伝票!$A:$A,$A13,全伝票!$C:$C,$C13)))</f>
        <v>0</v>
      </c>
      <c r="J13" s="701">
        <f>+IF($A13="",IF($C13="",SUMIFS(全伝票!N:N,全伝票!$B:$B,$B13),SUMIFS(全伝票!N:N,全伝票!$C:$C,$C13)),IF($C13="",SUMIFS(全伝票!N:N,全伝票!$A:$A,$A13,全伝票!$B:$B,$B13),SUMIFS(全伝票!N:N,全伝票!$A:$A,$A13,全伝票!$C:$C,$C13)))</f>
        <v>0</v>
      </c>
      <c r="K13" s="664">
        <f>SUM(F13:J13)</f>
        <v>0</v>
      </c>
      <c r="L13" s="700">
        <f>+IF($A13="",IF($C13="",SUMIFS(全伝票!O:O,全伝票!$B:$B,$B13),SUMIFS(全伝票!O:O,全伝票!$C:$C,$C13)),IF($C13="",SUMIFS(全伝票!O:O,全伝票!$A:$A,$A13,全伝票!$B:$B,$B13),SUMIFS(全伝票!O:O,全伝票!$A:$A,$A13,全伝票!$C:$C,$C13)))</f>
        <v>0</v>
      </c>
      <c r="M13" s="700">
        <f>+IF($A13="",IF($C13="",SUMIFS(全伝票!P:P,全伝票!$B:$B,$B13),SUMIFS(全伝票!P:P,全伝票!$C:$C,$C13)),IF($C13="",SUMIFS(全伝票!P:P,全伝票!$A:$A,$A13,全伝票!$B:$B,$B13),SUMIFS(全伝票!P:P,全伝票!$A:$A,$A13,全伝票!$C:$C,$C13)))</f>
        <v>874000</v>
      </c>
      <c r="N13" s="662">
        <f t="shared" si="2"/>
        <v>0</v>
      </c>
      <c r="O13" s="661">
        <f t="shared" si="3"/>
        <v>0</v>
      </c>
      <c r="P13" s="661">
        <f t="shared" si="4"/>
        <v>0</v>
      </c>
      <c r="Q13" s="661">
        <f t="shared" si="4"/>
        <v>0</v>
      </c>
      <c r="R13" s="665">
        <f t="shared" si="5"/>
        <v>0</v>
      </c>
      <c r="S13" s="664">
        <f t="shared" si="6"/>
        <v>0</v>
      </c>
      <c r="T13" s="663">
        <f t="shared" si="7"/>
        <v>874000</v>
      </c>
      <c r="U13" s="650">
        <f t="shared" si="8"/>
        <v>0</v>
      </c>
      <c r="V13" s="650">
        <f t="shared" si="9"/>
        <v>0</v>
      </c>
      <c r="W13" s="650">
        <f t="shared" si="10"/>
        <v>0</v>
      </c>
      <c r="X13" s="650">
        <f t="shared" si="10"/>
        <v>0</v>
      </c>
      <c r="Y13" s="650">
        <f t="shared" si="11"/>
        <v>0</v>
      </c>
      <c r="Z13" s="649">
        <f t="shared" si="12"/>
        <v>0</v>
      </c>
      <c r="AA13" s="649">
        <f t="shared" si="13"/>
        <v>0</v>
      </c>
      <c r="AB13" s="649">
        <f t="shared" si="14"/>
        <v>0</v>
      </c>
      <c r="AC13" s="649">
        <f t="shared" si="14"/>
        <v>0</v>
      </c>
      <c r="AD13" s="649">
        <f t="shared" si="15"/>
        <v>0</v>
      </c>
      <c r="AE13" s="648"/>
      <c r="AF13" s="648"/>
      <c r="AG13" s="648"/>
      <c r="AH13" s="648"/>
      <c r="AI13" s="648"/>
    </row>
    <row r="14" spans="1:35" x14ac:dyDescent="0.15">
      <c r="A14" s="670">
        <v>2</v>
      </c>
      <c r="B14" s="669">
        <v>6170210</v>
      </c>
      <c r="C14" s="668"/>
      <c r="D14" s="725" t="s">
        <v>1325</v>
      </c>
      <c r="E14" s="700">
        <f>+IF($A14="",IF($C14="",SUMIFS(全伝票!I:I,全伝票!$B:$B,$B14),SUMIFS(全伝票!I:I,全伝票!$C:$C,$C14)),IF($C14="",SUMIFS(全伝票!I:I,全伝票!$A:$A,$A14,全伝票!$B:$B,$B14),SUMIFS(全伝票!I:I,全伝票!$A:$A,$A14,全伝票!$C:$C,$C14)))</f>
        <v>0</v>
      </c>
      <c r="F14" s="703">
        <f>+IF($A14="",IF($C14="",SUMIFS(全伝票!J:J,全伝票!$B:$B,$B14),SUMIFS(全伝票!J:J,全伝票!$C:$C,$C14)),IF($C14="",SUMIFS(全伝票!J:J,全伝票!$A:$A,$A14,全伝票!$B:$B,$B14),SUMIFS(全伝票!J:J,全伝票!$A:$A,$A14,全伝票!$C:$C,$C14)))</f>
        <v>0</v>
      </c>
      <c r="G14" s="702">
        <f>+IF($A14="",IF($C14="",SUMIFS(全伝票!K:K,全伝票!$B:$B,$B14),SUMIFS(全伝票!K:K,全伝票!$C:$C,$C14)),IF($C14="",SUMIFS(全伝票!K:K,全伝票!$A:$A,$A14,全伝票!$B:$B,$B14),SUMIFS(全伝票!K:K,全伝票!$A:$A,$A14,全伝票!$C:$C,$C14)))</f>
        <v>0</v>
      </c>
      <c r="H14" s="702">
        <f>+IF($A14="",IF($C14="",SUMIFS(全伝票!L:L,全伝票!$B:$B,$B14),SUMIFS(全伝票!L:L,全伝票!$C:$C,$C14)),IF($C14="",SUMIFS(全伝票!L:L,全伝票!$A:$A,$A14,全伝票!$B:$B,$B14),SUMIFS(全伝票!L:L,全伝票!$A:$A,$A14,全伝票!$C:$C,$C14)))</f>
        <v>0</v>
      </c>
      <c r="I14" s="702">
        <f>+IF($A14="",IF($C14="",SUMIFS(全伝票!M:M,全伝票!$B:$B,$B14),SUMIFS(全伝票!M:M,全伝票!$C:$C,$C14)),IF($C14="",SUMIFS(全伝票!M:M,全伝票!$A:$A,$A14,全伝票!$B:$B,$B14),SUMIFS(全伝票!M:M,全伝票!$A:$A,$A14,全伝票!$C:$C,$C14)))</f>
        <v>0</v>
      </c>
      <c r="J14" s="701">
        <f>+IF($A14="",IF($C14="",SUMIFS(全伝票!N:N,全伝票!$B:$B,$B14),SUMIFS(全伝票!N:N,全伝票!$C:$C,$C14)),IF($C14="",SUMIFS(全伝票!N:N,全伝票!$A:$A,$A14,全伝票!$B:$B,$B14),SUMIFS(全伝票!N:N,全伝票!$A:$A,$A14,全伝票!$C:$C,$C14)))</f>
        <v>0</v>
      </c>
      <c r="K14" s="664">
        <f>SUM(F14:J14)</f>
        <v>0</v>
      </c>
      <c r="L14" s="700">
        <f>+IF($A14="",IF($C14="",SUMIFS(全伝票!O:O,全伝票!$B:$B,$B14),SUMIFS(全伝票!O:O,全伝票!$C:$C,$C14)),IF($C14="",SUMIFS(全伝票!O:O,全伝票!$A:$A,$A14,全伝票!$B:$B,$B14),SUMIFS(全伝票!O:O,全伝票!$A:$A,$A14,全伝票!$C:$C,$C14)))</f>
        <v>0</v>
      </c>
      <c r="M14" s="700">
        <f>+IF($A14="",IF($C14="",SUMIFS(全伝票!P:P,全伝票!$B:$B,$B14),SUMIFS(全伝票!P:P,全伝票!$C:$C,$C14)),IF($C14="",SUMIFS(全伝票!P:P,全伝票!$A:$A,$A14,全伝票!$B:$B,$B14),SUMIFS(全伝票!P:P,全伝票!$A:$A,$A14,全伝票!$C:$C,$C14)))</f>
        <v>0</v>
      </c>
      <c r="N14" s="662">
        <f t="shared" si="2"/>
        <v>0</v>
      </c>
      <c r="O14" s="661">
        <f t="shared" si="3"/>
        <v>0</v>
      </c>
      <c r="P14" s="661">
        <f t="shared" si="4"/>
        <v>0</v>
      </c>
      <c r="Q14" s="661">
        <f t="shared" si="4"/>
        <v>0</v>
      </c>
      <c r="R14" s="665">
        <f t="shared" si="5"/>
        <v>0</v>
      </c>
      <c r="S14" s="664">
        <f t="shared" si="6"/>
        <v>0</v>
      </c>
      <c r="T14" s="663">
        <f t="shared" si="7"/>
        <v>0</v>
      </c>
      <c r="U14" s="650">
        <f t="shared" si="8"/>
        <v>0</v>
      </c>
      <c r="V14" s="650">
        <f t="shared" si="9"/>
        <v>0</v>
      </c>
      <c r="W14" s="650">
        <f t="shared" si="10"/>
        <v>0</v>
      </c>
      <c r="X14" s="650">
        <f t="shared" si="10"/>
        <v>0</v>
      </c>
      <c r="Y14" s="650">
        <f t="shared" si="11"/>
        <v>0</v>
      </c>
      <c r="Z14" s="649">
        <f t="shared" si="12"/>
        <v>0</v>
      </c>
      <c r="AA14" s="649">
        <f t="shared" si="13"/>
        <v>0</v>
      </c>
      <c r="AB14" s="649">
        <f t="shared" si="14"/>
        <v>0</v>
      </c>
      <c r="AC14" s="649">
        <f t="shared" si="14"/>
        <v>0</v>
      </c>
      <c r="AD14" s="649">
        <f t="shared" si="15"/>
        <v>0</v>
      </c>
      <c r="AE14" s="648"/>
      <c r="AF14" s="648"/>
      <c r="AG14" s="648"/>
      <c r="AH14" s="648"/>
      <c r="AI14" s="648"/>
    </row>
    <row r="15" spans="1:35" x14ac:dyDescent="0.15">
      <c r="A15" s="670">
        <v>3</v>
      </c>
      <c r="B15" s="669">
        <v>6170216</v>
      </c>
      <c r="C15" s="668"/>
      <c r="D15" s="725" t="s">
        <v>1324</v>
      </c>
      <c r="E15" s="700">
        <f>+IF($A15="",IF($C15="",SUMIFS(全伝票!I:I,全伝票!$B:$B,$B15),SUMIFS(全伝票!I:I,全伝票!$C:$C,$C15)),IF($C15="",SUMIFS(全伝票!I:I,全伝票!$A:$A,$A15,全伝票!$B:$B,$B15),SUMIFS(全伝票!I:I,全伝票!$A:$A,$A15,全伝票!$C:$C,$C15)))</f>
        <v>285000</v>
      </c>
      <c r="F15" s="703">
        <f>+IF($A15="",IF($C15="",SUMIFS(全伝票!J:J,全伝票!$B:$B,$B15),SUMIFS(全伝票!J:J,全伝票!$C:$C,$C15)),IF($C15="",SUMIFS(全伝票!J:J,全伝票!$A:$A,$A15,全伝票!$B:$B,$B15),SUMIFS(全伝票!J:J,全伝票!$A:$A,$A15,全伝票!$C:$C,$C15)))</f>
        <v>0</v>
      </c>
      <c r="G15" s="702">
        <f>+IF($A15="",IF($C15="",SUMIFS(全伝票!K:K,全伝票!$B:$B,$B15),SUMIFS(全伝票!K:K,全伝票!$C:$C,$C15)),IF($C15="",SUMIFS(全伝票!K:K,全伝票!$A:$A,$A15,全伝票!$B:$B,$B15),SUMIFS(全伝票!K:K,全伝票!$A:$A,$A15,全伝票!$C:$C,$C15)))</f>
        <v>0</v>
      </c>
      <c r="H15" s="702">
        <f>+IF($A15="",IF($C15="",SUMIFS(全伝票!L:L,全伝票!$B:$B,$B15),SUMIFS(全伝票!L:L,全伝票!$C:$C,$C15)),IF($C15="",SUMIFS(全伝票!L:L,全伝票!$A:$A,$A15,全伝票!$B:$B,$B15),SUMIFS(全伝票!L:L,全伝票!$A:$A,$A15,全伝票!$C:$C,$C15)))</f>
        <v>0</v>
      </c>
      <c r="I15" s="702">
        <f>+IF($A15="",IF($C15="",SUMIFS(全伝票!M:M,全伝票!$B:$B,$B15),SUMIFS(全伝票!M:M,全伝票!$C:$C,$C15)),IF($C15="",SUMIFS(全伝票!M:M,全伝票!$A:$A,$A15,全伝票!$B:$B,$B15),SUMIFS(全伝票!M:M,全伝票!$A:$A,$A15,全伝票!$C:$C,$C15)))</f>
        <v>0</v>
      </c>
      <c r="J15" s="701">
        <f>+IF($A15="",IF($C15="",SUMIFS(全伝票!N:N,全伝票!$B:$B,$B15),SUMIFS(全伝票!N:N,全伝票!$C:$C,$C15)),IF($C15="",SUMIFS(全伝票!N:N,全伝票!$A:$A,$A15,全伝票!$B:$B,$B15),SUMIFS(全伝票!N:N,全伝票!$A:$A,$A15,全伝票!$C:$C,$C15)))</f>
        <v>0</v>
      </c>
      <c r="K15" s="664">
        <f>SUM(F15:J15)</f>
        <v>0</v>
      </c>
      <c r="L15" s="700">
        <f>+IF($A15="",IF($C15="",SUMIFS(全伝票!O:O,全伝票!$B:$B,$B15),SUMIFS(全伝票!O:O,全伝票!$C:$C,$C15)),IF($C15="",SUMIFS(全伝票!O:O,全伝票!$A:$A,$A15,全伝票!$B:$B,$B15),SUMIFS(全伝票!O:O,全伝票!$A:$A,$A15,全伝票!$C:$C,$C15)))</f>
        <v>0</v>
      </c>
      <c r="M15" s="700">
        <f>+IF($A15="",IF($C15="",SUMIFS(全伝票!P:P,全伝票!$B:$B,$B15),SUMIFS(全伝票!P:P,全伝票!$C:$C,$C15)),IF($C15="",SUMIFS(全伝票!P:P,全伝票!$A:$A,$A15,全伝票!$B:$B,$B15),SUMIFS(全伝票!P:P,全伝票!$A:$A,$A15,全伝票!$C:$C,$C15)))</f>
        <v>285000</v>
      </c>
      <c r="N15" s="662">
        <f t="shared" si="2"/>
        <v>0</v>
      </c>
      <c r="O15" s="661">
        <f t="shared" si="3"/>
        <v>0</v>
      </c>
      <c r="P15" s="661">
        <f t="shared" si="4"/>
        <v>0</v>
      </c>
      <c r="Q15" s="661">
        <f t="shared" si="4"/>
        <v>0</v>
      </c>
      <c r="R15" s="665">
        <f t="shared" si="5"/>
        <v>0</v>
      </c>
      <c r="S15" s="664">
        <f t="shared" si="6"/>
        <v>0</v>
      </c>
      <c r="T15" s="663">
        <f t="shared" si="7"/>
        <v>285000</v>
      </c>
      <c r="U15" s="650">
        <f t="shared" si="8"/>
        <v>0</v>
      </c>
      <c r="V15" s="650">
        <f t="shared" si="9"/>
        <v>0</v>
      </c>
      <c r="W15" s="650">
        <f t="shared" si="10"/>
        <v>0</v>
      </c>
      <c r="X15" s="650">
        <f t="shared" si="10"/>
        <v>0</v>
      </c>
      <c r="Y15" s="650">
        <f t="shared" si="11"/>
        <v>0</v>
      </c>
      <c r="Z15" s="649">
        <f t="shared" si="12"/>
        <v>0</v>
      </c>
      <c r="AA15" s="649">
        <f t="shared" si="13"/>
        <v>0</v>
      </c>
      <c r="AB15" s="649">
        <f t="shared" si="14"/>
        <v>0</v>
      </c>
      <c r="AC15" s="649">
        <f t="shared" si="14"/>
        <v>0</v>
      </c>
      <c r="AD15" s="649">
        <f t="shared" si="15"/>
        <v>0</v>
      </c>
      <c r="AE15" s="648"/>
      <c r="AF15" s="648"/>
      <c r="AG15" s="648"/>
      <c r="AH15" s="648"/>
      <c r="AI15" s="648"/>
    </row>
    <row r="16" spans="1:35" x14ac:dyDescent="0.15">
      <c r="A16" s="670">
        <v>4</v>
      </c>
      <c r="B16" s="669">
        <v>6170222</v>
      </c>
      <c r="C16" s="668"/>
      <c r="D16" s="725" t="s">
        <v>1323</v>
      </c>
      <c r="E16" s="700">
        <f>+IF($A16="",IF($C16="",SUMIFS(全伝票!I:I,全伝票!$B:$B,$B16),SUMIFS(全伝票!I:I,全伝票!$C:$C,$C16)),IF($C16="",SUMIFS(全伝票!I:I,全伝票!$A:$A,$A16,全伝票!$B:$B,$B16),SUMIFS(全伝票!I:I,全伝票!$A:$A,$A16,全伝票!$C:$C,$C16)))</f>
        <v>0</v>
      </c>
      <c r="F16" s="703">
        <f>+IF($A16="",IF($C16="",SUMIFS(全伝票!J:J,全伝票!$B:$B,$B16),SUMIFS(全伝票!J:J,全伝票!$C:$C,$C16)),IF($C16="",SUMIFS(全伝票!J:J,全伝票!$A:$A,$A16,全伝票!$B:$B,$B16),SUMIFS(全伝票!J:J,全伝票!$A:$A,$A16,全伝票!$C:$C,$C16)))</f>
        <v>0</v>
      </c>
      <c r="G16" s="702">
        <f>+IF($A16="",IF($C16="",SUMIFS(全伝票!K:K,全伝票!$B:$B,$B16),SUMIFS(全伝票!K:K,全伝票!$C:$C,$C16)),IF($C16="",SUMIFS(全伝票!K:K,全伝票!$A:$A,$A16,全伝票!$B:$B,$B16),SUMIFS(全伝票!K:K,全伝票!$A:$A,$A16,全伝票!$C:$C,$C16)))</f>
        <v>0</v>
      </c>
      <c r="H16" s="702">
        <f>+IF($A16="",IF($C16="",SUMIFS(全伝票!L:L,全伝票!$B:$B,$B16),SUMIFS(全伝票!L:L,全伝票!$C:$C,$C16)),IF($C16="",SUMIFS(全伝票!L:L,全伝票!$A:$A,$A16,全伝票!$B:$B,$B16),SUMIFS(全伝票!L:L,全伝票!$A:$A,$A16,全伝票!$C:$C,$C16)))</f>
        <v>0</v>
      </c>
      <c r="I16" s="702">
        <f>+IF($A16="",IF($C16="",SUMIFS(全伝票!M:M,全伝票!$B:$B,$B16),SUMIFS(全伝票!M:M,全伝票!$C:$C,$C16)),IF($C16="",SUMIFS(全伝票!M:M,全伝票!$A:$A,$A16,全伝票!$B:$B,$B16),SUMIFS(全伝票!M:M,全伝票!$A:$A,$A16,全伝票!$C:$C,$C16)))</f>
        <v>0</v>
      </c>
      <c r="J16" s="701">
        <f>+IF($A16="",IF($C16="",SUMIFS(全伝票!N:N,全伝票!$B:$B,$B16),SUMIFS(全伝票!N:N,全伝票!$C:$C,$C16)),IF($C16="",SUMIFS(全伝票!N:N,全伝票!$A:$A,$A16,全伝票!$B:$B,$B16),SUMIFS(全伝票!N:N,全伝票!$A:$A,$A16,全伝票!$C:$C,$C16)))</f>
        <v>0</v>
      </c>
      <c r="K16" s="664">
        <f>SUM(F16:J16)</f>
        <v>0</v>
      </c>
      <c r="L16" s="700">
        <f>+IF($A16="",IF($C16="",SUMIFS(全伝票!O:O,全伝票!$B:$B,$B16),SUMIFS(全伝票!O:O,全伝票!$C:$C,$C16)),IF($C16="",SUMIFS(全伝票!O:O,全伝票!$A:$A,$A16,全伝票!$B:$B,$B16),SUMIFS(全伝票!O:O,全伝票!$A:$A,$A16,全伝票!$C:$C,$C16)))</f>
        <v>0</v>
      </c>
      <c r="M16" s="700">
        <f>+IF($A16="",IF($C16="",SUMIFS(全伝票!P:P,全伝票!$B:$B,$B16),SUMIFS(全伝票!P:P,全伝票!$C:$C,$C16)),IF($C16="",SUMIFS(全伝票!P:P,全伝票!$A:$A,$A16,全伝票!$B:$B,$B16),SUMIFS(全伝票!P:P,全伝票!$A:$A,$A16,全伝票!$C:$C,$C16)))</f>
        <v>0</v>
      </c>
      <c r="N16" s="662">
        <f t="shared" si="2"/>
        <v>0</v>
      </c>
      <c r="O16" s="661">
        <f t="shared" si="3"/>
        <v>0</v>
      </c>
      <c r="P16" s="661">
        <f t="shared" si="4"/>
        <v>0</v>
      </c>
      <c r="Q16" s="661">
        <f t="shared" si="4"/>
        <v>0</v>
      </c>
      <c r="R16" s="665">
        <f t="shared" si="5"/>
        <v>0</v>
      </c>
      <c r="S16" s="664">
        <f t="shared" si="6"/>
        <v>0</v>
      </c>
      <c r="T16" s="663">
        <f t="shared" si="7"/>
        <v>0</v>
      </c>
      <c r="U16" s="650">
        <f t="shared" si="8"/>
        <v>0</v>
      </c>
      <c r="V16" s="650">
        <f t="shared" si="9"/>
        <v>0</v>
      </c>
      <c r="W16" s="650">
        <f t="shared" si="10"/>
        <v>0</v>
      </c>
      <c r="X16" s="650">
        <f t="shared" si="10"/>
        <v>0</v>
      </c>
      <c r="Y16" s="650">
        <f t="shared" si="11"/>
        <v>0</v>
      </c>
      <c r="Z16" s="649">
        <f t="shared" si="12"/>
        <v>0</v>
      </c>
      <c r="AA16" s="649">
        <f t="shared" si="13"/>
        <v>0</v>
      </c>
      <c r="AB16" s="649">
        <f t="shared" si="14"/>
        <v>0</v>
      </c>
      <c r="AC16" s="649">
        <f t="shared" si="14"/>
        <v>0</v>
      </c>
      <c r="AD16" s="649">
        <f t="shared" si="15"/>
        <v>0</v>
      </c>
      <c r="AE16" s="648"/>
      <c r="AF16" s="648"/>
      <c r="AG16" s="648"/>
      <c r="AH16" s="648"/>
      <c r="AI16" s="648"/>
    </row>
    <row r="17" spans="1:35" x14ac:dyDescent="0.15">
      <c r="A17" s="670"/>
      <c r="B17" s="669"/>
      <c r="C17" s="668"/>
      <c r="D17" s="725"/>
      <c r="E17" s="666"/>
      <c r="F17" s="662"/>
      <c r="G17" s="661"/>
      <c r="H17" s="661"/>
      <c r="I17" s="661"/>
      <c r="J17" s="665"/>
      <c r="K17" s="664"/>
      <c r="L17" s="666"/>
      <c r="M17" s="666"/>
      <c r="N17" s="662">
        <f t="shared" si="2"/>
        <v>0</v>
      </c>
      <c r="O17" s="661">
        <f t="shared" si="3"/>
        <v>0</v>
      </c>
      <c r="P17" s="661">
        <f t="shared" si="4"/>
        <v>0</v>
      </c>
      <c r="Q17" s="661">
        <f t="shared" si="4"/>
        <v>0</v>
      </c>
      <c r="R17" s="665">
        <f t="shared" si="5"/>
        <v>0</v>
      </c>
      <c r="S17" s="664">
        <f t="shared" si="6"/>
        <v>0</v>
      </c>
      <c r="T17" s="663">
        <f t="shared" si="7"/>
        <v>0</v>
      </c>
      <c r="U17" s="650">
        <f t="shared" si="8"/>
        <v>0</v>
      </c>
      <c r="V17" s="650">
        <f t="shared" si="9"/>
        <v>0</v>
      </c>
      <c r="W17" s="650">
        <f t="shared" si="10"/>
        <v>0</v>
      </c>
      <c r="X17" s="650">
        <f t="shared" si="10"/>
        <v>0</v>
      </c>
      <c r="Y17" s="650">
        <f t="shared" si="11"/>
        <v>0</v>
      </c>
      <c r="Z17" s="649">
        <f t="shared" si="12"/>
        <v>0</v>
      </c>
      <c r="AA17" s="649">
        <f t="shared" si="13"/>
        <v>0</v>
      </c>
      <c r="AB17" s="649">
        <f t="shared" si="14"/>
        <v>0</v>
      </c>
      <c r="AC17" s="649">
        <f t="shared" si="14"/>
        <v>0</v>
      </c>
      <c r="AD17" s="649">
        <f t="shared" si="15"/>
        <v>0</v>
      </c>
      <c r="AE17" s="648"/>
      <c r="AF17" s="648"/>
      <c r="AG17" s="648"/>
      <c r="AH17" s="648"/>
      <c r="AI17" s="648"/>
    </row>
    <row r="18" spans="1:35" x14ac:dyDescent="0.15">
      <c r="A18" s="670"/>
      <c r="B18" s="669"/>
      <c r="C18" s="668"/>
      <c r="D18" s="725" t="s">
        <v>1327</v>
      </c>
      <c r="E18" s="666">
        <f t="shared" ref="E18:M18" si="20">+SUM(E19:E22)</f>
        <v>0</v>
      </c>
      <c r="F18" s="662">
        <f t="shared" si="20"/>
        <v>0</v>
      </c>
      <c r="G18" s="661">
        <f t="shared" si="20"/>
        <v>0</v>
      </c>
      <c r="H18" s="661">
        <f t="shared" si="20"/>
        <v>0</v>
      </c>
      <c r="I18" s="661">
        <f t="shared" ref="I18" si="21">+SUM(I19:I22)</f>
        <v>0</v>
      </c>
      <c r="J18" s="665">
        <f t="shared" si="20"/>
        <v>0</v>
      </c>
      <c r="K18" s="664">
        <f t="shared" si="20"/>
        <v>0</v>
      </c>
      <c r="L18" s="666">
        <f t="shared" si="20"/>
        <v>0</v>
      </c>
      <c r="M18" s="666">
        <f t="shared" si="20"/>
        <v>0</v>
      </c>
      <c r="N18" s="662">
        <f t="shared" si="2"/>
        <v>0</v>
      </c>
      <c r="O18" s="661">
        <f t="shared" si="3"/>
        <v>0</v>
      </c>
      <c r="P18" s="661">
        <f t="shared" si="4"/>
        <v>0</v>
      </c>
      <c r="Q18" s="661">
        <f t="shared" si="4"/>
        <v>0</v>
      </c>
      <c r="R18" s="665">
        <f t="shared" si="5"/>
        <v>0</v>
      </c>
      <c r="S18" s="664">
        <f t="shared" si="6"/>
        <v>0</v>
      </c>
      <c r="T18" s="663">
        <f t="shared" si="7"/>
        <v>0</v>
      </c>
      <c r="U18" s="650">
        <f t="shared" si="8"/>
        <v>0</v>
      </c>
      <c r="V18" s="650">
        <f t="shared" si="9"/>
        <v>0</v>
      </c>
      <c r="W18" s="650">
        <f t="shared" si="10"/>
        <v>0</v>
      </c>
      <c r="X18" s="650">
        <f t="shared" si="10"/>
        <v>0</v>
      </c>
      <c r="Y18" s="650">
        <f t="shared" si="11"/>
        <v>0</v>
      </c>
      <c r="Z18" s="649">
        <f t="shared" si="12"/>
        <v>0</v>
      </c>
      <c r="AA18" s="649">
        <f t="shared" si="13"/>
        <v>0</v>
      </c>
      <c r="AB18" s="649">
        <f t="shared" si="14"/>
        <v>0</v>
      </c>
      <c r="AC18" s="649">
        <f t="shared" si="14"/>
        <v>0</v>
      </c>
      <c r="AD18" s="649">
        <f t="shared" si="15"/>
        <v>0</v>
      </c>
      <c r="AE18" s="648"/>
      <c r="AF18" s="648"/>
      <c r="AG18" s="648"/>
      <c r="AH18" s="648"/>
      <c r="AI18" s="648"/>
    </row>
    <row r="19" spans="1:35" x14ac:dyDescent="0.15">
      <c r="A19" s="670">
        <v>1</v>
      </c>
      <c r="B19" s="669">
        <v>6170206</v>
      </c>
      <c r="C19" s="668"/>
      <c r="D19" s="725" t="s">
        <v>1326</v>
      </c>
      <c r="E19" s="700">
        <f>+IF($A19="",IF($C19="",SUMIFS(全伝票!I:I,全伝票!$B:$B,$B19),SUMIFS(全伝票!I:I,全伝票!$C:$C,$C19)),IF($C19="",SUMIFS(全伝票!I:I,全伝票!$A:$A,$A19,全伝票!$B:$B,$B19),SUMIFS(全伝票!I:I,全伝票!$A:$A,$A19,全伝票!$C:$C,$C19)))</f>
        <v>0</v>
      </c>
      <c r="F19" s="703">
        <f>+IF($A19="",IF($C19="",SUMIFS(全伝票!J:J,全伝票!$B:$B,$B19),SUMIFS(全伝票!J:J,全伝票!$C:$C,$C19)),IF($C19="",SUMIFS(全伝票!J:J,全伝票!$A:$A,$A19,全伝票!$B:$B,$B19),SUMIFS(全伝票!J:J,全伝票!$A:$A,$A19,全伝票!$C:$C,$C19)))</f>
        <v>0</v>
      </c>
      <c r="G19" s="702">
        <f>+IF($A19="",IF($C19="",SUMIFS(全伝票!K:K,全伝票!$B:$B,$B19),SUMIFS(全伝票!K:K,全伝票!$C:$C,$C19)),IF($C19="",SUMIFS(全伝票!K:K,全伝票!$A:$A,$A19,全伝票!$B:$B,$B19),SUMIFS(全伝票!K:K,全伝票!$A:$A,$A19,全伝票!$C:$C,$C19)))</f>
        <v>0</v>
      </c>
      <c r="H19" s="702">
        <f>+IF($A19="",IF($C19="",SUMIFS(全伝票!L:L,全伝票!$B:$B,$B19),SUMIFS(全伝票!L:L,全伝票!$C:$C,$C19)),IF($C19="",SUMIFS(全伝票!L:L,全伝票!$A:$A,$A19,全伝票!$B:$B,$B19),SUMIFS(全伝票!L:L,全伝票!$A:$A,$A19,全伝票!$C:$C,$C19)))</f>
        <v>0</v>
      </c>
      <c r="I19" s="702">
        <f>+IF($A19="",IF($C19="",SUMIFS(全伝票!M:M,全伝票!$B:$B,$B19),SUMIFS(全伝票!M:M,全伝票!$C:$C,$C19)),IF($C19="",SUMIFS(全伝票!M:M,全伝票!$A:$A,$A19,全伝票!$B:$B,$B19),SUMIFS(全伝票!M:M,全伝票!$A:$A,$A19,全伝票!$C:$C,$C19)))</f>
        <v>0</v>
      </c>
      <c r="J19" s="701">
        <f>+IF($A19="",IF($C19="",SUMIFS(全伝票!N:N,全伝票!$B:$B,$B19),SUMIFS(全伝票!N:N,全伝票!$C:$C,$C19)),IF($C19="",SUMIFS(全伝票!N:N,全伝票!$A:$A,$A19,全伝票!$B:$B,$B19),SUMIFS(全伝票!N:N,全伝票!$A:$A,$A19,全伝票!$C:$C,$C19)))</f>
        <v>0</v>
      </c>
      <c r="K19" s="664">
        <f>SUM(F19:J19)</f>
        <v>0</v>
      </c>
      <c r="L19" s="700">
        <f>+IF($A19="",IF($C19="",SUMIFS(全伝票!O:O,全伝票!$B:$B,$B19),SUMIFS(全伝票!O:O,全伝票!$C:$C,$C19)),IF($C19="",SUMIFS(全伝票!O:O,全伝票!$A:$A,$A19,全伝票!$B:$B,$B19),SUMIFS(全伝票!O:O,全伝票!$A:$A,$A19,全伝票!$C:$C,$C19)))</f>
        <v>0</v>
      </c>
      <c r="M19" s="700">
        <f>+IF($A19="",IF($C19="",SUMIFS(全伝票!P:P,全伝票!$B:$B,$B19),SUMIFS(全伝票!P:P,全伝票!$C:$C,$C19)),IF($C19="",SUMIFS(全伝票!P:P,全伝票!$A:$A,$A19,全伝票!$B:$B,$B19),SUMIFS(全伝票!P:P,全伝票!$A:$A,$A19,全伝票!$C:$C,$C19)))</f>
        <v>0</v>
      </c>
      <c r="N19" s="662">
        <f t="shared" si="2"/>
        <v>0</v>
      </c>
      <c r="O19" s="661">
        <f t="shared" si="3"/>
        <v>0</v>
      </c>
      <c r="P19" s="661">
        <f t="shared" si="4"/>
        <v>0</v>
      </c>
      <c r="Q19" s="661">
        <f t="shared" si="4"/>
        <v>0</v>
      </c>
      <c r="R19" s="665">
        <f t="shared" si="5"/>
        <v>0</v>
      </c>
      <c r="S19" s="664">
        <f t="shared" si="6"/>
        <v>0</v>
      </c>
      <c r="T19" s="663">
        <f t="shared" si="7"/>
        <v>0</v>
      </c>
      <c r="U19" s="650">
        <f t="shared" si="8"/>
        <v>0</v>
      </c>
      <c r="V19" s="650">
        <f t="shared" si="9"/>
        <v>0</v>
      </c>
      <c r="W19" s="650">
        <f t="shared" si="10"/>
        <v>0</v>
      </c>
      <c r="X19" s="650">
        <f t="shared" si="10"/>
        <v>0</v>
      </c>
      <c r="Y19" s="650">
        <f t="shared" si="11"/>
        <v>0</v>
      </c>
      <c r="Z19" s="649">
        <f t="shared" si="12"/>
        <v>0</v>
      </c>
      <c r="AA19" s="649">
        <f t="shared" si="13"/>
        <v>0</v>
      </c>
      <c r="AB19" s="649">
        <f t="shared" si="14"/>
        <v>0</v>
      </c>
      <c r="AC19" s="649">
        <f t="shared" si="14"/>
        <v>0</v>
      </c>
      <c r="AD19" s="649">
        <f t="shared" si="15"/>
        <v>0</v>
      </c>
      <c r="AE19" s="648"/>
      <c r="AF19" s="648"/>
      <c r="AG19" s="648"/>
      <c r="AH19" s="648"/>
      <c r="AI19" s="648"/>
    </row>
    <row r="20" spans="1:35" x14ac:dyDescent="0.15">
      <c r="A20" s="670">
        <v>2</v>
      </c>
      <c r="B20" s="669">
        <v>6170212</v>
      </c>
      <c r="C20" s="668"/>
      <c r="D20" s="725" t="s">
        <v>1325</v>
      </c>
      <c r="E20" s="700">
        <f>+IF($A20="",IF($C20="",SUMIFS(全伝票!I:I,全伝票!$B:$B,$B20),SUMIFS(全伝票!I:I,全伝票!$C:$C,$C20)),IF($C20="",SUMIFS(全伝票!I:I,全伝票!$A:$A,$A20,全伝票!$B:$B,$B20),SUMIFS(全伝票!I:I,全伝票!$A:$A,$A20,全伝票!$C:$C,$C20)))</f>
        <v>0</v>
      </c>
      <c r="F20" s="703">
        <f>+IF($A20="",IF($C20="",SUMIFS(全伝票!J:J,全伝票!$B:$B,$B20),SUMIFS(全伝票!J:J,全伝票!$C:$C,$C20)),IF($C20="",SUMIFS(全伝票!J:J,全伝票!$A:$A,$A20,全伝票!$B:$B,$B20),SUMIFS(全伝票!J:J,全伝票!$A:$A,$A20,全伝票!$C:$C,$C20)))</f>
        <v>0</v>
      </c>
      <c r="G20" s="702">
        <f>+IF($A20="",IF($C20="",SUMIFS(全伝票!K:K,全伝票!$B:$B,$B20),SUMIFS(全伝票!K:K,全伝票!$C:$C,$C20)),IF($C20="",SUMIFS(全伝票!K:K,全伝票!$A:$A,$A20,全伝票!$B:$B,$B20),SUMIFS(全伝票!K:K,全伝票!$A:$A,$A20,全伝票!$C:$C,$C20)))</f>
        <v>0</v>
      </c>
      <c r="H20" s="702">
        <f>+IF($A20="",IF($C20="",SUMIFS(全伝票!L:L,全伝票!$B:$B,$B20),SUMIFS(全伝票!L:L,全伝票!$C:$C,$C20)),IF($C20="",SUMIFS(全伝票!L:L,全伝票!$A:$A,$A20,全伝票!$B:$B,$B20),SUMIFS(全伝票!L:L,全伝票!$A:$A,$A20,全伝票!$C:$C,$C20)))</f>
        <v>0</v>
      </c>
      <c r="I20" s="702">
        <f>+IF($A20="",IF($C20="",SUMIFS(全伝票!M:M,全伝票!$B:$B,$B20),SUMIFS(全伝票!M:M,全伝票!$C:$C,$C20)),IF($C20="",SUMIFS(全伝票!M:M,全伝票!$A:$A,$A20,全伝票!$B:$B,$B20),SUMIFS(全伝票!M:M,全伝票!$A:$A,$A20,全伝票!$C:$C,$C20)))</f>
        <v>0</v>
      </c>
      <c r="J20" s="701">
        <f>+IF($A20="",IF($C20="",SUMIFS(全伝票!N:N,全伝票!$B:$B,$B20),SUMIFS(全伝票!N:N,全伝票!$C:$C,$C20)),IF($C20="",SUMIFS(全伝票!N:N,全伝票!$A:$A,$A20,全伝票!$B:$B,$B20),SUMIFS(全伝票!N:N,全伝票!$A:$A,$A20,全伝票!$C:$C,$C20)))</f>
        <v>0</v>
      </c>
      <c r="K20" s="664">
        <f>SUM(F20:J20)</f>
        <v>0</v>
      </c>
      <c r="L20" s="700">
        <f>+IF($A20="",IF($C20="",SUMIFS(全伝票!O:O,全伝票!$B:$B,$B20),SUMIFS(全伝票!O:O,全伝票!$C:$C,$C20)),IF($C20="",SUMIFS(全伝票!O:O,全伝票!$A:$A,$A20,全伝票!$B:$B,$B20),SUMIFS(全伝票!O:O,全伝票!$A:$A,$A20,全伝票!$C:$C,$C20)))</f>
        <v>0</v>
      </c>
      <c r="M20" s="700">
        <f>+IF($A20="",IF($C20="",SUMIFS(全伝票!P:P,全伝票!$B:$B,$B20),SUMIFS(全伝票!P:P,全伝票!$C:$C,$C20)),IF($C20="",SUMIFS(全伝票!P:P,全伝票!$A:$A,$A20,全伝票!$B:$B,$B20),SUMIFS(全伝票!P:P,全伝票!$A:$A,$A20,全伝票!$C:$C,$C20)))</f>
        <v>0</v>
      </c>
      <c r="N20" s="662">
        <f t="shared" si="2"/>
        <v>0</v>
      </c>
      <c r="O20" s="661">
        <f t="shared" si="3"/>
        <v>0</v>
      </c>
      <c r="P20" s="661">
        <f t="shared" si="4"/>
        <v>0</v>
      </c>
      <c r="Q20" s="661">
        <f t="shared" si="4"/>
        <v>0</v>
      </c>
      <c r="R20" s="665">
        <f t="shared" si="5"/>
        <v>0</v>
      </c>
      <c r="S20" s="664">
        <f t="shared" si="6"/>
        <v>0</v>
      </c>
      <c r="T20" s="663">
        <f t="shared" si="7"/>
        <v>0</v>
      </c>
      <c r="U20" s="650">
        <f t="shared" si="8"/>
        <v>0</v>
      </c>
      <c r="V20" s="650">
        <f t="shared" si="9"/>
        <v>0</v>
      </c>
      <c r="W20" s="650">
        <f t="shared" si="10"/>
        <v>0</v>
      </c>
      <c r="X20" s="650">
        <f t="shared" si="10"/>
        <v>0</v>
      </c>
      <c r="Y20" s="650">
        <f t="shared" si="11"/>
        <v>0</v>
      </c>
      <c r="Z20" s="649">
        <f t="shared" si="12"/>
        <v>0</v>
      </c>
      <c r="AA20" s="649">
        <f t="shared" si="13"/>
        <v>0</v>
      </c>
      <c r="AB20" s="649">
        <f t="shared" si="14"/>
        <v>0</v>
      </c>
      <c r="AC20" s="649">
        <f t="shared" si="14"/>
        <v>0</v>
      </c>
      <c r="AD20" s="649">
        <f t="shared" si="15"/>
        <v>0</v>
      </c>
      <c r="AE20" s="648"/>
      <c r="AF20" s="648"/>
      <c r="AG20" s="648"/>
      <c r="AH20" s="648"/>
      <c r="AI20" s="648"/>
    </row>
    <row r="21" spans="1:35" x14ac:dyDescent="0.15">
      <c r="A21" s="670">
        <v>3</v>
      </c>
      <c r="B21" s="669">
        <v>6170218</v>
      </c>
      <c r="C21" s="668"/>
      <c r="D21" s="725" t="s">
        <v>1324</v>
      </c>
      <c r="E21" s="700">
        <f>+IF($A21="",IF($C21="",SUMIFS(全伝票!I:I,全伝票!$B:$B,$B21),SUMIFS(全伝票!I:I,全伝票!$C:$C,$C21)),IF($C21="",SUMIFS(全伝票!I:I,全伝票!$A:$A,$A21,全伝票!$B:$B,$B21),SUMIFS(全伝票!I:I,全伝票!$A:$A,$A21,全伝票!$C:$C,$C21)))</f>
        <v>0</v>
      </c>
      <c r="F21" s="703">
        <f>+IF($A21="",IF($C21="",SUMIFS(全伝票!J:J,全伝票!$B:$B,$B21),SUMIFS(全伝票!J:J,全伝票!$C:$C,$C21)),IF($C21="",SUMIFS(全伝票!J:J,全伝票!$A:$A,$A21,全伝票!$B:$B,$B21),SUMIFS(全伝票!J:J,全伝票!$A:$A,$A21,全伝票!$C:$C,$C21)))</f>
        <v>0</v>
      </c>
      <c r="G21" s="702">
        <f>+IF($A21="",IF($C21="",SUMIFS(全伝票!K:K,全伝票!$B:$B,$B21),SUMIFS(全伝票!K:K,全伝票!$C:$C,$C21)),IF($C21="",SUMIFS(全伝票!K:K,全伝票!$A:$A,$A21,全伝票!$B:$B,$B21),SUMIFS(全伝票!K:K,全伝票!$A:$A,$A21,全伝票!$C:$C,$C21)))</f>
        <v>0</v>
      </c>
      <c r="H21" s="702">
        <f>+IF($A21="",IF($C21="",SUMIFS(全伝票!L:L,全伝票!$B:$B,$B21),SUMIFS(全伝票!L:L,全伝票!$C:$C,$C21)),IF($C21="",SUMIFS(全伝票!L:L,全伝票!$A:$A,$A21,全伝票!$B:$B,$B21),SUMIFS(全伝票!L:L,全伝票!$A:$A,$A21,全伝票!$C:$C,$C21)))</f>
        <v>0</v>
      </c>
      <c r="I21" s="702">
        <f>+IF($A21="",IF($C21="",SUMIFS(全伝票!M:M,全伝票!$B:$B,$B21),SUMIFS(全伝票!M:M,全伝票!$C:$C,$C21)),IF($C21="",SUMIFS(全伝票!M:M,全伝票!$A:$A,$A21,全伝票!$B:$B,$B21),SUMIFS(全伝票!M:M,全伝票!$A:$A,$A21,全伝票!$C:$C,$C21)))</f>
        <v>0</v>
      </c>
      <c r="J21" s="701">
        <f>+IF($A21="",IF($C21="",SUMIFS(全伝票!N:N,全伝票!$B:$B,$B21),SUMIFS(全伝票!N:N,全伝票!$C:$C,$C21)),IF($C21="",SUMIFS(全伝票!N:N,全伝票!$A:$A,$A21,全伝票!$B:$B,$B21),SUMIFS(全伝票!N:N,全伝票!$A:$A,$A21,全伝票!$C:$C,$C21)))</f>
        <v>0</v>
      </c>
      <c r="K21" s="664">
        <f>SUM(F21:J21)</f>
        <v>0</v>
      </c>
      <c r="L21" s="700">
        <f>+IF($A21="",IF($C21="",SUMIFS(全伝票!O:O,全伝票!$B:$B,$B21),SUMIFS(全伝票!O:O,全伝票!$C:$C,$C21)),IF($C21="",SUMIFS(全伝票!O:O,全伝票!$A:$A,$A21,全伝票!$B:$B,$B21),SUMIFS(全伝票!O:O,全伝票!$A:$A,$A21,全伝票!$C:$C,$C21)))</f>
        <v>0</v>
      </c>
      <c r="M21" s="700">
        <f>+IF($A21="",IF($C21="",SUMIFS(全伝票!P:P,全伝票!$B:$B,$B21),SUMIFS(全伝票!P:P,全伝票!$C:$C,$C21)),IF($C21="",SUMIFS(全伝票!P:P,全伝票!$A:$A,$A21,全伝票!$B:$B,$B21),SUMIFS(全伝票!P:P,全伝票!$A:$A,$A21,全伝票!$C:$C,$C21)))</f>
        <v>0</v>
      </c>
      <c r="N21" s="662">
        <f t="shared" si="2"/>
        <v>0</v>
      </c>
      <c r="O21" s="661">
        <f t="shared" si="3"/>
        <v>0</v>
      </c>
      <c r="P21" s="661">
        <f t="shared" si="4"/>
        <v>0</v>
      </c>
      <c r="Q21" s="661">
        <f t="shared" si="4"/>
        <v>0</v>
      </c>
      <c r="R21" s="665">
        <f t="shared" si="5"/>
        <v>0</v>
      </c>
      <c r="S21" s="664">
        <f t="shared" si="6"/>
        <v>0</v>
      </c>
      <c r="T21" s="663">
        <f t="shared" si="7"/>
        <v>0</v>
      </c>
      <c r="U21" s="650">
        <f t="shared" si="8"/>
        <v>0</v>
      </c>
      <c r="V21" s="650">
        <f t="shared" si="9"/>
        <v>0</v>
      </c>
      <c r="W21" s="650">
        <f t="shared" si="10"/>
        <v>0</v>
      </c>
      <c r="X21" s="650">
        <f t="shared" si="10"/>
        <v>0</v>
      </c>
      <c r="Y21" s="650">
        <f t="shared" si="11"/>
        <v>0</v>
      </c>
      <c r="Z21" s="649">
        <f t="shared" si="12"/>
        <v>0</v>
      </c>
      <c r="AA21" s="649">
        <f t="shared" si="13"/>
        <v>0</v>
      </c>
      <c r="AB21" s="649">
        <f t="shared" si="14"/>
        <v>0</v>
      </c>
      <c r="AC21" s="649">
        <f t="shared" si="14"/>
        <v>0</v>
      </c>
      <c r="AD21" s="649">
        <f t="shared" si="15"/>
        <v>0</v>
      </c>
      <c r="AE21" s="648"/>
      <c r="AF21" s="648"/>
      <c r="AG21" s="648"/>
      <c r="AH21" s="648"/>
      <c r="AI21" s="648"/>
    </row>
    <row r="22" spans="1:35" x14ac:dyDescent="0.15">
      <c r="A22" s="670">
        <v>4</v>
      </c>
      <c r="B22" s="669">
        <v>6170224</v>
      </c>
      <c r="C22" s="668"/>
      <c r="D22" s="725" t="s">
        <v>1323</v>
      </c>
      <c r="E22" s="700">
        <f>+IF($A22="",IF($C22="",SUMIFS(全伝票!I:I,全伝票!$B:$B,$B22),SUMIFS(全伝票!I:I,全伝票!$C:$C,$C22)),IF($C22="",SUMIFS(全伝票!I:I,全伝票!$A:$A,$A22,全伝票!$B:$B,$B22),SUMIFS(全伝票!I:I,全伝票!$A:$A,$A22,全伝票!$C:$C,$C22)))</f>
        <v>0</v>
      </c>
      <c r="F22" s="703">
        <f>+IF($A22="",IF($C22="",SUMIFS(全伝票!J:J,全伝票!$B:$B,$B22),SUMIFS(全伝票!J:J,全伝票!$C:$C,$C22)),IF($C22="",SUMIFS(全伝票!J:J,全伝票!$A:$A,$A22,全伝票!$B:$B,$B22),SUMIFS(全伝票!J:J,全伝票!$A:$A,$A22,全伝票!$C:$C,$C22)))</f>
        <v>0</v>
      </c>
      <c r="G22" s="702">
        <f>+IF($A22="",IF($C22="",SUMIFS(全伝票!K:K,全伝票!$B:$B,$B22),SUMIFS(全伝票!K:K,全伝票!$C:$C,$C22)),IF($C22="",SUMIFS(全伝票!K:K,全伝票!$A:$A,$A22,全伝票!$B:$B,$B22),SUMIFS(全伝票!K:K,全伝票!$A:$A,$A22,全伝票!$C:$C,$C22)))</f>
        <v>0</v>
      </c>
      <c r="H22" s="702">
        <f>+IF($A22="",IF($C22="",SUMIFS(全伝票!L:L,全伝票!$B:$B,$B22),SUMIFS(全伝票!L:L,全伝票!$C:$C,$C22)),IF($C22="",SUMIFS(全伝票!L:L,全伝票!$A:$A,$A22,全伝票!$B:$B,$B22),SUMIFS(全伝票!L:L,全伝票!$A:$A,$A22,全伝票!$C:$C,$C22)))</f>
        <v>0</v>
      </c>
      <c r="I22" s="702">
        <f>+IF($A22="",IF($C22="",SUMIFS(全伝票!M:M,全伝票!$B:$B,$B22),SUMIFS(全伝票!M:M,全伝票!$C:$C,$C22)),IF($C22="",SUMIFS(全伝票!M:M,全伝票!$A:$A,$A22,全伝票!$B:$B,$B22),SUMIFS(全伝票!M:M,全伝票!$A:$A,$A22,全伝票!$C:$C,$C22)))</f>
        <v>0</v>
      </c>
      <c r="J22" s="701">
        <f>+IF($A22="",IF($C22="",SUMIFS(全伝票!N:N,全伝票!$B:$B,$B22),SUMIFS(全伝票!N:N,全伝票!$C:$C,$C22)),IF($C22="",SUMIFS(全伝票!N:N,全伝票!$A:$A,$A22,全伝票!$B:$B,$B22),SUMIFS(全伝票!N:N,全伝票!$A:$A,$A22,全伝票!$C:$C,$C22)))</f>
        <v>0</v>
      </c>
      <c r="K22" s="664">
        <f>SUM(F22:J22)</f>
        <v>0</v>
      </c>
      <c r="L22" s="700">
        <f>+IF($A22="",IF($C22="",SUMIFS(全伝票!O:O,全伝票!$B:$B,$B22),SUMIFS(全伝票!O:O,全伝票!$C:$C,$C22)),IF($C22="",SUMIFS(全伝票!O:O,全伝票!$A:$A,$A22,全伝票!$B:$B,$B22),SUMIFS(全伝票!O:O,全伝票!$A:$A,$A22,全伝票!$C:$C,$C22)))</f>
        <v>0</v>
      </c>
      <c r="M22" s="700">
        <f>+IF($A22="",IF($C22="",SUMIFS(全伝票!P:P,全伝票!$B:$B,$B22),SUMIFS(全伝票!P:P,全伝票!$C:$C,$C22)),IF($C22="",SUMIFS(全伝票!P:P,全伝票!$A:$A,$A22,全伝票!$B:$B,$B22),SUMIFS(全伝票!P:P,全伝票!$A:$A,$A22,全伝票!$C:$C,$C22)))</f>
        <v>0</v>
      </c>
      <c r="N22" s="662">
        <f t="shared" si="2"/>
        <v>0</v>
      </c>
      <c r="O22" s="661">
        <f t="shared" si="3"/>
        <v>0</v>
      </c>
      <c r="P22" s="661">
        <f t="shared" si="4"/>
        <v>0</v>
      </c>
      <c r="Q22" s="661">
        <f t="shared" si="4"/>
        <v>0</v>
      </c>
      <c r="R22" s="665">
        <f t="shared" si="5"/>
        <v>0</v>
      </c>
      <c r="S22" s="664">
        <f t="shared" si="6"/>
        <v>0</v>
      </c>
      <c r="T22" s="663">
        <f t="shared" si="7"/>
        <v>0</v>
      </c>
      <c r="U22" s="650">
        <f t="shared" si="8"/>
        <v>0</v>
      </c>
      <c r="V22" s="650">
        <f t="shared" si="9"/>
        <v>0</v>
      </c>
      <c r="W22" s="650">
        <f t="shared" si="10"/>
        <v>0</v>
      </c>
      <c r="X22" s="650">
        <f t="shared" si="10"/>
        <v>0</v>
      </c>
      <c r="Y22" s="650">
        <f t="shared" si="11"/>
        <v>0</v>
      </c>
      <c r="Z22" s="649">
        <f t="shared" si="12"/>
        <v>0</v>
      </c>
      <c r="AA22" s="649">
        <f t="shared" si="13"/>
        <v>0</v>
      </c>
      <c r="AB22" s="649">
        <f t="shared" si="14"/>
        <v>0</v>
      </c>
      <c r="AC22" s="649">
        <f t="shared" si="14"/>
        <v>0</v>
      </c>
      <c r="AD22" s="649">
        <f t="shared" si="15"/>
        <v>0</v>
      </c>
      <c r="AE22" s="648"/>
      <c r="AF22" s="648"/>
      <c r="AG22" s="648"/>
      <c r="AH22" s="648"/>
      <c r="AI22" s="648"/>
    </row>
    <row r="23" spans="1:35" x14ac:dyDescent="0.15">
      <c r="A23" s="670"/>
      <c r="B23" s="669"/>
      <c r="C23" s="668"/>
      <c r="D23" s="667"/>
      <c r="E23" s="666"/>
      <c r="F23" s="662"/>
      <c r="G23" s="661"/>
      <c r="H23" s="661"/>
      <c r="I23" s="661"/>
      <c r="J23" s="665"/>
      <c r="K23" s="664"/>
      <c r="L23" s="666"/>
      <c r="M23" s="666"/>
      <c r="N23" s="662">
        <f t="shared" si="2"/>
        <v>0</v>
      </c>
      <c r="O23" s="661">
        <f t="shared" si="3"/>
        <v>0</v>
      </c>
      <c r="P23" s="661">
        <f t="shared" si="4"/>
        <v>0</v>
      </c>
      <c r="Q23" s="661">
        <f t="shared" si="4"/>
        <v>0</v>
      </c>
      <c r="R23" s="665">
        <f t="shared" si="5"/>
        <v>0</v>
      </c>
      <c r="S23" s="664">
        <f t="shared" si="6"/>
        <v>0</v>
      </c>
      <c r="T23" s="663">
        <f t="shared" si="7"/>
        <v>0</v>
      </c>
      <c r="U23" s="650">
        <f t="shared" si="8"/>
        <v>0</v>
      </c>
      <c r="V23" s="650">
        <f t="shared" si="9"/>
        <v>0</v>
      </c>
      <c r="W23" s="650">
        <f t="shared" si="10"/>
        <v>0</v>
      </c>
      <c r="X23" s="650">
        <f t="shared" si="10"/>
        <v>0</v>
      </c>
      <c r="Y23" s="650">
        <f t="shared" si="11"/>
        <v>0</v>
      </c>
      <c r="Z23" s="649">
        <f t="shared" si="12"/>
        <v>0</v>
      </c>
      <c r="AA23" s="649">
        <f t="shared" si="13"/>
        <v>0</v>
      </c>
      <c r="AB23" s="649">
        <f t="shared" si="14"/>
        <v>0</v>
      </c>
      <c r="AC23" s="649">
        <f t="shared" si="14"/>
        <v>0</v>
      </c>
      <c r="AD23" s="649">
        <f t="shared" si="15"/>
        <v>0</v>
      </c>
      <c r="AE23" s="648"/>
      <c r="AF23" s="648"/>
      <c r="AG23" s="648"/>
      <c r="AH23" s="648"/>
      <c r="AI23" s="648"/>
    </row>
    <row r="24" spans="1:35" x14ac:dyDescent="0.15">
      <c r="A24" s="670"/>
      <c r="B24" s="669">
        <v>6170303</v>
      </c>
      <c r="C24" s="668"/>
      <c r="D24" s="667" t="s">
        <v>1322</v>
      </c>
      <c r="E24" s="700">
        <f>+IF($A24="",IF($C24="",SUMIFS(全伝票!I:I,全伝票!$B:$B,$B24),SUMIFS(全伝票!I:I,全伝票!$C:$C,$C24)),IF($C24="",SUMIFS(全伝票!I:I,全伝票!$A:$A,$A24,全伝票!$B:$B,$B24),SUMIFS(全伝票!I:I,全伝票!$A:$A,$A24,全伝票!$C:$C,$C24)))</f>
        <v>0</v>
      </c>
      <c r="F24" s="703">
        <f>+IF($A24="",IF($C24="",SUMIFS(全伝票!J:J,全伝票!$B:$B,$B24),SUMIFS(全伝票!J:J,全伝票!$C:$C,$C24)),IF($C24="",SUMIFS(全伝票!J:J,全伝票!$A:$A,$A24,全伝票!$B:$B,$B24),SUMIFS(全伝票!J:J,全伝票!$A:$A,$A24,全伝票!$C:$C,$C24)))</f>
        <v>0</v>
      </c>
      <c r="G24" s="702">
        <f>+IF($A24="",IF($C24="",SUMIFS(全伝票!K:K,全伝票!$B:$B,$B24),SUMIFS(全伝票!K:K,全伝票!$C:$C,$C24)),IF($C24="",SUMIFS(全伝票!K:K,全伝票!$A:$A,$A24,全伝票!$B:$B,$B24),SUMIFS(全伝票!K:K,全伝票!$A:$A,$A24,全伝票!$C:$C,$C24)))</f>
        <v>0</v>
      </c>
      <c r="H24" s="702">
        <f>+IF($A24="",IF($C24="",SUMIFS(全伝票!L:L,全伝票!$B:$B,$B24),SUMIFS(全伝票!L:L,全伝票!$C:$C,$C24)),IF($C24="",SUMIFS(全伝票!L:L,全伝票!$A:$A,$A24,全伝票!$B:$B,$B24),SUMIFS(全伝票!L:L,全伝票!$A:$A,$A24,全伝票!$C:$C,$C24)))</f>
        <v>0</v>
      </c>
      <c r="I24" s="702">
        <f>+IF($A24="",IF($C24="",SUMIFS(全伝票!M:M,全伝票!$B:$B,$B24),SUMIFS(全伝票!M:M,全伝票!$C:$C,$C24)),IF($C24="",SUMIFS(全伝票!M:M,全伝票!$A:$A,$A24,全伝票!$B:$B,$B24),SUMIFS(全伝票!M:M,全伝票!$A:$A,$A24,全伝票!$C:$C,$C24)))</f>
        <v>0</v>
      </c>
      <c r="J24" s="701">
        <f>+IF($A24="",IF($C24="",SUMIFS(全伝票!N:N,全伝票!$B:$B,$B24),SUMIFS(全伝票!N:N,全伝票!$C:$C,$C24)),IF($C24="",SUMIFS(全伝票!N:N,全伝票!$A:$A,$A24,全伝票!$B:$B,$B24),SUMIFS(全伝票!N:N,全伝票!$A:$A,$A24,全伝票!$C:$C,$C24)))</f>
        <v>0</v>
      </c>
      <c r="K24" s="664">
        <f>SUM(F24:J24)</f>
        <v>0</v>
      </c>
      <c r="L24" s="700">
        <f>+IF($A24="",IF($C24="",SUMIFS(全伝票!O:O,全伝票!$B:$B,$B24),SUMIFS(全伝票!O:O,全伝票!$C:$C,$C24)),IF($C24="",SUMIFS(全伝票!O:O,全伝票!$A:$A,$A24,全伝票!$B:$B,$B24),SUMIFS(全伝票!O:O,全伝票!$A:$A,$A24,全伝票!$C:$C,$C24)))</f>
        <v>0</v>
      </c>
      <c r="M24" s="700">
        <f>+IF($A24="",IF($C24="",SUMIFS(全伝票!P:P,全伝票!$B:$B,$B24),SUMIFS(全伝票!P:P,全伝票!$C:$C,$C24)),IF($C24="",SUMIFS(全伝票!P:P,全伝票!$A:$A,$A24,全伝票!$B:$B,$B24),SUMIFS(全伝票!P:P,全伝票!$A:$A,$A24,全伝票!$C:$C,$C24)))</f>
        <v>0</v>
      </c>
      <c r="N24" s="662">
        <f t="shared" si="2"/>
        <v>0</v>
      </c>
      <c r="O24" s="661">
        <f t="shared" si="3"/>
        <v>0</v>
      </c>
      <c r="P24" s="661">
        <f t="shared" si="4"/>
        <v>0</v>
      </c>
      <c r="Q24" s="661">
        <f t="shared" si="4"/>
        <v>0</v>
      </c>
      <c r="R24" s="665">
        <f t="shared" si="5"/>
        <v>0</v>
      </c>
      <c r="S24" s="664">
        <f t="shared" si="6"/>
        <v>0</v>
      </c>
      <c r="T24" s="663">
        <f t="shared" si="7"/>
        <v>0</v>
      </c>
      <c r="U24" s="650">
        <f t="shared" si="8"/>
        <v>0</v>
      </c>
      <c r="V24" s="650">
        <f t="shared" si="9"/>
        <v>0</v>
      </c>
      <c r="W24" s="650">
        <f t="shared" si="10"/>
        <v>0</v>
      </c>
      <c r="X24" s="650">
        <f t="shared" si="10"/>
        <v>0</v>
      </c>
      <c r="Y24" s="650">
        <f t="shared" si="11"/>
        <v>0</v>
      </c>
      <c r="Z24" s="649">
        <f t="shared" si="12"/>
        <v>0</v>
      </c>
      <c r="AA24" s="649">
        <f t="shared" si="13"/>
        <v>0</v>
      </c>
      <c r="AB24" s="649">
        <f t="shared" si="14"/>
        <v>0</v>
      </c>
      <c r="AC24" s="649">
        <f t="shared" si="14"/>
        <v>0</v>
      </c>
      <c r="AD24" s="649">
        <f t="shared" si="15"/>
        <v>0</v>
      </c>
      <c r="AE24" s="648"/>
      <c r="AF24" s="648"/>
      <c r="AG24" s="648"/>
      <c r="AH24" s="648"/>
      <c r="AI24" s="648"/>
    </row>
    <row r="25" spans="1:35" x14ac:dyDescent="0.15">
      <c r="A25" s="670"/>
      <c r="B25" s="669"/>
      <c r="C25" s="668"/>
      <c r="D25" s="667"/>
      <c r="E25" s="666"/>
      <c r="F25" s="662"/>
      <c r="G25" s="661"/>
      <c r="H25" s="661"/>
      <c r="I25" s="661"/>
      <c r="J25" s="665"/>
      <c r="K25" s="664"/>
      <c r="L25" s="666"/>
      <c r="M25" s="666"/>
      <c r="N25" s="662">
        <f t="shared" si="2"/>
        <v>0</v>
      </c>
      <c r="O25" s="661">
        <f t="shared" si="3"/>
        <v>0</v>
      </c>
      <c r="P25" s="661">
        <f t="shared" si="4"/>
        <v>0</v>
      </c>
      <c r="Q25" s="661">
        <f t="shared" si="4"/>
        <v>0</v>
      </c>
      <c r="R25" s="665">
        <f t="shared" si="5"/>
        <v>0</v>
      </c>
      <c r="S25" s="664">
        <f t="shared" si="6"/>
        <v>0</v>
      </c>
      <c r="T25" s="663">
        <f t="shared" si="7"/>
        <v>0</v>
      </c>
      <c r="U25" s="650">
        <f t="shared" si="8"/>
        <v>0</v>
      </c>
      <c r="V25" s="650">
        <f t="shared" si="9"/>
        <v>0</v>
      </c>
      <c r="W25" s="650">
        <f t="shared" si="10"/>
        <v>0</v>
      </c>
      <c r="X25" s="650">
        <f t="shared" si="10"/>
        <v>0</v>
      </c>
      <c r="Y25" s="650">
        <f t="shared" si="11"/>
        <v>0</v>
      </c>
      <c r="Z25" s="649">
        <f t="shared" si="12"/>
        <v>0</v>
      </c>
      <c r="AA25" s="649">
        <f t="shared" si="13"/>
        <v>0</v>
      </c>
      <c r="AB25" s="649">
        <f t="shared" si="14"/>
        <v>0</v>
      </c>
      <c r="AC25" s="649">
        <f t="shared" si="14"/>
        <v>0</v>
      </c>
      <c r="AD25" s="649">
        <f t="shared" si="15"/>
        <v>0</v>
      </c>
      <c r="AE25" s="648"/>
      <c r="AF25" s="648"/>
      <c r="AG25" s="648"/>
      <c r="AH25" s="648"/>
      <c r="AI25" s="648"/>
    </row>
    <row r="26" spans="1:35" x14ac:dyDescent="0.15">
      <c r="A26" s="670"/>
      <c r="B26" s="669">
        <v>6160303</v>
      </c>
      <c r="C26" s="668"/>
      <c r="D26" s="667" t="s">
        <v>1321</v>
      </c>
      <c r="E26" s="666">
        <f>+SUM(E27:E35)</f>
        <v>423000</v>
      </c>
      <c r="F26" s="666">
        <f t="shared" ref="F26" si="22">+SUM(F27:F35)</f>
        <v>0</v>
      </c>
      <c r="G26" s="666">
        <f t="shared" ref="G26:I26" si="23">+SUM(G27:G35)</f>
        <v>0</v>
      </c>
      <c r="H26" s="666">
        <f t="shared" ref="H26" si="24">+SUM(H27:H35)</f>
        <v>0</v>
      </c>
      <c r="I26" s="666">
        <f t="shared" si="23"/>
        <v>0</v>
      </c>
      <c r="J26" s="666">
        <f t="shared" ref="J26" si="25">+SUM(J27:J35)</f>
        <v>0</v>
      </c>
      <c r="K26" s="666">
        <f t="shared" ref="K26" si="26">+SUM(K27:K35)</f>
        <v>0</v>
      </c>
      <c r="L26" s="666">
        <f t="shared" ref="L26" si="27">+SUM(L27:L35)</f>
        <v>0</v>
      </c>
      <c r="M26" s="666">
        <f t="shared" ref="M26" si="28">+SUM(M27:M35)</f>
        <v>423000</v>
      </c>
      <c r="N26" s="662">
        <f t="shared" ref="N26" si="29">+ROUND(F26*F$4/(100+F$4),0)+AE26</f>
        <v>0</v>
      </c>
      <c r="O26" s="661">
        <f t="shared" ref="O26" si="30">+ROUND(G26*G$4/(100+G$4),0)+AF26</f>
        <v>0</v>
      </c>
      <c r="P26" s="661">
        <f t="shared" ref="P26:Q26" si="31">+ROUND(H26*H$4/(100+H$4),0)+AG26</f>
        <v>0</v>
      </c>
      <c r="Q26" s="661">
        <f t="shared" si="31"/>
        <v>0</v>
      </c>
      <c r="R26" s="665">
        <f t="shared" ref="R26" si="32">+ROUND(J26*J$4/(100+J$4),0)+AI26</f>
        <v>0</v>
      </c>
      <c r="S26" s="664">
        <f t="shared" ref="S26" si="33">SUM(N26:R26)</f>
        <v>0</v>
      </c>
      <c r="T26" s="663">
        <f t="shared" ref="T26" si="34">+E26-S26</f>
        <v>423000</v>
      </c>
      <c r="U26" s="650">
        <f t="shared" si="8"/>
        <v>0</v>
      </c>
      <c r="V26" s="650">
        <f t="shared" si="9"/>
        <v>0</v>
      </c>
      <c r="W26" s="650">
        <f t="shared" si="10"/>
        <v>0</v>
      </c>
      <c r="X26" s="650">
        <f t="shared" si="10"/>
        <v>0</v>
      </c>
      <c r="Y26" s="650">
        <f t="shared" si="11"/>
        <v>0</v>
      </c>
      <c r="Z26" s="649">
        <f t="shared" si="12"/>
        <v>0</v>
      </c>
      <c r="AA26" s="649">
        <f t="shared" si="13"/>
        <v>0</v>
      </c>
      <c r="AB26" s="649">
        <f t="shared" si="14"/>
        <v>0</v>
      </c>
      <c r="AC26" s="649">
        <f t="shared" si="14"/>
        <v>0</v>
      </c>
      <c r="AD26" s="649">
        <f t="shared" si="15"/>
        <v>0</v>
      </c>
      <c r="AE26" s="648"/>
      <c r="AF26" s="648"/>
      <c r="AG26" s="648"/>
      <c r="AH26" s="648"/>
      <c r="AI26" s="648"/>
    </row>
    <row r="27" spans="1:35" x14ac:dyDescent="0.15">
      <c r="A27" s="670">
        <v>2</v>
      </c>
      <c r="B27" s="669">
        <v>6170401</v>
      </c>
      <c r="C27" s="668"/>
      <c r="D27" s="667" t="s">
        <v>1334</v>
      </c>
      <c r="E27" s="700">
        <f>+IF($A27="",IF($C27="",SUMIFS(全伝票!I:I,全伝票!$B:$B,$B27),SUMIFS(全伝票!I:I,全伝票!$C:$C,$C27)),IF($C27="",SUMIFS(全伝票!I:I,全伝票!$A:$A,$A27,全伝票!$B:$B,$B27),SUMIFS(全伝票!I:I,全伝票!$A:$A,$A27,全伝票!$C:$C,$C27)))</f>
        <v>0</v>
      </c>
      <c r="F27" s="703">
        <f>+IF($A27="",IF($C27="",SUMIFS(全伝票!J:J,全伝票!$B:$B,$B27),SUMIFS(全伝票!J:J,全伝票!$C:$C,$C27)),IF($C27="",SUMIFS(全伝票!J:J,全伝票!$A:$A,$A27,全伝票!$B:$B,$B27),SUMIFS(全伝票!J:J,全伝票!$A:$A,$A27,全伝票!$C:$C,$C27)))</f>
        <v>0</v>
      </c>
      <c r="G27" s="702">
        <f>+IF($A27="",IF($C27="",SUMIFS(全伝票!K:K,全伝票!$B:$B,$B27),SUMIFS(全伝票!K:K,全伝票!$C:$C,$C27)),IF($C27="",SUMIFS(全伝票!K:K,全伝票!$A:$A,$A27,全伝票!$B:$B,$B27),SUMIFS(全伝票!K:K,全伝票!$A:$A,$A27,全伝票!$C:$C,$C27)))</f>
        <v>0</v>
      </c>
      <c r="H27" s="702">
        <f>+IF($A27="",IF($C27="",SUMIFS(全伝票!L:L,全伝票!$B:$B,$B27),SUMIFS(全伝票!L:L,全伝票!$C:$C,$C27)),IF($C27="",SUMIFS(全伝票!L:L,全伝票!$A:$A,$A27,全伝票!$B:$B,$B27),SUMIFS(全伝票!L:L,全伝票!$A:$A,$A27,全伝票!$C:$C,$C27)))</f>
        <v>0</v>
      </c>
      <c r="I27" s="702">
        <f>+IF($A27="",IF($C27="",SUMIFS(全伝票!M:M,全伝票!$B:$B,$B27),SUMIFS(全伝票!M:M,全伝票!$C:$C,$C27)),IF($C27="",SUMIFS(全伝票!M:M,全伝票!$A:$A,$A27,全伝票!$B:$B,$B27),SUMIFS(全伝票!M:M,全伝票!$A:$A,$A27,全伝票!$C:$C,$C27)))</f>
        <v>0</v>
      </c>
      <c r="J27" s="701">
        <f>+IF($A27="",IF($C27="",SUMIFS(全伝票!N:N,全伝票!$B:$B,$B27),SUMIFS(全伝票!N:N,全伝票!$C:$C,$C27)),IF($C27="",SUMIFS(全伝票!N:N,全伝票!$A:$A,$A27,全伝票!$B:$B,$B27),SUMIFS(全伝票!N:N,全伝票!$A:$A,$A27,全伝票!$C:$C,$C27)))</f>
        <v>0</v>
      </c>
      <c r="K27" s="664">
        <f t="shared" ref="K27:K35" si="35">SUM(F27:J27)</f>
        <v>0</v>
      </c>
      <c r="L27" s="700">
        <f>+IF($A27="",IF($C27="",SUMIFS(全伝票!O:O,全伝票!$B:$B,$B27),SUMIFS(全伝票!O:O,全伝票!$C:$C,$C27)),IF($C27="",SUMIFS(全伝票!O:O,全伝票!$A:$A,$A27,全伝票!$B:$B,$B27),SUMIFS(全伝票!O:O,全伝票!$A:$A,$A27,全伝票!$C:$C,$C27)))</f>
        <v>0</v>
      </c>
      <c r="M27" s="700">
        <f>+IF($A27="",IF($C27="",SUMIFS(全伝票!P:P,全伝票!$B:$B,$B27),SUMIFS(全伝票!P:P,全伝票!$C:$C,$C27)),IF($C27="",SUMIFS(全伝票!P:P,全伝票!$A:$A,$A27,全伝票!$B:$B,$B27),SUMIFS(全伝票!P:P,全伝票!$A:$A,$A27,全伝票!$C:$C,$C27)))</f>
        <v>0</v>
      </c>
      <c r="N27" s="662">
        <f t="shared" si="2"/>
        <v>0</v>
      </c>
      <c r="O27" s="661">
        <f t="shared" si="3"/>
        <v>0</v>
      </c>
      <c r="P27" s="661">
        <f t="shared" si="4"/>
        <v>0</v>
      </c>
      <c r="Q27" s="661">
        <f t="shared" si="4"/>
        <v>0</v>
      </c>
      <c r="R27" s="665">
        <f t="shared" si="5"/>
        <v>0</v>
      </c>
      <c r="S27" s="664">
        <f t="shared" si="6"/>
        <v>0</v>
      </c>
      <c r="T27" s="663">
        <f t="shared" si="7"/>
        <v>0</v>
      </c>
      <c r="U27" s="650">
        <f t="shared" si="8"/>
        <v>0</v>
      </c>
      <c r="V27" s="650">
        <f t="shared" si="9"/>
        <v>0</v>
      </c>
      <c r="W27" s="650">
        <f t="shared" si="10"/>
        <v>0</v>
      </c>
      <c r="X27" s="650">
        <f t="shared" si="10"/>
        <v>0</v>
      </c>
      <c r="Y27" s="650">
        <f t="shared" si="11"/>
        <v>0</v>
      </c>
      <c r="Z27" s="649">
        <f t="shared" si="12"/>
        <v>0</v>
      </c>
      <c r="AA27" s="649">
        <f t="shared" si="13"/>
        <v>0</v>
      </c>
      <c r="AB27" s="649">
        <f t="shared" si="14"/>
        <v>0</v>
      </c>
      <c r="AC27" s="649">
        <f t="shared" si="14"/>
        <v>0</v>
      </c>
      <c r="AD27" s="649">
        <f t="shared" si="15"/>
        <v>0</v>
      </c>
      <c r="AE27" s="648"/>
      <c r="AF27" s="648"/>
      <c r="AG27" s="648"/>
      <c r="AH27" s="648"/>
      <c r="AI27" s="648"/>
    </row>
    <row r="28" spans="1:35" x14ac:dyDescent="0.15">
      <c r="A28" s="670">
        <v>2</v>
      </c>
      <c r="B28" s="669">
        <v>6170402</v>
      </c>
      <c r="C28" s="668"/>
      <c r="D28" s="667" t="s">
        <v>1335</v>
      </c>
      <c r="E28" s="700">
        <f>+IF($A28="",IF($C28="",SUMIFS(全伝票!I:I,全伝票!$B:$B,$B28),SUMIFS(全伝票!I:I,全伝票!$C:$C,$C28)),IF($C28="",SUMIFS(全伝票!I:I,全伝票!$A:$A,$A28,全伝票!$B:$B,$B28),SUMIFS(全伝票!I:I,全伝票!$A:$A,$A28,全伝票!$C:$C,$C28)))</f>
        <v>0</v>
      </c>
      <c r="F28" s="703">
        <f>+IF($A28="",IF($C28="",SUMIFS(全伝票!J:J,全伝票!$B:$B,$B28),SUMIFS(全伝票!J:J,全伝票!$C:$C,$C28)),IF($C28="",SUMIFS(全伝票!J:J,全伝票!$A:$A,$A28,全伝票!$B:$B,$B28),SUMIFS(全伝票!J:J,全伝票!$A:$A,$A28,全伝票!$C:$C,$C28)))</f>
        <v>0</v>
      </c>
      <c r="G28" s="702">
        <f>+IF($A28="",IF($C28="",SUMIFS(全伝票!K:K,全伝票!$B:$B,$B28),SUMIFS(全伝票!K:K,全伝票!$C:$C,$C28)),IF($C28="",SUMIFS(全伝票!K:K,全伝票!$A:$A,$A28,全伝票!$B:$B,$B28),SUMIFS(全伝票!K:K,全伝票!$A:$A,$A28,全伝票!$C:$C,$C28)))</f>
        <v>0</v>
      </c>
      <c r="H28" s="702">
        <f>+IF($A28="",IF($C28="",SUMIFS(全伝票!L:L,全伝票!$B:$B,$B28),SUMIFS(全伝票!L:L,全伝票!$C:$C,$C28)),IF($C28="",SUMIFS(全伝票!L:L,全伝票!$A:$A,$A28,全伝票!$B:$B,$B28),SUMIFS(全伝票!L:L,全伝票!$A:$A,$A28,全伝票!$C:$C,$C28)))</f>
        <v>0</v>
      </c>
      <c r="I28" s="702">
        <f>+IF($A28="",IF($C28="",SUMIFS(全伝票!M:M,全伝票!$B:$B,$B28),SUMIFS(全伝票!M:M,全伝票!$C:$C,$C28)),IF($C28="",SUMIFS(全伝票!M:M,全伝票!$A:$A,$A28,全伝票!$B:$B,$B28),SUMIFS(全伝票!M:M,全伝票!$A:$A,$A28,全伝票!$C:$C,$C28)))</f>
        <v>0</v>
      </c>
      <c r="J28" s="701">
        <f>+IF($A28="",IF($C28="",SUMIFS(全伝票!N:N,全伝票!$B:$B,$B28),SUMIFS(全伝票!N:N,全伝票!$C:$C,$C28)),IF($C28="",SUMIFS(全伝票!N:N,全伝票!$A:$A,$A28,全伝票!$B:$B,$B28),SUMIFS(全伝票!N:N,全伝票!$A:$A,$A28,全伝票!$C:$C,$C28)))</f>
        <v>0</v>
      </c>
      <c r="K28" s="664">
        <f t="shared" si="35"/>
        <v>0</v>
      </c>
      <c r="L28" s="700">
        <f>+IF($A28="",IF($C28="",SUMIFS(全伝票!O:O,全伝票!$B:$B,$B28),SUMIFS(全伝票!O:O,全伝票!$C:$C,$C28)),IF($C28="",SUMIFS(全伝票!O:O,全伝票!$A:$A,$A28,全伝票!$B:$B,$B28),SUMIFS(全伝票!O:O,全伝票!$A:$A,$A28,全伝票!$C:$C,$C28)))</f>
        <v>0</v>
      </c>
      <c r="M28" s="700">
        <f>+IF($A28="",IF($C28="",SUMIFS(全伝票!P:P,全伝票!$B:$B,$B28),SUMIFS(全伝票!P:P,全伝票!$C:$C,$C28)),IF($C28="",SUMIFS(全伝票!P:P,全伝票!$A:$A,$A28,全伝票!$B:$B,$B28),SUMIFS(全伝票!P:P,全伝票!$A:$A,$A28,全伝票!$C:$C,$C28)))</f>
        <v>0</v>
      </c>
      <c r="N28" s="662">
        <f t="shared" si="2"/>
        <v>0</v>
      </c>
      <c r="O28" s="661">
        <f t="shared" si="3"/>
        <v>0</v>
      </c>
      <c r="P28" s="661">
        <f t="shared" si="4"/>
        <v>0</v>
      </c>
      <c r="Q28" s="661">
        <f t="shared" si="4"/>
        <v>0</v>
      </c>
      <c r="R28" s="665">
        <f t="shared" si="5"/>
        <v>0</v>
      </c>
      <c r="S28" s="664">
        <f t="shared" si="6"/>
        <v>0</v>
      </c>
      <c r="T28" s="663">
        <f t="shared" si="7"/>
        <v>0</v>
      </c>
      <c r="U28" s="650">
        <f t="shared" si="8"/>
        <v>0</v>
      </c>
      <c r="V28" s="650">
        <f t="shared" si="9"/>
        <v>0</v>
      </c>
      <c r="W28" s="650">
        <f t="shared" si="10"/>
        <v>0</v>
      </c>
      <c r="X28" s="650">
        <f t="shared" si="10"/>
        <v>0</v>
      </c>
      <c r="Y28" s="650">
        <f t="shared" si="11"/>
        <v>0</v>
      </c>
      <c r="Z28" s="649">
        <f t="shared" si="12"/>
        <v>0</v>
      </c>
      <c r="AA28" s="649">
        <f t="shared" si="13"/>
        <v>0</v>
      </c>
      <c r="AB28" s="649">
        <f t="shared" si="14"/>
        <v>0</v>
      </c>
      <c r="AC28" s="649">
        <f t="shared" si="14"/>
        <v>0</v>
      </c>
      <c r="AD28" s="649">
        <f t="shared" si="15"/>
        <v>0</v>
      </c>
      <c r="AE28" s="648"/>
      <c r="AF28" s="648"/>
      <c r="AG28" s="648"/>
      <c r="AH28" s="648"/>
      <c r="AI28" s="648"/>
    </row>
    <row r="29" spans="1:35" x14ac:dyDescent="0.15">
      <c r="A29" s="670">
        <v>2</v>
      </c>
      <c r="B29" s="669">
        <v>6170403</v>
      </c>
      <c r="C29" s="668"/>
      <c r="D29" s="667" t="s">
        <v>1336</v>
      </c>
      <c r="E29" s="700">
        <f>+IF($A29="",IF($C29="",SUMIFS(全伝票!I:I,全伝票!$B:$B,$B29),SUMIFS(全伝票!I:I,全伝票!$C:$C,$C29)),IF($C29="",SUMIFS(全伝票!I:I,全伝票!$A:$A,$A29,全伝票!$B:$B,$B29),SUMIFS(全伝票!I:I,全伝票!$A:$A,$A29,全伝票!$C:$C,$C29)))</f>
        <v>0</v>
      </c>
      <c r="F29" s="703">
        <f>+IF($A29="",IF($C29="",SUMIFS(全伝票!J:J,全伝票!$B:$B,$B29),SUMIFS(全伝票!J:J,全伝票!$C:$C,$C29)),IF($C29="",SUMIFS(全伝票!J:J,全伝票!$A:$A,$A29,全伝票!$B:$B,$B29),SUMIFS(全伝票!J:J,全伝票!$A:$A,$A29,全伝票!$C:$C,$C29)))</f>
        <v>0</v>
      </c>
      <c r="G29" s="702">
        <f>+IF($A29="",IF($C29="",SUMIFS(全伝票!K:K,全伝票!$B:$B,$B29),SUMIFS(全伝票!K:K,全伝票!$C:$C,$C29)),IF($C29="",SUMIFS(全伝票!K:K,全伝票!$A:$A,$A29,全伝票!$B:$B,$B29),SUMIFS(全伝票!K:K,全伝票!$A:$A,$A29,全伝票!$C:$C,$C29)))</f>
        <v>0</v>
      </c>
      <c r="H29" s="702">
        <f>+IF($A29="",IF($C29="",SUMIFS(全伝票!L:L,全伝票!$B:$B,$B29),SUMIFS(全伝票!L:L,全伝票!$C:$C,$C29)),IF($C29="",SUMIFS(全伝票!L:L,全伝票!$A:$A,$A29,全伝票!$B:$B,$B29),SUMIFS(全伝票!L:L,全伝票!$A:$A,$A29,全伝票!$C:$C,$C29)))</f>
        <v>0</v>
      </c>
      <c r="I29" s="702">
        <f>+IF($A29="",IF($C29="",SUMIFS(全伝票!M:M,全伝票!$B:$B,$B29),SUMIFS(全伝票!M:M,全伝票!$C:$C,$C29)),IF($C29="",SUMIFS(全伝票!M:M,全伝票!$A:$A,$A29,全伝票!$B:$B,$B29),SUMIFS(全伝票!M:M,全伝票!$A:$A,$A29,全伝票!$C:$C,$C29)))</f>
        <v>0</v>
      </c>
      <c r="J29" s="701">
        <f>+IF($A29="",IF($C29="",SUMIFS(全伝票!N:N,全伝票!$B:$B,$B29),SUMIFS(全伝票!N:N,全伝票!$C:$C,$C29)),IF($C29="",SUMIFS(全伝票!N:N,全伝票!$A:$A,$A29,全伝票!$B:$B,$B29),SUMIFS(全伝票!N:N,全伝票!$A:$A,$A29,全伝票!$C:$C,$C29)))</f>
        <v>0</v>
      </c>
      <c r="K29" s="664">
        <f t="shared" si="35"/>
        <v>0</v>
      </c>
      <c r="L29" s="700">
        <f>+IF($A29="",IF($C29="",SUMIFS(全伝票!O:O,全伝票!$B:$B,$B29),SUMIFS(全伝票!O:O,全伝票!$C:$C,$C29)),IF($C29="",SUMIFS(全伝票!O:O,全伝票!$A:$A,$A29,全伝票!$B:$B,$B29),SUMIFS(全伝票!O:O,全伝票!$A:$A,$A29,全伝票!$C:$C,$C29)))</f>
        <v>0</v>
      </c>
      <c r="M29" s="700">
        <f>+IF($A29="",IF($C29="",SUMIFS(全伝票!P:P,全伝票!$B:$B,$B29),SUMIFS(全伝票!P:P,全伝票!$C:$C,$C29)),IF($C29="",SUMIFS(全伝票!P:P,全伝票!$A:$A,$A29,全伝票!$B:$B,$B29),SUMIFS(全伝票!P:P,全伝票!$A:$A,$A29,全伝票!$C:$C,$C29)))</f>
        <v>0</v>
      </c>
      <c r="N29" s="662">
        <f t="shared" si="2"/>
        <v>0</v>
      </c>
      <c r="O29" s="661">
        <f t="shared" si="3"/>
        <v>0</v>
      </c>
      <c r="P29" s="661">
        <f t="shared" si="4"/>
        <v>0</v>
      </c>
      <c r="Q29" s="661">
        <f t="shared" si="4"/>
        <v>0</v>
      </c>
      <c r="R29" s="665">
        <f t="shared" si="5"/>
        <v>0</v>
      </c>
      <c r="S29" s="664">
        <f t="shared" si="6"/>
        <v>0</v>
      </c>
      <c r="T29" s="663">
        <f t="shared" si="7"/>
        <v>0</v>
      </c>
      <c r="U29" s="650">
        <f t="shared" si="8"/>
        <v>0</v>
      </c>
      <c r="V29" s="650">
        <f t="shared" si="9"/>
        <v>0</v>
      </c>
      <c r="W29" s="650">
        <f t="shared" si="10"/>
        <v>0</v>
      </c>
      <c r="X29" s="650">
        <f t="shared" si="10"/>
        <v>0</v>
      </c>
      <c r="Y29" s="650">
        <f t="shared" si="11"/>
        <v>0</v>
      </c>
      <c r="Z29" s="649">
        <f t="shared" si="12"/>
        <v>0</v>
      </c>
      <c r="AA29" s="649">
        <f t="shared" si="13"/>
        <v>0</v>
      </c>
      <c r="AB29" s="649">
        <f t="shared" si="14"/>
        <v>0</v>
      </c>
      <c r="AC29" s="649">
        <f t="shared" si="14"/>
        <v>0</v>
      </c>
      <c r="AD29" s="649">
        <f t="shared" si="15"/>
        <v>0</v>
      </c>
      <c r="AE29" s="648"/>
      <c r="AF29" s="648"/>
      <c r="AG29" s="648"/>
      <c r="AH29" s="648"/>
      <c r="AI29" s="648"/>
    </row>
    <row r="30" spans="1:35" x14ac:dyDescent="0.15">
      <c r="A30" s="670">
        <v>3</v>
      </c>
      <c r="B30" s="669">
        <v>6170401</v>
      </c>
      <c r="C30" s="668"/>
      <c r="D30" s="667" t="s">
        <v>1337</v>
      </c>
      <c r="E30" s="700">
        <f>+IF($A30="",IF($C30="",SUMIFS(全伝票!I:I,全伝票!$B:$B,$B30),SUMIFS(全伝票!I:I,全伝票!$C:$C,$C30)),IF($C30="",SUMIFS(全伝票!I:I,全伝票!$A:$A,$A30,全伝票!$B:$B,$B30),SUMIFS(全伝票!I:I,全伝票!$A:$A,$A30,全伝票!$C:$C,$C30)))</f>
        <v>358000</v>
      </c>
      <c r="F30" s="703">
        <f>+IF($A30="",IF($C30="",SUMIFS(全伝票!J:J,全伝票!$B:$B,$B30),SUMIFS(全伝票!J:J,全伝票!$C:$C,$C30)),IF($C30="",SUMIFS(全伝票!J:J,全伝票!$A:$A,$A30,全伝票!$B:$B,$B30),SUMIFS(全伝票!J:J,全伝票!$A:$A,$A30,全伝票!$C:$C,$C30)))</f>
        <v>0</v>
      </c>
      <c r="G30" s="702">
        <f>+IF($A30="",IF($C30="",SUMIFS(全伝票!K:K,全伝票!$B:$B,$B30),SUMIFS(全伝票!K:K,全伝票!$C:$C,$C30)),IF($C30="",SUMIFS(全伝票!K:K,全伝票!$A:$A,$A30,全伝票!$B:$B,$B30),SUMIFS(全伝票!K:K,全伝票!$A:$A,$A30,全伝票!$C:$C,$C30)))</f>
        <v>0</v>
      </c>
      <c r="H30" s="702">
        <f>+IF($A30="",IF($C30="",SUMIFS(全伝票!L:L,全伝票!$B:$B,$B30),SUMIFS(全伝票!L:L,全伝票!$C:$C,$C30)),IF($C30="",SUMIFS(全伝票!L:L,全伝票!$A:$A,$A30,全伝票!$B:$B,$B30),SUMIFS(全伝票!L:L,全伝票!$A:$A,$A30,全伝票!$C:$C,$C30)))</f>
        <v>0</v>
      </c>
      <c r="I30" s="702">
        <f>+IF($A30="",IF($C30="",SUMIFS(全伝票!M:M,全伝票!$B:$B,$B30),SUMIFS(全伝票!M:M,全伝票!$C:$C,$C30)),IF($C30="",SUMIFS(全伝票!M:M,全伝票!$A:$A,$A30,全伝票!$B:$B,$B30),SUMIFS(全伝票!M:M,全伝票!$A:$A,$A30,全伝票!$C:$C,$C30)))</f>
        <v>0</v>
      </c>
      <c r="J30" s="701">
        <f>+IF($A30="",IF($C30="",SUMIFS(全伝票!N:N,全伝票!$B:$B,$B30),SUMIFS(全伝票!N:N,全伝票!$C:$C,$C30)),IF($C30="",SUMIFS(全伝票!N:N,全伝票!$A:$A,$A30,全伝票!$B:$B,$B30),SUMIFS(全伝票!N:N,全伝票!$A:$A,$A30,全伝票!$C:$C,$C30)))</f>
        <v>0</v>
      </c>
      <c r="K30" s="664">
        <f t="shared" si="35"/>
        <v>0</v>
      </c>
      <c r="L30" s="700">
        <f>+IF($A30="",IF($C30="",SUMIFS(全伝票!O:O,全伝票!$B:$B,$B30),SUMIFS(全伝票!O:O,全伝票!$C:$C,$C30)),IF($C30="",SUMIFS(全伝票!O:O,全伝票!$A:$A,$A30,全伝票!$B:$B,$B30),SUMIFS(全伝票!O:O,全伝票!$A:$A,$A30,全伝票!$C:$C,$C30)))</f>
        <v>0</v>
      </c>
      <c r="M30" s="700">
        <f>+IF($A30="",IF($C30="",SUMIFS(全伝票!P:P,全伝票!$B:$B,$B30),SUMIFS(全伝票!P:P,全伝票!$C:$C,$C30)),IF($C30="",SUMIFS(全伝票!P:P,全伝票!$A:$A,$A30,全伝票!$B:$B,$B30),SUMIFS(全伝票!P:P,全伝票!$A:$A,$A30,全伝票!$C:$C,$C30)))</f>
        <v>358000</v>
      </c>
      <c r="N30" s="662">
        <f t="shared" si="2"/>
        <v>0</v>
      </c>
      <c r="O30" s="661">
        <f t="shared" si="3"/>
        <v>0</v>
      </c>
      <c r="P30" s="661">
        <f t="shared" si="4"/>
        <v>0</v>
      </c>
      <c r="Q30" s="661">
        <f t="shared" si="4"/>
        <v>0</v>
      </c>
      <c r="R30" s="665">
        <f t="shared" si="5"/>
        <v>0</v>
      </c>
      <c r="S30" s="664">
        <f t="shared" si="6"/>
        <v>0</v>
      </c>
      <c r="T30" s="663">
        <f t="shared" si="7"/>
        <v>358000</v>
      </c>
      <c r="U30" s="650">
        <f t="shared" si="8"/>
        <v>0</v>
      </c>
      <c r="V30" s="650">
        <f t="shared" si="9"/>
        <v>0</v>
      </c>
      <c r="W30" s="650">
        <f t="shared" si="10"/>
        <v>0</v>
      </c>
      <c r="X30" s="650">
        <f t="shared" si="10"/>
        <v>0</v>
      </c>
      <c r="Y30" s="650">
        <f t="shared" si="11"/>
        <v>0</v>
      </c>
      <c r="Z30" s="649">
        <f t="shared" si="12"/>
        <v>0</v>
      </c>
      <c r="AA30" s="649">
        <f t="shared" si="13"/>
        <v>0</v>
      </c>
      <c r="AB30" s="649">
        <f t="shared" si="14"/>
        <v>0</v>
      </c>
      <c r="AC30" s="649">
        <f t="shared" si="14"/>
        <v>0</v>
      </c>
      <c r="AD30" s="649">
        <f t="shared" si="15"/>
        <v>0</v>
      </c>
      <c r="AE30" s="648"/>
      <c r="AF30" s="648"/>
      <c r="AG30" s="648"/>
      <c r="AH30" s="648"/>
      <c r="AI30" s="648"/>
    </row>
    <row r="31" spans="1:35" x14ac:dyDescent="0.15">
      <c r="A31" s="670">
        <v>3</v>
      </c>
      <c r="B31" s="669">
        <v>6170402</v>
      </c>
      <c r="C31" s="668"/>
      <c r="D31" s="667" t="s">
        <v>1338</v>
      </c>
      <c r="E31" s="700">
        <f>+IF($A31="",IF($C31="",SUMIFS(全伝票!I:I,全伝票!$B:$B,$B31),SUMIFS(全伝票!I:I,全伝票!$C:$C,$C31)),IF($C31="",SUMIFS(全伝票!I:I,全伝票!$A:$A,$A31,全伝票!$B:$B,$B31),SUMIFS(全伝票!I:I,全伝票!$A:$A,$A31,全伝票!$C:$C,$C31)))</f>
        <v>65000</v>
      </c>
      <c r="F31" s="703">
        <f>+IF($A31="",IF($C31="",SUMIFS(全伝票!J:J,全伝票!$B:$B,$B31),SUMIFS(全伝票!J:J,全伝票!$C:$C,$C31)),IF($C31="",SUMIFS(全伝票!J:J,全伝票!$A:$A,$A31,全伝票!$B:$B,$B31),SUMIFS(全伝票!J:J,全伝票!$A:$A,$A31,全伝票!$C:$C,$C31)))</f>
        <v>0</v>
      </c>
      <c r="G31" s="702">
        <f>+IF($A31="",IF($C31="",SUMIFS(全伝票!K:K,全伝票!$B:$B,$B31),SUMIFS(全伝票!K:K,全伝票!$C:$C,$C31)),IF($C31="",SUMIFS(全伝票!K:K,全伝票!$A:$A,$A31,全伝票!$B:$B,$B31),SUMIFS(全伝票!K:K,全伝票!$A:$A,$A31,全伝票!$C:$C,$C31)))</f>
        <v>0</v>
      </c>
      <c r="H31" s="702">
        <f>+IF($A31="",IF($C31="",SUMIFS(全伝票!L:L,全伝票!$B:$B,$B31),SUMIFS(全伝票!L:L,全伝票!$C:$C,$C31)),IF($C31="",SUMIFS(全伝票!L:L,全伝票!$A:$A,$A31,全伝票!$B:$B,$B31),SUMIFS(全伝票!L:L,全伝票!$A:$A,$A31,全伝票!$C:$C,$C31)))</f>
        <v>0</v>
      </c>
      <c r="I31" s="702">
        <f>+IF($A31="",IF($C31="",SUMIFS(全伝票!M:M,全伝票!$B:$B,$B31),SUMIFS(全伝票!M:M,全伝票!$C:$C,$C31)),IF($C31="",SUMIFS(全伝票!M:M,全伝票!$A:$A,$A31,全伝票!$B:$B,$B31),SUMIFS(全伝票!M:M,全伝票!$A:$A,$A31,全伝票!$C:$C,$C31)))</f>
        <v>0</v>
      </c>
      <c r="J31" s="701">
        <f>+IF($A31="",IF($C31="",SUMIFS(全伝票!N:N,全伝票!$B:$B,$B31),SUMIFS(全伝票!N:N,全伝票!$C:$C,$C31)),IF($C31="",SUMIFS(全伝票!N:N,全伝票!$A:$A,$A31,全伝票!$B:$B,$B31),SUMIFS(全伝票!N:N,全伝票!$A:$A,$A31,全伝票!$C:$C,$C31)))</f>
        <v>0</v>
      </c>
      <c r="K31" s="664">
        <f t="shared" si="35"/>
        <v>0</v>
      </c>
      <c r="L31" s="700">
        <f>+IF($A31="",IF($C31="",SUMIFS(全伝票!O:O,全伝票!$B:$B,$B31),SUMIFS(全伝票!O:O,全伝票!$C:$C,$C31)),IF($C31="",SUMIFS(全伝票!O:O,全伝票!$A:$A,$A31,全伝票!$B:$B,$B31),SUMIFS(全伝票!O:O,全伝票!$A:$A,$A31,全伝票!$C:$C,$C31)))</f>
        <v>0</v>
      </c>
      <c r="M31" s="700">
        <f>+IF($A31="",IF($C31="",SUMIFS(全伝票!P:P,全伝票!$B:$B,$B31),SUMIFS(全伝票!P:P,全伝票!$C:$C,$C31)),IF($C31="",SUMIFS(全伝票!P:P,全伝票!$A:$A,$A31,全伝票!$B:$B,$B31),SUMIFS(全伝票!P:P,全伝票!$A:$A,$A31,全伝票!$C:$C,$C31)))</f>
        <v>65000</v>
      </c>
      <c r="N31" s="662">
        <f t="shared" si="2"/>
        <v>0</v>
      </c>
      <c r="O31" s="661">
        <f t="shared" si="3"/>
        <v>0</v>
      </c>
      <c r="P31" s="661">
        <f t="shared" si="4"/>
        <v>0</v>
      </c>
      <c r="Q31" s="661">
        <f t="shared" si="4"/>
        <v>0</v>
      </c>
      <c r="R31" s="665">
        <f t="shared" si="5"/>
        <v>0</v>
      </c>
      <c r="S31" s="664">
        <f t="shared" si="6"/>
        <v>0</v>
      </c>
      <c r="T31" s="663">
        <f t="shared" si="7"/>
        <v>65000</v>
      </c>
      <c r="U31" s="650">
        <f t="shared" si="8"/>
        <v>0</v>
      </c>
      <c r="V31" s="650">
        <f t="shared" si="9"/>
        <v>0</v>
      </c>
      <c r="W31" s="650">
        <f t="shared" si="10"/>
        <v>0</v>
      </c>
      <c r="X31" s="650">
        <f t="shared" si="10"/>
        <v>0</v>
      </c>
      <c r="Y31" s="650">
        <f t="shared" si="11"/>
        <v>0</v>
      </c>
      <c r="Z31" s="649">
        <f t="shared" si="12"/>
        <v>0</v>
      </c>
      <c r="AA31" s="649">
        <f t="shared" si="13"/>
        <v>0</v>
      </c>
      <c r="AB31" s="649">
        <f t="shared" si="14"/>
        <v>0</v>
      </c>
      <c r="AC31" s="649">
        <f t="shared" si="14"/>
        <v>0</v>
      </c>
      <c r="AD31" s="649">
        <f t="shared" si="15"/>
        <v>0</v>
      </c>
      <c r="AE31" s="648"/>
      <c r="AF31" s="648"/>
      <c r="AG31" s="648"/>
      <c r="AH31" s="648"/>
      <c r="AI31" s="648"/>
    </row>
    <row r="32" spans="1:35" x14ac:dyDescent="0.15">
      <c r="A32" s="670">
        <v>3</v>
      </c>
      <c r="B32" s="669">
        <v>6170403</v>
      </c>
      <c r="C32" s="668"/>
      <c r="D32" s="667" t="s">
        <v>1339</v>
      </c>
      <c r="E32" s="700">
        <f>+IF($A32="",IF($C32="",SUMIFS(全伝票!I:I,全伝票!$B:$B,$B32),SUMIFS(全伝票!I:I,全伝票!$C:$C,$C32)),IF($C32="",SUMIFS(全伝票!I:I,全伝票!$A:$A,$A32,全伝票!$B:$B,$B32),SUMIFS(全伝票!I:I,全伝票!$A:$A,$A32,全伝票!$C:$C,$C32)))</f>
        <v>0</v>
      </c>
      <c r="F32" s="703">
        <f>+IF($A32="",IF($C32="",SUMIFS(全伝票!J:J,全伝票!$B:$B,$B32),SUMIFS(全伝票!J:J,全伝票!$C:$C,$C32)),IF($C32="",SUMIFS(全伝票!J:J,全伝票!$A:$A,$A32,全伝票!$B:$B,$B32),SUMIFS(全伝票!J:J,全伝票!$A:$A,$A32,全伝票!$C:$C,$C32)))</f>
        <v>0</v>
      </c>
      <c r="G32" s="702">
        <f>+IF($A32="",IF($C32="",SUMIFS(全伝票!K:K,全伝票!$B:$B,$B32),SUMIFS(全伝票!K:K,全伝票!$C:$C,$C32)),IF($C32="",SUMIFS(全伝票!K:K,全伝票!$A:$A,$A32,全伝票!$B:$B,$B32),SUMIFS(全伝票!K:K,全伝票!$A:$A,$A32,全伝票!$C:$C,$C32)))</f>
        <v>0</v>
      </c>
      <c r="H32" s="702">
        <f>+IF($A32="",IF($C32="",SUMIFS(全伝票!L:L,全伝票!$B:$B,$B32),SUMIFS(全伝票!L:L,全伝票!$C:$C,$C32)),IF($C32="",SUMIFS(全伝票!L:L,全伝票!$A:$A,$A32,全伝票!$B:$B,$B32),SUMIFS(全伝票!L:L,全伝票!$A:$A,$A32,全伝票!$C:$C,$C32)))</f>
        <v>0</v>
      </c>
      <c r="I32" s="702">
        <f>+IF($A32="",IF($C32="",SUMIFS(全伝票!M:M,全伝票!$B:$B,$B32),SUMIFS(全伝票!M:M,全伝票!$C:$C,$C32)),IF($C32="",SUMIFS(全伝票!M:M,全伝票!$A:$A,$A32,全伝票!$B:$B,$B32),SUMIFS(全伝票!M:M,全伝票!$A:$A,$A32,全伝票!$C:$C,$C32)))</f>
        <v>0</v>
      </c>
      <c r="J32" s="701">
        <f>+IF($A32="",IF($C32="",SUMIFS(全伝票!N:N,全伝票!$B:$B,$B32),SUMIFS(全伝票!N:N,全伝票!$C:$C,$C32)),IF($C32="",SUMIFS(全伝票!N:N,全伝票!$A:$A,$A32,全伝票!$B:$B,$B32),SUMIFS(全伝票!N:N,全伝票!$A:$A,$A32,全伝票!$C:$C,$C32)))</f>
        <v>0</v>
      </c>
      <c r="K32" s="664">
        <f t="shared" si="35"/>
        <v>0</v>
      </c>
      <c r="L32" s="700">
        <f>+IF($A32="",IF($C32="",SUMIFS(全伝票!O:O,全伝票!$B:$B,$B32),SUMIFS(全伝票!O:O,全伝票!$C:$C,$C32)),IF($C32="",SUMIFS(全伝票!O:O,全伝票!$A:$A,$A32,全伝票!$B:$B,$B32),SUMIFS(全伝票!O:O,全伝票!$A:$A,$A32,全伝票!$C:$C,$C32)))</f>
        <v>0</v>
      </c>
      <c r="M32" s="700">
        <f>+IF($A32="",IF($C32="",SUMIFS(全伝票!P:P,全伝票!$B:$B,$B32),SUMIFS(全伝票!P:P,全伝票!$C:$C,$C32)),IF($C32="",SUMIFS(全伝票!P:P,全伝票!$A:$A,$A32,全伝票!$B:$B,$B32),SUMIFS(全伝票!P:P,全伝票!$A:$A,$A32,全伝票!$C:$C,$C32)))</f>
        <v>0</v>
      </c>
      <c r="N32" s="662">
        <f t="shared" si="2"/>
        <v>0</v>
      </c>
      <c r="O32" s="661">
        <f t="shared" si="3"/>
        <v>0</v>
      </c>
      <c r="P32" s="661">
        <f t="shared" si="4"/>
        <v>0</v>
      </c>
      <c r="Q32" s="661">
        <f t="shared" si="4"/>
        <v>0</v>
      </c>
      <c r="R32" s="665">
        <f t="shared" si="5"/>
        <v>0</v>
      </c>
      <c r="S32" s="664">
        <f t="shared" si="6"/>
        <v>0</v>
      </c>
      <c r="T32" s="663">
        <f t="shared" si="7"/>
        <v>0</v>
      </c>
      <c r="U32" s="650">
        <f t="shared" si="8"/>
        <v>0</v>
      </c>
      <c r="V32" s="650">
        <f t="shared" si="9"/>
        <v>0</v>
      </c>
      <c r="W32" s="650">
        <f t="shared" si="10"/>
        <v>0</v>
      </c>
      <c r="X32" s="650">
        <f t="shared" si="10"/>
        <v>0</v>
      </c>
      <c r="Y32" s="650">
        <f t="shared" si="11"/>
        <v>0</v>
      </c>
      <c r="Z32" s="649">
        <f t="shared" si="12"/>
        <v>0</v>
      </c>
      <c r="AA32" s="649">
        <f t="shared" si="13"/>
        <v>0</v>
      </c>
      <c r="AB32" s="649">
        <f t="shared" si="14"/>
        <v>0</v>
      </c>
      <c r="AC32" s="649">
        <f t="shared" si="14"/>
        <v>0</v>
      </c>
      <c r="AD32" s="649">
        <f t="shared" si="15"/>
        <v>0</v>
      </c>
      <c r="AE32" s="648"/>
      <c r="AF32" s="648"/>
      <c r="AG32" s="648"/>
      <c r="AH32" s="648"/>
      <c r="AI32" s="648"/>
    </row>
    <row r="33" spans="1:35" x14ac:dyDescent="0.15">
      <c r="A33" s="670">
        <v>4</v>
      </c>
      <c r="B33" s="669">
        <v>6170401</v>
      </c>
      <c r="C33" s="668"/>
      <c r="D33" s="667" t="s">
        <v>1340</v>
      </c>
      <c r="E33" s="700">
        <f>+IF($A33="",IF($C33="",SUMIFS(全伝票!I:I,全伝票!$B:$B,$B33),SUMIFS(全伝票!I:I,全伝票!$C:$C,$C33)),IF($C33="",SUMIFS(全伝票!I:I,全伝票!$A:$A,$A33,全伝票!$B:$B,$B33),SUMIFS(全伝票!I:I,全伝票!$A:$A,$A33,全伝票!$C:$C,$C33)))</f>
        <v>0</v>
      </c>
      <c r="F33" s="703">
        <f>+IF($A33="",IF($C33="",SUMIFS(全伝票!J:J,全伝票!$B:$B,$B33),SUMIFS(全伝票!J:J,全伝票!$C:$C,$C33)),IF($C33="",SUMIFS(全伝票!J:J,全伝票!$A:$A,$A33,全伝票!$B:$B,$B33),SUMIFS(全伝票!J:J,全伝票!$A:$A,$A33,全伝票!$C:$C,$C33)))</f>
        <v>0</v>
      </c>
      <c r="G33" s="702">
        <f>+IF($A33="",IF($C33="",SUMIFS(全伝票!K:K,全伝票!$B:$B,$B33),SUMIFS(全伝票!K:K,全伝票!$C:$C,$C33)),IF($C33="",SUMIFS(全伝票!K:K,全伝票!$A:$A,$A33,全伝票!$B:$B,$B33),SUMIFS(全伝票!K:K,全伝票!$A:$A,$A33,全伝票!$C:$C,$C33)))</f>
        <v>0</v>
      </c>
      <c r="H33" s="702">
        <f>+IF($A33="",IF($C33="",SUMIFS(全伝票!L:L,全伝票!$B:$B,$B33),SUMIFS(全伝票!L:L,全伝票!$C:$C,$C33)),IF($C33="",SUMIFS(全伝票!L:L,全伝票!$A:$A,$A33,全伝票!$B:$B,$B33),SUMIFS(全伝票!L:L,全伝票!$A:$A,$A33,全伝票!$C:$C,$C33)))</f>
        <v>0</v>
      </c>
      <c r="I33" s="702">
        <f>+IF($A33="",IF($C33="",SUMIFS(全伝票!M:M,全伝票!$B:$B,$B33),SUMIFS(全伝票!M:M,全伝票!$C:$C,$C33)),IF($C33="",SUMIFS(全伝票!M:M,全伝票!$A:$A,$A33,全伝票!$B:$B,$B33),SUMIFS(全伝票!M:M,全伝票!$A:$A,$A33,全伝票!$C:$C,$C33)))</f>
        <v>0</v>
      </c>
      <c r="J33" s="701">
        <f>+IF($A33="",IF($C33="",SUMIFS(全伝票!N:N,全伝票!$B:$B,$B33),SUMIFS(全伝票!N:N,全伝票!$C:$C,$C33)),IF($C33="",SUMIFS(全伝票!N:N,全伝票!$A:$A,$A33,全伝票!$B:$B,$B33),SUMIFS(全伝票!N:N,全伝票!$A:$A,$A33,全伝票!$C:$C,$C33)))</f>
        <v>0</v>
      </c>
      <c r="K33" s="664">
        <f t="shared" si="35"/>
        <v>0</v>
      </c>
      <c r="L33" s="700">
        <f>+IF($A33="",IF($C33="",SUMIFS(全伝票!O:O,全伝票!$B:$B,$B33),SUMIFS(全伝票!O:O,全伝票!$C:$C,$C33)),IF($C33="",SUMIFS(全伝票!O:O,全伝票!$A:$A,$A33,全伝票!$B:$B,$B33),SUMIFS(全伝票!O:O,全伝票!$A:$A,$A33,全伝票!$C:$C,$C33)))</f>
        <v>0</v>
      </c>
      <c r="M33" s="700">
        <f>+IF($A33="",IF($C33="",SUMIFS(全伝票!P:P,全伝票!$B:$B,$B33),SUMIFS(全伝票!P:P,全伝票!$C:$C,$C33)),IF($C33="",SUMIFS(全伝票!P:P,全伝票!$A:$A,$A33,全伝票!$B:$B,$B33),SUMIFS(全伝票!P:P,全伝票!$A:$A,$A33,全伝票!$C:$C,$C33)))</f>
        <v>0</v>
      </c>
      <c r="N33" s="662">
        <f t="shared" si="2"/>
        <v>0</v>
      </c>
      <c r="O33" s="661">
        <f t="shared" si="3"/>
        <v>0</v>
      </c>
      <c r="P33" s="661">
        <f t="shared" si="4"/>
        <v>0</v>
      </c>
      <c r="Q33" s="661">
        <f t="shared" si="4"/>
        <v>0</v>
      </c>
      <c r="R33" s="665">
        <f t="shared" si="5"/>
        <v>0</v>
      </c>
      <c r="S33" s="664">
        <f t="shared" si="6"/>
        <v>0</v>
      </c>
      <c r="T33" s="663">
        <f t="shared" si="7"/>
        <v>0</v>
      </c>
      <c r="U33" s="650">
        <f t="shared" si="8"/>
        <v>0</v>
      </c>
      <c r="V33" s="650">
        <f t="shared" si="9"/>
        <v>0</v>
      </c>
      <c r="W33" s="650">
        <f t="shared" si="10"/>
        <v>0</v>
      </c>
      <c r="X33" s="650">
        <f t="shared" si="10"/>
        <v>0</v>
      </c>
      <c r="Y33" s="650">
        <f t="shared" si="11"/>
        <v>0</v>
      </c>
      <c r="Z33" s="649">
        <f t="shared" si="12"/>
        <v>0</v>
      </c>
      <c r="AA33" s="649">
        <f t="shared" si="13"/>
        <v>0</v>
      </c>
      <c r="AB33" s="649">
        <f t="shared" si="14"/>
        <v>0</v>
      </c>
      <c r="AC33" s="649">
        <f t="shared" si="14"/>
        <v>0</v>
      </c>
      <c r="AD33" s="649">
        <f t="shared" si="15"/>
        <v>0</v>
      </c>
      <c r="AE33" s="648"/>
      <c r="AF33" s="648"/>
      <c r="AG33" s="648"/>
      <c r="AH33" s="648"/>
      <c r="AI33" s="648"/>
    </row>
    <row r="34" spans="1:35" x14ac:dyDescent="0.15">
      <c r="A34" s="670">
        <v>4</v>
      </c>
      <c r="B34" s="669">
        <v>6170402</v>
      </c>
      <c r="C34" s="668"/>
      <c r="D34" s="667" t="s">
        <v>1341</v>
      </c>
      <c r="E34" s="700">
        <f>+IF($A34="",IF($C34="",SUMIFS(全伝票!I:I,全伝票!$B:$B,$B34),SUMIFS(全伝票!I:I,全伝票!$C:$C,$C34)),IF($C34="",SUMIFS(全伝票!I:I,全伝票!$A:$A,$A34,全伝票!$B:$B,$B34),SUMIFS(全伝票!I:I,全伝票!$A:$A,$A34,全伝票!$C:$C,$C34)))</f>
        <v>0</v>
      </c>
      <c r="F34" s="703">
        <f>+IF($A34="",IF($C34="",SUMIFS(全伝票!J:J,全伝票!$B:$B,$B34),SUMIFS(全伝票!J:J,全伝票!$C:$C,$C34)),IF($C34="",SUMIFS(全伝票!J:J,全伝票!$A:$A,$A34,全伝票!$B:$B,$B34),SUMIFS(全伝票!J:J,全伝票!$A:$A,$A34,全伝票!$C:$C,$C34)))</f>
        <v>0</v>
      </c>
      <c r="G34" s="702">
        <f>+IF($A34="",IF($C34="",SUMIFS(全伝票!K:K,全伝票!$B:$B,$B34),SUMIFS(全伝票!K:K,全伝票!$C:$C,$C34)),IF($C34="",SUMIFS(全伝票!K:K,全伝票!$A:$A,$A34,全伝票!$B:$B,$B34),SUMIFS(全伝票!K:K,全伝票!$A:$A,$A34,全伝票!$C:$C,$C34)))</f>
        <v>0</v>
      </c>
      <c r="H34" s="702">
        <f>+IF($A34="",IF($C34="",SUMIFS(全伝票!L:L,全伝票!$B:$B,$B34),SUMIFS(全伝票!L:L,全伝票!$C:$C,$C34)),IF($C34="",SUMIFS(全伝票!L:L,全伝票!$A:$A,$A34,全伝票!$B:$B,$B34),SUMIFS(全伝票!L:L,全伝票!$A:$A,$A34,全伝票!$C:$C,$C34)))</f>
        <v>0</v>
      </c>
      <c r="I34" s="702">
        <f>+IF($A34="",IF($C34="",SUMIFS(全伝票!M:M,全伝票!$B:$B,$B34),SUMIFS(全伝票!M:M,全伝票!$C:$C,$C34)),IF($C34="",SUMIFS(全伝票!M:M,全伝票!$A:$A,$A34,全伝票!$B:$B,$B34),SUMIFS(全伝票!M:M,全伝票!$A:$A,$A34,全伝票!$C:$C,$C34)))</f>
        <v>0</v>
      </c>
      <c r="J34" s="701">
        <f>+IF($A34="",IF($C34="",SUMIFS(全伝票!N:N,全伝票!$B:$B,$B34),SUMIFS(全伝票!N:N,全伝票!$C:$C,$C34)),IF($C34="",SUMIFS(全伝票!N:N,全伝票!$A:$A,$A34,全伝票!$B:$B,$B34),SUMIFS(全伝票!N:N,全伝票!$A:$A,$A34,全伝票!$C:$C,$C34)))</f>
        <v>0</v>
      </c>
      <c r="K34" s="664">
        <f t="shared" si="35"/>
        <v>0</v>
      </c>
      <c r="L34" s="700">
        <f>+IF($A34="",IF($C34="",SUMIFS(全伝票!O:O,全伝票!$B:$B,$B34),SUMIFS(全伝票!O:O,全伝票!$C:$C,$C34)),IF($C34="",SUMIFS(全伝票!O:O,全伝票!$A:$A,$A34,全伝票!$B:$B,$B34),SUMIFS(全伝票!O:O,全伝票!$A:$A,$A34,全伝票!$C:$C,$C34)))</f>
        <v>0</v>
      </c>
      <c r="M34" s="700">
        <f>+IF($A34="",IF($C34="",SUMIFS(全伝票!P:P,全伝票!$B:$B,$B34),SUMIFS(全伝票!P:P,全伝票!$C:$C,$C34)),IF($C34="",SUMIFS(全伝票!P:P,全伝票!$A:$A,$A34,全伝票!$B:$B,$B34),SUMIFS(全伝票!P:P,全伝票!$A:$A,$A34,全伝票!$C:$C,$C34)))</f>
        <v>0</v>
      </c>
      <c r="N34" s="662">
        <f t="shared" si="2"/>
        <v>0</v>
      </c>
      <c r="O34" s="661">
        <f t="shared" si="3"/>
        <v>0</v>
      </c>
      <c r="P34" s="661">
        <f t="shared" si="4"/>
        <v>0</v>
      </c>
      <c r="Q34" s="661">
        <f t="shared" si="4"/>
        <v>0</v>
      </c>
      <c r="R34" s="665">
        <f t="shared" si="5"/>
        <v>0</v>
      </c>
      <c r="S34" s="664">
        <f t="shared" si="6"/>
        <v>0</v>
      </c>
      <c r="T34" s="663">
        <f t="shared" si="7"/>
        <v>0</v>
      </c>
      <c r="U34" s="650">
        <f t="shared" si="8"/>
        <v>0</v>
      </c>
      <c r="V34" s="650">
        <f t="shared" si="9"/>
        <v>0</v>
      </c>
      <c r="W34" s="650">
        <f t="shared" si="10"/>
        <v>0</v>
      </c>
      <c r="X34" s="650">
        <f t="shared" si="10"/>
        <v>0</v>
      </c>
      <c r="Y34" s="650">
        <f t="shared" si="11"/>
        <v>0</v>
      </c>
      <c r="Z34" s="649">
        <f t="shared" si="12"/>
        <v>0</v>
      </c>
      <c r="AA34" s="649">
        <f t="shared" si="13"/>
        <v>0</v>
      </c>
      <c r="AB34" s="649">
        <f t="shared" si="14"/>
        <v>0</v>
      </c>
      <c r="AC34" s="649">
        <f t="shared" si="14"/>
        <v>0</v>
      </c>
      <c r="AD34" s="649">
        <f t="shared" si="15"/>
        <v>0</v>
      </c>
      <c r="AE34" s="648"/>
      <c r="AF34" s="648"/>
      <c r="AG34" s="648"/>
      <c r="AH34" s="648"/>
      <c r="AI34" s="648"/>
    </row>
    <row r="35" spans="1:35" x14ac:dyDescent="0.15">
      <c r="A35" s="670">
        <v>4</v>
      </c>
      <c r="B35" s="669">
        <v>6170403</v>
      </c>
      <c r="C35" s="668"/>
      <c r="D35" s="667" t="s">
        <v>1342</v>
      </c>
      <c r="E35" s="700">
        <f>+IF($A35="",IF($C35="",SUMIFS(全伝票!I:I,全伝票!$B:$B,$B35),SUMIFS(全伝票!I:I,全伝票!$C:$C,$C35)),IF($C35="",SUMIFS(全伝票!I:I,全伝票!$A:$A,$A35,全伝票!$B:$B,$B35),SUMIFS(全伝票!I:I,全伝票!$A:$A,$A35,全伝票!$C:$C,$C35)))</f>
        <v>0</v>
      </c>
      <c r="F35" s="703">
        <f>+IF($A35="",IF($C35="",SUMIFS(全伝票!J:J,全伝票!$B:$B,$B35),SUMIFS(全伝票!J:J,全伝票!$C:$C,$C35)),IF($C35="",SUMIFS(全伝票!J:J,全伝票!$A:$A,$A35,全伝票!$B:$B,$B35),SUMIFS(全伝票!J:J,全伝票!$A:$A,$A35,全伝票!$C:$C,$C35)))</f>
        <v>0</v>
      </c>
      <c r="G35" s="702">
        <f>+IF($A35="",IF($C35="",SUMIFS(全伝票!K:K,全伝票!$B:$B,$B35),SUMIFS(全伝票!K:K,全伝票!$C:$C,$C35)),IF($C35="",SUMIFS(全伝票!K:K,全伝票!$A:$A,$A35,全伝票!$B:$B,$B35),SUMIFS(全伝票!K:K,全伝票!$A:$A,$A35,全伝票!$C:$C,$C35)))</f>
        <v>0</v>
      </c>
      <c r="H35" s="702">
        <f>+IF($A35="",IF($C35="",SUMIFS(全伝票!L:L,全伝票!$B:$B,$B35),SUMIFS(全伝票!L:L,全伝票!$C:$C,$C35)),IF($C35="",SUMIFS(全伝票!L:L,全伝票!$A:$A,$A35,全伝票!$B:$B,$B35),SUMIFS(全伝票!L:L,全伝票!$A:$A,$A35,全伝票!$C:$C,$C35)))</f>
        <v>0</v>
      </c>
      <c r="I35" s="702">
        <f>+IF($A35="",IF($C35="",SUMIFS(全伝票!M:M,全伝票!$B:$B,$B35),SUMIFS(全伝票!M:M,全伝票!$C:$C,$C35)),IF($C35="",SUMIFS(全伝票!M:M,全伝票!$A:$A,$A35,全伝票!$B:$B,$B35),SUMIFS(全伝票!M:M,全伝票!$A:$A,$A35,全伝票!$C:$C,$C35)))</f>
        <v>0</v>
      </c>
      <c r="J35" s="701">
        <f>+IF($A35="",IF($C35="",SUMIFS(全伝票!N:N,全伝票!$B:$B,$B35),SUMIFS(全伝票!N:N,全伝票!$C:$C,$C35)),IF($C35="",SUMIFS(全伝票!N:N,全伝票!$A:$A,$A35,全伝票!$B:$B,$B35),SUMIFS(全伝票!N:N,全伝票!$A:$A,$A35,全伝票!$C:$C,$C35)))</f>
        <v>0</v>
      </c>
      <c r="K35" s="664">
        <f t="shared" si="35"/>
        <v>0</v>
      </c>
      <c r="L35" s="700">
        <f>+IF($A35="",IF($C35="",SUMIFS(全伝票!O:O,全伝票!$B:$B,$B35),SUMIFS(全伝票!O:O,全伝票!$C:$C,$C35)),IF($C35="",SUMIFS(全伝票!O:O,全伝票!$A:$A,$A35,全伝票!$B:$B,$B35),SUMIFS(全伝票!O:O,全伝票!$A:$A,$A35,全伝票!$C:$C,$C35)))</f>
        <v>0</v>
      </c>
      <c r="M35" s="700">
        <f>+IF($A35="",IF($C35="",SUMIFS(全伝票!P:P,全伝票!$B:$B,$B35),SUMIFS(全伝票!P:P,全伝票!$C:$C,$C35)),IF($C35="",SUMIFS(全伝票!P:P,全伝票!$A:$A,$A35,全伝票!$B:$B,$B35),SUMIFS(全伝票!P:P,全伝票!$A:$A,$A35,全伝票!$C:$C,$C35)))</f>
        <v>0</v>
      </c>
      <c r="N35" s="662">
        <f t="shared" si="2"/>
        <v>0</v>
      </c>
      <c r="O35" s="661">
        <f t="shared" si="3"/>
        <v>0</v>
      </c>
      <c r="P35" s="661">
        <f t="shared" si="4"/>
        <v>0</v>
      </c>
      <c r="Q35" s="661">
        <f t="shared" si="4"/>
        <v>0</v>
      </c>
      <c r="R35" s="665">
        <f t="shared" si="5"/>
        <v>0</v>
      </c>
      <c r="S35" s="664">
        <f t="shared" si="6"/>
        <v>0</v>
      </c>
      <c r="T35" s="663">
        <f t="shared" si="7"/>
        <v>0</v>
      </c>
      <c r="U35" s="650">
        <f t="shared" si="8"/>
        <v>0</v>
      </c>
      <c r="V35" s="650">
        <f t="shared" si="9"/>
        <v>0</v>
      </c>
      <c r="W35" s="650">
        <f t="shared" si="10"/>
        <v>0</v>
      </c>
      <c r="X35" s="650">
        <f t="shared" si="10"/>
        <v>0</v>
      </c>
      <c r="Y35" s="650">
        <f t="shared" si="11"/>
        <v>0</v>
      </c>
      <c r="Z35" s="649">
        <f t="shared" si="12"/>
        <v>0</v>
      </c>
      <c r="AA35" s="649">
        <f t="shared" si="13"/>
        <v>0</v>
      </c>
      <c r="AB35" s="649">
        <f t="shared" si="14"/>
        <v>0</v>
      </c>
      <c r="AC35" s="649">
        <f t="shared" si="14"/>
        <v>0</v>
      </c>
      <c r="AD35" s="649">
        <f t="shared" si="15"/>
        <v>0</v>
      </c>
      <c r="AE35" s="648"/>
      <c r="AF35" s="648"/>
      <c r="AG35" s="648"/>
      <c r="AH35" s="648"/>
      <c r="AI35" s="648"/>
    </row>
    <row r="36" spans="1:35" x14ac:dyDescent="0.15">
      <c r="A36" s="670"/>
      <c r="B36" s="669"/>
      <c r="C36" s="668"/>
      <c r="D36" s="667"/>
      <c r="E36" s="666"/>
      <c r="F36" s="662"/>
      <c r="G36" s="661"/>
      <c r="H36" s="661"/>
      <c r="I36" s="661"/>
      <c r="J36" s="665"/>
      <c r="K36" s="664"/>
      <c r="L36" s="666"/>
      <c r="M36" s="666"/>
      <c r="N36" s="662">
        <f t="shared" si="2"/>
        <v>0</v>
      </c>
      <c r="O36" s="661">
        <f t="shared" si="3"/>
        <v>0</v>
      </c>
      <c r="P36" s="661">
        <f t="shared" si="4"/>
        <v>0</v>
      </c>
      <c r="Q36" s="661">
        <f t="shared" si="4"/>
        <v>0</v>
      </c>
      <c r="R36" s="665">
        <f t="shared" si="5"/>
        <v>0</v>
      </c>
      <c r="S36" s="664">
        <f t="shared" si="6"/>
        <v>0</v>
      </c>
      <c r="T36" s="663">
        <f t="shared" si="7"/>
        <v>0</v>
      </c>
      <c r="U36" s="650">
        <f t="shared" si="8"/>
        <v>0</v>
      </c>
      <c r="V36" s="650">
        <f t="shared" si="9"/>
        <v>0</v>
      </c>
      <c r="W36" s="650">
        <f t="shared" si="10"/>
        <v>0</v>
      </c>
      <c r="X36" s="650">
        <f t="shared" si="10"/>
        <v>0</v>
      </c>
      <c r="Y36" s="650">
        <f t="shared" si="11"/>
        <v>0</v>
      </c>
      <c r="Z36" s="649">
        <f t="shared" si="12"/>
        <v>0</v>
      </c>
      <c r="AA36" s="649">
        <f t="shared" si="13"/>
        <v>0</v>
      </c>
      <c r="AB36" s="649">
        <f t="shared" si="14"/>
        <v>0</v>
      </c>
      <c r="AC36" s="649">
        <f t="shared" si="14"/>
        <v>0</v>
      </c>
      <c r="AD36" s="649">
        <f t="shared" si="15"/>
        <v>0</v>
      </c>
      <c r="AE36" s="648"/>
      <c r="AF36" s="648"/>
      <c r="AG36" s="648"/>
      <c r="AH36" s="648"/>
      <c r="AI36" s="648"/>
    </row>
    <row r="37" spans="1:35" x14ac:dyDescent="0.15">
      <c r="A37" s="670"/>
      <c r="B37" s="669"/>
      <c r="C37" s="668"/>
      <c r="D37" s="667"/>
      <c r="E37" s="666"/>
      <c r="F37" s="662"/>
      <c r="G37" s="661"/>
      <c r="H37" s="661"/>
      <c r="I37" s="661"/>
      <c r="J37" s="665"/>
      <c r="K37" s="664"/>
      <c r="L37" s="666"/>
      <c r="M37" s="666"/>
      <c r="N37" s="662">
        <f t="shared" si="2"/>
        <v>0</v>
      </c>
      <c r="O37" s="661">
        <f t="shared" si="3"/>
        <v>0</v>
      </c>
      <c r="P37" s="661">
        <f t="shared" si="4"/>
        <v>0</v>
      </c>
      <c r="Q37" s="661">
        <f t="shared" si="4"/>
        <v>0</v>
      </c>
      <c r="R37" s="665">
        <f t="shared" si="5"/>
        <v>0</v>
      </c>
      <c r="S37" s="664">
        <f t="shared" si="6"/>
        <v>0</v>
      </c>
      <c r="T37" s="663">
        <f t="shared" si="7"/>
        <v>0</v>
      </c>
      <c r="U37" s="650">
        <f t="shared" si="8"/>
        <v>0</v>
      </c>
      <c r="V37" s="650">
        <f t="shared" si="9"/>
        <v>0</v>
      </c>
      <c r="W37" s="650">
        <f t="shared" si="10"/>
        <v>0</v>
      </c>
      <c r="X37" s="650">
        <f t="shared" si="10"/>
        <v>0</v>
      </c>
      <c r="Y37" s="650">
        <f t="shared" si="11"/>
        <v>0</v>
      </c>
      <c r="Z37" s="649">
        <f t="shared" si="12"/>
        <v>0</v>
      </c>
      <c r="AA37" s="649">
        <f t="shared" si="13"/>
        <v>0</v>
      </c>
      <c r="AB37" s="649">
        <f t="shared" si="14"/>
        <v>0</v>
      </c>
      <c r="AC37" s="649">
        <f t="shared" si="14"/>
        <v>0</v>
      </c>
      <c r="AD37" s="649">
        <f t="shared" si="15"/>
        <v>0</v>
      </c>
      <c r="AE37" s="648"/>
      <c r="AF37" s="648"/>
      <c r="AG37" s="648"/>
      <c r="AH37" s="648"/>
      <c r="AI37" s="648"/>
    </row>
    <row r="38" spans="1:35" x14ac:dyDescent="0.15">
      <c r="A38" s="670"/>
      <c r="B38" s="669"/>
      <c r="C38" s="668"/>
      <c r="D38" s="667"/>
      <c r="E38" s="666"/>
      <c r="F38" s="662"/>
      <c r="G38" s="661"/>
      <c r="H38" s="661"/>
      <c r="I38" s="661"/>
      <c r="J38" s="665"/>
      <c r="K38" s="664"/>
      <c r="L38" s="666"/>
      <c r="M38" s="666"/>
      <c r="N38" s="662">
        <f t="shared" si="2"/>
        <v>0</v>
      </c>
      <c r="O38" s="661">
        <f t="shared" si="3"/>
        <v>0</v>
      </c>
      <c r="P38" s="661">
        <f t="shared" si="4"/>
        <v>0</v>
      </c>
      <c r="Q38" s="661">
        <f t="shared" si="4"/>
        <v>0</v>
      </c>
      <c r="R38" s="665">
        <f t="shared" si="5"/>
        <v>0</v>
      </c>
      <c r="S38" s="664">
        <f t="shared" si="6"/>
        <v>0</v>
      </c>
      <c r="T38" s="663">
        <f t="shared" si="7"/>
        <v>0</v>
      </c>
      <c r="U38" s="650">
        <f t="shared" si="8"/>
        <v>0</v>
      </c>
      <c r="V38" s="650">
        <f t="shared" si="9"/>
        <v>0</v>
      </c>
      <c r="W38" s="650">
        <f t="shared" si="10"/>
        <v>0</v>
      </c>
      <c r="X38" s="650">
        <f t="shared" si="10"/>
        <v>0</v>
      </c>
      <c r="Y38" s="650">
        <f t="shared" si="11"/>
        <v>0</v>
      </c>
      <c r="Z38" s="649">
        <f t="shared" si="12"/>
        <v>0</v>
      </c>
      <c r="AA38" s="649">
        <f t="shared" si="13"/>
        <v>0</v>
      </c>
      <c r="AB38" s="649">
        <f t="shared" si="14"/>
        <v>0</v>
      </c>
      <c r="AC38" s="649">
        <f t="shared" si="14"/>
        <v>0</v>
      </c>
      <c r="AD38" s="649">
        <f t="shared" si="15"/>
        <v>0</v>
      </c>
      <c r="AE38" s="648"/>
      <c r="AF38" s="648"/>
      <c r="AG38" s="648"/>
      <c r="AH38" s="648"/>
      <c r="AI38" s="648"/>
    </row>
    <row r="39" spans="1:35" x14ac:dyDescent="0.15">
      <c r="A39" s="670"/>
      <c r="B39" s="669"/>
      <c r="C39" s="668"/>
      <c r="D39" s="667"/>
      <c r="E39" s="666"/>
      <c r="F39" s="662"/>
      <c r="G39" s="661"/>
      <c r="H39" s="661"/>
      <c r="I39" s="661"/>
      <c r="J39" s="665"/>
      <c r="K39" s="664"/>
      <c r="L39" s="666"/>
      <c r="M39" s="666"/>
      <c r="N39" s="662">
        <f t="shared" si="2"/>
        <v>0</v>
      </c>
      <c r="O39" s="661">
        <f t="shared" si="3"/>
        <v>0</v>
      </c>
      <c r="P39" s="661">
        <f t="shared" si="4"/>
        <v>0</v>
      </c>
      <c r="Q39" s="661">
        <f t="shared" si="4"/>
        <v>0</v>
      </c>
      <c r="R39" s="665">
        <f t="shared" si="5"/>
        <v>0</v>
      </c>
      <c r="S39" s="664">
        <f t="shared" si="6"/>
        <v>0</v>
      </c>
      <c r="T39" s="663">
        <f t="shared" si="7"/>
        <v>0</v>
      </c>
      <c r="U39" s="650">
        <f t="shared" si="8"/>
        <v>0</v>
      </c>
      <c r="V39" s="650">
        <f t="shared" si="9"/>
        <v>0</v>
      </c>
      <c r="W39" s="650">
        <f t="shared" si="10"/>
        <v>0</v>
      </c>
      <c r="X39" s="650">
        <f t="shared" si="10"/>
        <v>0</v>
      </c>
      <c r="Y39" s="650">
        <f t="shared" si="11"/>
        <v>0</v>
      </c>
      <c r="Z39" s="649">
        <f t="shared" si="12"/>
        <v>0</v>
      </c>
      <c r="AA39" s="649">
        <f t="shared" si="13"/>
        <v>0</v>
      </c>
      <c r="AB39" s="649">
        <f t="shared" si="14"/>
        <v>0</v>
      </c>
      <c r="AC39" s="649">
        <f t="shared" si="14"/>
        <v>0</v>
      </c>
      <c r="AD39" s="649">
        <f t="shared" si="15"/>
        <v>0</v>
      </c>
      <c r="AE39" s="648"/>
      <c r="AF39" s="648"/>
      <c r="AG39" s="648"/>
      <c r="AH39" s="648"/>
      <c r="AI39" s="648"/>
    </row>
    <row r="40" spans="1:35" ht="14.25" thickBot="1" x14ac:dyDescent="0.2">
      <c r="A40" s="660"/>
      <c r="B40" s="659"/>
      <c r="C40" s="658"/>
      <c r="D40" s="657"/>
      <c r="E40" s="656"/>
      <c r="F40" s="652"/>
      <c r="G40" s="651"/>
      <c r="H40" s="651"/>
      <c r="I40" s="651"/>
      <c r="J40" s="655"/>
      <c r="K40" s="654"/>
      <c r="L40" s="656"/>
      <c r="M40" s="656"/>
      <c r="N40" s="652">
        <f t="shared" si="2"/>
        <v>0</v>
      </c>
      <c r="O40" s="651">
        <f t="shared" si="3"/>
        <v>0</v>
      </c>
      <c r="P40" s="651">
        <f t="shared" si="4"/>
        <v>0</v>
      </c>
      <c r="Q40" s="651">
        <f t="shared" si="4"/>
        <v>0</v>
      </c>
      <c r="R40" s="655">
        <f t="shared" si="5"/>
        <v>0</v>
      </c>
      <c r="S40" s="654">
        <f t="shared" si="6"/>
        <v>0</v>
      </c>
      <c r="T40" s="653">
        <f t="shared" si="7"/>
        <v>0</v>
      </c>
      <c r="U40" s="650">
        <f t="shared" si="8"/>
        <v>0</v>
      </c>
      <c r="V40" s="650">
        <f t="shared" si="9"/>
        <v>0</v>
      </c>
      <c r="W40" s="650">
        <f t="shared" si="10"/>
        <v>0</v>
      </c>
      <c r="X40" s="650">
        <f t="shared" si="10"/>
        <v>0</v>
      </c>
      <c r="Y40" s="650">
        <f t="shared" si="11"/>
        <v>0</v>
      </c>
      <c r="Z40" s="649">
        <f t="shared" si="12"/>
        <v>0</v>
      </c>
      <c r="AA40" s="649">
        <f t="shared" si="13"/>
        <v>0</v>
      </c>
      <c r="AB40" s="649">
        <f t="shared" si="14"/>
        <v>0</v>
      </c>
      <c r="AC40" s="649">
        <f t="shared" si="14"/>
        <v>0</v>
      </c>
      <c r="AD40" s="649">
        <f t="shared" si="15"/>
        <v>0</v>
      </c>
      <c r="AE40" s="648"/>
      <c r="AF40" s="648"/>
      <c r="AG40" s="648"/>
      <c r="AH40" s="648"/>
      <c r="AI40" s="648"/>
    </row>
    <row r="41" spans="1:35" ht="14.25" thickTop="1" x14ac:dyDescent="0.15">
      <c r="A41" s="647"/>
      <c r="B41" s="646"/>
      <c r="C41" s="645"/>
      <c r="D41" s="644" t="s">
        <v>979</v>
      </c>
      <c r="E41" s="639">
        <f>SUM(E5,E24,E26)</f>
        <v>4182000</v>
      </c>
      <c r="F41" s="643">
        <f t="shared" ref="F41:S41" si="36">SUM(F6,F12,F18,F24,F26)</f>
        <v>0</v>
      </c>
      <c r="G41" s="642">
        <f t="shared" si="36"/>
        <v>0</v>
      </c>
      <c r="H41" s="642">
        <f t="shared" si="36"/>
        <v>0</v>
      </c>
      <c r="I41" s="642">
        <f t="shared" ref="I41" si="37">SUM(I6,I12,I18,I24,I26)</f>
        <v>0</v>
      </c>
      <c r="J41" s="641">
        <f t="shared" si="36"/>
        <v>0</v>
      </c>
      <c r="K41" s="634">
        <f t="shared" si="36"/>
        <v>0</v>
      </c>
      <c r="L41" s="639">
        <f t="shared" si="36"/>
        <v>0</v>
      </c>
      <c r="M41" s="639">
        <f t="shared" si="36"/>
        <v>4182000</v>
      </c>
      <c r="N41" s="636">
        <f t="shared" si="36"/>
        <v>0</v>
      </c>
      <c r="O41" s="635">
        <f t="shared" si="36"/>
        <v>0</v>
      </c>
      <c r="P41" s="635">
        <f t="shared" si="36"/>
        <v>0</v>
      </c>
      <c r="Q41" s="635">
        <f t="shared" ref="Q41" si="38">SUM(Q6,Q12,Q18,Q24,Q26)</f>
        <v>0</v>
      </c>
      <c r="R41" s="638">
        <f t="shared" si="36"/>
        <v>0</v>
      </c>
      <c r="S41" s="634">
        <f t="shared" si="36"/>
        <v>0</v>
      </c>
      <c r="T41" s="639">
        <f t="shared" ref="T41" si="39">SUM(T6,T12,T18,T24,T26)</f>
        <v>4182000</v>
      </c>
    </row>
    <row r="42" spans="1:35" x14ac:dyDescent="0.15">
      <c r="A42" s="633"/>
      <c r="B42" s="632"/>
      <c r="C42" s="631"/>
      <c r="D42" s="630" t="s">
        <v>978</v>
      </c>
      <c r="E42" s="624">
        <f t="shared" ref="E42:J42" si="40">+E41</f>
        <v>4182000</v>
      </c>
      <c r="F42" s="629">
        <f t="shared" si="40"/>
        <v>0</v>
      </c>
      <c r="G42" s="628">
        <f t="shared" si="40"/>
        <v>0</v>
      </c>
      <c r="H42" s="628">
        <f t="shared" si="40"/>
        <v>0</v>
      </c>
      <c r="I42" s="628">
        <f t="shared" si="40"/>
        <v>0</v>
      </c>
      <c r="J42" s="627">
        <f t="shared" si="40"/>
        <v>0</v>
      </c>
      <c r="K42" s="623">
        <f>SUM(F42:J42)</f>
        <v>0</v>
      </c>
      <c r="L42" s="624">
        <f>+L41</f>
        <v>0</v>
      </c>
      <c r="M42" s="624">
        <f>+M41</f>
        <v>4182000</v>
      </c>
      <c r="N42" s="740">
        <f>+'4条支出'!N23</f>
        <v>0</v>
      </c>
      <c r="O42" s="741">
        <f>+'4条支出'!O23</f>
        <v>0</v>
      </c>
      <c r="P42" s="741">
        <f>+'4条支出'!P23</f>
        <v>0</v>
      </c>
      <c r="Q42" s="741">
        <f>+'4条支出'!Q23</f>
        <v>0</v>
      </c>
      <c r="R42" s="742">
        <f>+'4条支出'!R23</f>
        <v>0</v>
      </c>
      <c r="S42" s="743">
        <f>+'4条支出'!S23</f>
        <v>0</v>
      </c>
      <c r="T42" s="744">
        <f>+'4条支出'!T23</f>
        <v>4182000</v>
      </c>
    </row>
    <row r="43" spans="1:35" x14ac:dyDescent="0.15">
      <c r="E43" s="622">
        <f t="shared" ref="E43:T43" si="41">+E42-E41</f>
        <v>0</v>
      </c>
      <c r="F43" s="622">
        <f t="shared" si="41"/>
        <v>0</v>
      </c>
      <c r="G43" s="622">
        <f t="shared" si="41"/>
        <v>0</v>
      </c>
      <c r="H43" s="622">
        <f t="shared" si="41"/>
        <v>0</v>
      </c>
      <c r="I43" s="622">
        <f t="shared" ref="I43" si="42">+I42-I41</f>
        <v>0</v>
      </c>
      <c r="J43" s="622">
        <f t="shared" si="41"/>
        <v>0</v>
      </c>
      <c r="K43" s="622">
        <f t="shared" si="41"/>
        <v>0</v>
      </c>
      <c r="L43" s="622">
        <f t="shared" si="41"/>
        <v>0</v>
      </c>
      <c r="M43" s="622">
        <f t="shared" si="41"/>
        <v>0</v>
      </c>
      <c r="N43" s="622">
        <f t="shared" si="41"/>
        <v>0</v>
      </c>
      <c r="O43" s="622">
        <f t="shared" si="41"/>
        <v>0</v>
      </c>
      <c r="P43" s="622">
        <f t="shared" si="41"/>
        <v>0</v>
      </c>
      <c r="Q43" s="622">
        <f t="shared" ref="Q43" si="43">+Q42-Q41</f>
        <v>0</v>
      </c>
      <c r="R43" s="622">
        <f t="shared" si="41"/>
        <v>0</v>
      </c>
      <c r="S43" s="622">
        <f t="shared" si="41"/>
        <v>0</v>
      </c>
      <c r="T43" s="622">
        <f t="shared" si="41"/>
        <v>0</v>
      </c>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2"/>
  <conditionalFormatting sqref="Z5:AD40">
    <cfRule type="expression" dxfId="163" priority="4">
      <formula>ABS(Z5)=1</formula>
    </cfRule>
  </conditionalFormatting>
  <conditionalFormatting sqref="AD5:AD40">
    <cfRule type="expression" dxfId="162" priority="3">
      <formula>ABS(AD5)=1</formula>
    </cfRule>
  </conditionalFormatting>
  <conditionalFormatting sqref="Z6:AC40">
    <cfRule type="expression" dxfId="161" priority="6">
      <formula>ABS(Z6)=1</formula>
    </cfRule>
  </conditionalFormatting>
  <conditionalFormatting sqref="AE6:AE14 AE16:AE40">
    <cfRule type="notContainsBlanks" dxfId="160" priority="9" stopIfTrue="1">
      <formula>LEN(TRIM(AE6))&gt;0</formula>
    </cfRule>
  </conditionalFormatting>
  <conditionalFormatting sqref="AE6:AI40">
    <cfRule type="notContainsBlanks" dxfId="159" priority="8" stopIfTrue="1">
      <formula>LEN(TRIM(AE6))&gt;0</formula>
    </cfRule>
  </conditionalFormatting>
  <conditionalFormatting sqref="AE5:AI5">
    <cfRule type="notContainsBlanks" dxfId="158" priority="7" stopIfTrue="1">
      <formula>LEN(TRIM(AE5))&gt;0</formula>
    </cfRule>
  </conditionalFormatting>
  <conditionalFormatting sqref="AA6:AC40">
    <cfRule type="expression" dxfId="157" priority="5">
      <formula>ABS(AA6)=1</formula>
    </cfRule>
  </conditionalFormatting>
  <conditionalFormatting sqref="E43:H43 J43:T43">
    <cfRule type="cellIs" dxfId="156" priority="2" operator="notEqual">
      <formula>0</formula>
    </cfRule>
  </conditionalFormatting>
  <conditionalFormatting sqref="I43">
    <cfRule type="cellIs" dxfId="155" priority="1" operator="notEqual">
      <formula>0</formula>
    </cfRule>
  </conditionalFormatting>
  <pageMargins left="0.39370078740157483" right="0.39370078740157483" top="0.78740157480314965" bottom="0.19685039370078741" header="0.39370078740157483" footer="0.19685039370078741"/>
  <pageSetup paperSize="9" scale="66" fitToHeight="2" orientation="landscape" blackAndWhite="1" r:id="rId1"/>
  <headerFooter>
    <oddFooter>&amp;L&amp;8&amp;Z&amp;F&amp;A&amp;R&amp;8&amp;D&amp;T</oddFooter>
  </headerFooter>
</worksheet>
</file>

<file path=xl/worksheets/w3_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AI43"/>
  <sheetViews>
    <sheetView topLeftCell="D1" zoomScale="80" zoomScaleNormal="80" zoomScaleSheetLayoutView="40" workbookViewId="0">
      <pane xSplit="1" ySplit="4" topLeftCell="E5" activePane="bottomRight" state="frozen"/>
      <selection activeCell="E5" sqref="E5"/>
      <selection pane="topRight" activeCell="E5" sqref="E5"/>
      <selection pane="bottomLeft" activeCell="E5" sqref="E5"/>
      <selection pane="bottomRight" activeCell="E5" sqref="E5"/>
    </sheetView>
  </sheetViews>
  <sheetFormatPr defaultColWidth="9" defaultRowHeight="13.5" outlineLevelCol="1" x14ac:dyDescent="0.15"/>
  <cols>
    <col min="1" max="1" width="4.375" style="620" customWidth="1"/>
    <col min="2" max="3" width="6.25" style="620" customWidth="1"/>
    <col min="4" max="4" width="17.625" style="620" customWidth="1"/>
    <col min="5" max="5" width="13.625" style="620" customWidth="1"/>
    <col min="6" max="6" width="11.625" style="620" customWidth="1" outlineLevel="1"/>
    <col min="7" max="7" width="12.625" style="620" customWidth="1"/>
    <col min="8" max="9" width="13.625" style="620" customWidth="1"/>
    <col min="10" max="10" width="11.625" style="620" customWidth="1"/>
    <col min="11" max="11" width="13.625" style="621" customWidth="1"/>
    <col min="12" max="13" width="13.625" style="620" customWidth="1"/>
    <col min="14" max="14" width="10.625" style="621" customWidth="1" outlineLevel="1"/>
    <col min="15" max="17" width="12.625" style="621" customWidth="1"/>
    <col min="18" max="18" width="10.625" style="621" customWidth="1"/>
    <col min="19" max="19" width="12.625" style="621" customWidth="1"/>
    <col min="20" max="20" width="13.625" style="620" customWidth="1"/>
    <col min="21" max="35" width="5.375" style="620" customWidth="1"/>
    <col min="36" max="16384" width="9" style="620"/>
  </cols>
  <sheetData>
    <row r="1" spans="1:35" x14ac:dyDescent="0.15">
      <c r="D1" s="620" t="str">
        <f>+'4条支出'!D1</f>
        <v>令和５年度決算　消費税算出資料</v>
      </c>
    </row>
    <row r="2" spans="1:35" x14ac:dyDescent="0.15">
      <c r="D2" s="620" t="s">
        <v>1333</v>
      </c>
      <c r="V2" s="686"/>
      <c r="W2" s="686"/>
      <c r="X2" s="686"/>
      <c r="Y2" s="686"/>
      <c r="Z2" s="686"/>
      <c r="AA2" s="686"/>
      <c r="AB2" s="686"/>
      <c r="AC2" s="686"/>
      <c r="AD2" s="686"/>
      <c r="AE2" s="686"/>
    </row>
    <row r="3" spans="1:35" x14ac:dyDescent="0.15">
      <c r="A3" s="762" t="s">
        <v>1007</v>
      </c>
      <c r="B3" s="764" t="s">
        <v>1006</v>
      </c>
      <c r="C3" s="766" t="s">
        <v>1005</v>
      </c>
      <c r="D3" s="768" t="s">
        <v>1004</v>
      </c>
      <c r="E3" s="768" t="s">
        <v>1003</v>
      </c>
      <c r="F3" s="770" t="s">
        <v>1002</v>
      </c>
      <c r="G3" s="771"/>
      <c r="H3" s="771"/>
      <c r="I3" s="771"/>
      <c r="J3" s="771"/>
      <c r="K3" s="772"/>
      <c r="L3" s="768" t="s">
        <v>1001</v>
      </c>
      <c r="M3" s="768" t="s">
        <v>1000</v>
      </c>
      <c r="N3" s="773" t="s">
        <v>998</v>
      </c>
      <c r="O3" s="774"/>
      <c r="P3" s="774"/>
      <c r="Q3" s="774"/>
      <c r="R3" s="774"/>
      <c r="S3" s="775"/>
      <c r="T3" s="768" t="s">
        <v>999</v>
      </c>
      <c r="U3" s="759" t="s">
        <v>997</v>
      </c>
      <c r="V3" s="760"/>
      <c r="W3" s="760"/>
      <c r="X3" s="760"/>
      <c r="Y3" s="760"/>
      <c r="Z3" s="760" t="s">
        <v>996</v>
      </c>
      <c r="AA3" s="760"/>
      <c r="AB3" s="760"/>
      <c r="AC3" s="760"/>
      <c r="AD3" s="760"/>
      <c r="AE3" s="761" t="s">
        <v>995</v>
      </c>
      <c r="AF3" s="761"/>
      <c r="AG3" s="761"/>
      <c r="AH3" s="761"/>
      <c r="AI3" s="761"/>
    </row>
    <row r="4" spans="1:35" s="686" customFormat="1" x14ac:dyDescent="0.15">
      <c r="A4" s="763"/>
      <c r="B4" s="765"/>
      <c r="C4" s="767"/>
      <c r="D4" s="769"/>
      <c r="E4" s="769"/>
      <c r="F4" s="695">
        <v>3</v>
      </c>
      <c r="G4" s="694">
        <v>5</v>
      </c>
      <c r="H4" s="694">
        <v>8</v>
      </c>
      <c r="I4" s="750">
        <v>8</v>
      </c>
      <c r="J4" s="693">
        <v>10</v>
      </c>
      <c r="K4" s="688" t="s">
        <v>979</v>
      </c>
      <c r="L4" s="769"/>
      <c r="M4" s="769"/>
      <c r="N4" s="691">
        <v>3</v>
      </c>
      <c r="O4" s="690">
        <v>5</v>
      </c>
      <c r="P4" s="690">
        <v>8</v>
      </c>
      <c r="Q4" s="750">
        <v>8</v>
      </c>
      <c r="R4" s="689">
        <v>10</v>
      </c>
      <c r="S4" s="688" t="s">
        <v>979</v>
      </c>
      <c r="T4" s="769"/>
      <c r="U4" s="687">
        <v>3</v>
      </c>
      <c r="V4" s="687">
        <v>5</v>
      </c>
      <c r="W4" s="687">
        <v>8</v>
      </c>
      <c r="X4" s="751">
        <v>8</v>
      </c>
      <c r="Y4" s="687">
        <v>10</v>
      </c>
      <c r="Z4" s="687">
        <v>3</v>
      </c>
      <c r="AA4" s="687">
        <v>5</v>
      </c>
      <c r="AB4" s="687">
        <v>8</v>
      </c>
      <c r="AC4" s="751">
        <v>8</v>
      </c>
      <c r="AD4" s="687">
        <v>10</v>
      </c>
      <c r="AE4" s="687">
        <v>3</v>
      </c>
      <c r="AF4" s="687">
        <v>5</v>
      </c>
      <c r="AG4" s="687">
        <v>8</v>
      </c>
      <c r="AH4" s="751">
        <v>8</v>
      </c>
      <c r="AI4" s="687">
        <v>10</v>
      </c>
    </row>
    <row r="5" spans="1:35" x14ac:dyDescent="0.15">
      <c r="A5" s="685"/>
      <c r="B5" s="684">
        <v>6210101</v>
      </c>
      <c r="C5" s="683"/>
      <c r="D5" s="682" t="s">
        <v>1332</v>
      </c>
      <c r="E5" s="705">
        <f>+IF($A5="",IF($C5="",SUMIFS(全伝票!I:I,全伝票!$B:$B,$B5),SUMIFS(全伝票!I:I,全伝票!$C:$C,$C5)),IF($C5="",SUMIFS(全伝票!I:I,全伝票!$A:$A,$A5,全伝票!$B:$B,$B5),SUMIFS(全伝票!I:I,全伝票!$A:$A,$A5,全伝票!$C:$C,$C5)))</f>
        <v>0</v>
      </c>
      <c r="F5" s="708">
        <f>+IF($A5="",IF($C5="",SUMIFS(全伝票!J:J,全伝票!$B:$B,$B5),SUMIFS(全伝票!J:J,全伝票!$C:$C,$C5)),IF($C5="",SUMIFS(全伝票!J:J,全伝票!$A:$A,$A5,全伝票!$B:$B,$B5),SUMIFS(全伝票!J:J,全伝票!$A:$A,$A5,全伝票!$C:$C,$C5)))</f>
        <v>0</v>
      </c>
      <c r="G5" s="707">
        <f>+IF($A5="",IF($C5="",SUMIFS(全伝票!K:K,全伝票!$B:$B,$B5),SUMIFS(全伝票!K:K,全伝票!$C:$C,$C5)),IF($C5="",SUMIFS(全伝票!K:K,全伝票!$A:$A,$A5,全伝票!$B:$B,$B5),SUMIFS(全伝票!K:K,全伝票!$A:$A,$A5,全伝票!$C:$C,$C5)))</f>
        <v>0</v>
      </c>
      <c r="H5" s="707">
        <f>+IF($A5="",IF($C5="",SUMIFS(全伝票!L:L,全伝票!$B:$B,$B5),SUMIFS(全伝票!L:L,全伝票!$C:$C,$C5)),IF($C5="",SUMIFS(全伝票!L:L,全伝票!$A:$A,$A5,全伝票!$B:$B,$B5),SUMIFS(全伝票!L:L,全伝票!$A:$A,$A5,全伝票!$C:$C,$C5)))</f>
        <v>0</v>
      </c>
      <c r="I5" s="707">
        <f>+IF($A5="",IF($C5="",SUMIFS(全伝票!M:M,全伝票!$B:$B,$B5),SUMIFS(全伝票!M:M,全伝票!$C:$C,$C5)),IF($C5="",SUMIFS(全伝票!M:M,全伝票!$A:$A,$A5,全伝票!$B:$B,$B5),SUMIFS(全伝票!M:M,全伝票!$A:$A,$A5,全伝票!$C:$C,$C5)))</f>
        <v>0</v>
      </c>
      <c r="J5" s="706">
        <f>+IF($A5="",IF($C5="",SUMIFS(全伝票!N:N,全伝票!$B:$B,$B5),SUMIFS(全伝票!N:N,全伝票!$C:$C,$C5)),IF($C5="",SUMIFS(全伝票!N:N,全伝票!$A:$A,$A5,全伝票!$B:$B,$B5),SUMIFS(全伝票!N:N,全伝票!$A:$A,$A5,全伝票!$C:$C,$C5)))</f>
        <v>0</v>
      </c>
      <c r="K5" s="677">
        <f>SUM(F5:J5)</f>
        <v>0</v>
      </c>
      <c r="L5" s="705">
        <f>+IF($A5="",IF($C5="",SUMIFS(全伝票!O:O,全伝票!$B:$B,$B5),SUMIFS(全伝票!O:O,全伝票!$C:$C,$C5)),IF($C5="",SUMIFS(全伝票!O:O,全伝票!$A:$A,$A5,全伝票!$B:$B,$B5),SUMIFS(全伝票!O:O,全伝票!$A:$A,$A5,全伝票!$C:$C,$C5)))</f>
        <v>0</v>
      </c>
      <c r="M5" s="705">
        <f>+IF($A5="",IF($C5="",SUMIFS(全伝票!P:P,全伝票!$B:$B,$B5),SUMIFS(全伝票!P:P,全伝票!$C:$C,$C5)),IF($C5="",SUMIFS(全伝票!P:P,全伝票!$A:$A,$A5,全伝票!$B:$B,$B5),SUMIFS(全伝票!P:P,全伝票!$A:$A,$A5,全伝票!$C:$C,$C5)))</f>
        <v>0</v>
      </c>
      <c r="N5" s="680">
        <f t="shared" ref="N5:N40" si="0">+ROUND(F5*F$4/(100+F$4),0)+AE5</f>
        <v>0</v>
      </c>
      <c r="O5" s="679">
        <f t="shared" ref="O5:O40" si="1">+ROUND(G5*G$4/(100+G$4),0)+AF5</f>
        <v>0</v>
      </c>
      <c r="P5" s="679">
        <f t="shared" ref="P5:Q40" si="2">+ROUND(H5*H$4/(100+H$4),0)+AG5</f>
        <v>0</v>
      </c>
      <c r="Q5" s="679">
        <f t="shared" si="2"/>
        <v>0</v>
      </c>
      <c r="R5" s="678">
        <f t="shared" ref="R5:R40" si="3">+ROUND(J5*J$4/(100+J$4),0)+AI5</f>
        <v>0</v>
      </c>
      <c r="S5" s="677">
        <f t="shared" ref="S5:S40" si="4">SUM(N5:R5)</f>
        <v>0</v>
      </c>
      <c r="T5" s="704">
        <f t="shared" ref="T5:T40" si="5">+E5-S5</f>
        <v>0</v>
      </c>
      <c r="U5" s="650">
        <f t="shared" ref="U5:U40" si="6">N5-F5*F$4/(100+F$4)</f>
        <v>0</v>
      </c>
      <c r="V5" s="650">
        <f t="shared" ref="V5:V40" si="7">O5-G5*G$4/(100+G$4)</f>
        <v>0</v>
      </c>
      <c r="W5" s="650">
        <f t="shared" ref="W5:X40" si="8">P5-H5*H$4/(100+H$4)</f>
        <v>0</v>
      </c>
      <c r="X5" s="650">
        <f t="shared" si="8"/>
        <v>0</v>
      </c>
      <c r="Y5" s="650">
        <f t="shared" ref="Y5:Y40" si="9">R5-J5*J$4/(100+J$4)</f>
        <v>0</v>
      </c>
      <c r="Z5" s="649">
        <f t="shared" ref="Z5:Z40" si="10">+IF(N$43=0,0,IF(N$43&lt;0,-RANK(U5,U$5:U$40,0),RANK(U5,U$5:U$40,1)))</f>
        <v>0</v>
      </c>
      <c r="AA5" s="649">
        <f t="shared" ref="AA5:AA40" si="11">+IF(O$43=0,0,IF(O$43&lt;0,-RANK(V5,V$5:V$40,0),RANK(V5,V$5:V$40,1)))</f>
        <v>0</v>
      </c>
      <c r="AB5" s="649">
        <f t="shared" ref="AB5:AC40" si="12">+IF(P$43=0,0,IF(P$43&lt;0,-RANK(W5,W$5:W$40,0),RANK(W5,W$5:W$40,1)))</f>
        <v>0</v>
      </c>
      <c r="AC5" s="649">
        <f t="shared" si="12"/>
        <v>0</v>
      </c>
      <c r="AD5" s="649">
        <f t="shared" ref="AD5:AD40" si="13">+IF(R$43=0,0,IF(R$43&lt;0,-RANK(Y5,Y$5:Y$40,0),RANK(Y5,Y$5:Y$40,1)))</f>
        <v>0</v>
      </c>
      <c r="AE5" s="648"/>
      <c r="AF5" s="648"/>
      <c r="AG5" s="648"/>
      <c r="AH5" s="648"/>
      <c r="AI5" s="648"/>
    </row>
    <row r="6" spans="1:35" x14ac:dyDescent="0.15">
      <c r="A6" s="670"/>
      <c r="B6" s="669"/>
      <c r="C6" s="668"/>
      <c r="D6" s="667"/>
      <c r="E6" s="666"/>
      <c r="F6" s="662"/>
      <c r="G6" s="661"/>
      <c r="H6" s="661"/>
      <c r="I6" s="661"/>
      <c r="J6" s="665"/>
      <c r="K6" s="664"/>
      <c r="L6" s="666"/>
      <c r="M6" s="666"/>
      <c r="N6" s="662">
        <f t="shared" si="0"/>
        <v>0</v>
      </c>
      <c r="O6" s="661">
        <f t="shared" si="1"/>
        <v>0</v>
      </c>
      <c r="P6" s="661">
        <f t="shared" si="2"/>
        <v>0</v>
      </c>
      <c r="Q6" s="661">
        <f t="shared" si="2"/>
        <v>0</v>
      </c>
      <c r="R6" s="665">
        <f t="shared" si="3"/>
        <v>0</v>
      </c>
      <c r="S6" s="664">
        <f t="shared" si="4"/>
        <v>0</v>
      </c>
      <c r="T6" s="663">
        <f t="shared" si="5"/>
        <v>0</v>
      </c>
      <c r="U6" s="650">
        <f t="shared" si="6"/>
        <v>0</v>
      </c>
      <c r="V6" s="650">
        <f t="shared" si="7"/>
        <v>0</v>
      </c>
      <c r="W6" s="650">
        <f t="shared" si="8"/>
        <v>0</v>
      </c>
      <c r="X6" s="650">
        <f t="shared" si="8"/>
        <v>0</v>
      </c>
      <c r="Y6" s="650">
        <f t="shared" si="9"/>
        <v>0</v>
      </c>
      <c r="Z6" s="649">
        <f t="shared" si="10"/>
        <v>0</v>
      </c>
      <c r="AA6" s="649">
        <f t="shared" si="11"/>
        <v>0</v>
      </c>
      <c r="AB6" s="649">
        <f t="shared" si="12"/>
        <v>0</v>
      </c>
      <c r="AC6" s="649">
        <f t="shared" si="12"/>
        <v>0</v>
      </c>
      <c r="AD6" s="649">
        <f t="shared" si="13"/>
        <v>0</v>
      </c>
      <c r="AE6" s="648"/>
      <c r="AF6" s="648"/>
      <c r="AG6" s="648"/>
      <c r="AH6" s="648"/>
      <c r="AI6" s="648"/>
    </row>
    <row r="7" spans="1:35" x14ac:dyDescent="0.15">
      <c r="A7" s="670"/>
      <c r="B7" s="669"/>
      <c r="C7" s="668"/>
      <c r="D7" s="667"/>
      <c r="E7" s="666"/>
      <c r="F7" s="662"/>
      <c r="G7" s="661"/>
      <c r="H7" s="661"/>
      <c r="I7" s="661"/>
      <c r="J7" s="665"/>
      <c r="K7" s="664"/>
      <c r="L7" s="666"/>
      <c r="M7" s="666"/>
      <c r="N7" s="662">
        <f t="shared" si="0"/>
        <v>0</v>
      </c>
      <c r="O7" s="661">
        <f t="shared" si="1"/>
        <v>0</v>
      </c>
      <c r="P7" s="661">
        <f t="shared" si="2"/>
        <v>0</v>
      </c>
      <c r="Q7" s="661">
        <f t="shared" si="2"/>
        <v>0</v>
      </c>
      <c r="R7" s="665">
        <f t="shared" si="3"/>
        <v>0</v>
      </c>
      <c r="S7" s="664">
        <f t="shared" si="4"/>
        <v>0</v>
      </c>
      <c r="T7" s="663">
        <f t="shared" si="5"/>
        <v>0</v>
      </c>
      <c r="U7" s="650">
        <f t="shared" si="6"/>
        <v>0</v>
      </c>
      <c r="V7" s="650">
        <f t="shared" si="7"/>
        <v>0</v>
      </c>
      <c r="W7" s="650">
        <f t="shared" si="8"/>
        <v>0</v>
      </c>
      <c r="X7" s="650">
        <f t="shared" si="8"/>
        <v>0</v>
      </c>
      <c r="Y7" s="650">
        <f t="shared" si="9"/>
        <v>0</v>
      </c>
      <c r="Z7" s="649">
        <f t="shared" si="10"/>
        <v>0</v>
      </c>
      <c r="AA7" s="649">
        <f t="shared" si="11"/>
        <v>0</v>
      </c>
      <c r="AB7" s="649">
        <f t="shared" si="12"/>
        <v>0</v>
      </c>
      <c r="AC7" s="649">
        <f t="shared" si="12"/>
        <v>0</v>
      </c>
      <c r="AD7" s="649">
        <f t="shared" si="13"/>
        <v>0</v>
      </c>
      <c r="AE7" s="648"/>
      <c r="AF7" s="648"/>
      <c r="AG7" s="648"/>
      <c r="AH7" s="648"/>
      <c r="AI7" s="648"/>
    </row>
    <row r="8" spans="1:35" x14ac:dyDescent="0.15">
      <c r="A8" s="670"/>
      <c r="B8" s="669"/>
      <c r="C8" s="668"/>
      <c r="D8" s="667"/>
      <c r="E8" s="666"/>
      <c r="F8" s="662"/>
      <c r="G8" s="661"/>
      <c r="H8" s="661"/>
      <c r="I8" s="661"/>
      <c r="J8" s="665"/>
      <c r="K8" s="664"/>
      <c r="L8" s="666"/>
      <c r="M8" s="666"/>
      <c r="N8" s="662">
        <f t="shared" si="0"/>
        <v>0</v>
      </c>
      <c r="O8" s="661">
        <f t="shared" si="1"/>
        <v>0</v>
      </c>
      <c r="P8" s="661">
        <f t="shared" si="2"/>
        <v>0</v>
      </c>
      <c r="Q8" s="661">
        <f t="shared" si="2"/>
        <v>0</v>
      </c>
      <c r="R8" s="665">
        <f t="shared" si="3"/>
        <v>0</v>
      </c>
      <c r="S8" s="664">
        <f t="shared" si="4"/>
        <v>0</v>
      </c>
      <c r="T8" s="663">
        <f t="shared" si="5"/>
        <v>0</v>
      </c>
      <c r="U8" s="650">
        <f t="shared" si="6"/>
        <v>0</v>
      </c>
      <c r="V8" s="650">
        <f t="shared" si="7"/>
        <v>0</v>
      </c>
      <c r="W8" s="650">
        <f t="shared" si="8"/>
        <v>0</v>
      </c>
      <c r="X8" s="650">
        <f t="shared" si="8"/>
        <v>0</v>
      </c>
      <c r="Y8" s="650">
        <f t="shared" si="9"/>
        <v>0</v>
      </c>
      <c r="Z8" s="649">
        <f t="shared" si="10"/>
        <v>0</v>
      </c>
      <c r="AA8" s="649">
        <f t="shared" si="11"/>
        <v>0</v>
      </c>
      <c r="AB8" s="649">
        <f t="shared" si="12"/>
        <v>0</v>
      </c>
      <c r="AC8" s="649">
        <f t="shared" si="12"/>
        <v>0</v>
      </c>
      <c r="AD8" s="649">
        <f t="shared" si="13"/>
        <v>0</v>
      </c>
      <c r="AE8" s="648"/>
      <c r="AF8" s="648"/>
      <c r="AG8" s="648"/>
      <c r="AH8" s="648"/>
      <c r="AI8" s="648"/>
    </row>
    <row r="9" spans="1:35" x14ac:dyDescent="0.15">
      <c r="A9" s="670"/>
      <c r="B9" s="669"/>
      <c r="C9" s="668"/>
      <c r="D9" s="667"/>
      <c r="E9" s="666"/>
      <c r="F9" s="662"/>
      <c r="G9" s="661"/>
      <c r="H9" s="661"/>
      <c r="I9" s="661"/>
      <c r="J9" s="665"/>
      <c r="K9" s="664"/>
      <c r="L9" s="666"/>
      <c r="M9" s="666"/>
      <c r="N9" s="662">
        <f t="shared" si="0"/>
        <v>0</v>
      </c>
      <c r="O9" s="661">
        <f t="shared" si="1"/>
        <v>0</v>
      </c>
      <c r="P9" s="661">
        <f t="shared" si="2"/>
        <v>0</v>
      </c>
      <c r="Q9" s="661">
        <f t="shared" si="2"/>
        <v>0</v>
      </c>
      <c r="R9" s="665">
        <f t="shared" si="3"/>
        <v>0</v>
      </c>
      <c r="S9" s="664">
        <f t="shared" si="4"/>
        <v>0</v>
      </c>
      <c r="T9" s="663">
        <f t="shared" si="5"/>
        <v>0</v>
      </c>
      <c r="U9" s="650">
        <f t="shared" si="6"/>
        <v>0</v>
      </c>
      <c r="V9" s="650">
        <f t="shared" si="7"/>
        <v>0</v>
      </c>
      <c r="W9" s="650">
        <f t="shared" si="8"/>
        <v>0</v>
      </c>
      <c r="X9" s="650">
        <f t="shared" si="8"/>
        <v>0</v>
      </c>
      <c r="Y9" s="650">
        <f t="shared" si="9"/>
        <v>0</v>
      </c>
      <c r="Z9" s="649">
        <f t="shared" si="10"/>
        <v>0</v>
      </c>
      <c r="AA9" s="649">
        <f t="shared" si="11"/>
        <v>0</v>
      </c>
      <c r="AB9" s="649">
        <f t="shared" si="12"/>
        <v>0</v>
      </c>
      <c r="AC9" s="649">
        <f t="shared" si="12"/>
        <v>0</v>
      </c>
      <c r="AD9" s="649">
        <f t="shared" si="13"/>
        <v>0</v>
      </c>
      <c r="AE9" s="648"/>
      <c r="AF9" s="648"/>
      <c r="AG9" s="648"/>
      <c r="AH9" s="648"/>
      <c r="AI9" s="648"/>
    </row>
    <row r="10" spans="1:35" x14ac:dyDescent="0.15">
      <c r="A10" s="670"/>
      <c r="B10" s="669"/>
      <c r="C10" s="668"/>
      <c r="D10" s="667"/>
      <c r="E10" s="666"/>
      <c r="F10" s="662"/>
      <c r="G10" s="661"/>
      <c r="H10" s="661"/>
      <c r="I10" s="661"/>
      <c r="J10" s="665"/>
      <c r="K10" s="664"/>
      <c r="L10" s="666"/>
      <c r="M10" s="666"/>
      <c r="N10" s="662">
        <f t="shared" si="0"/>
        <v>0</v>
      </c>
      <c r="O10" s="661">
        <f t="shared" si="1"/>
        <v>0</v>
      </c>
      <c r="P10" s="661">
        <f t="shared" si="2"/>
        <v>0</v>
      </c>
      <c r="Q10" s="661">
        <f t="shared" si="2"/>
        <v>0</v>
      </c>
      <c r="R10" s="665">
        <f t="shared" si="3"/>
        <v>0</v>
      </c>
      <c r="S10" s="664">
        <f t="shared" si="4"/>
        <v>0</v>
      </c>
      <c r="T10" s="663">
        <f t="shared" si="5"/>
        <v>0</v>
      </c>
      <c r="U10" s="650">
        <f t="shared" si="6"/>
        <v>0</v>
      </c>
      <c r="V10" s="650">
        <f t="shared" si="7"/>
        <v>0</v>
      </c>
      <c r="W10" s="650">
        <f t="shared" si="8"/>
        <v>0</v>
      </c>
      <c r="X10" s="650">
        <f t="shared" si="8"/>
        <v>0</v>
      </c>
      <c r="Y10" s="650">
        <f t="shared" si="9"/>
        <v>0</v>
      </c>
      <c r="Z10" s="649">
        <f t="shared" si="10"/>
        <v>0</v>
      </c>
      <c r="AA10" s="649">
        <f t="shared" si="11"/>
        <v>0</v>
      </c>
      <c r="AB10" s="649">
        <f t="shared" si="12"/>
        <v>0</v>
      </c>
      <c r="AC10" s="649">
        <f t="shared" si="12"/>
        <v>0</v>
      </c>
      <c r="AD10" s="649">
        <f t="shared" si="13"/>
        <v>0</v>
      </c>
      <c r="AE10" s="648"/>
      <c r="AF10" s="648"/>
      <c r="AG10" s="648"/>
      <c r="AH10" s="648"/>
      <c r="AI10" s="648"/>
    </row>
    <row r="11" spans="1:35" x14ac:dyDescent="0.15">
      <c r="A11" s="670"/>
      <c r="B11" s="669"/>
      <c r="C11" s="668"/>
      <c r="D11" s="667"/>
      <c r="E11" s="666"/>
      <c r="F11" s="662"/>
      <c r="G11" s="661"/>
      <c r="H11" s="661"/>
      <c r="I11" s="661"/>
      <c r="J11" s="665"/>
      <c r="K11" s="664"/>
      <c r="L11" s="666"/>
      <c r="M11" s="666"/>
      <c r="N11" s="662">
        <f t="shared" si="0"/>
        <v>0</v>
      </c>
      <c r="O11" s="661">
        <f t="shared" si="1"/>
        <v>0</v>
      </c>
      <c r="P11" s="661">
        <f t="shared" si="2"/>
        <v>0</v>
      </c>
      <c r="Q11" s="661">
        <f t="shared" si="2"/>
        <v>0</v>
      </c>
      <c r="R11" s="665">
        <f t="shared" si="3"/>
        <v>0</v>
      </c>
      <c r="S11" s="664">
        <f t="shared" si="4"/>
        <v>0</v>
      </c>
      <c r="T11" s="663">
        <f t="shared" si="5"/>
        <v>0</v>
      </c>
      <c r="U11" s="650">
        <f t="shared" si="6"/>
        <v>0</v>
      </c>
      <c r="V11" s="650">
        <f t="shared" si="7"/>
        <v>0</v>
      </c>
      <c r="W11" s="650">
        <f t="shared" si="8"/>
        <v>0</v>
      </c>
      <c r="X11" s="650">
        <f t="shared" si="8"/>
        <v>0</v>
      </c>
      <c r="Y11" s="650">
        <f t="shared" si="9"/>
        <v>0</v>
      </c>
      <c r="Z11" s="649">
        <f t="shared" si="10"/>
        <v>0</v>
      </c>
      <c r="AA11" s="649">
        <f t="shared" si="11"/>
        <v>0</v>
      </c>
      <c r="AB11" s="649">
        <f t="shared" si="12"/>
        <v>0</v>
      </c>
      <c r="AC11" s="649">
        <f t="shared" si="12"/>
        <v>0</v>
      </c>
      <c r="AD11" s="649">
        <f t="shared" si="13"/>
        <v>0</v>
      </c>
      <c r="AE11" s="648"/>
      <c r="AF11" s="648"/>
      <c r="AG11" s="648"/>
      <c r="AH11" s="648"/>
      <c r="AI11" s="648"/>
    </row>
    <row r="12" spans="1:35" x14ac:dyDescent="0.15">
      <c r="A12" s="670"/>
      <c r="B12" s="669"/>
      <c r="C12" s="668"/>
      <c r="D12" s="667"/>
      <c r="E12" s="666"/>
      <c r="F12" s="662"/>
      <c r="G12" s="661"/>
      <c r="H12" s="661"/>
      <c r="I12" s="661"/>
      <c r="J12" s="665"/>
      <c r="K12" s="664"/>
      <c r="L12" s="666"/>
      <c r="M12" s="666"/>
      <c r="N12" s="662">
        <f t="shared" si="0"/>
        <v>0</v>
      </c>
      <c r="O12" s="661">
        <f t="shared" si="1"/>
        <v>0</v>
      </c>
      <c r="P12" s="661">
        <f t="shared" si="2"/>
        <v>0</v>
      </c>
      <c r="Q12" s="661">
        <f t="shared" si="2"/>
        <v>0</v>
      </c>
      <c r="R12" s="665">
        <f t="shared" si="3"/>
        <v>0</v>
      </c>
      <c r="S12" s="664">
        <f t="shared" si="4"/>
        <v>0</v>
      </c>
      <c r="T12" s="663">
        <f t="shared" si="5"/>
        <v>0</v>
      </c>
      <c r="U12" s="650">
        <f t="shared" si="6"/>
        <v>0</v>
      </c>
      <c r="V12" s="650">
        <f t="shared" si="7"/>
        <v>0</v>
      </c>
      <c r="W12" s="650">
        <f t="shared" si="8"/>
        <v>0</v>
      </c>
      <c r="X12" s="650">
        <f t="shared" si="8"/>
        <v>0</v>
      </c>
      <c r="Y12" s="650">
        <f t="shared" si="9"/>
        <v>0</v>
      </c>
      <c r="Z12" s="649">
        <f t="shared" si="10"/>
        <v>0</v>
      </c>
      <c r="AA12" s="649">
        <f t="shared" si="11"/>
        <v>0</v>
      </c>
      <c r="AB12" s="649">
        <f t="shared" si="12"/>
        <v>0</v>
      </c>
      <c r="AC12" s="649">
        <f t="shared" si="12"/>
        <v>0</v>
      </c>
      <c r="AD12" s="649">
        <f t="shared" si="13"/>
        <v>0</v>
      </c>
      <c r="AE12" s="648"/>
      <c r="AF12" s="648"/>
      <c r="AG12" s="648"/>
      <c r="AH12" s="648"/>
      <c r="AI12" s="648"/>
    </row>
    <row r="13" spans="1:35" x14ac:dyDescent="0.15">
      <c r="A13" s="670"/>
      <c r="B13" s="669"/>
      <c r="C13" s="668"/>
      <c r="D13" s="667"/>
      <c r="E13" s="666"/>
      <c r="F13" s="662"/>
      <c r="G13" s="661"/>
      <c r="H13" s="661"/>
      <c r="I13" s="661"/>
      <c r="J13" s="665"/>
      <c r="K13" s="664"/>
      <c r="L13" s="666"/>
      <c r="M13" s="666"/>
      <c r="N13" s="662">
        <f t="shared" si="0"/>
        <v>0</v>
      </c>
      <c r="O13" s="661">
        <f t="shared" si="1"/>
        <v>0</v>
      </c>
      <c r="P13" s="661">
        <f t="shared" si="2"/>
        <v>0</v>
      </c>
      <c r="Q13" s="661">
        <f t="shared" si="2"/>
        <v>0</v>
      </c>
      <c r="R13" s="665">
        <f t="shared" si="3"/>
        <v>0</v>
      </c>
      <c r="S13" s="664">
        <f t="shared" si="4"/>
        <v>0</v>
      </c>
      <c r="T13" s="663">
        <f t="shared" si="5"/>
        <v>0</v>
      </c>
      <c r="U13" s="650">
        <f t="shared" si="6"/>
        <v>0</v>
      </c>
      <c r="V13" s="650">
        <f t="shared" si="7"/>
        <v>0</v>
      </c>
      <c r="W13" s="650">
        <f t="shared" si="8"/>
        <v>0</v>
      </c>
      <c r="X13" s="650">
        <f t="shared" si="8"/>
        <v>0</v>
      </c>
      <c r="Y13" s="650">
        <f t="shared" si="9"/>
        <v>0</v>
      </c>
      <c r="Z13" s="649">
        <f t="shared" si="10"/>
        <v>0</v>
      </c>
      <c r="AA13" s="649">
        <f t="shared" si="11"/>
        <v>0</v>
      </c>
      <c r="AB13" s="649">
        <f t="shared" si="12"/>
        <v>0</v>
      </c>
      <c r="AC13" s="649">
        <f t="shared" si="12"/>
        <v>0</v>
      </c>
      <c r="AD13" s="649">
        <f t="shared" si="13"/>
        <v>0</v>
      </c>
      <c r="AE13" s="648"/>
      <c r="AF13" s="648"/>
      <c r="AG13" s="648"/>
      <c r="AH13" s="648"/>
      <c r="AI13" s="648"/>
    </row>
    <row r="14" spans="1:35" x14ac:dyDescent="0.15">
      <c r="A14" s="670"/>
      <c r="B14" s="669"/>
      <c r="C14" s="668"/>
      <c r="D14" s="667"/>
      <c r="E14" s="666"/>
      <c r="F14" s="662"/>
      <c r="G14" s="661"/>
      <c r="H14" s="661"/>
      <c r="I14" s="661"/>
      <c r="J14" s="665"/>
      <c r="K14" s="664"/>
      <c r="L14" s="666"/>
      <c r="M14" s="666"/>
      <c r="N14" s="662">
        <f t="shared" si="0"/>
        <v>0</v>
      </c>
      <c r="O14" s="661">
        <f t="shared" si="1"/>
        <v>0</v>
      </c>
      <c r="P14" s="661">
        <f t="shared" si="2"/>
        <v>0</v>
      </c>
      <c r="Q14" s="661">
        <f t="shared" si="2"/>
        <v>0</v>
      </c>
      <c r="R14" s="665">
        <f t="shared" si="3"/>
        <v>0</v>
      </c>
      <c r="S14" s="664">
        <f t="shared" si="4"/>
        <v>0</v>
      </c>
      <c r="T14" s="663">
        <f t="shared" si="5"/>
        <v>0</v>
      </c>
      <c r="U14" s="650">
        <f t="shared" si="6"/>
        <v>0</v>
      </c>
      <c r="V14" s="650">
        <f t="shared" si="7"/>
        <v>0</v>
      </c>
      <c r="W14" s="650">
        <f t="shared" si="8"/>
        <v>0</v>
      </c>
      <c r="X14" s="650">
        <f t="shared" si="8"/>
        <v>0</v>
      </c>
      <c r="Y14" s="650">
        <f t="shared" si="9"/>
        <v>0</v>
      </c>
      <c r="Z14" s="649">
        <f t="shared" si="10"/>
        <v>0</v>
      </c>
      <c r="AA14" s="649">
        <f t="shared" si="11"/>
        <v>0</v>
      </c>
      <c r="AB14" s="649">
        <f t="shared" si="12"/>
        <v>0</v>
      </c>
      <c r="AC14" s="649">
        <f t="shared" si="12"/>
        <v>0</v>
      </c>
      <c r="AD14" s="649">
        <f t="shared" si="13"/>
        <v>0</v>
      </c>
      <c r="AE14" s="648"/>
      <c r="AF14" s="648"/>
      <c r="AG14" s="648"/>
      <c r="AH14" s="648"/>
      <c r="AI14" s="648"/>
    </row>
    <row r="15" spans="1:35" x14ac:dyDescent="0.15">
      <c r="A15" s="670"/>
      <c r="B15" s="669"/>
      <c r="C15" s="668"/>
      <c r="D15" s="667"/>
      <c r="E15" s="666"/>
      <c r="F15" s="662"/>
      <c r="G15" s="661"/>
      <c r="H15" s="661"/>
      <c r="I15" s="661"/>
      <c r="J15" s="665"/>
      <c r="K15" s="664"/>
      <c r="L15" s="666"/>
      <c r="M15" s="666"/>
      <c r="N15" s="662">
        <f t="shared" si="0"/>
        <v>0</v>
      </c>
      <c r="O15" s="661">
        <f t="shared" si="1"/>
        <v>0</v>
      </c>
      <c r="P15" s="661">
        <f t="shared" si="2"/>
        <v>0</v>
      </c>
      <c r="Q15" s="661">
        <f t="shared" si="2"/>
        <v>0</v>
      </c>
      <c r="R15" s="665">
        <f t="shared" si="3"/>
        <v>0</v>
      </c>
      <c r="S15" s="664">
        <f t="shared" si="4"/>
        <v>0</v>
      </c>
      <c r="T15" s="663">
        <f t="shared" si="5"/>
        <v>0</v>
      </c>
      <c r="U15" s="650">
        <f t="shared" si="6"/>
        <v>0</v>
      </c>
      <c r="V15" s="650">
        <f t="shared" si="7"/>
        <v>0</v>
      </c>
      <c r="W15" s="650">
        <f t="shared" si="8"/>
        <v>0</v>
      </c>
      <c r="X15" s="650">
        <f t="shared" si="8"/>
        <v>0</v>
      </c>
      <c r="Y15" s="650">
        <f t="shared" si="9"/>
        <v>0</v>
      </c>
      <c r="Z15" s="649">
        <f t="shared" si="10"/>
        <v>0</v>
      </c>
      <c r="AA15" s="649">
        <f t="shared" si="11"/>
        <v>0</v>
      </c>
      <c r="AB15" s="649">
        <f t="shared" si="12"/>
        <v>0</v>
      </c>
      <c r="AC15" s="649">
        <f t="shared" si="12"/>
        <v>0</v>
      </c>
      <c r="AD15" s="649">
        <f t="shared" si="13"/>
        <v>0</v>
      </c>
      <c r="AE15" s="648"/>
      <c r="AF15" s="648"/>
      <c r="AG15" s="648"/>
      <c r="AH15" s="648"/>
      <c r="AI15" s="648"/>
    </row>
    <row r="16" spans="1:35" x14ac:dyDescent="0.15">
      <c r="A16" s="670"/>
      <c r="B16" s="669"/>
      <c r="C16" s="668"/>
      <c r="D16" s="667"/>
      <c r="E16" s="666"/>
      <c r="F16" s="662"/>
      <c r="G16" s="661"/>
      <c r="H16" s="661"/>
      <c r="I16" s="661"/>
      <c r="J16" s="665"/>
      <c r="K16" s="664"/>
      <c r="L16" s="666"/>
      <c r="M16" s="666"/>
      <c r="N16" s="662">
        <f t="shared" si="0"/>
        <v>0</v>
      </c>
      <c r="O16" s="661">
        <f t="shared" si="1"/>
        <v>0</v>
      </c>
      <c r="P16" s="661">
        <f t="shared" si="2"/>
        <v>0</v>
      </c>
      <c r="Q16" s="661">
        <f t="shared" si="2"/>
        <v>0</v>
      </c>
      <c r="R16" s="665">
        <f t="shared" si="3"/>
        <v>0</v>
      </c>
      <c r="S16" s="664">
        <f t="shared" si="4"/>
        <v>0</v>
      </c>
      <c r="T16" s="663">
        <f t="shared" si="5"/>
        <v>0</v>
      </c>
      <c r="U16" s="650">
        <f t="shared" si="6"/>
        <v>0</v>
      </c>
      <c r="V16" s="650">
        <f t="shared" si="7"/>
        <v>0</v>
      </c>
      <c r="W16" s="650">
        <f t="shared" si="8"/>
        <v>0</v>
      </c>
      <c r="X16" s="650">
        <f t="shared" si="8"/>
        <v>0</v>
      </c>
      <c r="Y16" s="650">
        <f t="shared" si="9"/>
        <v>0</v>
      </c>
      <c r="Z16" s="649">
        <f t="shared" si="10"/>
        <v>0</v>
      </c>
      <c r="AA16" s="649">
        <f t="shared" si="11"/>
        <v>0</v>
      </c>
      <c r="AB16" s="649">
        <f t="shared" si="12"/>
        <v>0</v>
      </c>
      <c r="AC16" s="649">
        <f t="shared" si="12"/>
        <v>0</v>
      </c>
      <c r="AD16" s="649">
        <f t="shared" si="13"/>
        <v>0</v>
      </c>
      <c r="AE16" s="648"/>
      <c r="AF16" s="648"/>
      <c r="AG16" s="648"/>
      <c r="AH16" s="648"/>
      <c r="AI16" s="648"/>
    </row>
    <row r="17" spans="1:35" x14ac:dyDescent="0.15">
      <c r="A17" s="670"/>
      <c r="B17" s="669"/>
      <c r="C17" s="668"/>
      <c r="D17" s="667"/>
      <c r="E17" s="666"/>
      <c r="F17" s="662"/>
      <c r="G17" s="661"/>
      <c r="H17" s="661"/>
      <c r="I17" s="661"/>
      <c r="J17" s="665"/>
      <c r="K17" s="664"/>
      <c r="L17" s="666"/>
      <c r="M17" s="666"/>
      <c r="N17" s="662">
        <f t="shared" si="0"/>
        <v>0</v>
      </c>
      <c r="O17" s="661">
        <f t="shared" si="1"/>
        <v>0</v>
      </c>
      <c r="P17" s="661">
        <f t="shared" si="2"/>
        <v>0</v>
      </c>
      <c r="Q17" s="661">
        <f t="shared" si="2"/>
        <v>0</v>
      </c>
      <c r="R17" s="665">
        <f t="shared" si="3"/>
        <v>0</v>
      </c>
      <c r="S17" s="664">
        <f t="shared" si="4"/>
        <v>0</v>
      </c>
      <c r="T17" s="663">
        <f t="shared" si="5"/>
        <v>0</v>
      </c>
      <c r="U17" s="650">
        <f t="shared" si="6"/>
        <v>0</v>
      </c>
      <c r="V17" s="650">
        <f t="shared" si="7"/>
        <v>0</v>
      </c>
      <c r="W17" s="650">
        <f t="shared" si="8"/>
        <v>0</v>
      </c>
      <c r="X17" s="650">
        <f t="shared" si="8"/>
        <v>0</v>
      </c>
      <c r="Y17" s="650">
        <f t="shared" si="9"/>
        <v>0</v>
      </c>
      <c r="Z17" s="649">
        <f t="shared" si="10"/>
        <v>0</v>
      </c>
      <c r="AA17" s="649">
        <f t="shared" si="11"/>
        <v>0</v>
      </c>
      <c r="AB17" s="649">
        <f t="shared" si="12"/>
        <v>0</v>
      </c>
      <c r="AC17" s="649">
        <f t="shared" si="12"/>
        <v>0</v>
      </c>
      <c r="AD17" s="649">
        <f t="shared" si="13"/>
        <v>0</v>
      </c>
      <c r="AE17" s="648"/>
      <c r="AF17" s="648"/>
      <c r="AG17" s="648"/>
      <c r="AH17" s="648"/>
      <c r="AI17" s="648"/>
    </row>
    <row r="18" spans="1:35" x14ac:dyDescent="0.15">
      <c r="A18" s="670"/>
      <c r="B18" s="669"/>
      <c r="C18" s="668"/>
      <c r="D18" s="667"/>
      <c r="E18" s="666"/>
      <c r="F18" s="662"/>
      <c r="G18" s="661"/>
      <c r="H18" s="661"/>
      <c r="I18" s="661"/>
      <c r="J18" s="665"/>
      <c r="K18" s="664"/>
      <c r="L18" s="666"/>
      <c r="M18" s="666"/>
      <c r="N18" s="662">
        <f t="shared" si="0"/>
        <v>0</v>
      </c>
      <c r="O18" s="661">
        <f t="shared" si="1"/>
        <v>0</v>
      </c>
      <c r="P18" s="661">
        <f t="shared" si="2"/>
        <v>0</v>
      </c>
      <c r="Q18" s="661">
        <f t="shared" si="2"/>
        <v>0</v>
      </c>
      <c r="R18" s="665">
        <f t="shared" si="3"/>
        <v>0</v>
      </c>
      <c r="S18" s="664">
        <f t="shared" si="4"/>
        <v>0</v>
      </c>
      <c r="T18" s="663">
        <f t="shared" si="5"/>
        <v>0</v>
      </c>
      <c r="U18" s="650">
        <f t="shared" si="6"/>
        <v>0</v>
      </c>
      <c r="V18" s="650">
        <f t="shared" si="7"/>
        <v>0</v>
      </c>
      <c r="W18" s="650">
        <f t="shared" si="8"/>
        <v>0</v>
      </c>
      <c r="X18" s="650">
        <f t="shared" si="8"/>
        <v>0</v>
      </c>
      <c r="Y18" s="650">
        <f t="shared" si="9"/>
        <v>0</v>
      </c>
      <c r="Z18" s="649">
        <f t="shared" si="10"/>
        <v>0</v>
      </c>
      <c r="AA18" s="649">
        <f t="shared" si="11"/>
        <v>0</v>
      </c>
      <c r="AB18" s="649">
        <f t="shared" si="12"/>
        <v>0</v>
      </c>
      <c r="AC18" s="649">
        <f t="shared" si="12"/>
        <v>0</v>
      </c>
      <c r="AD18" s="649">
        <f t="shared" si="13"/>
        <v>0</v>
      </c>
      <c r="AE18" s="648"/>
      <c r="AF18" s="648"/>
      <c r="AG18" s="648"/>
      <c r="AH18" s="648"/>
      <c r="AI18" s="648"/>
    </row>
    <row r="19" spans="1:35" x14ac:dyDescent="0.15">
      <c r="A19" s="670"/>
      <c r="B19" s="669"/>
      <c r="C19" s="668"/>
      <c r="D19" s="667"/>
      <c r="E19" s="666"/>
      <c r="F19" s="662"/>
      <c r="G19" s="661"/>
      <c r="H19" s="661"/>
      <c r="I19" s="661"/>
      <c r="J19" s="665"/>
      <c r="K19" s="664"/>
      <c r="L19" s="666"/>
      <c r="M19" s="666"/>
      <c r="N19" s="662">
        <f t="shared" si="0"/>
        <v>0</v>
      </c>
      <c r="O19" s="661">
        <f t="shared" si="1"/>
        <v>0</v>
      </c>
      <c r="P19" s="661">
        <f t="shared" si="2"/>
        <v>0</v>
      </c>
      <c r="Q19" s="661">
        <f t="shared" si="2"/>
        <v>0</v>
      </c>
      <c r="R19" s="665">
        <f t="shared" si="3"/>
        <v>0</v>
      </c>
      <c r="S19" s="664">
        <f t="shared" si="4"/>
        <v>0</v>
      </c>
      <c r="T19" s="663">
        <f t="shared" si="5"/>
        <v>0</v>
      </c>
      <c r="U19" s="650">
        <f t="shared" si="6"/>
        <v>0</v>
      </c>
      <c r="V19" s="650">
        <f t="shared" si="7"/>
        <v>0</v>
      </c>
      <c r="W19" s="650">
        <f t="shared" si="8"/>
        <v>0</v>
      </c>
      <c r="X19" s="650">
        <f t="shared" si="8"/>
        <v>0</v>
      </c>
      <c r="Y19" s="650">
        <f t="shared" si="9"/>
        <v>0</v>
      </c>
      <c r="Z19" s="649">
        <f t="shared" si="10"/>
        <v>0</v>
      </c>
      <c r="AA19" s="649">
        <f t="shared" si="11"/>
        <v>0</v>
      </c>
      <c r="AB19" s="649">
        <f t="shared" si="12"/>
        <v>0</v>
      </c>
      <c r="AC19" s="649">
        <f t="shared" si="12"/>
        <v>0</v>
      </c>
      <c r="AD19" s="649">
        <f t="shared" si="13"/>
        <v>0</v>
      </c>
      <c r="AE19" s="648"/>
      <c r="AF19" s="648"/>
      <c r="AG19" s="648"/>
      <c r="AH19" s="648"/>
      <c r="AI19" s="648"/>
    </row>
    <row r="20" spans="1:35" x14ac:dyDescent="0.15">
      <c r="A20" s="670"/>
      <c r="B20" s="669"/>
      <c r="C20" s="668"/>
      <c r="D20" s="667"/>
      <c r="E20" s="666"/>
      <c r="F20" s="662"/>
      <c r="G20" s="661"/>
      <c r="H20" s="661"/>
      <c r="I20" s="661"/>
      <c r="J20" s="665"/>
      <c r="K20" s="664"/>
      <c r="L20" s="666"/>
      <c r="M20" s="666"/>
      <c r="N20" s="662">
        <f t="shared" si="0"/>
        <v>0</v>
      </c>
      <c r="O20" s="661">
        <f t="shared" si="1"/>
        <v>0</v>
      </c>
      <c r="P20" s="661">
        <f t="shared" si="2"/>
        <v>0</v>
      </c>
      <c r="Q20" s="661">
        <f t="shared" si="2"/>
        <v>0</v>
      </c>
      <c r="R20" s="665">
        <f t="shared" si="3"/>
        <v>0</v>
      </c>
      <c r="S20" s="664">
        <f t="shared" si="4"/>
        <v>0</v>
      </c>
      <c r="T20" s="663">
        <f t="shared" si="5"/>
        <v>0</v>
      </c>
      <c r="U20" s="650">
        <f t="shared" si="6"/>
        <v>0</v>
      </c>
      <c r="V20" s="650">
        <f t="shared" si="7"/>
        <v>0</v>
      </c>
      <c r="W20" s="650">
        <f t="shared" si="8"/>
        <v>0</v>
      </c>
      <c r="X20" s="650">
        <f t="shared" si="8"/>
        <v>0</v>
      </c>
      <c r="Y20" s="650">
        <f t="shared" si="9"/>
        <v>0</v>
      </c>
      <c r="Z20" s="649">
        <f t="shared" si="10"/>
        <v>0</v>
      </c>
      <c r="AA20" s="649">
        <f t="shared" si="11"/>
        <v>0</v>
      </c>
      <c r="AB20" s="649">
        <f t="shared" si="12"/>
        <v>0</v>
      </c>
      <c r="AC20" s="649">
        <f t="shared" si="12"/>
        <v>0</v>
      </c>
      <c r="AD20" s="649">
        <f t="shared" si="13"/>
        <v>0</v>
      </c>
      <c r="AE20" s="648"/>
      <c r="AF20" s="648"/>
      <c r="AG20" s="648"/>
      <c r="AH20" s="648"/>
      <c r="AI20" s="648"/>
    </row>
    <row r="21" spans="1:35" x14ac:dyDescent="0.15">
      <c r="A21" s="670"/>
      <c r="B21" s="669"/>
      <c r="C21" s="668"/>
      <c r="D21" s="667"/>
      <c r="E21" s="666"/>
      <c r="F21" s="662"/>
      <c r="G21" s="661"/>
      <c r="H21" s="661"/>
      <c r="I21" s="661"/>
      <c r="J21" s="665"/>
      <c r="K21" s="664"/>
      <c r="L21" s="666"/>
      <c r="M21" s="666"/>
      <c r="N21" s="662">
        <f t="shared" si="0"/>
        <v>0</v>
      </c>
      <c r="O21" s="661">
        <f t="shared" si="1"/>
        <v>0</v>
      </c>
      <c r="P21" s="661">
        <f t="shared" si="2"/>
        <v>0</v>
      </c>
      <c r="Q21" s="661">
        <f t="shared" si="2"/>
        <v>0</v>
      </c>
      <c r="R21" s="665">
        <f t="shared" si="3"/>
        <v>0</v>
      </c>
      <c r="S21" s="664">
        <f t="shared" si="4"/>
        <v>0</v>
      </c>
      <c r="T21" s="663">
        <f t="shared" si="5"/>
        <v>0</v>
      </c>
      <c r="U21" s="650">
        <f t="shared" si="6"/>
        <v>0</v>
      </c>
      <c r="V21" s="650">
        <f t="shared" si="7"/>
        <v>0</v>
      </c>
      <c r="W21" s="650">
        <f t="shared" si="8"/>
        <v>0</v>
      </c>
      <c r="X21" s="650">
        <f t="shared" si="8"/>
        <v>0</v>
      </c>
      <c r="Y21" s="650">
        <f t="shared" si="9"/>
        <v>0</v>
      </c>
      <c r="Z21" s="649">
        <f t="shared" si="10"/>
        <v>0</v>
      </c>
      <c r="AA21" s="649">
        <f t="shared" si="11"/>
        <v>0</v>
      </c>
      <c r="AB21" s="649">
        <f t="shared" si="12"/>
        <v>0</v>
      </c>
      <c r="AC21" s="649">
        <f t="shared" si="12"/>
        <v>0</v>
      </c>
      <c r="AD21" s="649">
        <f t="shared" si="13"/>
        <v>0</v>
      </c>
      <c r="AE21" s="648"/>
      <c r="AF21" s="648"/>
      <c r="AG21" s="648"/>
      <c r="AH21" s="648"/>
      <c r="AI21" s="648"/>
    </row>
    <row r="22" spans="1:35" x14ac:dyDescent="0.15">
      <c r="A22" s="670"/>
      <c r="B22" s="669"/>
      <c r="C22" s="668"/>
      <c r="D22" s="667"/>
      <c r="E22" s="666"/>
      <c r="F22" s="662"/>
      <c r="G22" s="661"/>
      <c r="H22" s="661"/>
      <c r="I22" s="661"/>
      <c r="J22" s="665"/>
      <c r="K22" s="664"/>
      <c r="L22" s="666"/>
      <c r="M22" s="666"/>
      <c r="N22" s="662">
        <f t="shared" si="0"/>
        <v>0</v>
      </c>
      <c r="O22" s="661">
        <f t="shared" si="1"/>
        <v>0</v>
      </c>
      <c r="P22" s="661">
        <f t="shared" si="2"/>
        <v>0</v>
      </c>
      <c r="Q22" s="661">
        <f t="shared" si="2"/>
        <v>0</v>
      </c>
      <c r="R22" s="665">
        <f t="shared" si="3"/>
        <v>0</v>
      </c>
      <c r="S22" s="664">
        <f t="shared" si="4"/>
        <v>0</v>
      </c>
      <c r="T22" s="663">
        <f t="shared" si="5"/>
        <v>0</v>
      </c>
      <c r="U22" s="650">
        <f t="shared" si="6"/>
        <v>0</v>
      </c>
      <c r="V22" s="650">
        <f t="shared" si="7"/>
        <v>0</v>
      </c>
      <c r="W22" s="650">
        <f t="shared" si="8"/>
        <v>0</v>
      </c>
      <c r="X22" s="650">
        <f t="shared" si="8"/>
        <v>0</v>
      </c>
      <c r="Y22" s="650">
        <f t="shared" si="9"/>
        <v>0</v>
      </c>
      <c r="Z22" s="649">
        <f t="shared" si="10"/>
        <v>0</v>
      </c>
      <c r="AA22" s="649">
        <f t="shared" si="11"/>
        <v>0</v>
      </c>
      <c r="AB22" s="649">
        <f t="shared" si="12"/>
        <v>0</v>
      </c>
      <c r="AC22" s="649">
        <f t="shared" si="12"/>
        <v>0</v>
      </c>
      <c r="AD22" s="649">
        <f t="shared" si="13"/>
        <v>0</v>
      </c>
      <c r="AE22" s="648"/>
      <c r="AF22" s="648"/>
      <c r="AG22" s="648"/>
      <c r="AH22" s="648"/>
      <c r="AI22" s="648"/>
    </row>
    <row r="23" spans="1:35" x14ac:dyDescent="0.15">
      <c r="A23" s="670"/>
      <c r="B23" s="669"/>
      <c r="C23" s="668"/>
      <c r="D23" s="667"/>
      <c r="E23" s="666"/>
      <c r="F23" s="662"/>
      <c r="G23" s="661"/>
      <c r="H23" s="661"/>
      <c r="I23" s="661"/>
      <c r="J23" s="665"/>
      <c r="K23" s="664"/>
      <c r="L23" s="666"/>
      <c r="M23" s="666"/>
      <c r="N23" s="662">
        <f t="shared" si="0"/>
        <v>0</v>
      </c>
      <c r="O23" s="661">
        <f t="shared" si="1"/>
        <v>0</v>
      </c>
      <c r="P23" s="661">
        <f t="shared" si="2"/>
        <v>0</v>
      </c>
      <c r="Q23" s="661">
        <f t="shared" si="2"/>
        <v>0</v>
      </c>
      <c r="R23" s="665">
        <f t="shared" si="3"/>
        <v>0</v>
      </c>
      <c r="S23" s="664">
        <f t="shared" si="4"/>
        <v>0</v>
      </c>
      <c r="T23" s="663">
        <f t="shared" si="5"/>
        <v>0</v>
      </c>
      <c r="U23" s="650">
        <f t="shared" si="6"/>
        <v>0</v>
      </c>
      <c r="V23" s="650">
        <f t="shared" si="7"/>
        <v>0</v>
      </c>
      <c r="W23" s="650">
        <f t="shared" si="8"/>
        <v>0</v>
      </c>
      <c r="X23" s="650">
        <f t="shared" si="8"/>
        <v>0</v>
      </c>
      <c r="Y23" s="650">
        <f t="shared" si="9"/>
        <v>0</v>
      </c>
      <c r="Z23" s="649">
        <f t="shared" si="10"/>
        <v>0</v>
      </c>
      <c r="AA23" s="649">
        <f t="shared" si="11"/>
        <v>0</v>
      </c>
      <c r="AB23" s="649">
        <f t="shared" si="12"/>
        <v>0</v>
      </c>
      <c r="AC23" s="649">
        <f t="shared" si="12"/>
        <v>0</v>
      </c>
      <c r="AD23" s="649">
        <f t="shared" si="13"/>
        <v>0</v>
      </c>
      <c r="AE23" s="648"/>
      <c r="AF23" s="648"/>
      <c r="AG23" s="648"/>
      <c r="AH23" s="648"/>
      <c r="AI23" s="648"/>
    </row>
    <row r="24" spans="1:35" x14ac:dyDescent="0.15">
      <c r="A24" s="670"/>
      <c r="B24" s="669"/>
      <c r="C24" s="668"/>
      <c r="D24" s="667"/>
      <c r="E24" s="666"/>
      <c r="F24" s="662"/>
      <c r="G24" s="661"/>
      <c r="H24" s="661"/>
      <c r="I24" s="661"/>
      <c r="J24" s="665"/>
      <c r="K24" s="664"/>
      <c r="L24" s="666"/>
      <c r="M24" s="666"/>
      <c r="N24" s="662">
        <f t="shared" si="0"/>
        <v>0</v>
      </c>
      <c r="O24" s="661">
        <f t="shared" si="1"/>
        <v>0</v>
      </c>
      <c r="P24" s="661">
        <f t="shared" si="2"/>
        <v>0</v>
      </c>
      <c r="Q24" s="661">
        <f t="shared" si="2"/>
        <v>0</v>
      </c>
      <c r="R24" s="665">
        <f t="shared" si="3"/>
        <v>0</v>
      </c>
      <c r="S24" s="664">
        <f t="shared" si="4"/>
        <v>0</v>
      </c>
      <c r="T24" s="663">
        <f t="shared" si="5"/>
        <v>0</v>
      </c>
      <c r="U24" s="650">
        <f t="shared" si="6"/>
        <v>0</v>
      </c>
      <c r="V24" s="650">
        <f t="shared" si="7"/>
        <v>0</v>
      </c>
      <c r="W24" s="650">
        <f t="shared" si="8"/>
        <v>0</v>
      </c>
      <c r="X24" s="650">
        <f t="shared" si="8"/>
        <v>0</v>
      </c>
      <c r="Y24" s="650">
        <f t="shared" si="9"/>
        <v>0</v>
      </c>
      <c r="Z24" s="649">
        <f t="shared" si="10"/>
        <v>0</v>
      </c>
      <c r="AA24" s="649">
        <f t="shared" si="11"/>
        <v>0</v>
      </c>
      <c r="AB24" s="649">
        <f t="shared" si="12"/>
        <v>0</v>
      </c>
      <c r="AC24" s="649">
        <f t="shared" si="12"/>
        <v>0</v>
      </c>
      <c r="AD24" s="649">
        <f t="shared" si="13"/>
        <v>0</v>
      </c>
      <c r="AE24" s="648"/>
      <c r="AF24" s="648"/>
      <c r="AG24" s="648"/>
      <c r="AH24" s="648"/>
      <c r="AI24" s="648"/>
    </row>
    <row r="25" spans="1:35" x14ac:dyDescent="0.15">
      <c r="A25" s="670"/>
      <c r="B25" s="669"/>
      <c r="C25" s="668"/>
      <c r="D25" s="667"/>
      <c r="E25" s="666"/>
      <c r="F25" s="662"/>
      <c r="G25" s="661"/>
      <c r="H25" s="661"/>
      <c r="I25" s="661"/>
      <c r="J25" s="665"/>
      <c r="K25" s="664"/>
      <c r="L25" s="666"/>
      <c r="M25" s="666"/>
      <c r="N25" s="662">
        <f t="shared" si="0"/>
        <v>0</v>
      </c>
      <c r="O25" s="661">
        <f t="shared" si="1"/>
        <v>0</v>
      </c>
      <c r="P25" s="661">
        <f t="shared" si="2"/>
        <v>0</v>
      </c>
      <c r="Q25" s="661">
        <f t="shared" si="2"/>
        <v>0</v>
      </c>
      <c r="R25" s="665">
        <f t="shared" si="3"/>
        <v>0</v>
      </c>
      <c r="S25" s="664">
        <f t="shared" si="4"/>
        <v>0</v>
      </c>
      <c r="T25" s="663">
        <f t="shared" si="5"/>
        <v>0</v>
      </c>
      <c r="U25" s="650">
        <f t="shared" si="6"/>
        <v>0</v>
      </c>
      <c r="V25" s="650">
        <f t="shared" si="7"/>
        <v>0</v>
      </c>
      <c r="W25" s="650">
        <f t="shared" si="8"/>
        <v>0</v>
      </c>
      <c r="X25" s="650">
        <f t="shared" si="8"/>
        <v>0</v>
      </c>
      <c r="Y25" s="650">
        <f t="shared" si="9"/>
        <v>0</v>
      </c>
      <c r="Z25" s="649">
        <f t="shared" si="10"/>
        <v>0</v>
      </c>
      <c r="AA25" s="649">
        <f t="shared" si="11"/>
        <v>0</v>
      </c>
      <c r="AB25" s="649">
        <f t="shared" si="12"/>
        <v>0</v>
      </c>
      <c r="AC25" s="649">
        <f t="shared" si="12"/>
        <v>0</v>
      </c>
      <c r="AD25" s="649">
        <f t="shared" si="13"/>
        <v>0</v>
      </c>
      <c r="AE25" s="648"/>
      <c r="AF25" s="648"/>
      <c r="AG25" s="648"/>
      <c r="AH25" s="648"/>
      <c r="AI25" s="648"/>
    </row>
    <row r="26" spans="1:35" x14ac:dyDescent="0.15">
      <c r="A26" s="670"/>
      <c r="B26" s="669"/>
      <c r="C26" s="668"/>
      <c r="D26" s="667"/>
      <c r="E26" s="666"/>
      <c r="F26" s="662"/>
      <c r="G26" s="661"/>
      <c r="H26" s="661"/>
      <c r="I26" s="661"/>
      <c r="J26" s="665"/>
      <c r="K26" s="664"/>
      <c r="L26" s="666"/>
      <c r="M26" s="666"/>
      <c r="N26" s="662">
        <f t="shared" si="0"/>
        <v>0</v>
      </c>
      <c r="O26" s="661">
        <f t="shared" si="1"/>
        <v>0</v>
      </c>
      <c r="P26" s="661">
        <f t="shared" si="2"/>
        <v>0</v>
      </c>
      <c r="Q26" s="661">
        <f t="shared" si="2"/>
        <v>0</v>
      </c>
      <c r="R26" s="665">
        <f t="shared" si="3"/>
        <v>0</v>
      </c>
      <c r="S26" s="664">
        <f t="shared" si="4"/>
        <v>0</v>
      </c>
      <c r="T26" s="663">
        <f t="shared" si="5"/>
        <v>0</v>
      </c>
      <c r="U26" s="650">
        <f t="shared" si="6"/>
        <v>0</v>
      </c>
      <c r="V26" s="650">
        <f t="shared" si="7"/>
        <v>0</v>
      </c>
      <c r="W26" s="650">
        <f t="shared" si="8"/>
        <v>0</v>
      </c>
      <c r="X26" s="650">
        <f t="shared" si="8"/>
        <v>0</v>
      </c>
      <c r="Y26" s="650">
        <f t="shared" si="9"/>
        <v>0</v>
      </c>
      <c r="Z26" s="649">
        <f t="shared" si="10"/>
        <v>0</v>
      </c>
      <c r="AA26" s="649">
        <f t="shared" si="11"/>
        <v>0</v>
      </c>
      <c r="AB26" s="649">
        <f t="shared" si="12"/>
        <v>0</v>
      </c>
      <c r="AC26" s="649">
        <f t="shared" si="12"/>
        <v>0</v>
      </c>
      <c r="AD26" s="649">
        <f t="shared" si="13"/>
        <v>0</v>
      </c>
      <c r="AE26" s="648"/>
      <c r="AF26" s="648"/>
      <c r="AG26" s="648"/>
      <c r="AH26" s="648"/>
      <c r="AI26" s="648"/>
    </row>
    <row r="27" spans="1:35" x14ac:dyDescent="0.15">
      <c r="A27" s="670"/>
      <c r="B27" s="669"/>
      <c r="C27" s="668"/>
      <c r="D27" s="667"/>
      <c r="E27" s="666"/>
      <c r="F27" s="662"/>
      <c r="G27" s="661"/>
      <c r="H27" s="661"/>
      <c r="I27" s="661"/>
      <c r="J27" s="665"/>
      <c r="K27" s="664"/>
      <c r="L27" s="666"/>
      <c r="M27" s="666"/>
      <c r="N27" s="662">
        <f t="shared" si="0"/>
        <v>0</v>
      </c>
      <c r="O27" s="661">
        <f t="shared" si="1"/>
        <v>0</v>
      </c>
      <c r="P27" s="661">
        <f t="shared" si="2"/>
        <v>0</v>
      </c>
      <c r="Q27" s="661">
        <f t="shared" si="2"/>
        <v>0</v>
      </c>
      <c r="R27" s="665">
        <f t="shared" si="3"/>
        <v>0</v>
      </c>
      <c r="S27" s="664">
        <f t="shared" si="4"/>
        <v>0</v>
      </c>
      <c r="T27" s="663">
        <f t="shared" si="5"/>
        <v>0</v>
      </c>
      <c r="U27" s="650">
        <f t="shared" si="6"/>
        <v>0</v>
      </c>
      <c r="V27" s="650">
        <f t="shared" si="7"/>
        <v>0</v>
      </c>
      <c r="W27" s="650">
        <f t="shared" si="8"/>
        <v>0</v>
      </c>
      <c r="X27" s="650">
        <f t="shared" si="8"/>
        <v>0</v>
      </c>
      <c r="Y27" s="650">
        <f t="shared" si="9"/>
        <v>0</v>
      </c>
      <c r="Z27" s="649">
        <f t="shared" si="10"/>
        <v>0</v>
      </c>
      <c r="AA27" s="649">
        <f t="shared" si="11"/>
        <v>0</v>
      </c>
      <c r="AB27" s="649">
        <f t="shared" si="12"/>
        <v>0</v>
      </c>
      <c r="AC27" s="649">
        <f t="shared" si="12"/>
        <v>0</v>
      </c>
      <c r="AD27" s="649">
        <f t="shared" si="13"/>
        <v>0</v>
      </c>
      <c r="AE27" s="648"/>
      <c r="AF27" s="648"/>
      <c r="AG27" s="648"/>
      <c r="AH27" s="648"/>
      <c r="AI27" s="648"/>
    </row>
    <row r="28" spans="1:35" x14ac:dyDescent="0.15">
      <c r="A28" s="670"/>
      <c r="B28" s="669"/>
      <c r="C28" s="668"/>
      <c r="D28" s="667"/>
      <c r="E28" s="666"/>
      <c r="F28" s="662"/>
      <c r="G28" s="661"/>
      <c r="H28" s="661"/>
      <c r="I28" s="661"/>
      <c r="J28" s="665"/>
      <c r="K28" s="664"/>
      <c r="L28" s="666"/>
      <c r="M28" s="666"/>
      <c r="N28" s="662">
        <f t="shared" si="0"/>
        <v>0</v>
      </c>
      <c r="O28" s="661">
        <f t="shared" si="1"/>
        <v>0</v>
      </c>
      <c r="P28" s="661">
        <f t="shared" si="2"/>
        <v>0</v>
      </c>
      <c r="Q28" s="661">
        <f t="shared" si="2"/>
        <v>0</v>
      </c>
      <c r="R28" s="665">
        <f t="shared" si="3"/>
        <v>0</v>
      </c>
      <c r="S28" s="664">
        <f t="shared" si="4"/>
        <v>0</v>
      </c>
      <c r="T28" s="663">
        <f t="shared" si="5"/>
        <v>0</v>
      </c>
      <c r="U28" s="650">
        <f t="shared" si="6"/>
        <v>0</v>
      </c>
      <c r="V28" s="650">
        <f t="shared" si="7"/>
        <v>0</v>
      </c>
      <c r="W28" s="650">
        <f t="shared" si="8"/>
        <v>0</v>
      </c>
      <c r="X28" s="650">
        <f t="shared" si="8"/>
        <v>0</v>
      </c>
      <c r="Y28" s="650">
        <f t="shared" si="9"/>
        <v>0</v>
      </c>
      <c r="Z28" s="649">
        <f t="shared" si="10"/>
        <v>0</v>
      </c>
      <c r="AA28" s="649">
        <f t="shared" si="11"/>
        <v>0</v>
      </c>
      <c r="AB28" s="649">
        <f t="shared" si="12"/>
        <v>0</v>
      </c>
      <c r="AC28" s="649">
        <f t="shared" si="12"/>
        <v>0</v>
      </c>
      <c r="AD28" s="649">
        <f t="shared" si="13"/>
        <v>0</v>
      </c>
      <c r="AE28" s="648"/>
      <c r="AF28" s="648"/>
      <c r="AG28" s="648"/>
      <c r="AH28" s="648"/>
      <c r="AI28" s="648"/>
    </row>
    <row r="29" spans="1:35" x14ac:dyDescent="0.15">
      <c r="A29" s="670"/>
      <c r="B29" s="669"/>
      <c r="C29" s="668"/>
      <c r="D29" s="667"/>
      <c r="E29" s="666"/>
      <c r="F29" s="662"/>
      <c r="G29" s="661"/>
      <c r="H29" s="661"/>
      <c r="I29" s="661"/>
      <c r="J29" s="665"/>
      <c r="K29" s="664"/>
      <c r="L29" s="666"/>
      <c r="M29" s="666"/>
      <c r="N29" s="662">
        <f t="shared" si="0"/>
        <v>0</v>
      </c>
      <c r="O29" s="661">
        <f t="shared" si="1"/>
        <v>0</v>
      </c>
      <c r="P29" s="661">
        <f t="shared" si="2"/>
        <v>0</v>
      </c>
      <c r="Q29" s="661">
        <f t="shared" si="2"/>
        <v>0</v>
      </c>
      <c r="R29" s="665">
        <f t="shared" si="3"/>
        <v>0</v>
      </c>
      <c r="S29" s="664">
        <f t="shared" si="4"/>
        <v>0</v>
      </c>
      <c r="T29" s="663">
        <f t="shared" si="5"/>
        <v>0</v>
      </c>
      <c r="U29" s="650">
        <f t="shared" si="6"/>
        <v>0</v>
      </c>
      <c r="V29" s="650">
        <f t="shared" si="7"/>
        <v>0</v>
      </c>
      <c r="W29" s="650">
        <f t="shared" si="8"/>
        <v>0</v>
      </c>
      <c r="X29" s="650">
        <f t="shared" si="8"/>
        <v>0</v>
      </c>
      <c r="Y29" s="650">
        <f t="shared" si="9"/>
        <v>0</v>
      </c>
      <c r="Z29" s="649">
        <f t="shared" si="10"/>
        <v>0</v>
      </c>
      <c r="AA29" s="649">
        <f t="shared" si="11"/>
        <v>0</v>
      </c>
      <c r="AB29" s="649">
        <f t="shared" si="12"/>
        <v>0</v>
      </c>
      <c r="AC29" s="649">
        <f t="shared" si="12"/>
        <v>0</v>
      </c>
      <c r="AD29" s="649">
        <f t="shared" si="13"/>
        <v>0</v>
      </c>
      <c r="AE29" s="648"/>
      <c r="AF29" s="648"/>
      <c r="AG29" s="648"/>
      <c r="AH29" s="648"/>
      <c r="AI29" s="648"/>
    </row>
    <row r="30" spans="1:35" x14ac:dyDescent="0.15">
      <c r="A30" s="670"/>
      <c r="B30" s="669"/>
      <c r="C30" s="668"/>
      <c r="D30" s="667"/>
      <c r="E30" s="666"/>
      <c r="F30" s="662"/>
      <c r="G30" s="661"/>
      <c r="H30" s="661"/>
      <c r="I30" s="661"/>
      <c r="J30" s="665"/>
      <c r="K30" s="664"/>
      <c r="L30" s="666"/>
      <c r="M30" s="666"/>
      <c r="N30" s="662">
        <f t="shared" si="0"/>
        <v>0</v>
      </c>
      <c r="O30" s="661">
        <f t="shared" si="1"/>
        <v>0</v>
      </c>
      <c r="P30" s="661">
        <f t="shared" si="2"/>
        <v>0</v>
      </c>
      <c r="Q30" s="661">
        <f t="shared" si="2"/>
        <v>0</v>
      </c>
      <c r="R30" s="665">
        <f t="shared" si="3"/>
        <v>0</v>
      </c>
      <c r="S30" s="664">
        <f t="shared" si="4"/>
        <v>0</v>
      </c>
      <c r="T30" s="663">
        <f t="shared" si="5"/>
        <v>0</v>
      </c>
      <c r="U30" s="650">
        <f t="shared" si="6"/>
        <v>0</v>
      </c>
      <c r="V30" s="650">
        <f t="shared" si="7"/>
        <v>0</v>
      </c>
      <c r="W30" s="650">
        <f t="shared" si="8"/>
        <v>0</v>
      </c>
      <c r="X30" s="650">
        <f t="shared" si="8"/>
        <v>0</v>
      </c>
      <c r="Y30" s="650">
        <f t="shared" si="9"/>
        <v>0</v>
      </c>
      <c r="Z30" s="649">
        <f t="shared" si="10"/>
        <v>0</v>
      </c>
      <c r="AA30" s="649">
        <f t="shared" si="11"/>
        <v>0</v>
      </c>
      <c r="AB30" s="649">
        <f t="shared" si="12"/>
        <v>0</v>
      </c>
      <c r="AC30" s="649">
        <f t="shared" si="12"/>
        <v>0</v>
      </c>
      <c r="AD30" s="649">
        <f t="shared" si="13"/>
        <v>0</v>
      </c>
      <c r="AE30" s="648"/>
      <c r="AF30" s="648"/>
      <c r="AG30" s="648"/>
      <c r="AH30" s="648"/>
      <c r="AI30" s="648"/>
    </row>
    <row r="31" spans="1:35" x14ac:dyDescent="0.15">
      <c r="A31" s="670"/>
      <c r="B31" s="669"/>
      <c r="C31" s="668"/>
      <c r="D31" s="667"/>
      <c r="E31" s="666"/>
      <c r="F31" s="662"/>
      <c r="G31" s="661"/>
      <c r="H31" s="661"/>
      <c r="I31" s="661"/>
      <c r="J31" s="665"/>
      <c r="K31" s="664"/>
      <c r="L31" s="666"/>
      <c r="M31" s="666"/>
      <c r="N31" s="662">
        <f t="shared" si="0"/>
        <v>0</v>
      </c>
      <c r="O31" s="661">
        <f t="shared" si="1"/>
        <v>0</v>
      </c>
      <c r="P31" s="661">
        <f t="shared" si="2"/>
        <v>0</v>
      </c>
      <c r="Q31" s="661">
        <f t="shared" si="2"/>
        <v>0</v>
      </c>
      <c r="R31" s="665">
        <f t="shared" si="3"/>
        <v>0</v>
      </c>
      <c r="S31" s="664">
        <f t="shared" si="4"/>
        <v>0</v>
      </c>
      <c r="T31" s="663">
        <f t="shared" si="5"/>
        <v>0</v>
      </c>
      <c r="U31" s="650">
        <f t="shared" si="6"/>
        <v>0</v>
      </c>
      <c r="V31" s="650">
        <f t="shared" si="7"/>
        <v>0</v>
      </c>
      <c r="W31" s="650">
        <f t="shared" si="8"/>
        <v>0</v>
      </c>
      <c r="X31" s="650">
        <f t="shared" si="8"/>
        <v>0</v>
      </c>
      <c r="Y31" s="650">
        <f t="shared" si="9"/>
        <v>0</v>
      </c>
      <c r="Z31" s="649">
        <f t="shared" si="10"/>
        <v>0</v>
      </c>
      <c r="AA31" s="649">
        <f t="shared" si="11"/>
        <v>0</v>
      </c>
      <c r="AB31" s="649">
        <f t="shared" si="12"/>
        <v>0</v>
      </c>
      <c r="AC31" s="649">
        <f t="shared" si="12"/>
        <v>0</v>
      </c>
      <c r="AD31" s="649">
        <f t="shared" si="13"/>
        <v>0</v>
      </c>
      <c r="AE31" s="648"/>
      <c r="AF31" s="648"/>
      <c r="AG31" s="648"/>
      <c r="AH31" s="648"/>
      <c r="AI31" s="648"/>
    </row>
    <row r="32" spans="1:35" x14ac:dyDescent="0.15">
      <c r="A32" s="670"/>
      <c r="B32" s="669"/>
      <c r="C32" s="668"/>
      <c r="D32" s="667"/>
      <c r="E32" s="666"/>
      <c r="F32" s="662"/>
      <c r="G32" s="661"/>
      <c r="H32" s="661"/>
      <c r="I32" s="661"/>
      <c r="J32" s="665"/>
      <c r="K32" s="664"/>
      <c r="L32" s="666"/>
      <c r="M32" s="666"/>
      <c r="N32" s="662">
        <f t="shared" si="0"/>
        <v>0</v>
      </c>
      <c r="O32" s="661">
        <f t="shared" si="1"/>
        <v>0</v>
      </c>
      <c r="P32" s="661">
        <f t="shared" si="2"/>
        <v>0</v>
      </c>
      <c r="Q32" s="661">
        <f t="shared" si="2"/>
        <v>0</v>
      </c>
      <c r="R32" s="665">
        <f t="shared" si="3"/>
        <v>0</v>
      </c>
      <c r="S32" s="664">
        <f t="shared" si="4"/>
        <v>0</v>
      </c>
      <c r="T32" s="663">
        <f t="shared" si="5"/>
        <v>0</v>
      </c>
      <c r="U32" s="650">
        <f t="shared" si="6"/>
        <v>0</v>
      </c>
      <c r="V32" s="650">
        <f t="shared" si="7"/>
        <v>0</v>
      </c>
      <c r="W32" s="650">
        <f t="shared" si="8"/>
        <v>0</v>
      </c>
      <c r="X32" s="650">
        <f t="shared" si="8"/>
        <v>0</v>
      </c>
      <c r="Y32" s="650">
        <f t="shared" si="9"/>
        <v>0</v>
      </c>
      <c r="Z32" s="649">
        <f t="shared" si="10"/>
        <v>0</v>
      </c>
      <c r="AA32" s="649">
        <f t="shared" si="11"/>
        <v>0</v>
      </c>
      <c r="AB32" s="649">
        <f t="shared" si="12"/>
        <v>0</v>
      </c>
      <c r="AC32" s="649">
        <f t="shared" si="12"/>
        <v>0</v>
      </c>
      <c r="AD32" s="649">
        <f t="shared" si="13"/>
        <v>0</v>
      </c>
      <c r="AE32" s="648"/>
      <c r="AF32" s="648"/>
      <c r="AG32" s="648"/>
      <c r="AH32" s="648"/>
      <c r="AI32" s="648"/>
    </row>
    <row r="33" spans="1:35" x14ac:dyDescent="0.15">
      <c r="A33" s="670"/>
      <c r="B33" s="669"/>
      <c r="C33" s="668"/>
      <c r="D33" s="667"/>
      <c r="E33" s="666"/>
      <c r="F33" s="662"/>
      <c r="G33" s="661"/>
      <c r="H33" s="661"/>
      <c r="I33" s="661"/>
      <c r="J33" s="665"/>
      <c r="K33" s="664"/>
      <c r="L33" s="666"/>
      <c r="M33" s="666"/>
      <c r="N33" s="662">
        <f t="shared" si="0"/>
        <v>0</v>
      </c>
      <c r="O33" s="661">
        <f t="shared" si="1"/>
        <v>0</v>
      </c>
      <c r="P33" s="661">
        <f t="shared" si="2"/>
        <v>0</v>
      </c>
      <c r="Q33" s="661">
        <f t="shared" si="2"/>
        <v>0</v>
      </c>
      <c r="R33" s="665">
        <f t="shared" si="3"/>
        <v>0</v>
      </c>
      <c r="S33" s="664">
        <f t="shared" si="4"/>
        <v>0</v>
      </c>
      <c r="T33" s="663">
        <f t="shared" si="5"/>
        <v>0</v>
      </c>
      <c r="U33" s="650">
        <f t="shared" si="6"/>
        <v>0</v>
      </c>
      <c r="V33" s="650">
        <f t="shared" si="7"/>
        <v>0</v>
      </c>
      <c r="W33" s="650">
        <f t="shared" si="8"/>
        <v>0</v>
      </c>
      <c r="X33" s="650">
        <f t="shared" si="8"/>
        <v>0</v>
      </c>
      <c r="Y33" s="650">
        <f t="shared" si="9"/>
        <v>0</v>
      </c>
      <c r="Z33" s="649">
        <f t="shared" si="10"/>
        <v>0</v>
      </c>
      <c r="AA33" s="649">
        <f t="shared" si="11"/>
        <v>0</v>
      </c>
      <c r="AB33" s="649">
        <f t="shared" si="12"/>
        <v>0</v>
      </c>
      <c r="AC33" s="649">
        <f t="shared" si="12"/>
        <v>0</v>
      </c>
      <c r="AD33" s="649">
        <f t="shared" si="13"/>
        <v>0</v>
      </c>
      <c r="AE33" s="648"/>
      <c r="AF33" s="648"/>
      <c r="AG33" s="648"/>
      <c r="AH33" s="648"/>
      <c r="AI33" s="648"/>
    </row>
    <row r="34" spans="1:35" x14ac:dyDescent="0.15">
      <c r="A34" s="670"/>
      <c r="B34" s="669"/>
      <c r="C34" s="668"/>
      <c r="D34" s="667"/>
      <c r="E34" s="666"/>
      <c r="F34" s="662"/>
      <c r="G34" s="661"/>
      <c r="H34" s="661"/>
      <c r="I34" s="661"/>
      <c r="J34" s="665"/>
      <c r="K34" s="664"/>
      <c r="L34" s="666"/>
      <c r="M34" s="666"/>
      <c r="N34" s="662">
        <f t="shared" si="0"/>
        <v>0</v>
      </c>
      <c r="O34" s="661">
        <f t="shared" si="1"/>
        <v>0</v>
      </c>
      <c r="P34" s="661">
        <f t="shared" si="2"/>
        <v>0</v>
      </c>
      <c r="Q34" s="661">
        <f t="shared" si="2"/>
        <v>0</v>
      </c>
      <c r="R34" s="665">
        <f t="shared" si="3"/>
        <v>0</v>
      </c>
      <c r="S34" s="664">
        <f t="shared" si="4"/>
        <v>0</v>
      </c>
      <c r="T34" s="663">
        <f t="shared" si="5"/>
        <v>0</v>
      </c>
      <c r="U34" s="650">
        <f t="shared" si="6"/>
        <v>0</v>
      </c>
      <c r="V34" s="650">
        <f t="shared" si="7"/>
        <v>0</v>
      </c>
      <c r="W34" s="650">
        <f t="shared" si="8"/>
        <v>0</v>
      </c>
      <c r="X34" s="650">
        <f t="shared" si="8"/>
        <v>0</v>
      </c>
      <c r="Y34" s="650">
        <f t="shared" si="9"/>
        <v>0</v>
      </c>
      <c r="Z34" s="649">
        <f t="shared" si="10"/>
        <v>0</v>
      </c>
      <c r="AA34" s="649">
        <f t="shared" si="11"/>
        <v>0</v>
      </c>
      <c r="AB34" s="649">
        <f t="shared" si="12"/>
        <v>0</v>
      </c>
      <c r="AC34" s="649">
        <f t="shared" si="12"/>
        <v>0</v>
      </c>
      <c r="AD34" s="649">
        <f t="shared" si="13"/>
        <v>0</v>
      </c>
      <c r="AE34" s="648"/>
      <c r="AF34" s="648"/>
      <c r="AG34" s="648"/>
      <c r="AH34" s="648"/>
      <c r="AI34" s="648"/>
    </row>
    <row r="35" spans="1:35" x14ac:dyDescent="0.15">
      <c r="A35" s="670"/>
      <c r="B35" s="669"/>
      <c r="C35" s="668"/>
      <c r="D35" s="667"/>
      <c r="E35" s="666"/>
      <c r="F35" s="662"/>
      <c r="G35" s="661"/>
      <c r="H35" s="661"/>
      <c r="I35" s="661"/>
      <c r="J35" s="665"/>
      <c r="K35" s="664"/>
      <c r="L35" s="666"/>
      <c r="M35" s="666"/>
      <c r="N35" s="662">
        <f t="shared" si="0"/>
        <v>0</v>
      </c>
      <c r="O35" s="661">
        <f t="shared" si="1"/>
        <v>0</v>
      </c>
      <c r="P35" s="661">
        <f t="shared" si="2"/>
        <v>0</v>
      </c>
      <c r="Q35" s="661">
        <f t="shared" si="2"/>
        <v>0</v>
      </c>
      <c r="R35" s="665">
        <f t="shared" si="3"/>
        <v>0</v>
      </c>
      <c r="S35" s="664">
        <f t="shared" si="4"/>
        <v>0</v>
      </c>
      <c r="T35" s="663">
        <f t="shared" si="5"/>
        <v>0</v>
      </c>
      <c r="U35" s="650">
        <f t="shared" si="6"/>
        <v>0</v>
      </c>
      <c r="V35" s="650">
        <f t="shared" si="7"/>
        <v>0</v>
      </c>
      <c r="W35" s="650">
        <f t="shared" si="8"/>
        <v>0</v>
      </c>
      <c r="X35" s="650">
        <f t="shared" si="8"/>
        <v>0</v>
      </c>
      <c r="Y35" s="650">
        <f t="shared" si="9"/>
        <v>0</v>
      </c>
      <c r="Z35" s="649">
        <f t="shared" si="10"/>
        <v>0</v>
      </c>
      <c r="AA35" s="649">
        <f t="shared" si="11"/>
        <v>0</v>
      </c>
      <c r="AB35" s="649">
        <f t="shared" si="12"/>
        <v>0</v>
      </c>
      <c r="AC35" s="649">
        <f t="shared" si="12"/>
        <v>0</v>
      </c>
      <c r="AD35" s="649">
        <f t="shared" si="13"/>
        <v>0</v>
      </c>
      <c r="AE35" s="648"/>
      <c r="AF35" s="648"/>
      <c r="AG35" s="648"/>
      <c r="AH35" s="648"/>
      <c r="AI35" s="648"/>
    </row>
    <row r="36" spans="1:35" x14ac:dyDescent="0.15">
      <c r="A36" s="670"/>
      <c r="B36" s="669"/>
      <c r="C36" s="668"/>
      <c r="D36" s="667"/>
      <c r="E36" s="666"/>
      <c r="F36" s="662"/>
      <c r="G36" s="661"/>
      <c r="H36" s="661"/>
      <c r="I36" s="661"/>
      <c r="J36" s="665"/>
      <c r="K36" s="664"/>
      <c r="L36" s="666"/>
      <c r="M36" s="666"/>
      <c r="N36" s="662">
        <f t="shared" si="0"/>
        <v>0</v>
      </c>
      <c r="O36" s="661">
        <f t="shared" si="1"/>
        <v>0</v>
      </c>
      <c r="P36" s="661">
        <f t="shared" si="2"/>
        <v>0</v>
      </c>
      <c r="Q36" s="661">
        <f t="shared" si="2"/>
        <v>0</v>
      </c>
      <c r="R36" s="665">
        <f t="shared" si="3"/>
        <v>0</v>
      </c>
      <c r="S36" s="664">
        <f t="shared" si="4"/>
        <v>0</v>
      </c>
      <c r="T36" s="663">
        <f t="shared" si="5"/>
        <v>0</v>
      </c>
      <c r="U36" s="650">
        <f t="shared" si="6"/>
        <v>0</v>
      </c>
      <c r="V36" s="650">
        <f t="shared" si="7"/>
        <v>0</v>
      </c>
      <c r="W36" s="650">
        <f t="shared" si="8"/>
        <v>0</v>
      </c>
      <c r="X36" s="650">
        <f t="shared" si="8"/>
        <v>0</v>
      </c>
      <c r="Y36" s="650">
        <f t="shared" si="9"/>
        <v>0</v>
      </c>
      <c r="Z36" s="649">
        <f t="shared" si="10"/>
        <v>0</v>
      </c>
      <c r="AA36" s="649">
        <f t="shared" si="11"/>
        <v>0</v>
      </c>
      <c r="AB36" s="649">
        <f t="shared" si="12"/>
        <v>0</v>
      </c>
      <c r="AC36" s="649">
        <f t="shared" si="12"/>
        <v>0</v>
      </c>
      <c r="AD36" s="649">
        <f t="shared" si="13"/>
        <v>0</v>
      </c>
      <c r="AE36" s="648"/>
      <c r="AF36" s="648"/>
      <c r="AG36" s="648"/>
      <c r="AH36" s="648"/>
      <c r="AI36" s="648"/>
    </row>
    <row r="37" spans="1:35" x14ac:dyDescent="0.15">
      <c r="A37" s="670"/>
      <c r="B37" s="669"/>
      <c r="C37" s="668"/>
      <c r="D37" s="667"/>
      <c r="E37" s="666"/>
      <c r="F37" s="662"/>
      <c r="G37" s="661"/>
      <c r="H37" s="661"/>
      <c r="I37" s="661"/>
      <c r="J37" s="665"/>
      <c r="K37" s="664"/>
      <c r="L37" s="666"/>
      <c r="M37" s="666"/>
      <c r="N37" s="662">
        <f t="shared" si="0"/>
        <v>0</v>
      </c>
      <c r="O37" s="661">
        <f t="shared" si="1"/>
        <v>0</v>
      </c>
      <c r="P37" s="661">
        <f t="shared" si="2"/>
        <v>0</v>
      </c>
      <c r="Q37" s="661">
        <f t="shared" si="2"/>
        <v>0</v>
      </c>
      <c r="R37" s="665">
        <f t="shared" si="3"/>
        <v>0</v>
      </c>
      <c r="S37" s="664">
        <f t="shared" si="4"/>
        <v>0</v>
      </c>
      <c r="T37" s="663">
        <f t="shared" si="5"/>
        <v>0</v>
      </c>
      <c r="U37" s="650">
        <f t="shared" si="6"/>
        <v>0</v>
      </c>
      <c r="V37" s="650">
        <f t="shared" si="7"/>
        <v>0</v>
      </c>
      <c r="W37" s="650">
        <f t="shared" si="8"/>
        <v>0</v>
      </c>
      <c r="X37" s="650">
        <f t="shared" si="8"/>
        <v>0</v>
      </c>
      <c r="Y37" s="650">
        <f t="shared" si="9"/>
        <v>0</v>
      </c>
      <c r="Z37" s="649">
        <f t="shared" si="10"/>
        <v>0</v>
      </c>
      <c r="AA37" s="649">
        <f t="shared" si="11"/>
        <v>0</v>
      </c>
      <c r="AB37" s="649">
        <f t="shared" si="12"/>
        <v>0</v>
      </c>
      <c r="AC37" s="649">
        <f t="shared" si="12"/>
        <v>0</v>
      </c>
      <c r="AD37" s="649">
        <f t="shared" si="13"/>
        <v>0</v>
      </c>
      <c r="AE37" s="648"/>
      <c r="AF37" s="648"/>
      <c r="AG37" s="648"/>
      <c r="AH37" s="648"/>
      <c r="AI37" s="648"/>
    </row>
    <row r="38" spans="1:35" x14ac:dyDescent="0.15">
      <c r="A38" s="670"/>
      <c r="B38" s="669"/>
      <c r="C38" s="668"/>
      <c r="D38" s="667"/>
      <c r="E38" s="666"/>
      <c r="F38" s="662"/>
      <c r="G38" s="661"/>
      <c r="H38" s="661"/>
      <c r="I38" s="661"/>
      <c r="J38" s="665"/>
      <c r="K38" s="664"/>
      <c r="L38" s="666"/>
      <c r="M38" s="666"/>
      <c r="N38" s="662">
        <f t="shared" si="0"/>
        <v>0</v>
      </c>
      <c r="O38" s="661">
        <f t="shared" si="1"/>
        <v>0</v>
      </c>
      <c r="P38" s="661">
        <f t="shared" si="2"/>
        <v>0</v>
      </c>
      <c r="Q38" s="661">
        <f t="shared" si="2"/>
        <v>0</v>
      </c>
      <c r="R38" s="665">
        <f t="shared" si="3"/>
        <v>0</v>
      </c>
      <c r="S38" s="664">
        <f t="shared" si="4"/>
        <v>0</v>
      </c>
      <c r="T38" s="663">
        <f t="shared" si="5"/>
        <v>0</v>
      </c>
      <c r="U38" s="650">
        <f t="shared" si="6"/>
        <v>0</v>
      </c>
      <c r="V38" s="650">
        <f t="shared" si="7"/>
        <v>0</v>
      </c>
      <c r="W38" s="650">
        <f t="shared" si="8"/>
        <v>0</v>
      </c>
      <c r="X38" s="650">
        <f t="shared" si="8"/>
        <v>0</v>
      </c>
      <c r="Y38" s="650">
        <f t="shared" si="9"/>
        <v>0</v>
      </c>
      <c r="Z38" s="649">
        <f t="shared" si="10"/>
        <v>0</v>
      </c>
      <c r="AA38" s="649">
        <f t="shared" si="11"/>
        <v>0</v>
      </c>
      <c r="AB38" s="649">
        <f t="shared" si="12"/>
        <v>0</v>
      </c>
      <c r="AC38" s="649">
        <f t="shared" si="12"/>
        <v>0</v>
      </c>
      <c r="AD38" s="649">
        <f t="shared" si="13"/>
        <v>0</v>
      </c>
      <c r="AE38" s="648"/>
      <c r="AF38" s="648"/>
      <c r="AG38" s="648"/>
      <c r="AH38" s="648"/>
      <c r="AI38" s="648"/>
    </row>
    <row r="39" spans="1:35" x14ac:dyDescent="0.15">
      <c r="A39" s="670"/>
      <c r="B39" s="669"/>
      <c r="C39" s="668"/>
      <c r="D39" s="667"/>
      <c r="E39" s="666"/>
      <c r="F39" s="662"/>
      <c r="G39" s="661"/>
      <c r="H39" s="661"/>
      <c r="I39" s="661"/>
      <c r="J39" s="665"/>
      <c r="K39" s="664"/>
      <c r="L39" s="666"/>
      <c r="M39" s="666"/>
      <c r="N39" s="662">
        <f t="shared" si="0"/>
        <v>0</v>
      </c>
      <c r="O39" s="661">
        <f t="shared" si="1"/>
        <v>0</v>
      </c>
      <c r="P39" s="661">
        <f t="shared" si="2"/>
        <v>0</v>
      </c>
      <c r="Q39" s="661">
        <f t="shared" si="2"/>
        <v>0</v>
      </c>
      <c r="R39" s="665">
        <f t="shared" si="3"/>
        <v>0</v>
      </c>
      <c r="S39" s="664">
        <f t="shared" si="4"/>
        <v>0</v>
      </c>
      <c r="T39" s="663">
        <f t="shared" si="5"/>
        <v>0</v>
      </c>
      <c r="U39" s="650">
        <f t="shared" si="6"/>
        <v>0</v>
      </c>
      <c r="V39" s="650">
        <f t="shared" si="7"/>
        <v>0</v>
      </c>
      <c r="W39" s="650">
        <f t="shared" si="8"/>
        <v>0</v>
      </c>
      <c r="X39" s="650">
        <f t="shared" si="8"/>
        <v>0</v>
      </c>
      <c r="Y39" s="650">
        <f t="shared" si="9"/>
        <v>0</v>
      </c>
      <c r="Z39" s="649">
        <f t="shared" si="10"/>
        <v>0</v>
      </c>
      <c r="AA39" s="649">
        <f t="shared" si="11"/>
        <v>0</v>
      </c>
      <c r="AB39" s="649">
        <f t="shared" si="12"/>
        <v>0</v>
      </c>
      <c r="AC39" s="649">
        <f t="shared" si="12"/>
        <v>0</v>
      </c>
      <c r="AD39" s="649">
        <f t="shared" si="13"/>
        <v>0</v>
      </c>
      <c r="AE39" s="648"/>
      <c r="AF39" s="648"/>
      <c r="AG39" s="648"/>
      <c r="AH39" s="648"/>
      <c r="AI39" s="648"/>
    </row>
    <row r="40" spans="1:35" ht="14.25" thickBot="1" x14ac:dyDescent="0.2">
      <c r="A40" s="660"/>
      <c r="B40" s="659"/>
      <c r="C40" s="658"/>
      <c r="D40" s="657"/>
      <c r="E40" s="656"/>
      <c r="F40" s="652"/>
      <c r="G40" s="651"/>
      <c r="H40" s="651"/>
      <c r="I40" s="651"/>
      <c r="J40" s="655"/>
      <c r="K40" s="654"/>
      <c r="L40" s="656"/>
      <c r="M40" s="656"/>
      <c r="N40" s="652">
        <f t="shared" si="0"/>
        <v>0</v>
      </c>
      <c r="O40" s="651">
        <f t="shared" si="1"/>
        <v>0</v>
      </c>
      <c r="P40" s="651">
        <f t="shared" si="2"/>
        <v>0</v>
      </c>
      <c r="Q40" s="651">
        <f t="shared" si="2"/>
        <v>0</v>
      </c>
      <c r="R40" s="655">
        <f t="shared" si="3"/>
        <v>0</v>
      </c>
      <c r="S40" s="654">
        <f t="shared" si="4"/>
        <v>0</v>
      </c>
      <c r="T40" s="653">
        <f t="shared" si="5"/>
        <v>0</v>
      </c>
      <c r="U40" s="650">
        <f t="shared" si="6"/>
        <v>0</v>
      </c>
      <c r="V40" s="650">
        <f t="shared" si="7"/>
        <v>0</v>
      </c>
      <c r="W40" s="650">
        <f t="shared" si="8"/>
        <v>0</v>
      </c>
      <c r="X40" s="650">
        <f t="shared" si="8"/>
        <v>0</v>
      </c>
      <c r="Y40" s="650">
        <f t="shared" si="9"/>
        <v>0</v>
      </c>
      <c r="Z40" s="649">
        <f t="shared" si="10"/>
        <v>0</v>
      </c>
      <c r="AA40" s="649">
        <f t="shared" si="11"/>
        <v>0</v>
      </c>
      <c r="AB40" s="649">
        <f t="shared" si="12"/>
        <v>0</v>
      </c>
      <c r="AC40" s="649">
        <f t="shared" si="12"/>
        <v>0</v>
      </c>
      <c r="AD40" s="649">
        <f t="shared" si="13"/>
        <v>0</v>
      </c>
      <c r="AE40" s="648"/>
      <c r="AF40" s="648"/>
      <c r="AG40" s="648"/>
      <c r="AH40" s="648"/>
      <c r="AI40" s="648"/>
    </row>
    <row r="41" spans="1:35" ht="14.25" thickTop="1" x14ac:dyDescent="0.15">
      <c r="A41" s="647"/>
      <c r="B41" s="646"/>
      <c r="C41" s="645"/>
      <c r="D41" s="644" t="s">
        <v>979</v>
      </c>
      <c r="E41" s="639">
        <f t="shared" ref="E41:T41" si="14">SUM(E5:E40)</f>
        <v>0</v>
      </c>
      <c r="F41" s="643">
        <f t="shared" si="14"/>
        <v>0</v>
      </c>
      <c r="G41" s="642">
        <f t="shared" si="14"/>
        <v>0</v>
      </c>
      <c r="H41" s="642">
        <f t="shared" si="14"/>
        <v>0</v>
      </c>
      <c r="I41" s="642">
        <f t="shared" ref="I41" si="15">SUM(I5:I40)</f>
        <v>0</v>
      </c>
      <c r="J41" s="641">
        <f t="shared" si="14"/>
        <v>0</v>
      </c>
      <c r="K41" s="634">
        <f t="shared" si="14"/>
        <v>0</v>
      </c>
      <c r="L41" s="639">
        <f t="shared" si="14"/>
        <v>0</v>
      </c>
      <c r="M41" s="639">
        <f t="shared" si="14"/>
        <v>0</v>
      </c>
      <c r="N41" s="636">
        <f t="shared" si="14"/>
        <v>0</v>
      </c>
      <c r="O41" s="635">
        <f t="shared" si="14"/>
        <v>0</v>
      </c>
      <c r="P41" s="635">
        <f t="shared" si="14"/>
        <v>0</v>
      </c>
      <c r="Q41" s="635">
        <f t="shared" ref="Q41" si="16">SUM(Q5:Q40)</f>
        <v>0</v>
      </c>
      <c r="R41" s="638">
        <f t="shared" si="14"/>
        <v>0</v>
      </c>
      <c r="S41" s="634">
        <f t="shared" si="14"/>
        <v>0</v>
      </c>
      <c r="T41" s="637">
        <f t="shared" si="14"/>
        <v>0</v>
      </c>
    </row>
    <row r="42" spans="1:35" x14ac:dyDescent="0.15">
      <c r="A42" s="633"/>
      <c r="B42" s="632"/>
      <c r="C42" s="631"/>
      <c r="D42" s="630" t="s">
        <v>978</v>
      </c>
      <c r="E42" s="624">
        <f t="shared" ref="E42:J42" si="17">+E41</f>
        <v>0</v>
      </c>
      <c r="F42" s="629">
        <f t="shared" si="17"/>
        <v>0</v>
      </c>
      <c r="G42" s="628">
        <f t="shared" si="17"/>
        <v>0</v>
      </c>
      <c r="H42" s="628">
        <f t="shared" si="17"/>
        <v>0</v>
      </c>
      <c r="I42" s="628">
        <f t="shared" si="17"/>
        <v>0</v>
      </c>
      <c r="J42" s="627">
        <f t="shared" si="17"/>
        <v>0</v>
      </c>
      <c r="K42" s="623">
        <f>SUM(F42:J42)</f>
        <v>0</v>
      </c>
      <c r="L42" s="624">
        <f>+L41</f>
        <v>0</v>
      </c>
      <c r="M42" s="624">
        <f>+M41</f>
        <v>0</v>
      </c>
      <c r="N42" s="740">
        <f>+'4条支出'!N28</f>
        <v>0</v>
      </c>
      <c r="O42" s="741">
        <f>+'4条支出'!O28</f>
        <v>0</v>
      </c>
      <c r="P42" s="741">
        <f>+'4条支出'!P28</f>
        <v>0</v>
      </c>
      <c r="Q42" s="741">
        <f>+'4条支出'!Q28</f>
        <v>0</v>
      </c>
      <c r="R42" s="742">
        <f>+'4条支出'!R28</f>
        <v>0</v>
      </c>
      <c r="S42" s="743">
        <f>+'4条支出'!S28</f>
        <v>0</v>
      </c>
      <c r="T42" s="744">
        <f>+'4条支出'!T28</f>
        <v>0</v>
      </c>
    </row>
    <row r="43" spans="1:35" x14ac:dyDescent="0.15">
      <c r="E43" s="622">
        <f t="shared" ref="E43:T43" si="18">+E42-E41</f>
        <v>0</v>
      </c>
      <c r="F43" s="622">
        <f t="shared" si="18"/>
        <v>0</v>
      </c>
      <c r="G43" s="622">
        <f t="shared" si="18"/>
        <v>0</v>
      </c>
      <c r="H43" s="622">
        <f t="shared" si="18"/>
        <v>0</v>
      </c>
      <c r="I43" s="622">
        <f t="shared" ref="I43" si="19">+I42-I41</f>
        <v>0</v>
      </c>
      <c r="J43" s="622">
        <f t="shared" si="18"/>
        <v>0</v>
      </c>
      <c r="K43" s="622">
        <f t="shared" si="18"/>
        <v>0</v>
      </c>
      <c r="L43" s="622">
        <f t="shared" si="18"/>
        <v>0</v>
      </c>
      <c r="M43" s="622">
        <f t="shared" si="18"/>
        <v>0</v>
      </c>
      <c r="N43" s="622">
        <f t="shared" si="18"/>
        <v>0</v>
      </c>
      <c r="O43" s="622">
        <f t="shared" si="18"/>
        <v>0</v>
      </c>
      <c r="P43" s="622">
        <f t="shared" si="18"/>
        <v>0</v>
      </c>
      <c r="Q43" s="622">
        <f t="shared" ref="Q43" si="20">+Q42-Q41</f>
        <v>0</v>
      </c>
      <c r="R43" s="622">
        <f t="shared" si="18"/>
        <v>0</v>
      </c>
      <c r="S43" s="622">
        <f t="shared" si="18"/>
        <v>0</v>
      </c>
      <c r="T43" s="622">
        <f t="shared" si="18"/>
        <v>0</v>
      </c>
    </row>
  </sheetData>
  <mergeCells count="13">
    <mergeCell ref="F3:K3"/>
    <mergeCell ref="A3:A4"/>
    <mergeCell ref="B3:B4"/>
    <mergeCell ref="C3:C4"/>
    <mergeCell ref="D3:D4"/>
    <mergeCell ref="E3:E4"/>
    <mergeCell ref="U3:Y3"/>
    <mergeCell ref="Z3:AD3"/>
    <mergeCell ref="AE3:AI3"/>
    <mergeCell ref="L3:L4"/>
    <mergeCell ref="M3:M4"/>
    <mergeCell ref="N3:S3"/>
    <mergeCell ref="T3:T4"/>
  </mergeCells>
  <phoneticPr fontId="2"/>
  <conditionalFormatting sqref="Z5:AD40">
    <cfRule type="expression" dxfId="154" priority="4">
      <formula>ABS(Z5)=1</formula>
    </cfRule>
  </conditionalFormatting>
  <conditionalFormatting sqref="AD5:AD40">
    <cfRule type="expression" dxfId="153" priority="3">
      <formula>ABS(AD5)=1</formula>
    </cfRule>
  </conditionalFormatting>
  <conditionalFormatting sqref="Z6:AC40">
    <cfRule type="expression" dxfId="152" priority="6">
      <formula>ABS(Z6)=1</formula>
    </cfRule>
  </conditionalFormatting>
  <conditionalFormatting sqref="AE6:AE14 AE16:AE40">
    <cfRule type="notContainsBlanks" dxfId="151" priority="9" stopIfTrue="1">
      <formula>LEN(TRIM(AE6))&gt;0</formula>
    </cfRule>
  </conditionalFormatting>
  <conditionalFormatting sqref="AE6:AI40">
    <cfRule type="notContainsBlanks" dxfId="150" priority="8" stopIfTrue="1">
      <formula>LEN(TRIM(AE6))&gt;0</formula>
    </cfRule>
  </conditionalFormatting>
  <conditionalFormatting sqref="AE5:AI5">
    <cfRule type="notContainsBlanks" dxfId="149" priority="7" stopIfTrue="1">
      <formula>LEN(TRIM(AE5))&gt;0</formula>
    </cfRule>
  </conditionalFormatting>
  <conditionalFormatting sqref="AA6:AC40">
    <cfRule type="expression" dxfId="148" priority="5">
      <formula>ABS(AA6)=1</formula>
    </cfRule>
  </conditionalFormatting>
  <conditionalFormatting sqref="E43:H43 J43:T43">
    <cfRule type="cellIs" dxfId="147" priority="2" operator="notEqual">
      <formula>0</formula>
    </cfRule>
  </conditionalFormatting>
  <conditionalFormatting sqref="I43">
    <cfRule type="cellIs" dxfId="146" priority="1" operator="notEqual">
      <formula>0</formula>
    </cfRule>
  </conditionalFormatting>
  <pageMargins left="0.39370078740157483" right="0.39370078740157483" top="0.59055118110236227" bottom="0.39370078740157483" header="0.39370078740157483" footer="0.19685039370078741"/>
  <pageSetup paperSize="9" scale="64" fitToHeight="2" orientation="landscape" blackAndWhite="1" r:id="rId1"/>
  <headerFooter>
    <oddFooter>&amp;L&amp;8&amp;Z&amp;F&amp;A&amp;R&amp;8&amp;D&amp;T</oddFooter>
  </headerFooter>
</worksheet>
</file>

<file path=xl/worksheets/w4_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BM110"/>
  <sheetViews>
    <sheetView topLeftCell="D1" zoomScale="40" zoomScaleNormal="40" workbookViewId="0">
      <pane xSplit="3" ySplit="6" topLeftCell="G7" activePane="bottomRight" state="frozen"/>
      <selection activeCell="D1" sqref="D1"/>
      <selection pane="topRight" activeCell="G1" sqref="G1"/>
      <selection pane="bottomLeft" activeCell="D7" sqref="D7"/>
      <selection pane="bottomRight" activeCell="G7" sqref="G7"/>
    </sheetView>
  </sheetViews>
  <sheetFormatPr defaultColWidth="13.625" defaultRowHeight="15" customHeight="1" outlineLevelRow="1" outlineLevelCol="1"/>
  <cols>
    <col min="1" max="1" width="5.625" style="777" hidden="1" customWidth="1" outlineLevel="1"/>
    <col min="2" max="2" width="3.875" style="777" hidden="1" customWidth="1" outlineLevel="1"/>
    <col min="3" max="3" width="10.5" style="779" hidden="1" customWidth="1" outlineLevel="1"/>
    <col min="4" max="4" width="33.875" style="777" bestFit="1" customWidth="1" collapsed="1"/>
    <col min="5" max="5" width="14" style="777" bestFit="1" customWidth="1"/>
    <col min="6" max="6" width="13.625" style="777" hidden="1" customWidth="1" outlineLevel="1"/>
    <col min="7" max="7" width="13.625" style="777" collapsed="1"/>
    <col min="8" max="10" width="13.625" style="777"/>
    <col min="11" max="11" width="13.625" style="778"/>
    <col min="12" max="13" width="13.625" style="777"/>
    <col min="14" max="14" width="0" style="777" hidden="1" customWidth="1" outlineLevel="1"/>
    <col min="15" max="15" width="13.625" style="777" collapsed="1"/>
    <col min="16" max="20" width="13.625" style="777"/>
    <col min="21" max="21" width="14.25" style="777" bestFit="1" customWidth="1"/>
    <col min="22" max="22" width="14" style="777" bestFit="1" customWidth="1"/>
    <col min="23" max="23" width="0" style="778" hidden="1" customWidth="1" outlineLevel="1"/>
    <col min="24" max="24" width="13.625" style="778" collapsed="1"/>
    <col min="25" max="28" width="13.625" style="778"/>
    <col min="29" max="29" width="0" style="777" hidden="1" customWidth="1" outlineLevel="1"/>
    <col min="30" max="30" width="13.625" style="777" collapsed="1"/>
    <col min="31" max="35" width="13.625" style="777"/>
    <col min="36" max="65" width="8.875" style="777" customWidth="1"/>
    <col min="66" max="16384" width="13.625" style="777"/>
  </cols>
  <sheetData>
    <row r="1" spans="1:65" ht="15" customHeight="1">
      <c r="D1" s="777" t="str">
        <f>+'3条支出'!$D$1</f>
        <v>令和５年度決算　消費税算出資料</v>
      </c>
    </row>
    <row r="2" spans="1:65" ht="15" customHeight="1">
      <c r="D2" s="777" t="s">
        <v>1418</v>
      </c>
      <c r="N2" s="922"/>
      <c r="O2" s="922"/>
      <c r="P2" s="922"/>
      <c r="Q2" s="922"/>
      <c r="R2" s="922"/>
      <c r="S2" s="921"/>
      <c r="T2" s="921"/>
      <c r="U2" s="921"/>
      <c r="V2" s="921"/>
      <c r="AK2" s="907"/>
      <c r="AL2" s="907"/>
      <c r="AM2" s="907"/>
      <c r="AN2" s="907"/>
      <c r="AO2" s="907"/>
      <c r="AP2" s="907"/>
      <c r="AQ2" s="907"/>
      <c r="AR2" s="907"/>
      <c r="AS2" s="907"/>
      <c r="AT2" s="907"/>
    </row>
    <row r="3" spans="1:65" ht="15" customHeight="1">
      <c r="A3" s="961" t="s">
        <v>1417</v>
      </c>
      <c r="B3" s="962" t="s">
        <v>1416</v>
      </c>
      <c r="C3" s="973" t="s">
        <v>1415</v>
      </c>
      <c r="D3" s="975" t="s">
        <v>1414</v>
      </c>
      <c r="E3" s="975" t="s">
        <v>1413</v>
      </c>
      <c r="F3" s="934" t="s">
        <v>1412</v>
      </c>
      <c r="G3" s="935"/>
      <c r="H3" s="935"/>
      <c r="I3" s="935"/>
      <c r="J3" s="935"/>
      <c r="K3" s="936"/>
      <c r="L3" s="958" t="s">
        <v>1419</v>
      </c>
      <c r="M3" s="964" t="s">
        <v>1420</v>
      </c>
      <c r="N3" s="961" t="s">
        <v>1411</v>
      </c>
      <c r="O3" s="962"/>
      <c r="P3" s="962"/>
      <c r="Q3" s="962"/>
      <c r="R3" s="962"/>
      <c r="S3" s="962"/>
      <c r="T3" s="962"/>
      <c r="U3" s="962"/>
      <c r="V3" s="963"/>
      <c r="W3" s="943" t="s">
        <v>1410</v>
      </c>
      <c r="X3" s="944"/>
      <c r="Y3" s="944"/>
      <c r="Z3" s="944"/>
      <c r="AA3" s="944"/>
      <c r="AB3" s="945"/>
      <c r="AC3" s="983" t="s">
        <v>1409</v>
      </c>
      <c r="AD3" s="984"/>
      <c r="AE3" s="984"/>
      <c r="AF3" s="984"/>
      <c r="AG3" s="984"/>
      <c r="AH3" s="985"/>
      <c r="AI3" s="975" t="s">
        <v>1408</v>
      </c>
      <c r="AJ3" s="937" t="s">
        <v>1407</v>
      </c>
      <c r="AK3" s="938"/>
      <c r="AL3" s="938"/>
      <c r="AM3" s="938"/>
      <c r="AN3" s="938"/>
      <c r="AO3" s="938"/>
      <c r="AP3" s="938"/>
      <c r="AQ3" s="938"/>
      <c r="AR3" s="938"/>
      <c r="AS3" s="938"/>
      <c r="AT3" s="938"/>
      <c r="AU3" s="938"/>
      <c r="AV3" s="938"/>
      <c r="AW3" s="938"/>
      <c r="AX3" s="938"/>
      <c r="AY3" s="938" t="s">
        <v>1406</v>
      </c>
      <c r="AZ3" s="938"/>
      <c r="BA3" s="938"/>
      <c r="BB3" s="938"/>
      <c r="BC3" s="938"/>
      <c r="BD3" s="938"/>
      <c r="BE3" s="938"/>
      <c r="BF3" s="938"/>
      <c r="BG3" s="938"/>
      <c r="BH3" s="938"/>
      <c r="BI3" s="938"/>
      <c r="BJ3" s="938"/>
      <c r="BK3" s="938"/>
      <c r="BL3" s="938"/>
      <c r="BM3" s="938"/>
    </row>
    <row r="4" spans="1:65" ht="15" customHeight="1">
      <c r="A4" s="969"/>
      <c r="B4" s="971"/>
      <c r="C4" s="974"/>
      <c r="D4" s="959"/>
      <c r="E4" s="959"/>
      <c r="F4" s="937"/>
      <c r="G4" s="938"/>
      <c r="H4" s="938"/>
      <c r="I4" s="938"/>
      <c r="J4" s="938"/>
      <c r="K4" s="939"/>
      <c r="L4" s="959"/>
      <c r="M4" s="959"/>
      <c r="N4" s="966" t="s">
        <v>1405</v>
      </c>
      <c r="O4" s="967"/>
      <c r="P4" s="967"/>
      <c r="Q4" s="967"/>
      <c r="R4" s="967"/>
      <c r="S4" s="967"/>
      <c r="T4" s="968"/>
      <c r="U4" s="979" t="s">
        <v>1404</v>
      </c>
      <c r="V4" s="920"/>
      <c r="W4" s="946"/>
      <c r="X4" s="947"/>
      <c r="Y4" s="947"/>
      <c r="Z4" s="947"/>
      <c r="AA4" s="947"/>
      <c r="AB4" s="948"/>
      <c r="AC4" s="986"/>
      <c r="AD4" s="987"/>
      <c r="AE4" s="987"/>
      <c r="AF4" s="987"/>
      <c r="AG4" s="987"/>
      <c r="AH4" s="988"/>
      <c r="AI4" s="959"/>
      <c r="AJ4" s="937"/>
      <c r="AK4" s="938"/>
      <c r="AL4" s="938"/>
      <c r="AM4" s="938"/>
      <c r="AN4" s="938"/>
      <c r="AO4" s="938"/>
      <c r="AP4" s="938"/>
      <c r="AQ4" s="938"/>
      <c r="AR4" s="938"/>
      <c r="AS4" s="938"/>
      <c r="AT4" s="938"/>
      <c r="AU4" s="938"/>
      <c r="AV4" s="938"/>
      <c r="AW4" s="938"/>
      <c r="AX4" s="938"/>
      <c r="AY4" s="938"/>
      <c r="AZ4" s="938"/>
      <c r="BA4" s="938"/>
      <c r="BB4" s="938"/>
      <c r="BC4" s="938"/>
      <c r="BD4" s="938"/>
      <c r="BE4" s="938"/>
      <c r="BF4" s="938"/>
      <c r="BG4" s="938"/>
      <c r="BH4" s="938"/>
      <c r="BI4" s="938"/>
      <c r="BJ4" s="938"/>
      <c r="BK4" s="938"/>
      <c r="BL4" s="938"/>
      <c r="BM4" s="938"/>
    </row>
    <row r="5" spans="1:65" ht="15" customHeight="1">
      <c r="A5" s="969"/>
      <c r="B5" s="971"/>
      <c r="C5" s="974"/>
      <c r="D5" s="959"/>
      <c r="E5" s="959"/>
      <c r="F5" s="940"/>
      <c r="G5" s="941"/>
      <c r="H5" s="941"/>
      <c r="I5" s="941"/>
      <c r="J5" s="941"/>
      <c r="K5" s="942"/>
      <c r="L5" s="959"/>
      <c r="M5" s="959"/>
      <c r="N5" s="952" t="s">
        <v>1403</v>
      </c>
      <c r="O5" s="953"/>
      <c r="P5" s="953"/>
      <c r="Q5" s="953"/>
      <c r="R5" s="953"/>
      <c r="S5" s="953"/>
      <c r="T5" s="954" t="s">
        <v>1402</v>
      </c>
      <c r="U5" s="980"/>
      <c r="V5" s="956" t="s">
        <v>1351</v>
      </c>
      <c r="W5" s="949"/>
      <c r="X5" s="950"/>
      <c r="Y5" s="950"/>
      <c r="Z5" s="950"/>
      <c r="AA5" s="950"/>
      <c r="AB5" s="951"/>
      <c r="AC5" s="986"/>
      <c r="AD5" s="987"/>
      <c r="AE5" s="987"/>
      <c r="AF5" s="987"/>
      <c r="AG5" s="987"/>
      <c r="AH5" s="988"/>
      <c r="AI5" s="959"/>
      <c r="AJ5" s="982" t="s">
        <v>1401</v>
      </c>
      <c r="AK5" s="977"/>
      <c r="AL5" s="977"/>
      <c r="AM5" s="977"/>
      <c r="AN5" s="977"/>
      <c r="AO5" s="977" t="s">
        <v>1400</v>
      </c>
      <c r="AP5" s="977"/>
      <c r="AQ5" s="977"/>
      <c r="AR5" s="977"/>
      <c r="AS5" s="977"/>
      <c r="AT5" s="977" t="s">
        <v>1399</v>
      </c>
      <c r="AU5" s="977"/>
      <c r="AV5" s="977"/>
      <c r="AW5" s="977"/>
      <c r="AX5" s="977"/>
      <c r="AY5" s="977" t="s">
        <v>1401</v>
      </c>
      <c r="AZ5" s="977"/>
      <c r="BA5" s="977"/>
      <c r="BB5" s="977"/>
      <c r="BC5" s="977"/>
      <c r="BD5" s="977" t="s">
        <v>1400</v>
      </c>
      <c r="BE5" s="977"/>
      <c r="BF5" s="977"/>
      <c r="BG5" s="977"/>
      <c r="BH5" s="977"/>
      <c r="BI5" s="978" t="s">
        <v>1399</v>
      </c>
      <c r="BJ5" s="978"/>
      <c r="BK5" s="978"/>
      <c r="BL5" s="978"/>
      <c r="BM5" s="978"/>
    </row>
    <row r="6" spans="1:65" s="907" customFormat="1" ht="15" customHeight="1">
      <c r="A6" s="970"/>
      <c r="B6" s="972"/>
      <c r="C6" s="974"/>
      <c r="D6" s="976"/>
      <c r="E6" s="976"/>
      <c r="F6" s="919">
        <v>3</v>
      </c>
      <c r="G6" s="918">
        <v>5</v>
      </c>
      <c r="H6" s="918">
        <v>8</v>
      </c>
      <c r="I6" s="931">
        <v>8</v>
      </c>
      <c r="J6" s="917">
        <v>10</v>
      </c>
      <c r="K6" s="910" t="s">
        <v>1351</v>
      </c>
      <c r="L6" s="960"/>
      <c r="M6" s="965"/>
      <c r="N6" s="916">
        <v>3</v>
      </c>
      <c r="O6" s="915">
        <v>5</v>
      </c>
      <c r="P6" s="915">
        <v>8</v>
      </c>
      <c r="Q6" s="931">
        <v>8</v>
      </c>
      <c r="R6" s="915">
        <v>10</v>
      </c>
      <c r="S6" s="914" t="s">
        <v>1398</v>
      </c>
      <c r="T6" s="955"/>
      <c r="U6" s="981"/>
      <c r="V6" s="957"/>
      <c r="W6" s="913">
        <v>3</v>
      </c>
      <c r="X6" s="912">
        <v>5</v>
      </c>
      <c r="Y6" s="912">
        <v>8</v>
      </c>
      <c r="Z6" s="931">
        <v>8</v>
      </c>
      <c r="AA6" s="911">
        <v>10</v>
      </c>
      <c r="AB6" s="910" t="s">
        <v>1351</v>
      </c>
      <c r="AC6" s="913">
        <v>3</v>
      </c>
      <c r="AD6" s="912">
        <v>5</v>
      </c>
      <c r="AE6" s="912">
        <v>8</v>
      </c>
      <c r="AF6" s="931">
        <v>8</v>
      </c>
      <c r="AG6" s="912">
        <v>10</v>
      </c>
      <c r="AH6" s="909" t="s">
        <v>1398</v>
      </c>
      <c r="AI6" s="976"/>
      <c r="AJ6" s="908">
        <v>3</v>
      </c>
      <c r="AK6" s="908">
        <v>5</v>
      </c>
      <c r="AL6" s="908">
        <v>8</v>
      </c>
      <c r="AM6" s="932">
        <v>8</v>
      </c>
      <c r="AN6" s="908">
        <v>10</v>
      </c>
      <c r="AO6" s="908">
        <v>3</v>
      </c>
      <c r="AP6" s="908">
        <v>5</v>
      </c>
      <c r="AQ6" s="908">
        <v>8</v>
      </c>
      <c r="AR6" s="932">
        <v>8</v>
      </c>
      <c r="AS6" s="908">
        <v>10</v>
      </c>
      <c r="AT6" s="908">
        <v>3</v>
      </c>
      <c r="AU6" s="908">
        <v>5</v>
      </c>
      <c r="AV6" s="908">
        <v>8</v>
      </c>
      <c r="AW6" s="932">
        <v>8</v>
      </c>
      <c r="AX6" s="908">
        <v>10</v>
      </c>
      <c r="AY6" s="908">
        <v>3</v>
      </c>
      <c r="AZ6" s="908">
        <v>5</v>
      </c>
      <c r="BA6" s="908">
        <v>8</v>
      </c>
      <c r="BB6" s="932">
        <v>8</v>
      </c>
      <c r="BC6" s="908">
        <v>10</v>
      </c>
      <c r="BD6" s="908">
        <v>3</v>
      </c>
      <c r="BE6" s="908">
        <v>5</v>
      </c>
      <c r="BF6" s="908">
        <v>8</v>
      </c>
      <c r="BG6" s="932">
        <v>8</v>
      </c>
      <c r="BH6" s="908">
        <v>10</v>
      </c>
      <c r="BI6" s="908">
        <v>3</v>
      </c>
      <c r="BJ6" s="908">
        <v>5</v>
      </c>
      <c r="BK6" s="908">
        <v>8</v>
      </c>
      <c r="BL6" s="932">
        <v>8</v>
      </c>
      <c r="BM6" s="908">
        <v>10</v>
      </c>
    </row>
    <row r="7" spans="1:65" ht="15" customHeight="1">
      <c r="A7" s="848"/>
      <c r="B7" s="847"/>
      <c r="C7" s="846"/>
      <c r="D7" s="845" t="s">
        <v>1397</v>
      </c>
      <c r="E7" s="844">
        <f t="shared" ref="E7:AI7" si="0">+SUM(E8,E16,E20)</f>
        <v>32373300000</v>
      </c>
      <c r="F7" s="836">
        <f t="shared" si="0"/>
        <v>0</v>
      </c>
      <c r="G7" s="835">
        <f t="shared" si="0"/>
        <v>0</v>
      </c>
      <c r="H7" s="835">
        <f t="shared" si="0"/>
        <v>0</v>
      </c>
      <c r="I7" s="835">
        <f t="shared" ref="I7" si="1">+SUM(I8,I16,I20)</f>
        <v>0</v>
      </c>
      <c r="J7" s="841">
        <f t="shared" si="0"/>
        <v>0</v>
      </c>
      <c r="K7" s="840">
        <f t="shared" si="0"/>
        <v>0</v>
      </c>
      <c r="L7" s="844">
        <f t="shared" si="0"/>
        <v>0</v>
      </c>
      <c r="M7" s="844">
        <f t="shared" si="0"/>
        <v>0</v>
      </c>
      <c r="N7" s="836">
        <f t="shared" si="0"/>
        <v>0</v>
      </c>
      <c r="O7" s="835">
        <f t="shared" si="0"/>
        <v>0</v>
      </c>
      <c r="P7" s="835">
        <f t="shared" si="0"/>
        <v>0</v>
      </c>
      <c r="Q7" s="835">
        <f t="shared" ref="Q7" si="2">+SUM(Q8,Q16,Q20)</f>
        <v>0</v>
      </c>
      <c r="R7" s="835">
        <f t="shared" si="0"/>
        <v>0</v>
      </c>
      <c r="S7" s="835">
        <f t="shared" si="0"/>
        <v>0</v>
      </c>
      <c r="T7" s="843">
        <f t="shared" si="0"/>
        <v>0</v>
      </c>
      <c r="U7" s="842">
        <f t="shared" si="0"/>
        <v>32373300000</v>
      </c>
      <c r="V7" s="840">
        <f t="shared" si="0"/>
        <v>32373300000</v>
      </c>
      <c r="W7" s="836">
        <f t="shared" si="0"/>
        <v>0</v>
      </c>
      <c r="X7" s="835">
        <f t="shared" si="0"/>
        <v>0</v>
      </c>
      <c r="Y7" s="835">
        <f t="shared" si="0"/>
        <v>0</v>
      </c>
      <c r="Z7" s="835">
        <f t="shared" ref="Z7" si="3">+SUM(Z8,Z16,Z20)</f>
        <v>0</v>
      </c>
      <c r="AA7" s="841">
        <f t="shared" si="0"/>
        <v>0</v>
      </c>
      <c r="AB7" s="840">
        <f t="shared" si="0"/>
        <v>0</v>
      </c>
      <c r="AC7" s="839">
        <f t="shared" si="0"/>
        <v>0</v>
      </c>
      <c r="AD7" s="838">
        <f t="shared" si="0"/>
        <v>0</v>
      </c>
      <c r="AE7" s="838">
        <f t="shared" si="0"/>
        <v>0</v>
      </c>
      <c r="AF7" s="838">
        <f t="shared" ref="AF7" si="4">+SUM(AF8,AF16,AF20)</f>
        <v>0</v>
      </c>
      <c r="AG7" s="838">
        <f t="shared" si="0"/>
        <v>0</v>
      </c>
      <c r="AH7" s="834">
        <f t="shared" si="0"/>
        <v>0</v>
      </c>
      <c r="AI7" s="837">
        <f t="shared" si="0"/>
        <v>32373300000</v>
      </c>
      <c r="AJ7" s="813"/>
      <c r="AK7" s="813"/>
      <c r="AL7" s="813"/>
      <c r="AM7" s="813"/>
      <c r="AN7" s="813"/>
      <c r="AO7" s="812"/>
      <c r="AP7" s="812"/>
      <c r="AQ7" s="812"/>
      <c r="AR7" s="812"/>
      <c r="AS7" s="812"/>
      <c r="AT7" s="811"/>
      <c r="AU7" s="811"/>
      <c r="AV7" s="811"/>
      <c r="AW7" s="811"/>
      <c r="AX7" s="811"/>
      <c r="BI7" s="811"/>
      <c r="BJ7" s="811"/>
      <c r="BK7" s="811"/>
      <c r="BL7" s="811"/>
      <c r="BM7" s="811"/>
    </row>
    <row r="8" spans="1:65" ht="15" customHeight="1">
      <c r="A8" s="895"/>
      <c r="B8" s="894"/>
      <c r="C8" s="893"/>
      <c r="D8" s="892" t="s">
        <v>1396</v>
      </c>
      <c r="E8" s="891">
        <f>+SUM(E9,E12:E15)</f>
        <v>15365600000</v>
      </c>
      <c r="F8" s="883">
        <f t="shared" ref="F8:AI8" si="5">+SUM(F9,F12:F15)</f>
        <v>0</v>
      </c>
      <c r="G8" s="882">
        <f t="shared" si="5"/>
        <v>0</v>
      </c>
      <c r="H8" s="882">
        <f t="shared" si="5"/>
        <v>0</v>
      </c>
      <c r="I8" s="882">
        <f t="shared" ref="I8" si="6">+SUM(I9,I12:I15)</f>
        <v>0</v>
      </c>
      <c r="J8" s="888">
        <f t="shared" si="5"/>
        <v>0</v>
      </c>
      <c r="K8" s="887">
        <f t="shared" si="5"/>
        <v>0</v>
      </c>
      <c r="L8" s="891">
        <f t="shared" si="5"/>
        <v>0</v>
      </c>
      <c r="M8" s="891">
        <f t="shared" si="5"/>
        <v>0</v>
      </c>
      <c r="N8" s="883">
        <f t="shared" si="5"/>
        <v>0</v>
      </c>
      <c r="O8" s="882">
        <f t="shared" si="5"/>
        <v>0</v>
      </c>
      <c r="P8" s="882">
        <f t="shared" si="5"/>
        <v>0</v>
      </c>
      <c r="Q8" s="882">
        <f t="shared" ref="Q8" si="7">+SUM(Q9,Q12:Q15)</f>
        <v>0</v>
      </c>
      <c r="R8" s="882">
        <f t="shared" si="5"/>
        <v>0</v>
      </c>
      <c r="S8" s="882">
        <f t="shared" si="5"/>
        <v>0</v>
      </c>
      <c r="T8" s="890">
        <f t="shared" si="5"/>
        <v>0</v>
      </c>
      <c r="U8" s="889">
        <f t="shared" si="5"/>
        <v>15365600000</v>
      </c>
      <c r="V8" s="887">
        <f t="shared" si="5"/>
        <v>15365600000</v>
      </c>
      <c r="W8" s="883">
        <f t="shared" si="5"/>
        <v>0</v>
      </c>
      <c r="X8" s="882">
        <f t="shared" si="5"/>
        <v>0</v>
      </c>
      <c r="Y8" s="882">
        <f t="shared" si="5"/>
        <v>0</v>
      </c>
      <c r="Z8" s="882">
        <f t="shared" ref="Z8" si="8">+SUM(Z9,Z12:Z15)</f>
        <v>0</v>
      </c>
      <c r="AA8" s="888">
        <f t="shared" si="5"/>
        <v>0</v>
      </c>
      <c r="AB8" s="887">
        <f t="shared" si="5"/>
        <v>0</v>
      </c>
      <c r="AC8" s="886">
        <f t="shared" si="5"/>
        <v>0</v>
      </c>
      <c r="AD8" s="885">
        <f t="shared" si="5"/>
        <v>0</v>
      </c>
      <c r="AE8" s="885">
        <f t="shared" si="5"/>
        <v>0</v>
      </c>
      <c r="AF8" s="885">
        <f t="shared" ref="AF8" si="9">+SUM(AF9,AF12:AF15)</f>
        <v>0</v>
      </c>
      <c r="AG8" s="885">
        <f t="shared" si="5"/>
        <v>0</v>
      </c>
      <c r="AH8" s="881">
        <f t="shared" si="5"/>
        <v>0</v>
      </c>
      <c r="AI8" s="884">
        <f t="shared" si="5"/>
        <v>15365600000</v>
      </c>
      <c r="AJ8" s="813"/>
      <c r="AK8" s="813"/>
      <c r="AL8" s="813"/>
      <c r="AM8" s="813"/>
      <c r="AN8" s="813"/>
      <c r="AO8" s="812"/>
      <c r="AP8" s="812"/>
      <c r="AQ8" s="812"/>
      <c r="AR8" s="812"/>
      <c r="AS8" s="812"/>
      <c r="AT8" s="811"/>
      <c r="AU8" s="811"/>
      <c r="AV8" s="811"/>
      <c r="AW8" s="811"/>
      <c r="AX8" s="811"/>
      <c r="BI8" s="811"/>
      <c r="BJ8" s="811"/>
      <c r="BK8" s="811"/>
      <c r="BL8" s="811"/>
      <c r="BM8" s="811"/>
    </row>
    <row r="9" spans="1:65" ht="15" customHeight="1">
      <c r="A9" s="880"/>
      <c r="B9" s="879"/>
      <c r="C9" s="878"/>
      <c r="D9" s="877" t="s">
        <v>1395</v>
      </c>
      <c r="E9" s="876">
        <f t="shared" ref="E9:AI9" si="10">+SUM(E10:E11)</f>
        <v>8822500000</v>
      </c>
      <c r="F9" s="868">
        <f t="shared" si="10"/>
        <v>0</v>
      </c>
      <c r="G9" s="867">
        <f t="shared" si="10"/>
        <v>0</v>
      </c>
      <c r="H9" s="867">
        <f t="shared" si="10"/>
        <v>0</v>
      </c>
      <c r="I9" s="867">
        <f t="shared" ref="I9" si="11">+SUM(I10:I11)</f>
        <v>0</v>
      </c>
      <c r="J9" s="873">
        <f t="shared" si="10"/>
        <v>0</v>
      </c>
      <c r="K9" s="872">
        <f t="shared" si="10"/>
        <v>0</v>
      </c>
      <c r="L9" s="876">
        <f t="shared" si="10"/>
        <v>0</v>
      </c>
      <c r="M9" s="876">
        <f t="shared" si="10"/>
        <v>0</v>
      </c>
      <c r="N9" s="868">
        <f t="shared" si="10"/>
        <v>0</v>
      </c>
      <c r="O9" s="867">
        <f t="shared" si="10"/>
        <v>0</v>
      </c>
      <c r="P9" s="867">
        <f t="shared" si="10"/>
        <v>0</v>
      </c>
      <c r="Q9" s="867">
        <f t="shared" ref="Q9" si="12">+SUM(Q10:Q11)</f>
        <v>0</v>
      </c>
      <c r="R9" s="867">
        <f t="shared" si="10"/>
        <v>0</v>
      </c>
      <c r="S9" s="867">
        <f t="shared" si="10"/>
        <v>0</v>
      </c>
      <c r="T9" s="875">
        <f t="shared" si="10"/>
        <v>0</v>
      </c>
      <c r="U9" s="874">
        <f t="shared" si="10"/>
        <v>8822500000</v>
      </c>
      <c r="V9" s="872">
        <f t="shared" si="10"/>
        <v>8822500000</v>
      </c>
      <c r="W9" s="868">
        <f t="shared" si="10"/>
        <v>0</v>
      </c>
      <c r="X9" s="867">
        <f t="shared" si="10"/>
        <v>0</v>
      </c>
      <c r="Y9" s="867">
        <f t="shared" si="10"/>
        <v>0</v>
      </c>
      <c r="Z9" s="867">
        <f t="shared" ref="Z9" si="13">+SUM(Z10:Z11)</f>
        <v>0</v>
      </c>
      <c r="AA9" s="873">
        <f t="shared" si="10"/>
        <v>0</v>
      </c>
      <c r="AB9" s="872">
        <f t="shared" si="10"/>
        <v>0</v>
      </c>
      <c r="AC9" s="871">
        <f t="shared" si="10"/>
        <v>0</v>
      </c>
      <c r="AD9" s="870">
        <f t="shared" si="10"/>
        <v>0</v>
      </c>
      <c r="AE9" s="870">
        <f t="shared" si="10"/>
        <v>0</v>
      </c>
      <c r="AF9" s="870">
        <f t="shared" ref="AF9" si="14">+SUM(AF10:AF11)</f>
        <v>0</v>
      </c>
      <c r="AG9" s="870">
        <f t="shared" si="10"/>
        <v>0</v>
      </c>
      <c r="AH9" s="866">
        <f t="shared" si="10"/>
        <v>0</v>
      </c>
      <c r="AI9" s="869">
        <f t="shared" si="10"/>
        <v>8822500000</v>
      </c>
      <c r="AJ9" s="813"/>
      <c r="AK9" s="813"/>
      <c r="AL9" s="813"/>
      <c r="AM9" s="813"/>
      <c r="AN9" s="813"/>
      <c r="AO9" s="812"/>
      <c r="AP9" s="812"/>
      <c r="AQ9" s="812"/>
      <c r="AR9" s="812"/>
      <c r="AS9" s="812"/>
      <c r="AT9" s="811"/>
      <c r="AU9" s="811"/>
      <c r="AV9" s="811"/>
      <c r="AW9" s="811"/>
      <c r="AX9" s="811"/>
      <c r="BI9" s="811"/>
      <c r="BJ9" s="811"/>
      <c r="BK9" s="811"/>
      <c r="BL9" s="811"/>
      <c r="BM9" s="811"/>
    </row>
    <row r="10" spans="1:65" ht="15" customHeight="1" outlineLevel="1">
      <c r="A10" s="880"/>
      <c r="B10" s="879"/>
      <c r="C10" s="878">
        <v>112011010</v>
      </c>
      <c r="D10" s="877" t="s">
        <v>1394</v>
      </c>
      <c r="E10" s="906">
        <f>+SUMIFS(全伝票!I:I,全伝票!$C:$C,$C10)</f>
        <v>8822500000</v>
      </c>
      <c r="F10" s="868"/>
      <c r="G10" s="867"/>
      <c r="H10" s="867"/>
      <c r="I10" s="867"/>
      <c r="J10" s="873"/>
      <c r="K10" s="872">
        <f t="shared" ref="K10:K15" si="15">SUM(F10:J10)</f>
        <v>0</v>
      </c>
      <c r="L10" s="876"/>
      <c r="M10" s="876"/>
      <c r="N10" s="868"/>
      <c r="O10" s="867"/>
      <c r="P10" s="867"/>
      <c r="Q10" s="867"/>
      <c r="R10" s="867"/>
      <c r="S10" s="867">
        <f t="shared" ref="S10:S15" si="16">SUM(N10:R10)</f>
        <v>0</v>
      </c>
      <c r="T10" s="875"/>
      <c r="U10" s="874">
        <f t="shared" ref="U10:U15" si="17">+V10-SUM(S10:T10)</f>
        <v>8822500000</v>
      </c>
      <c r="V10" s="896">
        <f>+SUMIFS(全伝票!P:P,全伝票!$C:$C,$C10)</f>
        <v>8822500000</v>
      </c>
      <c r="W10" s="868">
        <f t="shared" ref="W10:Z14" si="18">+ROUND(F10*F$6/(100+F$6),0)+AT10</f>
        <v>0</v>
      </c>
      <c r="X10" s="867">
        <f t="shared" si="18"/>
        <v>0</v>
      </c>
      <c r="Y10" s="867">
        <f t="shared" si="18"/>
        <v>0</v>
      </c>
      <c r="Z10" s="867">
        <f t="shared" si="18"/>
        <v>0</v>
      </c>
      <c r="AA10" s="873">
        <f>+ROUND(J10*J$6/(100+J$6),0)+AX10</f>
        <v>0</v>
      </c>
      <c r="AB10" s="872">
        <f t="shared" ref="AB10:AB15" si="19">SUM(W10:AA10)</f>
        <v>0</v>
      </c>
      <c r="AC10" s="871">
        <f t="shared" ref="AC10:AF14" si="20">+ROUND(N10*AC$6/(100+AC$6),0)+BI10</f>
        <v>0</v>
      </c>
      <c r="AD10" s="870">
        <f t="shared" si="20"/>
        <v>0</v>
      </c>
      <c r="AE10" s="870">
        <f t="shared" si="20"/>
        <v>0</v>
      </c>
      <c r="AF10" s="870">
        <f t="shared" si="20"/>
        <v>0</v>
      </c>
      <c r="AG10" s="870">
        <f>+ROUND(R10*AG$6/(100+AG$6),0)+BM10</f>
        <v>0</v>
      </c>
      <c r="AH10" s="866">
        <f t="shared" ref="AH10:AH15" si="21">SUM(AC10:AG10)</f>
        <v>0</v>
      </c>
      <c r="AI10" s="869">
        <f t="shared" ref="AI10:AI15" si="22">+E10-AB10</f>
        <v>8822500000</v>
      </c>
      <c r="AJ10" s="813"/>
      <c r="AK10" s="813"/>
      <c r="AL10" s="813"/>
      <c r="AM10" s="813"/>
      <c r="AN10" s="813"/>
      <c r="AO10" s="812"/>
      <c r="AP10" s="812"/>
      <c r="AQ10" s="812"/>
      <c r="AR10" s="812"/>
      <c r="AS10" s="812"/>
      <c r="AT10" s="811"/>
      <c r="AU10" s="811"/>
      <c r="AV10" s="811"/>
      <c r="AW10" s="811"/>
      <c r="AX10" s="811"/>
      <c r="BI10" s="811"/>
      <c r="BJ10" s="811"/>
      <c r="BK10" s="811"/>
      <c r="BL10" s="811"/>
      <c r="BM10" s="811"/>
    </row>
    <row r="11" spans="1:65" ht="15" customHeight="1" outlineLevel="1">
      <c r="A11" s="880"/>
      <c r="B11" s="879"/>
      <c r="C11" s="878">
        <v>112011011</v>
      </c>
      <c r="D11" s="877" t="s">
        <v>1393</v>
      </c>
      <c r="E11" s="906">
        <f>+SUMIFS(全伝票!I:I,全伝票!$C:$C,$C11)</f>
        <v>0</v>
      </c>
      <c r="F11" s="868"/>
      <c r="G11" s="867"/>
      <c r="H11" s="867"/>
      <c r="I11" s="867"/>
      <c r="J11" s="873"/>
      <c r="K11" s="872">
        <f t="shared" si="15"/>
        <v>0</v>
      </c>
      <c r="L11" s="876"/>
      <c r="M11" s="876"/>
      <c r="N11" s="868"/>
      <c r="O11" s="867"/>
      <c r="P11" s="867"/>
      <c r="Q11" s="867"/>
      <c r="R11" s="867"/>
      <c r="S11" s="867">
        <f t="shared" si="16"/>
        <v>0</v>
      </c>
      <c r="T11" s="875"/>
      <c r="U11" s="874">
        <f t="shared" si="17"/>
        <v>0</v>
      </c>
      <c r="V11" s="896">
        <f>+SUMIFS(全伝票!P:P,全伝票!$C:$C,$C11)</f>
        <v>0</v>
      </c>
      <c r="W11" s="868">
        <f t="shared" si="18"/>
        <v>0</v>
      </c>
      <c r="X11" s="867">
        <f t="shared" si="18"/>
        <v>0</v>
      </c>
      <c r="Y11" s="867">
        <f t="shared" si="18"/>
        <v>0</v>
      </c>
      <c r="Z11" s="867">
        <f t="shared" si="18"/>
        <v>0</v>
      </c>
      <c r="AA11" s="873">
        <f>+ROUND(J11*J$6/(100+J$6),0)+AX11</f>
        <v>0</v>
      </c>
      <c r="AB11" s="872">
        <f t="shared" si="19"/>
        <v>0</v>
      </c>
      <c r="AC11" s="871">
        <f t="shared" si="20"/>
        <v>0</v>
      </c>
      <c r="AD11" s="870">
        <f t="shared" si="20"/>
        <v>0</v>
      </c>
      <c r="AE11" s="870">
        <f t="shared" si="20"/>
        <v>0</v>
      </c>
      <c r="AF11" s="870">
        <f t="shared" si="20"/>
        <v>0</v>
      </c>
      <c r="AG11" s="870">
        <f>+ROUND(R11*AG$6/(100+AG$6),0)+BM11</f>
        <v>0</v>
      </c>
      <c r="AH11" s="866">
        <f t="shared" si="21"/>
        <v>0</v>
      </c>
      <c r="AI11" s="869">
        <f t="shared" si="22"/>
        <v>0</v>
      </c>
      <c r="AJ11" s="813"/>
      <c r="AK11" s="813"/>
      <c r="AL11" s="813"/>
      <c r="AM11" s="813"/>
      <c r="AN11" s="813"/>
      <c r="AO11" s="812"/>
      <c r="AP11" s="812"/>
      <c r="AQ11" s="812"/>
      <c r="AR11" s="812"/>
      <c r="AS11" s="812"/>
      <c r="AT11" s="811"/>
      <c r="AU11" s="811"/>
      <c r="AV11" s="811"/>
      <c r="AW11" s="811"/>
      <c r="AX11" s="811"/>
      <c r="BI11" s="811"/>
      <c r="BJ11" s="811"/>
      <c r="BK11" s="811"/>
      <c r="BL11" s="811"/>
      <c r="BM11" s="811"/>
    </row>
    <row r="12" spans="1:65" ht="15" customHeight="1">
      <c r="A12" s="880"/>
      <c r="B12" s="879"/>
      <c r="C12" s="878">
        <v>112011500</v>
      </c>
      <c r="D12" s="877" t="s">
        <v>1392</v>
      </c>
      <c r="E12" s="906">
        <f>+SUMIFS(全伝票!I:I,全伝票!$C:$C,$C12)</f>
        <v>493400000</v>
      </c>
      <c r="F12" s="868"/>
      <c r="G12" s="867"/>
      <c r="H12" s="867"/>
      <c r="I12" s="867"/>
      <c r="J12" s="873"/>
      <c r="K12" s="872">
        <f t="shared" si="15"/>
        <v>0</v>
      </c>
      <c r="L12" s="876"/>
      <c r="M12" s="876"/>
      <c r="N12" s="868"/>
      <c r="O12" s="867"/>
      <c r="P12" s="867"/>
      <c r="Q12" s="867"/>
      <c r="R12" s="867"/>
      <c r="S12" s="867">
        <f t="shared" si="16"/>
        <v>0</v>
      </c>
      <c r="T12" s="875"/>
      <c r="U12" s="874">
        <f t="shared" si="17"/>
        <v>493400000</v>
      </c>
      <c r="V12" s="896">
        <f>+SUMIFS(全伝票!P:P,全伝票!$C:$C,$C12)</f>
        <v>493400000</v>
      </c>
      <c r="W12" s="868">
        <f t="shared" si="18"/>
        <v>0</v>
      </c>
      <c r="X12" s="867">
        <f t="shared" si="18"/>
        <v>0</v>
      </c>
      <c r="Y12" s="867">
        <f t="shared" si="18"/>
        <v>0</v>
      </c>
      <c r="Z12" s="867">
        <f t="shared" si="18"/>
        <v>0</v>
      </c>
      <c r="AA12" s="873">
        <f>+ROUND(J12*J$6/(100+J$6),0)+AX12</f>
        <v>0</v>
      </c>
      <c r="AB12" s="872">
        <f t="shared" si="19"/>
        <v>0</v>
      </c>
      <c r="AC12" s="871">
        <f t="shared" si="20"/>
        <v>0</v>
      </c>
      <c r="AD12" s="870">
        <f t="shared" si="20"/>
        <v>0</v>
      </c>
      <c r="AE12" s="870">
        <f t="shared" si="20"/>
        <v>0</v>
      </c>
      <c r="AF12" s="870">
        <f t="shared" si="20"/>
        <v>0</v>
      </c>
      <c r="AG12" s="870">
        <f>+ROUND(R12*AG$6/(100+AG$6),0)+BM12</f>
        <v>0</v>
      </c>
      <c r="AH12" s="866">
        <f t="shared" si="21"/>
        <v>0</v>
      </c>
      <c r="AI12" s="869">
        <f t="shared" si="22"/>
        <v>493400000</v>
      </c>
      <c r="AJ12" s="813"/>
      <c r="AK12" s="813"/>
      <c r="AL12" s="813"/>
      <c r="AM12" s="813"/>
      <c r="AN12" s="813"/>
      <c r="AO12" s="812"/>
      <c r="AP12" s="812"/>
      <c r="AQ12" s="812"/>
      <c r="AR12" s="812"/>
      <c r="AS12" s="812"/>
      <c r="AT12" s="811"/>
      <c r="AU12" s="811"/>
      <c r="AV12" s="811"/>
      <c r="AW12" s="811"/>
      <c r="AX12" s="811"/>
      <c r="BI12" s="811"/>
      <c r="BJ12" s="811"/>
      <c r="BK12" s="811"/>
      <c r="BL12" s="811"/>
      <c r="BM12" s="811"/>
    </row>
    <row r="13" spans="1:65" ht="15" customHeight="1">
      <c r="A13" s="880"/>
      <c r="B13" s="879"/>
      <c r="C13" s="878">
        <v>112011200</v>
      </c>
      <c r="D13" s="877" t="s">
        <v>1391</v>
      </c>
      <c r="E13" s="906">
        <f>+SUMIFS(全伝票!I:I,全伝票!$C:$C,$C13)</f>
        <v>120200000</v>
      </c>
      <c r="F13" s="868"/>
      <c r="G13" s="867"/>
      <c r="H13" s="867"/>
      <c r="I13" s="867"/>
      <c r="J13" s="873"/>
      <c r="K13" s="872">
        <f t="shared" si="15"/>
        <v>0</v>
      </c>
      <c r="L13" s="876"/>
      <c r="M13" s="876"/>
      <c r="N13" s="868"/>
      <c r="O13" s="867"/>
      <c r="P13" s="867"/>
      <c r="Q13" s="867"/>
      <c r="R13" s="867"/>
      <c r="S13" s="867">
        <f t="shared" si="16"/>
        <v>0</v>
      </c>
      <c r="T13" s="875"/>
      <c r="U13" s="874">
        <f t="shared" si="17"/>
        <v>120200000</v>
      </c>
      <c r="V13" s="896">
        <f>+SUMIFS(全伝票!P:P,全伝票!$C:$C,$C13)</f>
        <v>120200000</v>
      </c>
      <c r="W13" s="868">
        <f t="shared" si="18"/>
        <v>0</v>
      </c>
      <c r="X13" s="867">
        <f t="shared" si="18"/>
        <v>0</v>
      </c>
      <c r="Y13" s="867">
        <f t="shared" si="18"/>
        <v>0</v>
      </c>
      <c r="Z13" s="867">
        <f t="shared" si="18"/>
        <v>0</v>
      </c>
      <c r="AA13" s="873">
        <f>+ROUND(J13*J$6/(100+J$6),0)+AX13</f>
        <v>0</v>
      </c>
      <c r="AB13" s="872">
        <f t="shared" si="19"/>
        <v>0</v>
      </c>
      <c r="AC13" s="871">
        <f t="shared" si="20"/>
        <v>0</v>
      </c>
      <c r="AD13" s="870">
        <f t="shared" si="20"/>
        <v>0</v>
      </c>
      <c r="AE13" s="870">
        <f t="shared" si="20"/>
        <v>0</v>
      </c>
      <c r="AF13" s="870">
        <f t="shared" si="20"/>
        <v>0</v>
      </c>
      <c r="AG13" s="870">
        <f>+ROUND(R13*AG$6/(100+AG$6),0)+BM13</f>
        <v>0</v>
      </c>
      <c r="AH13" s="866">
        <f t="shared" si="21"/>
        <v>0</v>
      </c>
      <c r="AI13" s="869">
        <f t="shared" si="22"/>
        <v>120200000</v>
      </c>
      <c r="AJ13" s="813"/>
      <c r="AK13" s="813"/>
      <c r="AL13" s="813"/>
      <c r="AM13" s="813"/>
      <c r="AN13" s="813"/>
      <c r="AO13" s="812"/>
      <c r="AP13" s="812"/>
      <c r="AQ13" s="812"/>
      <c r="AR13" s="812"/>
      <c r="AS13" s="812"/>
      <c r="AT13" s="811"/>
      <c r="AU13" s="811"/>
      <c r="AV13" s="811"/>
      <c r="AW13" s="811"/>
      <c r="AX13" s="811"/>
      <c r="BI13" s="811"/>
      <c r="BJ13" s="811"/>
      <c r="BK13" s="811"/>
      <c r="BL13" s="811"/>
      <c r="BM13" s="811"/>
    </row>
    <row r="14" spans="1:65" ht="15" customHeight="1">
      <c r="A14" s="880"/>
      <c r="B14" s="879"/>
      <c r="C14" s="878">
        <v>112011300</v>
      </c>
      <c r="D14" s="877" t="s">
        <v>1390</v>
      </c>
      <c r="E14" s="906">
        <f>+SUMIFS(全伝票!I:I,全伝票!$C:$C,$C14)</f>
        <v>5929500000</v>
      </c>
      <c r="F14" s="868"/>
      <c r="G14" s="867"/>
      <c r="H14" s="867"/>
      <c r="I14" s="867"/>
      <c r="J14" s="873"/>
      <c r="K14" s="872">
        <f t="shared" si="15"/>
        <v>0</v>
      </c>
      <c r="L14" s="876"/>
      <c r="M14" s="876"/>
      <c r="N14" s="868"/>
      <c r="O14" s="867"/>
      <c r="P14" s="867"/>
      <c r="Q14" s="867"/>
      <c r="R14" s="867"/>
      <c r="S14" s="867">
        <f t="shared" si="16"/>
        <v>0</v>
      </c>
      <c r="T14" s="875"/>
      <c r="U14" s="874">
        <f t="shared" si="17"/>
        <v>5929500000</v>
      </c>
      <c r="V14" s="896">
        <f>+SUMIFS(全伝票!P:P,全伝票!$C:$C,$C14)</f>
        <v>5929500000</v>
      </c>
      <c r="W14" s="868">
        <f t="shared" si="18"/>
        <v>0</v>
      </c>
      <c r="X14" s="867">
        <f t="shared" si="18"/>
        <v>0</v>
      </c>
      <c r="Y14" s="867">
        <f t="shared" si="18"/>
        <v>0</v>
      </c>
      <c r="Z14" s="867">
        <f t="shared" si="18"/>
        <v>0</v>
      </c>
      <c r="AA14" s="873">
        <f>+ROUND(J14*J$6/(100+J$6),0)+AX14</f>
        <v>0</v>
      </c>
      <c r="AB14" s="872">
        <f t="shared" si="19"/>
        <v>0</v>
      </c>
      <c r="AC14" s="871">
        <f t="shared" si="20"/>
        <v>0</v>
      </c>
      <c r="AD14" s="870">
        <f t="shared" si="20"/>
        <v>0</v>
      </c>
      <c r="AE14" s="870">
        <f t="shared" si="20"/>
        <v>0</v>
      </c>
      <c r="AF14" s="870">
        <f t="shared" si="20"/>
        <v>0</v>
      </c>
      <c r="AG14" s="870">
        <f>+ROUND(R14*AG$6/(100+AG$6),0)+BM14</f>
        <v>0</v>
      </c>
      <c r="AH14" s="866">
        <f t="shared" si="21"/>
        <v>0</v>
      </c>
      <c r="AI14" s="869">
        <f t="shared" si="22"/>
        <v>5929500000</v>
      </c>
      <c r="AJ14" s="813"/>
      <c r="AK14" s="813"/>
      <c r="AL14" s="813"/>
      <c r="AM14" s="813"/>
      <c r="AN14" s="813"/>
      <c r="AO14" s="812"/>
      <c r="AP14" s="812"/>
      <c r="AQ14" s="812"/>
      <c r="AR14" s="812"/>
      <c r="AS14" s="812"/>
      <c r="AT14" s="811"/>
      <c r="AU14" s="811"/>
      <c r="AV14" s="811"/>
      <c r="AW14" s="811"/>
      <c r="AX14" s="811"/>
      <c r="BI14" s="811"/>
      <c r="BJ14" s="811"/>
      <c r="BK14" s="811"/>
      <c r="BL14" s="811"/>
      <c r="BM14" s="811"/>
    </row>
    <row r="15" spans="1:65" ht="15" customHeight="1">
      <c r="A15" s="895"/>
      <c r="B15" s="894"/>
      <c r="C15" s="893">
        <v>112011600</v>
      </c>
      <c r="D15" s="877" t="s">
        <v>1423</v>
      </c>
      <c r="E15" s="906">
        <f>+SUMIFS(全伝票!I:I,全伝票!$C:$C,$C15)</f>
        <v>0</v>
      </c>
      <c r="F15" s="883"/>
      <c r="G15" s="882"/>
      <c r="H15" s="882"/>
      <c r="I15" s="882"/>
      <c r="J15" s="888"/>
      <c r="K15" s="872">
        <f t="shared" si="15"/>
        <v>0</v>
      </c>
      <c r="L15" s="891"/>
      <c r="M15" s="891"/>
      <c r="N15" s="883"/>
      <c r="O15" s="882"/>
      <c r="P15" s="882"/>
      <c r="Q15" s="882"/>
      <c r="R15" s="882"/>
      <c r="S15" s="867">
        <f t="shared" si="16"/>
        <v>0</v>
      </c>
      <c r="T15" s="890"/>
      <c r="U15" s="874">
        <f t="shared" si="17"/>
        <v>0</v>
      </c>
      <c r="V15" s="896">
        <f>+SUMIFS(全伝票!P:P,全伝票!$C:$C,$C15)</f>
        <v>0</v>
      </c>
      <c r="W15" s="868">
        <f t="shared" ref="W15" si="23">+ROUND(F15*F$6/(100+F$6),0)+AT15</f>
        <v>0</v>
      </c>
      <c r="X15" s="867">
        <f t="shared" ref="X15" si="24">+ROUND(G15*G$6/(100+G$6),0)+AU15</f>
        <v>0</v>
      </c>
      <c r="Y15" s="867">
        <f t="shared" ref="Y15:Z15" si="25">+ROUND(H15*H$6/(100+H$6),0)+AV15</f>
        <v>0</v>
      </c>
      <c r="Z15" s="867">
        <f t="shared" si="25"/>
        <v>0</v>
      </c>
      <c r="AA15" s="873">
        <f t="shared" ref="AA15" si="26">+ROUND(J15*J$6/(100+J$6),0)+AX15</f>
        <v>0</v>
      </c>
      <c r="AB15" s="872">
        <f t="shared" si="19"/>
        <v>0</v>
      </c>
      <c r="AC15" s="871">
        <f t="shared" ref="AC15" si="27">+ROUND(N15*AC$6/(100+AC$6),0)+BI15</f>
        <v>0</v>
      </c>
      <c r="AD15" s="870">
        <f t="shared" ref="AD15" si="28">+ROUND(O15*AD$6/(100+AD$6),0)+BJ15</f>
        <v>0</v>
      </c>
      <c r="AE15" s="870">
        <f t="shared" ref="AE15:AF15" si="29">+ROUND(P15*AE$6/(100+AE$6),0)+BK15</f>
        <v>0</v>
      </c>
      <c r="AF15" s="870">
        <f t="shared" si="29"/>
        <v>0</v>
      </c>
      <c r="AG15" s="870">
        <f t="shared" ref="AG15" si="30">+ROUND(R15*AG$6/(100+AG$6),0)+BM15</f>
        <v>0</v>
      </c>
      <c r="AH15" s="866">
        <f t="shared" si="21"/>
        <v>0</v>
      </c>
      <c r="AI15" s="869">
        <f t="shared" si="22"/>
        <v>0</v>
      </c>
      <c r="AJ15" s="813"/>
      <c r="AK15" s="813"/>
      <c r="AL15" s="813"/>
      <c r="AM15" s="813"/>
      <c r="AN15" s="813"/>
      <c r="AO15" s="812"/>
      <c r="AP15" s="812"/>
      <c r="AQ15" s="812"/>
      <c r="AR15" s="812"/>
      <c r="AS15" s="812"/>
      <c r="AT15" s="811"/>
      <c r="AU15" s="811"/>
      <c r="AV15" s="811"/>
      <c r="AW15" s="811"/>
      <c r="AX15" s="811"/>
      <c r="BI15" s="811"/>
      <c r="BJ15" s="811"/>
      <c r="BK15" s="811"/>
      <c r="BL15" s="811"/>
      <c r="BM15" s="811"/>
    </row>
    <row r="16" spans="1:65" ht="15" customHeight="1">
      <c r="A16" s="895"/>
      <c r="B16" s="894"/>
      <c r="C16" s="893"/>
      <c r="D16" s="892" t="s">
        <v>1389</v>
      </c>
      <c r="E16" s="891">
        <f t="shared" ref="E16:AI16" si="31">+SUM(E17:E19)</f>
        <v>17007700000</v>
      </c>
      <c r="F16" s="883">
        <f t="shared" si="31"/>
        <v>0</v>
      </c>
      <c r="G16" s="882">
        <f t="shared" si="31"/>
        <v>0</v>
      </c>
      <c r="H16" s="882">
        <f t="shared" si="31"/>
        <v>0</v>
      </c>
      <c r="I16" s="882">
        <f t="shared" ref="I16" si="32">+SUM(I17:I19)</f>
        <v>0</v>
      </c>
      <c r="J16" s="888">
        <f t="shared" si="31"/>
        <v>0</v>
      </c>
      <c r="K16" s="887">
        <f t="shared" si="31"/>
        <v>0</v>
      </c>
      <c r="L16" s="891">
        <f t="shared" si="31"/>
        <v>0</v>
      </c>
      <c r="M16" s="891">
        <f t="shared" si="31"/>
        <v>0</v>
      </c>
      <c r="N16" s="883">
        <f t="shared" si="31"/>
        <v>0</v>
      </c>
      <c r="O16" s="882">
        <f t="shared" si="31"/>
        <v>0</v>
      </c>
      <c r="P16" s="882">
        <f t="shared" si="31"/>
        <v>0</v>
      </c>
      <c r="Q16" s="882">
        <f t="shared" ref="Q16" si="33">+SUM(Q17:Q19)</f>
        <v>0</v>
      </c>
      <c r="R16" s="882">
        <f t="shared" si="31"/>
        <v>0</v>
      </c>
      <c r="S16" s="882">
        <f t="shared" si="31"/>
        <v>0</v>
      </c>
      <c r="T16" s="890">
        <f t="shared" si="31"/>
        <v>0</v>
      </c>
      <c r="U16" s="889">
        <f t="shared" si="31"/>
        <v>17007700000</v>
      </c>
      <c r="V16" s="887">
        <f t="shared" si="31"/>
        <v>17007700000</v>
      </c>
      <c r="W16" s="883">
        <f t="shared" si="31"/>
        <v>0</v>
      </c>
      <c r="X16" s="882">
        <f t="shared" si="31"/>
        <v>0</v>
      </c>
      <c r="Y16" s="882">
        <f t="shared" si="31"/>
        <v>0</v>
      </c>
      <c r="Z16" s="882">
        <f t="shared" ref="Z16" si="34">+SUM(Z17:Z19)</f>
        <v>0</v>
      </c>
      <c r="AA16" s="888">
        <f t="shared" si="31"/>
        <v>0</v>
      </c>
      <c r="AB16" s="887">
        <f t="shared" si="31"/>
        <v>0</v>
      </c>
      <c r="AC16" s="886">
        <f t="shared" si="31"/>
        <v>0</v>
      </c>
      <c r="AD16" s="885">
        <f t="shared" si="31"/>
        <v>0</v>
      </c>
      <c r="AE16" s="885">
        <f t="shared" si="31"/>
        <v>0</v>
      </c>
      <c r="AF16" s="885">
        <f t="shared" ref="AF16" si="35">+SUM(AF17:AF19)</f>
        <v>0</v>
      </c>
      <c r="AG16" s="885">
        <f t="shared" si="31"/>
        <v>0</v>
      </c>
      <c r="AH16" s="881">
        <f t="shared" si="31"/>
        <v>0</v>
      </c>
      <c r="AI16" s="884">
        <f t="shared" si="31"/>
        <v>17007700000</v>
      </c>
      <c r="AJ16" s="813"/>
      <c r="AK16" s="813"/>
      <c r="AL16" s="813"/>
      <c r="AM16" s="813"/>
      <c r="AN16" s="813"/>
      <c r="AO16" s="812"/>
      <c r="AP16" s="812"/>
      <c r="AQ16" s="812"/>
      <c r="AR16" s="812"/>
      <c r="AS16" s="812"/>
      <c r="AT16" s="811"/>
      <c r="AU16" s="811"/>
      <c r="AV16" s="811"/>
      <c r="AW16" s="811"/>
      <c r="AX16" s="811"/>
      <c r="BI16" s="811"/>
      <c r="BJ16" s="811"/>
      <c r="BK16" s="811"/>
      <c r="BL16" s="811"/>
      <c r="BM16" s="811"/>
    </row>
    <row r="17" spans="1:65" ht="15" customHeight="1">
      <c r="A17" s="865"/>
      <c r="B17" s="864"/>
      <c r="C17" s="863">
        <v>112021000</v>
      </c>
      <c r="D17" s="862" t="s">
        <v>1388</v>
      </c>
      <c r="E17" s="861">
        <f>+SUMIFS(全伝票!I:I,全伝票!$C:$C,$C17)</f>
        <v>0</v>
      </c>
      <c r="F17" s="851"/>
      <c r="G17" s="850"/>
      <c r="H17" s="850"/>
      <c r="I17" s="850"/>
      <c r="J17" s="856"/>
      <c r="K17" s="855">
        <f>SUM(F17:J17)</f>
        <v>0</v>
      </c>
      <c r="L17" s="860"/>
      <c r="M17" s="860"/>
      <c r="N17" s="851"/>
      <c r="O17" s="850"/>
      <c r="P17" s="850"/>
      <c r="Q17" s="850"/>
      <c r="R17" s="850"/>
      <c r="S17" s="850">
        <f>SUM(N17:R17)</f>
        <v>0</v>
      </c>
      <c r="T17" s="859"/>
      <c r="U17" s="858">
        <f>+V17-SUM(S17:T17)</f>
        <v>0</v>
      </c>
      <c r="V17" s="857">
        <f>+SUMIFS(全伝票!P:P,全伝票!$C:$C,$C17)</f>
        <v>0</v>
      </c>
      <c r="W17" s="851">
        <f t="shared" ref="W17:Z20" si="36">+ROUND(F17*F$6/(100+F$6),0)+AT17</f>
        <v>0</v>
      </c>
      <c r="X17" s="850">
        <f t="shared" si="36"/>
        <v>0</v>
      </c>
      <c r="Y17" s="850">
        <f t="shared" si="36"/>
        <v>0</v>
      </c>
      <c r="Z17" s="850">
        <f t="shared" si="36"/>
        <v>0</v>
      </c>
      <c r="AA17" s="856">
        <f>+ROUND(J17*J$6/(100+J$6),0)+AX17</f>
        <v>0</v>
      </c>
      <c r="AB17" s="855">
        <f>SUM(W17:AA17)</f>
        <v>0</v>
      </c>
      <c r="AC17" s="854">
        <f t="shared" ref="AC17:AF20" si="37">+ROUND(N17*AC$6/(100+AC$6),0)+BI17</f>
        <v>0</v>
      </c>
      <c r="AD17" s="853">
        <f t="shared" si="37"/>
        <v>0</v>
      </c>
      <c r="AE17" s="853">
        <f t="shared" si="37"/>
        <v>0</v>
      </c>
      <c r="AF17" s="853">
        <f t="shared" si="37"/>
        <v>0</v>
      </c>
      <c r="AG17" s="853">
        <f>+ROUND(R17*AG$6/(100+AG$6),0)+BM17</f>
        <v>0</v>
      </c>
      <c r="AH17" s="849">
        <f>SUM(AC17:AG17)</f>
        <v>0</v>
      </c>
      <c r="AI17" s="852">
        <f>+E17-AB17</f>
        <v>0</v>
      </c>
      <c r="AJ17" s="813"/>
      <c r="AK17" s="813"/>
      <c r="AL17" s="813"/>
      <c r="AM17" s="813"/>
      <c r="AN17" s="813"/>
      <c r="AO17" s="812"/>
      <c r="AP17" s="812"/>
      <c r="AQ17" s="812"/>
      <c r="AR17" s="812"/>
      <c r="AS17" s="812"/>
      <c r="AT17" s="811"/>
      <c r="AU17" s="811"/>
      <c r="AV17" s="811"/>
      <c r="AW17" s="811"/>
      <c r="AX17" s="811"/>
      <c r="BI17" s="811"/>
      <c r="BJ17" s="811"/>
      <c r="BK17" s="811"/>
      <c r="BL17" s="811"/>
      <c r="BM17" s="811"/>
    </row>
    <row r="18" spans="1:65" ht="15" customHeight="1">
      <c r="A18" s="865"/>
      <c r="B18" s="864"/>
      <c r="C18" s="863">
        <v>112023000</v>
      </c>
      <c r="D18" s="862" t="s">
        <v>1422</v>
      </c>
      <c r="E18" s="861">
        <f>+SUMIFS(全伝票!I:I,全伝票!$C:$C,$C18)</f>
        <v>0</v>
      </c>
      <c r="F18" s="851"/>
      <c r="G18" s="850"/>
      <c r="H18" s="850"/>
      <c r="I18" s="850"/>
      <c r="J18" s="856"/>
      <c r="K18" s="855">
        <f>SUM(F18:J18)</f>
        <v>0</v>
      </c>
      <c r="L18" s="860"/>
      <c r="M18" s="860"/>
      <c r="N18" s="851"/>
      <c r="O18" s="850"/>
      <c r="P18" s="850"/>
      <c r="Q18" s="850"/>
      <c r="R18" s="850"/>
      <c r="S18" s="850">
        <f>SUM(N18:R18)</f>
        <v>0</v>
      </c>
      <c r="T18" s="859"/>
      <c r="U18" s="858">
        <f>+V18-SUM(S18:T18)</f>
        <v>0</v>
      </c>
      <c r="V18" s="857">
        <f>+SUMIFS(全伝票!P:P,全伝票!$C:$C,$C18)</f>
        <v>0</v>
      </c>
      <c r="W18" s="851">
        <f t="shared" si="36"/>
        <v>0</v>
      </c>
      <c r="X18" s="850">
        <f t="shared" si="36"/>
        <v>0</v>
      </c>
      <c r="Y18" s="850">
        <f t="shared" si="36"/>
        <v>0</v>
      </c>
      <c r="Z18" s="850">
        <f t="shared" si="36"/>
        <v>0</v>
      </c>
      <c r="AA18" s="856">
        <f>+ROUND(J18*J$6/(100+J$6),0)+AX18</f>
        <v>0</v>
      </c>
      <c r="AB18" s="855">
        <f>SUM(W18:AA18)</f>
        <v>0</v>
      </c>
      <c r="AC18" s="854">
        <f t="shared" si="37"/>
        <v>0</v>
      </c>
      <c r="AD18" s="853">
        <f t="shared" si="37"/>
        <v>0</v>
      </c>
      <c r="AE18" s="853">
        <f t="shared" si="37"/>
        <v>0</v>
      </c>
      <c r="AF18" s="853">
        <f t="shared" si="37"/>
        <v>0</v>
      </c>
      <c r="AG18" s="853">
        <f>+ROUND(R18*AG$6/(100+AG$6),0)+BM18</f>
        <v>0</v>
      </c>
      <c r="AH18" s="849">
        <f>SUM(AC18:AG18)</f>
        <v>0</v>
      </c>
      <c r="AI18" s="852">
        <f>+E18-AB18</f>
        <v>0</v>
      </c>
      <c r="AJ18" s="813"/>
      <c r="AK18" s="813"/>
      <c r="AL18" s="813"/>
      <c r="AM18" s="813"/>
      <c r="AN18" s="813"/>
      <c r="AO18" s="812"/>
      <c r="AP18" s="812"/>
      <c r="AQ18" s="812"/>
      <c r="AR18" s="812"/>
      <c r="AS18" s="812"/>
      <c r="AT18" s="811"/>
      <c r="AU18" s="811"/>
      <c r="AV18" s="811"/>
      <c r="AW18" s="811"/>
      <c r="AX18" s="811"/>
      <c r="BI18" s="811"/>
      <c r="BJ18" s="811"/>
      <c r="BK18" s="811"/>
      <c r="BL18" s="811"/>
      <c r="BM18" s="811"/>
    </row>
    <row r="19" spans="1:65" ht="15" customHeight="1">
      <c r="A19" s="865"/>
      <c r="B19" s="864"/>
      <c r="C19" s="863">
        <v>112024000</v>
      </c>
      <c r="D19" s="862" t="s">
        <v>1421</v>
      </c>
      <c r="E19" s="861">
        <f>+SUMIFS(全伝票!I:I,全伝票!$C:$C,$C19)</f>
        <v>17007700000</v>
      </c>
      <c r="F19" s="851"/>
      <c r="G19" s="850"/>
      <c r="H19" s="850"/>
      <c r="I19" s="850"/>
      <c r="J19" s="856"/>
      <c r="K19" s="855">
        <f>SUM(F19:J19)</f>
        <v>0</v>
      </c>
      <c r="L19" s="860"/>
      <c r="M19" s="860"/>
      <c r="N19" s="851"/>
      <c r="O19" s="850"/>
      <c r="P19" s="850"/>
      <c r="Q19" s="850"/>
      <c r="R19" s="850"/>
      <c r="S19" s="850">
        <f>SUM(N19:R19)</f>
        <v>0</v>
      </c>
      <c r="T19" s="859"/>
      <c r="U19" s="858">
        <f>+V19-SUM(S19:T19)</f>
        <v>17007700000</v>
      </c>
      <c r="V19" s="857">
        <f>+SUMIFS(全伝票!P:P,全伝票!$C:$C,$C19)</f>
        <v>17007700000</v>
      </c>
      <c r="W19" s="851">
        <f t="shared" si="36"/>
        <v>0</v>
      </c>
      <c r="X19" s="850">
        <f t="shared" si="36"/>
        <v>0</v>
      </c>
      <c r="Y19" s="850">
        <f t="shared" si="36"/>
        <v>0</v>
      </c>
      <c r="Z19" s="850">
        <f t="shared" si="36"/>
        <v>0</v>
      </c>
      <c r="AA19" s="856">
        <f>+ROUND(J19*J$6/(100+J$6),0)+AX19</f>
        <v>0</v>
      </c>
      <c r="AB19" s="855">
        <f>SUM(W19:AA19)</f>
        <v>0</v>
      </c>
      <c r="AC19" s="854">
        <f t="shared" si="37"/>
        <v>0</v>
      </c>
      <c r="AD19" s="853">
        <f t="shared" si="37"/>
        <v>0</v>
      </c>
      <c r="AE19" s="853">
        <f t="shared" si="37"/>
        <v>0</v>
      </c>
      <c r="AF19" s="853">
        <f t="shared" si="37"/>
        <v>0</v>
      </c>
      <c r="AG19" s="853">
        <f>+ROUND(R19*AG$6/(100+AG$6),0)+BM19</f>
        <v>0</v>
      </c>
      <c r="AH19" s="849">
        <f>SUM(AC19:AG19)</f>
        <v>0</v>
      </c>
      <c r="AI19" s="852">
        <f>+E19-AB19</f>
        <v>17007700000</v>
      </c>
      <c r="AJ19" s="813"/>
      <c r="AK19" s="813"/>
      <c r="AL19" s="813"/>
      <c r="AM19" s="813"/>
      <c r="AN19" s="813"/>
      <c r="AO19" s="812"/>
      <c r="AP19" s="812"/>
      <c r="AQ19" s="812"/>
      <c r="AR19" s="812"/>
      <c r="AS19" s="812"/>
      <c r="AT19" s="811"/>
      <c r="AU19" s="811"/>
      <c r="AV19" s="811"/>
      <c r="AW19" s="811"/>
      <c r="AX19" s="811"/>
      <c r="BI19" s="811"/>
      <c r="BJ19" s="811"/>
      <c r="BK19" s="811"/>
      <c r="BL19" s="811"/>
      <c r="BM19" s="811"/>
    </row>
    <row r="20" spans="1:65" ht="15" customHeight="1">
      <c r="A20" s="865"/>
      <c r="B20" s="864"/>
      <c r="C20" s="863">
        <v>112031000</v>
      </c>
      <c r="D20" s="862" t="s">
        <v>1387</v>
      </c>
      <c r="E20" s="861">
        <f>+SUMIFS(全伝票!I:I,全伝票!$C:$C,$C20)</f>
        <v>0</v>
      </c>
      <c r="F20" s="851"/>
      <c r="G20" s="850"/>
      <c r="H20" s="850"/>
      <c r="I20" s="850"/>
      <c r="J20" s="856"/>
      <c r="K20" s="855">
        <f>SUM(F20:J20)</f>
        <v>0</v>
      </c>
      <c r="L20" s="860"/>
      <c r="M20" s="860"/>
      <c r="N20" s="851"/>
      <c r="O20" s="850"/>
      <c r="P20" s="850"/>
      <c r="Q20" s="850"/>
      <c r="R20" s="850"/>
      <c r="S20" s="850">
        <f>SUM(N20:R20)</f>
        <v>0</v>
      </c>
      <c r="T20" s="859"/>
      <c r="U20" s="858">
        <f>+V20-SUM(S20:T20)</f>
        <v>0</v>
      </c>
      <c r="V20" s="857">
        <f>+SUMIFS(全伝票!P:P,全伝票!$C:$C,$C20)</f>
        <v>0</v>
      </c>
      <c r="W20" s="851">
        <f t="shared" si="36"/>
        <v>0</v>
      </c>
      <c r="X20" s="850">
        <f t="shared" si="36"/>
        <v>0</v>
      </c>
      <c r="Y20" s="850">
        <f t="shared" si="36"/>
        <v>0</v>
      </c>
      <c r="Z20" s="850">
        <f t="shared" si="36"/>
        <v>0</v>
      </c>
      <c r="AA20" s="856">
        <f>+ROUND(J20*J$6/(100+J$6),0)+AX20</f>
        <v>0</v>
      </c>
      <c r="AB20" s="855">
        <f>SUM(W20:AA20)</f>
        <v>0</v>
      </c>
      <c r="AC20" s="854">
        <f t="shared" si="37"/>
        <v>0</v>
      </c>
      <c r="AD20" s="853">
        <f t="shared" si="37"/>
        <v>0</v>
      </c>
      <c r="AE20" s="853">
        <f t="shared" si="37"/>
        <v>0</v>
      </c>
      <c r="AF20" s="853">
        <f t="shared" si="37"/>
        <v>0</v>
      </c>
      <c r="AG20" s="853">
        <f>+ROUND(R20*AG$6/(100+AG$6),0)+BM20</f>
        <v>0</v>
      </c>
      <c r="AH20" s="849">
        <f>SUM(AC20:AG20)</f>
        <v>0</v>
      </c>
      <c r="AI20" s="852">
        <f>+E20-AB20</f>
        <v>0</v>
      </c>
      <c r="AJ20" s="813"/>
      <c r="AK20" s="813"/>
      <c r="AL20" s="813"/>
      <c r="AM20" s="813"/>
      <c r="AN20" s="813"/>
      <c r="AO20" s="812"/>
      <c r="AP20" s="812"/>
      <c r="AQ20" s="812"/>
      <c r="AR20" s="812"/>
      <c r="AS20" s="812"/>
      <c r="AT20" s="811"/>
      <c r="AU20" s="811"/>
      <c r="AV20" s="811"/>
      <c r="AW20" s="811"/>
      <c r="AX20" s="811"/>
      <c r="BI20" s="811"/>
      <c r="BJ20" s="811"/>
      <c r="BK20" s="811"/>
      <c r="BL20" s="811"/>
      <c r="BM20" s="811"/>
    </row>
    <row r="21" spans="1:65" ht="15" customHeight="1">
      <c r="A21" s="848"/>
      <c r="B21" s="847"/>
      <c r="C21" s="846"/>
      <c r="D21" s="845" t="s">
        <v>1386</v>
      </c>
      <c r="E21" s="844">
        <f t="shared" ref="E21:AI21" si="38">+E22</f>
        <v>3285504551</v>
      </c>
      <c r="F21" s="836">
        <f t="shared" si="38"/>
        <v>0</v>
      </c>
      <c r="G21" s="835">
        <f t="shared" si="38"/>
        <v>0</v>
      </c>
      <c r="H21" s="835">
        <f t="shared" si="38"/>
        <v>0</v>
      </c>
      <c r="I21" s="835">
        <f t="shared" si="38"/>
        <v>0</v>
      </c>
      <c r="J21" s="841">
        <f t="shared" si="38"/>
        <v>0</v>
      </c>
      <c r="K21" s="840">
        <f t="shared" si="38"/>
        <v>0</v>
      </c>
      <c r="L21" s="844">
        <f t="shared" si="38"/>
        <v>0</v>
      </c>
      <c r="M21" s="844">
        <f t="shared" si="38"/>
        <v>0</v>
      </c>
      <c r="N21" s="836">
        <f t="shared" si="38"/>
        <v>0</v>
      </c>
      <c r="O21" s="835">
        <f t="shared" si="38"/>
        <v>0</v>
      </c>
      <c r="P21" s="835">
        <f t="shared" si="38"/>
        <v>0</v>
      </c>
      <c r="Q21" s="835">
        <f t="shared" si="38"/>
        <v>0</v>
      </c>
      <c r="R21" s="835">
        <f t="shared" si="38"/>
        <v>0</v>
      </c>
      <c r="S21" s="835">
        <f t="shared" si="38"/>
        <v>0</v>
      </c>
      <c r="T21" s="843">
        <f t="shared" si="38"/>
        <v>0</v>
      </c>
      <c r="U21" s="842">
        <f t="shared" si="38"/>
        <v>3285504551</v>
      </c>
      <c r="V21" s="840">
        <f t="shared" si="38"/>
        <v>3285504551</v>
      </c>
      <c r="W21" s="836">
        <f t="shared" si="38"/>
        <v>0</v>
      </c>
      <c r="X21" s="835">
        <f t="shared" si="38"/>
        <v>0</v>
      </c>
      <c r="Y21" s="835">
        <f t="shared" si="38"/>
        <v>0</v>
      </c>
      <c r="Z21" s="835">
        <f t="shared" si="38"/>
        <v>0</v>
      </c>
      <c r="AA21" s="841">
        <f t="shared" si="38"/>
        <v>0</v>
      </c>
      <c r="AB21" s="840">
        <f t="shared" si="38"/>
        <v>0</v>
      </c>
      <c r="AC21" s="839">
        <f t="shared" si="38"/>
        <v>0</v>
      </c>
      <c r="AD21" s="838">
        <f t="shared" si="38"/>
        <v>0</v>
      </c>
      <c r="AE21" s="838">
        <f t="shared" si="38"/>
        <v>0</v>
      </c>
      <c r="AF21" s="838">
        <f t="shared" si="38"/>
        <v>0</v>
      </c>
      <c r="AG21" s="838">
        <f t="shared" si="38"/>
        <v>0</v>
      </c>
      <c r="AH21" s="834">
        <f t="shared" si="38"/>
        <v>0</v>
      </c>
      <c r="AI21" s="837">
        <f t="shared" si="38"/>
        <v>3285504551</v>
      </c>
      <c r="AJ21" s="813"/>
      <c r="AK21" s="813"/>
      <c r="AL21" s="813"/>
      <c r="AM21" s="813"/>
      <c r="AN21" s="813"/>
      <c r="AO21" s="812"/>
      <c r="AP21" s="812"/>
      <c r="AQ21" s="812"/>
      <c r="AR21" s="812"/>
      <c r="AS21" s="812"/>
      <c r="AT21" s="811"/>
      <c r="AU21" s="811"/>
      <c r="AV21" s="811"/>
      <c r="AW21" s="811"/>
      <c r="AX21" s="811"/>
      <c r="BI21" s="811"/>
      <c r="BJ21" s="811"/>
      <c r="BK21" s="811"/>
      <c r="BL21" s="811"/>
      <c r="BM21" s="811"/>
    </row>
    <row r="22" spans="1:65" ht="15" customHeight="1">
      <c r="A22" s="833"/>
      <c r="B22" s="832"/>
      <c r="C22" s="831">
        <v>116010100</v>
      </c>
      <c r="D22" s="830" t="s">
        <v>1385</v>
      </c>
      <c r="E22" s="929">
        <f>+'(繰)案'!E39</f>
        <v>3285504551</v>
      </c>
      <c r="F22" s="816"/>
      <c r="G22" s="815"/>
      <c r="H22" s="815"/>
      <c r="I22" s="815"/>
      <c r="J22" s="821"/>
      <c r="K22" s="820">
        <f>SUM(F22:J22)</f>
        <v>0</v>
      </c>
      <c r="L22" s="825"/>
      <c r="M22" s="825"/>
      <c r="N22" s="816"/>
      <c r="O22" s="815"/>
      <c r="P22" s="815"/>
      <c r="Q22" s="815"/>
      <c r="R22" s="815"/>
      <c r="S22" s="815">
        <f>SUM(N22:R22)</f>
        <v>0</v>
      </c>
      <c r="T22" s="824"/>
      <c r="U22" s="823">
        <f>+V22-SUM(S22:T22)</f>
        <v>3285504551</v>
      </c>
      <c r="V22" s="820">
        <f>+E22</f>
        <v>3285504551</v>
      </c>
      <c r="W22" s="816">
        <f>+ROUND(F22*F$6/(100+F$6),0)+AT22</f>
        <v>0</v>
      </c>
      <c r="X22" s="815">
        <f>+ROUND(G22*G$6/(100+G$6),0)+AU22</f>
        <v>0</v>
      </c>
      <c r="Y22" s="815">
        <f>+ROUND(H22*H$6/(100+H$6),0)+AV22</f>
        <v>0</v>
      </c>
      <c r="Z22" s="815">
        <f>+ROUND(I22*I$6/(100+I$6),0)+AW22</f>
        <v>0</v>
      </c>
      <c r="AA22" s="821">
        <f>+ROUND(J22*J$6/(100+J$6),0)+AX22</f>
        <v>0</v>
      </c>
      <c r="AB22" s="820">
        <f>SUM(W22:AA22)</f>
        <v>0</v>
      </c>
      <c r="AC22" s="819">
        <f>+ROUND(N22*AC$6/(100+AC$6),0)+BI22</f>
        <v>0</v>
      </c>
      <c r="AD22" s="818">
        <f>+ROUND(O22*AD$6/(100+AD$6),0)+BJ22</f>
        <v>0</v>
      </c>
      <c r="AE22" s="818">
        <f>+ROUND(P22*AE$6/(100+AE$6),0)+BK22</f>
        <v>0</v>
      </c>
      <c r="AF22" s="818">
        <f>+ROUND(Q22*AF$6/(100+AF$6),0)+BL22</f>
        <v>0</v>
      </c>
      <c r="AG22" s="818">
        <f>+ROUND(R22*AG$6/(100+AG$6),0)+BM22</f>
        <v>0</v>
      </c>
      <c r="AH22" s="814">
        <f>SUM(AC22:AG22)</f>
        <v>0</v>
      </c>
      <c r="AI22" s="817">
        <f>+E22-AB22</f>
        <v>3285504551</v>
      </c>
      <c r="AJ22" s="813"/>
      <c r="AK22" s="813"/>
      <c r="AL22" s="813"/>
      <c r="AM22" s="813"/>
      <c r="AN22" s="813"/>
      <c r="AO22" s="812"/>
      <c r="AP22" s="812"/>
      <c r="AQ22" s="812"/>
      <c r="AR22" s="812"/>
      <c r="AS22" s="812"/>
      <c r="AT22" s="811"/>
      <c r="AU22" s="811"/>
      <c r="AV22" s="811"/>
      <c r="AW22" s="811"/>
      <c r="AX22" s="811"/>
      <c r="BI22" s="811"/>
      <c r="BJ22" s="811"/>
      <c r="BK22" s="811"/>
      <c r="BL22" s="811"/>
      <c r="BM22" s="811"/>
    </row>
    <row r="23" spans="1:65" ht="15" customHeight="1">
      <c r="A23" s="848"/>
      <c r="B23" s="847"/>
      <c r="C23" s="846"/>
      <c r="D23" s="845" t="s">
        <v>1384</v>
      </c>
      <c r="E23" s="844">
        <f t="shared" ref="E23:AI23" si="39">+E24</f>
        <v>5717788000</v>
      </c>
      <c r="F23" s="836">
        <f t="shared" si="39"/>
        <v>0</v>
      </c>
      <c r="G23" s="835">
        <f t="shared" si="39"/>
        <v>0</v>
      </c>
      <c r="H23" s="835">
        <f t="shared" si="39"/>
        <v>0</v>
      </c>
      <c r="I23" s="835">
        <f t="shared" si="39"/>
        <v>0</v>
      </c>
      <c r="J23" s="841">
        <f t="shared" si="39"/>
        <v>0</v>
      </c>
      <c r="K23" s="840">
        <f t="shared" si="39"/>
        <v>0</v>
      </c>
      <c r="L23" s="844">
        <f t="shared" si="39"/>
        <v>0</v>
      </c>
      <c r="M23" s="844">
        <f t="shared" si="39"/>
        <v>0</v>
      </c>
      <c r="N23" s="836">
        <f t="shared" si="39"/>
        <v>0</v>
      </c>
      <c r="O23" s="835">
        <f t="shared" si="39"/>
        <v>0</v>
      </c>
      <c r="P23" s="835">
        <f t="shared" si="39"/>
        <v>0</v>
      </c>
      <c r="Q23" s="835">
        <f t="shared" si="39"/>
        <v>0</v>
      </c>
      <c r="R23" s="835">
        <f t="shared" si="39"/>
        <v>5712285006</v>
      </c>
      <c r="S23" s="835">
        <f t="shared" si="39"/>
        <v>5712285006</v>
      </c>
      <c r="T23" s="843">
        <f t="shared" si="39"/>
        <v>5502994</v>
      </c>
      <c r="U23" s="842">
        <f t="shared" si="39"/>
        <v>0</v>
      </c>
      <c r="V23" s="840">
        <f>+V24</f>
        <v>5717788000</v>
      </c>
      <c r="W23" s="836">
        <f t="shared" si="39"/>
        <v>0</v>
      </c>
      <c r="X23" s="835">
        <f t="shared" si="39"/>
        <v>0</v>
      </c>
      <c r="Y23" s="835">
        <f t="shared" si="39"/>
        <v>0</v>
      </c>
      <c r="Z23" s="835">
        <f t="shared" si="39"/>
        <v>0</v>
      </c>
      <c r="AA23" s="841">
        <f t="shared" si="39"/>
        <v>0</v>
      </c>
      <c r="AB23" s="840">
        <f t="shared" si="39"/>
        <v>0</v>
      </c>
      <c r="AC23" s="839">
        <f t="shared" si="39"/>
        <v>0</v>
      </c>
      <c r="AD23" s="838">
        <f t="shared" si="39"/>
        <v>0</v>
      </c>
      <c r="AE23" s="838">
        <f t="shared" si="39"/>
        <v>0</v>
      </c>
      <c r="AF23" s="838">
        <f t="shared" si="39"/>
        <v>0</v>
      </c>
      <c r="AG23" s="838">
        <f t="shared" si="39"/>
        <v>519298637</v>
      </c>
      <c r="AH23" s="834">
        <f t="shared" si="39"/>
        <v>519298637</v>
      </c>
      <c r="AI23" s="837">
        <f t="shared" si="39"/>
        <v>5717788000</v>
      </c>
      <c r="AJ23" s="813"/>
      <c r="AK23" s="813"/>
      <c r="AL23" s="813"/>
      <c r="AM23" s="813"/>
      <c r="AN23" s="813"/>
      <c r="AO23" s="812"/>
      <c r="AP23" s="812"/>
      <c r="AQ23" s="812"/>
      <c r="AR23" s="812"/>
      <c r="AS23" s="812"/>
      <c r="AT23" s="811"/>
      <c r="AU23" s="811"/>
      <c r="AV23" s="811"/>
      <c r="AW23" s="811"/>
      <c r="AX23" s="811"/>
      <c r="BI23" s="811"/>
      <c r="BJ23" s="811"/>
      <c r="BK23" s="811"/>
      <c r="BL23" s="811"/>
      <c r="BM23" s="811"/>
    </row>
    <row r="24" spans="1:65" ht="15" customHeight="1">
      <c r="A24" s="895"/>
      <c r="B24" s="894"/>
      <c r="C24" s="893"/>
      <c r="D24" s="892" t="s">
        <v>1383</v>
      </c>
      <c r="E24" s="891">
        <f>SUM(E25:E26,E31)</f>
        <v>5717788000</v>
      </c>
      <c r="F24" s="883">
        <f t="shared" ref="F24:AI24" si="40">SUM(F25:F26,F31)</f>
        <v>0</v>
      </c>
      <c r="G24" s="882">
        <f t="shared" si="40"/>
        <v>0</v>
      </c>
      <c r="H24" s="882">
        <f t="shared" si="40"/>
        <v>0</v>
      </c>
      <c r="I24" s="882">
        <f t="shared" ref="I24" si="41">SUM(I25:I26,I31)</f>
        <v>0</v>
      </c>
      <c r="J24" s="888">
        <f t="shared" si="40"/>
        <v>0</v>
      </c>
      <c r="K24" s="887">
        <f t="shared" si="40"/>
        <v>0</v>
      </c>
      <c r="L24" s="891">
        <f t="shared" si="40"/>
        <v>0</v>
      </c>
      <c r="M24" s="891">
        <f t="shared" si="40"/>
        <v>0</v>
      </c>
      <c r="N24" s="883">
        <f t="shared" si="40"/>
        <v>0</v>
      </c>
      <c r="O24" s="882">
        <f t="shared" si="40"/>
        <v>0</v>
      </c>
      <c r="P24" s="882">
        <f t="shared" si="40"/>
        <v>0</v>
      </c>
      <c r="Q24" s="882">
        <f t="shared" ref="Q24" si="42">SUM(Q25:Q26,Q31)</f>
        <v>0</v>
      </c>
      <c r="R24" s="882">
        <f t="shared" si="40"/>
        <v>5712285006</v>
      </c>
      <c r="S24" s="882">
        <f t="shared" si="40"/>
        <v>5712285006</v>
      </c>
      <c r="T24" s="890">
        <f t="shared" si="40"/>
        <v>5502994</v>
      </c>
      <c r="U24" s="889">
        <f t="shared" si="40"/>
        <v>0</v>
      </c>
      <c r="V24" s="887">
        <f>SUM(V25:V26,V31)</f>
        <v>5717788000</v>
      </c>
      <c r="W24" s="883">
        <f t="shared" si="40"/>
        <v>0</v>
      </c>
      <c r="X24" s="882">
        <f t="shared" si="40"/>
        <v>0</v>
      </c>
      <c r="Y24" s="882">
        <f t="shared" si="40"/>
        <v>0</v>
      </c>
      <c r="Z24" s="882">
        <f t="shared" ref="Z24" si="43">SUM(Z25:Z26,Z31)</f>
        <v>0</v>
      </c>
      <c r="AA24" s="888">
        <f t="shared" si="40"/>
        <v>0</v>
      </c>
      <c r="AB24" s="887">
        <f t="shared" si="40"/>
        <v>0</v>
      </c>
      <c r="AC24" s="886">
        <f t="shared" si="40"/>
        <v>0</v>
      </c>
      <c r="AD24" s="885">
        <f t="shared" si="40"/>
        <v>0</v>
      </c>
      <c r="AE24" s="885">
        <f t="shared" si="40"/>
        <v>0</v>
      </c>
      <c r="AF24" s="885">
        <f t="shared" ref="AF24" si="44">SUM(AF25:AF26,AF31)</f>
        <v>0</v>
      </c>
      <c r="AG24" s="885">
        <f t="shared" si="40"/>
        <v>519298637</v>
      </c>
      <c r="AH24" s="881">
        <f t="shared" si="40"/>
        <v>519298637</v>
      </c>
      <c r="AI24" s="884">
        <f t="shared" si="40"/>
        <v>5717788000</v>
      </c>
      <c r="AJ24" s="813"/>
      <c r="AK24" s="813"/>
      <c r="AL24" s="813"/>
      <c r="AM24" s="813"/>
      <c r="AN24" s="813"/>
      <c r="AO24" s="812"/>
      <c r="AP24" s="812"/>
      <c r="AQ24" s="812"/>
      <c r="AR24" s="812"/>
      <c r="AS24" s="812"/>
      <c r="AT24" s="811"/>
      <c r="AU24" s="811"/>
      <c r="AV24" s="811"/>
      <c r="AW24" s="811"/>
      <c r="AX24" s="811"/>
      <c r="BI24" s="811"/>
      <c r="BJ24" s="811"/>
      <c r="BK24" s="811"/>
      <c r="BL24" s="811"/>
      <c r="BM24" s="811"/>
    </row>
    <row r="25" spans="1:65" ht="15" customHeight="1">
      <c r="A25" s="880"/>
      <c r="B25" s="879"/>
      <c r="C25" s="878">
        <v>118040101</v>
      </c>
      <c r="D25" s="877" t="s">
        <v>1382</v>
      </c>
      <c r="E25" s="906">
        <f>+SUMIFS(全伝票!I:I,全伝票!$C:$C,$C25)</f>
        <v>5683800000</v>
      </c>
      <c r="F25" s="868"/>
      <c r="G25" s="867"/>
      <c r="H25" s="867"/>
      <c r="I25" s="867"/>
      <c r="J25" s="873"/>
      <c r="K25" s="872">
        <f>SUM(F25:J25)</f>
        <v>0</v>
      </c>
      <c r="L25" s="876">
        <f>+SUMIFS(全伝票!O:O,全伝票!$C:$C,$C25)</f>
        <v>0</v>
      </c>
      <c r="M25" s="876"/>
      <c r="N25" s="868"/>
      <c r="O25" s="905">
        <f>+'4条補助（公）'!K$6</f>
        <v>0</v>
      </c>
      <c r="P25" s="905">
        <f>+'4条補助（公）'!L$6</f>
        <v>0</v>
      </c>
      <c r="Q25" s="905">
        <f>+'4条補助（公）'!M$6</f>
        <v>0</v>
      </c>
      <c r="R25" s="905">
        <f>+'4条補助（公）'!N$6</f>
        <v>5678297006</v>
      </c>
      <c r="S25" s="867">
        <f>SUM(N25:R25)</f>
        <v>5678297006</v>
      </c>
      <c r="T25" s="904">
        <f>SUM('4条補助（公）'!$I$6)</f>
        <v>5502994</v>
      </c>
      <c r="U25" s="874">
        <f>+V25-SUM(S25:T25)</f>
        <v>0</v>
      </c>
      <c r="V25" s="896">
        <f>+SUMIFS(全伝票!P:P,全伝票!$C:$C,$C25)</f>
        <v>5683800000</v>
      </c>
      <c r="W25" s="868">
        <f>+ROUND(F25*F$6/(100+F$6),0)+AT25</f>
        <v>0</v>
      </c>
      <c r="X25" s="867">
        <f>+ROUND(G25*G$6/(100+G$6),0)+AU25</f>
        <v>0</v>
      </c>
      <c r="Y25" s="867">
        <f>+ROUND(H25*H$6/(100+H$6),0)+AV25</f>
        <v>0</v>
      </c>
      <c r="Z25" s="867">
        <f>+ROUND(I25*I$6/(100+I$6),0)+AW25</f>
        <v>0</v>
      </c>
      <c r="AA25" s="873">
        <f>+ROUND(J25*J$6/(100+J$6),0)+AX25</f>
        <v>0</v>
      </c>
      <c r="AB25" s="872">
        <f t="shared" ref="AB25:AB34" si="45">SUM(W25:AA25)</f>
        <v>0</v>
      </c>
      <c r="AC25" s="871">
        <f>+ROUND(N25*AC$6/(100+AC$6),0)+BI25</f>
        <v>0</v>
      </c>
      <c r="AD25" s="870">
        <f>+ROUND(O25*AD$6/(100+AD$6),0)+BJ25</f>
        <v>0</v>
      </c>
      <c r="AE25" s="870">
        <f>+ROUND(P25*AE$6/(100+AE$6),0)+BK25</f>
        <v>0</v>
      </c>
      <c r="AF25" s="870">
        <f>+ROUND(Q25*AF$6/(100+AF$6),0)+BL25</f>
        <v>0</v>
      </c>
      <c r="AG25" s="870">
        <f>+ROUND(R25*AG$6/(100+AG$6),0)+BM25</f>
        <v>516208819</v>
      </c>
      <c r="AH25" s="866">
        <f t="shared" ref="AH25:AH34" si="46">SUM(AC25:AG25)</f>
        <v>516208819</v>
      </c>
      <c r="AI25" s="869">
        <f t="shared" ref="AI25:AI34" si="47">+E25-AB25</f>
        <v>5683800000</v>
      </c>
      <c r="AJ25" s="813"/>
      <c r="AK25" s="813"/>
      <c r="AL25" s="813"/>
      <c r="AM25" s="813"/>
      <c r="AN25" s="813"/>
      <c r="AO25" s="812"/>
      <c r="AP25" s="812"/>
      <c r="AQ25" s="812"/>
      <c r="AR25" s="812"/>
      <c r="AS25" s="812"/>
      <c r="AT25" s="811"/>
      <c r="AU25" s="811"/>
      <c r="AV25" s="811"/>
      <c r="AW25" s="811"/>
      <c r="AX25" s="811"/>
      <c r="AY25" s="813">
        <f>AC25-N25*AC$6/(100+AC$6)</f>
        <v>0</v>
      </c>
      <c r="AZ25" s="813">
        <f>AD25-O25*AD$6/(100+AD$6)</f>
        <v>0</v>
      </c>
      <c r="BA25" s="813">
        <f>AE25-P25*AE$6/(100+AE$6)</f>
        <v>0</v>
      </c>
      <c r="BB25" s="813">
        <f>AF25-Q25*AF$6/(100+AF$6)</f>
        <v>0</v>
      </c>
      <c r="BC25" s="813">
        <f>AG25-R25*AG$6/(100+AG$6)</f>
        <v>0.27272725105285645</v>
      </c>
      <c r="BD25" s="812">
        <f>+IF(AC$93=0,0,IF(AC$93&lt;0,-RANK(AY25,AY$7:AY$90,0),RANK(AY25,AY$7:AY$90,1)))</f>
        <v>0</v>
      </c>
      <c r="BE25" s="812">
        <f>+IF(AD$93=0,0,IF(AD$93&lt;0,-RANK(AZ25,AZ$7:AZ$90,0),RANK(AZ25,AZ$7:AZ$90,1)))</f>
        <v>0</v>
      </c>
      <c r="BF25" s="812">
        <f>+IF(AE$93=0,0,IF(AE$93&lt;0,-RANK(BA25,BA$7:BA$90,0),RANK(BA25,BA$7:BA$90,1)))</f>
        <v>0</v>
      </c>
      <c r="BG25" s="812">
        <f>+IF(AF$93=0,0,IF(AF$93&lt;0,-RANK(BB25,BB$7:BB$90,0),RANK(BB25,BB$7:BB$90,1)))</f>
        <v>0</v>
      </c>
      <c r="BH25" s="812">
        <f>+IF(AG$93=0,0,IF(AG$93&lt;0,-RANK(BC25,BC$7:BC$90,0),RANK(BC25,BC$7:BC$90,1)))</f>
        <v>0</v>
      </c>
      <c r="BI25" s="811"/>
      <c r="BJ25" s="811"/>
      <c r="BK25" s="811"/>
      <c r="BL25" s="811"/>
      <c r="BM25" s="811"/>
    </row>
    <row r="26" spans="1:65" ht="15" customHeight="1">
      <c r="A26" s="880"/>
      <c r="B26" s="879"/>
      <c r="C26" s="878"/>
      <c r="D26" s="877" t="s">
        <v>1381</v>
      </c>
      <c r="E26" s="876">
        <f>SUM(E27:E30)</f>
        <v>0</v>
      </c>
      <c r="F26" s="868"/>
      <c r="G26" s="867"/>
      <c r="H26" s="867"/>
      <c r="I26" s="867"/>
      <c r="J26" s="873"/>
      <c r="K26" s="872">
        <f>SUM(K27:K30)</f>
        <v>0</v>
      </c>
      <c r="L26" s="876">
        <f>SUM(L27:L30)</f>
        <v>0</v>
      </c>
      <c r="M26" s="876">
        <f t="shared" ref="M26:S26" si="48">SUM(M27:M30)</f>
        <v>0</v>
      </c>
      <c r="N26" s="868">
        <f t="shared" si="48"/>
        <v>0</v>
      </c>
      <c r="O26" s="867">
        <f t="shared" si="48"/>
        <v>0</v>
      </c>
      <c r="P26" s="867">
        <f t="shared" si="48"/>
        <v>0</v>
      </c>
      <c r="Q26" s="867">
        <f t="shared" ref="Q26" si="49">SUM(Q27:Q30)</f>
        <v>0</v>
      </c>
      <c r="R26" s="867">
        <f t="shared" si="48"/>
        <v>0</v>
      </c>
      <c r="S26" s="867">
        <f t="shared" si="48"/>
        <v>0</v>
      </c>
      <c r="T26" s="875">
        <f>SUM(T27:T30)</f>
        <v>0</v>
      </c>
      <c r="U26" s="875">
        <f>SUM(U27:U30)</f>
        <v>0</v>
      </c>
      <c r="V26" s="872">
        <f>SUM(V27:V30)</f>
        <v>0</v>
      </c>
      <c r="W26" s="868">
        <f>SUM(W27:W30)</f>
        <v>0</v>
      </c>
      <c r="X26" s="867">
        <f t="shared" ref="X26:AA26" si="50">SUM(X27:X30)</f>
        <v>0</v>
      </c>
      <c r="Y26" s="867">
        <f t="shared" si="50"/>
        <v>0</v>
      </c>
      <c r="Z26" s="867">
        <f t="shared" ref="Z26" si="51">SUM(Z27:Z30)</f>
        <v>0</v>
      </c>
      <c r="AA26" s="873">
        <f t="shared" si="50"/>
        <v>0</v>
      </c>
      <c r="AB26" s="872">
        <f t="shared" si="45"/>
        <v>0</v>
      </c>
      <c r="AC26" s="871">
        <f t="shared" ref="AC26" si="52">SUM(AC27:AC30)</f>
        <v>0</v>
      </c>
      <c r="AD26" s="870">
        <f t="shared" ref="AD26" si="53">SUM(AD27:AD30)</f>
        <v>0</v>
      </c>
      <c r="AE26" s="870">
        <f t="shared" ref="AE26:AF26" si="54">SUM(AE27:AE30)</f>
        <v>0</v>
      </c>
      <c r="AF26" s="870">
        <f t="shared" si="54"/>
        <v>0</v>
      </c>
      <c r="AG26" s="870">
        <f t="shared" ref="AG26" si="55">SUM(AG27:AG30)</f>
        <v>0</v>
      </c>
      <c r="AH26" s="866">
        <f>SUM(AC26:AG26)</f>
        <v>0</v>
      </c>
      <c r="AI26" s="869">
        <f t="shared" ref="AI26" si="56">SUM(AI27:AI30)</f>
        <v>0</v>
      </c>
      <c r="AJ26" s="813"/>
      <c r="AK26" s="813"/>
      <c r="AL26" s="813"/>
      <c r="AM26" s="813"/>
      <c r="AN26" s="813"/>
      <c r="AO26" s="812"/>
      <c r="AP26" s="812"/>
      <c r="AQ26" s="812"/>
      <c r="AR26" s="812"/>
      <c r="AS26" s="812"/>
      <c r="AT26" s="811"/>
      <c r="AU26" s="811"/>
      <c r="AV26" s="811"/>
      <c r="AW26" s="811"/>
      <c r="AX26" s="811"/>
      <c r="AY26" s="813"/>
      <c r="AZ26" s="813"/>
      <c r="BA26" s="813"/>
      <c r="BB26" s="813"/>
      <c r="BC26" s="813"/>
      <c r="BD26" s="812"/>
      <c r="BE26" s="812"/>
      <c r="BF26" s="812"/>
      <c r="BG26" s="812"/>
      <c r="BH26" s="812"/>
      <c r="BI26" s="811"/>
      <c r="BJ26" s="811"/>
      <c r="BK26" s="811"/>
      <c r="BL26" s="811"/>
      <c r="BM26" s="811"/>
    </row>
    <row r="27" spans="1:65" ht="15" hidden="1" customHeight="1" outlineLevel="1">
      <c r="A27" s="880">
        <v>1</v>
      </c>
      <c r="B27" s="879"/>
      <c r="C27" s="878">
        <v>118040200</v>
      </c>
      <c r="D27" s="877" t="s">
        <v>1359</v>
      </c>
      <c r="E27" s="906">
        <f>SUMIFS(全伝票!I:I,全伝票!$C:$C,$C27,全伝票!$A:$A,$A27)</f>
        <v>0</v>
      </c>
      <c r="F27" s="868"/>
      <c r="G27" s="867"/>
      <c r="H27" s="867"/>
      <c r="I27" s="867"/>
      <c r="J27" s="873"/>
      <c r="K27" s="872">
        <f t="shared" ref="K27:K30" si="57">SUM(F27:J27)</f>
        <v>0</v>
      </c>
      <c r="L27" s="876"/>
      <c r="M27" s="876"/>
      <c r="N27" s="868"/>
      <c r="O27" s="905">
        <f>'4条その他'!K$9</f>
        <v>0</v>
      </c>
      <c r="P27" s="905">
        <f>'4条その他'!L$9</f>
        <v>0</v>
      </c>
      <c r="Q27" s="905">
        <f>'4条その他'!M$9</f>
        <v>0</v>
      </c>
      <c r="R27" s="905">
        <f>'4条その他'!N$9</f>
        <v>0</v>
      </c>
      <c r="S27" s="867">
        <f t="shared" ref="S27:S30" si="58">SUM(N27:R27)</f>
        <v>0</v>
      </c>
      <c r="T27" s="904">
        <f>'4条その他'!I$8</f>
        <v>0</v>
      </c>
      <c r="U27" s="874">
        <f t="shared" ref="U27:U30" si="59">+V27-SUM(S27:T27)</f>
        <v>0</v>
      </c>
      <c r="V27" s="896">
        <f>SUMIFS(全伝票!P:P,全伝票!$C:$C,$C27,全伝票!$A:$A,$A27)</f>
        <v>0</v>
      </c>
      <c r="W27" s="868">
        <f t="shared" ref="W27:W30" si="60">+ROUND(F27*F$6/(100+F$6),0)+AT27</f>
        <v>0</v>
      </c>
      <c r="X27" s="867">
        <f t="shared" ref="X27:X30" si="61">+ROUND(G27*G$6/(100+G$6),0)+AU27</f>
        <v>0</v>
      </c>
      <c r="Y27" s="867">
        <f t="shared" ref="Y27:Z30" si="62">+ROUND(H27*H$6/(100+H$6),0)+AV27</f>
        <v>0</v>
      </c>
      <c r="Z27" s="867">
        <f t="shared" si="62"/>
        <v>0</v>
      </c>
      <c r="AA27" s="873">
        <f t="shared" ref="AA27:AA30" si="63">+ROUND(J27*J$6/(100+J$6),0)+AX27</f>
        <v>0</v>
      </c>
      <c r="AB27" s="872">
        <f t="shared" ref="AB27:AB30" si="64">SUM(W27:AA27)</f>
        <v>0</v>
      </c>
      <c r="AC27" s="871">
        <f t="shared" ref="AC27:AC30" si="65">+ROUND(N27*AC$6/(100+AC$6),0)+BI27</f>
        <v>0</v>
      </c>
      <c r="AD27" s="870">
        <f t="shared" ref="AD27:AD30" si="66">+ROUND(O27*AD$6/(100+AD$6),0)+BJ27</f>
        <v>0</v>
      </c>
      <c r="AE27" s="870">
        <f t="shared" ref="AE27:AF30" si="67">+ROUND(P27*AE$6/(100+AE$6),0)+BK27</f>
        <v>0</v>
      </c>
      <c r="AF27" s="870">
        <f t="shared" si="67"/>
        <v>0</v>
      </c>
      <c r="AG27" s="870">
        <f t="shared" ref="AG27:AG30" si="68">+ROUND(R27*AG$6/(100+AG$6),0)+BM27</f>
        <v>0</v>
      </c>
      <c r="AH27" s="866">
        <f t="shared" ref="AH27:AH30" si="69">SUM(AC27:AG27)</f>
        <v>0</v>
      </c>
      <c r="AI27" s="869">
        <f t="shared" ref="AI27:AI30" si="70">+E27-AB27</f>
        <v>0</v>
      </c>
      <c r="AJ27" s="813"/>
      <c r="AK27" s="813"/>
      <c r="AL27" s="813"/>
      <c r="AM27" s="813"/>
      <c r="AN27" s="813"/>
      <c r="AO27" s="812"/>
      <c r="AP27" s="812"/>
      <c r="AQ27" s="812"/>
      <c r="AR27" s="812"/>
      <c r="AS27" s="812"/>
      <c r="AT27" s="811"/>
      <c r="AU27" s="811"/>
      <c r="AV27" s="811"/>
      <c r="AW27" s="811"/>
      <c r="AX27" s="811"/>
      <c r="AY27" s="813">
        <f t="shared" ref="AY27:AY30" si="71">AC27-N27*AC$6/(100+AC$6)</f>
        <v>0</v>
      </c>
      <c r="AZ27" s="813">
        <f t="shared" ref="AZ27:AZ30" si="72">AD27-O27*AD$6/(100+AD$6)</f>
        <v>0</v>
      </c>
      <c r="BA27" s="813">
        <f t="shared" ref="BA27:BB30" si="73">AE27-P27*AE$6/(100+AE$6)</f>
        <v>0</v>
      </c>
      <c r="BB27" s="813">
        <f t="shared" si="73"/>
        <v>0</v>
      </c>
      <c r="BC27" s="813">
        <f t="shared" ref="BC27:BC30" si="74">AG27-R27*AG$6/(100+AG$6)</f>
        <v>0</v>
      </c>
      <c r="BD27" s="812">
        <f t="shared" ref="BD27:BH30" si="75">+IF(AC$93=0,0,IF(AC$93&lt;0,-RANK(AY27,AY$7:AY$90,0),RANK(AY27,AY$7:AY$90,1)))</f>
        <v>0</v>
      </c>
      <c r="BE27" s="812">
        <f t="shared" si="75"/>
        <v>0</v>
      </c>
      <c r="BF27" s="812">
        <f t="shared" si="75"/>
        <v>0</v>
      </c>
      <c r="BG27" s="812">
        <f t="shared" si="75"/>
        <v>0</v>
      </c>
      <c r="BH27" s="812">
        <f t="shared" si="75"/>
        <v>0</v>
      </c>
      <c r="BI27" s="811"/>
      <c r="BJ27" s="811"/>
      <c r="BK27" s="811"/>
      <c r="BL27" s="811"/>
      <c r="BM27" s="811"/>
    </row>
    <row r="28" spans="1:65" ht="15" hidden="1" customHeight="1" outlineLevel="1">
      <c r="A28" s="880">
        <v>2</v>
      </c>
      <c r="B28" s="879"/>
      <c r="C28" s="878">
        <v>118040200</v>
      </c>
      <c r="D28" s="877" t="s">
        <v>1358</v>
      </c>
      <c r="E28" s="906">
        <f>SUMIFS(全伝票!I:I,全伝票!$C:$C,$C28,全伝票!$A:$A,$A28)</f>
        <v>0</v>
      </c>
      <c r="F28" s="868"/>
      <c r="G28" s="867"/>
      <c r="H28" s="867"/>
      <c r="I28" s="867"/>
      <c r="J28" s="873"/>
      <c r="K28" s="872">
        <f t="shared" si="57"/>
        <v>0</v>
      </c>
      <c r="L28" s="876"/>
      <c r="M28" s="876"/>
      <c r="N28" s="868"/>
      <c r="O28" s="905">
        <f>'4条その他'!K$23</f>
        <v>0</v>
      </c>
      <c r="P28" s="905">
        <f>'4条その他'!L$23</f>
        <v>0</v>
      </c>
      <c r="Q28" s="905">
        <f>'4条その他'!M$23</f>
        <v>0</v>
      </c>
      <c r="R28" s="905">
        <f>'4条その他'!N$23</f>
        <v>0</v>
      </c>
      <c r="S28" s="867">
        <f t="shared" si="58"/>
        <v>0</v>
      </c>
      <c r="T28" s="904">
        <f>'4条その他'!I$22</f>
        <v>0</v>
      </c>
      <c r="U28" s="874">
        <f t="shared" si="59"/>
        <v>0</v>
      </c>
      <c r="V28" s="896">
        <f>SUMIFS(全伝票!P:P,全伝票!$C:$C,$C28,全伝票!$A:$A,$A28)</f>
        <v>0</v>
      </c>
      <c r="W28" s="868">
        <f t="shared" si="60"/>
        <v>0</v>
      </c>
      <c r="X28" s="867">
        <f t="shared" si="61"/>
        <v>0</v>
      </c>
      <c r="Y28" s="867">
        <f t="shared" si="62"/>
        <v>0</v>
      </c>
      <c r="Z28" s="867">
        <f t="shared" si="62"/>
        <v>0</v>
      </c>
      <c r="AA28" s="873">
        <f t="shared" si="63"/>
        <v>0</v>
      </c>
      <c r="AB28" s="872">
        <f t="shared" si="64"/>
        <v>0</v>
      </c>
      <c r="AC28" s="871">
        <f t="shared" si="65"/>
        <v>0</v>
      </c>
      <c r="AD28" s="870">
        <f t="shared" si="66"/>
        <v>0</v>
      </c>
      <c r="AE28" s="870">
        <f t="shared" si="67"/>
        <v>0</v>
      </c>
      <c r="AF28" s="870">
        <f t="shared" si="67"/>
        <v>0</v>
      </c>
      <c r="AG28" s="870">
        <f t="shared" si="68"/>
        <v>0</v>
      </c>
      <c r="AH28" s="866">
        <f t="shared" si="69"/>
        <v>0</v>
      </c>
      <c r="AI28" s="869">
        <f t="shared" si="70"/>
        <v>0</v>
      </c>
      <c r="AJ28" s="813"/>
      <c r="AK28" s="813"/>
      <c r="AL28" s="813"/>
      <c r="AM28" s="813"/>
      <c r="AN28" s="813"/>
      <c r="AO28" s="812"/>
      <c r="AP28" s="812"/>
      <c r="AQ28" s="812"/>
      <c r="AR28" s="812"/>
      <c r="AS28" s="812"/>
      <c r="AT28" s="811"/>
      <c r="AU28" s="811"/>
      <c r="AV28" s="811"/>
      <c r="AW28" s="811"/>
      <c r="AX28" s="811"/>
      <c r="AY28" s="813">
        <f t="shared" si="71"/>
        <v>0</v>
      </c>
      <c r="AZ28" s="813">
        <f t="shared" si="72"/>
        <v>0</v>
      </c>
      <c r="BA28" s="813">
        <f t="shared" si="73"/>
        <v>0</v>
      </c>
      <c r="BB28" s="813">
        <f t="shared" si="73"/>
        <v>0</v>
      </c>
      <c r="BC28" s="813">
        <f t="shared" si="74"/>
        <v>0</v>
      </c>
      <c r="BD28" s="812">
        <f t="shared" si="75"/>
        <v>0</v>
      </c>
      <c r="BE28" s="812">
        <f t="shared" si="75"/>
        <v>0</v>
      </c>
      <c r="BF28" s="812">
        <f t="shared" si="75"/>
        <v>0</v>
      </c>
      <c r="BG28" s="812">
        <f t="shared" si="75"/>
        <v>0</v>
      </c>
      <c r="BH28" s="812">
        <f t="shared" si="75"/>
        <v>0</v>
      </c>
      <c r="BI28" s="811"/>
      <c r="BJ28" s="811"/>
      <c r="BK28" s="811"/>
      <c r="BL28" s="811"/>
      <c r="BM28" s="811"/>
    </row>
    <row r="29" spans="1:65" ht="15" hidden="1" customHeight="1" outlineLevel="1">
      <c r="A29" s="880">
        <v>3</v>
      </c>
      <c r="B29" s="879"/>
      <c r="C29" s="878">
        <v>118040200</v>
      </c>
      <c r="D29" s="877" t="s">
        <v>1357</v>
      </c>
      <c r="E29" s="906">
        <f>SUMIFS(全伝票!I:I,全伝票!$C:$C,$C29,全伝票!$A:$A,$A29)</f>
        <v>0</v>
      </c>
      <c r="F29" s="868"/>
      <c r="G29" s="867"/>
      <c r="H29" s="867"/>
      <c r="I29" s="867"/>
      <c r="J29" s="873"/>
      <c r="K29" s="872">
        <f t="shared" si="57"/>
        <v>0</v>
      </c>
      <c r="L29" s="876"/>
      <c r="M29" s="876"/>
      <c r="N29" s="868"/>
      <c r="O29" s="905">
        <f>'4条その他'!K$37</f>
        <v>0</v>
      </c>
      <c r="P29" s="905">
        <f>'4条その他'!L$37</f>
        <v>0</v>
      </c>
      <c r="Q29" s="905">
        <f>'4条その他'!M$37</f>
        <v>0</v>
      </c>
      <c r="R29" s="905">
        <f>'4条その他'!N$37</f>
        <v>0</v>
      </c>
      <c r="S29" s="867">
        <f t="shared" si="58"/>
        <v>0</v>
      </c>
      <c r="T29" s="904">
        <f>'4条その他'!I$36</f>
        <v>0</v>
      </c>
      <c r="U29" s="874">
        <f t="shared" si="59"/>
        <v>0</v>
      </c>
      <c r="V29" s="896">
        <f>SUMIFS(全伝票!P:P,全伝票!$C:$C,$C29,全伝票!$A:$A,$A29)</f>
        <v>0</v>
      </c>
      <c r="W29" s="868">
        <f t="shared" si="60"/>
        <v>0</v>
      </c>
      <c r="X29" s="867">
        <f t="shared" si="61"/>
        <v>0</v>
      </c>
      <c r="Y29" s="867">
        <f t="shared" si="62"/>
        <v>0</v>
      </c>
      <c r="Z29" s="867">
        <f t="shared" si="62"/>
        <v>0</v>
      </c>
      <c r="AA29" s="873">
        <f t="shared" si="63"/>
        <v>0</v>
      </c>
      <c r="AB29" s="872">
        <f t="shared" si="64"/>
        <v>0</v>
      </c>
      <c r="AC29" s="871">
        <f t="shared" si="65"/>
        <v>0</v>
      </c>
      <c r="AD29" s="870">
        <f t="shared" si="66"/>
        <v>0</v>
      </c>
      <c r="AE29" s="870">
        <f t="shared" si="67"/>
        <v>0</v>
      </c>
      <c r="AF29" s="870">
        <f t="shared" si="67"/>
        <v>0</v>
      </c>
      <c r="AG29" s="870">
        <f t="shared" si="68"/>
        <v>0</v>
      </c>
      <c r="AH29" s="866">
        <f t="shared" si="69"/>
        <v>0</v>
      </c>
      <c r="AI29" s="869">
        <f t="shared" si="70"/>
        <v>0</v>
      </c>
      <c r="AJ29" s="813"/>
      <c r="AK29" s="813"/>
      <c r="AL29" s="813"/>
      <c r="AM29" s="813"/>
      <c r="AN29" s="813"/>
      <c r="AO29" s="812"/>
      <c r="AP29" s="812"/>
      <c r="AQ29" s="812"/>
      <c r="AR29" s="812"/>
      <c r="AS29" s="812"/>
      <c r="AT29" s="811"/>
      <c r="AU29" s="811"/>
      <c r="AV29" s="811"/>
      <c r="AW29" s="811"/>
      <c r="AX29" s="811"/>
      <c r="AY29" s="813">
        <f t="shared" si="71"/>
        <v>0</v>
      </c>
      <c r="AZ29" s="813">
        <f t="shared" si="72"/>
        <v>0</v>
      </c>
      <c r="BA29" s="813">
        <f t="shared" si="73"/>
        <v>0</v>
      </c>
      <c r="BB29" s="813">
        <f t="shared" si="73"/>
        <v>0</v>
      </c>
      <c r="BC29" s="813">
        <f t="shared" si="74"/>
        <v>0</v>
      </c>
      <c r="BD29" s="812">
        <f t="shared" si="75"/>
        <v>0</v>
      </c>
      <c r="BE29" s="812">
        <f t="shared" si="75"/>
        <v>0</v>
      </c>
      <c r="BF29" s="812">
        <f t="shared" si="75"/>
        <v>0</v>
      </c>
      <c r="BG29" s="812">
        <f t="shared" si="75"/>
        <v>0</v>
      </c>
      <c r="BH29" s="812">
        <f t="shared" si="75"/>
        <v>0</v>
      </c>
      <c r="BI29" s="811"/>
      <c r="BJ29" s="811"/>
      <c r="BK29" s="811"/>
      <c r="BL29" s="811"/>
      <c r="BM29" s="811"/>
    </row>
    <row r="30" spans="1:65" ht="15" hidden="1" customHeight="1" outlineLevel="1">
      <c r="A30" s="880">
        <v>4</v>
      </c>
      <c r="B30" s="879"/>
      <c r="C30" s="878">
        <v>118040200</v>
      </c>
      <c r="D30" s="877" t="s">
        <v>1356</v>
      </c>
      <c r="E30" s="906">
        <f>SUMIFS(全伝票!I:I,全伝票!$C:$C,$C30,全伝票!$A:$A,$A30)</f>
        <v>0</v>
      </c>
      <c r="F30" s="868"/>
      <c r="G30" s="867"/>
      <c r="H30" s="867"/>
      <c r="I30" s="867"/>
      <c r="J30" s="873"/>
      <c r="K30" s="872">
        <f t="shared" si="57"/>
        <v>0</v>
      </c>
      <c r="L30" s="876"/>
      <c r="M30" s="876"/>
      <c r="N30" s="868"/>
      <c r="O30" s="905">
        <f>'4条その他'!K$51</f>
        <v>0</v>
      </c>
      <c r="P30" s="905">
        <f>'4条その他'!L$51</f>
        <v>0</v>
      </c>
      <c r="Q30" s="905">
        <f>'4条その他'!M$51</f>
        <v>0</v>
      </c>
      <c r="R30" s="905">
        <f>'4条その他'!N$51</f>
        <v>0</v>
      </c>
      <c r="S30" s="867">
        <f t="shared" si="58"/>
        <v>0</v>
      </c>
      <c r="T30" s="904">
        <f>'4条その他'!I$50</f>
        <v>0</v>
      </c>
      <c r="U30" s="874">
        <f t="shared" si="59"/>
        <v>0</v>
      </c>
      <c r="V30" s="896">
        <f>SUMIFS(全伝票!P:P,全伝票!$C:$C,$C30,全伝票!$A:$A,$A30)</f>
        <v>0</v>
      </c>
      <c r="W30" s="868">
        <f t="shared" si="60"/>
        <v>0</v>
      </c>
      <c r="X30" s="867">
        <f t="shared" si="61"/>
        <v>0</v>
      </c>
      <c r="Y30" s="867">
        <f t="shared" si="62"/>
        <v>0</v>
      </c>
      <c r="Z30" s="867">
        <f t="shared" si="62"/>
        <v>0</v>
      </c>
      <c r="AA30" s="873">
        <f t="shared" si="63"/>
        <v>0</v>
      </c>
      <c r="AB30" s="872">
        <f t="shared" si="64"/>
        <v>0</v>
      </c>
      <c r="AC30" s="871">
        <f t="shared" si="65"/>
        <v>0</v>
      </c>
      <c r="AD30" s="870">
        <f t="shared" si="66"/>
        <v>0</v>
      </c>
      <c r="AE30" s="870">
        <f t="shared" si="67"/>
        <v>0</v>
      </c>
      <c r="AF30" s="870">
        <f t="shared" si="67"/>
        <v>0</v>
      </c>
      <c r="AG30" s="870">
        <f t="shared" si="68"/>
        <v>0</v>
      </c>
      <c r="AH30" s="866">
        <f t="shared" si="69"/>
        <v>0</v>
      </c>
      <c r="AI30" s="869">
        <f t="shared" si="70"/>
        <v>0</v>
      </c>
      <c r="AJ30" s="813"/>
      <c r="AK30" s="813"/>
      <c r="AL30" s="813"/>
      <c r="AM30" s="813"/>
      <c r="AN30" s="813"/>
      <c r="AO30" s="812"/>
      <c r="AP30" s="812"/>
      <c r="AQ30" s="812"/>
      <c r="AR30" s="812"/>
      <c r="AS30" s="812"/>
      <c r="AT30" s="811"/>
      <c r="AU30" s="811"/>
      <c r="AV30" s="811"/>
      <c r="AW30" s="811"/>
      <c r="AX30" s="811"/>
      <c r="AY30" s="813">
        <f t="shared" si="71"/>
        <v>0</v>
      </c>
      <c r="AZ30" s="813">
        <f t="shared" si="72"/>
        <v>0</v>
      </c>
      <c r="BA30" s="813">
        <f t="shared" si="73"/>
        <v>0</v>
      </c>
      <c r="BB30" s="813">
        <f t="shared" si="73"/>
        <v>0</v>
      </c>
      <c r="BC30" s="813">
        <f t="shared" si="74"/>
        <v>0</v>
      </c>
      <c r="BD30" s="812">
        <f t="shared" si="75"/>
        <v>0</v>
      </c>
      <c r="BE30" s="812">
        <f t="shared" si="75"/>
        <v>0</v>
      </c>
      <c r="BF30" s="812">
        <f t="shared" si="75"/>
        <v>0</v>
      </c>
      <c r="BG30" s="812">
        <f t="shared" si="75"/>
        <v>0</v>
      </c>
      <c r="BH30" s="812">
        <f t="shared" si="75"/>
        <v>0</v>
      </c>
      <c r="BI30" s="811"/>
      <c r="BJ30" s="811"/>
      <c r="BK30" s="811"/>
      <c r="BL30" s="811"/>
      <c r="BM30" s="811"/>
    </row>
    <row r="31" spans="1:65" ht="15" customHeight="1" collapsed="1">
      <c r="A31" s="880"/>
      <c r="B31" s="879"/>
      <c r="C31" s="878"/>
      <c r="D31" s="877" t="s">
        <v>1424</v>
      </c>
      <c r="E31" s="876">
        <f t="shared" ref="E31:V31" si="76">+SUM(E32:E34)</f>
        <v>33988000</v>
      </c>
      <c r="F31" s="868">
        <f t="shared" si="76"/>
        <v>0</v>
      </c>
      <c r="G31" s="867">
        <f t="shared" si="76"/>
        <v>0</v>
      </c>
      <c r="H31" s="867">
        <f t="shared" si="76"/>
        <v>0</v>
      </c>
      <c r="I31" s="867">
        <f t="shared" ref="I31" si="77">+SUM(I32:I34)</f>
        <v>0</v>
      </c>
      <c r="J31" s="873">
        <f t="shared" si="76"/>
        <v>0</v>
      </c>
      <c r="K31" s="872">
        <f t="shared" si="76"/>
        <v>0</v>
      </c>
      <c r="L31" s="876">
        <f t="shared" si="76"/>
        <v>0</v>
      </c>
      <c r="M31" s="876">
        <f t="shared" si="76"/>
        <v>0</v>
      </c>
      <c r="N31" s="868">
        <f t="shared" si="76"/>
        <v>0</v>
      </c>
      <c r="O31" s="867">
        <f t="shared" si="76"/>
        <v>0</v>
      </c>
      <c r="P31" s="867">
        <f t="shared" si="76"/>
        <v>0</v>
      </c>
      <c r="Q31" s="867">
        <f t="shared" ref="Q31" si="78">+SUM(Q32:Q34)</f>
        <v>0</v>
      </c>
      <c r="R31" s="867">
        <f t="shared" si="76"/>
        <v>33988000</v>
      </c>
      <c r="S31" s="867">
        <f t="shared" si="76"/>
        <v>33988000</v>
      </c>
      <c r="T31" s="875">
        <f t="shared" si="76"/>
        <v>0</v>
      </c>
      <c r="U31" s="874">
        <f>+SUM(U32:U34)</f>
        <v>0</v>
      </c>
      <c r="V31" s="872">
        <f t="shared" si="76"/>
        <v>33988000</v>
      </c>
      <c r="W31" s="868">
        <f t="shared" ref="W31:Z34" si="79">+ROUND(F31*F$6/(100+F$6),0)+AT31</f>
        <v>0</v>
      </c>
      <c r="X31" s="867">
        <f t="shared" si="79"/>
        <v>0</v>
      </c>
      <c r="Y31" s="867">
        <f t="shared" si="79"/>
        <v>0</v>
      </c>
      <c r="Z31" s="867">
        <f t="shared" si="79"/>
        <v>0</v>
      </c>
      <c r="AA31" s="873">
        <f>+ROUND(J31*J$6/(100+J$6),0)+AX31</f>
        <v>0</v>
      </c>
      <c r="AB31" s="872">
        <f t="shared" si="45"/>
        <v>0</v>
      </c>
      <c r="AC31" s="854">
        <f>+SUM(AC32:AC34)</f>
        <v>0</v>
      </c>
      <c r="AD31" s="853">
        <f t="shared" ref="AD31" si="80">+SUM(AD32:AD34)</f>
        <v>0</v>
      </c>
      <c r="AE31" s="853">
        <f t="shared" ref="AE31:AF31" si="81">+SUM(AE32:AE34)</f>
        <v>0</v>
      </c>
      <c r="AF31" s="853">
        <f t="shared" si="81"/>
        <v>0</v>
      </c>
      <c r="AG31" s="853">
        <f t="shared" ref="AG31" si="82">+SUM(AG32:AG34)</f>
        <v>3089818</v>
      </c>
      <c r="AH31" s="849">
        <f t="shared" si="46"/>
        <v>3089818</v>
      </c>
      <c r="AI31" s="852">
        <f t="shared" si="47"/>
        <v>33988000</v>
      </c>
      <c r="AJ31" s="813"/>
      <c r="AK31" s="813"/>
      <c r="AL31" s="813"/>
      <c r="AM31" s="813"/>
      <c r="AN31" s="813"/>
      <c r="AO31" s="812"/>
      <c r="AP31" s="812"/>
      <c r="AQ31" s="812"/>
      <c r="AR31" s="812"/>
      <c r="AS31" s="812"/>
      <c r="AT31" s="811"/>
      <c r="AU31" s="811"/>
      <c r="AV31" s="811"/>
      <c r="AW31" s="811"/>
      <c r="AX31" s="811"/>
      <c r="AY31" s="813"/>
      <c r="AZ31" s="813"/>
      <c r="BA31" s="813"/>
      <c r="BB31" s="813"/>
      <c r="BC31" s="813"/>
      <c r="BD31" s="812"/>
      <c r="BE31" s="812"/>
      <c r="BF31" s="812"/>
      <c r="BG31" s="812"/>
      <c r="BH31" s="812"/>
      <c r="BI31" s="811"/>
      <c r="BJ31" s="811"/>
      <c r="BK31" s="811"/>
      <c r="BL31" s="811"/>
      <c r="BM31" s="811"/>
    </row>
    <row r="32" spans="1:65" ht="15" customHeight="1" outlineLevel="1">
      <c r="A32" s="865">
        <v>2</v>
      </c>
      <c r="B32" s="864"/>
      <c r="C32" s="863">
        <v>118040103</v>
      </c>
      <c r="D32" s="862" t="s">
        <v>1358</v>
      </c>
      <c r="E32" s="861">
        <f>+SUMIFS(全伝票!I:I,全伝票!$C:$C,$C32,全伝票!$A:$A,'4条収入'!$A32)</f>
        <v>30500000</v>
      </c>
      <c r="F32" s="851"/>
      <c r="G32" s="850"/>
      <c r="H32" s="850"/>
      <c r="I32" s="850"/>
      <c r="J32" s="856"/>
      <c r="K32" s="855">
        <f>SUM(F32:J32)</f>
        <v>0</v>
      </c>
      <c r="L32" s="860"/>
      <c r="M32" s="860"/>
      <c r="N32" s="851"/>
      <c r="O32" s="903">
        <f>+'4条補助（特）'!K$6</f>
        <v>0</v>
      </c>
      <c r="P32" s="903">
        <f>+'4条補助（特）'!L$6</f>
        <v>0</v>
      </c>
      <c r="Q32" s="903">
        <f>+'4条補助（特）'!M$6</f>
        <v>0</v>
      </c>
      <c r="R32" s="903">
        <f>+'4条補助（特）'!N$6</f>
        <v>30500000</v>
      </c>
      <c r="S32" s="850">
        <f>SUM(N32:R32)</f>
        <v>30500000</v>
      </c>
      <c r="T32" s="902">
        <f>+'4条補助（特）'!$I$6</f>
        <v>0</v>
      </c>
      <c r="U32" s="858">
        <f>+V32-SUM(S32:T32)</f>
        <v>0</v>
      </c>
      <c r="V32" s="857">
        <f>+SUMIFS(全伝票!P:P,全伝票!$C:$C,$C32,全伝票!$A:$A,'4条収入'!$A32)</f>
        <v>30500000</v>
      </c>
      <c r="W32" s="851">
        <f t="shared" si="79"/>
        <v>0</v>
      </c>
      <c r="X32" s="850">
        <f t="shared" si="79"/>
        <v>0</v>
      </c>
      <c r="Y32" s="850">
        <f t="shared" si="79"/>
        <v>0</v>
      </c>
      <c r="Z32" s="850">
        <f t="shared" si="79"/>
        <v>0</v>
      </c>
      <c r="AA32" s="856">
        <f>+ROUND(J32*J$6/(100+J$6),0)+AX32</f>
        <v>0</v>
      </c>
      <c r="AB32" s="855">
        <f t="shared" si="45"/>
        <v>0</v>
      </c>
      <c r="AC32" s="854">
        <f t="shared" ref="AC32:AF34" si="83">+ROUND(N32*AC$6/(100+AC$6),0)+BI32</f>
        <v>0</v>
      </c>
      <c r="AD32" s="853">
        <f t="shared" si="83"/>
        <v>0</v>
      </c>
      <c r="AE32" s="853">
        <f t="shared" si="83"/>
        <v>0</v>
      </c>
      <c r="AF32" s="853">
        <f t="shared" si="83"/>
        <v>0</v>
      </c>
      <c r="AG32" s="853">
        <f>+ROUND(R32*AG$6/(100+AG$6),0)+BM32</f>
        <v>2772727</v>
      </c>
      <c r="AH32" s="849">
        <f t="shared" si="46"/>
        <v>2772727</v>
      </c>
      <c r="AI32" s="852">
        <f t="shared" si="47"/>
        <v>30500000</v>
      </c>
      <c r="AJ32" s="813"/>
      <c r="AK32" s="813"/>
      <c r="AL32" s="813"/>
      <c r="AM32" s="813"/>
      <c r="AN32" s="813"/>
      <c r="AO32" s="812"/>
      <c r="AP32" s="812"/>
      <c r="AQ32" s="812"/>
      <c r="AR32" s="812"/>
      <c r="AS32" s="812"/>
      <c r="AT32" s="811"/>
      <c r="AU32" s="811"/>
      <c r="AV32" s="811"/>
      <c r="AW32" s="811"/>
      <c r="AX32" s="811"/>
      <c r="AY32" s="813"/>
      <c r="AZ32" s="813"/>
      <c r="BA32" s="813"/>
      <c r="BB32" s="813"/>
      <c r="BC32" s="813"/>
      <c r="BD32" s="812"/>
      <c r="BE32" s="812"/>
      <c r="BF32" s="812"/>
      <c r="BG32" s="812"/>
      <c r="BH32" s="812"/>
      <c r="BI32" s="811"/>
      <c r="BJ32" s="811"/>
      <c r="BK32" s="811"/>
      <c r="BL32" s="811"/>
      <c r="BM32" s="811"/>
    </row>
    <row r="33" spans="1:65" ht="15" customHeight="1" outlineLevel="1">
      <c r="A33" s="865">
        <v>3</v>
      </c>
      <c r="B33" s="864"/>
      <c r="C33" s="863">
        <v>118040400</v>
      </c>
      <c r="D33" s="862" t="s">
        <v>1357</v>
      </c>
      <c r="E33" s="861">
        <f>+SUMIFS(全伝票!I:I,全伝票!$C:$C,$C33,全伝票!$A:$A,'4条収入'!$A33)</f>
        <v>0</v>
      </c>
      <c r="F33" s="851"/>
      <c r="G33" s="850"/>
      <c r="H33" s="850"/>
      <c r="I33" s="850"/>
      <c r="J33" s="856"/>
      <c r="K33" s="855">
        <f>SUM(F33:J33)</f>
        <v>0</v>
      </c>
      <c r="L33" s="860"/>
      <c r="M33" s="860"/>
      <c r="N33" s="851"/>
      <c r="O33" s="903">
        <f>+'4条補助（農）'!K$6</f>
        <v>0</v>
      </c>
      <c r="P33" s="903">
        <f>+'4条補助（農）'!L$6</f>
        <v>0</v>
      </c>
      <c r="Q33" s="903">
        <f>+'4条補助（農）'!M$6</f>
        <v>0</v>
      </c>
      <c r="R33" s="903">
        <f>+'4条補助（農）'!N$6</f>
        <v>0</v>
      </c>
      <c r="S33" s="850">
        <f>SUM(N33:R33)</f>
        <v>0</v>
      </c>
      <c r="T33" s="902">
        <f>+'4条補助（農）'!$I$6</f>
        <v>0</v>
      </c>
      <c r="U33" s="858">
        <f>+V33-SUM(S33:T33)</f>
        <v>0</v>
      </c>
      <c r="V33" s="857">
        <f>+SUMIFS(全伝票!P:P,全伝票!$C:$C,$C33,全伝票!$A:$A,'4条収入'!$A33)</f>
        <v>0</v>
      </c>
      <c r="W33" s="851">
        <f t="shared" si="79"/>
        <v>0</v>
      </c>
      <c r="X33" s="850">
        <f t="shared" si="79"/>
        <v>0</v>
      </c>
      <c r="Y33" s="850">
        <f t="shared" si="79"/>
        <v>0</v>
      </c>
      <c r="Z33" s="850">
        <f t="shared" si="79"/>
        <v>0</v>
      </c>
      <c r="AA33" s="856">
        <f>+ROUND(J33*J$6/(100+J$6),0)+AX33</f>
        <v>0</v>
      </c>
      <c r="AB33" s="855">
        <f t="shared" si="45"/>
        <v>0</v>
      </c>
      <c r="AC33" s="854">
        <f t="shared" si="83"/>
        <v>0</v>
      </c>
      <c r="AD33" s="853">
        <f t="shared" si="83"/>
        <v>0</v>
      </c>
      <c r="AE33" s="853">
        <f t="shared" si="83"/>
        <v>0</v>
      </c>
      <c r="AF33" s="853">
        <f t="shared" si="83"/>
        <v>0</v>
      </c>
      <c r="AG33" s="853">
        <f>+ROUND(R33*AG$6/(100+AG$6),0)+BM33</f>
        <v>0</v>
      </c>
      <c r="AH33" s="849">
        <f t="shared" si="46"/>
        <v>0</v>
      </c>
      <c r="AI33" s="852">
        <f t="shared" si="47"/>
        <v>0</v>
      </c>
      <c r="AJ33" s="813"/>
      <c r="AK33" s="813"/>
      <c r="AL33" s="813"/>
      <c r="AM33" s="813"/>
      <c r="AN33" s="813"/>
      <c r="AO33" s="812"/>
      <c r="AP33" s="812"/>
      <c r="AQ33" s="812"/>
      <c r="AR33" s="812"/>
      <c r="AS33" s="812"/>
      <c r="AT33" s="811"/>
      <c r="AU33" s="811"/>
      <c r="AV33" s="811"/>
      <c r="AW33" s="811"/>
      <c r="AX33" s="811"/>
      <c r="AY33" s="813"/>
      <c r="AZ33" s="813"/>
      <c r="BA33" s="813"/>
      <c r="BB33" s="813"/>
      <c r="BC33" s="813"/>
      <c r="BD33" s="812"/>
      <c r="BE33" s="812"/>
      <c r="BF33" s="812"/>
      <c r="BG33" s="812"/>
      <c r="BH33" s="812"/>
      <c r="BI33" s="811"/>
      <c r="BJ33" s="811"/>
      <c r="BK33" s="811"/>
      <c r="BL33" s="811"/>
      <c r="BM33" s="811"/>
    </row>
    <row r="34" spans="1:65" ht="15" customHeight="1" outlineLevel="1">
      <c r="A34" s="865">
        <v>4</v>
      </c>
      <c r="B34" s="864"/>
      <c r="C34" s="863">
        <v>118040400</v>
      </c>
      <c r="D34" s="862" t="s">
        <v>1356</v>
      </c>
      <c r="E34" s="861">
        <f>+SUMIFS(全伝票!I:I,全伝票!$C:$C,$C34,全伝票!$A:$A,'4条収入'!$A34)</f>
        <v>3488000</v>
      </c>
      <c r="F34" s="851"/>
      <c r="G34" s="850"/>
      <c r="H34" s="850"/>
      <c r="I34" s="850"/>
      <c r="J34" s="856"/>
      <c r="K34" s="855">
        <f>SUM(F34:J34)</f>
        <v>0</v>
      </c>
      <c r="L34" s="860"/>
      <c r="M34" s="860"/>
      <c r="N34" s="851"/>
      <c r="O34" s="903">
        <f>+'4条補助（浄）'!K$6</f>
        <v>0</v>
      </c>
      <c r="P34" s="903">
        <f>+'4条補助（浄）'!L$6</f>
        <v>0</v>
      </c>
      <c r="Q34" s="903">
        <f>+'4条補助（浄）'!M$6</f>
        <v>0</v>
      </c>
      <c r="R34" s="903">
        <f>+'4条補助（浄）'!N$6</f>
        <v>3488000</v>
      </c>
      <c r="S34" s="850">
        <f>SUM(N34:R34)</f>
        <v>3488000</v>
      </c>
      <c r="T34" s="902">
        <f>+'4条補助（浄）'!$I$6</f>
        <v>0</v>
      </c>
      <c r="U34" s="858">
        <f>+V34-SUM(S34:T34)</f>
        <v>0</v>
      </c>
      <c r="V34" s="857">
        <f>+SUMIFS(全伝票!P:P,全伝票!$C:$C,$C34,全伝票!$A:$A,'4条収入'!$A34)</f>
        <v>3488000</v>
      </c>
      <c r="W34" s="851">
        <f t="shared" si="79"/>
        <v>0</v>
      </c>
      <c r="X34" s="850">
        <f t="shared" si="79"/>
        <v>0</v>
      </c>
      <c r="Y34" s="850">
        <f t="shared" si="79"/>
        <v>0</v>
      </c>
      <c r="Z34" s="850">
        <f t="shared" si="79"/>
        <v>0</v>
      </c>
      <c r="AA34" s="856">
        <f>+ROUND(J34*J$6/(100+J$6),0)+AX34</f>
        <v>0</v>
      </c>
      <c r="AB34" s="855">
        <f t="shared" si="45"/>
        <v>0</v>
      </c>
      <c r="AC34" s="854">
        <f t="shared" si="83"/>
        <v>0</v>
      </c>
      <c r="AD34" s="853">
        <f t="shared" si="83"/>
        <v>0</v>
      </c>
      <c r="AE34" s="853">
        <f t="shared" si="83"/>
        <v>0</v>
      </c>
      <c r="AF34" s="853">
        <f t="shared" si="83"/>
        <v>0</v>
      </c>
      <c r="AG34" s="853">
        <f>+ROUND(R34*AG$6/(100+AG$6),0)+BM34</f>
        <v>317091</v>
      </c>
      <c r="AH34" s="849">
        <f t="shared" si="46"/>
        <v>317091</v>
      </c>
      <c r="AI34" s="852">
        <f t="shared" si="47"/>
        <v>3488000</v>
      </c>
      <c r="AJ34" s="813"/>
      <c r="AK34" s="813"/>
      <c r="AL34" s="813"/>
      <c r="AM34" s="813"/>
      <c r="AN34" s="813"/>
      <c r="AO34" s="812"/>
      <c r="AP34" s="812"/>
      <c r="AQ34" s="812"/>
      <c r="AR34" s="812"/>
      <c r="AS34" s="812"/>
      <c r="AT34" s="811"/>
      <c r="AU34" s="811"/>
      <c r="AV34" s="811"/>
      <c r="AW34" s="811"/>
      <c r="AX34" s="811"/>
      <c r="AY34" s="813"/>
      <c r="AZ34" s="813"/>
      <c r="BA34" s="813"/>
      <c r="BB34" s="813"/>
      <c r="BC34" s="813"/>
      <c r="BD34" s="812"/>
      <c r="BE34" s="812"/>
      <c r="BF34" s="812"/>
      <c r="BG34" s="812"/>
      <c r="BH34" s="812"/>
      <c r="BI34" s="811"/>
      <c r="BJ34" s="811"/>
      <c r="BK34" s="811"/>
      <c r="BL34" s="811"/>
      <c r="BM34" s="811"/>
    </row>
    <row r="35" spans="1:65" ht="15" customHeight="1">
      <c r="A35" s="848"/>
      <c r="B35" s="847"/>
      <c r="C35" s="846"/>
      <c r="D35" s="845" t="s">
        <v>1380</v>
      </c>
      <c r="E35" s="844">
        <f t="shared" ref="E35:AI35" si="84">+E36</f>
        <v>0</v>
      </c>
      <c r="F35" s="836">
        <f t="shared" si="84"/>
        <v>0</v>
      </c>
      <c r="G35" s="835">
        <f t="shared" si="84"/>
        <v>0</v>
      </c>
      <c r="H35" s="835">
        <f t="shared" si="84"/>
        <v>0</v>
      </c>
      <c r="I35" s="835">
        <f t="shared" si="84"/>
        <v>0</v>
      </c>
      <c r="J35" s="841">
        <f t="shared" si="84"/>
        <v>0</v>
      </c>
      <c r="K35" s="840">
        <f t="shared" si="84"/>
        <v>0</v>
      </c>
      <c r="L35" s="844">
        <f t="shared" si="84"/>
        <v>0</v>
      </c>
      <c r="M35" s="844">
        <f t="shared" si="84"/>
        <v>0</v>
      </c>
      <c r="N35" s="836">
        <f t="shared" si="84"/>
        <v>0</v>
      </c>
      <c r="O35" s="835">
        <f t="shared" si="84"/>
        <v>0</v>
      </c>
      <c r="P35" s="835">
        <f t="shared" si="84"/>
        <v>0</v>
      </c>
      <c r="Q35" s="835">
        <f t="shared" si="84"/>
        <v>0</v>
      </c>
      <c r="R35" s="835">
        <f t="shared" si="84"/>
        <v>0</v>
      </c>
      <c r="S35" s="835">
        <f t="shared" si="84"/>
        <v>0</v>
      </c>
      <c r="T35" s="843">
        <f t="shared" si="84"/>
        <v>0</v>
      </c>
      <c r="U35" s="842">
        <f t="shared" si="84"/>
        <v>0</v>
      </c>
      <c r="V35" s="840">
        <f t="shared" si="84"/>
        <v>0</v>
      </c>
      <c r="W35" s="836">
        <f t="shared" si="84"/>
        <v>0</v>
      </c>
      <c r="X35" s="835">
        <f t="shared" si="84"/>
        <v>0</v>
      </c>
      <c r="Y35" s="835">
        <f t="shared" si="84"/>
        <v>0</v>
      </c>
      <c r="Z35" s="835">
        <f t="shared" si="84"/>
        <v>0</v>
      </c>
      <c r="AA35" s="841">
        <f t="shared" si="84"/>
        <v>0</v>
      </c>
      <c r="AB35" s="840">
        <f t="shared" si="84"/>
        <v>0</v>
      </c>
      <c r="AC35" s="839">
        <f t="shared" si="84"/>
        <v>0</v>
      </c>
      <c r="AD35" s="838">
        <f t="shared" si="84"/>
        <v>0</v>
      </c>
      <c r="AE35" s="838">
        <f t="shared" si="84"/>
        <v>0</v>
      </c>
      <c r="AF35" s="838">
        <f t="shared" si="84"/>
        <v>0</v>
      </c>
      <c r="AG35" s="838">
        <f t="shared" si="84"/>
        <v>0</v>
      </c>
      <c r="AH35" s="834">
        <f t="shared" si="84"/>
        <v>0</v>
      </c>
      <c r="AI35" s="837">
        <f t="shared" si="84"/>
        <v>0</v>
      </c>
      <c r="AJ35" s="813"/>
      <c r="AK35" s="813"/>
      <c r="AL35" s="813"/>
      <c r="AM35" s="813"/>
      <c r="AN35" s="813"/>
      <c r="AO35" s="812"/>
      <c r="AP35" s="812"/>
      <c r="AQ35" s="812"/>
      <c r="AR35" s="812"/>
      <c r="AS35" s="812"/>
      <c r="AT35" s="811"/>
      <c r="AU35" s="811"/>
      <c r="AV35" s="811"/>
      <c r="AW35" s="811"/>
      <c r="AX35" s="811"/>
      <c r="BI35" s="811"/>
      <c r="BJ35" s="811"/>
      <c r="BK35" s="811"/>
      <c r="BL35" s="811"/>
      <c r="BM35" s="811"/>
    </row>
    <row r="36" spans="1:65" ht="15" customHeight="1">
      <c r="A36" s="833"/>
      <c r="B36" s="832"/>
      <c r="C36" s="831">
        <v>119040100</v>
      </c>
      <c r="D36" s="830" t="s">
        <v>1379</v>
      </c>
      <c r="E36" s="826">
        <f>+SUMIFS(全伝票!I:I,全伝票!$C:$C,$C36)</f>
        <v>0</v>
      </c>
      <c r="F36" s="816"/>
      <c r="G36" s="815"/>
      <c r="H36" s="815"/>
      <c r="I36" s="815"/>
      <c r="J36" s="821"/>
      <c r="K36" s="820">
        <f>SUM(F36:J36)</f>
        <v>0</v>
      </c>
      <c r="L36" s="825"/>
      <c r="M36" s="825"/>
      <c r="N36" s="816"/>
      <c r="O36" s="815"/>
      <c r="P36" s="815"/>
      <c r="Q36" s="815"/>
      <c r="R36" s="815"/>
      <c r="S36" s="815">
        <f>SUM(N36:R36)</f>
        <v>0</v>
      </c>
      <c r="T36" s="824"/>
      <c r="U36" s="823">
        <f>+V36-SUM(S36:T36)</f>
        <v>0</v>
      </c>
      <c r="V36" s="820">
        <f>+SUMIFS(全伝票!P:P,全伝票!$C:$C,$C36)</f>
        <v>0</v>
      </c>
      <c r="W36" s="816">
        <f>+ROUND(F36*F$6/(100+F$6),0)+AT36</f>
        <v>0</v>
      </c>
      <c r="X36" s="815">
        <f>+ROUND(G36*G$6/(100+G$6),0)+AU36</f>
        <v>0</v>
      </c>
      <c r="Y36" s="815">
        <f>+ROUND(H36*H$6/(100+H$6),0)+AV36</f>
        <v>0</v>
      </c>
      <c r="Z36" s="815">
        <f>+ROUND(I36*I$6/(100+I$6),0)+AW36</f>
        <v>0</v>
      </c>
      <c r="AA36" s="821">
        <f>+ROUND(J36*J$6/(100+J$6),0)+AX36</f>
        <v>0</v>
      </c>
      <c r="AB36" s="820">
        <f>SUM(W36:AA36)</f>
        <v>0</v>
      </c>
      <c r="AC36" s="819">
        <f>+ROUND(N36*AC$6/(100+AC$6),0)+BI36</f>
        <v>0</v>
      </c>
      <c r="AD36" s="818">
        <f>+ROUND(O36*AD$6/(100+AD$6),0)+BJ36</f>
        <v>0</v>
      </c>
      <c r="AE36" s="818">
        <f>+ROUND(P36*AE$6/(100+AE$6),0)+BK36</f>
        <v>0</v>
      </c>
      <c r="AF36" s="818">
        <f>+ROUND(Q36*AF$6/(100+AF$6),0)+BL36</f>
        <v>0</v>
      </c>
      <c r="AG36" s="818">
        <f>+ROUND(R36*AG$6/(100+AG$6),0)+BM36</f>
        <v>0</v>
      </c>
      <c r="AH36" s="814">
        <f>SUM(AC36:AG36)</f>
        <v>0</v>
      </c>
      <c r="AI36" s="817">
        <f>+E36-AB36</f>
        <v>0</v>
      </c>
      <c r="AJ36" s="813"/>
      <c r="AK36" s="813"/>
      <c r="AL36" s="813"/>
      <c r="AM36" s="813"/>
      <c r="AN36" s="813"/>
      <c r="AO36" s="812"/>
      <c r="AP36" s="812"/>
      <c r="AQ36" s="812"/>
      <c r="AR36" s="812"/>
      <c r="AS36" s="812"/>
      <c r="AT36" s="811"/>
      <c r="AU36" s="811"/>
      <c r="AV36" s="811"/>
      <c r="AW36" s="811"/>
      <c r="AX36" s="811"/>
      <c r="AY36" s="813">
        <f>AC36-N36*AC$6/(100+AC$6)</f>
        <v>0</v>
      </c>
      <c r="AZ36" s="813">
        <f>AD36-O36*AD$6/(100+AD$6)</f>
        <v>0</v>
      </c>
      <c r="BA36" s="813">
        <f>AE36-P36*AE$6/(100+AE$6)</f>
        <v>0</v>
      </c>
      <c r="BB36" s="813">
        <f>AF36-Q36*AF$6/(100+AF$6)</f>
        <v>0</v>
      </c>
      <c r="BC36" s="813">
        <f>AG36-R36*AG$6/(100+AG$6)</f>
        <v>0</v>
      </c>
      <c r="BD36" s="812">
        <f>+IF(AC$93=0,0,IF(AC$93&lt;0,-RANK(AY36,AY$7:AY$90,0),RANK(AY36,AY$7:AY$90,1)))</f>
        <v>0</v>
      </c>
      <c r="BE36" s="812">
        <f>+IF(AD$93=0,0,IF(AD$93&lt;0,-RANK(AZ36,AZ$7:AZ$90,0),RANK(AZ36,AZ$7:AZ$90,1)))</f>
        <v>0</v>
      </c>
      <c r="BF36" s="812">
        <f>+IF(AE$93=0,0,IF(AE$93&lt;0,-RANK(BA36,BA$7:BA$90,0),RANK(BA36,BA$7:BA$90,1)))</f>
        <v>0</v>
      </c>
      <c r="BG36" s="812">
        <f>+IF(AF$93=0,0,IF(AF$93&lt;0,-RANK(BB36,BB$7:BB$90,0),RANK(BB36,BB$7:BB$90,1)))</f>
        <v>0</v>
      </c>
      <c r="BH36" s="812">
        <f>+IF(AG$93=0,0,IF(AG$93&lt;0,-RANK(BC36,BC$7:BC$90,0),RANK(BC36,BC$7:BC$90,1)))</f>
        <v>0</v>
      </c>
      <c r="BI36" s="811"/>
      <c r="BJ36" s="811"/>
      <c r="BK36" s="811"/>
      <c r="BL36" s="811"/>
      <c r="BM36" s="811"/>
    </row>
    <row r="37" spans="1:65" ht="15" customHeight="1">
      <c r="A37" s="848"/>
      <c r="B37" s="847"/>
      <c r="C37" s="846"/>
      <c r="D37" s="845" t="s">
        <v>1378</v>
      </c>
      <c r="E37" s="844">
        <f t="shared" ref="E37:AI37" si="85">+E38</f>
        <v>24373083</v>
      </c>
      <c r="F37" s="836">
        <f t="shared" si="85"/>
        <v>0</v>
      </c>
      <c r="G37" s="835">
        <f t="shared" si="85"/>
        <v>0</v>
      </c>
      <c r="H37" s="835">
        <f t="shared" si="85"/>
        <v>0</v>
      </c>
      <c r="I37" s="835">
        <f t="shared" si="85"/>
        <v>0</v>
      </c>
      <c r="J37" s="841">
        <f t="shared" si="85"/>
        <v>24373083</v>
      </c>
      <c r="K37" s="840">
        <f t="shared" si="85"/>
        <v>24373083</v>
      </c>
      <c r="L37" s="844">
        <f t="shared" si="85"/>
        <v>0</v>
      </c>
      <c r="M37" s="844">
        <f t="shared" si="85"/>
        <v>0</v>
      </c>
      <c r="N37" s="836">
        <f t="shared" si="85"/>
        <v>0</v>
      </c>
      <c r="O37" s="835">
        <f t="shared" si="85"/>
        <v>0</v>
      </c>
      <c r="P37" s="835">
        <f t="shared" si="85"/>
        <v>0</v>
      </c>
      <c r="Q37" s="835">
        <f t="shared" si="85"/>
        <v>0</v>
      </c>
      <c r="R37" s="835">
        <f t="shared" si="85"/>
        <v>0</v>
      </c>
      <c r="S37" s="835">
        <f t="shared" si="85"/>
        <v>0</v>
      </c>
      <c r="T37" s="843">
        <f t="shared" si="85"/>
        <v>0</v>
      </c>
      <c r="U37" s="842">
        <f t="shared" si="85"/>
        <v>0</v>
      </c>
      <c r="V37" s="840">
        <f t="shared" si="85"/>
        <v>0</v>
      </c>
      <c r="W37" s="836">
        <f t="shared" si="85"/>
        <v>0</v>
      </c>
      <c r="X37" s="835">
        <f t="shared" si="85"/>
        <v>0</v>
      </c>
      <c r="Y37" s="835">
        <f t="shared" si="85"/>
        <v>0</v>
      </c>
      <c r="Z37" s="835">
        <f t="shared" si="85"/>
        <v>0</v>
      </c>
      <c r="AA37" s="841">
        <f t="shared" si="85"/>
        <v>2215735</v>
      </c>
      <c r="AB37" s="840">
        <f t="shared" si="85"/>
        <v>2215735</v>
      </c>
      <c r="AC37" s="839">
        <f t="shared" si="85"/>
        <v>0</v>
      </c>
      <c r="AD37" s="838">
        <f t="shared" si="85"/>
        <v>0</v>
      </c>
      <c r="AE37" s="838">
        <f t="shared" si="85"/>
        <v>0</v>
      </c>
      <c r="AF37" s="838">
        <f t="shared" si="85"/>
        <v>0</v>
      </c>
      <c r="AG37" s="838">
        <f t="shared" si="85"/>
        <v>0</v>
      </c>
      <c r="AH37" s="834">
        <f t="shared" si="85"/>
        <v>0</v>
      </c>
      <c r="AI37" s="837">
        <f t="shared" si="85"/>
        <v>22157348</v>
      </c>
      <c r="AJ37" s="813"/>
      <c r="AK37" s="813"/>
      <c r="AL37" s="813"/>
      <c r="AM37" s="813"/>
      <c r="AN37" s="813"/>
      <c r="AO37" s="812"/>
      <c r="AP37" s="812"/>
      <c r="AQ37" s="812"/>
      <c r="AR37" s="812"/>
      <c r="AS37" s="812"/>
      <c r="AT37" s="811"/>
      <c r="AU37" s="811"/>
      <c r="AV37" s="811"/>
      <c r="AW37" s="811"/>
      <c r="AX37" s="811"/>
      <c r="BI37" s="811"/>
      <c r="BJ37" s="811"/>
      <c r="BK37" s="811"/>
      <c r="BL37" s="811"/>
      <c r="BM37" s="811"/>
    </row>
    <row r="38" spans="1:65" ht="15" customHeight="1">
      <c r="A38" s="833"/>
      <c r="B38" s="832"/>
      <c r="C38" s="831"/>
      <c r="D38" s="830" t="s">
        <v>1377</v>
      </c>
      <c r="E38" s="825">
        <f t="shared" ref="E38:AA38" si="86">+SUM(E39:E41)</f>
        <v>24373083</v>
      </c>
      <c r="F38" s="816">
        <f t="shared" si="86"/>
        <v>0</v>
      </c>
      <c r="G38" s="815">
        <f t="shared" si="86"/>
        <v>0</v>
      </c>
      <c r="H38" s="815">
        <f t="shared" si="86"/>
        <v>0</v>
      </c>
      <c r="I38" s="815">
        <f t="shared" ref="I38" si="87">+SUM(I39:I41)</f>
        <v>0</v>
      </c>
      <c r="J38" s="821">
        <f t="shared" si="86"/>
        <v>24373083</v>
      </c>
      <c r="K38" s="820">
        <f t="shared" si="86"/>
        <v>24373083</v>
      </c>
      <c r="L38" s="825">
        <f t="shared" si="86"/>
        <v>0</v>
      </c>
      <c r="M38" s="825">
        <f t="shared" si="86"/>
        <v>0</v>
      </c>
      <c r="N38" s="816">
        <f t="shared" si="86"/>
        <v>0</v>
      </c>
      <c r="O38" s="815">
        <f t="shared" si="86"/>
        <v>0</v>
      </c>
      <c r="P38" s="815">
        <f t="shared" si="86"/>
        <v>0</v>
      </c>
      <c r="Q38" s="815">
        <f t="shared" ref="Q38" si="88">+SUM(Q39:Q41)</f>
        <v>0</v>
      </c>
      <c r="R38" s="815">
        <f t="shared" si="86"/>
        <v>0</v>
      </c>
      <c r="S38" s="815">
        <f t="shared" si="86"/>
        <v>0</v>
      </c>
      <c r="T38" s="824">
        <f t="shared" si="86"/>
        <v>0</v>
      </c>
      <c r="U38" s="823">
        <f t="shared" si="86"/>
        <v>0</v>
      </c>
      <c r="V38" s="820">
        <f t="shared" si="86"/>
        <v>0</v>
      </c>
      <c r="W38" s="816">
        <f t="shared" si="86"/>
        <v>0</v>
      </c>
      <c r="X38" s="815">
        <f t="shared" si="86"/>
        <v>0</v>
      </c>
      <c r="Y38" s="815">
        <f t="shared" si="86"/>
        <v>0</v>
      </c>
      <c r="Z38" s="815">
        <f t="shared" ref="Z38" si="89">+SUM(Z39:Z41)</f>
        <v>0</v>
      </c>
      <c r="AA38" s="821">
        <f t="shared" si="86"/>
        <v>2215735</v>
      </c>
      <c r="AB38" s="820">
        <f>SUM(W38:AA38)</f>
        <v>2215735</v>
      </c>
      <c r="AC38" s="819">
        <f t="shared" ref="AC38:AC41" si="90">+ROUND(N38*AC$6/(100+AC$6),0)+BI38</f>
        <v>0</v>
      </c>
      <c r="AD38" s="818">
        <f t="shared" ref="AD38:AD41" si="91">+ROUND(O38*AD$6/(100+AD$6),0)+BJ38</f>
        <v>0</v>
      </c>
      <c r="AE38" s="818">
        <f t="shared" ref="AE38:AF41" si="92">+ROUND(P38*AE$6/(100+AE$6),0)+BK38</f>
        <v>0</v>
      </c>
      <c r="AF38" s="818">
        <f t="shared" si="92"/>
        <v>0</v>
      </c>
      <c r="AG38" s="818">
        <f t="shared" ref="AG38:AG41" si="93">+ROUND(R38*AG$6/(100+AG$6),0)+BM38</f>
        <v>0</v>
      </c>
      <c r="AH38" s="814">
        <f>SUM(AC38:AG38)</f>
        <v>0</v>
      </c>
      <c r="AI38" s="817">
        <f>+E38-AB38</f>
        <v>22157348</v>
      </c>
      <c r="AJ38" s="923"/>
      <c r="AK38" s="923"/>
      <c r="AL38" s="923"/>
      <c r="AM38" s="923"/>
      <c r="AN38" s="923"/>
      <c r="AO38" s="924"/>
      <c r="AP38" s="924"/>
      <c r="AQ38" s="924"/>
      <c r="AR38" s="924"/>
      <c r="AS38" s="924"/>
      <c r="AT38" s="925"/>
      <c r="AU38" s="925"/>
      <c r="AV38" s="925"/>
      <c r="AW38" s="925"/>
      <c r="AX38" s="925"/>
      <c r="AY38" s="923"/>
      <c r="AZ38" s="923"/>
      <c r="BA38" s="923"/>
      <c r="BB38" s="923"/>
      <c r="BC38" s="923"/>
      <c r="BD38" s="924"/>
      <c r="BE38" s="924"/>
      <c r="BF38" s="924"/>
      <c r="BG38" s="924"/>
      <c r="BH38" s="924"/>
      <c r="BI38" s="925"/>
      <c r="BJ38" s="925"/>
      <c r="BK38" s="925"/>
      <c r="BL38" s="925"/>
      <c r="BM38" s="925"/>
    </row>
    <row r="39" spans="1:65" ht="15" customHeight="1" outlineLevel="1">
      <c r="A39" s="865">
        <v>1</v>
      </c>
      <c r="B39" s="864"/>
      <c r="C39" s="863">
        <v>160010100</v>
      </c>
      <c r="D39" s="862" t="s">
        <v>1359</v>
      </c>
      <c r="E39" s="861">
        <f>+SUMIFS(全伝票!I:I,全伝票!$C:$C,$C39,全伝票!$A:$A,$A39)</f>
        <v>24373083</v>
      </c>
      <c r="F39" s="851">
        <f>+SUMIFS(全伝票!J:J,全伝票!$C:$C,$C39,全伝票!$A:$A,$A39)</f>
        <v>0</v>
      </c>
      <c r="G39" s="850">
        <f>+SUMIFS(全伝票!K:K,全伝票!$C:$C,$C39,全伝票!$A:$A,$A39)</f>
        <v>0</v>
      </c>
      <c r="H39" s="850">
        <f>+SUMIFS(全伝票!L:L,全伝票!$C:$C,$C39,全伝票!$A:$A,$A39)</f>
        <v>0</v>
      </c>
      <c r="I39" s="850">
        <f>+SUMIFS(全伝票!M:M,全伝票!$C:$C,$C39,全伝票!$A:$A,$A39)</f>
        <v>0</v>
      </c>
      <c r="J39" s="856">
        <f>+SUMIFS(全伝票!N:N,全伝票!$C:$C,$C39,全伝票!$A:$A,$A39)</f>
        <v>24373083</v>
      </c>
      <c r="K39" s="855">
        <f t="shared" ref="K39:K41" si="94">SUM(F39:J39)</f>
        <v>24373083</v>
      </c>
      <c r="L39" s="860">
        <f>+SUMIFS(全伝票!O:O,全伝票!$C:$C,$C39,全伝票!$A:$A,$A39)</f>
        <v>0</v>
      </c>
      <c r="M39" s="860"/>
      <c r="N39" s="851"/>
      <c r="O39" s="850"/>
      <c r="P39" s="850"/>
      <c r="Q39" s="850"/>
      <c r="R39" s="850"/>
      <c r="S39" s="850">
        <f>SUM(N39:R39)</f>
        <v>0</v>
      </c>
      <c r="T39" s="859"/>
      <c r="U39" s="858">
        <f>+V39-SUM(S39:T39)</f>
        <v>0</v>
      </c>
      <c r="V39" s="857">
        <f>+SUMIFS(全伝票!P:P,全伝票!$C:$C,$C39,全伝票!$A:$A,'4条収入'!$A39)</f>
        <v>0</v>
      </c>
      <c r="W39" s="851">
        <f t="shared" ref="W39:W41" si="95">+ROUND(F39*F$6/(100+F$6),0)+AT39</f>
        <v>0</v>
      </c>
      <c r="X39" s="850">
        <f t="shared" ref="X39:X41" si="96">+ROUND(G39*G$6/(100+G$6),0)+AU39</f>
        <v>0</v>
      </c>
      <c r="Y39" s="850">
        <f t="shared" ref="Y39:Z41" si="97">+ROUND(H39*H$6/(100+H$6),0)+AV39</f>
        <v>0</v>
      </c>
      <c r="Z39" s="850">
        <f t="shared" si="97"/>
        <v>0</v>
      </c>
      <c r="AA39" s="856">
        <f t="shared" ref="AA39:AA41" si="98">+ROUND(J39*J$6/(100+J$6),0)+AX39</f>
        <v>2215735</v>
      </c>
      <c r="AB39" s="855">
        <f>SUM(W39:AA39)</f>
        <v>2215735</v>
      </c>
      <c r="AC39" s="854">
        <f t="shared" si="90"/>
        <v>0</v>
      </c>
      <c r="AD39" s="853">
        <f t="shared" si="91"/>
        <v>0</v>
      </c>
      <c r="AE39" s="853">
        <f t="shared" si="92"/>
        <v>0</v>
      </c>
      <c r="AF39" s="853">
        <f t="shared" si="92"/>
        <v>0</v>
      </c>
      <c r="AG39" s="853">
        <f t="shared" si="93"/>
        <v>0</v>
      </c>
      <c r="AH39" s="849">
        <f>SUM(AC39:AG39)</f>
        <v>0</v>
      </c>
      <c r="AI39" s="852">
        <f>+E39-AB39</f>
        <v>22157348</v>
      </c>
      <c r="AJ39" s="923">
        <f>W39-F39*W$6/(100+W$6)</f>
        <v>0</v>
      </c>
      <c r="AK39" s="923">
        <f>X39-G39*X$6/(100+X$6)</f>
        <v>0</v>
      </c>
      <c r="AL39" s="923">
        <f>Y39-H39*Y$6/(100+Y$6)</f>
        <v>0</v>
      </c>
      <c r="AM39" s="923">
        <f>Z39-I39*Z$6/(100+Z$6)</f>
        <v>0</v>
      </c>
      <c r="AN39" s="923">
        <f>AA39-J39*AA$6/(100+AA$6)</f>
        <v>0.18181818164885044</v>
      </c>
      <c r="AO39" s="924">
        <f>+IF(W$93=0,0,IF(W$93&lt;0,-RANK(AJ39,AJ$7:AJ$90,0),RANK(AJ39,AJ$7:AJ$90,1)))</f>
        <v>0</v>
      </c>
      <c r="AP39" s="924">
        <f>+IF(X$93=0,0,IF(X$93&lt;0,-RANK(AK39,AK$7:AK$90,0),RANK(AK39,AK$7:AK$90,1)))</f>
        <v>0</v>
      </c>
      <c r="AQ39" s="924">
        <f>+IF(Y$93=0,0,IF(Y$93&lt;0,-RANK(AL39,AL$7:AL$90,0),RANK(AL39,AL$7:AL$90,1)))</f>
        <v>0</v>
      </c>
      <c r="AR39" s="924">
        <f>+IF(Z$93=0,0,IF(Z$93&lt;0,-RANK(AM39,AM$7:AM$90,0),RANK(AM39,AM$7:AM$90,1)))</f>
        <v>0</v>
      </c>
      <c r="AS39" s="924">
        <f>+IF(AA$93=0,0,IF(AA$93&lt;0,-RANK(AN39,AN$7:AN$90,0),RANK(AN39,AN$7:AN$90,1)))</f>
        <v>0</v>
      </c>
      <c r="AT39" s="811"/>
      <c r="AU39" s="811"/>
      <c r="AV39" s="811"/>
      <c r="AW39" s="811"/>
      <c r="AX39" s="811"/>
      <c r="AY39" s="813">
        <f t="shared" ref="AY39" si="99">AC39-N39*AC$6/(100+AC$6)</f>
        <v>0</v>
      </c>
      <c r="AZ39" s="813">
        <f t="shared" ref="AZ39" si="100">AD39-O39*AD$6/(100+AD$6)</f>
        <v>0</v>
      </c>
      <c r="BA39" s="813">
        <f t="shared" ref="BA39:BB39" si="101">AE39-P39*AE$6/(100+AE$6)</f>
        <v>0</v>
      </c>
      <c r="BB39" s="813">
        <f t="shared" si="101"/>
        <v>0</v>
      </c>
      <c r="BC39" s="813">
        <f t="shared" ref="BC39" si="102">AG39-R39*AG$6/(100+AG$6)</f>
        <v>0</v>
      </c>
      <c r="BD39" s="812">
        <f>+IF(AC$93=0,0,IF(AC$93&lt;0,-RANK(AY39,AY$7:AY$90,0),RANK(AY39,AY$7:AY$90,1)))</f>
        <v>0</v>
      </c>
      <c r="BE39" s="812">
        <f>+IF(AD$93=0,0,IF(AD$93&lt;0,-RANK(AZ39,AZ$7:AZ$90,0),RANK(AZ39,AZ$7:AZ$90,1)))</f>
        <v>0</v>
      </c>
      <c r="BF39" s="812">
        <f>+IF(AE$93=0,0,IF(AE$93&lt;0,-RANK(BA39,BA$7:BA$90,0),RANK(BA39,BA$7:BA$90,1)))</f>
        <v>0</v>
      </c>
      <c r="BG39" s="812">
        <f>+IF(AF$93=0,0,IF(AF$93&lt;0,-RANK(BB39,BB$7:BB$90,0),RANK(BB39,BB$7:BB$90,1)))</f>
        <v>0</v>
      </c>
      <c r="BH39" s="812">
        <f>+IF(AG$93=0,0,IF(AG$93&lt;0,-RANK(BC39,BC$7:BC$90,0),RANK(BC39,BC$7:BC$90,1)))</f>
        <v>0</v>
      </c>
      <c r="BI39" s="811"/>
      <c r="BJ39" s="811"/>
      <c r="BK39" s="811"/>
      <c r="BL39" s="811"/>
      <c r="BM39" s="811"/>
    </row>
    <row r="40" spans="1:65" ht="15" customHeight="1" outlineLevel="1">
      <c r="A40" s="865">
        <v>2</v>
      </c>
      <c r="B40" s="864"/>
      <c r="C40" s="863">
        <v>160010100</v>
      </c>
      <c r="D40" s="862" t="s">
        <v>1358</v>
      </c>
      <c r="E40" s="861">
        <f>+SUMIFS(全伝票!I:I,全伝票!$C:$C,$C40,全伝票!$A:$A,$A40)</f>
        <v>0</v>
      </c>
      <c r="F40" s="851">
        <f>+SUMIFS(全伝票!J:J,全伝票!$C:$C,$C40,全伝票!$A:$A,$A40)</f>
        <v>0</v>
      </c>
      <c r="G40" s="850">
        <f>+SUMIFS(全伝票!K:K,全伝票!$C:$C,$C40,全伝票!$A:$A,$A40)</f>
        <v>0</v>
      </c>
      <c r="H40" s="850">
        <f>+SUMIFS(全伝票!L:L,全伝票!$C:$C,$C40,全伝票!$A:$A,$A40)</f>
        <v>0</v>
      </c>
      <c r="I40" s="850">
        <f>+SUMIFS(全伝票!M:M,全伝票!$C:$C,$C40,全伝票!$A:$A,$A40)</f>
        <v>0</v>
      </c>
      <c r="J40" s="856">
        <f>+SUMIFS(全伝票!N:N,全伝票!$C:$C,$C40,全伝票!$A:$A,$A40)</f>
        <v>0</v>
      </c>
      <c r="K40" s="855">
        <f t="shared" si="94"/>
        <v>0</v>
      </c>
      <c r="L40" s="860">
        <f>+SUMIFS(全伝票!O:O,全伝票!$C:$C,$C40,全伝票!$A:$A,$A40)</f>
        <v>0</v>
      </c>
      <c r="M40" s="860"/>
      <c r="N40" s="851"/>
      <c r="O40" s="850"/>
      <c r="P40" s="850"/>
      <c r="Q40" s="850"/>
      <c r="R40" s="850"/>
      <c r="S40" s="850">
        <f>SUM(N40:R40)</f>
        <v>0</v>
      </c>
      <c r="T40" s="859"/>
      <c r="U40" s="858">
        <f>+V40-SUM(S40:T40)</f>
        <v>0</v>
      </c>
      <c r="V40" s="857">
        <f>+SUMIFS(全伝票!P:P,全伝票!$C:$C,$C40,全伝票!$A:$A,'4条収入'!$A40)</f>
        <v>0</v>
      </c>
      <c r="W40" s="851">
        <f t="shared" si="95"/>
        <v>0</v>
      </c>
      <c r="X40" s="850">
        <f t="shared" si="96"/>
        <v>0</v>
      </c>
      <c r="Y40" s="850">
        <f t="shared" si="97"/>
        <v>0</v>
      </c>
      <c r="Z40" s="850">
        <f t="shared" si="97"/>
        <v>0</v>
      </c>
      <c r="AA40" s="856">
        <f t="shared" si="98"/>
        <v>0</v>
      </c>
      <c r="AB40" s="855">
        <f>SUM(W40:AA40)</f>
        <v>0</v>
      </c>
      <c r="AC40" s="854">
        <f t="shared" si="90"/>
        <v>0</v>
      </c>
      <c r="AD40" s="853">
        <f t="shared" si="91"/>
        <v>0</v>
      </c>
      <c r="AE40" s="853">
        <f t="shared" si="92"/>
        <v>0</v>
      </c>
      <c r="AF40" s="853">
        <f t="shared" si="92"/>
        <v>0</v>
      </c>
      <c r="AG40" s="853">
        <f t="shared" si="93"/>
        <v>0</v>
      </c>
      <c r="AH40" s="849">
        <f>SUM(AC40:AG40)</f>
        <v>0</v>
      </c>
      <c r="AI40" s="852">
        <f>+E40-AB40</f>
        <v>0</v>
      </c>
      <c r="AJ40" s="923"/>
      <c r="AK40" s="923"/>
      <c r="AL40" s="923"/>
      <c r="AM40" s="923"/>
      <c r="AN40" s="923"/>
      <c r="AO40" s="924"/>
      <c r="AP40" s="924"/>
      <c r="AQ40" s="924"/>
      <c r="AR40" s="924"/>
      <c r="AS40" s="924"/>
      <c r="AT40" s="811"/>
      <c r="AU40" s="811"/>
      <c r="AV40" s="811"/>
      <c r="AW40" s="811"/>
      <c r="AX40" s="811"/>
      <c r="AY40" s="813"/>
      <c r="AZ40" s="813"/>
      <c r="BA40" s="813"/>
      <c r="BB40" s="813"/>
      <c r="BC40" s="813"/>
      <c r="BD40" s="812"/>
      <c r="BE40" s="812"/>
      <c r="BF40" s="812"/>
      <c r="BG40" s="812"/>
      <c r="BH40" s="812"/>
      <c r="BI40" s="811"/>
      <c r="BJ40" s="811"/>
      <c r="BK40" s="811"/>
      <c r="BL40" s="811"/>
      <c r="BM40" s="811"/>
    </row>
    <row r="41" spans="1:65" ht="15" customHeight="1" outlineLevel="1">
      <c r="A41" s="865">
        <v>3</v>
      </c>
      <c r="B41" s="864"/>
      <c r="C41" s="863">
        <v>160010100</v>
      </c>
      <c r="D41" s="862" t="s">
        <v>1357</v>
      </c>
      <c r="E41" s="861">
        <f>+SUMIFS(全伝票!I:I,全伝票!$C:$C,$C41,全伝票!$A:$A,$A41)</f>
        <v>0</v>
      </c>
      <c r="F41" s="851">
        <f>+SUMIFS(全伝票!J:J,全伝票!$C:$C,$C41,全伝票!$A:$A,$A41)</f>
        <v>0</v>
      </c>
      <c r="G41" s="850">
        <f>+SUMIFS(全伝票!K:K,全伝票!$C:$C,$C41,全伝票!$A:$A,$A41)</f>
        <v>0</v>
      </c>
      <c r="H41" s="850">
        <f>+SUMIFS(全伝票!L:L,全伝票!$C:$C,$C41,全伝票!$A:$A,$A41)</f>
        <v>0</v>
      </c>
      <c r="I41" s="850">
        <f>+SUMIFS(全伝票!M:M,全伝票!$C:$C,$C41,全伝票!$A:$A,$A41)</f>
        <v>0</v>
      </c>
      <c r="J41" s="856">
        <f>+SUMIFS(全伝票!N:N,全伝票!$C:$C,$C41,全伝票!$A:$A,$A41)</f>
        <v>0</v>
      </c>
      <c r="K41" s="855">
        <f t="shared" si="94"/>
        <v>0</v>
      </c>
      <c r="L41" s="860">
        <f>+SUMIFS(全伝票!O:O,全伝票!$C:$C,$C41,全伝票!$A:$A,$A41)</f>
        <v>0</v>
      </c>
      <c r="M41" s="860"/>
      <c r="N41" s="851"/>
      <c r="O41" s="850"/>
      <c r="P41" s="850"/>
      <c r="Q41" s="850"/>
      <c r="R41" s="850"/>
      <c r="S41" s="850">
        <f>SUM(N41:R41)</f>
        <v>0</v>
      </c>
      <c r="T41" s="859"/>
      <c r="U41" s="858">
        <f>+V41-SUM(S41:T41)</f>
        <v>0</v>
      </c>
      <c r="V41" s="857">
        <f>+SUMIFS(全伝票!P:P,全伝票!$C:$C,$C41,全伝票!$A:$A,'4条収入'!$A41)</f>
        <v>0</v>
      </c>
      <c r="W41" s="851">
        <f t="shared" si="95"/>
        <v>0</v>
      </c>
      <c r="X41" s="850">
        <f t="shared" si="96"/>
        <v>0</v>
      </c>
      <c r="Y41" s="850">
        <f t="shared" si="97"/>
        <v>0</v>
      </c>
      <c r="Z41" s="850">
        <f t="shared" si="97"/>
        <v>0</v>
      </c>
      <c r="AA41" s="856">
        <f t="shared" si="98"/>
        <v>0</v>
      </c>
      <c r="AB41" s="855">
        <f>SUM(W41:AA41)</f>
        <v>0</v>
      </c>
      <c r="AC41" s="854">
        <f t="shared" si="90"/>
        <v>0</v>
      </c>
      <c r="AD41" s="853">
        <f t="shared" si="91"/>
        <v>0</v>
      </c>
      <c r="AE41" s="853">
        <f t="shared" si="92"/>
        <v>0</v>
      </c>
      <c r="AF41" s="853">
        <f t="shared" si="92"/>
        <v>0</v>
      </c>
      <c r="AG41" s="853">
        <f t="shared" si="93"/>
        <v>0</v>
      </c>
      <c r="AH41" s="849">
        <f>SUM(AC41:AG41)</f>
        <v>0</v>
      </c>
      <c r="AI41" s="852">
        <f>+E41-AB41</f>
        <v>0</v>
      </c>
      <c r="AJ41" s="923"/>
      <c r="AK41" s="923"/>
      <c r="AL41" s="923"/>
      <c r="AM41" s="923"/>
      <c r="AN41" s="923"/>
      <c r="AO41" s="924"/>
      <c r="AP41" s="924"/>
      <c r="AQ41" s="924"/>
      <c r="AR41" s="924"/>
      <c r="AS41" s="924"/>
      <c r="AT41" s="811"/>
      <c r="AU41" s="811"/>
      <c r="AV41" s="811"/>
      <c r="AW41" s="811"/>
      <c r="AX41" s="811"/>
      <c r="AY41" s="813"/>
      <c r="AZ41" s="813"/>
      <c r="BA41" s="813"/>
      <c r="BB41" s="813"/>
      <c r="BC41" s="813"/>
      <c r="BD41" s="812"/>
      <c r="BE41" s="812"/>
      <c r="BF41" s="812"/>
      <c r="BG41" s="812"/>
      <c r="BH41" s="812"/>
      <c r="BI41" s="811"/>
      <c r="BJ41" s="811"/>
      <c r="BK41" s="811"/>
      <c r="BL41" s="811"/>
      <c r="BM41" s="811"/>
    </row>
    <row r="42" spans="1:65" ht="15" customHeight="1">
      <c r="A42" s="848"/>
      <c r="B42" s="847"/>
      <c r="C42" s="846"/>
      <c r="D42" s="845" t="s">
        <v>1376</v>
      </c>
      <c r="E42" s="844">
        <f t="shared" ref="E42:AI42" si="103">+SUM(E43,E45,E50)</f>
        <v>574304394</v>
      </c>
      <c r="F42" s="836">
        <f t="shared" si="103"/>
        <v>0</v>
      </c>
      <c r="G42" s="835">
        <f t="shared" si="103"/>
        <v>0</v>
      </c>
      <c r="H42" s="835">
        <f t="shared" si="103"/>
        <v>0</v>
      </c>
      <c r="I42" s="835">
        <f t="shared" ref="I42" si="104">+SUM(I43,I45,I50)</f>
        <v>0</v>
      </c>
      <c r="J42" s="841">
        <f t="shared" si="103"/>
        <v>15318327</v>
      </c>
      <c r="K42" s="840">
        <f t="shared" si="103"/>
        <v>15318327</v>
      </c>
      <c r="L42" s="844">
        <f t="shared" si="103"/>
        <v>0</v>
      </c>
      <c r="M42" s="844">
        <f t="shared" si="103"/>
        <v>0</v>
      </c>
      <c r="N42" s="836">
        <f t="shared" si="103"/>
        <v>0</v>
      </c>
      <c r="O42" s="835">
        <f t="shared" si="103"/>
        <v>131982078</v>
      </c>
      <c r="P42" s="835">
        <f t="shared" si="103"/>
        <v>1246904</v>
      </c>
      <c r="Q42" s="835">
        <f t="shared" ref="Q42" si="105">+SUM(Q43,Q45,Q50)</f>
        <v>99</v>
      </c>
      <c r="R42" s="835">
        <f t="shared" si="103"/>
        <v>260119796</v>
      </c>
      <c r="S42" s="835">
        <f t="shared" si="103"/>
        <v>393348877</v>
      </c>
      <c r="T42" s="843">
        <f t="shared" si="103"/>
        <v>165637190</v>
      </c>
      <c r="U42" s="842">
        <f>+SUM(U43,U45,U50)</f>
        <v>0</v>
      </c>
      <c r="V42" s="840">
        <f t="shared" si="103"/>
        <v>558986067</v>
      </c>
      <c r="W42" s="836">
        <f t="shared" si="103"/>
        <v>0</v>
      </c>
      <c r="X42" s="835">
        <f t="shared" si="103"/>
        <v>0</v>
      </c>
      <c r="Y42" s="835">
        <f t="shared" si="103"/>
        <v>0</v>
      </c>
      <c r="Z42" s="835">
        <f t="shared" ref="Z42" si="106">+SUM(Z43,Z45,Z50)</f>
        <v>0</v>
      </c>
      <c r="AA42" s="841">
        <f t="shared" si="103"/>
        <v>1392575</v>
      </c>
      <c r="AB42" s="840">
        <f t="shared" si="103"/>
        <v>1392575</v>
      </c>
      <c r="AC42" s="839">
        <f t="shared" si="103"/>
        <v>0</v>
      </c>
      <c r="AD42" s="838">
        <f t="shared" si="103"/>
        <v>6284860</v>
      </c>
      <c r="AE42" s="838">
        <f t="shared" si="103"/>
        <v>92363</v>
      </c>
      <c r="AF42" s="838">
        <f t="shared" ref="AF42" si="107">+SUM(AF43,AF45,AF50)</f>
        <v>7</v>
      </c>
      <c r="AG42" s="838">
        <f t="shared" si="103"/>
        <v>23647254</v>
      </c>
      <c r="AH42" s="834">
        <f t="shared" si="103"/>
        <v>30024484</v>
      </c>
      <c r="AI42" s="837">
        <f t="shared" si="103"/>
        <v>572911819</v>
      </c>
      <c r="AJ42" s="813"/>
      <c r="AK42" s="813"/>
      <c r="AL42" s="813"/>
      <c r="AM42" s="813"/>
      <c r="AN42" s="813"/>
      <c r="AO42" s="812"/>
      <c r="AP42" s="812"/>
      <c r="AQ42" s="812"/>
      <c r="AR42" s="812"/>
      <c r="AS42" s="812"/>
      <c r="AT42" s="811"/>
      <c r="AU42" s="811"/>
      <c r="AV42" s="811"/>
      <c r="AW42" s="811"/>
      <c r="AX42" s="811"/>
      <c r="BI42" s="811"/>
      <c r="BJ42" s="811"/>
      <c r="BK42" s="811"/>
      <c r="BL42" s="811"/>
      <c r="BM42" s="811"/>
    </row>
    <row r="43" spans="1:65" ht="15" customHeight="1">
      <c r="A43" s="895"/>
      <c r="B43" s="894"/>
      <c r="C43" s="893"/>
      <c r="D43" s="892" t="s">
        <v>1375</v>
      </c>
      <c r="E43" s="891">
        <f t="shared" ref="E43:AI43" si="108">+E44</f>
        <v>8799605</v>
      </c>
      <c r="F43" s="883">
        <f t="shared" si="108"/>
        <v>0</v>
      </c>
      <c r="G43" s="882">
        <f t="shared" si="108"/>
        <v>0</v>
      </c>
      <c r="H43" s="882">
        <f t="shared" si="108"/>
        <v>0</v>
      </c>
      <c r="I43" s="882">
        <f t="shared" si="108"/>
        <v>0</v>
      </c>
      <c r="J43" s="888">
        <f t="shared" si="108"/>
        <v>0</v>
      </c>
      <c r="K43" s="887">
        <f t="shared" si="108"/>
        <v>0</v>
      </c>
      <c r="L43" s="891">
        <f t="shared" si="108"/>
        <v>0</v>
      </c>
      <c r="M43" s="891">
        <f t="shared" si="108"/>
        <v>0</v>
      </c>
      <c r="N43" s="883">
        <f t="shared" si="108"/>
        <v>0</v>
      </c>
      <c r="O43" s="882">
        <f t="shared" si="108"/>
        <v>0</v>
      </c>
      <c r="P43" s="882">
        <f t="shared" si="108"/>
        <v>338</v>
      </c>
      <c r="Q43" s="882">
        <f t="shared" si="108"/>
        <v>99</v>
      </c>
      <c r="R43" s="882">
        <f t="shared" si="108"/>
        <v>8524652</v>
      </c>
      <c r="S43" s="882">
        <f t="shared" si="108"/>
        <v>8525089</v>
      </c>
      <c r="T43" s="890">
        <f t="shared" si="108"/>
        <v>274516</v>
      </c>
      <c r="U43" s="889">
        <f t="shared" si="108"/>
        <v>0</v>
      </c>
      <c r="V43" s="887">
        <f t="shared" si="108"/>
        <v>8799605</v>
      </c>
      <c r="W43" s="883">
        <f t="shared" si="108"/>
        <v>0</v>
      </c>
      <c r="X43" s="882">
        <f t="shared" si="108"/>
        <v>0</v>
      </c>
      <c r="Y43" s="882">
        <f t="shared" si="108"/>
        <v>0</v>
      </c>
      <c r="Z43" s="882">
        <f t="shared" si="108"/>
        <v>0</v>
      </c>
      <c r="AA43" s="888">
        <f t="shared" si="108"/>
        <v>0</v>
      </c>
      <c r="AB43" s="887">
        <f t="shared" si="108"/>
        <v>0</v>
      </c>
      <c r="AC43" s="886">
        <f t="shared" si="108"/>
        <v>0</v>
      </c>
      <c r="AD43" s="885">
        <f t="shared" si="108"/>
        <v>0</v>
      </c>
      <c r="AE43" s="885">
        <f t="shared" si="108"/>
        <v>25</v>
      </c>
      <c r="AF43" s="885">
        <f t="shared" si="108"/>
        <v>7</v>
      </c>
      <c r="AG43" s="885">
        <f t="shared" si="108"/>
        <v>774968</v>
      </c>
      <c r="AH43" s="881">
        <f t="shared" si="108"/>
        <v>775000</v>
      </c>
      <c r="AI43" s="884">
        <f t="shared" si="108"/>
        <v>8799605</v>
      </c>
      <c r="AJ43" s="813"/>
      <c r="AK43" s="813"/>
      <c r="AL43" s="813"/>
      <c r="AM43" s="813"/>
      <c r="AN43" s="813"/>
      <c r="AO43" s="812"/>
      <c r="AP43" s="812"/>
      <c r="AQ43" s="812"/>
      <c r="AR43" s="812"/>
      <c r="AS43" s="812"/>
      <c r="AT43" s="811"/>
      <c r="AU43" s="811"/>
      <c r="AV43" s="811"/>
      <c r="AW43" s="811"/>
      <c r="AX43" s="811"/>
      <c r="AY43" s="813"/>
      <c r="AZ43" s="813"/>
      <c r="BA43" s="813"/>
      <c r="BB43" s="813"/>
      <c r="BC43" s="813"/>
      <c r="BD43" s="812"/>
      <c r="BE43" s="812"/>
      <c r="BF43" s="812"/>
      <c r="BG43" s="812"/>
      <c r="BH43" s="812"/>
      <c r="BI43" s="811"/>
      <c r="BJ43" s="811"/>
      <c r="BK43" s="811"/>
      <c r="BL43" s="811"/>
      <c r="BM43" s="811"/>
    </row>
    <row r="44" spans="1:65" ht="15" customHeight="1">
      <c r="A44" s="880"/>
      <c r="B44" s="879"/>
      <c r="C44" s="878">
        <v>180060600</v>
      </c>
      <c r="D44" s="877" t="s">
        <v>1374</v>
      </c>
      <c r="E44" s="906">
        <f>+SUMIFS(全伝票!I:I,全伝票!$C:$C,$C44)</f>
        <v>8799605</v>
      </c>
      <c r="F44" s="868"/>
      <c r="G44" s="867"/>
      <c r="H44" s="867"/>
      <c r="I44" s="867"/>
      <c r="J44" s="873"/>
      <c r="K44" s="872">
        <f>SUM(F44:J44)</f>
        <v>0</v>
      </c>
      <c r="L44" s="876"/>
      <c r="M44" s="876"/>
      <c r="N44" s="867"/>
      <c r="O44" s="905">
        <f>+'受益（公）'!K$6</f>
        <v>0</v>
      </c>
      <c r="P44" s="905">
        <f>+'受益（公）'!L$6</f>
        <v>338</v>
      </c>
      <c r="Q44" s="905">
        <f>+'受益（公）'!M$6</f>
        <v>99</v>
      </c>
      <c r="R44" s="905">
        <f>+'受益（公）'!N$6</f>
        <v>8524652</v>
      </c>
      <c r="S44" s="867">
        <f>SUM(N44:R44)</f>
        <v>8525089</v>
      </c>
      <c r="T44" s="904">
        <f>'受益（公）'!$I$6</f>
        <v>274516</v>
      </c>
      <c r="U44" s="874">
        <f>+V44-SUM(S44:T44)</f>
        <v>0</v>
      </c>
      <c r="V44" s="896">
        <f>+SUMIFS(全伝票!P:P,全伝票!$C:$C,$C44)</f>
        <v>8799605</v>
      </c>
      <c r="W44" s="868">
        <f>+ROUND(F44*F$6/(100+F$6),0)+AT44</f>
        <v>0</v>
      </c>
      <c r="X44" s="867">
        <f>+ROUND(G44*G$6/(100+G$6),0)+AU44</f>
        <v>0</v>
      </c>
      <c r="Y44" s="867">
        <f>+ROUND(H44*H$6/(100+H$6),0)+AV44</f>
        <v>0</v>
      </c>
      <c r="Z44" s="867">
        <f>+ROUND(I44*I$6/(100+I$6),0)+AW44</f>
        <v>0</v>
      </c>
      <c r="AA44" s="873">
        <f>+ROUND(J44*J$6/(100+J$6),0)+AX44</f>
        <v>0</v>
      </c>
      <c r="AB44" s="872">
        <f>SUM(W44:AA44)</f>
        <v>0</v>
      </c>
      <c r="AC44" s="871">
        <f>+ROUND(N44*AC$6/(100+AC$6),0)+BI44</f>
        <v>0</v>
      </c>
      <c r="AD44" s="870">
        <f>+ROUND(O44*AD$6/(100+AD$6),0)+BJ44</f>
        <v>0</v>
      </c>
      <c r="AE44" s="870">
        <f>+ROUND(P44*AE$6/(100+AE$6),0)+BK44</f>
        <v>25</v>
      </c>
      <c r="AF44" s="870">
        <f>+ROUND(Q44*AF$6/(100+AF$6),0)+BL44</f>
        <v>7</v>
      </c>
      <c r="AG44" s="870">
        <f>+ROUND(R44*AG$6/(100+AG$6),0)+BM44</f>
        <v>774968</v>
      </c>
      <c r="AH44" s="866">
        <f>SUM(AC44:AG44)</f>
        <v>775000</v>
      </c>
      <c r="AI44" s="869">
        <f>+E44-AB44</f>
        <v>8799605</v>
      </c>
      <c r="AJ44" s="813"/>
      <c r="AK44" s="813"/>
      <c r="AL44" s="813"/>
      <c r="AM44" s="813"/>
      <c r="AN44" s="813"/>
      <c r="AO44" s="812"/>
      <c r="AP44" s="812"/>
      <c r="AQ44" s="812"/>
      <c r="AR44" s="812"/>
      <c r="AS44" s="812"/>
      <c r="AT44" s="811"/>
      <c r="AU44" s="811"/>
      <c r="AV44" s="811"/>
      <c r="AW44" s="811"/>
      <c r="AX44" s="811"/>
      <c r="AY44" s="813">
        <f>AC44-N44*AC$6/(100+AC$6)</f>
        <v>0</v>
      </c>
      <c r="AZ44" s="813">
        <f>AD44-O44*AD$6/(100+AD$6)</f>
        <v>0</v>
      </c>
      <c r="BA44" s="813">
        <f>AE44-P44*AE$6/(100+AE$6)</f>
        <v>-3.703703703703809E-2</v>
      </c>
      <c r="BB44" s="813">
        <f>AF44-Q44*AF$6/(100+AF$6)</f>
        <v>-0.33333333333333304</v>
      </c>
      <c r="BC44" s="813">
        <f>AG44-R44*AG$6/(100+AG$6)</f>
        <v>-0.36363636364694685</v>
      </c>
      <c r="BD44" s="812">
        <f>+IF(AC$93=0,0,IF(AC$93&lt;0,-RANK(AY44,AY$7:AY$90,0),RANK(AY44,AY$7:AY$90,1)))</f>
        <v>0</v>
      </c>
      <c r="BE44" s="812">
        <f>+IF(AD$93=0,0,IF(AD$93&lt;0,-RANK(AZ44,AZ$7:AZ$90,0),RANK(AZ44,AZ$7:AZ$90,1)))</f>
        <v>0</v>
      </c>
      <c r="BF44" s="812">
        <f>+IF(AE$93=0,0,IF(AE$93&lt;0,-RANK(BA44,BA$7:BA$90,0),RANK(BA44,BA$7:BA$90,1)))</f>
        <v>0</v>
      </c>
      <c r="BG44" s="812">
        <f>+IF(AF$93=0,0,IF(AF$93&lt;0,-RANK(BB44,BB$7:BB$90,0),RANK(BB44,BB$7:BB$90,1)))</f>
        <v>0</v>
      </c>
      <c r="BH44" s="812">
        <f>+IF(AG$93=0,0,IF(AG$93&lt;0,-RANK(BC44,BC$7:BC$90,0),RANK(BC44,BC$7:BC$90,1)))</f>
        <v>0</v>
      </c>
      <c r="BI44" s="811"/>
      <c r="BJ44" s="811"/>
      <c r="BK44" s="811"/>
      <c r="BL44" s="811"/>
      <c r="BM44" s="811"/>
    </row>
    <row r="45" spans="1:65" ht="15" customHeight="1">
      <c r="A45" s="895"/>
      <c r="B45" s="894"/>
      <c r="C45" s="893"/>
      <c r="D45" s="892" t="s">
        <v>1373</v>
      </c>
      <c r="E45" s="891">
        <f t="shared" ref="E45:AI45" si="109">+E46</f>
        <v>35218280</v>
      </c>
      <c r="F45" s="883">
        <f t="shared" si="109"/>
        <v>0</v>
      </c>
      <c r="G45" s="882">
        <f t="shared" si="109"/>
        <v>0</v>
      </c>
      <c r="H45" s="882">
        <f t="shared" si="109"/>
        <v>0</v>
      </c>
      <c r="I45" s="882">
        <f t="shared" si="109"/>
        <v>0</v>
      </c>
      <c r="J45" s="888">
        <f t="shared" si="109"/>
        <v>0</v>
      </c>
      <c r="K45" s="887">
        <f t="shared" si="109"/>
        <v>0</v>
      </c>
      <c r="L45" s="891">
        <f t="shared" si="109"/>
        <v>0</v>
      </c>
      <c r="M45" s="891">
        <f t="shared" si="109"/>
        <v>0</v>
      </c>
      <c r="N45" s="883">
        <f t="shared" si="109"/>
        <v>0</v>
      </c>
      <c r="O45" s="882">
        <f t="shared" si="109"/>
        <v>0</v>
      </c>
      <c r="P45" s="882">
        <f t="shared" si="109"/>
        <v>0</v>
      </c>
      <c r="Q45" s="882">
        <f t="shared" si="109"/>
        <v>0</v>
      </c>
      <c r="R45" s="882">
        <f t="shared" si="109"/>
        <v>33459431</v>
      </c>
      <c r="S45" s="882">
        <f t="shared" si="109"/>
        <v>33459431</v>
      </c>
      <c r="T45" s="890">
        <f t="shared" si="109"/>
        <v>1758849</v>
      </c>
      <c r="U45" s="889">
        <f t="shared" si="109"/>
        <v>0</v>
      </c>
      <c r="V45" s="887">
        <f t="shared" si="109"/>
        <v>35218280</v>
      </c>
      <c r="W45" s="883">
        <f t="shared" si="109"/>
        <v>0</v>
      </c>
      <c r="X45" s="882">
        <f t="shared" si="109"/>
        <v>0</v>
      </c>
      <c r="Y45" s="882">
        <f t="shared" si="109"/>
        <v>0</v>
      </c>
      <c r="Z45" s="882">
        <f t="shared" si="109"/>
        <v>0</v>
      </c>
      <c r="AA45" s="888">
        <f t="shared" si="109"/>
        <v>0</v>
      </c>
      <c r="AB45" s="887">
        <f t="shared" si="109"/>
        <v>0</v>
      </c>
      <c r="AC45" s="886">
        <f t="shared" si="109"/>
        <v>0</v>
      </c>
      <c r="AD45" s="885">
        <f t="shared" si="109"/>
        <v>0</v>
      </c>
      <c r="AE45" s="885">
        <f t="shared" si="109"/>
        <v>0</v>
      </c>
      <c r="AF45" s="885">
        <f t="shared" si="109"/>
        <v>0</v>
      </c>
      <c r="AG45" s="885">
        <f t="shared" si="109"/>
        <v>3041767</v>
      </c>
      <c r="AH45" s="881">
        <f t="shared" si="109"/>
        <v>3041767</v>
      </c>
      <c r="AI45" s="884">
        <f t="shared" si="109"/>
        <v>35218280</v>
      </c>
      <c r="AJ45" s="813"/>
      <c r="AK45" s="813"/>
      <c r="AL45" s="813"/>
      <c r="AM45" s="813"/>
      <c r="AN45" s="813"/>
      <c r="AO45" s="812"/>
      <c r="AP45" s="812"/>
      <c r="AQ45" s="812"/>
      <c r="AR45" s="812"/>
      <c r="AS45" s="812"/>
      <c r="AT45" s="811"/>
      <c r="AU45" s="811"/>
      <c r="AV45" s="811"/>
      <c r="AW45" s="811"/>
      <c r="AX45" s="811"/>
      <c r="BI45" s="811"/>
      <c r="BJ45" s="811"/>
      <c r="BK45" s="811"/>
      <c r="BL45" s="811"/>
      <c r="BM45" s="811"/>
    </row>
    <row r="46" spans="1:65" ht="15" customHeight="1">
      <c r="A46" s="880"/>
      <c r="B46" s="879"/>
      <c r="C46" s="878"/>
      <c r="D46" s="877" t="s">
        <v>1372</v>
      </c>
      <c r="E46" s="876">
        <f t="shared" ref="E46:AB46" si="110">+SUM(E47:E49)</f>
        <v>35218280</v>
      </c>
      <c r="F46" s="868">
        <f t="shared" si="110"/>
        <v>0</v>
      </c>
      <c r="G46" s="867">
        <f t="shared" si="110"/>
        <v>0</v>
      </c>
      <c r="H46" s="867">
        <f t="shared" si="110"/>
        <v>0</v>
      </c>
      <c r="I46" s="867">
        <f t="shared" ref="I46" si="111">+SUM(I47:I49)</f>
        <v>0</v>
      </c>
      <c r="J46" s="873">
        <f t="shared" si="110"/>
        <v>0</v>
      </c>
      <c r="K46" s="872">
        <f t="shared" si="110"/>
        <v>0</v>
      </c>
      <c r="L46" s="876">
        <f t="shared" si="110"/>
        <v>0</v>
      </c>
      <c r="M46" s="876">
        <f t="shared" si="110"/>
        <v>0</v>
      </c>
      <c r="N46" s="868">
        <f t="shared" si="110"/>
        <v>0</v>
      </c>
      <c r="O46" s="867">
        <f t="shared" si="110"/>
        <v>0</v>
      </c>
      <c r="P46" s="867">
        <f t="shared" si="110"/>
        <v>0</v>
      </c>
      <c r="Q46" s="867">
        <f t="shared" ref="Q46" si="112">+SUM(Q47:Q49)</f>
        <v>0</v>
      </c>
      <c r="R46" s="867">
        <f t="shared" si="110"/>
        <v>33459431</v>
      </c>
      <c r="S46" s="867">
        <f t="shared" si="110"/>
        <v>33459431</v>
      </c>
      <c r="T46" s="875">
        <f t="shared" si="110"/>
        <v>1758849</v>
      </c>
      <c r="U46" s="874">
        <f t="shared" si="110"/>
        <v>0</v>
      </c>
      <c r="V46" s="872">
        <f t="shared" si="110"/>
        <v>35218280</v>
      </c>
      <c r="W46" s="868">
        <f t="shared" si="110"/>
        <v>0</v>
      </c>
      <c r="X46" s="867">
        <f t="shared" si="110"/>
        <v>0</v>
      </c>
      <c r="Y46" s="867">
        <f t="shared" si="110"/>
        <v>0</v>
      </c>
      <c r="Z46" s="867">
        <f t="shared" ref="Z46" si="113">+SUM(Z47:Z49)</f>
        <v>0</v>
      </c>
      <c r="AA46" s="873">
        <f t="shared" si="110"/>
        <v>0</v>
      </c>
      <c r="AB46" s="872">
        <f t="shared" si="110"/>
        <v>0</v>
      </c>
      <c r="AC46" s="854">
        <f>+SUM(AC47:AC49)</f>
        <v>0</v>
      </c>
      <c r="AD46" s="853">
        <f t="shared" ref="AD46:AG46" si="114">+SUM(AD47:AD49)</f>
        <v>0</v>
      </c>
      <c r="AE46" s="853">
        <f t="shared" si="114"/>
        <v>0</v>
      </c>
      <c r="AF46" s="853">
        <f t="shared" ref="AF46" si="115">+SUM(AF47:AF49)</f>
        <v>0</v>
      </c>
      <c r="AG46" s="853">
        <f t="shared" si="114"/>
        <v>3041767</v>
      </c>
      <c r="AH46" s="849">
        <f>SUM(AC46:AG46)</f>
        <v>3041767</v>
      </c>
      <c r="AI46" s="852">
        <f>+E46-AB46</f>
        <v>35218280</v>
      </c>
      <c r="AJ46" s="813"/>
      <c r="AK46" s="813"/>
      <c r="AL46" s="813"/>
      <c r="AM46" s="813"/>
      <c r="AN46" s="813"/>
      <c r="AO46" s="812"/>
      <c r="AP46" s="812"/>
      <c r="AQ46" s="812"/>
      <c r="AR46" s="812"/>
      <c r="AS46" s="812"/>
      <c r="AT46" s="811"/>
      <c r="AU46" s="811"/>
      <c r="AV46" s="811"/>
      <c r="AW46" s="811"/>
      <c r="AX46" s="811"/>
      <c r="AY46" s="813"/>
      <c r="AZ46" s="813"/>
      <c r="BA46" s="813"/>
      <c r="BB46" s="813"/>
      <c r="BC46" s="813"/>
      <c r="BD46" s="812"/>
      <c r="BE46" s="812"/>
      <c r="BF46" s="812"/>
      <c r="BG46" s="812"/>
      <c r="BH46" s="812"/>
      <c r="BI46" s="811"/>
      <c r="BJ46" s="811"/>
      <c r="BK46" s="811"/>
      <c r="BL46" s="811"/>
      <c r="BM46" s="811"/>
    </row>
    <row r="47" spans="1:65" ht="15" customHeight="1" outlineLevel="1">
      <c r="A47" s="865">
        <v>2</v>
      </c>
      <c r="B47" s="864"/>
      <c r="C47" s="863">
        <v>180070700</v>
      </c>
      <c r="D47" s="862" t="s">
        <v>1358</v>
      </c>
      <c r="E47" s="861">
        <f>+SUMIFS(全伝票!I:I,全伝票!$C:$C,$C47,全伝票!$A:$A,'4条収入'!$A47)</f>
        <v>17022400</v>
      </c>
      <c r="F47" s="851"/>
      <c r="G47" s="850"/>
      <c r="H47" s="850"/>
      <c r="I47" s="850"/>
      <c r="J47" s="856"/>
      <c r="K47" s="855">
        <f>SUM(F47:J47)</f>
        <v>0</v>
      </c>
      <c r="L47" s="860"/>
      <c r="M47" s="860"/>
      <c r="N47" s="851"/>
      <c r="O47" s="903">
        <f>+'受益（区域外）'!K$26</f>
        <v>0</v>
      </c>
      <c r="P47" s="903">
        <f>+'受益（区域外）'!L$26</f>
        <v>0</v>
      </c>
      <c r="Q47" s="903">
        <f>+'受益（区域外）'!M$26</f>
        <v>0</v>
      </c>
      <c r="R47" s="933">
        <f>+'受益（区域外）'!N$26</f>
        <v>15741150</v>
      </c>
      <c r="S47" s="850">
        <f>SUM(N47:R47)</f>
        <v>15741150</v>
      </c>
      <c r="T47" s="902">
        <f>+'受益（区域外）'!$I$26</f>
        <v>1281250</v>
      </c>
      <c r="U47" s="858">
        <f>+V47-SUM(S47:T47)</f>
        <v>0</v>
      </c>
      <c r="V47" s="857">
        <f>+SUMIFS(全伝票!P:P,全伝票!$C:$C,$C47,全伝票!$A:$A,'4条収入'!$A47)</f>
        <v>17022400</v>
      </c>
      <c r="W47" s="851">
        <f t="shared" ref="W47:Z49" si="116">+ROUND(F47*F$6/(100+F$6),0)+AT47</f>
        <v>0</v>
      </c>
      <c r="X47" s="850">
        <f t="shared" si="116"/>
        <v>0</v>
      </c>
      <c r="Y47" s="850">
        <f t="shared" si="116"/>
        <v>0</v>
      </c>
      <c r="Z47" s="850">
        <f t="shared" si="116"/>
        <v>0</v>
      </c>
      <c r="AA47" s="856">
        <f>+ROUND(J47*J$6/(100+J$6),0)+AX47</f>
        <v>0</v>
      </c>
      <c r="AB47" s="855">
        <f>SUM(W47:AA47)</f>
        <v>0</v>
      </c>
      <c r="AC47" s="854">
        <f t="shared" ref="AC47:AF49" si="117">+ROUND(N47*AC$6/(100+AC$6),0)+BI47</f>
        <v>0</v>
      </c>
      <c r="AD47" s="853">
        <f t="shared" si="117"/>
        <v>0</v>
      </c>
      <c r="AE47" s="853">
        <f t="shared" si="117"/>
        <v>0</v>
      </c>
      <c r="AF47" s="853">
        <f t="shared" si="117"/>
        <v>0</v>
      </c>
      <c r="AG47" s="853">
        <f>+ROUND(R47*AG$6/(100+AG$6),0)+BM47</f>
        <v>1431014</v>
      </c>
      <c r="AH47" s="849">
        <f>SUM(AC47:AG47)</f>
        <v>1431014</v>
      </c>
      <c r="AI47" s="852">
        <f>+E47-AB47</f>
        <v>17022400</v>
      </c>
      <c r="AJ47" s="813"/>
      <c r="AK47" s="813"/>
      <c r="AL47" s="813"/>
      <c r="AM47" s="813"/>
      <c r="AN47" s="813"/>
      <c r="AO47" s="812"/>
      <c r="AP47" s="812"/>
      <c r="AQ47" s="812"/>
      <c r="AR47" s="812"/>
      <c r="AS47" s="812"/>
      <c r="AT47" s="811"/>
      <c r="AU47" s="811"/>
      <c r="AV47" s="811"/>
      <c r="AW47" s="811"/>
      <c r="AX47" s="811"/>
      <c r="AY47" s="813"/>
      <c r="AZ47" s="813"/>
      <c r="BA47" s="813"/>
      <c r="BB47" s="813"/>
      <c r="BC47" s="813"/>
      <c r="BD47" s="812"/>
      <c r="BE47" s="812"/>
      <c r="BF47" s="812"/>
      <c r="BG47" s="812"/>
      <c r="BH47" s="812"/>
      <c r="BI47" s="811"/>
      <c r="BJ47" s="811"/>
      <c r="BK47" s="811"/>
      <c r="BL47" s="811"/>
      <c r="BM47" s="811"/>
    </row>
    <row r="48" spans="1:65" ht="15" customHeight="1" outlineLevel="1">
      <c r="A48" s="865">
        <v>3</v>
      </c>
      <c r="B48" s="864"/>
      <c r="C48" s="863">
        <v>180070700</v>
      </c>
      <c r="D48" s="862" t="s">
        <v>1357</v>
      </c>
      <c r="E48" s="861">
        <f>+SUMIFS(全伝票!I:I,全伝票!$C:$C,$C48,全伝票!$A:$A,'4条収入'!$A48)</f>
        <v>14115880</v>
      </c>
      <c r="F48" s="851"/>
      <c r="G48" s="850"/>
      <c r="H48" s="850"/>
      <c r="I48" s="850"/>
      <c r="J48" s="856"/>
      <c r="K48" s="855">
        <f>SUM(F48:J48)</f>
        <v>0</v>
      </c>
      <c r="L48" s="860"/>
      <c r="M48" s="860"/>
      <c r="N48" s="851"/>
      <c r="O48" s="903">
        <f>+'受益（区域外）'!K$46</f>
        <v>0</v>
      </c>
      <c r="P48" s="903">
        <f>+'受益（区域外）'!L$46</f>
        <v>0</v>
      </c>
      <c r="Q48" s="903">
        <f>+'受益（区域外）'!M$46</f>
        <v>0</v>
      </c>
      <c r="R48" s="903">
        <f>+'受益（区域外）'!N$46</f>
        <v>13788037</v>
      </c>
      <c r="S48" s="850">
        <f>SUM(N48:R48)</f>
        <v>13788037</v>
      </c>
      <c r="T48" s="902">
        <f>+'受益（区域外）'!$I$46</f>
        <v>327843</v>
      </c>
      <c r="U48" s="858">
        <f>+V48-SUM(S48:T48)</f>
        <v>0</v>
      </c>
      <c r="V48" s="857">
        <f>+SUMIFS(全伝票!P:P,全伝票!$C:$C,$C48,全伝票!$A:$A,'4条収入'!$A48)</f>
        <v>14115880</v>
      </c>
      <c r="W48" s="851">
        <f t="shared" si="116"/>
        <v>0</v>
      </c>
      <c r="X48" s="850">
        <f t="shared" si="116"/>
        <v>0</v>
      </c>
      <c r="Y48" s="850">
        <f t="shared" si="116"/>
        <v>0</v>
      </c>
      <c r="Z48" s="850">
        <f t="shared" si="116"/>
        <v>0</v>
      </c>
      <c r="AA48" s="856">
        <f>+ROUND(J48*J$6/(100+J$6),0)+AX48</f>
        <v>0</v>
      </c>
      <c r="AB48" s="855">
        <f>SUM(W48:AA48)</f>
        <v>0</v>
      </c>
      <c r="AC48" s="854">
        <f t="shared" si="117"/>
        <v>0</v>
      </c>
      <c r="AD48" s="853">
        <f t="shared" si="117"/>
        <v>0</v>
      </c>
      <c r="AE48" s="853">
        <f t="shared" si="117"/>
        <v>0</v>
      </c>
      <c r="AF48" s="853">
        <f t="shared" si="117"/>
        <v>0</v>
      </c>
      <c r="AG48" s="853">
        <f>+ROUND(R48*AG$6/(100+AG$6),0)+BM48</f>
        <v>1253458</v>
      </c>
      <c r="AH48" s="849">
        <f>SUM(AC48:AG48)</f>
        <v>1253458</v>
      </c>
      <c r="AI48" s="852">
        <f>+E48-AB48</f>
        <v>14115880</v>
      </c>
      <c r="AJ48" s="813"/>
      <c r="AK48" s="813"/>
      <c r="AL48" s="813"/>
      <c r="AM48" s="813"/>
      <c r="AN48" s="813"/>
      <c r="AO48" s="812"/>
      <c r="AP48" s="812"/>
      <c r="AQ48" s="812"/>
      <c r="AR48" s="812"/>
      <c r="AS48" s="812"/>
      <c r="AT48" s="811"/>
      <c r="AU48" s="811"/>
      <c r="AV48" s="811"/>
      <c r="AW48" s="811"/>
      <c r="AX48" s="811"/>
      <c r="AY48" s="813"/>
      <c r="AZ48" s="813"/>
      <c r="BA48" s="813"/>
      <c r="BB48" s="813"/>
      <c r="BC48" s="813"/>
      <c r="BD48" s="812"/>
      <c r="BE48" s="812"/>
      <c r="BF48" s="812"/>
      <c r="BG48" s="812"/>
      <c r="BH48" s="812"/>
      <c r="BI48" s="811"/>
      <c r="BJ48" s="811"/>
      <c r="BK48" s="811"/>
      <c r="BL48" s="811"/>
      <c r="BM48" s="811"/>
    </row>
    <row r="49" spans="1:65" ht="15" customHeight="1" outlineLevel="1">
      <c r="A49" s="865">
        <v>4</v>
      </c>
      <c r="B49" s="864"/>
      <c r="C49" s="863">
        <v>180070700</v>
      </c>
      <c r="D49" s="862" t="s">
        <v>1356</v>
      </c>
      <c r="E49" s="861">
        <f>+SUMIFS(全伝票!I:I,全伝票!$C:$C,$C49,全伝票!$A:$A,'4条収入'!$A49)</f>
        <v>4080000</v>
      </c>
      <c r="F49" s="851"/>
      <c r="G49" s="850"/>
      <c r="H49" s="850"/>
      <c r="I49" s="850"/>
      <c r="J49" s="856"/>
      <c r="K49" s="855">
        <f>SUM(F49:J49)</f>
        <v>0</v>
      </c>
      <c r="L49" s="860"/>
      <c r="M49" s="860"/>
      <c r="N49" s="851"/>
      <c r="O49" s="903">
        <f>+'受益（区域外）'!K$66</f>
        <v>0</v>
      </c>
      <c r="P49" s="903">
        <f>+'受益（区域外）'!L$66</f>
        <v>0</v>
      </c>
      <c r="Q49" s="903">
        <f>+'受益（区域外）'!M$66</f>
        <v>0</v>
      </c>
      <c r="R49" s="903">
        <f>+'受益（区域外）'!N$66</f>
        <v>3930244</v>
      </c>
      <c r="S49" s="850">
        <f>SUM(N49:R49)</f>
        <v>3930244</v>
      </c>
      <c r="T49" s="902">
        <f>+'受益（区域外）'!$I$66</f>
        <v>149756</v>
      </c>
      <c r="U49" s="858">
        <f>+V49-SUM(S49:T49)</f>
        <v>0</v>
      </c>
      <c r="V49" s="857">
        <f>+SUMIFS(全伝票!P:P,全伝票!$C:$C,$C49,全伝票!$A:$A,'4条収入'!$A49)</f>
        <v>4080000</v>
      </c>
      <c r="W49" s="851">
        <f t="shared" si="116"/>
        <v>0</v>
      </c>
      <c r="X49" s="850">
        <f t="shared" si="116"/>
        <v>0</v>
      </c>
      <c r="Y49" s="850">
        <f t="shared" si="116"/>
        <v>0</v>
      </c>
      <c r="Z49" s="850">
        <f t="shared" si="116"/>
        <v>0</v>
      </c>
      <c r="AA49" s="856">
        <f>+ROUND(J49*J$6/(100+J$6),0)+AX49</f>
        <v>0</v>
      </c>
      <c r="AB49" s="855">
        <f>SUM(W49:AA49)</f>
        <v>0</v>
      </c>
      <c r="AC49" s="854">
        <f t="shared" si="117"/>
        <v>0</v>
      </c>
      <c r="AD49" s="853">
        <f t="shared" si="117"/>
        <v>0</v>
      </c>
      <c r="AE49" s="853">
        <f t="shared" si="117"/>
        <v>0</v>
      </c>
      <c r="AF49" s="853">
        <f t="shared" si="117"/>
        <v>0</v>
      </c>
      <c r="AG49" s="853">
        <f>+ROUND(R49*AG$6/(100+AG$6),0)+BM49</f>
        <v>357295</v>
      </c>
      <c r="AH49" s="849">
        <f>SUM(AC49:AG49)</f>
        <v>357295</v>
      </c>
      <c r="AI49" s="852">
        <f>+E49-AB49</f>
        <v>4080000</v>
      </c>
      <c r="AJ49" s="813"/>
      <c r="AK49" s="813"/>
      <c r="AL49" s="813"/>
      <c r="AM49" s="813"/>
      <c r="AN49" s="813"/>
      <c r="AO49" s="812"/>
      <c r="AP49" s="812"/>
      <c r="AQ49" s="812"/>
      <c r="AR49" s="812"/>
      <c r="AS49" s="812"/>
      <c r="AT49" s="811"/>
      <c r="AU49" s="811"/>
      <c r="AV49" s="811"/>
      <c r="AW49" s="811"/>
      <c r="AX49" s="811"/>
      <c r="AY49" s="813"/>
      <c r="AZ49" s="813"/>
      <c r="BA49" s="813"/>
      <c r="BB49" s="813"/>
      <c r="BC49" s="813"/>
      <c r="BD49" s="812"/>
      <c r="BE49" s="812"/>
      <c r="BF49" s="812"/>
      <c r="BG49" s="812"/>
      <c r="BH49" s="812"/>
      <c r="BI49" s="811"/>
      <c r="BJ49" s="811"/>
      <c r="BK49" s="811"/>
      <c r="BL49" s="811"/>
      <c r="BM49" s="811"/>
    </row>
    <row r="50" spans="1:65" ht="15" customHeight="1">
      <c r="A50" s="880"/>
      <c r="B50" s="879"/>
      <c r="C50" s="878"/>
      <c r="D50" s="877" t="s">
        <v>1371</v>
      </c>
      <c r="E50" s="876">
        <f>SUM(E51:E54)</f>
        <v>530286509</v>
      </c>
      <c r="F50" s="868">
        <f t="shared" ref="F50:AI50" si="118">SUM(F51:F54)</f>
        <v>0</v>
      </c>
      <c r="G50" s="867">
        <f t="shared" si="118"/>
        <v>0</v>
      </c>
      <c r="H50" s="867">
        <f t="shared" si="118"/>
        <v>0</v>
      </c>
      <c r="I50" s="867">
        <f t="shared" si="118"/>
        <v>0</v>
      </c>
      <c r="J50" s="873">
        <f t="shared" si="118"/>
        <v>15318327</v>
      </c>
      <c r="K50" s="872">
        <f t="shared" si="118"/>
        <v>15318327</v>
      </c>
      <c r="L50" s="876">
        <f t="shared" si="118"/>
        <v>0</v>
      </c>
      <c r="M50" s="876">
        <f t="shared" si="118"/>
        <v>0</v>
      </c>
      <c r="N50" s="868">
        <f t="shared" si="118"/>
        <v>0</v>
      </c>
      <c r="O50" s="867">
        <f t="shared" si="118"/>
        <v>131982078</v>
      </c>
      <c r="P50" s="867">
        <f t="shared" si="118"/>
        <v>1246566</v>
      </c>
      <c r="Q50" s="867">
        <f t="shared" si="118"/>
        <v>0</v>
      </c>
      <c r="R50" s="867">
        <f t="shared" si="118"/>
        <v>218135713</v>
      </c>
      <c r="S50" s="867">
        <f t="shared" si="118"/>
        <v>351364357</v>
      </c>
      <c r="T50" s="875">
        <f t="shared" si="118"/>
        <v>163603825</v>
      </c>
      <c r="U50" s="874">
        <f t="shared" si="118"/>
        <v>0</v>
      </c>
      <c r="V50" s="872">
        <f t="shared" si="118"/>
        <v>514968182</v>
      </c>
      <c r="W50" s="868">
        <f t="shared" si="118"/>
        <v>0</v>
      </c>
      <c r="X50" s="867">
        <f t="shared" si="118"/>
        <v>0</v>
      </c>
      <c r="Y50" s="867">
        <f t="shared" si="118"/>
        <v>0</v>
      </c>
      <c r="Z50" s="867">
        <f t="shared" si="118"/>
        <v>0</v>
      </c>
      <c r="AA50" s="873">
        <f t="shared" si="118"/>
        <v>1392575</v>
      </c>
      <c r="AB50" s="872">
        <f t="shared" si="118"/>
        <v>1392575</v>
      </c>
      <c r="AC50" s="871">
        <f t="shared" si="118"/>
        <v>0</v>
      </c>
      <c r="AD50" s="870">
        <f t="shared" si="118"/>
        <v>6284860</v>
      </c>
      <c r="AE50" s="870">
        <f t="shared" si="118"/>
        <v>92338</v>
      </c>
      <c r="AF50" s="870">
        <f t="shared" si="118"/>
        <v>0</v>
      </c>
      <c r="AG50" s="870">
        <f t="shared" si="118"/>
        <v>19830519</v>
      </c>
      <c r="AH50" s="866">
        <f t="shared" si="118"/>
        <v>26207717</v>
      </c>
      <c r="AI50" s="869">
        <f t="shared" si="118"/>
        <v>528893934</v>
      </c>
      <c r="AJ50" s="813"/>
      <c r="AK50" s="813"/>
      <c r="AL50" s="813"/>
      <c r="AM50" s="813"/>
      <c r="AN50" s="813"/>
      <c r="AO50" s="812"/>
      <c r="AP50" s="812"/>
      <c r="AQ50" s="812"/>
      <c r="AR50" s="812"/>
      <c r="AS50" s="812"/>
      <c r="AT50" s="811"/>
      <c r="AU50" s="811"/>
      <c r="AV50" s="811"/>
      <c r="AW50" s="811"/>
      <c r="AX50" s="811"/>
      <c r="BI50" s="811"/>
      <c r="BJ50" s="811"/>
      <c r="BK50" s="811"/>
      <c r="BL50" s="811"/>
      <c r="BM50" s="811"/>
    </row>
    <row r="51" spans="1:65" ht="15" customHeight="1">
      <c r="A51" s="865">
        <v>1</v>
      </c>
      <c r="B51" s="864"/>
      <c r="C51" s="863">
        <v>180080800</v>
      </c>
      <c r="D51" s="862" t="s">
        <v>1359</v>
      </c>
      <c r="E51" s="861">
        <f>+SUMIFS(全伝票!I:I,全伝票!$C:$C,$C51,全伝票!$A:$A,'4条収入'!$A51)</f>
        <v>530286509</v>
      </c>
      <c r="F51" s="901">
        <f>+SUMIFS(全伝票!J:J,全伝票!$C:$C,$C51,全伝票!$A:$A,$A51)</f>
        <v>0</v>
      </c>
      <c r="G51" s="900">
        <f>+SUMIFS(全伝票!K:K,全伝票!$C:$C,$C51,全伝票!$A:$A,$A51)</f>
        <v>0</v>
      </c>
      <c r="H51" s="900">
        <f>+SUMIFS(全伝票!L:L,全伝票!$C:$C,$C51,全伝票!$A:$A,$A51)</f>
        <v>0</v>
      </c>
      <c r="I51" s="900">
        <f>+SUMIFS(全伝票!M:M,全伝票!$C:$C,$C51,全伝票!$A:$A,$A51)</f>
        <v>0</v>
      </c>
      <c r="J51" s="899">
        <f>+SUMIFS(全伝票!N:N,全伝票!$C:$C,$C51,全伝票!$A:$A,$A51)</f>
        <v>15318327</v>
      </c>
      <c r="K51" s="855">
        <f>SUM(F51:J51)</f>
        <v>15318327</v>
      </c>
      <c r="L51" s="861">
        <f>+SUMIFS(全伝票!O:O,全伝票!$C:$C,$C51)</f>
        <v>0</v>
      </c>
      <c r="M51" s="860"/>
      <c r="N51" s="851"/>
      <c r="O51" s="898">
        <f>+'4条工事負担金'!K$6-'4条工事負担金'!K$17</f>
        <v>131982078</v>
      </c>
      <c r="P51" s="898">
        <f>+'4条工事負担金'!L$6-'4条工事負担金'!L$17</f>
        <v>1246566</v>
      </c>
      <c r="Q51" s="898">
        <f>+'4条工事負担金'!M$6-'4条工事負担金'!M$17</f>
        <v>0</v>
      </c>
      <c r="R51" s="898">
        <f>+'4条工事負担金'!N$6-'4条工事負担金'!N$17</f>
        <v>218135713</v>
      </c>
      <c r="S51" s="850">
        <f>SUM(N51:R51)</f>
        <v>351364357</v>
      </c>
      <c r="T51" s="897">
        <f>+'4条工事負担金'!$I$6-'4条工事負担金'!$I$16</f>
        <v>163603825</v>
      </c>
      <c r="U51" s="858">
        <f>+V51-SUM(S51:T51)</f>
        <v>0</v>
      </c>
      <c r="V51" s="857">
        <f>+SUMIFS(全伝票!P:P,全伝票!$C:$C,$C51,全伝票!$A:$A,'4条収入'!$A51)</f>
        <v>514968182</v>
      </c>
      <c r="W51" s="851">
        <f t="shared" ref="W51:AA54" si="119">+ROUND(F51*F$6/(100+F$6),0)+AT51</f>
        <v>0</v>
      </c>
      <c r="X51" s="850">
        <f t="shared" si="119"/>
        <v>0</v>
      </c>
      <c r="Y51" s="850">
        <f t="shared" si="119"/>
        <v>0</v>
      </c>
      <c r="Z51" s="850">
        <f t="shared" si="119"/>
        <v>0</v>
      </c>
      <c r="AA51" s="856">
        <f t="shared" si="119"/>
        <v>1392575</v>
      </c>
      <c r="AB51" s="855">
        <f>SUM(W51:AA51)</f>
        <v>1392575</v>
      </c>
      <c r="AC51" s="854">
        <f t="shared" ref="AC51:AG54" si="120">+ROUND(N51*AC$6/(100+AC$6),0)+BI51</f>
        <v>0</v>
      </c>
      <c r="AD51" s="853">
        <f t="shared" si="120"/>
        <v>6284860</v>
      </c>
      <c r="AE51" s="853">
        <f t="shared" si="120"/>
        <v>92338</v>
      </c>
      <c r="AF51" s="853">
        <f t="shared" si="120"/>
        <v>0</v>
      </c>
      <c r="AG51" s="853">
        <f>+ROUND(R51*AG$6/(100+AG$6),0)+BM51</f>
        <v>19830519</v>
      </c>
      <c r="AH51" s="849">
        <f>SUM(AC51:AG51)</f>
        <v>26207717</v>
      </c>
      <c r="AI51" s="852">
        <f>+E51-AB51</f>
        <v>528893934</v>
      </c>
      <c r="AJ51" s="813">
        <f t="shared" ref="AJ51:AN54" si="121">W51-F51*W$6/(100+W$6)</f>
        <v>0</v>
      </c>
      <c r="AK51" s="813">
        <f t="shared" si="121"/>
        <v>0</v>
      </c>
      <c r="AL51" s="813">
        <f t="shared" si="121"/>
        <v>0</v>
      </c>
      <c r="AM51" s="813">
        <f t="shared" si="121"/>
        <v>0</v>
      </c>
      <c r="AN51" s="813">
        <f t="shared" si="121"/>
        <v>-0.18181818188168108</v>
      </c>
      <c r="AO51" s="812">
        <f t="shared" ref="AO51:AS54" si="122">+IF(W$93=0,0,IF(W$93&lt;0,-RANK(AJ51,AJ$7:AJ$90,0),RANK(AJ51,AJ$7:AJ$90,1)))</f>
        <v>0</v>
      </c>
      <c r="AP51" s="812">
        <f t="shared" si="122"/>
        <v>0</v>
      </c>
      <c r="AQ51" s="812">
        <f t="shared" si="122"/>
        <v>0</v>
      </c>
      <c r="AR51" s="812">
        <f t="shared" si="122"/>
        <v>0</v>
      </c>
      <c r="AS51" s="812">
        <f t="shared" si="122"/>
        <v>0</v>
      </c>
      <c r="AT51" s="811"/>
      <c r="AU51" s="811"/>
      <c r="AV51" s="811"/>
      <c r="AW51" s="811"/>
      <c r="AX51" s="811"/>
      <c r="AY51" s="813">
        <f t="shared" ref="AY51:BC54" si="123">AC51-N51*AC$6/(100+AC$6)</f>
        <v>0</v>
      </c>
      <c r="AZ51" s="813">
        <f t="shared" si="123"/>
        <v>-0.85714285727590322</v>
      </c>
      <c r="BA51" s="813">
        <f t="shared" si="123"/>
        <v>-0.22222222221898846</v>
      </c>
      <c r="BB51" s="813">
        <f t="shared" si="123"/>
        <v>0</v>
      </c>
      <c r="BC51" s="813">
        <f t="shared" si="123"/>
        <v>-0.36363636329770088</v>
      </c>
      <c r="BD51" s="812">
        <f t="shared" ref="BD51:BH54" si="124">+IF(AC$93=0,0,IF(AC$93&lt;0,-RANK(AY51,AY$7:AY$90,0),RANK(AY51,AY$7:AY$90,1)))</f>
        <v>0</v>
      </c>
      <c r="BE51" s="812">
        <f t="shared" si="124"/>
        <v>0</v>
      </c>
      <c r="BF51" s="812">
        <f t="shared" si="124"/>
        <v>0</v>
      </c>
      <c r="BG51" s="812">
        <f t="shared" si="124"/>
        <v>0</v>
      </c>
      <c r="BH51" s="812">
        <f t="shared" si="124"/>
        <v>0</v>
      </c>
      <c r="BI51" s="811"/>
      <c r="BJ51" s="811">
        <v>-1</v>
      </c>
      <c r="BK51" s="811"/>
      <c r="BL51" s="811"/>
      <c r="BM51" s="811"/>
    </row>
    <row r="52" spans="1:65" ht="15" customHeight="1">
      <c r="A52" s="865">
        <v>2</v>
      </c>
      <c r="B52" s="864"/>
      <c r="C52" s="863">
        <v>180080800</v>
      </c>
      <c r="D52" s="862" t="s">
        <v>1358</v>
      </c>
      <c r="E52" s="861">
        <f>+SUMIFS(全伝票!I:I,全伝票!$C:$C,$C52,全伝票!$A:$A,'4条収入'!$A52)</f>
        <v>0</v>
      </c>
      <c r="F52" s="901">
        <f>+SUMIFS(全伝票!J:J,全伝票!$C:$C,$C52,全伝票!$A:$A,$A52)</f>
        <v>0</v>
      </c>
      <c r="G52" s="900">
        <f>+SUMIFS(全伝票!K:K,全伝票!$C:$C,$C52,全伝票!$A:$A,$A52)</f>
        <v>0</v>
      </c>
      <c r="H52" s="900">
        <f>+SUMIFS(全伝票!L:L,全伝票!$C:$C,$C52,全伝票!$A:$A,$A52)</f>
        <v>0</v>
      </c>
      <c r="I52" s="900">
        <f>+SUMIFS(全伝票!M:M,全伝票!$C:$C,$C52,全伝票!$A:$A,$A52)</f>
        <v>0</v>
      </c>
      <c r="J52" s="899">
        <f>+SUMIFS(全伝票!N:N,全伝票!$C:$C,$C52,全伝票!$A:$A,$A52)</f>
        <v>0</v>
      </c>
      <c r="K52" s="855">
        <f>SUM(F52:J52)</f>
        <v>0</v>
      </c>
      <c r="L52" s="861">
        <f>+SUMIFS(全伝票!O:O,全伝票!$C:$C,$C52)</f>
        <v>0</v>
      </c>
      <c r="M52" s="860"/>
      <c r="N52" s="851"/>
      <c r="O52" s="898">
        <f>+'4条工事負担金'!K$19</f>
        <v>0</v>
      </c>
      <c r="P52" s="898">
        <f>+'4条工事負担金'!L$19</f>
        <v>0</v>
      </c>
      <c r="Q52" s="898">
        <f>+'4条工事負担金'!M$19</f>
        <v>0</v>
      </c>
      <c r="R52" s="898">
        <f>+'4条工事負担金'!N$19</f>
        <v>0</v>
      </c>
      <c r="S52" s="850">
        <f>SUM(N52:R52)</f>
        <v>0</v>
      </c>
      <c r="T52" s="897">
        <f>+'4条工事負担金'!$I$18</f>
        <v>0</v>
      </c>
      <c r="U52" s="858">
        <f>+V52-SUM(S52:T52)</f>
        <v>0</v>
      </c>
      <c r="V52" s="857">
        <f>+SUMIFS(全伝票!P:P,全伝票!$C:$C,$C52,全伝票!$A:$A,'4条収入'!$A52)</f>
        <v>0</v>
      </c>
      <c r="W52" s="851">
        <f t="shared" si="119"/>
        <v>0</v>
      </c>
      <c r="X52" s="850">
        <f t="shared" si="119"/>
        <v>0</v>
      </c>
      <c r="Y52" s="850">
        <f t="shared" si="119"/>
        <v>0</v>
      </c>
      <c r="Z52" s="850">
        <f t="shared" si="119"/>
        <v>0</v>
      </c>
      <c r="AA52" s="856">
        <f t="shared" si="119"/>
        <v>0</v>
      </c>
      <c r="AB52" s="855">
        <f>SUM(W52:AA52)</f>
        <v>0</v>
      </c>
      <c r="AC52" s="854">
        <f t="shared" si="120"/>
        <v>0</v>
      </c>
      <c r="AD52" s="853">
        <f t="shared" si="120"/>
        <v>0</v>
      </c>
      <c r="AE52" s="853">
        <f t="shared" si="120"/>
        <v>0</v>
      </c>
      <c r="AF52" s="853">
        <f t="shared" si="120"/>
        <v>0</v>
      </c>
      <c r="AG52" s="853">
        <f t="shared" si="120"/>
        <v>0</v>
      </c>
      <c r="AH52" s="849">
        <f>SUM(AC52:AG52)</f>
        <v>0</v>
      </c>
      <c r="AI52" s="852">
        <f>+E52-AB52</f>
        <v>0</v>
      </c>
      <c r="AJ52" s="813">
        <f t="shared" si="121"/>
        <v>0</v>
      </c>
      <c r="AK52" s="813">
        <f t="shared" si="121"/>
        <v>0</v>
      </c>
      <c r="AL52" s="813">
        <f t="shared" si="121"/>
        <v>0</v>
      </c>
      <c r="AM52" s="813">
        <f t="shared" si="121"/>
        <v>0</v>
      </c>
      <c r="AN52" s="813">
        <f t="shared" si="121"/>
        <v>0</v>
      </c>
      <c r="AO52" s="812">
        <f t="shared" si="122"/>
        <v>0</v>
      </c>
      <c r="AP52" s="812">
        <f t="shared" si="122"/>
        <v>0</v>
      </c>
      <c r="AQ52" s="812">
        <f t="shared" si="122"/>
        <v>0</v>
      </c>
      <c r="AR52" s="812">
        <f t="shared" si="122"/>
        <v>0</v>
      </c>
      <c r="AS52" s="812">
        <f t="shared" si="122"/>
        <v>0</v>
      </c>
      <c r="AT52" s="811"/>
      <c r="AU52" s="811"/>
      <c r="AV52" s="811"/>
      <c r="AW52" s="811"/>
      <c r="AX52" s="811"/>
      <c r="AY52" s="813">
        <f t="shared" si="123"/>
        <v>0</v>
      </c>
      <c r="AZ52" s="813">
        <f t="shared" si="123"/>
        <v>0</v>
      </c>
      <c r="BA52" s="813">
        <f t="shared" si="123"/>
        <v>0</v>
      </c>
      <c r="BB52" s="813">
        <f t="shared" si="123"/>
        <v>0</v>
      </c>
      <c r="BC52" s="813">
        <f t="shared" si="123"/>
        <v>0</v>
      </c>
      <c r="BD52" s="812">
        <f t="shared" si="124"/>
        <v>0</v>
      </c>
      <c r="BE52" s="812">
        <f t="shared" si="124"/>
        <v>0</v>
      </c>
      <c r="BF52" s="812">
        <f t="shared" si="124"/>
        <v>0</v>
      </c>
      <c r="BG52" s="812">
        <f t="shared" si="124"/>
        <v>0</v>
      </c>
      <c r="BH52" s="812">
        <f t="shared" si="124"/>
        <v>0</v>
      </c>
      <c r="BI52" s="811"/>
      <c r="BJ52" s="811"/>
      <c r="BK52" s="811"/>
      <c r="BL52" s="811"/>
      <c r="BM52" s="811"/>
    </row>
    <row r="53" spans="1:65" ht="15" customHeight="1">
      <c r="A53" s="865">
        <v>3</v>
      </c>
      <c r="B53" s="864"/>
      <c r="C53" s="863">
        <v>180080800</v>
      </c>
      <c r="D53" s="862" t="s">
        <v>1357</v>
      </c>
      <c r="E53" s="861">
        <f>+SUMIFS(全伝票!I:I,全伝票!$C:$C,$C53,全伝票!$A:$A,'4条収入'!$A53)</f>
        <v>0</v>
      </c>
      <c r="F53" s="901">
        <f>+SUMIFS(全伝票!J:J,全伝票!$C:$C,$C53,全伝票!$A:$A,$A53)</f>
        <v>0</v>
      </c>
      <c r="G53" s="900">
        <f>+SUMIFS(全伝票!K:K,全伝票!$C:$C,$C53,全伝票!$A:$A,$A53)</f>
        <v>0</v>
      </c>
      <c r="H53" s="900">
        <f>+SUMIFS(全伝票!L:L,全伝票!$C:$C,$C53,全伝票!$A:$A,$A53)</f>
        <v>0</v>
      </c>
      <c r="I53" s="900">
        <f>+SUMIFS(全伝票!M:M,全伝票!$C:$C,$C53,全伝票!$A:$A,$A53)</f>
        <v>0</v>
      </c>
      <c r="J53" s="899">
        <f>+SUMIFS(全伝票!N:N,全伝票!$C:$C,$C53,全伝票!$A:$A,$A53)</f>
        <v>0</v>
      </c>
      <c r="K53" s="855">
        <f>SUM(F53:J53)</f>
        <v>0</v>
      </c>
      <c r="L53" s="861">
        <f>+SUMIFS(全伝票!O:O,全伝票!$C:$C,$C53)</f>
        <v>0</v>
      </c>
      <c r="M53" s="860"/>
      <c r="N53" s="851"/>
      <c r="O53" s="898">
        <f>+'4条工事負担金'!K$21</f>
        <v>0</v>
      </c>
      <c r="P53" s="898">
        <f>+'4条工事負担金'!L$21</f>
        <v>0</v>
      </c>
      <c r="Q53" s="898">
        <f>+'4条工事負担金'!M$21</f>
        <v>0</v>
      </c>
      <c r="R53" s="898">
        <f>+'4条工事負担金'!N$21</f>
        <v>0</v>
      </c>
      <c r="S53" s="850">
        <f>SUM(N53:R53)</f>
        <v>0</v>
      </c>
      <c r="T53" s="897">
        <f>+'4条工事負担金'!I20</f>
        <v>0</v>
      </c>
      <c r="U53" s="858">
        <f>+V53-SUM(S53:T53)</f>
        <v>0</v>
      </c>
      <c r="V53" s="857">
        <f>+SUMIFS(全伝票!P:P,全伝票!$C:$C,$C53,全伝票!$A:$A,'4条収入'!$A53)</f>
        <v>0</v>
      </c>
      <c r="W53" s="851">
        <f t="shared" si="119"/>
        <v>0</v>
      </c>
      <c r="X53" s="850">
        <f t="shared" si="119"/>
        <v>0</v>
      </c>
      <c r="Y53" s="850">
        <f t="shared" si="119"/>
        <v>0</v>
      </c>
      <c r="Z53" s="850">
        <f t="shared" si="119"/>
        <v>0</v>
      </c>
      <c r="AA53" s="856">
        <f t="shared" si="119"/>
        <v>0</v>
      </c>
      <c r="AB53" s="855">
        <f>SUM(W53:AA53)</f>
        <v>0</v>
      </c>
      <c r="AC53" s="854">
        <f t="shared" si="120"/>
        <v>0</v>
      </c>
      <c r="AD53" s="853">
        <f t="shared" si="120"/>
        <v>0</v>
      </c>
      <c r="AE53" s="853">
        <f t="shared" si="120"/>
        <v>0</v>
      </c>
      <c r="AF53" s="853">
        <f t="shared" si="120"/>
        <v>0</v>
      </c>
      <c r="AG53" s="853">
        <f t="shared" si="120"/>
        <v>0</v>
      </c>
      <c r="AH53" s="849">
        <f>SUM(AC53:AG53)</f>
        <v>0</v>
      </c>
      <c r="AI53" s="852">
        <f>+E53-AB53</f>
        <v>0</v>
      </c>
      <c r="AJ53" s="813">
        <f t="shared" si="121"/>
        <v>0</v>
      </c>
      <c r="AK53" s="813">
        <f t="shared" si="121"/>
        <v>0</v>
      </c>
      <c r="AL53" s="813">
        <f t="shared" si="121"/>
        <v>0</v>
      </c>
      <c r="AM53" s="813">
        <f t="shared" si="121"/>
        <v>0</v>
      </c>
      <c r="AN53" s="813">
        <f t="shared" si="121"/>
        <v>0</v>
      </c>
      <c r="AO53" s="812">
        <f t="shared" si="122"/>
        <v>0</v>
      </c>
      <c r="AP53" s="812">
        <f t="shared" si="122"/>
        <v>0</v>
      </c>
      <c r="AQ53" s="812">
        <f t="shared" si="122"/>
        <v>0</v>
      </c>
      <c r="AR53" s="812">
        <f t="shared" si="122"/>
        <v>0</v>
      </c>
      <c r="AS53" s="812">
        <f t="shared" si="122"/>
        <v>0</v>
      </c>
      <c r="AT53" s="811"/>
      <c r="AU53" s="811"/>
      <c r="AV53" s="811"/>
      <c r="AW53" s="811"/>
      <c r="AX53" s="811"/>
      <c r="AY53" s="813">
        <f t="shared" si="123"/>
        <v>0</v>
      </c>
      <c r="AZ53" s="813">
        <f t="shared" si="123"/>
        <v>0</v>
      </c>
      <c r="BA53" s="813">
        <f t="shared" si="123"/>
        <v>0</v>
      </c>
      <c r="BB53" s="813">
        <f t="shared" si="123"/>
        <v>0</v>
      </c>
      <c r="BC53" s="813">
        <f t="shared" si="123"/>
        <v>0</v>
      </c>
      <c r="BD53" s="812">
        <f t="shared" si="124"/>
        <v>0</v>
      </c>
      <c r="BE53" s="812">
        <f t="shared" si="124"/>
        <v>0</v>
      </c>
      <c r="BF53" s="812">
        <f t="shared" si="124"/>
        <v>0</v>
      </c>
      <c r="BG53" s="812">
        <f t="shared" si="124"/>
        <v>0</v>
      </c>
      <c r="BH53" s="812">
        <f t="shared" si="124"/>
        <v>0</v>
      </c>
      <c r="BI53" s="811"/>
      <c r="BJ53" s="811"/>
      <c r="BK53" s="811"/>
      <c r="BL53" s="811"/>
      <c r="BM53" s="811"/>
    </row>
    <row r="54" spans="1:65" ht="15" customHeight="1">
      <c r="A54" s="865">
        <v>4</v>
      </c>
      <c r="B54" s="864"/>
      <c r="C54" s="863">
        <v>180080800</v>
      </c>
      <c r="D54" s="862" t="s">
        <v>1356</v>
      </c>
      <c r="E54" s="861">
        <f>+SUMIFS(全伝票!I:I,全伝票!$C:$C,$C54,全伝票!$A:$A,'4条収入'!$A54)</f>
        <v>0</v>
      </c>
      <c r="F54" s="901">
        <f>+SUMIFS(全伝票!J:J,全伝票!$C:$C,$C54,全伝票!$A:$A,$A54)</f>
        <v>0</v>
      </c>
      <c r="G54" s="900">
        <f>+SUMIFS(全伝票!K:K,全伝票!$C:$C,$C54,全伝票!$A:$A,$A54)</f>
        <v>0</v>
      </c>
      <c r="H54" s="900">
        <f>+SUMIFS(全伝票!L:L,全伝票!$C:$C,$C54,全伝票!$A:$A,$A54)</f>
        <v>0</v>
      </c>
      <c r="I54" s="900">
        <f>+SUMIFS(全伝票!M:M,全伝票!$C:$C,$C54,全伝票!$A:$A,$A54)</f>
        <v>0</v>
      </c>
      <c r="J54" s="899">
        <f>+SUMIFS(全伝票!N:N,全伝票!$C:$C,$C54,全伝票!$A:$A,$A54)</f>
        <v>0</v>
      </c>
      <c r="K54" s="855">
        <f>SUM(F54:J54)</f>
        <v>0</v>
      </c>
      <c r="L54" s="861">
        <f>+SUMIFS(全伝票!O:O,全伝票!$C:$C,$C54)</f>
        <v>0</v>
      </c>
      <c r="M54" s="860"/>
      <c r="N54" s="851"/>
      <c r="O54" s="898">
        <f>+'4条工事負担金'!K$23</f>
        <v>0</v>
      </c>
      <c r="P54" s="898">
        <f>+'4条工事負担金'!L$23</f>
        <v>0</v>
      </c>
      <c r="Q54" s="898">
        <f>+'4条工事負担金'!M$23</f>
        <v>0</v>
      </c>
      <c r="R54" s="898">
        <f>+'4条工事負担金'!N$23</f>
        <v>0</v>
      </c>
      <c r="S54" s="850">
        <f>SUM(N54:R54)</f>
        <v>0</v>
      </c>
      <c r="T54" s="897">
        <f>+'4条工事負担金'!$I$22</f>
        <v>0</v>
      </c>
      <c r="U54" s="858">
        <f>+V54-SUM(S54:T54)</f>
        <v>0</v>
      </c>
      <c r="V54" s="857">
        <f>+SUMIFS(全伝票!P:P,全伝票!$C:$C,$C54,全伝票!$A:$A,'4条収入'!$A54)</f>
        <v>0</v>
      </c>
      <c r="W54" s="851">
        <f t="shared" si="119"/>
        <v>0</v>
      </c>
      <c r="X54" s="850">
        <f t="shared" si="119"/>
        <v>0</v>
      </c>
      <c r="Y54" s="850">
        <f t="shared" si="119"/>
        <v>0</v>
      </c>
      <c r="Z54" s="850">
        <f t="shared" si="119"/>
        <v>0</v>
      </c>
      <c r="AA54" s="856">
        <f t="shared" si="119"/>
        <v>0</v>
      </c>
      <c r="AB54" s="855">
        <f>SUM(W54:AA54)</f>
        <v>0</v>
      </c>
      <c r="AC54" s="854">
        <f t="shared" si="120"/>
        <v>0</v>
      </c>
      <c r="AD54" s="853">
        <f t="shared" si="120"/>
        <v>0</v>
      </c>
      <c r="AE54" s="853">
        <f t="shared" si="120"/>
        <v>0</v>
      </c>
      <c r="AF54" s="853">
        <f t="shared" si="120"/>
        <v>0</v>
      </c>
      <c r="AG54" s="853">
        <f t="shared" si="120"/>
        <v>0</v>
      </c>
      <c r="AH54" s="849">
        <f>SUM(AC54:AG54)</f>
        <v>0</v>
      </c>
      <c r="AI54" s="852">
        <f>+E54-AB54</f>
        <v>0</v>
      </c>
      <c r="AJ54" s="813">
        <f t="shared" si="121"/>
        <v>0</v>
      </c>
      <c r="AK54" s="813">
        <f t="shared" si="121"/>
        <v>0</v>
      </c>
      <c r="AL54" s="813">
        <f t="shared" si="121"/>
        <v>0</v>
      </c>
      <c r="AM54" s="813">
        <f t="shared" si="121"/>
        <v>0</v>
      </c>
      <c r="AN54" s="813">
        <f t="shared" si="121"/>
        <v>0</v>
      </c>
      <c r="AO54" s="812">
        <f t="shared" si="122"/>
        <v>0</v>
      </c>
      <c r="AP54" s="812">
        <f t="shared" si="122"/>
        <v>0</v>
      </c>
      <c r="AQ54" s="812">
        <f t="shared" si="122"/>
        <v>0</v>
      </c>
      <c r="AR54" s="812">
        <f t="shared" si="122"/>
        <v>0</v>
      </c>
      <c r="AS54" s="812">
        <f t="shared" si="122"/>
        <v>0</v>
      </c>
      <c r="AT54" s="811"/>
      <c r="AU54" s="811"/>
      <c r="AV54" s="811"/>
      <c r="AW54" s="811"/>
      <c r="AX54" s="811"/>
      <c r="AY54" s="813">
        <f t="shared" si="123"/>
        <v>0</v>
      </c>
      <c r="AZ54" s="813">
        <f t="shared" si="123"/>
        <v>0</v>
      </c>
      <c r="BA54" s="813">
        <f t="shared" si="123"/>
        <v>0</v>
      </c>
      <c r="BB54" s="813">
        <f t="shared" si="123"/>
        <v>0</v>
      </c>
      <c r="BC54" s="813">
        <f t="shared" si="123"/>
        <v>0</v>
      </c>
      <c r="BD54" s="812">
        <f t="shared" si="124"/>
        <v>0</v>
      </c>
      <c r="BE54" s="812">
        <f t="shared" si="124"/>
        <v>0</v>
      </c>
      <c r="BF54" s="812">
        <f t="shared" si="124"/>
        <v>0</v>
      </c>
      <c r="BG54" s="812">
        <f t="shared" si="124"/>
        <v>0</v>
      </c>
      <c r="BH54" s="812">
        <f t="shared" si="124"/>
        <v>0</v>
      </c>
      <c r="BI54" s="811"/>
      <c r="BJ54" s="811"/>
      <c r="BK54" s="811"/>
      <c r="BL54" s="811"/>
      <c r="BM54" s="811"/>
    </row>
    <row r="55" spans="1:65" ht="15" customHeight="1">
      <c r="A55" s="848"/>
      <c r="B55" s="847"/>
      <c r="C55" s="846"/>
      <c r="D55" s="845" t="s">
        <v>1370</v>
      </c>
      <c r="E55" s="844">
        <f t="shared" ref="E55:AI55" si="125">+SUM(E56,E58,E71)</f>
        <v>3987000</v>
      </c>
      <c r="F55" s="836">
        <f t="shared" si="125"/>
        <v>0</v>
      </c>
      <c r="G55" s="835">
        <f t="shared" si="125"/>
        <v>0</v>
      </c>
      <c r="H55" s="835">
        <f t="shared" si="125"/>
        <v>0</v>
      </c>
      <c r="I55" s="835">
        <f t="shared" ref="I55" si="126">+SUM(I56,I58,I71)</f>
        <v>0</v>
      </c>
      <c r="J55" s="841">
        <f t="shared" si="125"/>
        <v>0</v>
      </c>
      <c r="K55" s="840">
        <f t="shared" si="125"/>
        <v>0</v>
      </c>
      <c r="L55" s="844">
        <f t="shared" si="125"/>
        <v>0</v>
      </c>
      <c r="M55" s="844">
        <f t="shared" si="125"/>
        <v>0</v>
      </c>
      <c r="N55" s="836">
        <f t="shared" si="125"/>
        <v>0</v>
      </c>
      <c r="O55" s="835">
        <f t="shared" si="125"/>
        <v>0</v>
      </c>
      <c r="P55" s="835">
        <f t="shared" si="125"/>
        <v>0</v>
      </c>
      <c r="Q55" s="835">
        <f t="shared" ref="Q55" si="127">+SUM(Q56,Q58,Q71)</f>
        <v>0</v>
      </c>
      <c r="R55" s="835">
        <f t="shared" si="125"/>
        <v>0</v>
      </c>
      <c r="S55" s="835">
        <f t="shared" si="125"/>
        <v>0</v>
      </c>
      <c r="T55" s="843">
        <f t="shared" si="125"/>
        <v>0</v>
      </c>
      <c r="U55" s="842">
        <f t="shared" si="125"/>
        <v>3987000</v>
      </c>
      <c r="V55" s="840">
        <f t="shared" si="125"/>
        <v>3987000</v>
      </c>
      <c r="W55" s="836">
        <f t="shared" si="125"/>
        <v>0</v>
      </c>
      <c r="X55" s="835">
        <f t="shared" si="125"/>
        <v>0</v>
      </c>
      <c r="Y55" s="835">
        <f t="shared" si="125"/>
        <v>0</v>
      </c>
      <c r="Z55" s="835">
        <f t="shared" ref="Z55" si="128">+SUM(Z56,Z58,Z71)</f>
        <v>0</v>
      </c>
      <c r="AA55" s="841">
        <f t="shared" si="125"/>
        <v>0</v>
      </c>
      <c r="AB55" s="840">
        <f t="shared" si="125"/>
        <v>0</v>
      </c>
      <c r="AC55" s="839">
        <f t="shared" si="125"/>
        <v>0</v>
      </c>
      <c r="AD55" s="838">
        <f t="shared" si="125"/>
        <v>0</v>
      </c>
      <c r="AE55" s="838">
        <f t="shared" si="125"/>
        <v>0</v>
      </c>
      <c r="AF55" s="838">
        <f t="shared" ref="AF55" si="129">+SUM(AF56,AF58,AF71)</f>
        <v>0</v>
      </c>
      <c r="AG55" s="838">
        <f t="shared" si="125"/>
        <v>0</v>
      </c>
      <c r="AH55" s="834">
        <f t="shared" si="125"/>
        <v>0</v>
      </c>
      <c r="AI55" s="837">
        <f t="shared" si="125"/>
        <v>3987000</v>
      </c>
      <c r="AJ55" s="813"/>
      <c r="AK55" s="813"/>
      <c r="AL55" s="813"/>
      <c r="AM55" s="813"/>
      <c r="AN55" s="813"/>
      <c r="AO55" s="812"/>
      <c r="AP55" s="812"/>
      <c r="AQ55" s="812"/>
      <c r="AR55" s="812"/>
      <c r="AS55" s="812"/>
      <c r="AT55" s="811"/>
      <c r="AU55" s="811"/>
      <c r="AV55" s="811"/>
      <c r="AW55" s="811"/>
      <c r="AX55" s="811"/>
      <c r="BI55" s="811"/>
      <c r="BJ55" s="811"/>
      <c r="BK55" s="811"/>
      <c r="BL55" s="811"/>
      <c r="BM55" s="811"/>
    </row>
    <row r="56" spans="1:65" ht="15" customHeight="1">
      <c r="A56" s="895"/>
      <c r="B56" s="894"/>
      <c r="C56" s="893"/>
      <c r="D56" s="892" t="s">
        <v>1369</v>
      </c>
      <c r="E56" s="891">
        <f t="shared" ref="E56:AI56" si="130">+E57</f>
        <v>0</v>
      </c>
      <c r="F56" s="883">
        <f t="shared" si="130"/>
        <v>0</v>
      </c>
      <c r="G56" s="882">
        <f t="shared" si="130"/>
        <v>0</v>
      </c>
      <c r="H56" s="882">
        <f t="shared" si="130"/>
        <v>0</v>
      </c>
      <c r="I56" s="882">
        <f t="shared" si="130"/>
        <v>0</v>
      </c>
      <c r="J56" s="888">
        <f t="shared" si="130"/>
        <v>0</v>
      </c>
      <c r="K56" s="887">
        <f t="shared" si="130"/>
        <v>0</v>
      </c>
      <c r="L56" s="891">
        <f t="shared" si="130"/>
        <v>0</v>
      </c>
      <c r="M56" s="891">
        <f t="shared" si="130"/>
        <v>0</v>
      </c>
      <c r="N56" s="883">
        <f t="shared" si="130"/>
        <v>0</v>
      </c>
      <c r="O56" s="882">
        <f t="shared" si="130"/>
        <v>0</v>
      </c>
      <c r="P56" s="882">
        <f t="shared" si="130"/>
        <v>0</v>
      </c>
      <c r="Q56" s="882">
        <f t="shared" si="130"/>
        <v>0</v>
      </c>
      <c r="R56" s="882">
        <f t="shared" si="130"/>
        <v>0</v>
      </c>
      <c r="S56" s="882">
        <f t="shared" si="130"/>
        <v>0</v>
      </c>
      <c r="T56" s="890">
        <f t="shared" si="130"/>
        <v>0</v>
      </c>
      <c r="U56" s="889">
        <f t="shared" si="130"/>
        <v>0</v>
      </c>
      <c r="V56" s="887">
        <f t="shared" si="130"/>
        <v>0</v>
      </c>
      <c r="W56" s="883">
        <f t="shared" si="130"/>
        <v>0</v>
      </c>
      <c r="X56" s="882">
        <f t="shared" si="130"/>
        <v>0</v>
      </c>
      <c r="Y56" s="882">
        <f t="shared" si="130"/>
        <v>0</v>
      </c>
      <c r="Z56" s="882">
        <f t="shared" si="130"/>
        <v>0</v>
      </c>
      <c r="AA56" s="888">
        <f t="shared" si="130"/>
        <v>0</v>
      </c>
      <c r="AB56" s="887">
        <f t="shared" si="130"/>
        <v>0</v>
      </c>
      <c r="AC56" s="886">
        <f t="shared" si="130"/>
        <v>0</v>
      </c>
      <c r="AD56" s="885">
        <f t="shared" si="130"/>
        <v>0</v>
      </c>
      <c r="AE56" s="885">
        <f t="shared" si="130"/>
        <v>0</v>
      </c>
      <c r="AF56" s="885">
        <f t="shared" si="130"/>
        <v>0</v>
      </c>
      <c r="AG56" s="885">
        <f t="shared" si="130"/>
        <v>0</v>
      </c>
      <c r="AH56" s="881">
        <f t="shared" si="130"/>
        <v>0</v>
      </c>
      <c r="AI56" s="884">
        <f t="shared" si="130"/>
        <v>0</v>
      </c>
      <c r="AJ56" s="813"/>
      <c r="AK56" s="813"/>
      <c r="AL56" s="813"/>
      <c r="AM56" s="813"/>
      <c r="AN56" s="813"/>
      <c r="AO56" s="812"/>
      <c r="AP56" s="812"/>
      <c r="AQ56" s="812"/>
      <c r="AR56" s="812"/>
      <c r="AS56" s="812"/>
      <c r="AT56" s="811"/>
      <c r="AU56" s="811"/>
      <c r="AV56" s="811"/>
      <c r="AW56" s="811"/>
      <c r="AX56" s="811"/>
      <c r="BI56" s="811"/>
      <c r="BJ56" s="811"/>
      <c r="BK56" s="811"/>
      <c r="BL56" s="811"/>
      <c r="BM56" s="811"/>
    </row>
    <row r="57" spans="1:65" ht="15" customHeight="1">
      <c r="A57" s="880"/>
      <c r="B57" s="879"/>
      <c r="C57" s="878">
        <v>184010200</v>
      </c>
      <c r="D57" s="877" t="s">
        <v>1368</v>
      </c>
      <c r="E57" s="876">
        <f>+SUMIFS(全伝票!I:I,全伝票!$C:$C,$C57)</f>
        <v>0</v>
      </c>
      <c r="F57" s="868">
        <f>+SUMIFS(全伝票!J:J,全伝票!$C:$C,$C57)</f>
        <v>0</v>
      </c>
      <c r="G57" s="867">
        <f>+SUMIFS(全伝票!K:K,全伝票!$C:$C,$C57)</f>
        <v>0</v>
      </c>
      <c r="H57" s="867">
        <f>+SUMIFS(全伝票!L:L,全伝票!$C:$C,$C57)</f>
        <v>0</v>
      </c>
      <c r="I57" s="867">
        <f>+SUMIFS(全伝票!M:M,全伝票!$C:$C,$C57)</f>
        <v>0</v>
      </c>
      <c r="J57" s="873">
        <f>+SUMIFS(全伝票!N:N,全伝票!$C:$C,$C57)</f>
        <v>0</v>
      </c>
      <c r="K57" s="872">
        <f>SUM(F57:J57)</f>
        <v>0</v>
      </c>
      <c r="L57" s="876">
        <f>+SUMIFS(全伝票!O:O,全伝票!$C:$C,$C57)</f>
        <v>0</v>
      </c>
      <c r="M57" s="876"/>
      <c r="N57" s="868"/>
      <c r="O57" s="867"/>
      <c r="P57" s="867"/>
      <c r="Q57" s="867"/>
      <c r="R57" s="867"/>
      <c r="S57" s="867">
        <f>SUM(N57:R57)</f>
        <v>0</v>
      </c>
      <c r="T57" s="875"/>
      <c r="U57" s="874">
        <f>+V57-SUM(S57:T57)</f>
        <v>0</v>
      </c>
      <c r="V57" s="896">
        <f>+SUMIFS(全伝票!P:P,全伝票!$C:$C,$C57)</f>
        <v>0</v>
      </c>
      <c r="W57" s="868">
        <f>+ROUND(F57*F$6/(100+F$6),0)+AT57</f>
        <v>0</v>
      </c>
      <c r="X57" s="867">
        <f>+ROUND(G57*G$6/(100+G$6),0)+AU57</f>
        <v>0</v>
      </c>
      <c r="Y57" s="867">
        <f>+ROUND(H57*H$6/(100+H$6),0)+AV57</f>
        <v>0</v>
      </c>
      <c r="Z57" s="867">
        <f>+ROUND(I57*I$6/(100+I$6),0)+AW57</f>
        <v>0</v>
      </c>
      <c r="AA57" s="873">
        <f>+ROUND(J57*J$6/(100+J$6),0)+AX57</f>
        <v>0</v>
      </c>
      <c r="AB57" s="872">
        <f>SUM(W57:AA57)</f>
        <v>0</v>
      </c>
      <c r="AC57" s="871">
        <f>+ROUND(N57*AC$6/(100+AC$6),0)+BI57</f>
        <v>0</v>
      </c>
      <c r="AD57" s="870">
        <f>+ROUND(O57*AD$6/(100+AD$6),0)+BJ57</f>
        <v>0</v>
      </c>
      <c r="AE57" s="870">
        <f>+ROUND(P57*AE$6/(100+AE$6),0)+BK57</f>
        <v>0</v>
      </c>
      <c r="AF57" s="870">
        <f>+ROUND(Q57*AF$6/(100+AF$6),0)+BL57</f>
        <v>0</v>
      </c>
      <c r="AG57" s="870">
        <f>+ROUND(R57*AG$6/(100+AG$6),0)+BM57</f>
        <v>0</v>
      </c>
      <c r="AH57" s="866">
        <f>SUM(AC57:AG57)</f>
        <v>0</v>
      </c>
      <c r="AI57" s="869">
        <f>+E57-AB57</f>
        <v>0</v>
      </c>
      <c r="AJ57" s="813"/>
      <c r="AK57" s="813"/>
      <c r="AL57" s="813"/>
      <c r="AM57" s="813"/>
      <c r="AN57" s="813"/>
      <c r="AO57" s="812"/>
      <c r="AP57" s="812"/>
      <c r="AQ57" s="812"/>
      <c r="AR57" s="812"/>
      <c r="AS57" s="812"/>
      <c r="AT57" s="811"/>
      <c r="AU57" s="811"/>
      <c r="AV57" s="811"/>
      <c r="AW57" s="811"/>
      <c r="AX57" s="811"/>
      <c r="BI57" s="811"/>
      <c r="BJ57" s="811"/>
      <c r="BK57" s="811"/>
      <c r="BL57" s="811"/>
      <c r="BM57" s="811"/>
    </row>
    <row r="58" spans="1:65" ht="15" customHeight="1">
      <c r="A58" s="895"/>
      <c r="B58" s="894"/>
      <c r="C58" s="893"/>
      <c r="D58" s="892" t="s">
        <v>1367</v>
      </c>
      <c r="E58" s="891">
        <f>+SUM(E59,E63,E67)</f>
        <v>0</v>
      </c>
      <c r="F58" s="883">
        <f t="shared" ref="F58:K58" si="131">+SUM(F59,F63,F67)</f>
        <v>0</v>
      </c>
      <c r="G58" s="882">
        <f t="shared" si="131"/>
        <v>0</v>
      </c>
      <c r="H58" s="882">
        <f t="shared" si="131"/>
        <v>0</v>
      </c>
      <c r="I58" s="882">
        <f t="shared" ref="I58" si="132">+SUM(I59,I63,I67)</f>
        <v>0</v>
      </c>
      <c r="J58" s="888">
        <f t="shared" si="131"/>
        <v>0</v>
      </c>
      <c r="K58" s="887">
        <f t="shared" si="131"/>
        <v>0</v>
      </c>
      <c r="L58" s="891">
        <f t="shared" ref="L58" si="133">+SUM(L59,L63,L67)</f>
        <v>0</v>
      </c>
      <c r="M58" s="891">
        <f t="shared" ref="M58" si="134">+SUM(M59,M63,M67)</f>
        <v>0</v>
      </c>
      <c r="N58" s="883">
        <f t="shared" ref="N58" si="135">+SUM(N59,N63,N67)</f>
        <v>0</v>
      </c>
      <c r="O58" s="882">
        <f t="shared" ref="O58" si="136">+SUM(O59,O63,O67)</f>
        <v>0</v>
      </c>
      <c r="P58" s="882">
        <f t="shared" ref="P58:Q58" si="137">+SUM(P59,P63,P67)</f>
        <v>0</v>
      </c>
      <c r="Q58" s="882">
        <f t="shared" si="137"/>
        <v>0</v>
      </c>
      <c r="R58" s="882">
        <f t="shared" ref="R58:S58" si="138">+SUM(R59,R63,R67)</f>
        <v>0</v>
      </c>
      <c r="S58" s="882">
        <f t="shared" si="138"/>
        <v>0</v>
      </c>
      <c r="T58" s="890">
        <f t="shared" ref="T58" si="139">+SUM(T59,T63,T67)</f>
        <v>0</v>
      </c>
      <c r="U58" s="889">
        <f t="shared" ref="U58" si="140">+SUM(U59,U63,U67)</f>
        <v>0</v>
      </c>
      <c r="V58" s="887">
        <f t="shared" ref="V58" si="141">+SUM(V59,V63,V67)</f>
        <v>0</v>
      </c>
      <c r="W58" s="883">
        <f t="shared" ref="W58" si="142">+SUM(W59,W63,W67)</f>
        <v>0</v>
      </c>
      <c r="X58" s="882">
        <f t="shared" ref="X58" si="143">+SUM(X59,X63,X67)</f>
        <v>0</v>
      </c>
      <c r="Y58" s="882">
        <f t="shared" ref="Y58:Z58" si="144">+SUM(Y59,Y63,Y67)</f>
        <v>0</v>
      </c>
      <c r="Z58" s="882">
        <f t="shared" si="144"/>
        <v>0</v>
      </c>
      <c r="AA58" s="888">
        <f t="shared" ref="AA58" si="145">+SUM(AA59,AA63,AA67)</f>
        <v>0</v>
      </c>
      <c r="AB58" s="887">
        <f t="shared" ref="AB58" si="146">+SUM(AB59,AB63,AB67)</f>
        <v>0</v>
      </c>
      <c r="AC58" s="886">
        <f t="shared" ref="AC58" si="147">+SUM(AC59,AC63,AC67)</f>
        <v>0</v>
      </c>
      <c r="AD58" s="885">
        <f t="shared" ref="AD58" si="148">+SUM(AD59,AD63,AD67)</f>
        <v>0</v>
      </c>
      <c r="AE58" s="885">
        <f t="shared" ref="AE58:AF58" si="149">+SUM(AE59,AE63,AE67)</f>
        <v>0</v>
      </c>
      <c r="AF58" s="885">
        <f t="shared" si="149"/>
        <v>0</v>
      </c>
      <c r="AG58" s="885">
        <f t="shared" ref="AG58" si="150">+SUM(AG59,AG63,AG67)</f>
        <v>0</v>
      </c>
      <c r="AH58" s="881">
        <f t="shared" ref="AH58" si="151">+SUM(AH59,AH63,AH67)</f>
        <v>0</v>
      </c>
      <c r="AI58" s="884">
        <f t="shared" ref="AI58" si="152">+SUM(AI59,AI63,AI67)</f>
        <v>0</v>
      </c>
      <c r="AJ58" s="813"/>
      <c r="AK58" s="813"/>
      <c r="AL58" s="813"/>
      <c r="AM58" s="813"/>
      <c r="AN58" s="813"/>
      <c r="AO58" s="812"/>
      <c r="AP58" s="812"/>
      <c r="AQ58" s="812"/>
      <c r="AR58" s="812"/>
      <c r="AS58" s="812"/>
      <c r="AT58" s="811"/>
      <c r="AU58" s="811"/>
      <c r="AV58" s="811"/>
      <c r="AW58" s="811"/>
      <c r="AX58" s="811"/>
      <c r="BI58" s="811"/>
      <c r="BJ58" s="811"/>
      <c r="BK58" s="811"/>
      <c r="BL58" s="811"/>
      <c r="BM58" s="811"/>
    </row>
    <row r="59" spans="1:65" ht="15" customHeight="1">
      <c r="A59" s="865"/>
      <c r="B59" s="864"/>
      <c r="C59" s="863"/>
      <c r="D59" s="862" t="s">
        <v>1366</v>
      </c>
      <c r="E59" s="876">
        <f>+SUM(E60:E62)</f>
        <v>0</v>
      </c>
      <c r="F59" s="851">
        <f t="shared" ref="F59" si="153">+SUM(F60:F62)</f>
        <v>0</v>
      </c>
      <c r="G59" s="850">
        <f t="shared" ref="G59" si="154">+SUM(G60:G62)</f>
        <v>0</v>
      </c>
      <c r="H59" s="850">
        <f t="shared" ref="H59:I59" si="155">+SUM(H60:H62)</f>
        <v>0</v>
      </c>
      <c r="I59" s="850">
        <f t="shared" si="155"/>
        <v>0</v>
      </c>
      <c r="J59" s="856">
        <f t="shared" ref="J59" si="156">+SUM(J60:J62)</f>
        <v>0</v>
      </c>
      <c r="K59" s="855">
        <f t="shared" ref="K59" si="157">+SUM(K60:K62)</f>
        <v>0</v>
      </c>
      <c r="L59" s="860">
        <f t="shared" ref="L59" si="158">+SUM(L60:L62)</f>
        <v>0</v>
      </c>
      <c r="M59" s="860">
        <f t="shared" ref="M59" si="159">+SUM(M60:M62)</f>
        <v>0</v>
      </c>
      <c r="N59" s="851">
        <f t="shared" ref="N59" si="160">+SUM(N60:N62)</f>
        <v>0</v>
      </c>
      <c r="O59" s="850">
        <f t="shared" ref="O59" si="161">+SUM(O60:O62)</f>
        <v>0</v>
      </c>
      <c r="P59" s="850">
        <f t="shared" ref="P59:Q59" si="162">+SUM(P60:P62)</f>
        <v>0</v>
      </c>
      <c r="Q59" s="850">
        <f t="shared" si="162"/>
        <v>0</v>
      </c>
      <c r="R59" s="850">
        <f t="shared" ref="R59" si="163">+SUM(R60:R62)</f>
        <v>0</v>
      </c>
      <c r="S59" s="850">
        <f t="shared" ref="S59" si="164">+SUM(S60:S62)</f>
        <v>0</v>
      </c>
      <c r="T59" s="859">
        <f t="shared" ref="T59" si="165">+SUM(T60:T62)</f>
        <v>0</v>
      </c>
      <c r="U59" s="858">
        <f t="shared" ref="U59" si="166">+SUM(U60:U62)</f>
        <v>0</v>
      </c>
      <c r="V59" s="855">
        <f t="shared" ref="V59" si="167">+SUM(V60:V62)</f>
        <v>0</v>
      </c>
      <c r="W59" s="851">
        <f t="shared" ref="W59" si="168">+SUM(W60:W62)</f>
        <v>0</v>
      </c>
      <c r="X59" s="850">
        <f t="shared" ref="X59" si="169">+SUM(X60:X62)</f>
        <v>0</v>
      </c>
      <c r="Y59" s="850">
        <f t="shared" ref="Y59:Z59" si="170">+SUM(Y60:Y62)</f>
        <v>0</v>
      </c>
      <c r="Z59" s="850">
        <f t="shared" si="170"/>
        <v>0</v>
      </c>
      <c r="AA59" s="856">
        <f t="shared" ref="AA59" si="171">+SUM(AA60:AA62)</f>
        <v>0</v>
      </c>
      <c r="AB59" s="855">
        <f t="shared" ref="AB59" si="172">+SUM(AB60:AB62)</f>
        <v>0</v>
      </c>
      <c r="AC59" s="854">
        <f t="shared" ref="AC59" si="173">+SUM(AC60:AC62)</f>
        <v>0</v>
      </c>
      <c r="AD59" s="853">
        <f t="shared" ref="AD59" si="174">+SUM(AD60:AD62)</f>
        <v>0</v>
      </c>
      <c r="AE59" s="853">
        <f t="shared" ref="AE59:AF59" si="175">+SUM(AE60:AE62)</f>
        <v>0</v>
      </c>
      <c r="AF59" s="853">
        <f t="shared" si="175"/>
        <v>0</v>
      </c>
      <c r="AG59" s="853">
        <f t="shared" ref="AG59" si="176">+SUM(AG60:AG62)</f>
        <v>0</v>
      </c>
      <c r="AH59" s="849">
        <f t="shared" ref="AH59" si="177">+SUM(AH60:AH62)</f>
        <v>0</v>
      </c>
      <c r="AI59" s="852">
        <f t="shared" ref="AI59" si="178">+SUM(AI60:AI62)</f>
        <v>0</v>
      </c>
      <c r="AJ59" s="813"/>
      <c r="AK59" s="813"/>
      <c r="AL59" s="813"/>
      <c r="AM59" s="813"/>
      <c r="AN59" s="813"/>
      <c r="AO59" s="812"/>
      <c r="AP59" s="812"/>
      <c r="AQ59" s="812"/>
      <c r="AR59" s="812"/>
      <c r="AS59" s="812"/>
      <c r="AT59" s="811"/>
      <c r="AU59" s="811"/>
      <c r="AV59" s="811"/>
      <c r="AW59" s="811"/>
      <c r="AX59" s="811"/>
      <c r="BI59" s="811"/>
      <c r="BJ59" s="811"/>
      <c r="BK59" s="811"/>
      <c r="BL59" s="811"/>
      <c r="BM59" s="811"/>
    </row>
    <row r="60" spans="1:65" ht="15" hidden="1" customHeight="1" outlineLevel="1">
      <c r="A60" s="865">
        <v>2</v>
      </c>
      <c r="B60" s="864"/>
      <c r="C60" s="863">
        <v>184030400</v>
      </c>
      <c r="D60" s="862" t="s">
        <v>1358</v>
      </c>
      <c r="E60" s="930">
        <v>0</v>
      </c>
      <c r="F60" s="851"/>
      <c r="G60" s="850"/>
      <c r="H60" s="850"/>
      <c r="I60" s="850"/>
      <c r="J60" s="856"/>
      <c r="K60" s="855"/>
      <c r="L60" s="860"/>
      <c r="M60" s="860"/>
      <c r="N60" s="851"/>
      <c r="O60" s="850"/>
      <c r="P60" s="850"/>
      <c r="Q60" s="850"/>
      <c r="R60" s="850"/>
      <c r="S60" s="850">
        <f>SUM(N60:R60)</f>
        <v>0</v>
      </c>
      <c r="T60" s="859"/>
      <c r="U60" s="858"/>
      <c r="V60" s="855">
        <f>+E60</f>
        <v>0</v>
      </c>
      <c r="W60" s="851">
        <f t="shared" ref="W60:Z62" si="179">+ROUND(F60*F$6/(100+F$6),0)+AT60</f>
        <v>0</v>
      </c>
      <c r="X60" s="850">
        <f t="shared" si="179"/>
        <v>0</v>
      </c>
      <c r="Y60" s="850">
        <f t="shared" si="179"/>
        <v>0</v>
      </c>
      <c r="Z60" s="850">
        <f t="shared" si="179"/>
        <v>0</v>
      </c>
      <c r="AA60" s="856">
        <f>+ROUND(J60*J$6/(100+J$6),0)+AX60</f>
        <v>0</v>
      </c>
      <c r="AB60" s="855">
        <f>SUM(W60:AA60)</f>
        <v>0</v>
      </c>
      <c r="AC60" s="854">
        <f t="shared" ref="AC60:AF62" si="180">+ROUND(N60*AC$6/(100+AC$6),0)+BI60</f>
        <v>0</v>
      </c>
      <c r="AD60" s="853">
        <f t="shared" si="180"/>
        <v>0</v>
      </c>
      <c r="AE60" s="853">
        <f t="shared" si="180"/>
        <v>0</v>
      </c>
      <c r="AF60" s="853">
        <f t="shared" si="180"/>
        <v>0</v>
      </c>
      <c r="AG60" s="853">
        <f>+ROUND(R60*AG$6/(100+AG$6),0)+BM60</f>
        <v>0</v>
      </c>
      <c r="AH60" s="849">
        <f>SUM(AC60:AG60)</f>
        <v>0</v>
      </c>
      <c r="AI60" s="852">
        <f>+E60-AB60</f>
        <v>0</v>
      </c>
      <c r="AJ60" s="813"/>
      <c r="AK60" s="813"/>
      <c r="AL60" s="813"/>
      <c r="AM60" s="813"/>
      <c r="AN60" s="813"/>
      <c r="AO60" s="812"/>
      <c r="AP60" s="812"/>
      <c r="AQ60" s="812"/>
      <c r="AR60" s="812"/>
      <c r="AS60" s="812"/>
      <c r="AT60" s="811"/>
      <c r="AU60" s="811"/>
      <c r="AV60" s="811"/>
      <c r="AW60" s="811"/>
      <c r="AX60" s="811"/>
      <c r="BI60" s="811"/>
      <c r="BJ60" s="811"/>
      <c r="BK60" s="811"/>
      <c r="BL60" s="811"/>
      <c r="BM60" s="811"/>
    </row>
    <row r="61" spans="1:65" ht="15" hidden="1" customHeight="1" outlineLevel="1">
      <c r="A61" s="865">
        <v>3</v>
      </c>
      <c r="B61" s="864"/>
      <c r="C61" s="863">
        <v>184030400</v>
      </c>
      <c r="D61" s="862" t="s">
        <v>1357</v>
      </c>
      <c r="E61" s="930">
        <v>0</v>
      </c>
      <c r="F61" s="851"/>
      <c r="G61" s="850"/>
      <c r="H61" s="850"/>
      <c r="I61" s="850"/>
      <c r="J61" s="856"/>
      <c r="K61" s="855"/>
      <c r="L61" s="860"/>
      <c r="M61" s="860"/>
      <c r="N61" s="851"/>
      <c r="O61" s="850"/>
      <c r="P61" s="850"/>
      <c r="Q61" s="850"/>
      <c r="R61" s="850"/>
      <c r="S61" s="850">
        <f>SUM(N61:R61)</f>
        <v>0</v>
      </c>
      <c r="T61" s="859"/>
      <c r="U61" s="858"/>
      <c r="V61" s="855">
        <f t="shared" ref="V61:V62" si="181">+E61</f>
        <v>0</v>
      </c>
      <c r="W61" s="851">
        <f t="shared" si="179"/>
        <v>0</v>
      </c>
      <c r="X61" s="850">
        <f t="shared" si="179"/>
        <v>0</v>
      </c>
      <c r="Y61" s="850">
        <f t="shared" si="179"/>
        <v>0</v>
      </c>
      <c r="Z61" s="850">
        <f t="shared" si="179"/>
        <v>0</v>
      </c>
      <c r="AA61" s="856">
        <f>+ROUND(J61*J$6/(100+J$6),0)+AX61</f>
        <v>0</v>
      </c>
      <c r="AB61" s="855">
        <f>SUM(W61:AA61)</f>
        <v>0</v>
      </c>
      <c r="AC61" s="854">
        <f t="shared" si="180"/>
        <v>0</v>
      </c>
      <c r="AD61" s="853">
        <f t="shared" si="180"/>
        <v>0</v>
      </c>
      <c r="AE61" s="853">
        <f t="shared" si="180"/>
        <v>0</v>
      </c>
      <c r="AF61" s="853">
        <f t="shared" si="180"/>
        <v>0</v>
      </c>
      <c r="AG61" s="853">
        <f>+ROUND(R61*AG$6/(100+AG$6),0)+BM61</f>
        <v>0</v>
      </c>
      <c r="AH61" s="849">
        <f>SUM(AC61:AG61)</f>
        <v>0</v>
      </c>
      <c r="AI61" s="852">
        <f>+E61-AB61</f>
        <v>0</v>
      </c>
      <c r="AJ61" s="813"/>
      <c r="AK61" s="813"/>
      <c r="AL61" s="813"/>
      <c r="AM61" s="813"/>
      <c r="AN61" s="813"/>
      <c r="AO61" s="812"/>
      <c r="AP61" s="812"/>
      <c r="AQ61" s="812"/>
      <c r="AR61" s="812"/>
      <c r="AS61" s="812"/>
      <c r="AT61" s="811"/>
      <c r="AU61" s="811"/>
      <c r="AV61" s="811"/>
      <c r="AW61" s="811"/>
      <c r="AX61" s="811"/>
      <c r="BI61" s="811"/>
      <c r="BJ61" s="811"/>
      <c r="BK61" s="811"/>
      <c r="BL61" s="811"/>
      <c r="BM61" s="811"/>
    </row>
    <row r="62" spans="1:65" ht="15" hidden="1" customHeight="1" outlineLevel="1">
      <c r="A62" s="865">
        <v>4</v>
      </c>
      <c r="B62" s="864"/>
      <c r="C62" s="863">
        <v>184030400</v>
      </c>
      <c r="D62" s="862" t="s">
        <v>1356</v>
      </c>
      <c r="E62" s="930">
        <v>0</v>
      </c>
      <c r="F62" s="851"/>
      <c r="G62" s="850"/>
      <c r="H62" s="850"/>
      <c r="I62" s="850"/>
      <c r="J62" s="856"/>
      <c r="K62" s="855"/>
      <c r="L62" s="860"/>
      <c r="M62" s="860"/>
      <c r="N62" s="851"/>
      <c r="O62" s="850"/>
      <c r="P62" s="850"/>
      <c r="Q62" s="850"/>
      <c r="R62" s="850"/>
      <c r="S62" s="850">
        <f>SUM(N62:R62)</f>
        <v>0</v>
      </c>
      <c r="T62" s="859"/>
      <c r="U62" s="858"/>
      <c r="V62" s="855">
        <f t="shared" si="181"/>
        <v>0</v>
      </c>
      <c r="W62" s="851">
        <f t="shared" si="179"/>
        <v>0</v>
      </c>
      <c r="X62" s="850">
        <f t="shared" si="179"/>
        <v>0</v>
      </c>
      <c r="Y62" s="850">
        <f t="shared" si="179"/>
        <v>0</v>
      </c>
      <c r="Z62" s="850">
        <f t="shared" si="179"/>
        <v>0</v>
      </c>
      <c r="AA62" s="856">
        <f>+ROUND(J62*J$6/(100+J$6),0)+AX62</f>
        <v>0</v>
      </c>
      <c r="AB62" s="855">
        <f>SUM(W62:AA62)</f>
        <v>0</v>
      </c>
      <c r="AC62" s="854">
        <f t="shared" si="180"/>
        <v>0</v>
      </c>
      <c r="AD62" s="853">
        <f t="shared" si="180"/>
        <v>0</v>
      </c>
      <c r="AE62" s="853">
        <f t="shared" si="180"/>
        <v>0</v>
      </c>
      <c r="AF62" s="853">
        <f t="shared" si="180"/>
        <v>0</v>
      </c>
      <c r="AG62" s="853">
        <f>+ROUND(R62*AG$6/(100+AG$6),0)+BM62</f>
        <v>0</v>
      </c>
      <c r="AH62" s="849">
        <f>SUM(AC62:AG62)</f>
        <v>0</v>
      </c>
      <c r="AI62" s="852">
        <f>+E62-AB62</f>
        <v>0</v>
      </c>
      <c r="AJ62" s="813"/>
      <c r="AK62" s="813"/>
      <c r="AL62" s="813"/>
      <c r="AM62" s="813"/>
      <c r="AN62" s="813"/>
      <c r="AO62" s="812"/>
      <c r="AP62" s="812"/>
      <c r="AQ62" s="812"/>
      <c r="AR62" s="812"/>
      <c r="AS62" s="812"/>
      <c r="AT62" s="811"/>
      <c r="AU62" s="811"/>
      <c r="AV62" s="811"/>
      <c r="AW62" s="811"/>
      <c r="AX62" s="811"/>
      <c r="BI62" s="811"/>
      <c r="BJ62" s="811"/>
      <c r="BK62" s="811"/>
      <c r="BL62" s="811"/>
      <c r="BM62" s="811"/>
    </row>
    <row r="63" spans="1:65" ht="15" customHeight="1" collapsed="1">
      <c r="A63" s="865"/>
      <c r="B63" s="864"/>
      <c r="C63" s="863"/>
      <c r="D63" s="862" t="s">
        <v>1365</v>
      </c>
      <c r="E63" s="876">
        <f>+SUM(E64:E66)</f>
        <v>0</v>
      </c>
      <c r="F63" s="851">
        <f t="shared" ref="F63" si="182">+SUM(F64:F66)</f>
        <v>0</v>
      </c>
      <c r="G63" s="850">
        <f t="shared" ref="G63" si="183">+SUM(G64:G66)</f>
        <v>0</v>
      </c>
      <c r="H63" s="850">
        <f t="shared" ref="H63:I63" si="184">+SUM(H64:H66)</f>
        <v>0</v>
      </c>
      <c r="I63" s="850">
        <f t="shared" si="184"/>
        <v>0</v>
      </c>
      <c r="J63" s="856">
        <f t="shared" ref="J63" si="185">+SUM(J64:J66)</f>
        <v>0</v>
      </c>
      <c r="K63" s="855">
        <f t="shared" ref="K63" si="186">+SUM(K64:K66)</f>
        <v>0</v>
      </c>
      <c r="L63" s="860">
        <f t="shared" ref="L63" si="187">+SUM(L64:L66)</f>
        <v>0</v>
      </c>
      <c r="M63" s="860">
        <f t="shared" ref="M63" si="188">+SUM(M64:M66)</f>
        <v>0</v>
      </c>
      <c r="N63" s="851">
        <f t="shared" ref="N63" si="189">+SUM(N64:N66)</f>
        <v>0</v>
      </c>
      <c r="O63" s="850">
        <f t="shared" ref="O63" si="190">+SUM(O64:O66)</f>
        <v>0</v>
      </c>
      <c r="P63" s="850">
        <f t="shared" ref="P63:Q63" si="191">+SUM(P64:P66)</f>
        <v>0</v>
      </c>
      <c r="Q63" s="850">
        <f t="shared" si="191"/>
        <v>0</v>
      </c>
      <c r="R63" s="850">
        <f t="shared" ref="R63" si="192">+SUM(R64:R66)</f>
        <v>0</v>
      </c>
      <c r="S63" s="850">
        <f t="shared" ref="S63" si="193">+SUM(S64:S66)</f>
        <v>0</v>
      </c>
      <c r="T63" s="859">
        <f t="shared" ref="T63" si="194">+SUM(T64:T66)</f>
        <v>0</v>
      </c>
      <c r="U63" s="858">
        <f t="shared" ref="U63" si="195">+SUM(U64:U66)</f>
        <v>0</v>
      </c>
      <c r="V63" s="855">
        <f t="shared" ref="V63" si="196">+SUM(V64:V66)</f>
        <v>0</v>
      </c>
      <c r="W63" s="851">
        <f t="shared" ref="W63" si="197">+SUM(W64:W66)</f>
        <v>0</v>
      </c>
      <c r="X63" s="850">
        <f t="shared" ref="X63" si="198">+SUM(X64:X66)</f>
        <v>0</v>
      </c>
      <c r="Y63" s="850">
        <f t="shared" ref="Y63:Z63" si="199">+SUM(Y64:Y66)</f>
        <v>0</v>
      </c>
      <c r="Z63" s="850">
        <f t="shared" si="199"/>
        <v>0</v>
      </c>
      <c r="AA63" s="856">
        <f t="shared" ref="AA63" si="200">+SUM(AA64:AA66)</f>
        <v>0</v>
      </c>
      <c r="AB63" s="855">
        <f t="shared" ref="AB63" si="201">+SUM(AB64:AB66)</f>
        <v>0</v>
      </c>
      <c r="AC63" s="854">
        <f t="shared" ref="AC63" si="202">+SUM(AC64:AC66)</f>
        <v>0</v>
      </c>
      <c r="AD63" s="853">
        <f t="shared" ref="AD63" si="203">+SUM(AD64:AD66)</f>
        <v>0</v>
      </c>
      <c r="AE63" s="853">
        <f t="shared" ref="AE63:AF63" si="204">+SUM(AE64:AE66)</f>
        <v>0</v>
      </c>
      <c r="AF63" s="853">
        <f t="shared" si="204"/>
        <v>0</v>
      </c>
      <c r="AG63" s="853">
        <f t="shared" ref="AG63" si="205">+SUM(AG64:AG66)</f>
        <v>0</v>
      </c>
      <c r="AH63" s="849">
        <f t="shared" ref="AH63" si="206">+SUM(AH64:AH66)</f>
        <v>0</v>
      </c>
      <c r="AI63" s="852">
        <f t="shared" ref="AI63" si="207">+SUM(AI64:AI66)</f>
        <v>0</v>
      </c>
      <c r="AJ63" s="813"/>
      <c r="AK63" s="813"/>
      <c r="AL63" s="813"/>
      <c r="AM63" s="813"/>
      <c r="AN63" s="813"/>
      <c r="AO63" s="812"/>
      <c r="AP63" s="812"/>
      <c r="AQ63" s="812"/>
      <c r="AR63" s="812"/>
      <c r="AS63" s="812"/>
      <c r="AT63" s="811"/>
      <c r="AU63" s="811"/>
      <c r="AV63" s="811"/>
      <c r="AW63" s="811"/>
      <c r="AX63" s="811"/>
      <c r="BI63" s="811"/>
      <c r="BJ63" s="811"/>
      <c r="BK63" s="811"/>
      <c r="BL63" s="811"/>
      <c r="BM63" s="811"/>
    </row>
    <row r="64" spans="1:65" ht="15" hidden="1" customHeight="1" outlineLevel="1">
      <c r="A64" s="865">
        <v>2</v>
      </c>
      <c r="B64" s="864"/>
      <c r="C64" s="863">
        <v>184030500</v>
      </c>
      <c r="D64" s="862" t="s">
        <v>1358</v>
      </c>
      <c r="E64" s="930">
        <v>0</v>
      </c>
      <c r="F64" s="851"/>
      <c r="G64" s="850"/>
      <c r="H64" s="850"/>
      <c r="I64" s="850"/>
      <c r="J64" s="856"/>
      <c r="K64" s="855"/>
      <c r="L64" s="860"/>
      <c r="M64" s="860"/>
      <c r="N64" s="851"/>
      <c r="O64" s="850"/>
      <c r="P64" s="850"/>
      <c r="Q64" s="850"/>
      <c r="R64" s="850"/>
      <c r="S64" s="850">
        <f>SUM(N64:R64)</f>
        <v>0</v>
      </c>
      <c r="T64" s="859"/>
      <c r="U64" s="858"/>
      <c r="V64" s="855">
        <f>+E64</f>
        <v>0</v>
      </c>
      <c r="W64" s="851">
        <f t="shared" ref="W64:W66" si="208">+ROUND(F64*F$6/(100+F$6),0)+AT64</f>
        <v>0</v>
      </c>
      <c r="X64" s="850">
        <f t="shared" ref="X64:X66" si="209">+ROUND(G64*G$6/(100+G$6),0)+AU64</f>
        <v>0</v>
      </c>
      <c r="Y64" s="850">
        <f t="shared" ref="Y64:Z66" si="210">+ROUND(H64*H$6/(100+H$6),0)+AV64</f>
        <v>0</v>
      </c>
      <c r="Z64" s="850">
        <f t="shared" si="210"/>
        <v>0</v>
      </c>
      <c r="AA64" s="856">
        <f t="shared" ref="AA64:AA66" si="211">+ROUND(J64*J$6/(100+J$6),0)+AX64</f>
        <v>0</v>
      </c>
      <c r="AB64" s="855">
        <f>SUM(W64:AA64)</f>
        <v>0</v>
      </c>
      <c r="AC64" s="854">
        <f t="shared" ref="AC64:AC66" si="212">+ROUND(N64*AC$6/(100+AC$6),0)+BI64</f>
        <v>0</v>
      </c>
      <c r="AD64" s="853">
        <f t="shared" ref="AD64:AD66" si="213">+ROUND(O64*AD$6/(100+AD$6),0)+BJ64</f>
        <v>0</v>
      </c>
      <c r="AE64" s="853">
        <f t="shared" ref="AE64:AF66" si="214">+ROUND(P64*AE$6/(100+AE$6),0)+BK64</f>
        <v>0</v>
      </c>
      <c r="AF64" s="853">
        <f t="shared" si="214"/>
        <v>0</v>
      </c>
      <c r="AG64" s="853">
        <f t="shared" ref="AG64:AG66" si="215">+ROUND(R64*AG$6/(100+AG$6),0)+BM64</f>
        <v>0</v>
      </c>
      <c r="AH64" s="849">
        <f>SUM(AC64:AG64)</f>
        <v>0</v>
      </c>
      <c r="AI64" s="852">
        <f>+E64-AB64</f>
        <v>0</v>
      </c>
      <c r="AJ64" s="813"/>
      <c r="AK64" s="813"/>
      <c r="AL64" s="813"/>
      <c r="AM64" s="813"/>
      <c r="AN64" s="813"/>
      <c r="AO64" s="812"/>
      <c r="AP64" s="812"/>
      <c r="AQ64" s="812"/>
      <c r="AR64" s="812"/>
      <c r="AS64" s="812"/>
      <c r="AT64" s="811"/>
      <c r="AU64" s="811"/>
      <c r="AV64" s="811"/>
      <c r="AW64" s="811"/>
      <c r="AX64" s="811"/>
      <c r="BI64" s="811"/>
      <c r="BJ64" s="811"/>
      <c r="BK64" s="811"/>
      <c r="BL64" s="811"/>
      <c r="BM64" s="811"/>
    </row>
    <row r="65" spans="1:65" ht="15" hidden="1" customHeight="1" outlineLevel="1">
      <c r="A65" s="865">
        <v>3</v>
      </c>
      <c r="B65" s="864"/>
      <c r="C65" s="863">
        <v>184030500</v>
      </c>
      <c r="D65" s="862" t="s">
        <v>1357</v>
      </c>
      <c r="E65" s="930">
        <v>0</v>
      </c>
      <c r="F65" s="851"/>
      <c r="G65" s="850"/>
      <c r="H65" s="850"/>
      <c r="I65" s="850"/>
      <c r="J65" s="856"/>
      <c r="K65" s="855"/>
      <c r="L65" s="860"/>
      <c r="M65" s="860"/>
      <c r="N65" s="851"/>
      <c r="O65" s="850"/>
      <c r="P65" s="850"/>
      <c r="Q65" s="850"/>
      <c r="R65" s="850"/>
      <c r="S65" s="850">
        <f>SUM(N65:R65)</f>
        <v>0</v>
      </c>
      <c r="T65" s="859"/>
      <c r="U65" s="858"/>
      <c r="V65" s="855">
        <f t="shared" ref="V65:V66" si="216">+E65</f>
        <v>0</v>
      </c>
      <c r="W65" s="851">
        <f t="shared" si="208"/>
        <v>0</v>
      </c>
      <c r="X65" s="850">
        <f t="shared" si="209"/>
        <v>0</v>
      </c>
      <c r="Y65" s="850">
        <f t="shared" si="210"/>
        <v>0</v>
      </c>
      <c r="Z65" s="850">
        <f t="shared" si="210"/>
        <v>0</v>
      </c>
      <c r="AA65" s="856">
        <f t="shared" si="211"/>
        <v>0</v>
      </c>
      <c r="AB65" s="855">
        <f>SUM(W65:AA65)</f>
        <v>0</v>
      </c>
      <c r="AC65" s="854">
        <f t="shared" si="212"/>
        <v>0</v>
      </c>
      <c r="AD65" s="853">
        <f t="shared" si="213"/>
        <v>0</v>
      </c>
      <c r="AE65" s="853">
        <f t="shared" si="214"/>
        <v>0</v>
      </c>
      <c r="AF65" s="853">
        <f t="shared" si="214"/>
        <v>0</v>
      </c>
      <c r="AG65" s="853">
        <f t="shared" si="215"/>
        <v>0</v>
      </c>
      <c r="AH65" s="849">
        <f>SUM(AC65:AG65)</f>
        <v>0</v>
      </c>
      <c r="AI65" s="852">
        <f>+E65-AB65</f>
        <v>0</v>
      </c>
      <c r="AJ65" s="813"/>
      <c r="AK65" s="813"/>
      <c r="AL65" s="813"/>
      <c r="AM65" s="813"/>
      <c r="AN65" s="813"/>
      <c r="AO65" s="812"/>
      <c r="AP65" s="812"/>
      <c r="AQ65" s="812"/>
      <c r="AR65" s="812"/>
      <c r="AS65" s="812"/>
      <c r="AT65" s="811"/>
      <c r="AU65" s="811"/>
      <c r="AV65" s="811"/>
      <c r="AW65" s="811"/>
      <c r="AX65" s="811"/>
      <c r="BI65" s="811"/>
      <c r="BJ65" s="811"/>
      <c r="BK65" s="811"/>
      <c r="BL65" s="811"/>
      <c r="BM65" s="811"/>
    </row>
    <row r="66" spans="1:65" ht="15" hidden="1" customHeight="1" outlineLevel="1">
      <c r="A66" s="865">
        <v>4</v>
      </c>
      <c r="B66" s="864"/>
      <c r="C66" s="863">
        <v>184030500</v>
      </c>
      <c r="D66" s="862" t="s">
        <v>1356</v>
      </c>
      <c r="E66" s="930">
        <v>0</v>
      </c>
      <c r="F66" s="851"/>
      <c r="G66" s="850"/>
      <c r="H66" s="850"/>
      <c r="I66" s="850"/>
      <c r="J66" s="856"/>
      <c r="K66" s="855"/>
      <c r="L66" s="860"/>
      <c r="M66" s="860"/>
      <c r="N66" s="851"/>
      <c r="O66" s="850"/>
      <c r="P66" s="850"/>
      <c r="Q66" s="850"/>
      <c r="R66" s="850"/>
      <c r="S66" s="850">
        <f>SUM(N66:R66)</f>
        <v>0</v>
      </c>
      <c r="T66" s="859"/>
      <c r="U66" s="858"/>
      <c r="V66" s="855">
        <f t="shared" si="216"/>
        <v>0</v>
      </c>
      <c r="W66" s="851">
        <f t="shared" si="208"/>
        <v>0</v>
      </c>
      <c r="X66" s="850">
        <f t="shared" si="209"/>
        <v>0</v>
      </c>
      <c r="Y66" s="850">
        <f t="shared" si="210"/>
        <v>0</v>
      </c>
      <c r="Z66" s="850">
        <f t="shared" si="210"/>
        <v>0</v>
      </c>
      <c r="AA66" s="856">
        <f t="shared" si="211"/>
        <v>0</v>
      </c>
      <c r="AB66" s="855">
        <f>SUM(W66:AA66)</f>
        <v>0</v>
      </c>
      <c r="AC66" s="854">
        <f t="shared" si="212"/>
        <v>0</v>
      </c>
      <c r="AD66" s="853">
        <f t="shared" si="213"/>
        <v>0</v>
      </c>
      <c r="AE66" s="853">
        <f t="shared" si="214"/>
        <v>0</v>
      </c>
      <c r="AF66" s="853">
        <f t="shared" si="214"/>
        <v>0</v>
      </c>
      <c r="AG66" s="853">
        <f t="shared" si="215"/>
        <v>0</v>
      </c>
      <c r="AH66" s="849">
        <f>SUM(AC66:AG66)</f>
        <v>0</v>
      </c>
      <c r="AI66" s="852">
        <f>+E66-AB66</f>
        <v>0</v>
      </c>
      <c r="AJ66" s="813"/>
      <c r="AK66" s="813"/>
      <c r="AL66" s="813"/>
      <c r="AM66" s="813"/>
      <c r="AN66" s="813"/>
      <c r="AO66" s="812"/>
      <c r="AP66" s="812"/>
      <c r="AQ66" s="812"/>
      <c r="AR66" s="812"/>
      <c r="AS66" s="812"/>
      <c r="AT66" s="811"/>
      <c r="AU66" s="811"/>
      <c r="AV66" s="811"/>
      <c r="AW66" s="811"/>
      <c r="AX66" s="811"/>
      <c r="BI66" s="811"/>
      <c r="BJ66" s="811"/>
      <c r="BK66" s="811"/>
      <c r="BL66" s="811"/>
      <c r="BM66" s="811"/>
    </row>
    <row r="67" spans="1:65" ht="15" customHeight="1" collapsed="1">
      <c r="A67" s="865"/>
      <c r="B67" s="864"/>
      <c r="C67" s="863"/>
      <c r="D67" s="862" t="s">
        <v>1364</v>
      </c>
      <c r="E67" s="876">
        <f>+SUM(E68:E70)</f>
        <v>0</v>
      </c>
      <c r="F67" s="851">
        <f t="shared" ref="F67" si="217">+SUM(F68:F70)</f>
        <v>0</v>
      </c>
      <c r="G67" s="850">
        <f t="shared" ref="G67" si="218">+SUM(G68:G70)</f>
        <v>0</v>
      </c>
      <c r="H67" s="850">
        <f t="shared" ref="H67:I67" si="219">+SUM(H68:H70)</f>
        <v>0</v>
      </c>
      <c r="I67" s="850">
        <f t="shared" si="219"/>
        <v>0</v>
      </c>
      <c r="J67" s="856">
        <f t="shared" ref="J67" si="220">+SUM(J68:J70)</f>
        <v>0</v>
      </c>
      <c r="K67" s="855">
        <f t="shared" ref="K67" si="221">+SUM(K68:K70)</f>
        <v>0</v>
      </c>
      <c r="L67" s="860">
        <f t="shared" ref="L67" si="222">+SUM(L68:L70)</f>
        <v>0</v>
      </c>
      <c r="M67" s="860">
        <f t="shared" ref="M67" si="223">+SUM(M68:M70)</f>
        <v>0</v>
      </c>
      <c r="N67" s="851">
        <f t="shared" ref="N67" si="224">+SUM(N68:N70)</f>
        <v>0</v>
      </c>
      <c r="O67" s="850">
        <f t="shared" ref="O67" si="225">+SUM(O68:O70)</f>
        <v>0</v>
      </c>
      <c r="P67" s="850">
        <f t="shared" ref="P67:Q67" si="226">+SUM(P68:P70)</f>
        <v>0</v>
      </c>
      <c r="Q67" s="850">
        <f t="shared" si="226"/>
        <v>0</v>
      </c>
      <c r="R67" s="850">
        <f t="shared" ref="R67" si="227">+SUM(R68:R70)</f>
        <v>0</v>
      </c>
      <c r="S67" s="850">
        <f t="shared" ref="S67" si="228">+SUM(S68:S70)</f>
        <v>0</v>
      </c>
      <c r="T67" s="859">
        <f t="shared" ref="T67" si="229">+SUM(T68:T70)</f>
        <v>0</v>
      </c>
      <c r="U67" s="858">
        <f t="shared" ref="U67" si="230">+SUM(U68:U70)</f>
        <v>0</v>
      </c>
      <c r="V67" s="855">
        <f t="shared" ref="V67" si="231">+SUM(V68:V70)</f>
        <v>0</v>
      </c>
      <c r="W67" s="851">
        <f t="shared" ref="W67" si="232">+SUM(W68:W70)</f>
        <v>0</v>
      </c>
      <c r="X67" s="850">
        <f t="shared" ref="X67" si="233">+SUM(X68:X70)</f>
        <v>0</v>
      </c>
      <c r="Y67" s="850">
        <f t="shared" ref="Y67:Z67" si="234">+SUM(Y68:Y70)</f>
        <v>0</v>
      </c>
      <c r="Z67" s="850">
        <f t="shared" si="234"/>
        <v>0</v>
      </c>
      <c r="AA67" s="856">
        <f t="shared" ref="AA67" si="235">+SUM(AA68:AA70)</f>
        <v>0</v>
      </c>
      <c r="AB67" s="855">
        <f t="shared" ref="AB67" si="236">+SUM(AB68:AB70)</f>
        <v>0</v>
      </c>
      <c r="AC67" s="854">
        <f t="shared" ref="AC67" si="237">+SUM(AC68:AC70)</f>
        <v>0</v>
      </c>
      <c r="AD67" s="853">
        <f t="shared" ref="AD67" si="238">+SUM(AD68:AD70)</f>
        <v>0</v>
      </c>
      <c r="AE67" s="853">
        <f t="shared" ref="AE67:AF67" si="239">+SUM(AE68:AE70)</f>
        <v>0</v>
      </c>
      <c r="AF67" s="853">
        <f t="shared" si="239"/>
        <v>0</v>
      </c>
      <c r="AG67" s="853">
        <f t="shared" ref="AG67" si="240">+SUM(AG68:AG70)</f>
        <v>0</v>
      </c>
      <c r="AH67" s="849">
        <f t="shared" ref="AH67" si="241">+SUM(AH68:AH70)</f>
        <v>0</v>
      </c>
      <c r="AI67" s="852">
        <f t="shared" ref="AI67" si="242">+SUM(AI68:AI70)</f>
        <v>0</v>
      </c>
      <c r="AJ67" s="813"/>
      <c r="AK67" s="813"/>
      <c r="AL67" s="813"/>
      <c r="AM67" s="813"/>
      <c r="AN67" s="813"/>
      <c r="AO67" s="812"/>
      <c r="AP67" s="812"/>
      <c r="AQ67" s="812"/>
      <c r="AR67" s="812"/>
      <c r="AS67" s="812"/>
      <c r="AT67" s="811"/>
      <c r="AU67" s="811"/>
      <c r="AV67" s="811"/>
      <c r="AW67" s="811"/>
      <c r="AX67" s="811"/>
      <c r="BI67" s="811"/>
      <c r="BJ67" s="811"/>
      <c r="BK67" s="811"/>
      <c r="BL67" s="811"/>
      <c r="BM67" s="811"/>
    </row>
    <row r="68" spans="1:65" ht="15" hidden="1" customHeight="1" outlineLevel="1">
      <c r="A68" s="865">
        <v>2</v>
      </c>
      <c r="B68" s="864"/>
      <c r="C68" s="863">
        <v>184030500</v>
      </c>
      <c r="D68" s="862" t="s">
        <v>1358</v>
      </c>
      <c r="E68" s="930">
        <v>0</v>
      </c>
      <c r="F68" s="851"/>
      <c r="G68" s="850"/>
      <c r="H68" s="850"/>
      <c r="I68" s="850"/>
      <c r="J68" s="856"/>
      <c r="K68" s="855">
        <f>SUM(F68:J68)</f>
        <v>0</v>
      </c>
      <c r="L68" s="860"/>
      <c r="M68" s="860"/>
      <c r="N68" s="851"/>
      <c r="O68" s="850"/>
      <c r="P68" s="850"/>
      <c r="Q68" s="850"/>
      <c r="R68" s="850"/>
      <c r="S68" s="850">
        <f>SUM(N68:R68)</f>
        <v>0</v>
      </c>
      <c r="T68" s="859"/>
      <c r="U68" s="858">
        <f>+V68-SUM(S68:T68)</f>
        <v>0</v>
      </c>
      <c r="V68" s="855">
        <f>+E68</f>
        <v>0</v>
      </c>
      <c r="W68" s="851">
        <f t="shared" ref="W68:Z70" si="243">+ROUND(F68*F$6/(100+F$6),0)+AT68</f>
        <v>0</v>
      </c>
      <c r="X68" s="850">
        <f t="shared" si="243"/>
        <v>0</v>
      </c>
      <c r="Y68" s="850">
        <f t="shared" si="243"/>
        <v>0</v>
      </c>
      <c r="Z68" s="850">
        <f t="shared" si="243"/>
        <v>0</v>
      </c>
      <c r="AA68" s="856">
        <f>+ROUND(J68*J$6/(100+J$6),0)+AX68</f>
        <v>0</v>
      </c>
      <c r="AB68" s="855">
        <f>SUM(W68:AA68)</f>
        <v>0</v>
      </c>
      <c r="AC68" s="854">
        <f t="shared" ref="AC68:AF70" si="244">+ROUND(N68*AC$6/(100+AC$6),0)+BI68</f>
        <v>0</v>
      </c>
      <c r="AD68" s="853">
        <f t="shared" si="244"/>
        <v>0</v>
      </c>
      <c r="AE68" s="853">
        <f t="shared" si="244"/>
        <v>0</v>
      </c>
      <c r="AF68" s="853">
        <f t="shared" si="244"/>
        <v>0</v>
      </c>
      <c r="AG68" s="853">
        <f>+ROUND(R68*AG$6/(100+AG$6),0)+BM68</f>
        <v>0</v>
      </c>
      <c r="AH68" s="849">
        <f>SUM(AC68:AG68)</f>
        <v>0</v>
      </c>
      <c r="AI68" s="852">
        <f>+E68-AB68</f>
        <v>0</v>
      </c>
      <c r="AJ68" s="813"/>
      <c r="AK68" s="813"/>
      <c r="AL68" s="813"/>
      <c r="AM68" s="813"/>
      <c r="AN68" s="813"/>
      <c r="AO68" s="812"/>
      <c r="AP68" s="812"/>
      <c r="AQ68" s="812"/>
      <c r="AR68" s="812"/>
      <c r="AS68" s="812"/>
      <c r="AT68" s="811"/>
      <c r="AU68" s="811"/>
      <c r="AV68" s="811"/>
      <c r="AW68" s="811"/>
      <c r="AX68" s="811"/>
      <c r="BI68" s="811"/>
      <c r="BJ68" s="811"/>
      <c r="BK68" s="811"/>
      <c r="BL68" s="811"/>
      <c r="BM68" s="811"/>
    </row>
    <row r="69" spans="1:65" ht="15" hidden="1" customHeight="1" outlineLevel="1">
      <c r="A69" s="865">
        <v>3</v>
      </c>
      <c r="B69" s="864"/>
      <c r="C69" s="863">
        <v>184030500</v>
      </c>
      <c r="D69" s="862" t="s">
        <v>1357</v>
      </c>
      <c r="E69" s="930">
        <v>0</v>
      </c>
      <c r="F69" s="851"/>
      <c r="G69" s="850"/>
      <c r="H69" s="850"/>
      <c r="I69" s="850"/>
      <c r="J69" s="856"/>
      <c r="K69" s="855">
        <f>SUM(F69:J69)</f>
        <v>0</v>
      </c>
      <c r="L69" s="860"/>
      <c r="M69" s="860"/>
      <c r="N69" s="851"/>
      <c r="O69" s="850"/>
      <c r="P69" s="850"/>
      <c r="Q69" s="850"/>
      <c r="R69" s="850"/>
      <c r="S69" s="850">
        <f>SUM(N69:R69)</f>
        <v>0</v>
      </c>
      <c r="T69" s="859"/>
      <c r="U69" s="858">
        <f>+V69-SUM(S69:T69)</f>
        <v>0</v>
      </c>
      <c r="V69" s="855">
        <f t="shared" ref="V69:V70" si="245">+E69</f>
        <v>0</v>
      </c>
      <c r="W69" s="851">
        <f t="shared" si="243"/>
        <v>0</v>
      </c>
      <c r="X69" s="850">
        <f t="shared" si="243"/>
        <v>0</v>
      </c>
      <c r="Y69" s="850">
        <f t="shared" si="243"/>
        <v>0</v>
      </c>
      <c r="Z69" s="850">
        <f t="shared" si="243"/>
        <v>0</v>
      </c>
      <c r="AA69" s="856">
        <f>+ROUND(J69*J$6/(100+J$6),0)+AX69</f>
        <v>0</v>
      </c>
      <c r="AB69" s="855">
        <f>SUM(W69:AA69)</f>
        <v>0</v>
      </c>
      <c r="AC69" s="854">
        <f t="shared" si="244"/>
        <v>0</v>
      </c>
      <c r="AD69" s="853">
        <f t="shared" si="244"/>
        <v>0</v>
      </c>
      <c r="AE69" s="853">
        <f t="shared" si="244"/>
        <v>0</v>
      </c>
      <c r="AF69" s="853">
        <f t="shared" si="244"/>
        <v>0</v>
      </c>
      <c r="AG69" s="853">
        <f>+ROUND(R69*AG$6/(100+AG$6),0)+BM69</f>
        <v>0</v>
      </c>
      <c r="AH69" s="849">
        <f>SUM(AC69:AG69)</f>
        <v>0</v>
      </c>
      <c r="AI69" s="852">
        <f>+E69-AB69</f>
        <v>0</v>
      </c>
      <c r="AJ69" s="813"/>
      <c r="AK69" s="813"/>
      <c r="AL69" s="813"/>
      <c r="AM69" s="813"/>
      <c r="AN69" s="813"/>
      <c r="AO69" s="812"/>
      <c r="AP69" s="812"/>
      <c r="AQ69" s="812"/>
      <c r="AR69" s="812"/>
      <c r="AS69" s="812"/>
      <c r="AT69" s="811"/>
      <c r="AU69" s="811"/>
      <c r="AV69" s="811"/>
      <c r="AW69" s="811"/>
      <c r="AX69" s="811"/>
      <c r="BI69" s="811"/>
      <c r="BJ69" s="811"/>
      <c r="BK69" s="811"/>
      <c r="BL69" s="811"/>
      <c r="BM69" s="811"/>
    </row>
    <row r="70" spans="1:65" ht="15" hidden="1" customHeight="1" outlineLevel="1">
      <c r="A70" s="865">
        <v>4</v>
      </c>
      <c r="B70" s="864"/>
      <c r="C70" s="863">
        <v>184030500</v>
      </c>
      <c r="D70" s="862" t="s">
        <v>1356</v>
      </c>
      <c r="E70" s="930">
        <v>0</v>
      </c>
      <c r="F70" s="851"/>
      <c r="G70" s="850"/>
      <c r="H70" s="850"/>
      <c r="I70" s="850"/>
      <c r="J70" s="856"/>
      <c r="K70" s="855">
        <f>SUM(F70:J70)</f>
        <v>0</v>
      </c>
      <c r="L70" s="860"/>
      <c r="M70" s="860"/>
      <c r="N70" s="851"/>
      <c r="O70" s="850"/>
      <c r="P70" s="850"/>
      <c r="Q70" s="850"/>
      <c r="R70" s="850"/>
      <c r="S70" s="850">
        <f>SUM(N70:R70)</f>
        <v>0</v>
      </c>
      <c r="T70" s="859"/>
      <c r="U70" s="858">
        <f>+V70-SUM(S70:T70)</f>
        <v>0</v>
      </c>
      <c r="V70" s="855">
        <f t="shared" si="245"/>
        <v>0</v>
      </c>
      <c r="W70" s="851">
        <f t="shared" si="243"/>
        <v>0</v>
      </c>
      <c r="X70" s="850">
        <f t="shared" si="243"/>
        <v>0</v>
      </c>
      <c r="Y70" s="850">
        <f t="shared" si="243"/>
        <v>0</v>
      </c>
      <c r="Z70" s="850">
        <f t="shared" si="243"/>
        <v>0</v>
      </c>
      <c r="AA70" s="856">
        <f>+ROUND(J70*J$6/(100+J$6),0)+AX70</f>
        <v>0</v>
      </c>
      <c r="AB70" s="855">
        <f>SUM(W70:AA70)</f>
        <v>0</v>
      </c>
      <c r="AC70" s="854">
        <f t="shared" si="244"/>
        <v>0</v>
      </c>
      <c r="AD70" s="853">
        <f t="shared" si="244"/>
        <v>0</v>
      </c>
      <c r="AE70" s="853">
        <f t="shared" si="244"/>
        <v>0</v>
      </c>
      <c r="AF70" s="853">
        <f t="shared" si="244"/>
        <v>0</v>
      </c>
      <c r="AG70" s="853">
        <f>+ROUND(R70*AG$6/(100+AG$6),0)+BM70</f>
        <v>0</v>
      </c>
      <c r="AH70" s="849">
        <f>SUM(AC70:AG70)</f>
        <v>0</v>
      </c>
      <c r="AI70" s="852">
        <f>+E70-AB70</f>
        <v>0</v>
      </c>
      <c r="AJ70" s="813"/>
      <c r="AK70" s="813"/>
      <c r="AL70" s="813"/>
      <c r="AM70" s="813"/>
      <c r="AN70" s="813"/>
      <c r="AO70" s="812"/>
      <c r="AP70" s="812"/>
      <c r="AQ70" s="812"/>
      <c r="AR70" s="812"/>
      <c r="AS70" s="812"/>
      <c r="AT70" s="811"/>
      <c r="AU70" s="811"/>
      <c r="AV70" s="811"/>
      <c r="AW70" s="811"/>
      <c r="AX70" s="811"/>
      <c r="BI70" s="811"/>
      <c r="BJ70" s="811"/>
      <c r="BK70" s="811"/>
      <c r="BL70" s="811"/>
      <c r="BM70" s="811"/>
    </row>
    <row r="71" spans="1:65" ht="15" customHeight="1" collapsed="1">
      <c r="A71" s="880"/>
      <c r="B71" s="879"/>
      <c r="C71" s="878"/>
      <c r="D71" s="877" t="s">
        <v>1363</v>
      </c>
      <c r="E71" s="876">
        <f t="shared" ref="E71:AI71" si="246">+SUM(E72,E77,E82)</f>
        <v>3987000</v>
      </c>
      <c r="F71" s="868">
        <f t="shared" si="246"/>
        <v>0</v>
      </c>
      <c r="G71" s="867">
        <f t="shared" si="246"/>
        <v>0</v>
      </c>
      <c r="H71" s="867">
        <f t="shared" si="246"/>
        <v>0</v>
      </c>
      <c r="I71" s="867">
        <f t="shared" ref="I71" si="247">+SUM(I72,I77,I82)</f>
        <v>0</v>
      </c>
      <c r="J71" s="873">
        <f t="shared" si="246"/>
        <v>0</v>
      </c>
      <c r="K71" s="872">
        <f t="shared" si="246"/>
        <v>0</v>
      </c>
      <c r="L71" s="876">
        <f t="shared" si="246"/>
        <v>0</v>
      </c>
      <c r="M71" s="876">
        <f t="shared" si="246"/>
        <v>0</v>
      </c>
      <c r="N71" s="868">
        <f t="shared" si="246"/>
        <v>0</v>
      </c>
      <c r="O71" s="867">
        <f t="shared" si="246"/>
        <v>0</v>
      </c>
      <c r="P71" s="867">
        <f t="shared" si="246"/>
        <v>0</v>
      </c>
      <c r="Q71" s="867">
        <f t="shared" ref="Q71" si="248">+SUM(Q72,Q77,Q82)</f>
        <v>0</v>
      </c>
      <c r="R71" s="867">
        <f t="shared" si="246"/>
        <v>0</v>
      </c>
      <c r="S71" s="867">
        <f t="shared" si="246"/>
        <v>0</v>
      </c>
      <c r="T71" s="875">
        <f t="shared" si="246"/>
        <v>0</v>
      </c>
      <c r="U71" s="874">
        <f t="shared" si="246"/>
        <v>3987000</v>
      </c>
      <c r="V71" s="872">
        <f t="shared" si="246"/>
        <v>3987000</v>
      </c>
      <c r="W71" s="868">
        <f t="shared" si="246"/>
        <v>0</v>
      </c>
      <c r="X71" s="867">
        <f t="shared" si="246"/>
        <v>0</v>
      </c>
      <c r="Y71" s="867">
        <f t="shared" si="246"/>
        <v>0</v>
      </c>
      <c r="Z71" s="867">
        <f t="shared" ref="Z71" si="249">+SUM(Z72,Z77,Z82)</f>
        <v>0</v>
      </c>
      <c r="AA71" s="873">
        <f t="shared" si="246"/>
        <v>0</v>
      </c>
      <c r="AB71" s="872">
        <f t="shared" si="246"/>
        <v>0</v>
      </c>
      <c r="AC71" s="871">
        <f t="shared" si="246"/>
        <v>0</v>
      </c>
      <c r="AD71" s="870">
        <f t="shared" si="246"/>
        <v>0</v>
      </c>
      <c r="AE71" s="870">
        <f t="shared" si="246"/>
        <v>0</v>
      </c>
      <c r="AF71" s="870">
        <f t="shared" ref="AF71" si="250">+SUM(AF72,AF77,AF82)</f>
        <v>0</v>
      </c>
      <c r="AG71" s="870">
        <f t="shared" si="246"/>
        <v>0</v>
      </c>
      <c r="AH71" s="866">
        <f t="shared" si="246"/>
        <v>0</v>
      </c>
      <c r="AI71" s="869">
        <f t="shared" si="246"/>
        <v>3987000</v>
      </c>
      <c r="AJ71" s="813"/>
      <c r="AK71" s="813"/>
      <c r="AL71" s="813"/>
      <c r="AM71" s="813"/>
      <c r="AN71" s="813"/>
      <c r="AO71" s="812"/>
      <c r="AP71" s="812"/>
      <c r="AQ71" s="812"/>
      <c r="AR71" s="812"/>
      <c r="AS71" s="812"/>
      <c r="AT71" s="811"/>
      <c r="AU71" s="811"/>
      <c r="AV71" s="811"/>
      <c r="AW71" s="811"/>
      <c r="AX71" s="811"/>
      <c r="BI71" s="811"/>
      <c r="BJ71" s="811"/>
      <c r="BK71" s="811"/>
      <c r="BL71" s="811"/>
      <c r="BM71" s="811"/>
    </row>
    <row r="72" spans="1:65" ht="15" customHeight="1">
      <c r="A72" s="880"/>
      <c r="B72" s="879"/>
      <c r="C72" s="878"/>
      <c r="D72" s="877" t="s">
        <v>1362</v>
      </c>
      <c r="E72" s="876">
        <f t="shared" ref="E72:AI72" si="251">+SUM(E73:E76)</f>
        <v>2118000</v>
      </c>
      <c r="F72" s="868">
        <f t="shared" si="251"/>
        <v>0</v>
      </c>
      <c r="G72" s="867">
        <f t="shared" si="251"/>
        <v>0</v>
      </c>
      <c r="H72" s="867">
        <f t="shared" si="251"/>
        <v>0</v>
      </c>
      <c r="I72" s="867">
        <f t="shared" ref="I72" si="252">+SUM(I73:I76)</f>
        <v>0</v>
      </c>
      <c r="J72" s="873">
        <f t="shared" si="251"/>
        <v>0</v>
      </c>
      <c r="K72" s="872">
        <f t="shared" si="251"/>
        <v>0</v>
      </c>
      <c r="L72" s="876">
        <f t="shared" si="251"/>
        <v>0</v>
      </c>
      <c r="M72" s="876">
        <f t="shared" si="251"/>
        <v>0</v>
      </c>
      <c r="N72" s="868">
        <f t="shared" si="251"/>
        <v>0</v>
      </c>
      <c r="O72" s="867">
        <f t="shared" si="251"/>
        <v>0</v>
      </c>
      <c r="P72" s="867">
        <f t="shared" si="251"/>
        <v>0</v>
      </c>
      <c r="Q72" s="867">
        <f t="shared" ref="Q72" si="253">+SUM(Q73:Q76)</f>
        <v>0</v>
      </c>
      <c r="R72" s="867">
        <f t="shared" si="251"/>
        <v>0</v>
      </c>
      <c r="S72" s="867">
        <f t="shared" si="251"/>
        <v>0</v>
      </c>
      <c r="T72" s="875">
        <f t="shared" si="251"/>
        <v>0</v>
      </c>
      <c r="U72" s="874">
        <f t="shared" si="251"/>
        <v>2118000</v>
      </c>
      <c r="V72" s="872">
        <f t="shared" si="251"/>
        <v>2118000</v>
      </c>
      <c r="W72" s="868">
        <f t="shared" si="251"/>
        <v>0</v>
      </c>
      <c r="X72" s="867">
        <f t="shared" si="251"/>
        <v>0</v>
      </c>
      <c r="Y72" s="867">
        <f t="shared" si="251"/>
        <v>0</v>
      </c>
      <c r="Z72" s="867">
        <f t="shared" ref="Z72" si="254">+SUM(Z73:Z76)</f>
        <v>0</v>
      </c>
      <c r="AA72" s="873">
        <f t="shared" si="251"/>
        <v>0</v>
      </c>
      <c r="AB72" s="872">
        <f t="shared" si="251"/>
        <v>0</v>
      </c>
      <c r="AC72" s="871">
        <f t="shared" si="251"/>
        <v>0</v>
      </c>
      <c r="AD72" s="870">
        <f t="shared" si="251"/>
        <v>0</v>
      </c>
      <c r="AE72" s="870">
        <f t="shared" si="251"/>
        <v>0</v>
      </c>
      <c r="AF72" s="870">
        <f t="shared" ref="AF72" si="255">+SUM(AF73:AF76)</f>
        <v>0</v>
      </c>
      <c r="AG72" s="870">
        <f t="shared" si="251"/>
        <v>0</v>
      </c>
      <c r="AH72" s="866">
        <f t="shared" si="251"/>
        <v>0</v>
      </c>
      <c r="AI72" s="869">
        <f t="shared" si="251"/>
        <v>2118000</v>
      </c>
      <c r="AJ72" s="813"/>
      <c r="AK72" s="813"/>
      <c r="AL72" s="813"/>
      <c r="AM72" s="813"/>
      <c r="AN72" s="813"/>
      <c r="AO72" s="812"/>
      <c r="AP72" s="812"/>
      <c r="AQ72" s="812"/>
      <c r="AR72" s="812"/>
      <c r="AS72" s="812"/>
      <c r="AT72" s="811"/>
      <c r="AU72" s="811"/>
      <c r="AV72" s="811"/>
      <c r="AW72" s="811"/>
      <c r="AX72" s="811"/>
      <c r="BI72" s="811"/>
      <c r="BJ72" s="811"/>
      <c r="BK72" s="811"/>
      <c r="BL72" s="811"/>
      <c r="BM72" s="811"/>
    </row>
    <row r="73" spans="1:65" ht="15" customHeight="1" outlineLevel="1">
      <c r="A73" s="865">
        <v>1</v>
      </c>
      <c r="B73" s="864"/>
      <c r="C73" s="863">
        <v>184050600</v>
      </c>
      <c r="D73" s="862" t="s">
        <v>1359</v>
      </c>
      <c r="E73" s="861">
        <f>+SUMIFS(全伝票!I:I,全伝票!$C:$C,$C73)</f>
        <v>640000</v>
      </c>
      <c r="F73" s="851"/>
      <c r="G73" s="850"/>
      <c r="H73" s="850"/>
      <c r="I73" s="850"/>
      <c r="J73" s="856"/>
      <c r="K73" s="855">
        <f>SUM(F73:J73)</f>
        <v>0</v>
      </c>
      <c r="L73" s="860"/>
      <c r="M73" s="860"/>
      <c r="N73" s="851"/>
      <c r="O73" s="850"/>
      <c r="P73" s="850"/>
      <c r="Q73" s="850"/>
      <c r="R73" s="850"/>
      <c r="S73" s="850">
        <f>SUM(N73:R73)</f>
        <v>0</v>
      </c>
      <c r="T73" s="859"/>
      <c r="U73" s="858">
        <f>+V73-SUM(S73:T73)</f>
        <v>640000</v>
      </c>
      <c r="V73" s="857">
        <f>+SUMIFS(全伝票!P:P,全伝票!$C:$C,$C73)</f>
        <v>640000</v>
      </c>
      <c r="W73" s="851">
        <f t="shared" ref="W73:Z76" si="256">+ROUND(F73*F$6/(100+F$6),0)+AT73</f>
        <v>0</v>
      </c>
      <c r="X73" s="850">
        <f t="shared" si="256"/>
        <v>0</v>
      </c>
      <c r="Y73" s="850">
        <f t="shared" si="256"/>
        <v>0</v>
      </c>
      <c r="Z73" s="850">
        <f t="shared" si="256"/>
        <v>0</v>
      </c>
      <c r="AA73" s="856">
        <f>+ROUND(J73*J$6/(100+J$6),0)+AX73</f>
        <v>0</v>
      </c>
      <c r="AB73" s="855">
        <f>SUM(W73:AA73)</f>
        <v>0</v>
      </c>
      <c r="AC73" s="854">
        <f t="shared" ref="AC73:AF76" si="257">+ROUND(N73*AC$6/(100+AC$6),0)+BI73</f>
        <v>0</v>
      </c>
      <c r="AD73" s="853">
        <f t="shared" si="257"/>
        <v>0</v>
      </c>
      <c r="AE73" s="853">
        <f t="shared" si="257"/>
        <v>0</v>
      </c>
      <c r="AF73" s="853">
        <f t="shared" si="257"/>
        <v>0</v>
      </c>
      <c r="AG73" s="853">
        <f>+ROUND(R73*AG$6/(100+AG$6),0)+BM73</f>
        <v>0</v>
      </c>
      <c r="AH73" s="849">
        <f>SUM(AC73:AG73)</f>
        <v>0</v>
      </c>
      <c r="AI73" s="852">
        <f>+E73-AB73</f>
        <v>640000</v>
      </c>
      <c r="AJ73" s="813"/>
      <c r="AK73" s="813"/>
      <c r="AL73" s="813"/>
      <c r="AM73" s="813"/>
      <c r="AN73" s="813"/>
      <c r="AO73" s="812"/>
      <c r="AP73" s="812"/>
      <c r="AQ73" s="812"/>
      <c r="AR73" s="812"/>
      <c r="AS73" s="812"/>
      <c r="AT73" s="811"/>
      <c r="AU73" s="811"/>
      <c r="AV73" s="811"/>
      <c r="AW73" s="811"/>
      <c r="AX73" s="811"/>
      <c r="BI73" s="811"/>
      <c r="BJ73" s="811"/>
      <c r="BK73" s="811"/>
      <c r="BL73" s="811"/>
      <c r="BM73" s="811"/>
    </row>
    <row r="74" spans="1:65" ht="15" customHeight="1" outlineLevel="1">
      <c r="A74" s="865">
        <v>2</v>
      </c>
      <c r="B74" s="864"/>
      <c r="C74" s="863">
        <v>184050900</v>
      </c>
      <c r="D74" s="862" t="s">
        <v>1358</v>
      </c>
      <c r="E74" s="861">
        <f>+SUMIFS(全伝票!I:I,全伝票!$C:$C,$C74)</f>
        <v>580000</v>
      </c>
      <c r="F74" s="851"/>
      <c r="G74" s="850"/>
      <c r="H74" s="850"/>
      <c r="I74" s="850"/>
      <c r="J74" s="856"/>
      <c r="K74" s="855">
        <f>SUM(F74:J74)</f>
        <v>0</v>
      </c>
      <c r="L74" s="860"/>
      <c r="M74" s="860"/>
      <c r="N74" s="851"/>
      <c r="O74" s="850"/>
      <c r="P74" s="850"/>
      <c r="Q74" s="850"/>
      <c r="R74" s="850"/>
      <c r="S74" s="850">
        <f>SUM(N74:R74)</f>
        <v>0</v>
      </c>
      <c r="T74" s="859"/>
      <c r="U74" s="858">
        <f>+V74-SUM(S74:T74)</f>
        <v>580000</v>
      </c>
      <c r="V74" s="857">
        <f>+SUMIFS(全伝票!P:P,全伝票!$C:$C,$C74)</f>
        <v>580000</v>
      </c>
      <c r="W74" s="851">
        <f t="shared" si="256"/>
        <v>0</v>
      </c>
      <c r="X74" s="850">
        <f t="shared" si="256"/>
        <v>0</v>
      </c>
      <c r="Y74" s="850">
        <f t="shared" si="256"/>
        <v>0</v>
      </c>
      <c r="Z74" s="850">
        <f t="shared" si="256"/>
        <v>0</v>
      </c>
      <c r="AA74" s="856">
        <f>+ROUND(J74*J$6/(100+J$6),0)+AX74</f>
        <v>0</v>
      </c>
      <c r="AB74" s="855">
        <f>SUM(W74:AA74)</f>
        <v>0</v>
      </c>
      <c r="AC74" s="854">
        <f t="shared" si="257"/>
        <v>0</v>
      </c>
      <c r="AD74" s="853">
        <f t="shared" si="257"/>
        <v>0</v>
      </c>
      <c r="AE74" s="853">
        <f t="shared" si="257"/>
        <v>0</v>
      </c>
      <c r="AF74" s="853">
        <f t="shared" si="257"/>
        <v>0</v>
      </c>
      <c r="AG74" s="853">
        <f>+ROUND(R74*AG$6/(100+AG$6),0)+BM74</f>
        <v>0</v>
      </c>
      <c r="AH74" s="849">
        <f>SUM(AC74:AG74)</f>
        <v>0</v>
      </c>
      <c r="AI74" s="852">
        <f>+E74-AB74</f>
        <v>580000</v>
      </c>
      <c r="AJ74" s="813"/>
      <c r="AK74" s="813"/>
      <c r="AL74" s="813"/>
      <c r="AM74" s="813"/>
      <c r="AN74" s="813"/>
      <c r="AO74" s="812"/>
      <c r="AP74" s="812"/>
      <c r="AQ74" s="812"/>
      <c r="AR74" s="812"/>
      <c r="AS74" s="812"/>
      <c r="AT74" s="811"/>
      <c r="AU74" s="811"/>
      <c r="AV74" s="811"/>
      <c r="AW74" s="811"/>
      <c r="AX74" s="811"/>
      <c r="BI74" s="811"/>
      <c r="BJ74" s="811"/>
      <c r="BK74" s="811"/>
      <c r="BL74" s="811"/>
      <c r="BM74" s="811"/>
    </row>
    <row r="75" spans="1:65" ht="15" customHeight="1" outlineLevel="1">
      <c r="A75" s="865">
        <v>3</v>
      </c>
      <c r="B75" s="864"/>
      <c r="C75" s="863">
        <v>184051200</v>
      </c>
      <c r="D75" s="862" t="s">
        <v>1357</v>
      </c>
      <c r="E75" s="861">
        <f>+SUMIFS(全伝票!I:I,全伝票!$C:$C,$C75)</f>
        <v>738000</v>
      </c>
      <c r="F75" s="851"/>
      <c r="G75" s="850"/>
      <c r="H75" s="850"/>
      <c r="I75" s="850"/>
      <c r="J75" s="856"/>
      <c r="K75" s="855">
        <f>SUM(F75:J75)</f>
        <v>0</v>
      </c>
      <c r="L75" s="860"/>
      <c r="M75" s="860"/>
      <c r="N75" s="851"/>
      <c r="O75" s="850"/>
      <c r="P75" s="850"/>
      <c r="Q75" s="850"/>
      <c r="R75" s="850"/>
      <c r="S75" s="850">
        <f>SUM(N75:R75)</f>
        <v>0</v>
      </c>
      <c r="T75" s="859"/>
      <c r="U75" s="858">
        <f>+V75-SUM(S75:T75)</f>
        <v>738000</v>
      </c>
      <c r="V75" s="857">
        <f>+SUMIFS(全伝票!P:P,全伝票!$C:$C,$C75)</f>
        <v>738000</v>
      </c>
      <c r="W75" s="851">
        <f t="shared" si="256"/>
        <v>0</v>
      </c>
      <c r="X75" s="850">
        <f t="shared" si="256"/>
        <v>0</v>
      </c>
      <c r="Y75" s="850">
        <f t="shared" si="256"/>
        <v>0</v>
      </c>
      <c r="Z75" s="850">
        <f t="shared" si="256"/>
        <v>0</v>
      </c>
      <c r="AA75" s="856">
        <f>+ROUND(J75*J$6/(100+J$6),0)+AX75</f>
        <v>0</v>
      </c>
      <c r="AB75" s="855">
        <f>SUM(W75:AA75)</f>
        <v>0</v>
      </c>
      <c r="AC75" s="854">
        <f t="shared" si="257"/>
        <v>0</v>
      </c>
      <c r="AD75" s="853">
        <f t="shared" si="257"/>
        <v>0</v>
      </c>
      <c r="AE75" s="853">
        <f t="shared" si="257"/>
        <v>0</v>
      </c>
      <c r="AF75" s="853">
        <f t="shared" si="257"/>
        <v>0</v>
      </c>
      <c r="AG75" s="853">
        <f>+ROUND(R75*AG$6/(100+AG$6),0)+BM75</f>
        <v>0</v>
      </c>
      <c r="AH75" s="849">
        <f>SUM(AC75:AG75)</f>
        <v>0</v>
      </c>
      <c r="AI75" s="852">
        <f>+E75-AB75</f>
        <v>738000</v>
      </c>
      <c r="AJ75" s="813"/>
      <c r="AK75" s="813"/>
      <c r="AL75" s="813"/>
      <c r="AM75" s="813"/>
      <c r="AN75" s="813"/>
      <c r="AO75" s="812"/>
      <c r="AP75" s="812"/>
      <c r="AQ75" s="812"/>
      <c r="AR75" s="812"/>
      <c r="AS75" s="812"/>
      <c r="AT75" s="811"/>
      <c r="AU75" s="811"/>
      <c r="AV75" s="811"/>
      <c r="AW75" s="811"/>
      <c r="AX75" s="811"/>
      <c r="BI75" s="811"/>
      <c r="BJ75" s="811"/>
      <c r="BK75" s="811"/>
      <c r="BL75" s="811"/>
      <c r="BM75" s="811"/>
    </row>
    <row r="76" spans="1:65" ht="15" customHeight="1" outlineLevel="1">
      <c r="A76" s="865">
        <v>4</v>
      </c>
      <c r="B76" s="864"/>
      <c r="C76" s="863">
        <v>184051500</v>
      </c>
      <c r="D76" s="862" t="s">
        <v>1356</v>
      </c>
      <c r="E76" s="861">
        <f>+SUMIFS(全伝票!I:I,全伝票!$C:$C,$C76)</f>
        <v>160000</v>
      </c>
      <c r="F76" s="851"/>
      <c r="G76" s="850"/>
      <c r="H76" s="850"/>
      <c r="I76" s="850"/>
      <c r="J76" s="856"/>
      <c r="K76" s="855">
        <f>SUM(F76:J76)</f>
        <v>0</v>
      </c>
      <c r="L76" s="860"/>
      <c r="M76" s="860"/>
      <c r="N76" s="851"/>
      <c r="O76" s="850"/>
      <c r="P76" s="850"/>
      <c r="Q76" s="850"/>
      <c r="R76" s="850"/>
      <c r="S76" s="850">
        <f>SUM(N76:R76)</f>
        <v>0</v>
      </c>
      <c r="T76" s="859"/>
      <c r="U76" s="858">
        <f>+V76-SUM(S76:T76)</f>
        <v>160000</v>
      </c>
      <c r="V76" s="857">
        <f>+SUMIFS(全伝票!P:P,全伝票!$C:$C,$C76)</f>
        <v>160000</v>
      </c>
      <c r="W76" s="851">
        <f t="shared" si="256"/>
        <v>0</v>
      </c>
      <c r="X76" s="850">
        <f t="shared" si="256"/>
        <v>0</v>
      </c>
      <c r="Y76" s="850">
        <f t="shared" si="256"/>
        <v>0</v>
      </c>
      <c r="Z76" s="850">
        <f t="shared" si="256"/>
        <v>0</v>
      </c>
      <c r="AA76" s="856">
        <f>+ROUND(J76*J$6/(100+J$6),0)+AX76</f>
        <v>0</v>
      </c>
      <c r="AB76" s="855">
        <f>SUM(W76:AA76)</f>
        <v>0</v>
      </c>
      <c r="AC76" s="854">
        <f t="shared" si="257"/>
        <v>0</v>
      </c>
      <c r="AD76" s="853">
        <f t="shared" si="257"/>
        <v>0</v>
      </c>
      <c r="AE76" s="853">
        <f t="shared" si="257"/>
        <v>0</v>
      </c>
      <c r="AF76" s="853">
        <f t="shared" si="257"/>
        <v>0</v>
      </c>
      <c r="AG76" s="853">
        <f>+ROUND(R76*AG$6/(100+AG$6),0)+BM76</f>
        <v>0</v>
      </c>
      <c r="AH76" s="849">
        <f>SUM(AC76:AG76)</f>
        <v>0</v>
      </c>
      <c r="AI76" s="852">
        <f>+E76-AB76</f>
        <v>160000</v>
      </c>
      <c r="AJ76" s="813"/>
      <c r="AK76" s="813"/>
      <c r="AL76" s="813"/>
      <c r="AM76" s="813"/>
      <c r="AN76" s="813"/>
      <c r="AO76" s="812"/>
      <c r="AP76" s="812"/>
      <c r="AQ76" s="812"/>
      <c r="AR76" s="812"/>
      <c r="AS76" s="812"/>
      <c r="AT76" s="811"/>
      <c r="AU76" s="811"/>
      <c r="AV76" s="811"/>
      <c r="AW76" s="811"/>
      <c r="AX76" s="811"/>
      <c r="BI76" s="811"/>
      <c r="BJ76" s="811"/>
      <c r="BK76" s="811"/>
      <c r="BL76" s="811"/>
      <c r="BM76" s="811"/>
    </row>
    <row r="77" spans="1:65" ht="15" customHeight="1">
      <c r="A77" s="880"/>
      <c r="B77" s="879"/>
      <c r="C77" s="878"/>
      <c r="D77" s="877" t="s">
        <v>1361</v>
      </c>
      <c r="E77" s="876">
        <f t="shared" ref="E77:AI77" si="258">+SUM(E78:E81)</f>
        <v>1869000</v>
      </c>
      <c r="F77" s="868">
        <f t="shared" si="258"/>
        <v>0</v>
      </c>
      <c r="G77" s="867">
        <f t="shared" si="258"/>
        <v>0</v>
      </c>
      <c r="H77" s="867">
        <f t="shared" si="258"/>
        <v>0</v>
      </c>
      <c r="I77" s="867">
        <f t="shared" ref="I77" si="259">+SUM(I78:I81)</f>
        <v>0</v>
      </c>
      <c r="J77" s="873">
        <f t="shared" si="258"/>
        <v>0</v>
      </c>
      <c r="K77" s="872">
        <f t="shared" si="258"/>
        <v>0</v>
      </c>
      <c r="L77" s="876">
        <f t="shared" si="258"/>
        <v>0</v>
      </c>
      <c r="M77" s="876">
        <f t="shared" si="258"/>
        <v>0</v>
      </c>
      <c r="N77" s="868">
        <f t="shared" si="258"/>
        <v>0</v>
      </c>
      <c r="O77" s="867">
        <f t="shared" si="258"/>
        <v>0</v>
      </c>
      <c r="P77" s="867">
        <f t="shared" si="258"/>
        <v>0</v>
      </c>
      <c r="Q77" s="867">
        <f t="shared" ref="Q77" si="260">+SUM(Q78:Q81)</f>
        <v>0</v>
      </c>
      <c r="R77" s="867">
        <f t="shared" si="258"/>
        <v>0</v>
      </c>
      <c r="S77" s="867">
        <f t="shared" si="258"/>
        <v>0</v>
      </c>
      <c r="T77" s="875">
        <f t="shared" si="258"/>
        <v>0</v>
      </c>
      <c r="U77" s="874">
        <f t="shared" si="258"/>
        <v>1869000</v>
      </c>
      <c r="V77" s="872">
        <f t="shared" si="258"/>
        <v>1869000</v>
      </c>
      <c r="W77" s="868">
        <f t="shared" si="258"/>
        <v>0</v>
      </c>
      <c r="X77" s="867">
        <f t="shared" si="258"/>
        <v>0</v>
      </c>
      <c r="Y77" s="867">
        <f t="shared" si="258"/>
        <v>0</v>
      </c>
      <c r="Z77" s="867">
        <f t="shared" ref="Z77" si="261">+SUM(Z78:Z81)</f>
        <v>0</v>
      </c>
      <c r="AA77" s="873">
        <f t="shared" si="258"/>
        <v>0</v>
      </c>
      <c r="AB77" s="872">
        <f t="shared" si="258"/>
        <v>0</v>
      </c>
      <c r="AC77" s="871">
        <f t="shared" si="258"/>
        <v>0</v>
      </c>
      <c r="AD77" s="870">
        <f t="shared" si="258"/>
        <v>0</v>
      </c>
      <c r="AE77" s="870">
        <f t="shared" si="258"/>
        <v>0</v>
      </c>
      <c r="AF77" s="870">
        <f t="shared" ref="AF77" si="262">+SUM(AF78:AF81)</f>
        <v>0</v>
      </c>
      <c r="AG77" s="870">
        <f t="shared" si="258"/>
        <v>0</v>
      </c>
      <c r="AH77" s="866">
        <f t="shared" si="258"/>
        <v>0</v>
      </c>
      <c r="AI77" s="869">
        <f t="shared" si="258"/>
        <v>1869000</v>
      </c>
      <c r="AJ77" s="813"/>
      <c r="AK77" s="813"/>
      <c r="AL77" s="813"/>
      <c r="AM77" s="813"/>
      <c r="AN77" s="813"/>
      <c r="AO77" s="812"/>
      <c r="AP77" s="812"/>
      <c r="AQ77" s="812"/>
      <c r="AR77" s="812"/>
      <c r="AS77" s="812"/>
      <c r="AT77" s="811"/>
      <c r="AU77" s="811"/>
      <c r="AV77" s="811"/>
      <c r="AW77" s="811"/>
      <c r="AX77" s="811"/>
      <c r="BI77" s="811"/>
      <c r="BJ77" s="811"/>
      <c r="BK77" s="811"/>
      <c r="BL77" s="811"/>
      <c r="BM77" s="811"/>
    </row>
    <row r="78" spans="1:65" ht="15" customHeight="1" outlineLevel="1">
      <c r="A78" s="865">
        <v>1</v>
      </c>
      <c r="B78" s="864"/>
      <c r="C78" s="863">
        <v>184050700</v>
      </c>
      <c r="D78" s="862" t="s">
        <v>1359</v>
      </c>
      <c r="E78" s="861">
        <f>+SUMIFS(全伝票!I:I,全伝票!$C:$C,$C78)</f>
        <v>1079000</v>
      </c>
      <c r="F78" s="851"/>
      <c r="G78" s="850"/>
      <c r="H78" s="850"/>
      <c r="I78" s="850"/>
      <c r="J78" s="856"/>
      <c r="K78" s="855">
        <f>SUM(F78:J78)</f>
        <v>0</v>
      </c>
      <c r="L78" s="860"/>
      <c r="M78" s="860"/>
      <c r="N78" s="851"/>
      <c r="O78" s="850"/>
      <c r="P78" s="850"/>
      <c r="Q78" s="850"/>
      <c r="R78" s="850"/>
      <c r="S78" s="850">
        <f>SUM(N78:R78)</f>
        <v>0</v>
      </c>
      <c r="T78" s="859"/>
      <c r="U78" s="858">
        <f>+V78-SUM(S78:T78)</f>
        <v>1079000</v>
      </c>
      <c r="V78" s="857">
        <f>+SUMIFS(全伝票!P:P,全伝票!$C:$C,$C78)</f>
        <v>1079000</v>
      </c>
      <c r="W78" s="851">
        <f t="shared" ref="W78:Z81" si="263">+ROUND(F78*F$6/(100+F$6),0)+AT78</f>
        <v>0</v>
      </c>
      <c r="X78" s="850">
        <f t="shared" si="263"/>
        <v>0</v>
      </c>
      <c r="Y78" s="850">
        <f t="shared" si="263"/>
        <v>0</v>
      </c>
      <c r="Z78" s="850">
        <f t="shared" si="263"/>
        <v>0</v>
      </c>
      <c r="AA78" s="856">
        <f>+ROUND(J78*J$6/(100+J$6),0)+AX78</f>
        <v>0</v>
      </c>
      <c r="AB78" s="855">
        <f>SUM(W78:AA78)</f>
        <v>0</v>
      </c>
      <c r="AC78" s="854">
        <f t="shared" ref="AC78:AF81" si="264">+ROUND(N78*AC$6/(100+AC$6),0)+BI78</f>
        <v>0</v>
      </c>
      <c r="AD78" s="853">
        <f t="shared" si="264"/>
        <v>0</v>
      </c>
      <c r="AE78" s="853">
        <f t="shared" si="264"/>
        <v>0</v>
      </c>
      <c r="AF78" s="853">
        <f t="shared" si="264"/>
        <v>0</v>
      </c>
      <c r="AG78" s="853">
        <f>+ROUND(R78*AG$6/(100+AG$6),0)+BM78</f>
        <v>0</v>
      </c>
      <c r="AH78" s="849">
        <f>SUM(AC78:AG78)</f>
        <v>0</v>
      </c>
      <c r="AI78" s="852">
        <f>+E78-AB78</f>
        <v>1079000</v>
      </c>
      <c r="AJ78" s="813"/>
      <c r="AK78" s="813"/>
      <c r="AL78" s="813"/>
      <c r="AM78" s="813"/>
      <c r="AN78" s="813"/>
      <c r="AO78" s="812"/>
      <c r="AP78" s="812"/>
      <c r="AQ78" s="812"/>
      <c r="AR78" s="812"/>
      <c r="AS78" s="812"/>
      <c r="AT78" s="811"/>
      <c r="AU78" s="811"/>
      <c r="AV78" s="811"/>
      <c r="AW78" s="811"/>
      <c r="AX78" s="811"/>
      <c r="BI78" s="811"/>
      <c r="BJ78" s="811"/>
      <c r="BK78" s="811"/>
      <c r="BL78" s="811"/>
      <c r="BM78" s="811"/>
    </row>
    <row r="79" spans="1:65" ht="15" customHeight="1" outlineLevel="1">
      <c r="A79" s="865">
        <v>2</v>
      </c>
      <c r="B79" s="864"/>
      <c r="C79" s="863">
        <v>184051000</v>
      </c>
      <c r="D79" s="862" t="s">
        <v>1358</v>
      </c>
      <c r="E79" s="861">
        <f>+SUMIFS(全伝票!I:I,全伝票!$C:$C,$C79)</f>
        <v>440000</v>
      </c>
      <c r="F79" s="851"/>
      <c r="G79" s="850"/>
      <c r="H79" s="850"/>
      <c r="I79" s="850"/>
      <c r="J79" s="856"/>
      <c r="K79" s="855">
        <f>SUM(F79:J79)</f>
        <v>0</v>
      </c>
      <c r="L79" s="860"/>
      <c r="M79" s="860"/>
      <c r="N79" s="851"/>
      <c r="O79" s="850"/>
      <c r="P79" s="850"/>
      <c r="Q79" s="850"/>
      <c r="R79" s="850"/>
      <c r="S79" s="850">
        <f>SUM(N79:R79)</f>
        <v>0</v>
      </c>
      <c r="T79" s="859"/>
      <c r="U79" s="858">
        <f>+V79-SUM(S79:T79)</f>
        <v>440000</v>
      </c>
      <c r="V79" s="857">
        <f>+SUMIFS(全伝票!P:P,全伝票!$C:$C,$C79)</f>
        <v>440000</v>
      </c>
      <c r="W79" s="851">
        <f t="shared" si="263"/>
        <v>0</v>
      </c>
      <c r="X79" s="850">
        <f t="shared" si="263"/>
        <v>0</v>
      </c>
      <c r="Y79" s="850">
        <f t="shared" si="263"/>
        <v>0</v>
      </c>
      <c r="Z79" s="850">
        <f t="shared" si="263"/>
        <v>0</v>
      </c>
      <c r="AA79" s="856">
        <f>+ROUND(J79*J$6/(100+J$6),0)+AX79</f>
        <v>0</v>
      </c>
      <c r="AB79" s="855">
        <f>SUM(W79:AA79)</f>
        <v>0</v>
      </c>
      <c r="AC79" s="854">
        <f t="shared" si="264"/>
        <v>0</v>
      </c>
      <c r="AD79" s="853">
        <f t="shared" si="264"/>
        <v>0</v>
      </c>
      <c r="AE79" s="853">
        <f t="shared" si="264"/>
        <v>0</v>
      </c>
      <c r="AF79" s="853">
        <f t="shared" si="264"/>
        <v>0</v>
      </c>
      <c r="AG79" s="853">
        <f>+ROUND(R79*AG$6/(100+AG$6),0)+BM79</f>
        <v>0</v>
      </c>
      <c r="AH79" s="849">
        <f>SUM(AC79:AG79)</f>
        <v>0</v>
      </c>
      <c r="AI79" s="852">
        <f>+E79-AB79</f>
        <v>440000</v>
      </c>
      <c r="AJ79" s="813"/>
      <c r="AK79" s="813"/>
      <c r="AL79" s="813"/>
      <c r="AM79" s="813"/>
      <c r="AN79" s="813"/>
      <c r="AO79" s="812"/>
      <c r="AP79" s="812"/>
      <c r="AQ79" s="812"/>
      <c r="AR79" s="812"/>
      <c r="AS79" s="812"/>
      <c r="AT79" s="811"/>
      <c r="AU79" s="811"/>
      <c r="AV79" s="811"/>
      <c r="AW79" s="811"/>
      <c r="AX79" s="811"/>
      <c r="BI79" s="811"/>
      <c r="BJ79" s="811"/>
      <c r="BK79" s="811"/>
      <c r="BL79" s="811"/>
      <c r="BM79" s="811"/>
    </row>
    <row r="80" spans="1:65" ht="15" customHeight="1" outlineLevel="1">
      <c r="A80" s="865">
        <v>3</v>
      </c>
      <c r="B80" s="864"/>
      <c r="C80" s="863">
        <v>184051300</v>
      </c>
      <c r="D80" s="862" t="s">
        <v>1357</v>
      </c>
      <c r="E80" s="861">
        <f>+SUMIFS(全伝票!I:I,全伝票!$C:$C,$C80)</f>
        <v>350000</v>
      </c>
      <c r="F80" s="851"/>
      <c r="G80" s="850"/>
      <c r="H80" s="850"/>
      <c r="I80" s="850"/>
      <c r="J80" s="856"/>
      <c r="K80" s="855">
        <f>SUM(F80:J80)</f>
        <v>0</v>
      </c>
      <c r="L80" s="860"/>
      <c r="M80" s="860"/>
      <c r="N80" s="851"/>
      <c r="O80" s="850"/>
      <c r="P80" s="850"/>
      <c r="Q80" s="850"/>
      <c r="R80" s="850"/>
      <c r="S80" s="850">
        <f>SUM(N80:R80)</f>
        <v>0</v>
      </c>
      <c r="T80" s="859"/>
      <c r="U80" s="858">
        <f>+V80-SUM(S80:T80)</f>
        <v>350000</v>
      </c>
      <c r="V80" s="857">
        <f>+SUMIFS(全伝票!P:P,全伝票!$C:$C,$C80)</f>
        <v>350000</v>
      </c>
      <c r="W80" s="851">
        <f t="shared" si="263"/>
        <v>0</v>
      </c>
      <c r="X80" s="850">
        <f t="shared" si="263"/>
        <v>0</v>
      </c>
      <c r="Y80" s="850">
        <f t="shared" si="263"/>
        <v>0</v>
      </c>
      <c r="Z80" s="850">
        <f t="shared" si="263"/>
        <v>0</v>
      </c>
      <c r="AA80" s="856">
        <f>+ROUND(J80*J$6/(100+J$6),0)+AX80</f>
        <v>0</v>
      </c>
      <c r="AB80" s="855">
        <f>SUM(W80:AA80)</f>
        <v>0</v>
      </c>
      <c r="AC80" s="854">
        <f t="shared" si="264"/>
        <v>0</v>
      </c>
      <c r="AD80" s="853">
        <f t="shared" si="264"/>
        <v>0</v>
      </c>
      <c r="AE80" s="853">
        <f t="shared" si="264"/>
        <v>0</v>
      </c>
      <c r="AF80" s="853">
        <f t="shared" si="264"/>
        <v>0</v>
      </c>
      <c r="AG80" s="853">
        <f>+ROUND(R80*AG$6/(100+AG$6),0)+BM80</f>
        <v>0</v>
      </c>
      <c r="AH80" s="849">
        <f>SUM(AC80:AG80)</f>
        <v>0</v>
      </c>
      <c r="AI80" s="852">
        <f>+E80-AB80</f>
        <v>350000</v>
      </c>
      <c r="AJ80" s="813"/>
      <c r="AK80" s="813"/>
      <c r="AL80" s="813"/>
      <c r="AM80" s="813"/>
      <c r="AN80" s="813"/>
      <c r="AO80" s="812"/>
      <c r="AP80" s="812"/>
      <c r="AQ80" s="812"/>
      <c r="AR80" s="812"/>
      <c r="AS80" s="812"/>
      <c r="AT80" s="811"/>
      <c r="AU80" s="811"/>
      <c r="AV80" s="811"/>
      <c r="AW80" s="811"/>
      <c r="AX80" s="811"/>
      <c r="BI80" s="811"/>
      <c r="BJ80" s="811"/>
      <c r="BK80" s="811"/>
      <c r="BL80" s="811"/>
      <c r="BM80" s="811"/>
    </row>
    <row r="81" spans="1:65" ht="15" customHeight="1" outlineLevel="1">
      <c r="A81" s="865">
        <v>4</v>
      </c>
      <c r="B81" s="864"/>
      <c r="C81" s="863">
        <v>184051600</v>
      </c>
      <c r="D81" s="862" t="s">
        <v>1356</v>
      </c>
      <c r="E81" s="861">
        <f>+SUMIFS(全伝票!I:I,全伝票!$C:$C,$C81)</f>
        <v>0</v>
      </c>
      <c r="F81" s="851"/>
      <c r="G81" s="850"/>
      <c r="H81" s="850"/>
      <c r="I81" s="850"/>
      <c r="J81" s="856"/>
      <c r="K81" s="855">
        <f>SUM(F81:J81)</f>
        <v>0</v>
      </c>
      <c r="L81" s="860"/>
      <c r="M81" s="860"/>
      <c r="N81" s="851"/>
      <c r="O81" s="850"/>
      <c r="P81" s="850"/>
      <c r="Q81" s="850"/>
      <c r="R81" s="850"/>
      <c r="S81" s="850">
        <f>SUM(N81:R81)</f>
        <v>0</v>
      </c>
      <c r="T81" s="859"/>
      <c r="U81" s="858">
        <f>+V81-SUM(S81:T81)</f>
        <v>0</v>
      </c>
      <c r="V81" s="857">
        <f>+SUMIFS(全伝票!P:P,全伝票!$C:$C,$C81)</f>
        <v>0</v>
      </c>
      <c r="W81" s="851">
        <f t="shared" si="263"/>
        <v>0</v>
      </c>
      <c r="X81" s="850">
        <f t="shared" si="263"/>
        <v>0</v>
      </c>
      <c r="Y81" s="850">
        <f t="shared" si="263"/>
        <v>0</v>
      </c>
      <c r="Z81" s="850">
        <f t="shared" si="263"/>
        <v>0</v>
      </c>
      <c r="AA81" s="856">
        <f>+ROUND(J81*J$6/(100+J$6),0)+AX81</f>
        <v>0</v>
      </c>
      <c r="AB81" s="855">
        <f>SUM(W81:AA81)</f>
        <v>0</v>
      </c>
      <c r="AC81" s="854">
        <f t="shared" si="264"/>
        <v>0</v>
      </c>
      <c r="AD81" s="853">
        <f t="shared" si="264"/>
        <v>0</v>
      </c>
      <c r="AE81" s="853">
        <f t="shared" si="264"/>
        <v>0</v>
      </c>
      <c r="AF81" s="853">
        <f t="shared" si="264"/>
        <v>0</v>
      </c>
      <c r="AG81" s="853">
        <f>+ROUND(R81*AG$6/(100+AG$6),0)+BM81</f>
        <v>0</v>
      </c>
      <c r="AH81" s="849">
        <f>SUM(AC81:AG81)</f>
        <v>0</v>
      </c>
      <c r="AI81" s="852">
        <f>+E81-AB81</f>
        <v>0</v>
      </c>
      <c r="AJ81" s="813"/>
      <c r="AK81" s="813"/>
      <c r="AL81" s="813"/>
      <c r="AM81" s="813"/>
      <c r="AN81" s="813"/>
      <c r="AO81" s="812"/>
      <c r="AP81" s="812"/>
      <c r="AQ81" s="812"/>
      <c r="AR81" s="812"/>
      <c r="AS81" s="812"/>
      <c r="AT81" s="811"/>
      <c r="AU81" s="811"/>
      <c r="AV81" s="811"/>
      <c r="AW81" s="811"/>
      <c r="AX81" s="811"/>
      <c r="BI81" s="811"/>
      <c r="BJ81" s="811"/>
      <c r="BK81" s="811"/>
      <c r="BL81" s="811"/>
      <c r="BM81" s="811"/>
    </row>
    <row r="82" spans="1:65" ht="15" customHeight="1">
      <c r="A82" s="880"/>
      <c r="B82" s="879"/>
      <c r="C82" s="878"/>
      <c r="D82" s="877" t="s">
        <v>1360</v>
      </c>
      <c r="E82" s="876">
        <f t="shared" ref="E82:AI82" si="265">+SUM(E83:E86)</f>
        <v>0</v>
      </c>
      <c r="F82" s="868">
        <f t="shared" si="265"/>
        <v>0</v>
      </c>
      <c r="G82" s="867">
        <f t="shared" si="265"/>
        <v>0</v>
      </c>
      <c r="H82" s="867">
        <f t="shared" si="265"/>
        <v>0</v>
      </c>
      <c r="I82" s="867">
        <f t="shared" ref="I82" si="266">+SUM(I83:I86)</f>
        <v>0</v>
      </c>
      <c r="J82" s="873">
        <f t="shared" si="265"/>
        <v>0</v>
      </c>
      <c r="K82" s="872">
        <f t="shared" si="265"/>
        <v>0</v>
      </c>
      <c r="L82" s="876">
        <f t="shared" si="265"/>
        <v>0</v>
      </c>
      <c r="M82" s="876">
        <f t="shared" si="265"/>
        <v>0</v>
      </c>
      <c r="N82" s="868">
        <f t="shared" si="265"/>
        <v>0</v>
      </c>
      <c r="O82" s="867">
        <f t="shared" si="265"/>
        <v>0</v>
      </c>
      <c r="P82" s="867">
        <f t="shared" si="265"/>
        <v>0</v>
      </c>
      <c r="Q82" s="867">
        <f t="shared" ref="Q82" si="267">+SUM(Q83:Q86)</f>
        <v>0</v>
      </c>
      <c r="R82" s="867">
        <f t="shared" si="265"/>
        <v>0</v>
      </c>
      <c r="S82" s="867">
        <f t="shared" si="265"/>
        <v>0</v>
      </c>
      <c r="T82" s="875">
        <f t="shared" si="265"/>
        <v>0</v>
      </c>
      <c r="U82" s="874">
        <f t="shared" si="265"/>
        <v>0</v>
      </c>
      <c r="V82" s="872">
        <f t="shared" si="265"/>
        <v>0</v>
      </c>
      <c r="W82" s="868">
        <f t="shared" si="265"/>
        <v>0</v>
      </c>
      <c r="X82" s="867">
        <f t="shared" si="265"/>
        <v>0</v>
      </c>
      <c r="Y82" s="867">
        <f t="shared" si="265"/>
        <v>0</v>
      </c>
      <c r="Z82" s="867">
        <f t="shared" ref="Z82" si="268">+SUM(Z83:Z86)</f>
        <v>0</v>
      </c>
      <c r="AA82" s="873">
        <f t="shared" si="265"/>
        <v>0</v>
      </c>
      <c r="AB82" s="872">
        <f t="shared" si="265"/>
        <v>0</v>
      </c>
      <c r="AC82" s="871">
        <f t="shared" si="265"/>
        <v>0</v>
      </c>
      <c r="AD82" s="870">
        <f t="shared" si="265"/>
        <v>0</v>
      </c>
      <c r="AE82" s="870">
        <f t="shared" si="265"/>
        <v>0</v>
      </c>
      <c r="AF82" s="870">
        <f t="shared" ref="AF82" si="269">+SUM(AF83:AF86)</f>
        <v>0</v>
      </c>
      <c r="AG82" s="870">
        <f t="shared" si="265"/>
        <v>0</v>
      </c>
      <c r="AH82" s="866">
        <f t="shared" si="265"/>
        <v>0</v>
      </c>
      <c r="AI82" s="869">
        <f t="shared" si="265"/>
        <v>0</v>
      </c>
      <c r="AJ82" s="813"/>
      <c r="AK82" s="813"/>
      <c r="AL82" s="813"/>
      <c r="AM82" s="813"/>
      <c r="AN82" s="813"/>
      <c r="AO82" s="812"/>
      <c r="AP82" s="812"/>
      <c r="AQ82" s="812"/>
      <c r="AR82" s="812"/>
      <c r="AS82" s="812"/>
      <c r="AT82" s="811"/>
      <c r="AU82" s="811"/>
      <c r="AV82" s="811"/>
      <c r="AW82" s="811"/>
      <c r="AX82" s="811"/>
      <c r="BI82" s="811"/>
      <c r="BJ82" s="811"/>
      <c r="BK82" s="811"/>
      <c r="BL82" s="811"/>
      <c r="BM82" s="811"/>
    </row>
    <row r="83" spans="1:65" ht="15" hidden="1" customHeight="1" outlineLevel="1">
      <c r="A83" s="865">
        <v>1</v>
      </c>
      <c r="B83" s="864"/>
      <c r="C83" s="863">
        <v>184050800</v>
      </c>
      <c r="D83" s="862" t="s">
        <v>1359</v>
      </c>
      <c r="E83" s="861">
        <f>+SUMIFS(全伝票!I:I,全伝票!$C:$C,$C83)</f>
        <v>0</v>
      </c>
      <c r="F83" s="851"/>
      <c r="G83" s="850"/>
      <c r="H83" s="850"/>
      <c r="I83" s="850"/>
      <c r="J83" s="856"/>
      <c r="K83" s="855">
        <f>SUM(F83:J83)</f>
        <v>0</v>
      </c>
      <c r="L83" s="860"/>
      <c r="M83" s="860"/>
      <c r="N83" s="851"/>
      <c r="O83" s="850"/>
      <c r="P83" s="850"/>
      <c r="Q83" s="850"/>
      <c r="R83" s="850"/>
      <c r="S83" s="850">
        <f>SUM(N83:R83)</f>
        <v>0</v>
      </c>
      <c r="T83" s="859"/>
      <c r="U83" s="858">
        <f>+V83-SUM(S83:T83)</f>
        <v>0</v>
      </c>
      <c r="V83" s="857">
        <f>+SUMIFS(全伝票!P:P,全伝票!$C:$C,$C83)</f>
        <v>0</v>
      </c>
      <c r="W83" s="851">
        <f t="shared" ref="W83:Z86" si="270">+ROUND(F83*F$6/(100+F$6),0)+AT83</f>
        <v>0</v>
      </c>
      <c r="X83" s="850">
        <f t="shared" si="270"/>
        <v>0</v>
      </c>
      <c r="Y83" s="850">
        <f t="shared" si="270"/>
        <v>0</v>
      </c>
      <c r="Z83" s="850">
        <f t="shared" si="270"/>
        <v>0</v>
      </c>
      <c r="AA83" s="856">
        <f>+ROUND(J83*J$6/(100+J$6),0)+AX83</f>
        <v>0</v>
      </c>
      <c r="AB83" s="855">
        <f>SUM(W83:AA83)</f>
        <v>0</v>
      </c>
      <c r="AC83" s="854">
        <f t="shared" ref="AC83:AF86" si="271">+ROUND(N83*AC$6/(100+AC$6),0)+BI83</f>
        <v>0</v>
      </c>
      <c r="AD83" s="853">
        <f t="shared" si="271"/>
        <v>0</v>
      </c>
      <c r="AE83" s="853">
        <f t="shared" si="271"/>
        <v>0</v>
      </c>
      <c r="AF83" s="853">
        <f t="shared" si="271"/>
        <v>0</v>
      </c>
      <c r="AG83" s="853">
        <f>+ROUND(R83*AG$6/(100+AG$6),0)+BM83</f>
        <v>0</v>
      </c>
      <c r="AH83" s="849">
        <f>SUM(AC83:AG83)</f>
        <v>0</v>
      </c>
      <c r="AI83" s="852">
        <f>+E83-AB83</f>
        <v>0</v>
      </c>
      <c r="AJ83" s="813"/>
      <c r="AK83" s="813"/>
      <c r="AL83" s="813"/>
      <c r="AM83" s="813"/>
      <c r="AN83" s="813"/>
      <c r="AO83" s="812"/>
      <c r="AP83" s="812"/>
      <c r="AQ83" s="812"/>
      <c r="AR83" s="812"/>
      <c r="AS83" s="812"/>
      <c r="AT83" s="811"/>
      <c r="AU83" s="811"/>
      <c r="AV83" s="811"/>
      <c r="AW83" s="811"/>
      <c r="AX83" s="811"/>
      <c r="BI83" s="811"/>
      <c r="BJ83" s="811"/>
      <c r="BK83" s="811"/>
      <c r="BL83" s="811"/>
      <c r="BM83" s="811"/>
    </row>
    <row r="84" spans="1:65" ht="15" hidden="1" customHeight="1" outlineLevel="1">
      <c r="A84" s="865">
        <v>2</v>
      </c>
      <c r="B84" s="864"/>
      <c r="C84" s="863">
        <v>184051100</v>
      </c>
      <c r="D84" s="862" t="s">
        <v>1358</v>
      </c>
      <c r="E84" s="861">
        <f>+SUMIFS(全伝票!I:I,全伝票!$C:$C,$C84)</f>
        <v>0</v>
      </c>
      <c r="F84" s="851"/>
      <c r="G84" s="850"/>
      <c r="H84" s="850"/>
      <c r="I84" s="850"/>
      <c r="J84" s="856"/>
      <c r="K84" s="855">
        <f>SUM(F84:J84)</f>
        <v>0</v>
      </c>
      <c r="L84" s="860"/>
      <c r="M84" s="860"/>
      <c r="N84" s="851"/>
      <c r="O84" s="850"/>
      <c r="P84" s="850"/>
      <c r="Q84" s="850"/>
      <c r="R84" s="850"/>
      <c r="S84" s="850">
        <f>SUM(N84:R84)</f>
        <v>0</v>
      </c>
      <c r="T84" s="859"/>
      <c r="U84" s="858">
        <f>+V84-SUM(S84:T84)</f>
        <v>0</v>
      </c>
      <c r="V84" s="857">
        <f>+SUMIFS(全伝票!P:P,全伝票!$C:$C,$C84)</f>
        <v>0</v>
      </c>
      <c r="W84" s="851">
        <f t="shared" si="270"/>
        <v>0</v>
      </c>
      <c r="X84" s="850">
        <f t="shared" si="270"/>
        <v>0</v>
      </c>
      <c r="Y84" s="850">
        <f t="shared" si="270"/>
        <v>0</v>
      </c>
      <c r="Z84" s="850">
        <f t="shared" si="270"/>
        <v>0</v>
      </c>
      <c r="AA84" s="856">
        <f>+ROUND(J84*J$6/(100+J$6),0)+AX84</f>
        <v>0</v>
      </c>
      <c r="AB84" s="855">
        <f>SUM(W84:AA84)</f>
        <v>0</v>
      </c>
      <c r="AC84" s="854">
        <f t="shared" si="271"/>
        <v>0</v>
      </c>
      <c r="AD84" s="853">
        <f t="shared" si="271"/>
        <v>0</v>
      </c>
      <c r="AE84" s="853">
        <f t="shared" si="271"/>
        <v>0</v>
      </c>
      <c r="AF84" s="853">
        <f t="shared" si="271"/>
        <v>0</v>
      </c>
      <c r="AG84" s="853">
        <f>+ROUND(R84*AG$6/(100+AG$6),0)+BM84</f>
        <v>0</v>
      </c>
      <c r="AH84" s="849">
        <f>SUM(AC84:AG84)</f>
        <v>0</v>
      </c>
      <c r="AI84" s="852">
        <f>+E84-AB84</f>
        <v>0</v>
      </c>
      <c r="AJ84" s="813"/>
      <c r="AK84" s="813"/>
      <c r="AL84" s="813"/>
      <c r="AM84" s="813"/>
      <c r="AN84" s="813"/>
      <c r="AO84" s="812"/>
      <c r="AP84" s="812"/>
      <c r="AQ84" s="812"/>
      <c r="AR84" s="812"/>
      <c r="AS84" s="812"/>
      <c r="AT84" s="811"/>
      <c r="AU84" s="811"/>
      <c r="AV84" s="811"/>
      <c r="AW84" s="811"/>
      <c r="AX84" s="811"/>
      <c r="BI84" s="811"/>
      <c r="BJ84" s="811"/>
      <c r="BK84" s="811"/>
      <c r="BL84" s="811"/>
      <c r="BM84" s="811"/>
    </row>
    <row r="85" spans="1:65" ht="15" hidden="1" customHeight="1" outlineLevel="1">
      <c r="A85" s="865">
        <v>3</v>
      </c>
      <c r="B85" s="864"/>
      <c r="C85" s="863">
        <v>184051400</v>
      </c>
      <c r="D85" s="862" t="s">
        <v>1357</v>
      </c>
      <c r="E85" s="861">
        <f>+SUMIFS(全伝票!I:I,全伝票!$C:$C,$C85)</f>
        <v>0</v>
      </c>
      <c r="F85" s="851"/>
      <c r="G85" s="850"/>
      <c r="H85" s="850"/>
      <c r="I85" s="850"/>
      <c r="J85" s="856"/>
      <c r="K85" s="855">
        <f>SUM(F85:J85)</f>
        <v>0</v>
      </c>
      <c r="L85" s="860"/>
      <c r="M85" s="860"/>
      <c r="N85" s="851"/>
      <c r="O85" s="850"/>
      <c r="P85" s="850"/>
      <c r="Q85" s="850"/>
      <c r="R85" s="850"/>
      <c r="S85" s="850">
        <f>SUM(N85:R85)</f>
        <v>0</v>
      </c>
      <c r="T85" s="859"/>
      <c r="U85" s="858">
        <f>+V85-SUM(S85:T85)</f>
        <v>0</v>
      </c>
      <c r="V85" s="857">
        <f>+SUMIFS(全伝票!P:P,全伝票!$C:$C,$C85)</f>
        <v>0</v>
      </c>
      <c r="W85" s="851">
        <f t="shared" si="270"/>
        <v>0</v>
      </c>
      <c r="X85" s="850">
        <f t="shared" si="270"/>
        <v>0</v>
      </c>
      <c r="Y85" s="850">
        <f t="shared" si="270"/>
        <v>0</v>
      </c>
      <c r="Z85" s="850">
        <f t="shared" si="270"/>
        <v>0</v>
      </c>
      <c r="AA85" s="856">
        <f>+ROUND(J85*J$6/(100+J$6),0)+AX85</f>
        <v>0</v>
      </c>
      <c r="AB85" s="855">
        <f>SUM(W85:AA85)</f>
        <v>0</v>
      </c>
      <c r="AC85" s="854">
        <f t="shared" si="271"/>
        <v>0</v>
      </c>
      <c r="AD85" s="853">
        <f t="shared" si="271"/>
        <v>0</v>
      </c>
      <c r="AE85" s="853">
        <f t="shared" si="271"/>
        <v>0</v>
      </c>
      <c r="AF85" s="853">
        <f t="shared" si="271"/>
        <v>0</v>
      </c>
      <c r="AG85" s="853">
        <f>+ROUND(R85*AG$6/(100+AG$6),0)+BM85</f>
        <v>0</v>
      </c>
      <c r="AH85" s="849">
        <f>SUM(AC85:AG85)</f>
        <v>0</v>
      </c>
      <c r="AI85" s="852">
        <f>+E85-AB85</f>
        <v>0</v>
      </c>
      <c r="AJ85" s="813"/>
      <c r="AK85" s="813"/>
      <c r="AL85" s="813"/>
      <c r="AM85" s="813"/>
      <c r="AN85" s="813"/>
      <c r="AO85" s="812"/>
      <c r="AP85" s="812"/>
      <c r="AQ85" s="812"/>
      <c r="AR85" s="812"/>
      <c r="AS85" s="812"/>
      <c r="AT85" s="811"/>
      <c r="AU85" s="811"/>
      <c r="AV85" s="811"/>
      <c r="AW85" s="811"/>
      <c r="AX85" s="811"/>
      <c r="BI85" s="811"/>
      <c r="BJ85" s="811"/>
      <c r="BK85" s="811"/>
      <c r="BL85" s="811"/>
      <c r="BM85" s="811"/>
    </row>
    <row r="86" spans="1:65" ht="15" hidden="1" customHeight="1" outlineLevel="1">
      <c r="A86" s="865">
        <v>4</v>
      </c>
      <c r="B86" s="864"/>
      <c r="C86" s="863">
        <v>184051700</v>
      </c>
      <c r="D86" s="862" t="s">
        <v>1356</v>
      </c>
      <c r="E86" s="861">
        <f>+SUMIFS(全伝票!I:I,全伝票!$C:$C,$C86)</f>
        <v>0</v>
      </c>
      <c r="F86" s="851"/>
      <c r="G86" s="850"/>
      <c r="H86" s="850"/>
      <c r="I86" s="850"/>
      <c r="J86" s="856"/>
      <c r="K86" s="855">
        <f>SUM(F86:J86)</f>
        <v>0</v>
      </c>
      <c r="L86" s="860"/>
      <c r="M86" s="860"/>
      <c r="N86" s="851"/>
      <c r="O86" s="850"/>
      <c r="P86" s="850"/>
      <c r="Q86" s="850"/>
      <c r="R86" s="850"/>
      <c r="S86" s="850">
        <f>SUM(N86:R86)</f>
        <v>0</v>
      </c>
      <c r="T86" s="859"/>
      <c r="U86" s="858">
        <f>+V86-SUM(S86:T86)</f>
        <v>0</v>
      </c>
      <c r="V86" s="857">
        <f>+SUMIFS(全伝票!P:P,全伝票!$C:$C,$C86)</f>
        <v>0</v>
      </c>
      <c r="W86" s="851">
        <f t="shared" si="270"/>
        <v>0</v>
      </c>
      <c r="X86" s="850">
        <f t="shared" si="270"/>
        <v>0</v>
      </c>
      <c r="Y86" s="850">
        <f t="shared" si="270"/>
        <v>0</v>
      </c>
      <c r="Z86" s="850">
        <f t="shared" si="270"/>
        <v>0</v>
      </c>
      <c r="AA86" s="856">
        <f>+ROUND(J86*J$6/(100+J$6),0)+AX86</f>
        <v>0</v>
      </c>
      <c r="AB86" s="855">
        <f>SUM(W86:AA86)</f>
        <v>0</v>
      </c>
      <c r="AC86" s="854">
        <f t="shared" si="271"/>
        <v>0</v>
      </c>
      <c r="AD86" s="853">
        <f t="shared" si="271"/>
        <v>0</v>
      </c>
      <c r="AE86" s="853">
        <f t="shared" si="271"/>
        <v>0</v>
      </c>
      <c r="AF86" s="853">
        <f t="shared" si="271"/>
        <v>0</v>
      </c>
      <c r="AG86" s="853">
        <f>+ROUND(R86*AG$6/(100+AG$6),0)+BM86</f>
        <v>0</v>
      </c>
      <c r="AH86" s="849">
        <f>SUM(AC86:AG86)</f>
        <v>0</v>
      </c>
      <c r="AI86" s="852">
        <f>+E86-AB86</f>
        <v>0</v>
      </c>
      <c r="AJ86" s="813"/>
      <c r="AK86" s="813"/>
      <c r="AL86" s="813"/>
      <c r="AM86" s="813"/>
      <c r="AN86" s="813"/>
      <c r="AO86" s="812"/>
      <c r="AP86" s="812"/>
      <c r="AQ86" s="812"/>
      <c r="AR86" s="812"/>
      <c r="AS86" s="812"/>
      <c r="AT86" s="811"/>
      <c r="AU86" s="811"/>
      <c r="AV86" s="811"/>
      <c r="AW86" s="811"/>
      <c r="AX86" s="811"/>
      <c r="BI86" s="811"/>
      <c r="BJ86" s="811"/>
      <c r="BK86" s="811"/>
      <c r="BL86" s="811"/>
      <c r="BM86" s="811"/>
    </row>
    <row r="87" spans="1:65" ht="15" customHeight="1" collapsed="1">
      <c r="A87" s="848"/>
      <c r="B87" s="847"/>
      <c r="C87" s="846"/>
      <c r="D87" s="845" t="s">
        <v>1355</v>
      </c>
      <c r="E87" s="844">
        <f t="shared" ref="E87:AI87" si="272">+E88</f>
        <v>45948113</v>
      </c>
      <c r="F87" s="836">
        <f t="shared" si="272"/>
        <v>0</v>
      </c>
      <c r="G87" s="835">
        <f t="shared" si="272"/>
        <v>0</v>
      </c>
      <c r="H87" s="835">
        <f t="shared" si="272"/>
        <v>0</v>
      </c>
      <c r="I87" s="835">
        <f t="shared" si="272"/>
        <v>0</v>
      </c>
      <c r="J87" s="841">
        <f t="shared" si="272"/>
        <v>0</v>
      </c>
      <c r="K87" s="840">
        <f t="shared" si="272"/>
        <v>0</v>
      </c>
      <c r="L87" s="844">
        <f t="shared" si="272"/>
        <v>45948113</v>
      </c>
      <c r="M87" s="844">
        <f t="shared" si="272"/>
        <v>0</v>
      </c>
      <c r="N87" s="836">
        <f t="shared" si="272"/>
        <v>0</v>
      </c>
      <c r="O87" s="835">
        <f t="shared" si="272"/>
        <v>0</v>
      </c>
      <c r="P87" s="835">
        <f t="shared" si="272"/>
        <v>0</v>
      </c>
      <c r="Q87" s="835">
        <f t="shared" si="272"/>
        <v>0</v>
      </c>
      <c r="R87" s="835">
        <f t="shared" si="272"/>
        <v>0</v>
      </c>
      <c r="S87" s="835">
        <f t="shared" si="272"/>
        <v>0</v>
      </c>
      <c r="T87" s="843">
        <f t="shared" si="272"/>
        <v>0</v>
      </c>
      <c r="U87" s="842">
        <f t="shared" si="272"/>
        <v>0</v>
      </c>
      <c r="V87" s="840">
        <f t="shared" si="272"/>
        <v>0</v>
      </c>
      <c r="W87" s="836">
        <f t="shared" si="272"/>
        <v>0</v>
      </c>
      <c r="X87" s="835">
        <f t="shared" si="272"/>
        <v>0</v>
      </c>
      <c r="Y87" s="835">
        <f t="shared" si="272"/>
        <v>0</v>
      </c>
      <c r="Z87" s="835">
        <f t="shared" si="272"/>
        <v>0</v>
      </c>
      <c r="AA87" s="841">
        <f t="shared" si="272"/>
        <v>0</v>
      </c>
      <c r="AB87" s="840">
        <f t="shared" si="272"/>
        <v>0</v>
      </c>
      <c r="AC87" s="839">
        <f t="shared" si="272"/>
        <v>0</v>
      </c>
      <c r="AD87" s="838">
        <f t="shared" si="272"/>
        <v>0</v>
      </c>
      <c r="AE87" s="838">
        <f t="shared" si="272"/>
        <v>0</v>
      </c>
      <c r="AF87" s="838">
        <f t="shared" si="272"/>
        <v>0</v>
      </c>
      <c r="AG87" s="838">
        <f t="shared" si="272"/>
        <v>0</v>
      </c>
      <c r="AH87" s="834">
        <f t="shared" si="272"/>
        <v>0</v>
      </c>
      <c r="AI87" s="837">
        <f t="shared" si="272"/>
        <v>45948113</v>
      </c>
      <c r="AJ87" s="813"/>
      <c r="AK87" s="813"/>
      <c r="AL87" s="813"/>
      <c r="AM87" s="813"/>
      <c r="AN87" s="813"/>
      <c r="AO87" s="812"/>
      <c r="AP87" s="812"/>
      <c r="AQ87" s="812"/>
      <c r="AR87" s="812"/>
      <c r="AS87" s="812"/>
      <c r="AT87" s="811"/>
      <c r="AU87" s="811"/>
      <c r="AV87" s="811"/>
      <c r="AW87" s="811"/>
      <c r="AX87" s="811"/>
      <c r="BI87" s="811"/>
      <c r="BJ87" s="811"/>
      <c r="BK87" s="811"/>
      <c r="BL87" s="811"/>
      <c r="BM87" s="811"/>
    </row>
    <row r="88" spans="1:65" ht="15" customHeight="1">
      <c r="A88" s="833"/>
      <c r="B88" s="832"/>
      <c r="C88" s="831">
        <v>188010100</v>
      </c>
      <c r="D88" s="830" t="s">
        <v>1354</v>
      </c>
      <c r="E88" s="826">
        <f>+SUMIFS(全伝票!I:I,全伝票!$C:$C,$C88)</f>
        <v>45948113</v>
      </c>
      <c r="F88" s="816"/>
      <c r="G88" s="815"/>
      <c r="H88" s="815"/>
      <c r="I88" s="815"/>
      <c r="J88" s="821"/>
      <c r="K88" s="820">
        <f>SUM(F88:J88)</f>
        <v>0</v>
      </c>
      <c r="L88" s="826">
        <f>+SUMIFS(全伝票!O:O,全伝票!$C:$C,$C88)</f>
        <v>45948113</v>
      </c>
      <c r="M88" s="825"/>
      <c r="N88" s="816"/>
      <c r="O88" s="815"/>
      <c r="P88" s="815"/>
      <c r="Q88" s="815"/>
      <c r="R88" s="815"/>
      <c r="S88" s="815">
        <f>SUM(N88:R88)</f>
        <v>0</v>
      </c>
      <c r="T88" s="824"/>
      <c r="U88" s="823">
        <f>+V88-SUM(S88:T88)</f>
        <v>0</v>
      </c>
      <c r="V88" s="822">
        <f>+SUMIFS(全伝票!P:P,全伝票!$C:$C,$C88)</f>
        <v>0</v>
      </c>
      <c r="W88" s="816">
        <f>+ROUND(F88*F$6/(100+F$6),0)+AT88</f>
        <v>0</v>
      </c>
      <c r="X88" s="815">
        <f>+ROUND(G88*G$6/(100+G$6),0)+AU88</f>
        <v>0</v>
      </c>
      <c r="Y88" s="815">
        <f>+ROUND(H88*H$6/(100+H$6),0)+AV88</f>
        <v>0</v>
      </c>
      <c r="Z88" s="815">
        <f>+ROUND(I88*I$6/(100+I$6),0)+AW88</f>
        <v>0</v>
      </c>
      <c r="AA88" s="821">
        <f>+ROUND(J88*J$6/(100+J$6),0)+AX88</f>
        <v>0</v>
      </c>
      <c r="AB88" s="820">
        <f>SUM(W88:AA88)</f>
        <v>0</v>
      </c>
      <c r="AC88" s="819">
        <f>+ROUND(N88*AC$6/(100+AC$6),0)+BI88</f>
        <v>0</v>
      </c>
      <c r="AD88" s="818">
        <f>+ROUND(O88*AD$6/(100+AD$6),0)+BJ88</f>
        <v>0</v>
      </c>
      <c r="AE88" s="818">
        <f>+ROUND(P88*AE$6/(100+AE$6),0)+BK88</f>
        <v>0</v>
      </c>
      <c r="AF88" s="818">
        <f>+ROUND(Q88*AF$6/(100+AF$6),0)+BL88</f>
        <v>0</v>
      </c>
      <c r="AG88" s="818">
        <f>+ROUND(R88*AG$6/(100+AG$6),0)+BM88</f>
        <v>0</v>
      </c>
      <c r="AH88" s="814">
        <f>SUM(AC88:AG88)</f>
        <v>0</v>
      </c>
      <c r="AI88" s="817">
        <f>+E88-AB88</f>
        <v>45948113</v>
      </c>
      <c r="AJ88" s="813">
        <f>W88-F88*W$6/(100+W$6)</f>
        <v>0</v>
      </c>
      <c r="AK88" s="813">
        <f>X88-G88*X$6/(100+X$6)</f>
        <v>0</v>
      </c>
      <c r="AL88" s="813">
        <f>Y88-H88*Y$6/(100+Y$6)</f>
        <v>0</v>
      </c>
      <c r="AM88" s="813">
        <f>Z88-I88*Z$6/(100+Z$6)</f>
        <v>0</v>
      </c>
      <c r="AN88" s="813">
        <f>AA88-J88*AA$6/(100+AA$6)</f>
        <v>0</v>
      </c>
      <c r="AO88" s="812">
        <f>+IF(W$87=0,0,IF(W$87&lt;0,-RANK(AJ88,AJ$7:AJ$84,0),RANK(AJ88,AJ$7:AJ$84,1)))</f>
        <v>0</v>
      </c>
      <c r="AP88" s="812">
        <f>+IF(X$87=0,0,IF(X$87&lt;0,-RANK(AK88,AK$7:AK$84,0),RANK(AK88,AK$7:AK$84,1)))</f>
        <v>0</v>
      </c>
      <c r="AQ88" s="812">
        <f>+IF(Y$87=0,0,IF(Y$87&lt;0,-RANK(AL88,AL$7:AL$84,0),RANK(AL88,AL$7:AL$84,1)))</f>
        <v>0</v>
      </c>
      <c r="AR88" s="812">
        <f>+IF(Z$87=0,0,IF(Z$87&lt;0,-RANK(AM88,AM$7:AM$84,0),RANK(AM88,AM$7:AM$84,1)))</f>
        <v>0</v>
      </c>
      <c r="AS88" s="812">
        <f>+IF(AA$87=0,0,IF(AA$87&lt;0,-RANK(AN88,AN$7:AN$84,0),RANK(AN88,AN$7:AN$84,1)))</f>
        <v>0</v>
      </c>
      <c r="AT88" s="811"/>
      <c r="AU88" s="811"/>
      <c r="AV88" s="811"/>
      <c r="AW88" s="811"/>
      <c r="AX88" s="811"/>
      <c r="BI88" s="811"/>
      <c r="BJ88" s="811"/>
      <c r="BK88" s="811"/>
      <c r="BL88" s="811"/>
      <c r="BM88" s="811"/>
    </row>
    <row r="89" spans="1:65" ht="15" customHeight="1">
      <c r="A89" s="848"/>
      <c r="B89" s="847"/>
      <c r="C89" s="846"/>
      <c r="D89" s="845" t="s">
        <v>1353</v>
      </c>
      <c r="E89" s="844">
        <f t="shared" ref="E89:AI89" si="273">+E90</f>
        <v>0</v>
      </c>
      <c r="F89" s="836">
        <f t="shared" si="273"/>
        <v>0</v>
      </c>
      <c r="G89" s="835">
        <f t="shared" si="273"/>
        <v>0</v>
      </c>
      <c r="H89" s="835">
        <f t="shared" si="273"/>
        <v>0</v>
      </c>
      <c r="I89" s="835">
        <f t="shared" si="273"/>
        <v>0</v>
      </c>
      <c r="J89" s="841">
        <f t="shared" si="273"/>
        <v>0</v>
      </c>
      <c r="K89" s="840">
        <f t="shared" si="273"/>
        <v>0</v>
      </c>
      <c r="L89" s="844">
        <f t="shared" si="273"/>
        <v>0</v>
      </c>
      <c r="M89" s="844">
        <f t="shared" si="273"/>
        <v>0</v>
      </c>
      <c r="N89" s="836">
        <f t="shared" si="273"/>
        <v>0</v>
      </c>
      <c r="O89" s="835">
        <f t="shared" si="273"/>
        <v>0</v>
      </c>
      <c r="P89" s="835">
        <f t="shared" si="273"/>
        <v>0</v>
      </c>
      <c r="Q89" s="835">
        <f t="shared" si="273"/>
        <v>0</v>
      </c>
      <c r="R89" s="835">
        <f t="shared" si="273"/>
        <v>0</v>
      </c>
      <c r="S89" s="835">
        <f t="shared" si="273"/>
        <v>0</v>
      </c>
      <c r="T89" s="843">
        <f t="shared" si="273"/>
        <v>0</v>
      </c>
      <c r="U89" s="842">
        <f t="shared" si="273"/>
        <v>0</v>
      </c>
      <c r="V89" s="840">
        <f t="shared" si="273"/>
        <v>0</v>
      </c>
      <c r="W89" s="836">
        <f t="shared" si="273"/>
        <v>0</v>
      </c>
      <c r="X89" s="835">
        <f t="shared" si="273"/>
        <v>0</v>
      </c>
      <c r="Y89" s="835">
        <f t="shared" si="273"/>
        <v>0</v>
      </c>
      <c r="Z89" s="835">
        <f t="shared" si="273"/>
        <v>0</v>
      </c>
      <c r="AA89" s="841">
        <f t="shared" si="273"/>
        <v>0</v>
      </c>
      <c r="AB89" s="840">
        <f t="shared" si="273"/>
        <v>0</v>
      </c>
      <c r="AC89" s="839">
        <f t="shared" si="273"/>
        <v>0</v>
      </c>
      <c r="AD89" s="838">
        <f t="shared" si="273"/>
        <v>0</v>
      </c>
      <c r="AE89" s="838">
        <f t="shared" si="273"/>
        <v>0</v>
      </c>
      <c r="AF89" s="838">
        <f t="shared" si="273"/>
        <v>0</v>
      </c>
      <c r="AG89" s="838">
        <f t="shared" si="273"/>
        <v>0</v>
      </c>
      <c r="AH89" s="834">
        <f t="shared" si="273"/>
        <v>0</v>
      </c>
      <c r="AI89" s="837">
        <f t="shared" si="273"/>
        <v>0</v>
      </c>
      <c r="AJ89" s="813"/>
      <c r="AK89" s="813"/>
      <c r="AL89" s="813"/>
      <c r="AM89" s="813"/>
      <c r="AN89" s="813"/>
      <c r="AO89" s="812"/>
      <c r="AP89" s="812"/>
      <c r="AQ89" s="812"/>
      <c r="AR89" s="812"/>
      <c r="AS89" s="812"/>
      <c r="AT89" s="811"/>
      <c r="AU89" s="811"/>
      <c r="AV89" s="811"/>
      <c r="AW89" s="811"/>
      <c r="AX89" s="811"/>
      <c r="BI89" s="811"/>
      <c r="BJ89" s="811"/>
      <c r="BK89" s="811"/>
      <c r="BL89" s="811"/>
      <c r="BM89" s="811"/>
    </row>
    <row r="90" spans="1:65" ht="15" customHeight="1" thickBot="1">
      <c r="A90" s="833"/>
      <c r="B90" s="832"/>
      <c r="C90" s="831">
        <v>190030300</v>
      </c>
      <c r="D90" s="830" t="s">
        <v>1352</v>
      </c>
      <c r="E90" s="826">
        <f>+SUMIFS(全伝票!I:I,全伝票!$C:$C,$C90)</f>
        <v>0</v>
      </c>
      <c r="F90" s="829">
        <f>+SUMIFS(全伝票!J:J,全伝票!$C:$C,$C90)</f>
        <v>0</v>
      </c>
      <c r="G90" s="828">
        <f>+SUMIFS(全伝票!K:K,全伝票!$C:$C,$C90)</f>
        <v>0</v>
      </c>
      <c r="H90" s="828">
        <f>+SUMIFS(全伝票!L:L,全伝票!$C:$C,$C90)</f>
        <v>0</v>
      </c>
      <c r="I90" s="828">
        <f>+SUMIFS(全伝票!M:M,全伝票!$C:$C,$C90)</f>
        <v>0</v>
      </c>
      <c r="J90" s="827">
        <f>+SUMIFS(全伝票!N:N,全伝票!$C:$C,$C90)</f>
        <v>0</v>
      </c>
      <c r="K90" s="820">
        <f>SUM(F90:J90)</f>
        <v>0</v>
      </c>
      <c r="L90" s="826">
        <f>+SUMIFS(全伝票!O:O,全伝票!$C:$C,$C90)</f>
        <v>0</v>
      </c>
      <c r="M90" s="825"/>
      <c r="N90" s="816"/>
      <c r="O90" s="815"/>
      <c r="P90" s="815"/>
      <c r="Q90" s="815"/>
      <c r="R90" s="815"/>
      <c r="S90" s="815">
        <f>SUM(N90:R90)</f>
        <v>0</v>
      </c>
      <c r="T90" s="824"/>
      <c r="U90" s="823">
        <f>+V90-SUM(S90:T90)</f>
        <v>0</v>
      </c>
      <c r="V90" s="822">
        <f>+SUMIFS(全伝票!P:P,全伝票!$C:$C,$C90)</f>
        <v>0</v>
      </c>
      <c r="W90" s="816">
        <f>+ROUND(F90*F$6/(100+F$6),0)+AT90</f>
        <v>0</v>
      </c>
      <c r="X90" s="815">
        <f>+ROUND(G90*G$6/(100+G$6),0)+AU90</f>
        <v>0</v>
      </c>
      <c r="Y90" s="815">
        <f>+ROUND(H90*H$6/(100+H$6),0)+AV90</f>
        <v>0</v>
      </c>
      <c r="Z90" s="815">
        <f>+ROUND(I90*I$6/(100+I$6),0)+AW90</f>
        <v>0</v>
      </c>
      <c r="AA90" s="821">
        <f>+ROUND(J90*J$6/(100+J$6),0)+AX90</f>
        <v>0</v>
      </c>
      <c r="AB90" s="820">
        <f>SUM(W90:AA90)</f>
        <v>0</v>
      </c>
      <c r="AC90" s="819">
        <f>+ROUND(N90*AC$6/(100+AC$6),0)+BI90</f>
        <v>0</v>
      </c>
      <c r="AD90" s="818">
        <f>+ROUND(O90*AD$6/(100+AD$6),0)+BJ90</f>
        <v>0</v>
      </c>
      <c r="AE90" s="818">
        <f>+ROUND(P90*AE$6/(100+AE$6),0)+BK90</f>
        <v>0</v>
      </c>
      <c r="AF90" s="818">
        <f>+ROUND(Q90*AF$6/(100+AF$6),0)+BL90</f>
        <v>0</v>
      </c>
      <c r="AG90" s="818">
        <f>+ROUND(R90*AG$6/(100+AG$6),0)+BM90</f>
        <v>0</v>
      </c>
      <c r="AH90" s="814">
        <f>SUM(AC90:AG90)</f>
        <v>0</v>
      </c>
      <c r="AI90" s="817">
        <f>+E90-AB90</f>
        <v>0</v>
      </c>
      <c r="AJ90" s="813">
        <f>W90-F90*W$6/(100+W$6)</f>
        <v>0</v>
      </c>
      <c r="AK90" s="813">
        <f>X90-G90*X$6/(100+X$6)</f>
        <v>0</v>
      </c>
      <c r="AL90" s="813">
        <f>Y90-H90*Y$6/(100+Y$6)</f>
        <v>0</v>
      </c>
      <c r="AM90" s="813">
        <f>Z90-I90*Z$6/(100+Z$6)</f>
        <v>0</v>
      </c>
      <c r="AN90" s="813">
        <f>AA90-J90*AA$6/(100+AA$6)</f>
        <v>0</v>
      </c>
      <c r="AO90" s="812">
        <f>+IF(W$87=0,0,IF(W$87&lt;0,-RANK(AJ90,AJ$7:AJ$84,0),RANK(AJ90,AJ$7:AJ$84,1)))</f>
        <v>0</v>
      </c>
      <c r="AP90" s="812">
        <f>+IF(X$87=0,0,IF(X$87&lt;0,-RANK(AK90,AK$7:AK$84,0),RANK(AK90,AK$7:AK$84,1)))</f>
        <v>0</v>
      </c>
      <c r="AQ90" s="812">
        <f>+IF(Y$87=0,0,IF(Y$87&lt;0,-RANK(AL90,AL$7:AL$84,0),RANK(AL90,AL$7:AL$84,1)))</f>
        <v>0</v>
      </c>
      <c r="AR90" s="812">
        <f>+IF(Z$87=0,0,IF(Z$87&lt;0,-RANK(AM90,AM$7:AM$84,0),RANK(AM90,AM$7:AM$84,1)))</f>
        <v>0</v>
      </c>
      <c r="AS90" s="812">
        <f>+IF(AA$87=0,0,IF(AA$87&lt;0,-RANK(AN90,AN$7:AN$84,0),RANK(AN90,AN$7:AN$84,1)))</f>
        <v>0</v>
      </c>
      <c r="AT90" s="811"/>
      <c r="AU90" s="811"/>
      <c r="AV90" s="811"/>
      <c r="AW90" s="811"/>
      <c r="AX90" s="811"/>
      <c r="BI90" s="811"/>
      <c r="BJ90" s="811"/>
      <c r="BK90" s="811"/>
      <c r="BL90" s="811"/>
      <c r="BM90" s="811"/>
    </row>
    <row r="91" spans="1:65" ht="15" customHeight="1" thickTop="1">
      <c r="A91" s="810"/>
      <c r="B91" s="809"/>
      <c r="C91" s="808"/>
      <c r="D91" s="807" t="s">
        <v>1351</v>
      </c>
      <c r="E91" s="805">
        <f>+SUM(E7,E21,E23,E35,E37,E42,E55,E87,E89)</f>
        <v>42025205141</v>
      </c>
      <c r="F91" s="804">
        <f t="shared" ref="F91:AI91" si="274">+SUM(F7,F21,F23,F35,F37,F42,F55,F87,F89)</f>
        <v>0</v>
      </c>
      <c r="G91" s="802">
        <f t="shared" si="274"/>
        <v>0</v>
      </c>
      <c r="H91" s="802">
        <f t="shared" si="274"/>
        <v>0</v>
      </c>
      <c r="I91" s="802">
        <f t="shared" ref="I91" si="275">+SUM(I7,I21,I23,I35,I37,I42,I55,I87,I89)</f>
        <v>0</v>
      </c>
      <c r="J91" s="806">
        <f t="shared" si="274"/>
        <v>39691410</v>
      </c>
      <c r="K91" s="796">
        <f t="shared" si="274"/>
        <v>39691410</v>
      </c>
      <c r="L91" s="805">
        <f t="shared" si="274"/>
        <v>45948113</v>
      </c>
      <c r="M91" s="805">
        <f t="shared" si="274"/>
        <v>0</v>
      </c>
      <c r="N91" s="804">
        <f t="shared" si="274"/>
        <v>0</v>
      </c>
      <c r="O91" s="802">
        <f t="shared" si="274"/>
        <v>131982078</v>
      </c>
      <c r="P91" s="802">
        <f t="shared" si="274"/>
        <v>1246904</v>
      </c>
      <c r="Q91" s="802">
        <f t="shared" ref="Q91" si="276">+SUM(Q7,Q21,Q23,Q35,Q37,Q42,Q55,Q87,Q89)</f>
        <v>99</v>
      </c>
      <c r="R91" s="802">
        <f t="shared" si="274"/>
        <v>5972404802</v>
      </c>
      <c r="S91" s="802">
        <f t="shared" si="274"/>
        <v>6105633883</v>
      </c>
      <c r="T91" s="803">
        <f t="shared" si="274"/>
        <v>171140184</v>
      </c>
      <c r="U91" s="802">
        <f t="shared" si="274"/>
        <v>35662791551</v>
      </c>
      <c r="V91" s="801">
        <f>+SUM(V7,V21,V23,V35,V37,V42,V55,V87,V89)</f>
        <v>41939565618</v>
      </c>
      <c r="W91" s="798">
        <f t="shared" si="274"/>
        <v>0</v>
      </c>
      <c r="X91" s="797">
        <f t="shared" si="274"/>
        <v>0</v>
      </c>
      <c r="Y91" s="797">
        <f t="shared" si="274"/>
        <v>0</v>
      </c>
      <c r="Z91" s="797">
        <f t="shared" ref="Z91" si="277">+SUM(Z7,Z21,Z23,Z35,Z37,Z42,Z55,Z87,Z89)</f>
        <v>0</v>
      </c>
      <c r="AA91" s="800">
        <f t="shared" si="274"/>
        <v>3608310</v>
      </c>
      <c r="AB91" s="796">
        <f t="shared" si="274"/>
        <v>3608310</v>
      </c>
      <c r="AC91" s="798">
        <f t="shared" si="274"/>
        <v>0</v>
      </c>
      <c r="AD91" s="797">
        <f t="shared" si="274"/>
        <v>6284860</v>
      </c>
      <c r="AE91" s="797">
        <f t="shared" si="274"/>
        <v>92363</v>
      </c>
      <c r="AF91" s="797">
        <f t="shared" ref="AF91" si="278">+SUM(AF7,AF21,AF23,AF35,AF37,AF42,AF55,AF87,AF89)</f>
        <v>7</v>
      </c>
      <c r="AG91" s="797">
        <f t="shared" si="274"/>
        <v>542945891</v>
      </c>
      <c r="AH91" s="796">
        <f t="shared" si="274"/>
        <v>549323121</v>
      </c>
      <c r="AI91" s="799">
        <f t="shared" si="274"/>
        <v>42021596831</v>
      </c>
      <c r="AJ91" s="781"/>
      <c r="AK91" s="781"/>
      <c r="AL91" s="781"/>
      <c r="AM91" s="781"/>
      <c r="AN91" s="781"/>
      <c r="AO91" s="780"/>
    </row>
    <row r="92" spans="1:65" ht="15" customHeight="1">
      <c r="A92" s="795"/>
      <c r="B92" s="794"/>
      <c r="C92" s="793"/>
      <c r="D92" s="792" t="s">
        <v>1350</v>
      </c>
      <c r="E92" s="785">
        <f t="shared" ref="E92:J92" si="279">+E91</f>
        <v>42025205141</v>
      </c>
      <c r="F92" s="788">
        <f t="shared" si="279"/>
        <v>0</v>
      </c>
      <c r="G92" s="787">
        <f t="shared" si="279"/>
        <v>0</v>
      </c>
      <c r="H92" s="787">
        <f t="shared" si="279"/>
        <v>0</v>
      </c>
      <c r="I92" s="787">
        <f t="shared" si="279"/>
        <v>0</v>
      </c>
      <c r="J92" s="791">
        <f t="shared" si="279"/>
        <v>39691410</v>
      </c>
      <c r="K92" s="783">
        <f>SUM(F92:J92)</f>
        <v>39691410</v>
      </c>
      <c r="L92" s="785">
        <f t="shared" ref="L92:R92" si="280">+L91</f>
        <v>45948113</v>
      </c>
      <c r="M92" s="785">
        <f t="shared" si="280"/>
        <v>0</v>
      </c>
      <c r="N92" s="788">
        <f t="shared" si="280"/>
        <v>0</v>
      </c>
      <c r="O92" s="787">
        <f t="shared" si="280"/>
        <v>131982078</v>
      </c>
      <c r="P92" s="787">
        <f t="shared" si="280"/>
        <v>1246904</v>
      </c>
      <c r="Q92" s="787">
        <f t="shared" ref="Q92" si="281">+Q91</f>
        <v>99</v>
      </c>
      <c r="R92" s="787">
        <f t="shared" si="280"/>
        <v>5972404802</v>
      </c>
      <c r="S92" s="787">
        <f>SUM(N92:R92)</f>
        <v>6105633883</v>
      </c>
      <c r="T92" s="790">
        <f>+T91</f>
        <v>171140184</v>
      </c>
      <c r="U92" s="787">
        <f>+U91</f>
        <v>35662791551</v>
      </c>
      <c r="V92" s="786">
        <f>+V91</f>
        <v>41939565618</v>
      </c>
      <c r="W92" s="788">
        <f>+ROUNDDOWN(F92*F$6/(100+F$6),0)</f>
        <v>0</v>
      </c>
      <c r="X92" s="784">
        <f>+ROUNDDOWN(G92*G$6/(100+G$6),0)</f>
        <v>0</v>
      </c>
      <c r="Y92" s="784">
        <f>+ROUNDDOWN(H92*H$6/(100+H$6),0)</f>
        <v>0</v>
      </c>
      <c r="Z92" s="784">
        <f>+ROUNDDOWN(I92*I$6/(100+I$6),0)</f>
        <v>0</v>
      </c>
      <c r="AA92" s="789">
        <f>+ROUNDDOWN(J92*J$6/(100+J$6),0)</f>
        <v>3608310</v>
      </c>
      <c r="AB92" s="783">
        <f>SUM(W92:AA92)</f>
        <v>3608310</v>
      </c>
      <c r="AC92" s="926">
        <f>+消費税!AA$86</f>
        <v>0</v>
      </c>
      <c r="AD92" s="927">
        <f>+消費税!AB$91</f>
        <v>6284860</v>
      </c>
      <c r="AE92" s="927">
        <f>+消費税!AC$91</f>
        <v>92363</v>
      </c>
      <c r="AF92" s="927">
        <f>+消費税!AD$91</f>
        <v>7</v>
      </c>
      <c r="AG92" s="927">
        <f>+消費税!AE$91</f>
        <v>542945891</v>
      </c>
      <c r="AH92" s="786">
        <f>SUM(AC92:AG92)</f>
        <v>549323121</v>
      </c>
      <c r="AI92" s="785">
        <f>+E92-AB92</f>
        <v>42021596831</v>
      </c>
      <c r="AJ92" s="781"/>
      <c r="AK92" s="781"/>
      <c r="AL92" s="781"/>
      <c r="AM92" s="781"/>
      <c r="AN92" s="781"/>
      <c r="AO92" s="780"/>
    </row>
    <row r="93" spans="1:65" ht="15" customHeight="1">
      <c r="E93" s="782">
        <f t="shared" ref="E93:AI93" si="282">+E92-E91</f>
        <v>0</v>
      </c>
      <c r="F93" s="782">
        <f t="shared" si="282"/>
        <v>0</v>
      </c>
      <c r="G93" s="782">
        <f t="shared" si="282"/>
        <v>0</v>
      </c>
      <c r="H93" s="782">
        <f t="shared" si="282"/>
        <v>0</v>
      </c>
      <c r="I93" s="782">
        <f t="shared" ref="I93" si="283">+I92-I91</f>
        <v>0</v>
      </c>
      <c r="J93" s="782">
        <f t="shared" si="282"/>
        <v>0</v>
      </c>
      <c r="K93" s="782">
        <f t="shared" si="282"/>
        <v>0</v>
      </c>
      <c r="L93" s="782">
        <f t="shared" si="282"/>
        <v>0</v>
      </c>
      <c r="M93" s="782">
        <f t="shared" si="282"/>
        <v>0</v>
      </c>
      <c r="N93" s="782">
        <f t="shared" si="282"/>
        <v>0</v>
      </c>
      <c r="O93" s="782">
        <f t="shared" si="282"/>
        <v>0</v>
      </c>
      <c r="P93" s="782">
        <f t="shared" si="282"/>
        <v>0</v>
      </c>
      <c r="Q93" s="782">
        <f t="shared" ref="Q93" si="284">+Q92-Q91</f>
        <v>0</v>
      </c>
      <c r="R93" s="782">
        <f t="shared" si="282"/>
        <v>0</v>
      </c>
      <c r="S93" s="782">
        <f t="shared" si="282"/>
        <v>0</v>
      </c>
      <c r="T93" s="782">
        <f t="shared" si="282"/>
        <v>0</v>
      </c>
      <c r="U93" s="782">
        <f t="shared" si="282"/>
        <v>0</v>
      </c>
      <c r="V93" s="782">
        <f t="shared" si="282"/>
        <v>0</v>
      </c>
      <c r="W93" s="782">
        <f t="shared" si="282"/>
        <v>0</v>
      </c>
      <c r="X93" s="782">
        <f t="shared" si="282"/>
        <v>0</v>
      </c>
      <c r="Y93" s="782">
        <f t="shared" si="282"/>
        <v>0</v>
      </c>
      <c r="Z93" s="782">
        <f t="shared" ref="Z93" si="285">+Z92-Z91</f>
        <v>0</v>
      </c>
      <c r="AA93" s="782">
        <f t="shared" si="282"/>
        <v>0</v>
      </c>
      <c r="AB93" s="782">
        <f t="shared" si="282"/>
        <v>0</v>
      </c>
      <c r="AC93" s="782">
        <f t="shared" si="282"/>
        <v>0</v>
      </c>
      <c r="AD93" s="782">
        <f t="shared" si="282"/>
        <v>0</v>
      </c>
      <c r="AE93" s="782">
        <f t="shared" si="282"/>
        <v>0</v>
      </c>
      <c r="AF93" s="782">
        <f t="shared" ref="AF93" si="286">+AF92-AF91</f>
        <v>0</v>
      </c>
      <c r="AG93" s="782">
        <f t="shared" si="282"/>
        <v>0</v>
      </c>
      <c r="AH93" s="782">
        <f t="shared" si="282"/>
        <v>0</v>
      </c>
      <c r="AI93" s="782">
        <f t="shared" si="282"/>
        <v>0</v>
      </c>
      <c r="AJ93" s="781" t="str">
        <f t="shared" ref="AJ93:AM95" si="287">+IF(F93=0,"",ROUND(F93*F$6/(100+F$6),7)-W93)</f>
        <v/>
      </c>
      <c r="AK93" s="781" t="str">
        <f t="shared" si="287"/>
        <v/>
      </c>
      <c r="AL93" s="781" t="str">
        <f t="shared" si="287"/>
        <v/>
      </c>
      <c r="AM93" s="781" t="str">
        <f t="shared" si="287"/>
        <v/>
      </c>
      <c r="AN93" s="781" t="str">
        <f>+IF(J93=0,"",ROUND(J93*J$6/(100+J$6),7)-AA93)</f>
        <v/>
      </c>
      <c r="AO93" s="780" t="str">
        <f>+IF(SUM(AJ93:AN93)=0,"",SUM(AJ93:AN93))</f>
        <v/>
      </c>
    </row>
    <row r="94" spans="1:65" ht="15" customHeight="1">
      <c r="AJ94" s="781" t="str">
        <f t="shared" si="287"/>
        <v/>
      </c>
      <c r="AK94" s="781" t="str">
        <f t="shared" si="287"/>
        <v/>
      </c>
      <c r="AL94" s="781" t="str">
        <f t="shared" si="287"/>
        <v/>
      </c>
      <c r="AM94" s="781"/>
      <c r="AN94" s="781" t="str">
        <f>+IF(J94=0,"",ROUND(J94*J$6/(100+J$6),7)-AA94)</f>
        <v/>
      </c>
      <c r="AO94" s="780" t="str">
        <f>+IF(SUM(AJ94:AN94)=0,"",SUM(AJ94:AN94))</f>
        <v/>
      </c>
    </row>
    <row r="95" spans="1:65" ht="15" customHeight="1">
      <c r="AJ95" s="781" t="str">
        <f t="shared" si="287"/>
        <v/>
      </c>
      <c r="AK95" s="781" t="str">
        <f t="shared" si="287"/>
        <v/>
      </c>
      <c r="AL95" s="781" t="str">
        <f t="shared" si="287"/>
        <v/>
      </c>
      <c r="AM95" s="781"/>
      <c r="AN95" s="781" t="str">
        <f>+IF(J95=0,"",ROUND(J95*J$6/(100+J$6),7)-AA95)</f>
        <v/>
      </c>
      <c r="AO95" s="780" t="str">
        <f>+IF(SUM(AJ95:AN95)=0,"",SUM(AJ95:AN95))</f>
        <v/>
      </c>
    </row>
    <row r="96" spans="1:65" ht="15" customHeight="1">
      <c r="D96" s="779"/>
    </row>
    <row r="97" spans="4:9" ht="15" customHeight="1">
      <c r="D97" s="779"/>
    </row>
    <row r="98" spans="4:9" ht="15" customHeight="1">
      <c r="D98" s="928"/>
      <c r="E98" s="782"/>
      <c r="F98" s="782"/>
      <c r="G98" s="782"/>
      <c r="H98" s="782"/>
      <c r="I98" s="782"/>
    </row>
    <row r="99" spans="4:9" ht="15" customHeight="1">
      <c r="E99" s="782"/>
      <c r="F99" s="782"/>
      <c r="G99" s="782"/>
    </row>
    <row r="100" spans="4:9" ht="15" customHeight="1">
      <c r="E100" s="782"/>
      <c r="F100" s="782"/>
      <c r="G100" s="782"/>
      <c r="H100" s="778"/>
      <c r="I100" s="778"/>
    </row>
    <row r="101" spans="4:9" ht="15" customHeight="1">
      <c r="E101" s="782"/>
      <c r="F101" s="782"/>
      <c r="G101" s="782"/>
    </row>
    <row r="102" spans="4:9" ht="15" customHeight="1">
      <c r="E102" s="782"/>
      <c r="F102" s="782"/>
      <c r="G102" s="782"/>
      <c r="H102" s="782"/>
      <c r="I102" s="782"/>
    </row>
    <row r="103" spans="4:9" ht="15" customHeight="1">
      <c r="E103" s="782"/>
      <c r="F103" s="782"/>
      <c r="G103" s="782"/>
    </row>
    <row r="104" spans="4:9" ht="15" customHeight="1">
      <c r="E104" s="782"/>
      <c r="F104" s="782"/>
      <c r="G104" s="782"/>
    </row>
    <row r="105" spans="4:9" ht="15" customHeight="1">
      <c r="E105" s="782"/>
      <c r="F105" s="782"/>
      <c r="G105" s="782"/>
    </row>
    <row r="106" spans="4:9" ht="15" customHeight="1">
      <c r="E106" s="782"/>
      <c r="F106" s="782"/>
      <c r="G106" s="782"/>
      <c r="H106" s="782"/>
      <c r="I106" s="782"/>
    </row>
    <row r="107" spans="4:9" ht="15" customHeight="1">
      <c r="E107" s="782"/>
      <c r="F107" s="782"/>
      <c r="G107" s="782"/>
    </row>
    <row r="108" spans="4:9" ht="15" customHeight="1">
      <c r="E108" s="782"/>
      <c r="F108" s="782"/>
      <c r="G108" s="782"/>
    </row>
    <row r="109" spans="4:9" ht="15" customHeight="1">
      <c r="E109" s="782"/>
      <c r="F109" s="782"/>
      <c r="G109" s="782"/>
    </row>
    <row r="110" spans="4:9" ht="15" customHeight="1">
      <c r="E110" s="782"/>
      <c r="F110" s="782"/>
      <c r="G110" s="782"/>
    </row>
  </sheetData>
  <mergeCells count="25">
    <mergeCell ref="AY3:BM4"/>
    <mergeCell ref="AY5:BC5"/>
    <mergeCell ref="BD5:BH5"/>
    <mergeCell ref="BI5:BM5"/>
    <mergeCell ref="U4:U6"/>
    <mergeCell ref="AJ5:AN5"/>
    <mergeCell ref="AO5:AS5"/>
    <mergeCell ref="AT5:AX5"/>
    <mergeCell ref="AJ3:AX4"/>
    <mergeCell ref="AC3:AH5"/>
    <mergeCell ref="AI3:AI6"/>
    <mergeCell ref="A3:A6"/>
    <mergeCell ref="B3:B6"/>
    <mergeCell ref="C3:C6"/>
    <mergeCell ref="D3:D6"/>
    <mergeCell ref="E3:E6"/>
    <mergeCell ref="F3:K5"/>
    <mergeCell ref="W3:AB5"/>
    <mergeCell ref="N5:S5"/>
    <mergeCell ref="T5:T6"/>
    <mergeCell ref="V5:V6"/>
    <mergeCell ref="L3:L6"/>
    <mergeCell ref="N3:V3"/>
    <mergeCell ref="M3:M6"/>
    <mergeCell ref="N4:T4"/>
  </mergeCells>
  <phoneticPr fontId="2"/>
  <conditionalFormatting sqref="AT7:AX38 BI7:BM38 AP91:AT95">
    <cfRule type="notContainsBlanks" dxfId="434" priority="171" stopIfTrue="1">
      <formula>LEN(TRIM(AP7))&gt;0</formula>
    </cfRule>
  </conditionalFormatting>
  <conditionalFormatting sqref="AO8:AS38">
    <cfRule type="expression" dxfId="433" priority="143">
      <formula>ABS(AO8)=1</formula>
    </cfRule>
  </conditionalFormatting>
  <conditionalFormatting sqref="AO42:AO46 AO50:AO51 AO63 AO67 AO71:AO90 AP10:AS15 AP17:AS20 AP22:AS22 AP25:AS30 AP32:AS34 AP36:AS36 AP38:AS38 AP44:AS44 AP51:AS51 AP57:AS57 AO55:AO59">
    <cfRule type="expression" dxfId="432" priority="170">
      <formula>ABS(AO10)=1</formula>
    </cfRule>
  </conditionalFormatting>
  <conditionalFormatting sqref="AT42:AX46 AT50:AX51 AU47:AX49 AT63:AX63 AT67:AX67 AT71:AX90 AT55:AX59">
    <cfRule type="notContainsBlanks" dxfId="431" priority="169" stopIfTrue="1">
      <formula>LEN(TRIM(AT42))&gt;0</formula>
    </cfRule>
  </conditionalFormatting>
  <conditionalFormatting sqref="AP42:AS46 AP50:AS51 AP63:AS63 AP67:AS67 AP71:AS90 AP55:AS59">
    <cfRule type="expression" dxfId="430" priority="168">
      <formula>ABS(AP42)=1</formula>
    </cfRule>
  </conditionalFormatting>
  <conditionalFormatting sqref="AT42:AT46 AT50:AT51 AT63 AT67 AT71:AT90 AT55:AT59">
    <cfRule type="notContainsBlanks" dxfId="429" priority="167" stopIfTrue="1">
      <formula>LEN(TRIM(AT42))&gt;0</formula>
    </cfRule>
  </conditionalFormatting>
  <conditionalFormatting sqref="AT42:AX46 AT50:AX51 AU47:AX49 AT63:AX63 AT67:AX67 AT71:AX90 AT55:AX59">
    <cfRule type="notContainsBlanks" dxfId="428" priority="166" stopIfTrue="1">
      <formula>LEN(TRIM(AT42))&gt;0</formula>
    </cfRule>
  </conditionalFormatting>
  <conditionalFormatting sqref="AO7:AS7">
    <cfRule type="expression" dxfId="427" priority="165">
      <formula>ABS(AO7)=1</formula>
    </cfRule>
  </conditionalFormatting>
  <conditionalFormatting sqref="AO42:AS46 AO50:AS51 AO63:AS63 AO67:AS67 AO71:AS90 AO55:AS59">
    <cfRule type="expression" dxfId="426" priority="164">
      <formula>ABS(AO42)=1</formula>
    </cfRule>
  </conditionalFormatting>
  <conditionalFormatting sqref="BD38:BH38">
    <cfRule type="expression" dxfId="425" priority="163">
      <formula>ABS(BD38)=1</formula>
    </cfRule>
  </conditionalFormatting>
  <conditionalFormatting sqref="BE38:BH38">
    <cfRule type="expression" dxfId="424" priority="162">
      <formula>ABS(BE38)=1</formula>
    </cfRule>
  </conditionalFormatting>
  <conditionalFormatting sqref="BD38:BH38">
    <cfRule type="expression" dxfId="423" priority="161">
      <formula>ABS(BD38)=1</formula>
    </cfRule>
  </conditionalFormatting>
  <conditionalFormatting sqref="BD25:BH30">
    <cfRule type="expression" dxfId="422" priority="160">
      <formula>ABS(BD25)=1</formula>
    </cfRule>
  </conditionalFormatting>
  <conditionalFormatting sqref="BD25:BH30">
    <cfRule type="expression" dxfId="421" priority="159">
      <formula>ABS(BD25)=1</formula>
    </cfRule>
  </conditionalFormatting>
  <conditionalFormatting sqref="BD25:BH30">
    <cfRule type="expression" dxfId="420" priority="158">
      <formula>ABS(BD25)=1</formula>
    </cfRule>
  </conditionalFormatting>
  <conditionalFormatting sqref="BD26:BH30">
    <cfRule type="expression" dxfId="419" priority="157">
      <formula>ABS(BD26)=1</formula>
    </cfRule>
  </conditionalFormatting>
  <conditionalFormatting sqref="BE26:BH30">
    <cfRule type="expression" dxfId="418" priority="156">
      <formula>ABS(BE26)=1</formula>
    </cfRule>
  </conditionalFormatting>
  <conditionalFormatting sqref="BD26:BH30">
    <cfRule type="expression" dxfId="417" priority="155">
      <formula>ABS(BD26)=1</formula>
    </cfRule>
  </conditionalFormatting>
  <conditionalFormatting sqref="BD36:BH36">
    <cfRule type="expression" dxfId="416" priority="151">
      <formula>ABS(BD36)=1</formula>
    </cfRule>
  </conditionalFormatting>
  <conditionalFormatting sqref="BD36:BH36">
    <cfRule type="expression" dxfId="415" priority="150">
      <formula>ABS(BD36)=1</formula>
    </cfRule>
  </conditionalFormatting>
  <conditionalFormatting sqref="BD36:BH36">
    <cfRule type="expression" dxfId="414" priority="149">
      <formula>ABS(BD36)=1</formula>
    </cfRule>
  </conditionalFormatting>
  <conditionalFormatting sqref="BD43:BH43">
    <cfRule type="expression" dxfId="413" priority="148">
      <formula>ABS(BD43)=1</formula>
    </cfRule>
  </conditionalFormatting>
  <conditionalFormatting sqref="BD43:BH43">
    <cfRule type="expression" dxfId="412" priority="147">
      <formula>ABS(BD43)=1</formula>
    </cfRule>
  </conditionalFormatting>
  <conditionalFormatting sqref="BD43:BH43">
    <cfRule type="expression" dxfId="411" priority="146">
      <formula>ABS(BD43)=1</formula>
    </cfRule>
  </conditionalFormatting>
  <conditionalFormatting sqref="BD51:BH51">
    <cfRule type="expression" dxfId="410" priority="142">
      <formula>ABS(BD51)=1</formula>
    </cfRule>
  </conditionalFormatting>
  <conditionalFormatting sqref="BD51:BH51">
    <cfRule type="expression" dxfId="409" priority="141">
      <formula>ABS(BD51)=1</formula>
    </cfRule>
  </conditionalFormatting>
  <conditionalFormatting sqref="BD51:BH51">
    <cfRule type="expression" dxfId="408" priority="140">
      <formula>ABS(BD51)=1</formula>
    </cfRule>
  </conditionalFormatting>
  <conditionalFormatting sqref="BI42:BM51 BI63:BM63 BI67:BM67 BI71:BM90 BI55:BM59">
    <cfRule type="notContainsBlanks" dxfId="407" priority="139" stopIfTrue="1">
      <formula>LEN(TRIM(BI42))&gt;0</formula>
    </cfRule>
  </conditionalFormatting>
  <conditionalFormatting sqref="BI42:BM51 BI63:BM63 BI67:BM67 BI71:BM90 BI55:BM59">
    <cfRule type="notContainsBlanks" dxfId="406" priority="138" stopIfTrue="1">
      <formula>LEN(TRIM(BI42))&gt;0</formula>
    </cfRule>
  </conditionalFormatting>
  <conditionalFormatting sqref="BI42:BM51 BI63:BM63 BI67:BM67 BI71:BM90 BI55:BM59">
    <cfRule type="notContainsBlanks" dxfId="405" priority="137" stopIfTrue="1">
      <formula>LEN(TRIM(BI42))&gt;0</formula>
    </cfRule>
  </conditionalFormatting>
  <conditionalFormatting sqref="BD39:BH39">
    <cfRule type="expression" dxfId="404" priority="116">
      <formula>ABS(BD39)=1</formula>
    </cfRule>
  </conditionalFormatting>
  <conditionalFormatting sqref="AT39:AX39 AU40:AX41">
    <cfRule type="notContainsBlanks" dxfId="403" priority="123" stopIfTrue="1">
      <formula>LEN(TRIM(AT39))&gt;0</formula>
    </cfRule>
  </conditionalFormatting>
  <conditionalFormatting sqref="AT39">
    <cfRule type="notContainsBlanks" dxfId="402" priority="121" stopIfTrue="1">
      <formula>LEN(TRIM(AT39))&gt;0</formula>
    </cfRule>
  </conditionalFormatting>
  <conditionalFormatting sqref="AT39:AX39 AU40:AX41">
    <cfRule type="notContainsBlanks" dxfId="401" priority="120" stopIfTrue="1">
      <formula>LEN(TRIM(AT39))&gt;0</formula>
    </cfRule>
  </conditionalFormatting>
  <conditionalFormatting sqref="BD39:BH39">
    <cfRule type="expression" dxfId="400" priority="118">
      <formula>ABS(BD39)=1</formula>
    </cfRule>
  </conditionalFormatting>
  <conditionalFormatting sqref="BD39:BH39">
    <cfRule type="expression" dxfId="399" priority="117">
      <formula>ABS(BD39)=1</formula>
    </cfRule>
  </conditionalFormatting>
  <conditionalFormatting sqref="BI39:BM41">
    <cfRule type="notContainsBlanks" dxfId="398" priority="115" stopIfTrue="1">
      <formula>LEN(TRIM(BI39))&gt;0</formula>
    </cfRule>
  </conditionalFormatting>
  <conditionalFormatting sqref="BI39:BM41">
    <cfRule type="notContainsBlanks" dxfId="397" priority="114" stopIfTrue="1">
      <formula>LEN(TRIM(BI39))&gt;0</formula>
    </cfRule>
  </conditionalFormatting>
  <conditionalFormatting sqref="BI39:BM41">
    <cfRule type="notContainsBlanks" dxfId="396" priority="113" stopIfTrue="1">
      <formula>LEN(TRIM(BI39))&gt;0</formula>
    </cfRule>
  </conditionalFormatting>
  <conditionalFormatting sqref="BD46:BH46">
    <cfRule type="expression" dxfId="395" priority="98">
      <formula>ABS(BD46)=1</formula>
    </cfRule>
  </conditionalFormatting>
  <conditionalFormatting sqref="BD46:BH46">
    <cfRule type="expression" dxfId="394" priority="100">
      <formula>ABS(BD46)=1</formula>
    </cfRule>
  </conditionalFormatting>
  <conditionalFormatting sqref="BD46:BH46">
    <cfRule type="expression" dxfId="393" priority="99">
      <formula>ABS(BD46)=1</formula>
    </cfRule>
  </conditionalFormatting>
  <conditionalFormatting sqref="BD31:BH31">
    <cfRule type="expression" dxfId="392" priority="97">
      <formula>ABS(BD31)=1</formula>
    </cfRule>
  </conditionalFormatting>
  <conditionalFormatting sqref="BD31:BH31">
    <cfRule type="expression" dxfId="391" priority="96">
      <formula>ABS(BD31)=1</formula>
    </cfRule>
  </conditionalFormatting>
  <conditionalFormatting sqref="BD31:BH31">
    <cfRule type="expression" dxfId="390" priority="95">
      <formula>ABS(BD31)=1</formula>
    </cfRule>
  </conditionalFormatting>
  <conditionalFormatting sqref="E93:AI93">
    <cfRule type="cellIs" dxfId="389" priority="94" operator="notEqual">
      <formula>0</formula>
    </cfRule>
  </conditionalFormatting>
  <conditionalFormatting sqref="AO39:AS39">
    <cfRule type="expression" dxfId="388" priority="93">
      <formula>ABS(AO39)=1</formula>
    </cfRule>
  </conditionalFormatting>
  <conditionalFormatting sqref="AP39:AS39">
    <cfRule type="expression" dxfId="387" priority="92">
      <formula>ABS(AP39)=1</formula>
    </cfRule>
  </conditionalFormatting>
  <conditionalFormatting sqref="AO39:AS39">
    <cfRule type="expression" dxfId="386" priority="91">
      <formula>ABS(AO39)=1</formula>
    </cfRule>
  </conditionalFormatting>
  <conditionalFormatting sqref="BD44:BH44">
    <cfRule type="expression" dxfId="385" priority="90">
      <formula>ABS(BD44)=1</formula>
    </cfRule>
  </conditionalFormatting>
  <conditionalFormatting sqref="BD44:BH44">
    <cfRule type="expression" dxfId="384" priority="89">
      <formula>ABS(BD44)=1</formula>
    </cfRule>
  </conditionalFormatting>
  <conditionalFormatting sqref="BD44:BH44">
    <cfRule type="expression" dxfId="383" priority="88">
      <formula>ABS(BD44)=1</formula>
    </cfRule>
  </conditionalFormatting>
  <conditionalFormatting sqref="BD32:BH34">
    <cfRule type="expression" dxfId="382" priority="87">
      <formula>ABS(BD32)=1</formula>
    </cfRule>
  </conditionalFormatting>
  <conditionalFormatting sqref="BD32:BH34">
    <cfRule type="expression" dxfId="381" priority="86">
      <formula>ABS(BD32)=1</formula>
    </cfRule>
  </conditionalFormatting>
  <conditionalFormatting sqref="BD32:BH34">
    <cfRule type="expression" dxfId="380" priority="85">
      <formula>ABS(BD32)=1</formula>
    </cfRule>
  </conditionalFormatting>
  <conditionalFormatting sqref="BD32:BH34">
    <cfRule type="expression" dxfId="379" priority="84">
      <formula>ABS(BD32)=1</formula>
    </cfRule>
  </conditionalFormatting>
  <conditionalFormatting sqref="BE32:BH34">
    <cfRule type="expression" dxfId="378" priority="83">
      <formula>ABS(BE32)=1</formula>
    </cfRule>
  </conditionalFormatting>
  <conditionalFormatting sqref="BD32:BH34">
    <cfRule type="expression" dxfId="377" priority="82">
      <formula>ABS(BD32)=1</formula>
    </cfRule>
  </conditionalFormatting>
  <conditionalFormatting sqref="BD40:BH41">
    <cfRule type="expression" dxfId="376" priority="79">
      <formula>ABS(BD40)=1</formula>
    </cfRule>
  </conditionalFormatting>
  <conditionalFormatting sqref="BD40:BH41">
    <cfRule type="expression" dxfId="375" priority="81">
      <formula>ABS(BD40)=1</formula>
    </cfRule>
  </conditionalFormatting>
  <conditionalFormatting sqref="BD40:BH41">
    <cfRule type="expression" dxfId="374" priority="80">
      <formula>ABS(BD40)=1</formula>
    </cfRule>
  </conditionalFormatting>
  <conditionalFormatting sqref="BD47:BH49">
    <cfRule type="expression" dxfId="373" priority="76">
      <formula>ABS(BD47)=1</formula>
    </cfRule>
  </conditionalFormatting>
  <conditionalFormatting sqref="BD47:BH49">
    <cfRule type="expression" dxfId="372" priority="78">
      <formula>ABS(BD47)=1</formula>
    </cfRule>
  </conditionalFormatting>
  <conditionalFormatting sqref="BD47:BH49">
    <cfRule type="expression" dxfId="371" priority="77">
      <formula>ABS(BD47)=1</formula>
    </cfRule>
  </conditionalFormatting>
  <conditionalFormatting sqref="AT40:AT41">
    <cfRule type="notContainsBlanks" dxfId="370" priority="75" stopIfTrue="1">
      <formula>LEN(TRIM(AT40))&gt;0</formula>
    </cfRule>
  </conditionalFormatting>
  <conditionalFormatting sqref="AT40:AT41">
    <cfRule type="notContainsBlanks" dxfId="369" priority="74" stopIfTrue="1">
      <formula>LEN(TRIM(AT40))&gt;0</formula>
    </cfRule>
  </conditionalFormatting>
  <conditionalFormatting sqref="AT40:AT41">
    <cfRule type="notContainsBlanks" dxfId="368" priority="73" stopIfTrue="1">
      <formula>LEN(TRIM(AT40))&gt;0</formula>
    </cfRule>
  </conditionalFormatting>
  <conditionalFormatting sqref="AO40:AS41">
    <cfRule type="expression" dxfId="367" priority="72">
      <formula>ABS(AO40)=1</formula>
    </cfRule>
  </conditionalFormatting>
  <conditionalFormatting sqref="AP40:AS41">
    <cfRule type="expression" dxfId="366" priority="71">
      <formula>ABS(AP40)=1</formula>
    </cfRule>
  </conditionalFormatting>
  <conditionalFormatting sqref="AO40:AS41">
    <cfRule type="expression" dxfId="365" priority="70">
      <formula>ABS(AO40)=1</formula>
    </cfRule>
  </conditionalFormatting>
  <conditionalFormatting sqref="AO47:AS49">
    <cfRule type="expression" dxfId="364" priority="69">
      <formula>ABS(AO47)=1</formula>
    </cfRule>
  </conditionalFormatting>
  <conditionalFormatting sqref="AT47:AT49">
    <cfRule type="notContainsBlanks" dxfId="363" priority="68" stopIfTrue="1">
      <formula>LEN(TRIM(AT47))&gt;0</formula>
    </cfRule>
  </conditionalFormatting>
  <conditionalFormatting sqref="AP47:AS49">
    <cfRule type="expression" dxfId="362" priority="67">
      <formula>ABS(AP47)=1</formula>
    </cfRule>
  </conditionalFormatting>
  <conditionalFormatting sqref="AT47:AT49">
    <cfRule type="notContainsBlanks" dxfId="361" priority="66" stopIfTrue="1">
      <formula>LEN(TRIM(AT47))&gt;0</formula>
    </cfRule>
  </conditionalFormatting>
  <conditionalFormatting sqref="AT47:AT49">
    <cfRule type="notContainsBlanks" dxfId="360" priority="65" stopIfTrue="1">
      <formula>LEN(TRIM(AT47))&gt;0</formula>
    </cfRule>
  </conditionalFormatting>
  <conditionalFormatting sqref="AO47:AS49">
    <cfRule type="expression" dxfId="359" priority="64">
      <formula>ABS(AO47)=1</formula>
    </cfRule>
  </conditionalFormatting>
  <conditionalFormatting sqref="AO60:AO62">
    <cfRule type="expression" dxfId="358" priority="63">
      <formula>ABS(AO60)=1</formula>
    </cfRule>
  </conditionalFormatting>
  <conditionalFormatting sqref="AT60:AX62">
    <cfRule type="notContainsBlanks" dxfId="357" priority="62" stopIfTrue="1">
      <formula>LEN(TRIM(AT60))&gt;0</formula>
    </cfRule>
  </conditionalFormatting>
  <conditionalFormatting sqref="AP60:AS62">
    <cfRule type="expression" dxfId="356" priority="61">
      <formula>ABS(AP60)=1</formula>
    </cfRule>
  </conditionalFormatting>
  <conditionalFormatting sqref="AT60:AT62">
    <cfRule type="notContainsBlanks" dxfId="355" priority="60" stopIfTrue="1">
      <formula>LEN(TRIM(AT60))&gt;0</formula>
    </cfRule>
  </conditionalFormatting>
  <conditionalFormatting sqref="AT60:AX62">
    <cfRule type="notContainsBlanks" dxfId="354" priority="59" stopIfTrue="1">
      <formula>LEN(TRIM(AT60))&gt;0</formula>
    </cfRule>
  </conditionalFormatting>
  <conditionalFormatting sqref="AO60:AS62">
    <cfRule type="expression" dxfId="353" priority="58">
      <formula>ABS(AO60)=1</formula>
    </cfRule>
  </conditionalFormatting>
  <conditionalFormatting sqref="BI60:BM62">
    <cfRule type="notContainsBlanks" dxfId="352" priority="57" stopIfTrue="1">
      <formula>LEN(TRIM(BI60))&gt;0</formula>
    </cfRule>
  </conditionalFormatting>
  <conditionalFormatting sqref="BI60:BM62">
    <cfRule type="notContainsBlanks" dxfId="351" priority="56" stopIfTrue="1">
      <formula>LEN(TRIM(BI60))&gt;0</formula>
    </cfRule>
  </conditionalFormatting>
  <conditionalFormatting sqref="BI60:BM62">
    <cfRule type="notContainsBlanks" dxfId="350" priority="55" stopIfTrue="1">
      <formula>LEN(TRIM(BI60))&gt;0</formula>
    </cfRule>
  </conditionalFormatting>
  <conditionalFormatting sqref="AO64:AO66">
    <cfRule type="expression" dxfId="349" priority="54">
      <formula>ABS(AO64)=1</formula>
    </cfRule>
  </conditionalFormatting>
  <conditionalFormatting sqref="AT64:AX66">
    <cfRule type="notContainsBlanks" dxfId="348" priority="53" stopIfTrue="1">
      <formula>LEN(TRIM(AT64))&gt;0</formula>
    </cfRule>
  </conditionalFormatting>
  <conditionalFormatting sqref="AP64:AS66">
    <cfRule type="expression" dxfId="347" priority="52">
      <formula>ABS(AP64)=1</formula>
    </cfRule>
  </conditionalFormatting>
  <conditionalFormatting sqref="AT64:AT66">
    <cfRule type="notContainsBlanks" dxfId="346" priority="51" stopIfTrue="1">
      <formula>LEN(TRIM(AT64))&gt;0</formula>
    </cfRule>
  </conditionalFormatting>
  <conditionalFormatting sqref="AT64:AX66">
    <cfRule type="notContainsBlanks" dxfId="345" priority="50" stopIfTrue="1">
      <formula>LEN(TRIM(AT64))&gt;0</formula>
    </cfRule>
  </conditionalFormatting>
  <conditionalFormatting sqref="AO64:AS66">
    <cfRule type="expression" dxfId="344" priority="49">
      <formula>ABS(AO64)=1</formula>
    </cfRule>
  </conditionalFormatting>
  <conditionalFormatting sqref="BI64:BM66">
    <cfRule type="notContainsBlanks" dxfId="343" priority="48" stopIfTrue="1">
      <formula>LEN(TRIM(BI64))&gt;0</formula>
    </cfRule>
  </conditionalFormatting>
  <conditionalFormatting sqref="BI64:BM66">
    <cfRule type="notContainsBlanks" dxfId="342" priority="47" stopIfTrue="1">
      <formula>LEN(TRIM(BI64))&gt;0</formula>
    </cfRule>
  </conditionalFormatting>
  <conditionalFormatting sqref="BI64:BM66">
    <cfRule type="notContainsBlanks" dxfId="341" priority="46" stopIfTrue="1">
      <formula>LEN(TRIM(BI64))&gt;0</formula>
    </cfRule>
  </conditionalFormatting>
  <conditionalFormatting sqref="AO68:AO70">
    <cfRule type="expression" dxfId="340" priority="45">
      <formula>ABS(AO68)=1</formula>
    </cfRule>
  </conditionalFormatting>
  <conditionalFormatting sqref="AT68:AX70">
    <cfRule type="notContainsBlanks" dxfId="339" priority="44" stopIfTrue="1">
      <formula>LEN(TRIM(AT68))&gt;0</formula>
    </cfRule>
  </conditionalFormatting>
  <conditionalFormatting sqref="AP68:AS70">
    <cfRule type="expression" dxfId="338" priority="43">
      <formula>ABS(AP68)=1</formula>
    </cfRule>
  </conditionalFormatting>
  <conditionalFormatting sqref="AT68:AT70">
    <cfRule type="notContainsBlanks" dxfId="337" priority="42" stopIfTrue="1">
      <formula>LEN(TRIM(AT68))&gt;0</formula>
    </cfRule>
  </conditionalFormatting>
  <conditionalFormatting sqref="AT68:AX70">
    <cfRule type="notContainsBlanks" dxfId="336" priority="41" stopIfTrue="1">
      <formula>LEN(TRIM(AT68))&gt;0</formula>
    </cfRule>
  </conditionalFormatting>
  <conditionalFormatting sqref="AO68:AS70">
    <cfRule type="expression" dxfId="335" priority="40">
      <formula>ABS(AO68)=1</formula>
    </cfRule>
  </conditionalFormatting>
  <conditionalFormatting sqref="BI68:BM70">
    <cfRule type="notContainsBlanks" dxfId="334" priority="39" stopIfTrue="1">
      <formula>LEN(TRIM(BI68))&gt;0</formula>
    </cfRule>
  </conditionalFormatting>
  <conditionalFormatting sqref="BI68:BM70">
    <cfRule type="notContainsBlanks" dxfId="333" priority="38" stopIfTrue="1">
      <formula>LEN(TRIM(BI68))&gt;0</formula>
    </cfRule>
  </conditionalFormatting>
  <conditionalFormatting sqref="BI68:BM70">
    <cfRule type="notContainsBlanks" dxfId="332" priority="37" stopIfTrue="1">
      <formula>LEN(TRIM(BI68))&gt;0</formula>
    </cfRule>
  </conditionalFormatting>
  <conditionalFormatting sqref="AO52:AS52">
    <cfRule type="expression" dxfId="331" priority="36">
      <formula>ABS(AO52)=1</formula>
    </cfRule>
  </conditionalFormatting>
  <conditionalFormatting sqref="AT52:AX52">
    <cfRule type="notContainsBlanks" dxfId="330" priority="35" stopIfTrue="1">
      <formula>LEN(TRIM(AT52))&gt;0</formula>
    </cfRule>
  </conditionalFormatting>
  <conditionalFormatting sqref="AP52:AS52">
    <cfRule type="expression" dxfId="329" priority="34">
      <formula>ABS(AP52)=1</formula>
    </cfRule>
  </conditionalFormatting>
  <conditionalFormatting sqref="AT52">
    <cfRule type="notContainsBlanks" dxfId="328" priority="33" stopIfTrue="1">
      <formula>LEN(TRIM(AT52))&gt;0</formula>
    </cfRule>
  </conditionalFormatting>
  <conditionalFormatting sqref="AT52:AX52">
    <cfRule type="notContainsBlanks" dxfId="327" priority="32" stopIfTrue="1">
      <formula>LEN(TRIM(AT52))&gt;0</formula>
    </cfRule>
  </conditionalFormatting>
  <conditionalFormatting sqref="AO52:AS52">
    <cfRule type="expression" dxfId="326" priority="31">
      <formula>ABS(AO52)=1</formula>
    </cfRule>
  </conditionalFormatting>
  <conditionalFormatting sqref="BD52:BH52">
    <cfRule type="expression" dxfId="325" priority="30">
      <formula>ABS(BD52)=1</formula>
    </cfRule>
  </conditionalFormatting>
  <conditionalFormatting sqref="BD52:BH52">
    <cfRule type="expression" dxfId="324" priority="29">
      <formula>ABS(BD52)=1</formula>
    </cfRule>
  </conditionalFormatting>
  <conditionalFormatting sqref="BD52:BH52">
    <cfRule type="expression" dxfId="323" priority="28">
      <formula>ABS(BD52)=1</formula>
    </cfRule>
  </conditionalFormatting>
  <conditionalFormatting sqref="BI52:BM52">
    <cfRule type="notContainsBlanks" dxfId="322" priority="27" stopIfTrue="1">
      <formula>LEN(TRIM(BI52))&gt;0</formula>
    </cfRule>
  </conditionalFormatting>
  <conditionalFormatting sqref="BI52:BM52">
    <cfRule type="notContainsBlanks" dxfId="321" priority="26" stopIfTrue="1">
      <formula>LEN(TRIM(BI52))&gt;0</formula>
    </cfRule>
  </conditionalFormatting>
  <conditionalFormatting sqref="BI52:BM52">
    <cfRule type="notContainsBlanks" dxfId="320" priority="25" stopIfTrue="1">
      <formula>LEN(TRIM(BI52))&gt;0</formula>
    </cfRule>
  </conditionalFormatting>
  <conditionalFormatting sqref="AO53:AS53">
    <cfRule type="expression" dxfId="319" priority="24">
      <formula>ABS(AO53)=1</formula>
    </cfRule>
  </conditionalFormatting>
  <conditionalFormatting sqref="AT53:AX53">
    <cfRule type="notContainsBlanks" dxfId="318" priority="23" stopIfTrue="1">
      <formula>LEN(TRIM(AT53))&gt;0</formula>
    </cfRule>
  </conditionalFormatting>
  <conditionalFormatting sqref="AP53:AS53">
    <cfRule type="expression" dxfId="317" priority="22">
      <formula>ABS(AP53)=1</formula>
    </cfRule>
  </conditionalFormatting>
  <conditionalFormatting sqref="AT53">
    <cfRule type="notContainsBlanks" dxfId="316" priority="21" stopIfTrue="1">
      <formula>LEN(TRIM(AT53))&gt;0</formula>
    </cfRule>
  </conditionalFormatting>
  <conditionalFormatting sqref="AT53:AX53">
    <cfRule type="notContainsBlanks" dxfId="315" priority="20" stopIfTrue="1">
      <formula>LEN(TRIM(AT53))&gt;0</formula>
    </cfRule>
  </conditionalFormatting>
  <conditionalFormatting sqref="AO53:AS53">
    <cfRule type="expression" dxfId="314" priority="19">
      <formula>ABS(AO53)=1</formula>
    </cfRule>
  </conditionalFormatting>
  <conditionalFormatting sqref="BD53:BH53">
    <cfRule type="expression" dxfId="313" priority="18">
      <formula>ABS(BD53)=1</formula>
    </cfRule>
  </conditionalFormatting>
  <conditionalFormatting sqref="BD53:BH53">
    <cfRule type="expression" dxfId="312" priority="17">
      <formula>ABS(BD53)=1</formula>
    </cfRule>
  </conditionalFormatting>
  <conditionalFormatting sqref="BD53:BH53">
    <cfRule type="expression" dxfId="311" priority="16">
      <formula>ABS(BD53)=1</formula>
    </cfRule>
  </conditionalFormatting>
  <conditionalFormatting sqref="BI53:BM53">
    <cfRule type="notContainsBlanks" dxfId="310" priority="15" stopIfTrue="1">
      <formula>LEN(TRIM(BI53))&gt;0</formula>
    </cfRule>
  </conditionalFormatting>
  <conditionalFormatting sqref="BI53:BM53">
    <cfRule type="notContainsBlanks" dxfId="309" priority="14" stopIfTrue="1">
      <formula>LEN(TRIM(BI53))&gt;0</formula>
    </cfRule>
  </conditionalFormatting>
  <conditionalFormatting sqref="BI53:BM53">
    <cfRule type="notContainsBlanks" dxfId="308" priority="13" stopIfTrue="1">
      <formula>LEN(TRIM(BI53))&gt;0</formula>
    </cfRule>
  </conditionalFormatting>
  <conditionalFormatting sqref="AO54:AS54">
    <cfRule type="expression" dxfId="307" priority="12">
      <formula>ABS(AO54)=1</formula>
    </cfRule>
  </conditionalFormatting>
  <conditionalFormatting sqref="AT54:AX54">
    <cfRule type="notContainsBlanks" dxfId="306" priority="11" stopIfTrue="1">
      <formula>LEN(TRIM(AT54))&gt;0</formula>
    </cfRule>
  </conditionalFormatting>
  <conditionalFormatting sqref="AP54:AS54">
    <cfRule type="expression" dxfId="305" priority="10">
      <formula>ABS(AP54)=1</formula>
    </cfRule>
  </conditionalFormatting>
  <conditionalFormatting sqref="AT54">
    <cfRule type="notContainsBlanks" dxfId="304" priority="9" stopIfTrue="1">
      <formula>LEN(TRIM(AT54))&gt;0</formula>
    </cfRule>
  </conditionalFormatting>
  <conditionalFormatting sqref="AT54:AX54">
    <cfRule type="notContainsBlanks" dxfId="303" priority="8" stopIfTrue="1">
      <formula>LEN(TRIM(AT54))&gt;0</formula>
    </cfRule>
  </conditionalFormatting>
  <conditionalFormatting sqref="AO54:AS54">
    <cfRule type="expression" dxfId="302" priority="7">
      <formula>ABS(AO54)=1</formula>
    </cfRule>
  </conditionalFormatting>
  <conditionalFormatting sqref="BD54:BH54">
    <cfRule type="expression" dxfId="301" priority="6">
      <formula>ABS(BD54)=1</formula>
    </cfRule>
  </conditionalFormatting>
  <conditionalFormatting sqref="BD54:BH54">
    <cfRule type="expression" dxfId="300" priority="5">
      <formula>ABS(BD54)=1</formula>
    </cfRule>
  </conditionalFormatting>
  <conditionalFormatting sqref="BD54:BH54">
    <cfRule type="expression" dxfId="299" priority="4">
      <formula>ABS(BD54)=1</formula>
    </cfRule>
  </conditionalFormatting>
  <conditionalFormatting sqref="BI54:BM54">
    <cfRule type="notContainsBlanks" dxfId="298" priority="3" stopIfTrue="1">
      <formula>LEN(TRIM(BI54))&gt;0</formula>
    </cfRule>
  </conditionalFormatting>
  <conditionalFormatting sqref="BI54:BM54">
    <cfRule type="notContainsBlanks" dxfId="297" priority="2" stopIfTrue="1">
      <formula>LEN(TRIM(BI54))&gt;0</formula>
    </cfRule>
  </conditionalFormatting>
  <conditionalFormatting sqref="BI54:BM54">
    <cfRule type="notContainsBlanks" dxfId="296" priority="1" stopIfTrue="1">
      <formula>LEN(TRIM(BI54))&gt;0</formula>
    </cfRule>
  </conditionalFormatting>
  <pageMargins left="0.98425196850393704" right="0.39370078740157483" top="0.59055118110236227" bottom="0.39370078740157483" header="0.19685039370078741" footer="0.19685039370078741"/>
  <pageSetup paperSize="8" scale="49" orientation="landscape" blackAndWhite="1" r:id="rId1"/>
  <legacyDrawing r:id="rId2"/>
</worksheet>
</file>

<file path=xl/worksheets/w5_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AT167"/>
  <sheetViews>
    <sheetView view="pageBreakPreview" zoomScale="70" zoomScaleNormal="100" zoomScaleSheetLayoutView="70" workbookViewId="0">
      <pane xSplit="4" ySplit="6" topLeftCell="E85" activePane="bottomRight" state="frozen"/>
      <selection pane="topRight" activeCell="E1" sqref="E1"/>
      <selection pane="bottomLeft" activeCell="A7" sqref="A7"/>
      <selection pane="bottomRight" activeCell="K136" sqref="K136"/>
    </sheetView>
  </sheetViews>
  <sheetFormatPr defaultColWidth="9" defaultRowHeight="13.5" outlineLevelCol="1"/>
  <cols>
    <col min="1" max="1" width="4" style="992" customWidth="1"/>
    <col min="2" max="3" width="4" style="990" customWidth="1"/>
    <col min="4" max="4" width="30.625" style="990" customWidth="1"/>
    <col min="5" max="8" width="14.125" style="990" customWidth="1"/>
    <col min="9" max="9" width="14.125" style="991" customWidth="1"/>
    <col min="10" max="11" width="14.125" style="990" customWidth="1"/>
    <col min="12" max="13" width="14.125" style="991" customWidth="1"/>
    <col min="14" max="14" width="30.625" style="990" customWidth="1"/>
    <col min="15" max="18" width="14.125" style="990" customWidth="1"/>
    <col min="19" max="19" width="14.125" style="991" customWidth="1"/>
    <col min="20" max="21" width="14.125" style="990" customWidth="1"/>
    <col min="22" max="23" width="14.125" style="991" customWidth="1"/>
    <col min="24" max="24" width="30.625" style="991" customWidth="1"/>
    <col min="25" max="29" width="14.125" style="991" hidden="1" customWidth="1" outlineLevel="1"/>
    <col min="30" max="30" width="14.125" style="990" customWidth="1" collapsed="1"/>
    <col min="31" max="33" width="14.125" style="990" customWidth="1"/>
    <col min="34" max="34" width="14.125" style="991" customWidth="1"/>
    <col min="35" max="36" width="14.125" style="990" customWidth="1"/>
    <col min="37" max="38" width="14.125" style="991" customWidth="1"/>
    <col min="39" max="39" width="15.375" style="990" customWidth="1"/>
    <col min="40" max="41" width="14" style="990" bestFit="1" customWidth="1"/>
    <col min="42" max="42" width="4.375" style="990" customWidth="1"/>
    <col min="43" max="43" width="15.375" style="990" customWidth="1"/>
    <col min="44" max="44" width="14" style="990" bestFit="1" customWidth="1"/>
    <col min="45" max="45" width="4.375" style="990" customWidth="1"/>
    <col min="46" max="46" width="15.375" style="990" customWidth="1"/>
    <col min="47" max="16384" width="9" style="990"/>
  </cols>
  <sheetData>
    <row r="1" spans="1:46">
      <c r="D1" s="990" t="str">
        <f>+'3条支出'!$D$1</f>
        <v>令和５年度決算　消費税算出資料</v>
      </c>
      <c r="F1" s="991"/>
      <c r="G1" s="991"/>
      <c r="J1" s="991"/>
      <c r="N1" s="990" t="str">
        <f>+$D$1</f>
        <v>令和５年度決算　消費税算出資料</v>
      </c>
      <c r="P1" s="1558"/>
      <c r="X1" s="990" t="str">
        <f>+$D$1</f>
        <v>令和５年度決算　消費税算出資料</v>
      </c>
      <c r="Y1" s="990"/>
      <c r="Z1" s="990"/>
      <c r="AA1" s="990"/>
      <c r="AB1" s="990"/>
      <c r="AC1" s="990"/>
    </row>
    <row r="2" spans="1:46">
      <c r="D2" s="990" t="s">
        <v>1550</v>
      </c>
      <c r="F2" s="991"/>
      <c r="G2" s="991"/>
      <c r="J2" s="991"/>
      <c r="M2" s="1042" t="str">
        <f>+IF(COUNTIF(M7:M45,0)=COUNT(M7:M45),"","↓エラーあり")</f>
        <v/>
      </c>
      <c r="N2" s="990" t="s">
        <v>1550</v>
      </c>
      <c r="W2" s="1042" t="str">
        <f>+IF(COUNTIF(W7:W45,0)=COUNT(W7:W45),"","↓エラーあり")</f>
        <v/>
      </c>
      <c r="X2" s="990" t="s">
        <v>1526</v>
      </c>
      <c r="Y2" s="990"/>
      <c r="Z2" s="990"/>
      <c r="AA2" s="990"/>
      <c r="AB2" s="990"/>
      <c r="AC2" s="990"/>
      <c r="AL2" s="1042" t="str">
        <f>+IF(COUNTIF(AL7:AL45,0)=COUNT(AL7:AL45),"","↓エラーあり")</f>
        <v/>
      </c>
    </row>
    <row r="3" spans="1:46">
      <c r="B3" s="1572" t="s">
        <v>1524</v>
      </c>
      <c r="C3" s="1573"/>
      <c r="D3" s="1565" t="s">
        <v>1520</v>
      </c>
      <c r="E3" s="1578" t="s">
        <v>1523</v>
      </c>
      <c r="F3" s="1579"/>
      <c r="G3" s="1579"/>
      <c r="H3" s="1579"/>
      <c r="I3" s="1579"/>
      <c r="J3" s="1579"/>
      <c r="K3" s="1579"/>
      <c r="L3" s="1579"/>
      <c r="M3" s="1580"/>
      <c r="N3" s="1565" t="s">
        <v>1520</v>
      </c>
      <c r="O3" s="1578" t="s">
        <v>1522</v>
      </c>
      <c r="P3" s="1579"/>
      <c r="Q3" s="1579"/>
      <c r="R3" s="1579"/>
      <c r="S3" s="1579"/>
      <c r="T3" s="1579"/>
      <c r="U3" s="1579"/>
      <c r="V3" s="1579"/>
      <c r="W3" s="1580"/>
      <c r="X3" s="1565" t="s">
        <v>1520</v>
      </c>
      <c r="Y3" s="1435"/>
      <c r="Z3" s="1435"/>
      <c r="AA3" s="1435"/>
      <c r="AB3" s="1435"/>
      <c r="AC3" s="1435"/>
      <c r="AD3" s="1578" t="s">
        <v>1522</v>
      </c>
      <c r="AE3" s="1579"/>
      <c r="AF3" s="1579"/>
      <c r="AG3" s="1579"/>
      <c r="AH3" s="1579"/>
      <c r="AI3" s="1579"/>
      <c r="AJ3" s="1579"/>
      <c r="AK3" s="1579"/>
      <c r="AL3" s="1580"/>
    </row>
    <row r="4" spans="1:46">
      <c r="B4" s="1574"/>
      <c r="C4" s="1575"/>
      <c r="D4" s="1566"/>
      <c r="E4" s="1565" t="s">
        <v>1515</v>
      </c>
      <c r="F4" s="1578" t="s">
        <v>1511</v>
      </c>
      <c r="G4" s="1579"/>
      <c r="H4" s="1579"/>
      <c r="I4" s="1580"/>
      <c r="J4" s="1578" t="s">
        <v>1510</v>
      </c>
      <c r="K4" s="1579"/>
      <c r="L4" s="1580"/>
      <c r="M4" s="1568" t="s">
        <v>1508</v>
      </c>
      <c r="N4" s="1566"/>
      <c r="O4" s="1565" t="s">
        <v>1516</v>
      </c>
      <c r="P4" s="1578" t="s">
        <v>1511</v>
      </c>
      <c r="Q4" s="1579"/>
      <c r="R4" s="1579"/>
      <c r="S4" s="1580"/>
      <c r="T4" s="1579" t="s">
        <v>1510</v>
      </c>
      <c r="U4" s="1579"/>
      <c r="V4" s="1580"/>
      <c r="W4" s="1568" t="s">
        <v>1508</v>
      </c>
      <c r="X4" s="1566"/>
      <c r="Y4" s="1432"/>
      <c r="Z4" s="1432"/>
      <c r="AA4" s="1432"/>
      <c r="AB4" s="1432"/>
      <c r="AC4" s="1432"/>
      <c r="AD4" s="1565" t="s">
        <v>1516</v>
      </c>
      <c r="AE4" s="1578" t="s">
        <v>1511</v>
      </c>
      <c r="AF4" s="1579"/>
      <c r="AG4" s="1579"/>
      <c r="AH4" s="1580"/>
      <c r="AI4" s="1579" t="s">
        <v>1510</v>
      </c>
      <c r="AJ4" s="1579"/>
      <c r="AK4" s="1580"/>
      <c r="AL4" s="1568" t="s">
        <v>1508</v>
      </c>
    </row>
    <row r="5" spans="1:46">
      <c r="A5" s="1575"/>
      <c r="B5" s="1574"/>
      <c r="C5" s="1575"/>
      <c r="D5" s="1566"/>
      <c r="E5" s="1566"/>
      <c r="F5" s="1102" t="s">
        <v>1507</v>
      </c>
      <c r="G5" s="1374" t="s">
        <v>1507</v>
      </c>
      <c r="H5" s="1101" t="s">
        <v>1505</v>
      </c>
      <c r="I5" s="1372" t="s">
        <v>1506</v>
      </c>
      <c r="J5" s="1102" t="s">
        <v>1507</v>
      </c>
      <c r="K5" s="1101" t="s">
        <v>1505</v>
      </c>
      <c r="L5" s="1100" t="s">
        <v>1506</v>
      </c>
      <c r="M5" s="1569"/>
      <c r="N5" s="1566"/>
      <c r="O5" s="1566"/>
      <c r="P5" s="1102" t="s">
        <v>1507</v>
      </c>
      <c r="Q5" s="1374" t="s">
        <v>1507</v>
      </c>
      <c r="R5" s="1101" t="s">
        <v>1505</v>
      </c>
      <c r="S5" s="1437" t="s">
        <v>1506</v>
      </c>
      <c r="T5" s="1414" t="s">
        <v>1507</v>
      </c>
      <c r="U5" s="1101" t="s">
        <v>1505</v>
      </c>
      <c r="V5" s="1100" t="s">
        <v>1506</v>
      </c>
      <c r="W5" s="1569"/>
      <c r="X5" s="1566"/>
      <c r="Y5" s="1432"/>
      <c r="Z5" s="1432"/>
      <c r="AA5" s="1432"/>
      <c r="AB5" s="1432"/>
      <c r="AC5" s="1432"/>
      <c r="AD5" s="1566"/>
      <c r="AE5" s="1102" t="s">
        <v>1507</v>
      </c>
      <c r="AF5" s="1374" t="s">
        <v>1507</v>
      </c>
      <c r="AG5" s="1101" t="s">
        <v>1505</v>
      </c>
      <c r="AH5" s="1437" t="s">
        <v>1506</v>
      </c>
      <c r="AI5" s="1414" t="s">
        <v>1507</v>
      </c>
      <c r="AJ5" s="1101" t="s">
        <v>1505</v>
      </c>
      <c r="AK5" s="1100" t="s">
        <v>1506</v>
      </c>
      <c r="AL5" s="1569"/>
      <c r="AM5" s="990" t="s">
        <v>4769</v>
      </c>
      <c r="AQ5" s="990" t="s">
        <v>4770</v>
      </c>
    </row>
    <row r="6" spans="1:46" s="1095" customFormat="1">
      <c r="A6" s="1575"/>
      <c r="B6" s="1574"/>
      <c r="C6" s="1575"/>
      <c r="D6" s="1566"/>
      <c r="E6" s="1567"/>
      <c r="F6" s="1098" t="s">
        <v>1503</v>
      </c>
      <c r="G6" s="1375" t="s">
        <v>1504</v>
      </c>
      <c r="H6" s="1400" t="s">
        <v>1509</v>
      </c>
      <c r="I6" s="1390"/>
      <c r="J6" s="1098" t="s">
        <v>1503</v>
      </c>
      <c r="K6" s="1097" t="s">
        <v>1503</v>
      </c>
      <c r="L6" s="1096"/>
      <c r="M6" s="1569"/>
      <c r="N6" s="1566"/>
      <c r="O6" s="1567"/>
      <c r="P6" s="1098" t="s">
        <v>1503</v>
      </c>
      <c r="Q6" s="1375" t="s">
        <v>1504</v>
      </c>
      <c r="R6" s="1400" t="s">
        <v>1509</v>
      </c>
      <c r="S6" s="1390"/>
      <c r="T6" s="1415" t="s">
        <v>1503</v>
      </c>
      <c r="U6" s="1097" t="s">
        <v>1503</v>
      </c>
      <c r="V6" s="1096"/>
      <c r="W6" s="1569"/>
      <c r="X6" s="1567"/>
      <c r="Y6" s="1433"/>
      <c r="Z6" s="1433"/>
      <c r="AA6" s="1433"/>
      <c r="AB6" s="1433"/>
      <c r="AC6" s="1433"/>
      <c r="AD6" s="1567"/>
      <c r="AE6" s="1098" t="s">
        <v>1503</v>
      </c>
      <c r="AF6" s="1375" t="s">
        <v>1504</v>
      </c>
      <c r="AG6" s="1400" t="s">
        <v>1509</v>
      </c>
      <c r="AH6" s="1390"/>
      <c r="AI6" s="1415" t="s">
        <v>1503</v>
      </c>
      <c r="AJ6" s="1097" t="s">
        <v>1503</v>
      </c>
      <c r="AK6" s="1096"/>
      <c r="AL6" s="1570"/>
      <c r="AM6" s="1095" t="s">
        <v>4718</v>
      </c>
      <c r="AN6" s="1095" t="s">
        <v>4719</v>
      </c>
      <c r="AQ6" s="990" t="s">
        <v>4770</v>
      </c>
      <c r="AT6" s="1095" t="s">
        <v>4719</v>
      </c>
    </row>
    <row r="7" spans="1:46">
      <c r="A7" s="1139"/>
      <c r="B7" s="1181" t="s">
        <v>1429</v>
      </c>
      <c r="C7" s="1180" t="s">
        <v>1446</v>
      </c>
      <c r="D7" s="1177" t="s">
        <v>1502</v>
      </c>
      <c r="E7" s="1368">
        <f>+'3条支出'!E6</f>
        <v>611819957</v>
      </c>
      <c r="F7" s="1179">
        <v>285727057</v>
      </c>
      <c r="G7" s="1410">
        <v>60054665</v>
      </c>
      <c r="H7" s="1178">
        <v>0</v>
      </c>
      <c r="I7" s="1090">
        <f>+SUM(F7:H7)</f>
        <v>345781722</v>
      </c>
      <c r="J7" s="1179"/>
      <c r="K7" s="1178">
        <v>266038235</v>
      </c>
      <c r="L7" s="1084">
        <f t="shared" ref="L7:L44" si="0">+SUM(J7:K7)</f>
        <v>266038235</v>
      </c>
      <c r="M7" s="1083">
        <f t="shared" ref="M7:M44" si="1">E7-SUM(I7,L7)</f>
        <v>0</v>
      </c>
      <c r="N7" s="1177" t="s">
        <v>1502</v>
      </c>
      <c r="O7" s="1371">
        <f>+'3条支出'!T6</f>
        <v>564664608</v>
      </c>
      <c r="P7" s="1089">
        <f t="shared" ref="P7:R11" si="2">+IFERROR(ROUND(F7*$O7/$E7,0),0)</f>
        <v>263704959</v>
      </c>
      <c r="Q7" s="1123">
        <f t="shared" si="2"/>
        <v>55426018</v>
      </c>
      <c r="R7" s="1087">
        <f t="shared" si="2"/>
        <v>0</v>
      </c>
      <c r="S7" s="1084">
        <f>+SUM(P7:R7)</f>
        <v>319130977</v>
      </c>
      <c r="T7" s="1416">
        <f>+IFERROR(ROUND(J7*$O7/$E7,0),0)</f>
        <v>0</v>
      </c>
      <c r="U7" s="1087">
        <f t="shared" ref="U7:U19" si="3">+O7-S7-T7</f>
        <v>245533631</v>
      </c>
      <c r="V7" s="1084">
        <f t="shared" ref="V7:V44" si="4">+SUM(T7:U7)</f>
        <v>245533631</v>
      </c>
      <c r="W7" s="1083">
        <f>O7-SUM(S7,V7)</f>
        <v>0</v>
      </c>
      <c r="X7" s="1091" t="s">
        <v>1502</v>
      </c>
      <c r="Y7" s="1441"/>
      <c r="Z7" s="1441"/>
      <c r="AA7" s="1441"/>
      <c r="AB7" s="1441"/>
      <c r="AC7" s="1441"/>
      <c r="AD7" s="1090">
        <f t="shared" ref="AD7:AD20" si="5">+O7</f>
        <v>564664608</v>
      </c>
      <c r="AE7" s="1089">
        <f t="shared" ref="AE7:AE20" si="6">+P7</f>
        <v>263704959</v>
      </c>
      <c r="AF7" s="1123">
        <f t="shared" ref="AF7:AF20" si="7">+Q7</f>
        <v>55426018</v>
      </c>
      <c r="AG7" s="1087">
        <f t="shared" ref="AG7:AG20" si="8">+R7</f>
        <v>0</v>
      </c>
      <c r="AH7" s="1084">
        <f t="shared" ref="AH7:AH44" si="9">+SUM(AE7:AG7)</f>
        <v>319130977</v>
      </c>
      <c r="AI7" s="1416">
        <f t="shared" ref="AI7:AI20" si="10">+T7</f>
        <v>0</v>
      </c>
      <c r="AJ7" s="1087">
        <f t="shared" ref="AJ7:AJ20" si="11">+U7</f>
        <v>245533631</v>
      </c>
      <c r="AK7" s="1084">
        <f t="shared" ref="AK7:AK44" si="12">+SUM(AI7:AJ7)</f>
        <v>245533631</v>
      </c>
      <c r="AL7" s="1083">
        <f t="shared" ref="AL7:AL44" si="13">AD7-SUM(AH7,AK7)</f>
        <v>0</v>
      </c>
      <c r="AM7" s="990">
        <f>SUM(AE7:AG7,AI7)</f>
        <v>319130977</v>
      </c>
      <c r="AN7" s="990">
        <v>336288000</v>
      </c>
      <c r="AO7" s="990">
        <f>AM7-AN7</f>
        <v>-17157023</v>
      </c>
      <c r="AQ7" s="990">
        <v>345982000</v>
      </c>
      <c r="AR7" s="990">
        <f t="shared" ref="AR7:AR50" si="14">AM7-AQ7</f>
        <v>-26851023</v>
      </c>
      <c r="AT7" s="990" t="s">
        <v>4720</v>
      </c>
    </row>
    <row r="8" spans="1:46">
      <c r="A8" s="1139"/>
      <c r="B8" s="1146" t="s">
        <v>1429</v>
      </c>
      <c r="C8" s="1145" t="s">
        <v>1446</v>
      </c>
      <c r="D8" s="1060" t="s">
        <v>1499</v>
      </c>
      <c r="E8" s="1369">
        <f>+'3条支出'!E7</f>
        <v>52443869</v>
      </c>
      <c r="F8" s="1028"/>
      <c r="G8" s="1379"/>
      <c r="H8" s="1027"/>
      <c r="I8" s="1029">
        <f t="shared" ref="I8:I44" si="15">+SUM(F8:H8)</f>
        <v>0</v>
      </c>
      <c r="J8" s="1028">
        <f>+E8</f>
        <v>52443869</v>
      </c>
      <c r="K8" s="1027">
        <f>+E8-I8-J8</f>
        <v>0</v>
      </c>
      <c r="L8" s="1026">
        <f t="shared" si="0"/>
        <v>52443869</v>
      </c>
      <c r="M8" s="1025">
        <f t="shared" si="1"/>
        <v>0</v>
      </c>
      <c r="N8" s="1060" t="s">
        <v>1499</v>
      </c>
      <c r="O8" s="1370">
        <f>+'3条支出'!T7</f>
        <v>51313295</v>
      </c>
      <c r="P8" s="1028">
        <f t="shared" si="2"/>
        <v>0</v>
      </c>
      <c r="Q8" s="1379">
        <f t="shared" si="2"/>
        <v>0</v>
      </c>
      <c r="R8" s="1027">
        <f t="shared" si="2"/>
        <v>0</v>
      </c>
      <c r="S8" s="1026">
        <f t="shared" ref="S8:S44" si="16">+SUM(P8:R8)</f>
        <v>0</v>
      </c>
      <c r="T8" s="1417">
        <f>+IFERROR(ROUND(J8*$O8/$E8,0),0)</f>
        <v>51313295</v>
      </c>
      <c r="U8" s="1027">
        <f t="shared" si="3"/>
        <v>0</v>
      </c>
      <c r="V8" s="1026">
        <f t="shared" si="4"/>
        <v>51313295</v>
      </c>
      <c r="W8" s="1025">
        <f t="shared" ref="W8:W44" si="17">O8-SUM(S8,V8)</f>
        <v>0</v>
      </c>
      <c r="X8" s="1031" t="s">
        <v>1499</v>
      </c>
      <c r="Y8" s="1442"/>
      <c r="Z8" s="1442"/>
      <c r="AA8" s="1442"/>
      <c r="AB8" s="1442"/>
      <c r="AC8" s="1442"/>
      <c r="AD8" s="1029">
        <f t="shared" si="5"/>
        <v>51313295</v>
      </c>
      <c r="AE8" s="1028">
        <f t="shared" si="6"/>
        <v>0</v>
      </c>
      <c r="AF8" s="1379">
        <f t="shared" si="7"/>
        <v>0</v>
      </c>
      <c r="AG8" s="1027">
        <f t="shared" si="8"/>
        <v>0</v>
      </c>
      <c r="AH8" s="1026">
        <f t="shared" si="9"/>
        <v>0</v>
      </c>
      <c r="AI8" s="1417">
        <f t="shared" si="10"/>
        <v>51313295</v>
      </c>
      <c r="AJ8" s="1027">
        <f t="shared" si="11"/>
        <v>0</v>
      </c>
      <c r="AK8" s="1026">
        <f t="shared" si="12"/>
        <v>51313295</v>
      </c>
      <c r="AL8" s="1025">
        <f t="shared" si="13"/>
        <v>0</v>
      </c>
      <c r="AM8" s="990">
        <f t="shared" ref="AM8:AM45" si="18">SUM(AE8:AG8,AI8)</f>
        <v>51313295</v>
      </c>
      <c r="AN8" s="990">
        <v>51456000</v>
      </c>
      <c r="AO8" s="990">
        <f t="shared" ref="AO8:AO50" si="19">AM8-AN8</f>
        <v>-142705</v>
      </c>
      <c r="AQ8" s="990">
        <v>60255000</v>
      </c>
      <c r="AR8" s="990">
        <f t="shared" si="14"/>
        <v>-8941705</v>
      </c>
      <c r="AT8" s="990" t="s">
        <v>4721</v>
      </c>
    </row>
    <row r="9" spans="1:46">
      <c r="A9" s="1139"/>
      <c r="B9" s="1146" t="s">
        <v>1429</v>
      </c>
      <c r="C9" s="1145" t="s">
        <v>1446</v>
      </c>
      <c r="D9" s="1060" t="s">
        <v>1496</v>
      </c>
      <c r="E9" s="1369">
        <f>+'3条支出'!E8</f>
        <v>2356040225</v>
      </c>
      <c r="F9" s="1142">
        <v>1724925338</v>
      </c>
      <c r="G9" s="1405">
        <v>55051811</v>
      </c>
      <c r="H9" s="1141"/>
      <c r="I9" s="1029">
        <f t="shared" si="15"/>
        <v>1779977149</v>
      </c>
      <c r="J9" s="1142"/>
      <c r="K9" s="1141">
        <v>576063076</v>
      </c>
      <c r="L9" s="1026">
        <f t="shared" si="0"/>
        <v>576063076</v>
      </c>
      <c r="M9" s="1025">
        <f t="shared" si="1"/>
        <v>0</v>
      </c>
      <c r="N9" s="1060" t="s">
        <v>1496</v>
      </c>
      <c r="O9" s="1370">
        <f>+'3条支出'!T8</f>
        <v>2251657967</v>
      </c>
      <c r="P9" s="1028">
        <f t="shared" si="2"/>
        <v>1648504061</v>
      </c>
      <c r="Q9" s="1379">
        <f>+IFERROR(ROUND(G9*$O9/$E9,0),0)</f>
        <v>52612790</v>
      </c>
      <c r="R9" s="1027">
        <f t="shared" si="2"/>
        <v>0</v>
      </c>
      <c r="S9" s="1026">
        <f t="shared" si="16"/>
        <v>1701116851</v>
      </c>
      <c r="T9" s="1417">
        <f>+IFERROR(ROUND(J9*$O9/$E9,0),0)</f>
        <v>0</v>
      </c>
      <c r="U9" s="1027">
        <f t="shared" si="3"/>
        <v>550541116</v>
      </c>
      <c r="V9" s="1026">
        <f t="shared" si="4"/>
        <v>550541116</v>
      </c>
      <c r="W9" s="1025">
        <f t="shared" si="17"/>
        <v>0</v>
      </c>
      <c r="X9" s="1031" t="s">
        <v>1496</v>
      </c>
      <c r="Y9" s="1442"/>
      <c r="Z9" s="1442"/>
      <c r="AA9" s="1442"/>
      <c r="AB9" s="1442"/>
      <c r="AC9" s="1442"/>
      <c r="AD9" s="1029">
        <f t="shared" si="5"/>
        <v>2251657967</v>
      </c>
      <c r="AE9" s="1028">
        <f t="shared" si="6"/>
        <v>1648504061</v>
      </c>
      <c r="AF9" s="1379">
        <f t="shared" si="7"/>
        <v>52612790</v>
      </c>
      <c r="AG9" s="1027">
        <f t="shared" si="8"/>
        <v>0</v>
      </c>
      <c r="AH9" s="1026">
        <f t="shared" si="9"/>
        <v>1701116851</v>
      </c>
      <c r="AI9" s="1417">
        <f t="shared" si="10"/>
        <v>0</v>
      </c>
      <c r="AJ9" s="1027">
        <f t="shared" si="11"/>
        <v>550541116</v>
      </c>
      <c r="AK9" s="1026">
        <f t="shared" si="12"/>
        <v>550541116</v>
      </c>
      <c r="AL9" s="1025">
        <f t="shared" si="13"/>
        <v>0</v>
      </c>
      <c r="AM9" s="990">
        <f t="shared" si="18"/>
        <v>1701116851</v>
      </c>
      <c r="AN9" s="990">
        <v>1645552000</v>
      </c>
      <c r="AO9" s="990">
        <f t="shared" si="19"/>
        <v>55564851</v>
      </c>
      <c r="AQ9" s="990">
        <v>1697315000</v>
      </c>
      <c r="AR9" s="990">
        <f t="shared" si="14"/>
        <v>3801851</v>
      </c>
      <c r="AT9" s="990" t="s">
        <v>4722</v>
      </c>
    </row>
    <row r="10" spans="1:46">
      <c r="A10" s="1139"/>
      <c r="B10" s="1146" t="s">
        <v>1429</v>
      </c>
      <c r="C10" s="1145" t="s">
        <v>1446</v>
      </c>
      <c r="D10" s="1060" t="s">
        <v>1494</v>
      </c>
      <c r="E10" s="1369">
        <f>+'3条支出'!E9</f>
        <v>6557703864</v>
      </c>
      <c r="F10" s="1142">
        <v>703775367</v>
      </c>
      <c r="G10" s="1405">
        <v>144110894</v>
      </c>
      <c r="H10" s="1141">
        <v>445816778</v>
      </c>
      <c r="I10" s="1029">
        <f t="shared" si="15"/>
        <v>1293703039</v>
      </c>
      <c r="J10" s="1142">
        <f>83018974+51475850</f>
        <v>134494824</v>
      </c>
      <c r="K10" s="1141">
        <f>5180981851-51475850</f>
        <v>5129506001</v>
      </c>
      <c r="L10" s="1026">
        <f t="shared" si="0"/>
        <v>5264000825</v>
      </c>
      <c r="M10" s="1025">
        <f>E10-SUM(I10,L10)</f>
        <v>0</v>
      </c>
      <c r="N10" s="1060" t="s">
        <v>1494</v>
      </c>
      <c r="O10" s="1370">
        <f>+'3条支出'!T9</f>
        <v>6037810078</v>
      </c>
      <c r="P10" s="1028">
        <f t="shared" si="2"/>
        <v>647980161</v>
      </c>
      <c r="Q10" s="1379">
        <f t="shared" si="2"/>
        <v>132685804</v>
      </c>
      <c r="R10" s="1027">
        <f t="shared" si="2"/>
        <v>410472490</v>
      </c>
      <c r="S10" s="1026">
        <f t="shared" si="16"/>
        <v>1191138455</v>
      </c>
      <c r="T10" s="1417">
        <f>+IFERROR(ROUND(J10*$O10/$E10,0),0)</f>
        <v>123832094</v>
      </c>
      <c r="U10" s="1027">
        <f t="shared" si="3"/>
        <v>4722839529</v>
      </c>
      <c r="V10" s="1026">
        <f t="shared" si="4"/>
        <v>4846671623</v>
      </c>
      <c r="W10" s="1025">
        <f t="shared" si="17"/>
        <v>0</v>
      </c>
      <c r="X10" s="1031" t="s">
        <v>1494</v>
      </c>
      <c r="Y10" s="1442"/>
      <c r="Z10" s="1442"/>
      <c r="AA10" s="1442"/>
      <c r="AB10" s="1442"/>
      <c r="AC10" s="1442"/>
      <c r="AD10" s="1029">
        <f t="shared" si="5"/>
        <v>6037810078</v>
      </c>
      <c r="AE10" s="1028">
        <f t="shared" si="6"/>
        <v>647980161</v>
      </c>
      <c r="AF10" s="1379">
        <f t="shared" si="7"/>
        <v>132685804</v>
      </c>
      <c r="AG10" s="1027">
        <f t="shared" si="8"/>
        <v>410472490</v>
      </c>
      <c r="AH10" s="1026">
        <f t="shared" si="9"/>
        <v>1191138455</v>
      </c>
      <c r="AI10" s="1417">
        <f t="shared" si="10"/>
        <v>123832094</v>
      </c>
      <c r="AJ10" s="1027">
        <f t="shared" si="11"/>
        <v>4722839529</v>
      </c>
      <c r="AK10" s="1026">
        <f t="shared" si="12"/>
        <v>4846671623</v>
      </c>
      <c r="AL10" s="1025">
        <f t="shared" si="13"/>
        <v>0</v>
      </c>
      <c r="AM10" s="990">
        <f t="shared" si="18"/>
        <v>1314970549</v>
      </c>
      <c r="AN10" s="990">
        <v>1151544454</v>
      </c>
      <c r="AO10" s="990">
        <f t="shared" si="19"/>
        <v>163426095</v>
      </c>
      <c r="AQ10" s="990">
        <v>1274316000</v>
      </c>
      <c r="AR10" s="990">
        <f t="shared" si="14"/>
        <v>40654549</v>
      </c>
      <c r="AT10" s="990" t="s">
        <v>4723</v>
      </c>
    </row>
    <row r="11" spans="1:46">
      <c r="A11" s="1139"/>
      <c r="B11" s="1146" t="s">
        <v>1429</v>
      </c>
      <c r="C11" s="1145" t="s">
        <v>1446</v>
      </c>
      <c r="D11" s="1060" t="s">
        <v>1492</v>
      </c>
      <c r="E11" s="1369">
        <f>+'3条支出'!E10</f>
        <v>0</v>
      </c>
      <c r="F11" s="1028"/>
      <c r="G11" s="1379"/>
      <c r="H11" s="1027"/>
      <c r="I11" s="1029">
        <f t="shared" si="15"/>
        <v>0</v>
      </c>
      <c r="J11" s="1028"/>
      <c r="K11" s="1027">
        <f t="shared" ref="K11:K19" si="20">+E11-I11-J11</f>
        <v>0</v>
      </c>
      <c r="L11" s="1026">
        <f t="shared" si="0"/>
        <v>0</v>
      </c>
      <c r="M11" s="1025">
        <f t="shared" si="1"/>
        <v>0</v>
      </c>
      <c r="N11" s="1060" t="s">
        <v>1492</v>
      </c>
      <c r="O11" s="1370">
        <f>+'3条支出'!T10</f>
        <v>0</v>
      </c>
      <c r="P11" s="1028">
        <f t="shared" si="2"/>
        <v>0</v>
      </c>
      <c r="Q11" s="1379">
        <f t="shared" si="2"/>
        <v>0</v>
      </c>
      <c r="R11" s="1027">
        <f t="shared" si="2"/>
        <v>0</v>
      </c>
      <c r="S11" s="1026">
        <f t="shared" si="16"/>
        <v>0</v>
      </c>
      <c r="T11" s="1417">
        <f>+IFERROR(ROUND(J11*$O11/$E11,0),0)</f>
        <v>0</v>
      </c>
      <c r="U11" s="1027">
        <f t="shared" si="3"/>
        <v>0</v>
      </c>
      <c r="V11" s="1026">
        <f t="shared" si="4"/>
        <v>0</v>
      </c>
      <c r="W11" s="1025">
        <f t="shared" si="17"/>
        <v>0</v>
      </c>
      <c r="X11" s="1031" t="s">
        <v>1492</v>
      </c>
      <c r="Y11" s="1442"/>
      <c r="Z11" s="1442"/>
      <c r="AA11" s="1442"/>
      <c r="AB11" s="1442"/>
      <c r="AC11" s="1442"/>
      <c r="AD11" s="1029">
        <f t="shared" si="5"/>
        <v>0</v>
      </c>
      <c r="AE11" s="1028">
        <f t="shared" si="6"/>
        <v>0</v>
      </c>
      <c r="AF11" s="1379">
        <f t="shared" si="7"/>
        <v>0</v>
      </c>
      <c r="AG11" s="1027">
        <f t="shared" si="8"/>
        <v>0</v>
      </c>
      <c r="AH11" s="1026">
        <f t="shared" si="9"/>
        <v>0</v>
      </c>
      <c r="AI11" s="1417">
        <f t="shared" si="10"/>
        <v>0</v>
      </c>
      <c r="AJ11" s="1027">
        <f t="shared" si="11"/>
        <v>0</v>
      </c>
      <c r="AK11" s="1026">
        <f t="shared" si="12"/>
        <v>0</v>
      </c>
      <c r="AL11" s="1025">
        <f t="shared" si="13"/>
        <v>0</v>
      </c>
      <c r="AM11" s="990">
        <f t="shared" si="18"/>
        <v>0</v>
      </c>
      <c r="AO11" s="990">
        <f t="shared" si="19"/>
        <v>0</v>
      </c>
      <c r="AR11" s="990">
        <f t="shared" si="14"/>
        <v>0</v>
      </c>
    </row>
    <row r="12" spans="1:46">
      <c r="A12" s="1139"/>
      <c r="B12" s="1146" t="s">
        <v>1429</v>
      </c>
      <c r="C12" s="1145" t="s">
        <v>1446</v>
      </c>
      <c r="D12" s="1060" t="s">
        <v>1490</v>
      </c>
      <c r="E12" s="1369">
        <f>+'3条支出'!E11</f>
        <v>88849549</v>
      </c>
      <c r="F12" s="1028"/>
      <c r="G12" s="1379"/>
      <c r="H12" s="1533">
        <f>+補助補給!Y4</f>
        <v>0</v>
      </c>
      <c r="I12" s="1029">
        <f t="shared" si="15"/>
        <v>0</v>
      </c>
      <c r="J12" s="1028">
        <f>ROUND((E12-H12)/2,0)</f>
        <v>44424775</v>
      </c>
      <c r="K12" s="1027">
        <f t="shared" si="20"/>
        <v>44424774</v>
      </c>
      <c r="L12" s="1026">
        <f t="shared" si="0"/>
        <v>88849549</v>
      </c>
      <c r="M12" s="1025">
        <f t="shared" si="1"/>
        <v>0</v>
      </c>
      <c r="N12" s="1060" t="s">
        <v>1490</v>
      </c>
      <c r="O12" s="1370">
        <f>+'3条支出'!T11</f>
        <v>87134052</v>
      </c>
      <c r="P12" s="1148"/>
      <c r="Q12" s="1406"/>
      <c r="R12" s="1153">
        <f>+補助補給!AZ4</f>
        <v>0</v>
      </c>
      <c r="S12" s="1026">
        <f t="shared" si="16"/>
        <v>0</v>
      </c>
      <c r="T12" s="1417">
        <f>+ROUND((O12-R12)/2,0)</f>
        <v>43567026</v>
      </c>
      <c r="U12" s="1027">
        <f t="shared" si="3"/>
        <v>43567026</v>
      </c>
      <c r="V12" s="1026">
        <f t="shared" si="4"/>
        <v>87134052</v>
      </c>
      <c r="W12" s="1025">
        <f t="shared" si="17"/>
        <v>0</v>
      </c>
      <c r="X12" s="1031" t="s">
        <v>1490</v>
      </c>
      <c r="Y12" s="1442"/>
      <c r="Z12" s="1442"/>
      <c r="AA12" s="1442"/>
      <c r="AB12" s="1442"/>
      <c r="AC12" s="1442"/>
      <c r="AD12" s="1029">
        <f t="shared" si="5"/>
        <v>87134052</v>
      </c>
      <c r="AE12" s="1028">
        <f t="shared" si="6"/>
        <v>0</v>
      </c>
      <c r="AF12" s="1379">
        <f t="shared" si="7"/>
        <v>0</v>
      </c>
      <c r="AG12" s="1027">
        <f t="shared" si="8"/>
        <v>0</v>
      </c>
      <c r="AH12" s="1026">
        <f t="shared" si="9"/>
        <v>0</v>
      </c>
      <c r="AI12" s="1417">
        <f t="shared" si="10"/>
        <v>43567026</v>
      </c>
      <c r="AJ12" s="1027">
        <f t="shared" si="11"/>
        <v>43567026</v>
      </c>
      <c r="AK12" s="1026">
        <f t="shared" si="12"/>
        <v>87134052</v>
      </c>
      <c r="AL12" s="1025">
        <f t="shared" si="13"/>
        <v>0</v>
      </c>
      <c r="AM12" s="990">
        <f t="shared" si="18"/>
        <v>43567026</v>
      </c>
      <c r="AN12" s="990">
        <v>42873000</v>
      </c>
      <c r="AO12" s="990">
        <f t="shared" si="19"/>
        <v>694026</v>
      </c>
      <c r="AQ12" s="990">
        <v>39027000</v>
      </c>
      <c r="AR12" s="990">
        <f t="shared" si="14"/>
        <v>4540026</v>
      </c>
      <c r="AT12" s="990" t="s">
        <v>4724</v>
      </c>
    </row>
    <row r="13" spans="1:46">
      <c r="A13" s="1139"/>
      <c r="B13" s="1146" t="s">
        <v>1429</v>
      </c>
      <c r="C13" s="1145" t="s">
        <v>1446</v>
      </c>
      <c r="D13" s="1060" t="s">
        <v>1487</v>
      </c>
      <c r="E13" s="1369">
        <f>+'3条支出'!E12</f>
        <v>10483859</v>
      </c>
      <c r="F13" s="1028"/>
      <c r="G13" s="1379"/>
      <c r="H13" s="1536">
        <f>+E13</f>
        <v>10483859</v>
      </c>
      <c r="I13" s="1029">
        <f t="shared" si="15"/>
        <v>10483859</v>
      </c>
      <c r="J13" s="1028"/>
      <c r="K13" s="1027">
        <f t="shared" si="20"/>
        <v>0</v>
      </c>
      <c r="L13" s="1026">
        <f t="shared" si="0"/>
        <v>0</v>
      </c>
      <c r="M13" s="1025">
        <f t="shared" si="1"/>
        <v>0</v>
      </c>
      <c r="N13" s="1060" t="s">
        <v>1487</v>
      </c>
      <c r="O13" s="1370">
        <f>+'3条支出'!T12</f>
        <v>10396270</v>
      </c>
      <c r="P13" s="1148"/>
      <c r="Q13" s="1406"/>
      <c r="R13" s="1027">
        <f>+O13</f>
        <v>10396270</v>
      </c>
      <c r="S13" s="1026">
        <f t="shared" si="16"/>
        <v>10396270</v>
      </c>
      <c r="T13" s="1418"/>
      <c r="U13" s="1149">
        <f t="shared" si="3"/>
        <v>0</v>
      </c>
      <c r="V13" s="1026">
        <f t="shared" si="4"/>
        <v>0</v>
      </c>
      <c r="W13" s="1025">
        <f t="shared" si="17"/>
        <v>0</v>
      </c>
      <c r="X13" s="1031" t="s">
        <v>1487</v>
      </c>
      <c r="Y13" s="1442"/>
      <c r="Z13" s="1442"/>
      <c r="AA13" s="1442"/>
      <c r="AB13" s="1442"/>
      <c r="AC13" s="1442"/>
      <c r="AD13" s="1029">
        <f t="shared" si="5"/>
        <v>10396270</v>
      </c>
      <c r="AE13" s="1028">
        <f t="shared" si="6"/>
        <v>0</v>
      </c>
      <c r="AF13" s="1379">
        <f t="shared" si="7"/>
        <v>0</v>
      </c>
      <c r="AG13" s="1027">
        <f t="shared" si="8"/>
        <v>10396270</v>
      </c>
      <c r="AH13" s="1026">
        <f t="shared" si="9"/>
        <v>10396270</v>
      </c>
      <c r="AI13" s="1417">
        <f t="shared" si="10"/>
        <v>0</v>
      </c>
      <c r="AJ13" s="1027">
        <f t="shared" si="11"/>
        <v>0</v>
      </c>
      <c r="AK13" s="1026">
        <f t="shared" si="12"/>
        <v>0</v>
      </c>
      <c r="AL13" s="1025">
        <f t="shared" si="13"/>
        <v>0</v>
      </c>
      <c r="AM13" s="990">
        <f t="shared" si="18"/>
        <v>10396270</v>
      </c>
      <c r="AN13" s="990">
        <v>10612000</v>
      </c>
      <c r="AO13" s="990">
        <f t="shared" si="19"/>
        <v>-215730</v>
      </c>
      <c r="AQ13" s="990">
        <v>14660000</v>
      </c>
      <c r="AR13" s="990">
        <f t="shared" si="14"/>
        <v>-4263730</v>
      </c>
      <c r="AT13" s="990" t="s">
        <v>4725</v>
      </c>
    </row>
    <row r="14" spans="1:46">
      <c r="A14" s="1139"/>
      <c r="B14" s="1146" t="s">
        <v>1429</v>
      </c>
      <c r="C14" s="1145" t="s">
        <v>1446</v>
      </c>
      <c r="D14" s="1060" t="s">
        <v>1485</v>
      </c>
      <c r="E14" s="1369">
        <f>+'3条支出'!E13</f>
        <v>1019945143</v>
      </c>
      <c r="F14" s="1028"/>
      <c r="G14" s="1379"/>
      <c r="H14" s="1027"/>
      <c r="I14" s="1029">
        <f t="shared" si="15"/>
        <v>0</v>
      </c>
      <c r="J14" s="1028"/>
      <c r="K14" s="1027">
        <f t="shared" si="20"/>
        <v>1019945143</v>
      </c>
      <c r="L14" s="1026">
        <f t="shared" si="0"/>
        <v>1019945143</v>
      </c>
      <c r="M14" s="1025">
        <f t="shared" si="1"/>
        <v>0</v>
      </c>
      <c r="N14" s="1060" t="s">
        <v>1485</v>
      </c>
      <c r="O14" s="1370">
        <f>+'3条支出'!T13</f>
        <v>929691714</v>
      </c>
      <c r="P14" s="1148"/>
      <c r="Q14" s="1406"/>
      <c r="R14" s="1425">
        <f>+IFERROR(ROUND(H14/SUM(業務!E5:E9,業務!E34)*SUM(業務!T5:T9,業務!T34),0),0)</f>
        <v>0</v>
      </c>
      <c r="S14" s="1026">
        <f t="shared" si="16"/>
        <v>0</v>
      </c>
      <c r="T14" s="1418"/>
      <c r="U14" s="1149">
        <f t="shared" si="3"/>
        <v>929691714</v>
      </c>
      <c r="V14" s="1026">
        <f t="shared" si="4"/>
        <v>929691714</v>
      </c>
      <c r="W14" s="1025">
        <f t="shared" si="17"/>
        <v>0</v>
      </c>
      <c r="X14" s="1031" t="s">
        <v>1485</v>
      </c>
      <c r="Y14" s="1442"/>
      <c r="Z14" s="1442"/>
      <c r="AA14" s="1442"/>
      <c r="AB14" s="1442"/>
      <c r="AC14" s="1442"/>
      <c r="AD14" s="1029">
        <f t="shared" si="5"/>
        <v>929691714</v>
      </c>
      <c r="AE14" s="1028">
        <f t="shared" si="6"/>
        <v>0</v>
      </c>
      <c r="AF14" s="1379">
        <f t="shared" si="7"/>
        <v>0</v>
      </c>
      <c r="AG14" s="1027">
        <f t="shared" si="8"/>
        <v>0</v>
      </c>
      <c r="AH14" s="1026">
        <f t="shared" si="9"/>
        <v>0</v>
      </c>
      <c r="AI14" s="1417">
        <f t="shared" si="10"/>
        <v>0</v>
      </c>
      <c r="AJ14" s="1027">
        <f t="shared" si="11"/>
        <v>929691714</v>
      </c>
      <c r="AK14" s="1026">
        <f t="shared" si="12"/>
        <v>929691714</v>
      </c>
      <c r="AL14" s="1025">
        <f t="shared" si="13"/>
        <v>0</v>
      </c>
      <c r="AM14" s="990">
        <f t="shared" si="18"/>
        <v>0</v>
      </c>
      <c r="AN14" s="990">
        <v>0</v>
      </c>
      <c r="AO14" s="990">
        <f t="shared" si="19"/>
        <v>0</v>
      </c>
      <c r="AQ14" s="990">
        <v>0</v>
      </c>
      <c r="AR14" s="990">
        <f t="shared" si="14"/>
        <v>0</v>
      </c>
      <c r="AT14" s="990" t="s">
        <v>4726</v>
      </c>
    </row>
    <row r="15" spans="1:46">
      <c r="A15" s="1139"/>
      <c r="B15" s="1146" t="s">
        <v>1429</v>
      </c>
      <c r="C15" s="1145" t="s">
        <v>1446</v>
      </c>
      <c r="D15" s="1060" t="s">
        <v>1483</v>
      </c>
      <c r="E15" s="1369">
        <f>+'3条支出'!E14</f>
        <v>483965214</v>
      </c>
      <c r="F15" s="1534">
        <f>+IFERROR(ROUND((総係!$E$37-総係!$E$36)*SUM(F7:F14)/SUM($F$7:$H$14,$J$7:$K$14),0),0)</f>
        <v>122380384</v>
      </c>
      <c r="G15" s="1535">
        <f>+IFERROR(ROUND((総係!$E$37-総係!$E$36)*SUM(G7:G14)/SUM($F$7:$H$14,$J$7:$K$14),0),0)</f>
        <v>11686854</v>
      </c>
      <c r="H15" s="1536"/>
      <c r="I15" s="1062">
        <f t="shared" si="15"/>
        <v>134067238</v>
      </c>
      <c r="J15" s="1148"/>
      <c r="K15" s="1027">
        <f t="shared" si="20"/>
        <v>349897976</v>
      </c>
      <c r="L15" s="1026">
        <f t="shared" si="0"/>
        <v>349897976</v>
      </c>
      <c r="M15" s="1025">
        <f t="shared" si="1"/>
        <v>0</v>
      </c>
      <c r="N15" s="1060" t="s">
        <v>1483</v>
      </c>
      <c r="O15" s="1370">
        <f>+'3条支出'!T14</f>
        <v>466286409</v>
      </c>
      <c r="P15" s="1168">
        <f>+IFERROR(ROUND((総係!$T$37-総係!$T$36)*SUM(P7:P14)/SUM($P$7:$R$14,$T$7:$U$14),0),0)</f>
        <v>119755277</v>
      </c>
      <c r="Q15" s="1407">
        <f>+IFERROR(ROUND((総係!$T$37-総係!$T$36)*SUM(Q7:Q14)/SUM($P$7:$R$14,$T$7:$U$14),0),0)</f>
        <v>11260122</v>
      </c>
      <c r="R15" s="1027"/>
      <c r="S15" s="1057">
        <f t="shared" si="16"/>
        <v>131015399</v>
      </c>
      <c r="T15" s="1418"/>
      <c r="U15" s="1027">
        <f t="shared" si="3"/>
        <v>335271010</v>
      </c>
      <c r="V15" s="1026">
        <f t="shared" si="4"/>
        <v>335271010</v>
      </c>
      <c r="W15" s="1025">
        <f t="shared" si="17"/>
        <v>0</v>
      </c>
      <c r="X15" s="1031" t="s">
        <v>1483</v>
      </c>
      <c r="Y15" s="1442"/>
      <c r="Z15" s="1442"/>
      <c r="AA15" s="1442"/>
      <c r="AB15" s="1442"/>
      <c r="AC15" s="1442"/>
      <c r="AD15" s="1029">
        <f t="shared" si="5"/>
        <v>466286409</v>
      </c>
      <c r="AE15" s="1040">
        <f t="shared" si="6"/>
        <v>119755277</v>
      </c>
      <c r="AF15" s="1379">
        <f t="shared" si="7"/>
        <v>11260122</v>
      </c>
      <c r="AG15" s="1027">
        <f t="shared" si="8"/>
        <v>0</v>
      </c>
      <c r="AH15" s="1026">
        <f t="shared" si="9"/>
        <v>131015399</v>
      </c>
      <c r="AI15" s="1417">
        <f t="shared" si="10"/>
        <v>0</v>
      </c>
      <c r="AJ15" s="1027">
        <f t="shared" si="11"/>
        <v>335271010</v>
      </c>
      <c r="AK15" s="1026">
        <f t="shared" si="12"/>
        <v>335271010</v>
      </c>
      <c r="AL15" s="1025">
        <f t="shared" si="13"/>
        <v>0</v>
      </c>
      <c r="AM15" s="990">
        <f t="shared" si="18"/>
        <v>131015399</v>
      </c>
      <c r="AN15" s="990">
        <v>121395000</v>
      </c>
      <c r="AO15" s="990">
        <f t="shared" si="19"/>
        <v>9620399</v>
      </c>
      <c r="AQ15" s="990">
        <v>135565000</v>
      </c>
      <c r="AR15" s="990">
        <f t="shared" si="14"/>
        <v>-4549601</v>
      </c>
      <c r="AT15" s="990" t="s">
        <v>4727</v>
      </c>
    </row>
    <row r="16" spans="1:46">
      <c r="A16" s="1139"/>
      <c r="B16" s="1146" t="s">
        <v>1429</v>
      </c>
      <c r="C16" s="1145" t="s">
        <v>1446</v>
      </c>
      <c r="D16" s="1152" t="s">
        <v>1544</v>
      </c>
      <c r="E16" s="1369">
        <f>+'3条支出'!E15</f>
        <v>106990906</v>
      </c>
      <c r="F16" s="1148"/>
      <c r="G16" s="1406"/>
      <c r="H16" s="1533"/>
      <c r="I16" s="1062">
        <f t="shared" si="15"/>
        <v>0</v>
      </c>
      <c r="J16" s="1553">
        <v>0</v>
      </c>
      <c r="K16" s="1027">
        <f>+E16-I16-J16</f>
        <v>106990906</v>
      </c>
      <c r="L16" s="1026">
        <f>+SUM(J16:K16)</f>
        <v>106990906</v>
      </c>
      <c r="M16" s="1025">
        <f>E16-SUM(I16,L16)</f>
        <v>0</v>
      </c>
      <c r="N16" s="1152" t="s">
        <v>1544</v>
      </c>
      <c r="O16" s="1370">
        <f>+'3条支出'!T15</f>
        <v>97276922</v>
      </c>
      <c r="P16" s="1148"/>
      <c r="Q16" s="1406"/>
      <c r="R16" s="1153">
        <f>+補助補給!AZ5</f>
        <v>0</v>
      </c>
      <c r="S16" s="1057">
        <f t="shared" si="16"/>
        <v>0</v>
      </c>
      <c r="T16" s="1553"/>
      <c r="U16" s="1149">
        <f>+O16-S16-T16</f>
        <v>97276922</v>
      </c>
      <c r="V16" s="1026">
        <f t="shared" si="4"/>
        <v>97276922</v>
      </c>
      <c r="W16" s="1025">
        <f t="shared" si="17"/>
        <v>0</v>
      </c>
      <c r="X16" s="1031" t="s">
        <v>1480</v>
      </c>
      <c r="Y16" s="1442"/>
      <c r="Z16" s="1442"/>
      <c r="AA16" s="1442"/>
      <c r="AB16" s="1442"/>
      <c r="AC16" s="1442"/>
      <c r="AD16" s="1029">
        <f t="shared" si="5"/>
        <v>97276922</v>
      </c>
      <c r="AE16" s="1028">
        <f t="shared" si="6"/>
        <v>0</v>
      </c>
      <c r="AF16" s="1379">
        <f t="shared" si="7"/>
        <v>0</v>
      </c>
      <c r="AG16" s="1027">
        <f t="shared" si="8"/>
        <v>0</v>
      </c>
      <c r="AH16" s="1026">
        <f t="shared" si="9"/>
        <v>0</v>
      </c>
      <c r="AI16" s="1417">
        <f t="shared" si="10"/>
        <v>0</v>
      </c>
      <c r="AJ16" s="1027">
        <f t="shared" si="11"/>
        <v>97276922</v>
      </c>
      <c r="AK16" s="1026">
        <f t="shared" si="12"/>
        <v>97276922</v>
      </c>
      <c r="AL16" s="1025">
        <f t="shared" si="13"/>
        <v>0</v>
      </c>
      <c r="AM16" s="990">
        <f t="shared" si="18"/>
        <v>0</v>
      </c>
      <c r="AN16" s="990">
        <v>566363</v>
      </c>
      <c r="AO16" s="990">
        <f t="shared" si="19"/>
        <v>-566363</v>
      </c>
      <c r="AQ16" s="990">
        <v>0</v>
      </c>
      <c r="AR16" s="990">
        <f t="shared" si="14"/>
        <v>0</v>
      </c>
      <c r="AT16" s="990" t="s">
        <v>4728</v>
      </c>
    </row>
    <row r="17" spans="1:46">
      <c r="A17" s="1139"/>
      <c r="B17" s="1146" t="s">
        <v>1429</v>
      </c>
      <c r="C17" s="1145" t="s">
        <v>1446</v>
      </c>
      <c r="D17" s="1152" t="s">
        <v>1543</v>
      </c>
      <c r="E17" s="1369">
        <f>+'3条支出'!E16</f>
        <v>247654024</v>
      </c>
      <c r="F17" s="1148"/>
      <c r="G17" s="1406"/>
      <c r="H17" s="1533"/>
      <c r="I17" s="1062">
        <f t="shared" si="15"/>
        <v>0</v>
      </c>
      <c r="J17" s="1553">
        <v>0</v>
      </c>
      <c r="K17" s="1027">
        <f t="shared" si="20"/>
        <v>247654024</v>
      </c>
      <c r="L17" s="1026">
        <f t="shared" si="0"/>
        <v>247654024</v>
      </c>
      <c r="M17" s="1025">
        <f t="shared" si="1"/>
        <v>0</v>
      </c>
      <c r="N17" s="1152" t="s">
        <v>1543</v>
      </c>
      <c r="O17" s="1370">
        <f>+'3条支出'!T16</f>
        <v>225167795</v>
      </c>
      <c r="P17" s="1148"/>
      <c r="Q17" s="1406"/>
      <c r="R17" s="1153">
        <f>+補助補給!AZ6</f>
        <v>0</v>
      </c>
      <c r="S17" s="1057">
        <f t="shared" si="16"/>
        <v>0</v>
      </c>
      <c r="T17" s="1553"/>
      <c r="U17" s="1149">
        <f t="shared" si="3"/>
        <v>225167795</v>
      </c>
      <c r="V17" s="1026">
        <f t="shared" si="4"/>
        <v>225167795</v>
      </c>
      <c r="W17" s="1025">
        <f t="shared" si="17"/>
        <v>0</v>
      </c>
      <c r="X17" s="1031" t="s">
        <v>1478</v>
      </c>
      <c r="Y17" s="1442"/>
      <c r="Z17" s="1442"/>
      <c r="AA17" s="1442"/>
      <c r="AB17" s="1442"/>
      <c r="AC17" s="1442"/>
      <c r="AD17" s="1029">
        <f t="shared" si="5"/>
        <v>225167795</v>
      </c>
      <c r="AE17" s="1028">
        <f t="shared" si="6"/>
        <v>0</v>
      </c>
      <c r="AF17" s="1379">
        <f t="shared" si="7"/>
        <v>0</v>
      </c>
      <c r="AG17" s="1027">
        <f t="shared" si="8"/>
        <v>0</v>
      </c>
      <c r="AH17" s="1026">
        <f t="shared" si="9"/>
        <v>0</v>
      </c>
      <c r="AI17" s="1417">
        <f t="shared" si="10"/>
        <v>0</v>
      </c>
      <c r="AJ17" s="1027">
        <f t="shared" si="11"/>
        <v>225167795</v>
      </c>
      <c r="AK17" s="1026">
        <f t="shared" si="12"/>
        <v>225167795</v>
      </c>
      <c r="AL17" s="1025">
        <f t="shared" si="13"/>
        <v>0</v>
      </c>
      <c r="AM17" s="990">
        <f t="shared" si="18"/>
        <v>0</v>
      </c>
      <c r="AN17" s="990">
        <v>3919090</v>
      </c>
      <c r="AO17" s="990">
        <f t="shared" si="19"/>
        <v>-3919090</v>
      </c>
      <c r="AQ17" s="990">
        <v>0</v>
      </c>
      <c r="AR17" s="990">
        <f t="shared" si="14"/>
        <v>0</v>
      </c>
      <c r="AT17" s="990" t="s">
        <v>4729</v>
      </c>
    </row>
    <row r="18" spans="1:46">
      <c r="A18" s="1139"/>
      <c r="B18" s="1146" t="s">
        <v>1429</v>
      </c>
      <c r="C18" s="1145" t="s">
        <v>1446</v>
      </c>
      <c r="D18" s="1060" t="s">
        <v>1476</v>
      </c>
      <c r="E18" s="1369">
        <f>+'3条支出'!E17</f>
        <v>76388330</v>
      </c>
      <c r="F18" s="1148"/>
      <c r="G18" s="1406"/>
      <c r="H18" s="1533"/>
      <c r="I18" s="1029">
        <f t="shared" si="15"/>
        <v>0</v>
      </c>
      <c r="J18" s="1148"/>
      <c r="K18" s="1027">
        <f t="shared" si="20"/>
        <v>76388330</v>
      </c>
      <c r="L18" s="1026">
        <f t="shared" si="0"/>
        <v>76388330</v>
      </c>
      <c r="M18" s="1025">
        <f t="shared" si="1"/>
        <v>0</v>
      </c>
      <c r="N18" s="1060" t="s">
        <v>1476</v>
      </c>
      <c r="O18" s="1370">
        <f>+'3条支出'!T17</f>
        <v>69941329</v>
      </c>
      <c r="P18" s="1148"/>
      <c r="Q18" s="1406"/>
      <c r="R18" s="1153">
        <f>+補助補給!AZ7</f>
        <v>0</v>
      </c>
      <c r="S18" s="1026">
        <f t="shared" si="16"/>
        <v>0</v>
      </c>
      <c r="T18" s="1418"/>
      <c r="U18" s="1149">
        <f t="shared" si="3"/>
        <v>69941329</v>
      </c>
      <c r="V18" s="1026">
        <f t="shared" si="4"/>
        <v>69941329</v>
      </c>
      <c r="W18" s="1025">
        <f t="shared" si="17"/>
        <v>0</v>
      </c>
      <c r="X18" s="1031" t="s">
        <v>1476</v>
      </c>
      <c r="Y18" s="1442"/>
      <c r="Z18" s="1442"/>
      <c r="AA18" s="1442"/>
      <c r="AB18" s="1442"/>
      <c r="AC18" s="1442"/>
      <c r="AD18" s="1029">
        <f t="shared" si="5"/>
        <v>69941329</v>
      </c>
      <c r="AE18" s="1028">
        <f t="shared" si="6"/>
        <v>0</v>
      </c>
      <c r="AF18" s="1379">
        <f t="shared" si="7"/>
        <v>0</v>
      </c>
      <c r="AG18" s="1027">
        <f t="shared" si="8"/>
        <v>0</v>
      </c>
      <c r="AH18" s="1026">
        <f t="shared" si="9"/>
        <v>0</v>
      </c>
      <c r="AI18" s="1417">
        <f t="shared" si="10"/>
        <v>0</v>
      </c>
      <c r="AJ18" s="1027">
        <f t="shared" si="11"/>
        <v>69941329</v>
      </c>
      <c r="AK18" s="1026">
        <f t="shared" si="12"/>
        <v>69941329</v>
      </c>
      <c r="AL18" s="1025">
        <f t="shared" si="13"/>
        <v>0</v>
      </c>
      <c r="AM18" s="990">
        <f t="shared" si="18"/>
        <v>0</v>
      </c>
      <c r="AN18" s="990">
        <v>0</v>
      </c>
      <c r="AO18" s="990">
        <f t="shared" si="19"/>
        <v>0</v>
      </c>
      <c r="AQ18" s="990">
        <v>0</v>
      </c>
      <c r="AR18" s="990">
        <f t="shared" si="14"/>
        <v>0</v>
      </c>
      <c r="AT18" s="990" t="s">
        <v>4730</v>
      </c>
    </row>
    <row r="19" spans="1:46">
      <c r="A19" s="1139"/>
      <c r="B19" s="1146" t="s">
        <v>1429</v>
      </c>
      <c r="C19" s="1145" t="s">
        <v>1446</v>
      </c>
      <c r="D19" s="1060" t="s">
        <v>1474</v>
      </c>
      <c r="E19" s="1369">
        <f>+'3条支出'!E18</f>
        <v>0</v>
      </c>
      <c r="F19" s="1148"/>
      <c r="G19" s="1406"/>
      <c r="H19" s="1149"/>
      <c r="I19" s="1029">
        <f t="shared" si="15"/>
        <v>0</v>
      </c>
      <c r="J19" s="1148"/>
      <c r="K19" s="1027">
        <f t="shared" si="20"/>
        <v>0</v>
      </c>
      <c r="L19" s="1026">
        <f t="shared" si="0"/>
        <v>0</v>
      </c>
      <c r="M19" s="1025">
        <f t="shared" si="1"/>
        <v>0</v>
      </c>
      <c r="N19" s="1060" t="s">
        <v>1474</v>
      </c>
      <c r="O19" s="1370">
        <f>+'3条支出'!T18</f>
        <v>0</v>
      </c>
      <c r="P19" s="1148"/>
      <c r="Q19" s="1406"/>
      <c r="R19" s="1149"/>
      <c r="S19" s="1026">
        <f t="shared" si="16"/>
        <v>0</v>
      </c>
      <c r="T19" s="1418"/>
      <c r="U19" s="1149">
        <f t="shared" si="3"/>
        <v>0</v>
      </c>
      <c r="V19" s="1026">
        <f t="shared" si="4"/>
        <v>0</v>
      </c>
      <c r="W19" s="1025">
        <f t="shared" si="17"/>
        <v>0</v>
      </c>
      <c r="X19" s="1031" t="s">
        <v>1474</v>
      </c>
      <c r="Y19" s="1442"/>
      <c r="Z19" s="1442"/>
      <c r="AA19" s="1442"/>
      <c r="AB19" s="1442"/>
      <c r="AC19" s="1442"/>
      <c r="AD19" s="1029">
        <f t="shared" si="5"/>
        <v>0</v>
      </c>
      <c r="AE19" s="1028">
        <f t="shared" si="6"/>
        <v>0</v>
      </c>
      <c r="AF19" s="1379">
        <f t="shared" si="7"/>
        <v>0</v>
      </c>
      <c r="AG19" s="1027">
        <f t="shared" si="8"/>
        <v>0</v>
      </c>
      <c r="AH19" s="1026">
        <f t="shared" si="9"/>
        <v>0</v>
      </c>
      <c r="AI19" s="1417">
        <f t="shared" si="10"/>
        <v>0</v>
      </c>
      <c r="AJ19" s="1027">
        <f t="shared" si="11"/>
        <v>0</v>
      </c>
      <c r="AK19" s="1026">
        <f t="shared" si="12"/>
        <v>0</v>
      </c>
      <c r="AL19" s="1025">
        <f t="shared" si="13"/>
        <v>0</v>
      </c>
      <c r="AM19" s="990">
        <f t="shared" si="18"/>
        <v>0</v>
      </c>
      <c r="AO19" s="990">
        <f t="shared" si="19"/>
        <v>0</v>
      </c>
      <c r="AR19" s="990">
        <f t="shared" si="14"/>
        <v>0</v>
      </c>
    </row>
    <row r="20" spans="1:46">
      <c r="A20" s="1139"/>
      <c r="B20" s="1146" t="s">
        <v>1429</v>
      </c>
      <c r="C20" s="1145" t="s">
        <v>1446</v>
      </c>
      <c r="D20" s="1152" t="s">
        <v>1471</v>
      </c>
      <c r="E20" s="1144">
        <f>+減耗!$E$7</f>
        <v>0</v>
      </c>
      <c r="F20" s="1142">
        <v>0</v>
      </c>
      <c r="G20" s="1406"/>
      <c r="H20" s="1027"/>
      <c r="I20" s="1062">
        <f t="shared" si="15"/>
        <v>0</v>
      </c>
      <c r="J20" s="1148"/>
      <c r="K20" s="1141">
        <v>0</v>
      </c>
      <c r="L20" s="1026">
        <f t="shared" si="0"/>
        <v>0</v>
      </c>
      <c r="M20" s="1025">
        <f t="shared" si="1"/>
        <v>0</v>
      </c>
      <c r="N20" s="1152" t="s">
        <v>1471</v>
      </c>
      <c r="O20" s="1143">
        <f>+減耗!T7</f>
        <v>0</v>
      </c>
      <c r="P20" s="1028">
        <f>+IFERROR(ROUND(F20*$O20/$E20,0),0)</f>
        <v>0</v>
      </c>
      <c r="Q20" s="1406">
        <f>+IFERROR(ROUND(G20*$O20/$E20,0),0)</f>
        <v>0</v>
      </c>
      <c r="R20" s="1149">
        <f>+IFERROR(ROUND(H20*$O20/$E20,0),0)</f>
        <v>0</v>
      </c>
      <c r="S20" s="1057">
        <f t="shared" si="16"/>
        <v>0</v>
      </c>
      <c r="T20" s="1418">
        <f>+IFERROR(ROUND(J20*$O20/$E20,0),0)</f>
        <v>0</v>
      </c>
      <c r="U20" s="1149">
        <f>+O20-S20-T20</f>
        <v>0</v>
      </c>
      <c r="V20" s="1026">
        <f t="shared" si="4"/>
        <v>0</v>
      </c>
      <c r="W20" s="1025">
        <f t="shared" si="17"/>
        <v>0</v>
      </c>
      <c r="X20" s="1039" t="s">
        <v>1471</v>
      </c>
      <c r="Y20" s="1443"/>
      <c r="Z20" s="1443"/>
      <c r="AA20" s="1443"/>
      <c r="AB20" s="1443"/>
      <c r="AC20" s="1443"/>
      <c r="AD20" s="1029">
        <f t="shared" si="5"/>
        <v>0</v>
      </c>
      <c r="AE20" s="1028">
        <f t="shared" si="6"/>
        <v>0</v>
      </c>
      <c r="AF20" s="1379">
        <f t="shared" si="7"/>
        <v>0</v>
      </c>
      <c r="AG20" s="1027">
        <f t="shared" si="8"/>
        <v>0</v>
      </c>
      <c r="AH20" s="1026">
        <f t="shared" si="9"/>
        <v>0</v>
      </c>
      <c r="AI20" s="1417">
        <f t="shared" si="10"/>
        <v>0</v>
      </c>
      <c r="AJ20" s="1027">
        <f t="shared" si="11"/>
        <v>0</v>
      </c>
      <c r="AK20" s="1026">
        <f t="shared" si="12"/>
        <v>0</v>
      </c>
      <c r="AL20" s="1025">
        <f t="shared" si="13"/>
        <v>0</v>
      </c>
      <c r="AM20" s="990">
        <f t="shared" si="18"/>
        <v>0</v>
      </c>
      <c r="AO20" s="990">
        <f t="shared" si="19"/>
        <v>0</v>
      </c>
      <c r="AR20" s="990">
        <f t="shared" si="14"/>
        <v>0</v>
      </c>
    </row>
    <row r="21" spans="1:46">
      <c r="A21" s="1139"/>
      <c r="B21" s="1146"/>
      <c r="C21" s="1145"/>
      <c r="D21" s="1060"/>
      <c r="E21" s="1151"/>
      <c r="F21" s="1158"/>
      <c r="G21" s="1408"/>
      <c r="H21" s="1149"/>
      <c r="I21" s="1029"/>
      <c r="J21" s="1158"/>
      <c r="K21" s="1027"/>
      <c r="L21" s="1026"/>
      <c r="M21" s="1025"/>
      <c r="N21" s="1060"/>
      <c r="O21" s="1150"/>
      <c r="P21" s="1158"/>
      <c r="Q21" s="1408"/>
      <c r="R21" s="1149"/>
      <c r="S21" s="1026"/>
      <c r="T21" s="1419"/>
      <c r="U21" s="1149"/>
      <c r="V21" s="1026"/>
      <c r="W21" s="1025"/>
      <c r="X21" s="1031"/>
      <c r="Y21" s="1442"/>
      <c r="Z21" s="1442"/>
      <c r="AA21" s="1442"/>
      <c r="AB21" s="1442"/>
      <c r="AC21" s="1442"/>
      <c r="AD21" s="1029"/>
      <c r="AE21" s="1028"/>
      <c r="AF21" s="1379"/>
      <c r="AG21" s="1027"/>
      <c r="AH21" s="1041"/>
      <c r="AI21" s="1417"/>
      <c r="AJ21" s="1027"/>
      <c r="AK21" s="1041"/>
      <c r="AL21" s="1025"/>
      <c r="AM21" s="990">
        <f t="shared" si="18"/>
        <v>0</v>
      </c>
      <c r="AO21" s="990">
        <f t="shared" si="19"/>
        <v>0</v>
      </c>
      <c r="AR21" s="990">
        <f t="shared" si="14"/>
        <v>0</v>
      </c>
    </row>
    <row r="22" spans="1:46">
      <c r="A22" s="1139"/>
      <c r="B22" s="1146" t="s">
        <v>1429</v>
      </c>
      <c r="C22" s="1145" t="s">
        <v>1439</v>
      </c>
      <c r="D22" s="1060" t="s">
        <v>1468</v>
      </c>
      <c r="E22" s="1144">
        <f>+営外!E11</f>
        <v>2483</v>
      </c>
      <c r="F22" s="1154">
        <f>+雨汚支出!AV3</f>
        <v>0</v>
      </c>
      <c r="G22" s="1401">
        <f>+雨汚支出!AW3</f>
        <v>0</v>
      </c>
      <c r="H22" s="1153">
        <f>+雨汚支出!AX3</f>
        <v>0</v>
      </c>
      <c r="I22" s="1029">
        <f t="shared" si="15"/>
        <v>0</v>
      </c>
      <c r="J22" s="1154">
        <f>+雨汚支出!AZ3</f>
        <v>0</v>
      </c>
      <c r="K22" s="1153">
        <f>+雨汚支出!BA3</f>
        <v>2483</v>
      </c>
      <c r="L22" s="1026">
        <f t="shared" si="0"/>
        <v>2483</v>
      </c>
      <c r="M22" s="1025">
        <f t="shared" si="1"/>
        <v>0</v>
      </c>
      <c r="N22" s="1060" t="s">
        <v>1468</v>
      </c>
      <c r="O22" s="1143">
        <f>+営外!T11</f>
        <v>2483</v>
      </c>
      <c r="P22" s="1154">
        <f>+雨汚支出!BF3</f>
        <v>0</v>
      </c>
      <c r="Q22" s="1401">
        <f>+雨汚支出!BG3</f>
        <v>0</v>
      </c>
      <c r="R22" s="1153">
        <f>+雨汚支出!BH3</f>
        <v>0</v>
      </c>
      <c r="S22" s="1026">
        <f t="shared" si="16"/>
        <v>0</v>
      </c>
      <c r="T22" s="1420">
        <f>+雨汚支出!BJ3</f>
        <v>0</v>
      </c>
      <c r="U22" s="1153">
        <f>+雨汚支出!BK3</f>
        <v>2483</v>
      </c>
      <c r="V22" s="1026">
        <f t="shared" si="4"/>
        <v>2483</v>
      </c>
      <c r="W22" s="1025">
        <f t="shared" si="17"/>
        <v>0</v>
      </c>
      <c r="X22" s="1031" t="s">
        <v>1468</v>
      </c>
      <c r="Y22" s="1442"/>
      <c r="Z22" s="1442"/>
      <c r="AA22" s="1442"/>
      <c r="AB22" s="1442"/>
      <c r="AC22" s="1442"/>
      <c r="AD22" s="1029">
        <f t="shared" ref="AD22:AG24" si="21">+O22</f>
        <v>2483</v>
      </c>
      <c r="AE22" s="1028">
        <f t="shared" si="21"/>
        <v>0</v>
      </c>
      <c r="AF22" s="1379">
        <f t="shared" si="21"/>
        <v>0</v>
      </c>
      <c r="AG22" s="1027">
        <f t="shared" si="21"/>
        <v>0</v>
      </c>
      <c r="AH22" s="1026">
        <f t="shared" si="9"/>
        <v>0</v>
      </c>
      <c r="AI22" s="1417">
        <f t="shared" ref="AI22:AJ24" si="22">+T22</f>
        <v>0</v>
      </c>
      <c r="AJ22" s="1027">
        <f t="shared" si="22"/>
        <v>2483</v>
      </c>
      <c r="AK22" s="1026">
        <f t="shared" si="12"/>
        <v>2483</v>
      </c>
      <c r="AL22" s="1025">
        <f t="shared" si="13"/>
        <v>0</v>
      </c>
      <c r="AM22" s="990">
        <f t="shared" si="18"/>
        <v>0</v>
      </c>
      <c r="AO22" s="990">
        <f t="shared" si="19"/>
        <v>0</v>
      </c>
      <c r="AR22" s="990">
        <f t="shared" si="14"/>
        <v>0</v>
      </c>
    </row>
    <row r="23" spans="1:46">
      <c r="A23" s="1139"/>
      <c r="B23" s="1146" t="s">
        <v>1429</v>
      </c>
      <c r="C23" s="1145" t="s">
        <v>1439</v>
      </c>
      <c r="D23" s="1060" t="s">
        <v>1465</v>
      </c>
      <c r="E23" s="1144">
        <f>+営外!E15+営外!E16-E24</f>
        <v>25896</v>
      </c>
      <c r="F23" s="1154">
        <f>+雨汚支出!AV4+雨汚支出!AV5-F24</f>
        <v>0</v>
      </c>
      <c r="G23" s="1401">
        <f>+雨汚支出!AW4+雨汚支出!AW5-G24</f>
        <v>0</v>
      </c>
      <c r="H23" s="1153">
        <f>+雨汚支出!AX4+雨汚支出!AX5-H24</f>
        <v>0</v>
      </c>
      <c r="I23" s="1029">
        <f t="shared" si="15"/>
        <v>0</v>
      </c>
      <c r="J23" s="1154">
        <f>+雨汚支出!AZ4+雨汚支出!AZ5-J24</f>
        <v>0</v>
      </c>
      <c r="K23" s="1153">
        <f>+雨汚支出!BA4+雨汚支出!BA5-K24</f>
        <v>25896</v>
      </c>
      <c r="L23" s="1026">
        <f t="shared" si="0"/>
        <v>25896</v>
      </c>
      <c r="M23" s="1025">
        <f t="shared" si="1"/>
        <v>0</v>
      </c>
      <c r="N23" s="1060" t="s">
        <v>1465</v>
      </c>
      <c r="O23" s="1144">
        <f>+営外!T15+営外!T16-O24</f>
        <v>24123</v>
      </c>
      <c r="P23" s="1154">
        <f>+雨汚支出!BF4+雨汚支出!BF5-P24</f>
        <v>0</v>
      </c>
      <c r="Q23" s="1401">
        <f>+雨汚支出!BG4+雨汚支出!BG5-Q24</f>
        <v>0</v>
      </c>
      <c r="R23" s="1153">
        <f>+雨汚支出!BH4+雨汚支出!BH5-R24</f>
        <v>0</v>
      </c>
      <c r="S23" s="1026">
        <f t="shared" si="16"/>
        <v>0</v>
      </c>
      <c r="T23" s="1420">
        <f>+雨汚支出!BJ4+雨汚支出!BJ5-T24</f>
        <v>0</v>
      </c>
      <c r="U23" s="1153">
        <f>+雨汚支出!BK4+雨汚支出!BK5-U24</f>
        <v>24123</v>
      </c>
      <c r="V23" s="1026">
        <f t="shared" si="4"/>
        <v>24123</v>
      </c>
      <c r="W23" s="1025">
        <f t="shared" si="17"/>
        <v>0</v>
      </c>
      <c r="X23" s="1060" t="s">
        <v>1465</v>
      </c>
      <c r="Y23" s="1444"/>
      <c r="Z23" s="1444"/>
      <c r="AA23" s="1444"/>
      <c r="AB23" s="1444"/>
      <c r="AC23" s="1444"/>
      <c r="AD23" s="1040">
        <f t="shared" si="21"/>
        <v>24123</v>
      </c>
      <c r="AE23" s="1028">
        <f t="shared" si="21"/>
        <v>0</v>
      </c>
      <c r="AF23" s="1379">
        <f t="shared" si="21"/>
        <v>0</v>
      </c>
      <c r="AG23" s="1027">
        <f t="shared" si="21"/>
        <v>0</v>
      </c>
      <c r="AH23" s="1026">
        <f t="shared" si="9"/>
        <v>0</v>
      </c>
      <c r="AI23" s="1417">
        <f t="shared" si="22"/>
        <v>0</v>
      </c>
      <c r="AJ23" s="1027">
        <f t="shared" si="22"/>
        <v>24123</v>
      </c>
      <c r="AK23" s="1026">
        <f t="shared" si="12"/>
        <v>24123</v>
      </c>
      <c r="AL23" s="1025">
        <f t="shared" si="13"/>
        <v>0</v>
      </c>
      <c r="AM23" s="990">
        <f t="shared" si="18"/>
        <v>0</v>
      </c>
      <c r="AO23" s="990">
        <f t="shared" si="19"/>
        <v>0</v>
      </c>
      <c r="AR23" s="990">
        <f t="shared" si="14"/>
        <v>0</v>
      </c>
    </row>
    <row r="24" spans="1:46">
      <c r="A24" s="1139"/>
      <c r="B24" s="1146" t="s">
        <v>1542</v>
      </c>
      <c r="C24" s="1145" t="s">
        <v>1541</v>
      </c>
      <c r="D24" s="1060" t="s">
        <v>1463</v>
      </c>
      <c r="E24" s="1144">
        <f>+営外!E20</f>
        <v>9198273</v>
      </c>
      <c r="F24" s="1028"/>
      <c r="G24" s="1379"/>
      <c r="H24" s="1027"/>
      <c r="I24" s="1029">
        <f t="shared" si="15"/>
        <v>0</v>
      </c>
      <c r="J24" s="1028"/>
      <c r="K24" s="1027">
        <f>+E24-I24-J24</f>
        <v>9198273</v>
      </c>
      <c r="L24" s="1026">
        <f t="shared" si="0"/>
        <v>9198273</v>
      </c>
      <c r="M24" s="1025">
        <f t="shared" si="1"/>
        <v>0</v>
      </c>
      <c r="N24" s="1060" t="s">
        <v>1463</v>
      </c>
      <c r="O24" s="1144">
        <f>+営外!T20</f>
        <v>8710224</v>
      </c>
      <c r="P24" s="1148"/>
      <c r="Q24" s="1379"/>
      <c r="R24" s="1027"/>
      <c r="S24" s="1026">
        <f t="shared" si="16"/>
        <v>0</v>
      </c>
      <c r="T24" s="1417"/>
      <c r="U24" s="1149">
        <f t="shared" ref="U24:U28" si="23">+O24-S24-T24</f>
        <v>8710224</v>
      </c>
      <c r="V24" s="1026">
        <f t="shared" si="4"/>
        <v>8710224</v>
      </c>
      <c r="W24" s="1025">
        <f t="shared" si="17"/>
        <v>0</v>
      </c>
      <c r="X24" s="1031" t="s">
        <v>1463</v>
      </c>
      <c r="Y24" s="1445"/>
      <c r="Z24" s="1445"/>
      <c r="AA24" s="1445"/>
      <c r="AB24" s="1445"/>
      <c r="AC24" s="1445"/>
      <c r="AD24" s="1040">
        <f t="shared" si="21"/>
        <v>8710224</v>
      </c>
      <c r="AE24" s="1028">
        <f t="shared" si="21"/>
        <v>0</v>
      </c>
      <c r="AF24" s="1379">
        <f t="shared" si="21"/>
        <v>0</v>
      </c>
      <c r="AG24" s="1027">
        <f t="shared" si="21"/>
        <v>0</v>
      </c>
      <c r="AH24" s="1026">
        <f t="shared" si="9"/>
        <v>0</v>
      </c>
      <c r="AI24" s="1417">
        <f t="shared" si="22"/>
        <v>0</v>
      </c>
      <c r="AJ24" s="1027">
        <f t="shared" si="22"/>
        <v>8710224</v>
      </c>
      <c r="AK24" s="1026">
        <f t="shared" si="12"/>
        <v>8710224</v>
      </c>
      <c r="AL24" s="1025">
        <f t="shared" si="13"/>
        <v>0</v>
      </c>
      <c r="AM24" s="990">
        <f t="shared" si="18"/>
        <v>0</v>
      </c>
      <c r="AN24" s="990">
        <v>7273000</v>
      </c>
      <c r="AO24" s="990">
        <f t="shared" si="19"/>
        <v>-7273000</v>
      </c>
      <c r="AQ24" s="990">
        <v>0</v>
      </c>
      <c r="AR24" s="990">
        <f t="shared" si="14"/>
        <v>0</v>
      </c>
      <c r="AT24" s="990" t="s">
        <v>4731</v>
      </c>
    </row>
    <row r="25" spans="1:46">
      <c r="A25" s="1139"/>
      <c r="B25" s="1146" t="s">
        <v>1429</v>
      </c>
      <c r="C25" s="1145" t="s">
        <v>1439</v>
      </c>
      <c r="D25" s="1152" t="s">
        <v>1460</v>
      </c>
      <c r="E25" s="1040"/>
      <c r="F25" s="1148"/>
      <c r="G25" s="1406"/>
      <c r="H25" s="1149"/>
      <c r="I25" s="1029">
        <f t="shared" si="15"/>
        <v>0</v>
      </c>
      <c r="J25" s="1148"/>
      <c r="K25" s="1027">
        <f>+E25-I25-J25</f>
        <v>0</v>
      </c>
      <c r="L25" s="1026">
        <f t="shared" si="0"/>
        <v>0</v>
      </c>
      <c r="M25" s="1025">
        <f t="shared" si="1"/>
        <v>0</v>
      </c>
      <c r="N25" s="1152" t="s">
        <v>1460</v>
      </c>
      <c r="O25" s="1040"/>
      <c r="P25" s="1148"/>
      <c r="Q25" s="1406"/>
      <c r="R25" s="1149"/>
      <c r="S25" s="1026">
        <f t="shared" si="16"/>
        <v>0</v>
      </c>
      <c r="T25" s="1418"/>
      <c r="U25" s="1149">
        <f t="shared" si="23"/>
        <v>0</v>
      </c>
      <c r="V25" s="1026">
        <f t="shared" si="4"/>
        <v>0</v>
      </c>
      <c r="W25" s="1025">
        <f t="shared" si="17"/>
        <v>0</v>
      </c>
      <c r="X25" s="1039" t="s">
        <v>1460</v>
      </c>
      <c r="Y25" s="1446"/>
      <c r="Z25" s="1446"/>
      <c r="AA25" s="1446"/>
      <c r="AB25" s="1446"/>
      <c r="AC25" s="1446"/>
      <c r="AD25" s="1050">
        <f>+AD130-AD39</f>
        <v>209933209</v>
      </c>
      <c r="AE25" s="1037">
        <f>+AE130-AE39</f>
        <v>161840742</v>
      </c>
      <c r="AF25" s="1378">
        <f>+AF130-AF39</f>
        <v>15449991</v>
      </c>
      <c r="AG25" s="1036">
        <f>+AG130-AG39</f>
        <v>23053301</v>
      </c>
      <c r="AH25" s="1026">
        <f t="shared" si="9"/>
        <v>200344034</v>
      </c>
      <c r="AI25" s="1422">
        <f>+AI130-AI39</f>
        <v>9576435</v>
      </c>
      <c r="AJ25" s="1036">
        <f>+AJ130-AJ39</f>
        <v>12740</v>
      </c>
      <c r="AK25" s="1026">
        <f t="shared" si="12"/>
        <v>9589175</v>
      </c>
      <c r="AL25" s="1025">
        <f t="shared" si="13"/>
        <v>0</v>
      </c>
      <c r="AM25" s="990">
        <f t="shared" si="18"/>
        <v>209920469</v>
      </c>
      <c r="AN25" s="990">
        <v>191121651</v>
      </c>
      <c r="AO25" s="990">
        <f t="shared" si="19"/>
        <v>18798818</v>
      </c>
      <c r="AQ25" s="990">
        <v>210556000</v>
      </c>
      <c r="AR25" s="990">
        <f t="shared" si="14"/>
        <v>-635531</v>
      </c>
      <c r="AT25" s="990" t="s">
        <v>4732</v>
      </c>
    </row>
    <row r="26" spans="1:46">
      <c r="A26" s="1139"/>
      <c r="B26" s="1146" t="s">
        <v>1429</v>
      </c>
      <c r="C26" s="1145" t="s">
        <v>1439</v>
      </c>
      <c r="D26" s="1060" t="s">
        <v>4768</v>
      </c>
      <c r="E26" s="1040"/>
      <c r="F26" s="1148"/>
      <c r="G26" s="1406"/>
      <c r="H26" s="1149"/>
      <c r="I26" s="1029"/>
      <c r="J26" s="1148"/>
      <c r="K26" s="1027"/>
      <c r="L26" s="1026"/>
      <c r="M26" s="1025"/>
      <c r="N26" s="1060" t="s">
        <v>4768</v>
      </c>
      <c r="O26" s="1040"/>
      <c r="P26" s="1148"/>
      <c r="Q26" s="1406"/>
      <c r="R26" s="1149"/>
      <c r="S26" s="1026"/>
      <c r="T26" s="1418"/>
      <c r="U26" s="1149"/>
      <c r="V26" s="1026"/>
      <c r="W26" s="1025"/>
      <c r="X26" s="1060" t="s">
        <v>4768</v>
      </c>
      <c r="Y26" s="1442"/>
      <c r="Z26" s="1442"/>
      <c r="AA26" s="1442"/>
      <c r="AB26" s="1442"/>
      <c r="AC26" s="1442"/>
      <c r="AD26" s="1027">
        <f>営外!$T$19</f>
        <v>629</v>
      </c>
      <c r="AE26" s="1028"/>
      <c r="AF26" s="1379"/>
      <c r="AG26" s="1027"/>
      <c r="AH26" s="1026">
        <f t="shared" si="9"/>
        <v>0</v>
      </c>
      <c r="AI26" s="1417"/>
      <c r="AJ26" s="1027">
        <f>営外!$T$19</f>
        <v>629</v>
      </c>
      <c r="AK26" s="1026">
        <f t="shared" si="12"/>
        <v>629</v>
      </c>
      <c r="AL26" s="1025">
        <f t="shared" si="13"/>
        <v>0</v>
      </c>
      <c r="AM26" s="990">
        <f t="shared" si="18"/>
        <v>0</v>
      </c>
      <c r="AO26" s="990">
        <f t="shared" si="19"/>
        <v>0</v>
      </c>
      <c r="AR26" s="990">
        <f t="shared" si="14"/>
        <v>0</v>
      </c>
    </row>
    <row r="27" spans="1:46">
      <c r="A27" s="1139"/>
      <c r="B27" s="1146"/>
      <c r="C27" s="1145"/>
      <c r="D27" s="1060"/>
      <c r="E27" s="1151"/>
      <c r="F27" s="1148"/>
      <c r="G27" s="1406"/>
      <c r="H27" s="1149"/>
      <c r="I27" s="1029"/>
      <c r="J27" s="1148"/>
      <c r="K27" s="1027"/>
      <c r="L27" s="1026"/>
      <c r="M27" s="1025"/>
      <c r="N27" s="1060"/>
      <c r="O27" s="1150"/>
      <c r="P27" s="1148"/>
      <c r="Q27" s="1406"/>
      <c r="R27" s="1149"/>
      <c r="S27" s="1026"/>
      <c r="T27" s="1418"/>
      <c r="U27" s="1149"/>
      <c r="V27" s="1026"/>
      <c r="W27" s="1025"/>
      <c r="X27" s="1031"/>
      <c r="Y27" s="1442"/>
      <c r="Z27" s="1442"/>
      <c r="AA27" s="1442"/>
      <c r="AB27" s="1442"/>
      <c r="AC27" s="1442"/>
      <c r="AD27" s="1029"/>
      <c r="AE27" s="1028"/>
      <c r="AF27" s="1379"/>
      <c r="AG27" s="1027"/>
      <c r="AH27" s="1026"/>
      <c r="AI27" s="1417"/>
      <c r="AJ27" s="1027"/>
      <c r="AK27" s="1026"/>
      <c r="AL27" s="1025"/>
      <c r="AM27" s="990">
        <f t="shared" si="18"/>
        <v>0</v>
      </c>
      <c r="AO27" s="990">
        <f t="shared" si="19"/>
        <v>0</v>
      </c>
      <c r="AR27" s="990">
        <f t="shared" si="14"/>
        <v>0</v>
      </c>
    </row>
    <row r="28" spans="1:46">
      <c r="A28" s="1139"/>
      <c r="B28" s="1146" t="s">
        <v>1429</v>
      </c>
      <c r="C28" s="1145" t="s">
        <v>1433</v>
      </c>
      <c r="D28" s="1060" t="s">
        <v>1455</v>
      </c>
      <c r="E28" s="1369">
        <f>+'3条支出'!$E$30</f>
        <v>10315355</v>
      </c>
      <c r="F28" s="1154">
        <f>+雨汚支出!AV6</f>
        <v>0</v>
      </c>
      <c r="G28" s="1401">
        <f>+雨汚支出!AW6</f>
        <v>0</v>
      </c>
      <c r="H28" s="1153">
        <f>+雨汚支出!AX6</f>
        <v>0</v>
      </c>
      <c r="I28" s="1029">
        <f t="shared" si="15"/>
        <v>0</v>
      </c>
      <c r="J28" s="1154">
        <f>+雨汚支出!AZ6</f>
        <v>0</v>
      </c>
      <c r="K28" s="1153">
        <f>+雨汚支出!BA6</f>
        <v>10315355</v>
      </c>
      <c r="L28" s="1026">
        <f t="shared" si="0"/>
        <v>10315355</v>
      </c>
      <c r="M28" s="1025">
        <f t="shared" si="1"/>
        <v>0</v>
      </c>
      <c r="N28" s="1060" t="s">
        <v>1455</v>
      </c>
      <c r="O28" s="1370">
        <f>+'3条支出'!$T$30</f>
        <v>10315355</v>
      </c>
      <c r="P28" s="1028">
        <f>+F28</f>
        <v>0</v>
      </c>
      <c r="Q28" s="1379">
        <f>+G28</f>
        <v>0</v>
      </c>
      <c r="R28" s="1149"/>
      <c r="S28" s="1026">
        <f t="shared" si="16"/>
        <v>0</v>
      </c>
      <c r="T28" s="1417">
        <f>+J28</f>
        <v>0</v>
      </c>
      <c r="U28" s="1027">
        <f t="shared" si="23"/>
        <v>10315355</v>
      </c>
      <c r="V28" s="1026">
        <f t="shared" si="4"/>
        <v>10315355</v>
      </c>
      <c r="W28" s="1025">
        <f t="shared" si="17"/>
        <v>0</v>
      </c>
      <c r="X28" s="1031" t="s">
        <v>1455</v>
      </c>
      <c r="Y28" s="1442"/>
      <c r="Z28" s="1442"/>
      <c r="AA28" s="1442"/>
      <c r="AB28" s="1442"/>
      <c r="AC28" s="1442"/>
      <c r="AD28" s="1029">
        <f t="shared" ref="AD28:AG32" si="24">+O28</f>
        <v>10315355</v>
      </c>
      <c r="AE28" s="1028">
        <f t="shared" si="24"/>
        <v>0</v>
      </c>
      <c r="AF28" s="1379">
        <f t="shared" si="24"/>
        <v>0</v>
      </c>
      <c r="AG28" s="1027">
        <f t="shared" si="24"/>
        <v>0</v>
      </c>
      <c r="AH28" s="1041">
        <f t="shared" si="9"/>
        <v>0</v>
      </c>
      <c r="AI28" s="1417">
        <f t="shared" ref="AI28:AJ32" si="25">+T28</f>
        <v>0</v>
      </c>
      <c r="AJ28" s="1027">
        <f t="shared" si="25"/>
        <v>10315355</v>
      </c>
      <c r="AK28" s="1041">
        <f t="shared" si="12"/>
        <v>10315355</v>
      </c>
      <c r="AL28" s="1025">
        <f t="shared" si="13"/>
        <v>0</v>
      </c>
      <c r="AM28" s="990">
        <f t="shared" si="18"/>
        <v>0</v>
      </c>
      <c r="AO28" s="990">
        <f t="shared" si="19"/>
        <v>0</v>
      </c>
      <c r="AR28" s="990">
        <f t="shared" si="14"/>
        <v>0</v>
      </c>
    </row>
    <row r="29" spans="1:46">
      <c r="A29" s="1139"/>
      <c r="B29" s="1146" t="s">
        <v>1429</v>
      </c>
      <c r="C29" s="1145" t="s">
        <v>1433</v>
      </c>
      <c r="D29" s="1060" t="s">
        <v>1452</v>
      </c>
      <c r="E29" s="1369">
        <f>+'3条支出'!$E$28-E42</f>
        <v>10679943</v>
      </c>
      <c r="F29" s="1154">
        <f>+雨汚支出!AV7-F42</f>
        <v>6760</v>
      </c>
      <c r="G29" s="1401">
        <f>+雨汚支出!AW7-G42</f>
        <v>0</v>
      </c>
      <c r="H29" s="1153">
        <f>+雨汚支出!AX7-H42</f>
        <v>0</v>
      </c>
      <c r="I29" s="1029">
        <f t="shared" si="15"/>
        <v>6760</v>
      </c>
      <c r="J29" s="1154">
        <f>+雨汚支出!AZ7-J42</f>
        <v>0</v>
      </c>
      <c r="K29" s="1153">
        <f>+雨汚支出!BA7-K42</f>
        <v>10673183</v>
      </c>
      <c r="L29" s="1026">
        <f t="shared" si="0"/>
        <v>10673183</v>
      </c>
      <c r="M29" s="1025">
        <f t="shared" si="1"/>
        <v>0</v>
      </c>
      <c r="N29" s="1060" t="s">
        <v>1452</v>
      </c>
      <c r="O29" s="1370">
        <f>+'3条支出'!$T$28-O42</f>
        <v>9711499</v>
      </c>
      <c r="P29" s="1154">
        <f>+雨汚支出!BF7-P42</f>
        <v>6733</v>
      </c>
      <c r="Q29" s="1401">
        <f>+雨汚支出!BG7-Q42</f>
        <v>0</v>
      </c>
      <c r="R29" s="1153">
        <f>+雨汚支出!BH7-R42</f>
        <v>0</v>
      </c>
      <c r="S29" s="1026">
        <f t="shared" si="16"/>
        <v>6733</v>
      </c>
      <c r="T29" s="1420">
        <f>+雨汚支出!BJ7-T42</f>
        <v>0</v>
      </c>
      <c r="U29" s="1153">
        <f>+雨汚支出!BK7-U42</f>
        <v>9704766</v>
      </c>
      <c r="V29" s="1026">
        <f t="shared" si="4"/>
        <v>9704766</v>
      </c>
      <c r="W29" s="1025">
        <f t="shared" si="17"/>
        <v>0</v>
      </c>
      <c r="X29" s="1031" t="s">
        <v>1452</v>
      </c>
      <c r="Y29" s="1442"/>
      <c r="Z29" s="1442"/>
      <c r="AA29" s="1442"/>
      <c r="AB29" s="1442"/>
      <c r="AC29" s="1442"/>
      <c r="AD29" s="1029">
        <f t="shared" si="24"/>
        <v>9711499</v>
      </c>
      <c r="AE29" s="1028">
        <f t="shared" si="24"/>
        <v>6733</v>
      </c>
      <c r="AF29" s="1379">
        <f t="shared" si="24"/>
        <v>0</v>
      </c>
      <c r="AG29" s="1027">
        <f t="shared" si="24"/>
        <v>0</v>
      </c>
      <c r="AH29" s="1026">
        <f t="shared" si="9"/>
        <v>6733</v>
      </c>
      <c r="AI29" s="1417">
        <f t="shared" si="25"/>
        <v>0</v>
      </c>
      <c r="AJ29" s="1027">
        <f t="shared" si="25"/>
        <v>9704766</v>
      </c>
      <c r="AK29" s="1026">
        <f t="shared" si="12"/>
        <v>9704766</v>
      </c>
      <c r="AL29" s="1025">
        <f>AD29-SUM(AH29,AK29)</f>
        <v>0</v>
      </c>
      <c r="AM29" s="990">
        <f t="shared" si="18"/>
        <v>6733</v>
      </c>
      <c r="AO29" s="990">
        <f t="shared" si="19"/>
        <v>6733</v>
      </c>
      <c r="AR29" s="990">
        <f t="shared" si="14"/>
        <v>6733</v>
      </c>
    </row>
    <row r="30" spans="1:46">
      <c r="A30" s="1139"/>
      <c r="B30" s="1146" t="s">
        <v>1429</v>
      </c>
      <c r="C30" s="1145" t="s">
        <v>1433</v>
      </c>
      <c r="D30" s="1060" t="s">
        <v>1435</v>
      </c>
      <c r="E30" s="1369">
        <f>+'3条支出'!$E$29-E43</f>
        <v>0</v>
      </c>
      <c r="F30" s="1154">
        <f>+雨汚支出!AV8-F43</f>
        <v>0</v>
      </c>
      <c r="G30" s="1401">
        <f>+雨汚支出!AW8-G43</f>
        <v>0</v>
      </c>
      <c r="H30" s="1153">
        <f>+雨汚支出!AX8-H43</f>
        <v>0</v>
      </c>
      <c r="I30" s="1029">
        <f t="shared" si="15"/>
        <v>0</v>
      </c>
      <c r="J30" s="1154">
        <f>+雨汚支出!AZ8-J43</f>
        <v>0</v>
      </c>
      <c r="K30" s="1153">
        <f>+雨汚支出!BA8-K43</f>
        <v>0</v>
      </c>
      <c r="L30" s="1026">
        <f t="shared" si="0"/>
        <v>0</v>
      </c>
      <c r="M30" s="1025">
        <f t="shared" si="1"/>
        <v>0</v>
      </c>
      <c r="N30" s="1060" t="s">
        <v>1435</v>
      </c>
      <c r="O30" s="1370">
        <f>+'3条支出'!$T$29-O43</f>
        <v>0</v>
      </c>
      <c r="P30" s="1154">
        <f>+雨汚支出!BF8-P43</f>
        <v>0</v>
      </c>
      <c r="Q30" s="1401">
        <f>+雨汚支出!BG8-Q43</f>
        <v>0</v>
      </c>
      <c r="R30" s="1153">
        <f>+雨汚支出!BH8-R43</f>
        <v>0</v>
      </c>
      <c r="S30" s="1026">
        <f t="shared" si="16"/>
        <v>0</v>
      </c>
      <c r="T30" s="1420">
        <f>+雨汚支出!BJ8-T43</f>
        <v>0</v>
      </c>
      <c r="U30" s="1153">
        <f>+雨汚支出!BK8-U43</f>
        <v>0</v>
      </c>
      <c r="V30" s="1026">
        <f t="shared" si="4"/>
        <v>0</v>
      </c>
      <c r="W30" s="1025">
        <f t="shared" si="17"/>
        <v>0</v>
      </c>
      <c r="X30" s="1031" t="s">
        <v>1435</v>
      </c>
      <c r="Y30" s="1442"/>
      <c r="Z30" s="1442"/>
      <c r="AA30" s="1442"/>
      <c r="AB30" s="1442"/>
      <c r="AC30" s="1442"/>
      <c r="AD30" s="1029">
        <f t="shared" si="24"/>
        <v>0</v>
      </c>
      <c r="AE30" s="1028">
        <f t="shared" si="24"/>
        <v>0</v>
      </c>
      <c r="AF30" s="1379">
        <f t="shared" si="24"/>
        <v>0</v>
      </c>
      <c r="AG30" s="1027">
        <f t="shared" si="24"/>
        <v>0</v>
      </c>
      <c r="AH30" s="1026">
        <f t="shared" si="9"/>
        <v>0</v>
      </c>
      <c r="AI30" s="1417">
        <f t="shared" si="25"/>
        <v>0</v>
      </c>
      <c r="AJ30" s="1027">
        <f t="shared" si="25"/>
        <v>0</v>
      </c>
      <c r="AK30" s="1026">
        <f t="shared" si="12"/>
        <v>0</v>
      </c>
      <c r="AL30" s="1025">
        <f t="shared" si="13"/>
        <v>0</v>
      </c>
      <c r="AM30" s="990">
        <f t="shared" si="18"/>
        <v>0</v>
      </c>
      <c r="AO30" s="990">
        <f t="shared" si="19"/>
        <v>0</v>
      </c>
      <c r="AR30" s="990">
        <f t="shared" si="14"/>
        <v>0</v>
      </c>
    </row>
    <row r="31" spans="1:46">
      <c r="A31" s="1139"/>
      <c r="B31" s="1146" t="s">
        <v>1429</v>
      </c>
      <c r="C31" s="1145" t="s">
        <v>1433</v>
      </c>
      <c r="D31" s="1060"/>
      <c r="E31" s="1151"/>
      <c r="F31" s="1148"/>
      <c r="G31" s="1406"/>
      <c r="H31" s="1149"/>
      <c r="I31" s="1029">
        <f t="shared" si="15"/>
        <v>0</v>
      </c>
      <c r="J31" s="1148"/>
      <c r="K31" s="1027">
        <f>+E31-I31-J31</f>
        <v>0</v>
      </c>
      <c r="L31" s="1026">
        <f t="shared" si="0"/>
        <v>0</v>
      </c>
      <c r="M31" s="1025">
        <f t="shared" si="1"/>
        <v>0</v>
      </c>
      <c r="N31" s="1060"/>
      <c r="O31" s="1150"/>
      <c r="P31" s="1148"/>
      <c r="Q31" s="1406"/>
      <c r="R31" s="1149"/>
      <c r="S31" s="1026">
        <f t="shared" si="16"/>
        <v>0</v>
      </c>
      <c r="T31" s="1418"/>
      <c r="U31" s="1027">
        <f t="shared" ref="U31:U44" si="26">+O31-S31-T31</f>
        <v>0</v>
      </c>
      <c r="V31" s="1026">
        <f t="shared" si="4"/>
        <v>0</v>
      </c>
      <c r="W31" s="1025">
        <f t="shared" si="17"/>
        <v>0</v>
      </c>
      <c r="X31" s="1031"/>
      <c r="Y31" s="1442"/>
      <c r="Z31" s="1442"/>
      <c r="AA31" s="1442"/>
      <c r="AB31" s="1442"/>
      <c r="AC31" s="1442"/>
      <c r="AD31" s="1029">
        <f t="shared" si="24"/>
        <v>0</v>
      </c>
      <c r="AE31" s="1028">
        <f t="shared" si="24"/>
        <v>0</v>
      </c>
      <c r="AF31" s="1379">
        <f t="shared" si="24"/>
        <v>0</v>
      </c>
      <c r="AG31" s="1027">
        <f t="shared" si="24"/>
        <v>0</v>
      </c>
      <c r="AH31" s="1026">
        <f t="shared" si="9"/>
        <v>0</v>
      </c>
      <c r="AI31" s="1417">
        <f t="shared" si="25"/>
        <v>0</v>
      </c>
      <c r="AJ31" s="1027">
        <f t="shared" si="25"/>
        <v>0</v>
      </c>
      <c r="AK31" s="1026">
        <f t="shared" si="12"/>
        <v>0</v>
      </c>
      <c r="AL31" s="1025">
        <f t="shared" si="13"/>
        <v>0</v>
      </c>
      <c r="AM31" s="990">
        <f t="shared" si="18"/>
        <v>0</v>
      </c>
      <c r="AO31" s="990">
        <f t="shared" si="19"/>
        <v>0</v>
      </c>
      <c r="AR31" s="990">
        <f t="shared" si="14"/>
        <v>0</v>
      </c>
    </row>
    <row r="32" spans="1:46">
      <c r="A32" s="1139"/>
      <c r="B32" s="1146" t="s">
        <v>1429</v>
      </c>
      <c r="C32" s="1145" t="s">
        <v>1433</v>
      </c>
      <c r="D32" s="1060"/>
      <c r="E32" s="1151"/>
      <c r="F32" s="1148"/>
      <c r="G32" s="1406"/>
      <c r="H32" s="1149"/>
      <c r="I32" s="1029">
        <f t="shared" si="15"/>
        <v>0</v>
      </c>
      <c r="J32" s="1148"/>
      <c r="K32" s="1027">
        <f>+E32-I32-J32</f>
        <v>0</v>
      </c>
      <c r="L32" s="1026">
        <f t="shared" si="0"/>
        <v>0</v>
      </c>
      <c r="M32" s="1025">
        <f t="shared" si="1"/>
        <v>0</v>
      </c>
      <c r="N32" s="1060"/>
      <c r="O32" s="1150"/>
      <c r="P32" s="1148"/>
      <c r="Q32" s="1406"/>
      <c r="R32" s="1149"/>
      <c r="S32" s="1026">
        <f t="shared" si="16"/>
        <v>0</v>
      </c>
      <c r="T32" s="1418"/>
      <c r="U32" s="1027">
        <f t="shared" si="26"/>
        <v>0</v>
      </c>
      <c r="V32" s="1026">
        <f t="shared" si="4"/>
        <v>0</v>
      </c>
      <c r="W32" s="1025">
        <f t="shared" si="17"/>
        <v>0</v>
      </c>
      <c r="X32" s="1031"/>
      <c r="Y32" s="1442"/>
      <c r="Z32" s="1442"/>
      <c r="AA32" s="1442"/>
      <c r="AB32" s="1442"/>
      <c r="AC32" s="1442"/>
      <c r="AD32" s="1029">
        <f t="shared" si="24"/>
        <v>0</v>
      </c>
      <c r="AE32" s="1028">
        <f t="shared" si="24"/>
        <v>0</v>
      </c>
      <c r="AF32" s="1379">
        <f t="shared" si="24"/>
        <v>0</v>
      </c>
      <c r="AG32" s="1027">
        <f t="shared" si="24"/>
        <v>0</v>
      </c>
      <c r="AH32" s="1026">
        <f t="shared" si="9"/>
        <v>0</v>
      </c>
      <c r="AI32" s="1417">
        <f t="shared" si="25"/>
        <v>0</v>
      </c>
      <c r="AJ32" s="1027">
        <f t="shared" si="25"/>
        <v>0</v>
      </c>
      <c r="AK32" s="1026">
        <f t="shared" si="12"/>
        <v>0</v>
      </c>
      <c r="AL32" s="1025">
        <f t="shared" si="13"/>
        <v>0</v>
      </c>
      <c r="AM32" s="990">
        <f t="shared" si="18"/>
        <v>0</v>
      </c>
      <c r="AO32" s="990">
        <f t="shared" si="19"/>
        <v>0</v>
      </c>
      <c r="AR32" s="990">
        <f t="shared" si="14"/>
        <v>0</v>
      </c>
    </row>
    <row r="33" spans="1:46">
      <c r="A33" s="1139"/>
      <c r="B33" s="1146"/>
      <c r="C33" s="1145"/>
      <c r="D33" s="1060"/>
      <c r="E33" s="1151"/>
      <c r="F33" s="1158"/>
      <c r="G33" s="1408"/>
      <c r="H33" s="1149"/>
      <c r="I33" s="1029"/>
      <c r="J33" s="1158"/>
      <c r="K33" s="1027"/>
      <c r="L33" s="1026"/>
      <c r="M33" s="1025"/>
      <c r="N33" s="1060"/>
      <c r="O33" s="1150"/>
      <c r="P33" s="1158"/>
      <c r="Q33" s="1408"/>
      <c r="R33" s="1149"/>
      <c r="S33" s="1026"/>
      <c r="T33" s="1419"/>
      <c r="U33" s="1149"/>
      <c r="V33" s="1026"/>
      <c r="W33" s="1025"/>
      <c r="X33" s="1031"/>
      <c r="Y33" s="1442"/>
      <c r="Z33" s="1442"/>
      <c r="AA33" s="1442"/>
      <c r="AB33" s="1442"/>
      <c r="AC33" s="1442"/>
      <c r="AD33" s="1029"/>
      <c r="AE33" s="1028"/>
      <c r="AF33" s="1379"/>
      <c r="AG33" s="1027"/>
      <c r="AH33" s="1041"/>
      <c r="AI33" s="1417"/>
      <c r="AJ33" s="1027"/>
      <c r="AK33" s="1041"/>
      <c r="AL33" s="1025"/>
      <c r="AM33" s="990">
        <f t="shared" si="18"/>
        <v>0</v>
      </c>
      <c r="AO33" s="990">
        <f t="shared" si="19"/>
        <v>0</v>
      </c>
      <c r="AR33" s="990">
        <f t="shared" si="14"/>
        <v>0</v>
      </c>
    </row>
    <row r="34" spans="1:46">
      <c r="A34" s="1139"/>
      <c r="B34" s="1146" t="s">
        <v>1427</v>
      </c>
      <c r="C34" s="1145" t="s">
        <v>1446</v>
      </c>
      <c r="D34" s="1060" t="s">
        <v>1448</v>
      </c>
      <c r="E34" s="1369">
        <f>'3条支出'!$E$19</f>
        <v>26551442230</v>
      </c>
      <c r="F34" s="1142">
        <v>12571100990</v>
      </c>
      <c r="G34" s="1405">
        <v>122404286</v>
      </c>
      <c r="H34" s="1027"/>
      <c r="I34" s="1029">
        <f t="shared" si="15"/>
        <v>12693505276</v>
      </c>
      <c r="J34" s="1142">
        <v>17206476</v>
      </c>
      <c r="K34" s="1141">
        <f>13857936954-17206476</f>
        <v>13840730478</v>
      </c>
      <c r="L34" s="1026">
        <f t="shared" si="0"/>
        <v>13857936954</v>
      </c>
      <c r="M34" s="1025">
        <f t="shared" si="1"/>
        <v>0</v>
      </c>
      <c r="N34" s="1060" t="s">
        <v>1448</v>
      </c>
      <c r="O34" s="1370">
        <f>+'3条支出'!$T$19</f>
        <v>26551442230</v>
      </c>
      <c r="P34" s="1028">
        <f>+F34</f>
        <v>12571100990</v>
      </c>
      <c r="Q34" s="1379">
        <f>+G34</f>
        <v>122404286</v>
      </c>
      <c r="R34" s="1027">
        <f>+H34</f>
        <v>0</v>
      </c>
      <c r="S34" s="1026">
        <f t="shared" si="16"/>
        <v>12693505276</v>
      </c>
      <c r="T34" s="1417">
        <f>+J34</f>
        <v>17206476</v>
      </c>
      <c r="U34" s="1027">
        <f>+K34</f>
        <v>13840730478</v>
      </c>
      <c r="V34" s="1026">
        <f t="shared" si="4"/>
        <v>13857936954</v>
      </c>
      <c r="W34" s="1025">
        <f t="shared" si="17"/>
        <v>0</v>
      </c>
      <c r="X34" s="1031" t="s">
        <v>1448</v>
      </c>
      <c r="Y34" s="1442"/>
      <c r="Z34" s="1442"/>
      <c r="AA34" s="1442"/>
      <c r="AB34" s="1442"/>
      <c r="AC34" s="1442"/>
      <c r="AD34" s="1029">
        <f t="shared" ref="AD34:AG35" si="27">+O34</f>
        <v>26551442230</v>
      </c>
      <c r="AE34" s="1028">
        <f t="shared" si="27"/>
        <v>12571100990</v>
      </c>
      <c r="AF34" s="1379">
        <f t="shared" si="27"/>
        <v>122404286</v>
      </c>
      <c r="AG34" s="1027">
        <f t="shared" si="27"/>
        <v>0</v>
      </c>
      <c r="AH34" s="1026">
        <f t="shared" si="9"/>
        <v>12693505276</v>
      </c>
      <c r="AI34" s="1417">
        <f>+T34</f>
        <v>17206476</v>
      </c>
      <c r="AJ34" s="1027">
        <f>+U34</f>
        <v>13840730478</v>
      </c>
      <c r="AK34" s="1026">
        <f t="shared" si="12"/>
        <v>13857936954</v>
      </c>
      <c r="AL34" s="1025">
        <f t="shared" si="13"/>
        <v>0</v>
      </c>
      <c r="AM34" s="990">
        <f t="shared" si="18"/>
        <v>12710711752</v>
      </c>
      <c r="AN34" s="990">
        <v>12722677000</v>
      </c>
      <c r="AO34" s="990">
        <f t="shared" si="19"/>
        <v>-11965248</v>
      </c>
      <c r="AQ34" s="990">
        <v>12322171000</v>
      </c>
      <c r="AR34" s="990">
        <f t="shared" si="14"/>
        <v>388540752</v>
      </c>
      <c r="AT34" s="990" t="s">
        <v>4733</v>
      </c>
    </row>
    <row r="35" spans="1:46">
      <c r="A35" s="1139"/>
      <c r="B35" s="1146" t="s">
        <v>1427</v>
      </c>
      <c r="C35" s="1145" t="s">
        <v>1446</v>
      </c>
      <c r="D35" s="1152" t="s">
        <v>1445</v>
      </c>
      <c r="E35" s="1369">
        <f>'3条支出'!$E$20-E20</f>
        <v>503761871</v>
      </c>
      <c r="F35" s="1028">
        <f>+E35-L35-G35</f>
        <v>304154336</v>
      </c>
      <c r="G35" s="1379">
        <f>+IFERROR(ROUND((E35-L35)*G34/I34,0),0)</f>
        <v>2961538</v>
      </c>
      <c r="H35" s="1149"/>
      <c r="I35" s="1029">
        <f t="shared" si="15"/>
        <v>307115874</v>
      </c>
      <c r="J35" s="1028"/>
      <c r="K35" s="1141">
        <f>4976419+191669578</f>
        <v>196645997</v>
      </c>
      <c r="L35" s="1026">
        <f t="shared" si="0"/>
        <v>196645997</v>
      </c>
      <c r="M35" s="1025">
        <f t="shared" si="1"/>
        <v>0</v>
      </c>
      <c r="N35" s="1152" t="s">
        <v>1445</v>
      </c>
      <c r="O35" s="1370">
        <f>+'3条支出'!$T$20-O20</f>
        <v>503761871</v>
      </c>
      <c r="P35" s="1028">
        <f>+F35</f>
        <v>304154336</v>
      </c>
      <c r="Q35" s="1379">
        <f>+G35</f>
        <v>2961538</v>
      </c>
      <c r="R35" s="1149"/>
      <c r="S35" s="1026">
        <f t="shared" si="16"/>
        <v>307115874</v>
      </c>
      <c r="T35" s="1417">
        <f>+J35</f>
        <v>0</v>
      </c>
      <c r="U35" s="1027">
        <f>+K35</f>
        <v>196645997</v>
      </c>
      <c r="V35" s="1026">
        <f t="shared" si="4"/>
        <v>196645997</v>
      </c>
      <c r="W35" s="1025">
        <f t="shared" si="17"/>
        <v>0</v>
      </c>
      <c r="X35" s="1039" t="s">
        <v>1445</v>
      </c>
      <c r="Y35" s="1443"/>
      <c r="Z35" s="1443"/>
      <c r="AA35" s="1443"/>
      <c r="AB35" s="1443"/>
      <c r="AC35" s="1443"/>
      <c r="AD35" s="1029">
        <f t="shared" si="27"/>
        <v>503761871</v>
      </c>
      <c r="AE35" s="1028">
        <f t="shared" si="27"/>
        <v>304154336</v>
      </c>
      <c r="AF35" s="1379">
        <f t="shared" si="27"/>
        <v>2961538</v>
      </c>
      <c r="AG35" s="1027">
        <f t="shared" si="27"/>
        <v>0</v>
      </c>
      <c r="AH35" s="1026">
        <f t="shared" si="9"/>
        <v>307115874</v>
      </c>
      <c r="AI35" s="1417">
        <f>+T35</f>
        <v>0</v>
      </c>
      <c r="AJ35" s="1027">
        <f>+U35</f>
        <v>196645997</v>
      </c>
      <c r="AK35" s="1026">
        <f t="shared" si="12"/>
        <v>196645997</v>
      </c>
      <c r="AL35" s="1025">
        <f t="shared" si="13"/>
        <v>0</v>
      </c>
      <c r="AM35" s="990">
        <f t="shared" si="18"/>
        <v>307115874</v>
      </c>
      <c r="AN35" s="990">
        <v>285010000</v>
      </c>
      <c r="AO35" s="990">
        <f t="shared" si="19"/>
        <v>22105874</v>
      </c>
      <c r="AQ35" s="990">
        <v>162051000</v>
      </c>
      <c r="AR35" s="990">
        <f t="shared" si="14"/>
        <v>145064874</v>
      </c>
      <c r="AT35" s="990" t="s">
        <v>4734</v>
      </c>
    </row>
    <row r="36" spans="1:46">
      <c r="A36" s="1139"/>
      <c r="B36" s="1146"/>
      <c r="C36" s="1145"/>
      <c r="D36" s="1060"/>
      <c r="E36" s="1151"/>
      <c r="F36" s="1148"/>
      <c r="G36" s="1406"/>
      <c r="H36" s="1149"/>
      <c r="I36" s="1029"/>
      <c r="J36" s="1148"/>
      <c r="K36" s="1027"/>
      <c r="L36" s="1026"/>
      <c r="M36" s="1025"/>
      <c r="N36" s="1060"/>
      <c r="O36" s="1150"/>
      <c r="P36" s="1028"/>
      <c r="Q36" s="1379"/>
      <c r="R36" s="1149"/>
      <c r="S36" s="1026"/>
      <c r="T36" s="1417"/>
      <c r="U36" s="1027"/>
      <c r="V36" s="1026"/>
      <c r="W36" s="1025"/>
      <c r="X36" s="1031"/>
      <c r="Y36" s="1442"/>
      <c r="Z36" s="1442"/>
      <c r="AA36" s="1442"/>
      <c r="AB36" s="1442"/>
      <c r="AC36" s="1442"/>
      <c r="AD36" s="1029"/>
      <c r="AE36" s="1028"/>
      <c r="AF36" s="1379"/>
      <c r="AG36" s="1027"/>
      <c r="AH36" s="1026"/>
      <c r="AI36" s="1417"/>
      <c r="AJ36" s="1027"/>
      <c r="AK36" s="1026"/>
      <c r="AL36" s="1025"/>
      <c r="AM36" s="990">
        <f t="shared" si="18"/>
        <v>0</v>
      </c>
      <c r="AO36" s="990">
        <f t="shared" si="19"/>
        <v>0</v>
      </c>
      <c r="AR36" s="990">
        <f t="shared" si="14"/>
        <v>0</v>
      </c>
    </row>
    <row r="37" spans="1:46">
      <c r="A37" s="1139"/>
      <c r="B37" s="1146" t="s">
        <v>1427</v>
      </c>
      <c r="C37" s="1145" t="s">
        <v>1439</v>
      </c>
      <c r="D37" s="1060" t="s">
        <v>1531</v>
      </c>
      <c r="E37" s="1144">
        <f>+営外!E6</f>
        <v>3884144913</v>
      </c>
      <c r="F37" s="1142">
        <v>1638072143</v>
      </c>
      <c r="G37" s="1405">
        <v>0</v>
      </c>
      <c r="H37" s="1141">
        <v>36375158</v>
      </c>
      <c r="I37" s="1029">
        <f t="shared" si="15"/>
        <v>1674447301</v>
      </c>
      <c r="J37" s="1142">
        <v>315322238</v>
      </c>
      <c r="K37" s="1141">
        <v>1894375374</v>
      </c>
      <c r="L37" s="1026">
        <f t="shared" si="0"/>
        <v>2209697612</v>
      </c>
      <c r="M37" s="1025">
        <f t="shared" si="1"/>
        <v>0</v>
      </c>
      <c r="N37" s="1060" t="s">
        <v>1531</v>
      </c>
      <c r="O37" s="1143">
        <f>+営外!T6</f>
        <v>3884144913</v>
      </c>
      <c r="P37" s="1028">
        <f>+F37</f>
        <v>1638072143</v>
      </c>
      <c r="Q37" s="1379">
        <f>+G37</f>
        <v>0</v>
      </c>
      <c r="R37" s="1027">
        <f>+H37</f>
        <v>36375158</v>
      </c>
      <c r="S37" s="1026">
        <f t="shared" si="16"/>
        <v>1674447301</v>
      </c>
      <c r="T37" s="1417">
        <f>+J37</f>
        <v>315322238</v>
      </c>
      <c r="U37" s="1027">
        <f>+O37-S37-T37</f>
        <v>1894375374</v>
      </c>
      <c r="V37" s="1026">
        <f t="shared" si="4"/>
        <v>2209697612</v>
      </c>
      <c r="W37" s="1025">
        <f t="shared" si="17"/>
        <v>0</v>
      </c>
      <c r="X37" s="1039" t="s">
        <v>1443</v>
      </c>
      <c r="Y37" s="1443"/>
      <c r="Z37" s="1443"/>
      <c r="AA37" s="1443"/>
      <c r="AB37" s="1443"/>
      <c r="AC37" s="1443"/>
      <c r="AD37" s="1029">
        <f t="shared" ref="AD37:AG38" si="28">+O37</f>
        <v>3884144913</v>
      </c>
      <c r="AE37" s="1028">
        <f t="shared" si="28"/>
        <v>1638072143</v>
      </c>
      <c r="AF37" s="1379">
        <f t="shared" si="28"/>
        <v>0</v>
      </c>
      <c r="AG37" s="1027">
        <f t="shared" si="28"/>
        <v>36375158</v>
      </c>
      <c r="AH37" s="1026">
        <f t="shared" si="9"/>
        <v>1674447301</v>
      </c>
      <c r="AI37" s="1417">
        <f>+T37</f>
        <v>315322238</v>
      </c>
      <c r="AJ37" s="1027">
        <f>+U37</f>
        <v>1894375374</v>
      </c>
      <c r="AK37" s="1026">
        <f t="shared" si="12"/>
        <v>2209697612</v>
      </c>
      <c r="AL37" s="1025">
        <f t="shared" si="13"/>
        <v>0</v>
      </c>
      <c r="AM37" s="990">
        <f t="shared" si="18"/>
        <v>1989769539</v>
      </c>
      <c r="AN37" s="990">
        <v>1991724000</v>
      </c>
      <c r="AO37" s="990">
        <f t="shared" si="19"/>
        <v>-1954461</v>
      </c>
      <c r="AQ37" s="990">
        <v>2104635000</v>
      </c>
      <c r="AR37" s="990">
        <f t="shared" si="14"/>
        <v>-114865461</v>
      </c>
      <c r="AT37" s="990" t="s">
        <v>4735</v>
      </c>
    </row>
    <row r="38" spans="1:46">
      <c r="A38" s="1139"/>
      <c r="B38" s="1146" t="s">
        <v>1427</v>
      </c>
      <c r="C38" s="1145" t="s">
        <v>1439</v>
      </c>
      <c r="D38" s="1060" t="s">
        <v>1441</v>
      </c>
      <c r="E38" s="1144">
        <f>+営外!E9</f>
        <v>61813753</v>
      </c>
      <c r="F38" s="1142">
        <v>30574206</v>
      </c>
      <c r="G38" s="1405"/>
      <c r="H38" s="1149"/>
      <c r="I38" s="1029">
        <f t="shared" si="15"/>
        <v>30574206</v>
      </c>
      <c r="J38" s="1142"/>
      <c r="K38" s="1141">
        <v>31239547</v>
      </c>
      <c r="L38" s="1026">
        <f t="shared" si="0"/>
        <v>31239547</v>
      </c>
      <c r="M38" s="1025">
        <f t="shared" si="1"/>
        <v>0</v>
      </c>
      <c r="N38" s="1060" t="s">
        <v>1441</v>
      </c>
      <c r="O38" s="1143">
        <f>+営外!T9</f>
        <v>56194321</v>
      </c>
      <c r="P38" s="1028">
        <f>+IFERROR(ROUND(F38*$O38/$E38,0),0)</f>
        <v>27794733</v>
      </c>
      <c r="Q38" s="1379">
        <f>+IFERROR(ROUND(G38*$O38/$E38,0),0)</f>
        <v>0</v>
      </c>
      <c r="R38" s="1027">
        <f>+IFERROR(ROUND(H38*$O38/$E38,0),0)</f>
        <v>0</v>
      </c>
      <c r="S38" s="1026">
        <f t="shared" si="16"/>
        <v>27794733</v>
      </c>
      <c r="T38" s="1417">
        <f>+IFERROR(ROUND(J38*$O38/$E38,0),0)</f>
        <v>0</v>
      </c>
      <c r="U38" s="1027">
        <f>+O38-S38-T38</f>
        <v>28399588</v>
      </c>
      <c r="V38" s="1026">
        <f t="shared" si="4"/>
        <v>28399588</v>
      </c>
      <c r="W38" s="1025">
        <f t="shared" si="17"/>
        <v>0</v>
      </c>
      <c r="X38" s="1031" t="s">
        <v>1441</v>
      </c>
      <c r="Y38" s="1442"/>
      <c r="Z38" s="1442"/>
      <c r="AA38" s="1442"/>
      <c r="AB38" s="1442"/>
      <c r="AC38" s="1442"/>
      <c r="AD38" s="1029">
        <f t="shared" si="28"/>
        <v>56194321</v>
      </c>
      <c r="AE38" s="1028">
        <f t="shared" si="28"/>
        <v>27794733</v>
      </c>
      <c r="AF38" s="1379">
        <f t="shared" si="28"/>
        <v>0</v>
      </c>
      <c r="AG38" s="1027">
        <f t="shared" si="28"/>
        <v>0</v>
      </c>
      <c r="AH38" s="1026">
        <f t="shared" si="9"/>
        <v>27794733</v>
      </c>
      <c r="AI38" s="1417">
        <f>+T38</f>
        <v>0</v>
      </c>
      <c r="AJ38" s="1027">
        <f>+U38</f>
        <v>28399588</v>
      </c>
      <c r="AK38" s="1026">
        <f t="shared" si="12"/>
        <v>28399588</v>
      </c>
      <c r="AL38" s="1025">
        <f t="shared" si="13"/>
        <v>0</v>
      </c>
      <c r="AM38" s="990">
        <f t="shared" si="18"/>
        <v>27794733</v>
      </c>
      <c r="AN38" s="990">
        <v>27828000</v>
      </c>
      <c r="AO38" s="990">
        <f t="shared" si="19"/>
        <v>-33267</v>
      </c>
      <c r="AQ38" s="990">
        <v>38809000</v>
      </c>
      <c r="AR38" s="990">
        <f t="shared" si="14"/>
        <v>-11014267</v>
      </c>
      <c r="AT38" s="990" t="s">
        <v>4736</v>
      </c>
    </row>
    <row r="39" spans="1:46">
      <c r="A39" s="1139"/>
      <c r="B39" s="1146" t="s">
        <v>1427</v>
      </c>
      <c r="C39" s="1145" t="s">
        <v>1439</v>
      </c>
      <c r="D39" s="1152" t="s">
        <v>1438</v>
      </c>
      <c r="E39" s="1151"/>
      <c r="F39" s="1148"/>
      <c r="G39" s="1406"/>
      <c r="H39" s="1149"/>
      <c r="I39" s="1029">
        <f t="shared" si="15"/>
        <v>0</v>
      </c>
      <c r="J39" s="1148"/>
      <c r="K39" s="1027">
        <f>+E39-I39-J39</f>
        <v>0</v>
      </c>
      <c r="L39" s="1026">
        <f t="shared" ref="L39" si="29">+SUM(J39:K39)</f>
        <v>0</v>
      </c>
      <c r="M39" s="1025">
        <f t="shared" si="1"/>
        <v>0</v>
      </c>
      <c r="N39" s="1152" t="s">
        <v>1438</v>
      </c>
      <c r="O39" s="1150"/>
      <c r="P39" s="1148"/>
      <c r="Q39" s="1406"/>
      <c r="R39" s="1149"/>
      <c r="S39" s="1026">
        <f t="shared" si="16"/>
        <v>0</v>
      </c>
      <c r="T39" s="1418"/>
      <c r="U39" s="1149">
        <f t="shared" si="26"/>
        <v>0</v>
      </c>
      <c r="V39" s="1026">
        <f t="shared" si="4"/>
        <v>0</v>
      </c>
      <c r="W39" s="1025">
        <f t="shared" si="17"/>
        <v>0</v>
      </c>
      <c r="X39" s="1031" t="s">
        <v>1438</v>
      </c>
      <c r="Y39" s="1442"/>
      <c r="Z39" s="1442"/>
      <c r="AA39" s="1442"/>
      <c r="AB39" s="1442"/>
      <c r="AC39" s="1442"/>
      <c r="AD39" s="1038">
        <f>+SUM(AD113,AD124)</f>
        <v>2553639</v>
      </c>
      <c r="AE39" s="1037">
        <f>+SUM(AE113,AE124)</f>
        <v>2553639</v>
      </c>
      <c r="AF39" s="1378">
        <f>+SUM(AF113,AF124)</f>
        <v>0</v>
      </c>
      <c r="AG39" s="1036">
        <f>+SUM(AG113,AG124)</f>
        <v>0</v>
      </c>
      <c r="AH39" s="1026">
        <f t="shared" si="9"/>
        <v>2553639</v>
      </c>
      <c r="AI39" s="1422">
        <f>+SUM(AI113,AI124)</f>
        <v>0</v>
      </c>
      <c r="AJ39" s="1036">
        <f>+SUM(AJ113,AJ124)</f>
        <v>0</v>
      </c>
      <c r="AK39" s="1026">
        <f t="shared" si="12"/>
        <v>0</v>
      </c>
      <c r="AL39" s="1025">
        <f t="shared" si="13"/>
        <v>0</v>
      </c>
      <c r="AM39" s="990">
        <f t="shared" si="18"/>
        <v>2553639</v>
      </c>
      <c r="AN39" s="990">
        <v>2774706</v>
      </c>
      <c r="AO39" s="990">
        <f t="shared" si="19"/>
        <v>-221067</v>
      </c>
      <c r="AQ39" s="990">
        <v>3873000</v>
      </c>
      <c r="AR39" s="990">
        <f t="shared" si="14"/>
        <v>-1319361</v>
      </c>
      <c r="AT39" s="990" t="s">
        <v>4737</v>
      </c>
    </row>
    <row r="40" spans="1:46">
      <c r="A40" s="1139"/>
      <c r="B40" s="1146"/>
      <c r="C40" s="1145"/>
      <c r="D40" s="1060"/>
      <c r="E40" s="1151"/>
      <c r="F40" s="1148"/>
      <c r="G40" s="1406"/>
      <c r="H40" s="1149"/>
      <c r="I40" s="1029"/>
      <c r="J40" s="1148"/>
      <c r="K40" s="1027"/>
      <c r="L40" s="1026"/>
      <c r="M40" s="1025"/>
      <c r="N40" s="1060"/>
      <c r="O40" s="1150"/>
      <c r="P40" s="1148"/>
      <c r="Q40" s="1406"/>
      <c r="R40" s="1149"/>
      <c r="S40" s="1026"/>
      <c r="T40" s="1418"/>
      <c r="U40" s="1149"/>
      <c r="V40" s="1026"/>
      <c r="W40" s="1025"/>
      <c r="X40" s="1031"/>
      <c r="Y40" s="1442"/>
      <c r="Z40" s="1442"/>
      <c r="AA40" s="1442"/>
      <c r="AB40" s="1442"/>
      <c r="AC40" s="1442"/>
      <c r="AD40" s="1029"/>
      <c r="AE40" s="1028"/>
      <c r="AF40" s="1379"/>
      <c r="AG40" s="1027"/>
      <c r="AH40" s="1026"/>
      <c r="AI40" s="1417"/>
      <c r="AJ40" s="1027"/>
      <c r="AK40" s="1026"/>
      <c r="AL40" s="1025"/>
      <c r="AM40" s="990">
        <f t="shared" si="18"/>
        <v>0</v>
      </c>
      <c r="AO40" s="990">
        <f t="shared" si="19"/>
        <v>0</v>
      </c>
      <c r="AR40" s="990">
        <f t="shared" si="14"/>
        <v>0</v>
      </c>
    </row>
    <row r="41" spans="1:46">
      <c r="A41" s="1139"/>
      <c r="B41" s="1146" t="s">
        <v>1427</v>
      </c>
      <c r="C41" s="1145" t="s">
        <v>1433</v>
      </c>
      <c r="D41" s="1060"/>
      <c r="E41" s="1040"/>
      <c r="F41" s="1028"/>
      <c r="G41" s="1379"/>
      <c r="H41" s="1027"/>
      <c r="I41" s="1029">
        <f t="shared" si="15"/>
        <v>0</v>
      </c>
      <c r="J41" s="1028"/>
      <c r="K41" s="1027"/>
      <c r="L41" s="1026">
        <f t="shared" ref="L41" si="30">+SUM(J41:K41)</f>
        <v>0</v>
      </c>
      <c r="M41" s="1025">
        <f t="shared" si="1"/>
        <v>0</v>
      </c>
      <c r="N41" s="1060"/>
      <c r="O41" s="1150"/>
      <c r="P41" s="1148"/>
      <c r="Q41" s="1406"/>
      <c r="R41" s="1149"/>
      <c r="S41" s="1026">
        <f t="shared" si="16"/>
        <v>0</v>
      </c>
      <c r="T41" s="1418"/>
      <c r="U41" s="1149">
        <f t="shared" si="26"/>
        <v>0</v>
      </c>
      <c r="V41" s="1026">
        <f t="shared" si="4"/>
        <v>0</v>
      </c>
      <c r="W41" s="1025">
        <f t="shared" si="17"/>
        <v>0</v>
      </c>
      <c r="X41" s="1031"/>
      <c r="Y41" s="1442"/>
      <c r="Z41" s="1442"/>
      <c r="AA41" s="1442"/>
      <c r="AB41" s="1442"/>
      <c r="AC41" s="1442"/>
      <c r="AD41" s="1029">
        <f t="shared" ref="AD41:AG44" si="31">+O41</f>
        <v>0</v>
      </c>
      <c r="AE41" s="1028">
        <f t="shared" si="31"/>
        <v>0</v>
      </c>
      <c r="AF41" s="1379">
        <f t="shared" si="31"/>
        <v>0</v>
      </c>
      <c r="AG41" s="1027">
        <f t="shared" si="31"/>
        <v>0</v>
      </c>
      <c r="AH41" s="1026">
        <f t="shared" si="9"/>
        <v>0</v>
      </c>
      <c r="AI41" s="1417">
        <f t="shared" ref="AI41:AJ44" si="32">+T41</f>
        <v>0</v>
      </c>
      <c r="AJ41" s="1027">
        <f t="shared" si="32"/>
        <v>0</v>
      </c>
      <c r="AK41" s="1026">
        <f t="shared" si="12"/>
        <v>0</v>
      </c>
      <c r="AL41" s="1025">
        <f t="shared" si="13"/>
        <v>0</v>
      </c>
      <c r="AM41" s="990">
        <f t="shared" si="18"/>
        <v>0</v>
      </c>
      <c r="AO41" s="990">
        <f t="shared" si="19"/>
        <v>0</v>
      </c>
      <c r="AR41" s="990">
        <f t="shared" si="14"/>
        <v>0</v>
      </c>
    </row>
    <row r="42" spans="1:46">
      <c r="A42" s="1139"/>
      <c r="B42" s="1146" t="s">
        <v>1427</v>
      </c>
      <c r="C42" s="1145" t="s">
        <v>1433</v>
      </c>
      <c r="D42" s="1060" t="s">
        <v>1529</v>
      </c>
      <c r="E42" s="1040">
        <f>+SUM(I42,L42:L42)</f>
        <v>0</v>
      </c>
      <c r="F42" s="1142">
        <v>0</v>
      </c>
      <c r="G42" s="1405">
        <v>0</v>
      </c>
      <c r="H42" s="1149"/>
      <c r="I42" s="1029">
        <f t="shared" si="15"/>
        <v>0</v>
      </c>
      <c r="J42" s="1142">
        <v>0</v>
      </c>
      <c r="K42" s="1141">
        <v>0</v>
      </c>
      <c r="L42" s="1026">
        <f t="shared" si="0"/>
        <v>0</v>
      </c>
      <c r="M42" s="1025">
        <f t="shared" si="1"/>
        <v>0</v>
      </c>
      <c r="N42" s="1060" t="s">
        <v>1529</v>
      </c>
      <c r="O42" s="1040">
        <f t="shared" ref="O42:Q43" si="33">+E42</f>
        <v>0</v>
      </c>
      <c r="P42" s="1028">
        <f t="shared" si="33"/>
        <v>0</v>
      </c>
      <c r="Q42" s="1379">
        <f t="shared" si="33"/>
        <v>0</v>
      </c>
      <c r="R42" s="1027"/>
      <c r="S42" s="1026">
        <f t="shared" si="16"/>
        <v>0</v>
      </c>
      <c r="T42" s="1417">
        <f>+J42</f>
        <v>0</v>
      </c>
      <c r="U42" s="1027">
        <f t="shared" si="26"/>
        <v>0</v>
      </c>
      <c r="V42" s="1026">
        <f t="shared" si="4"/>
        <v>0</v>
      </c>
      <c r="W42" s="1025">
        <f t="shared" si="17"/>
        <v>0</v>
      </c>
      <c r="X42" s="1031" t="s">
        <v>1437</v>
      </c>
      <c r="Y42" s="1442"/>
      <c r="Z42" s="1442"/>
      <c r="AA42" s="1442"/>
      <c r="AB42" s="1442"/>
      <c r="AC42" s="1442"/>
      <c r="AD42" s="1029">
        <f t="shared" si="31"/>
        <v>0</v>
      </c>
      <c r="AE42" s="1028">
        <f t="shared" si="31"/>
        <v>0</v>
      </c>
      <c r="AF42" s="1379">
        <f t="shared" si="31"/>
        <v>0</v>
      </c>
      <c r="AG42" s="1027">
        <f t="shared" si="31"/>
        <v>0</v>
      </c>
      <c r="AH42" s="1026">
        <f t="shared" si="9"/>
        <v>0</v>
      </c>
      <c r="AI42" s="1417">
        <f t="shared" si="32"/>
        <v>0</v>
      </c>
      <c r="AJ42" s="1027">
        <f t="shared" si="32"/>
        <v>0</v>
      </c>
      <c r="AK42" s="1026">
        <f t="shared" si="12"/>
        <v>0</v>
      </c>
      <c r="AL42" s="1025">
        <f t="shared" si="13"/>
        <v>0</v>
      </c>
      <c r="AM42" s="990">
        <f t="shared" si="18"/>
        <v>0</v>
      </c>
      <c r="AO42" s="990">
        <f t="shared" si="19"/>
        <v>0</v>
      </c>
      <c r="AR42" s="990">
        <f t="shared" si="14"/>
        <v>0</v>
      </c>
    </row>
    <row r="43" spans="1:46">
      <c r="A43" s="1139"/>
      <c r="B43" s="1146" t="s">
        <v>1427</v>
      </c>
      <c r="C43" s="1145" t="s">
        <v>1433</v>
      </c>
      <c r="D43" s="1060" t="s">
        <v>1435</v>
      </c>
      <c r="E43" s="1040">
        <f>+SUM(I43,L43:L43)</f>
        <v>0</v>
      </c>
      <c r="F43" s="1142"/>
      <c r="G43" s="1405"/>
      <c r="H43" s="1149"/>
      <c r="I43" s="1029">
        <f t="shared" si="15"/>
        <v>0</v>
      </c>
      <c r="J43" s="1142"/>
      <c r="K43" s="1141"/>
      <c r="L43" s="1026">
        <f t="shared" si="0"/>
        <v>0</v>
      </c>
      <c r="M43" s="1025">
        <f t="shared" si="1"/>
        <v>0</v>
      </c>
      <c r="N43" s="1060" t="s">
        <v>1435</v>
      </c>
      <c r="O43" s="1040">
        <f t="shared" si="33"/>
        <v>0</v>
      </c>
      <c r="P43" s="1028">
        <f t="shared" si="33"/>
        <v>0</v>
      </c>
      <c r="Q43" s="1379">
        <f t="shared" si="33"/>
        <v>0</v>
      </c>
      <c r="R43" s="1027"/>
      <c r="S43" s="1026">
        <f t="shared" si="16"/>
        <v>0</v>
      </c>
      <c r="T43" s="1417">
        <f>+J43</f>
        <v>0</v>
      </c>
      <c r="U43" s="1027">
        <f t="shared" si="26"/>
        <v>0</v>
      </c>
      <c r="V43" s="1026">
        <f t="shared" si="4"/>
        <v>0</v>
      </c>
      <c r="W43" s="1025">
        <f t="shared" si="17"/>
        <v>0</v>
      </c>
      <c r="X43" s="1031" t="s">
        <v>1435</v>
      </c>
      <c r="Y43" s="1442"/>
      <c r="Z43" s="1442"/>
      <c r="AA43" s="1442"/>
      <c r="AB43" s="1442"/>
      <c r="AC43" s="1442"/>
      <c r="AD43" s="1029">
        <f t="shared" si="31"/>
        <v>0</v>
      </c>
      <c r="AE43" s="1028">
        <f t="shared" si="31"/>
        <v>0</v>
      </c>
      <c r="AF43" s="1379">
        <f t="shared" si="31"/>
        <v>0</v>
      </c>
      <c r="AG43" s="1027">
        <f t="shared" si="31"/>
        <v>0</v>
      </c>
      <c r="AH43" s="1026">
        <f t="shared" si="9"/>
        <v>0</v>
      </c>
      <c r="AI43" s="1417">
        <f t="shared" si="32"/>
        <v>0</v>
      </c>
      <c r="AJ43" s="1027">
        <f t="shared" si="32"/>
        <v>0</v>
      </c>
      <c r="AK43" s="1026">
        <f t="shared" si="12"/>
        <v>0</v>
      </c>
      <c r="AL43" s="1025">
        <f t="shared" si="13"/>
        <v>0</v>
      </c>
      <c r="AM43" s="990">
        <f t="shared" si="18"/>
        <v>0</v>
      </c>
      <c r="AO43" s="990">
        <f t="shared" si="19"/>
        <v>0</v>
      </c>
      <c r="AR43" s="990">
        <f t="shared" si="14"/>
        <v>0</v>
      </c>
    </row>
    <row r="44" spans="1:46">
      <c r="A44" s="1139"/>
      <c r="B44" s="1146" t="s">
        <v>1427</v>
      </c>
      <c r="C44" s="1145" t="s">
        <v>1433</v>
      </c>
      <c r="D44" s="1060" t="s">
        <v>1432</v>
      </c>
      <c r="E44" s="1369">
        <f>+'3条支出'!$E$31</f>
        <v>0</v>
      </c>
      <c r="F44" s="1142">
        <v>0</v>
      </c>
      <c r="G44" s="1379"/>
      <c r="H44" s="1149"/>
      <c r="I44" s="1029">
        <f t="shared" si="15"/>
        <v>0</v>
      </c>
      <c r="J44" s="1028"/>
      <c r="K44" s="1141">
        <v>0</v>
      </c>
      <c r="L44" s="1026">
        <f t="shared" si="0"/>
        <v>0</v>
      </c>
      <c r="M44" s="1025">
        <f t="shared" si="1"/>
        <v>0</v>
      </c>
      <c r="N44" s="1060" t="s">
        <v>1432</v>
      </c>
      <c r="O44" s="1370">
        <f>'3条支出'!$T$31</f>
        <v>0</v>
      </c>
      <c r="P44" s="1028">
        <f>+F44</f>
        <v>0</v>
      </c>
      <c r="Q44" s="1379"/>
      <c r="R44" s="1149"/>
      <c r="S44" s="1026">
        <f t="shared" si="16"/>
        <v>0</v>
      </c>
      <c r="T44" s="1417"/>
      <c r="U44" s="1027">
        <f t="shared" si="26"/>
        <v>0</v>
      </c>
      <c r="V44" s="1026">
        <f t="shared" si="4"/>
        <v>0</v>
      </c>
      <c r="W44" s="1025">
        <f t="shared" si="17"/>
        <v>0</v>
      </c>
      <c r="X44" s="1031" t="s">
        <v>1432</v>
      </c>
      <c r="Y44" s="1442"/>
      <c r="Z44" s="1442"/>
      <c r="AA44" s="1442"/>
      <c r="AB44" s="1442"/>
      <c r="AC44" s="1442"/>
      <c r="AD44" s="1029">
        <f t="shared" si="31"/>
        <v>0</v>
      </c>
      <c r="AE44" s="1028">
        <f t="shared" si="31"/>
        <v>0</v>
      </c>
      <c r="AF44" s="1379">
        <f t="shared" si="31"/>
        <v>0</v>
      </c>
      <c r="AG44" s="1027">
        <f t="shared" si="31"/>
        <v>0</v>
      </c>
      <c r="AH44" s="1026">
        <f t="shared" si="9"/>
        <v>0</v>
      </c>
      <c r="AI44" s="1417">
        <f t="shared" si="32"/>
        <v>0</v>
      </c>
      <c r="AJ44" s="1027">
        <f t="shared" si="32"/>
        <v>0</v>
      </c>
      <c r="AK44" s="1026">
        <f t="shared" si="12"/>
        <v>0</v>
      </c>
      <c r="AL44" s="1025">
        <f t="shared" si="13"/>
        <v>0</v>
      </c>
      <c r="AM44" s="990">
        <f t="shared" si="18"/>
        <v>0</v>
      </c>
      <c r="AO44" s="990">
        <f t="shared" si="19"/>
        <v>0</v>
      </c>
      <c r="AR44" s="990">
        <f t="shared" si="14"/>
        <v>0</v>
      </c>
    </row>
    <row r="45" spans="1:46" ht="14.25" thickBot="1">
      <c r="A45" s="1139"/>
      <c r="B45" s="1138"/>
      <c r="C45" s="1137"/>
      <c r="D45" s="1135"/>
      <c r="E45" s="1136"/>
      <c r="F45" s="1133"/>
      <c r="G45" s="1409"/>
      <c r="H45" s="1424"/>
      <c r="I45" s="1019"/>
      <c r="J45" s="1133"/>
      <c r="K45" s="1132"/>
      <c r="L45" s="1131"/>
      <c r="M45" s="1015"/>
      <c r="N45" s="1135"/>
      <c r="O45" s="1134"/>
      <c r="P45" s="1133"/>
      <c r="Q45" s="1409"/>
      <c r="R45" s="1424"/>
      <c r="S45" s="1131"/>
      <c r="T45" s="1421"/>
      <c r="U45" s="1132"/>
      <c r="V45" s="1131"/>
      <c r="W45" s="1015"/>
      <c r="X45" s="1021"/>
      <c r="Y45" s="1447"/>
      <c r="Z45" s="1447"/>
      <c r="AA45" s="1447"/>
      <c r="AB45" s="1447"/>
      <c r="AC45" s="1447"/>
      <c r="AD45" s="1019"/>
      <c r="AE45" s="1018"/>
      <c r="AF45" s="1403"/>
      <c r="AG45" s="1017"/>
      <c r="AH45" s="1016"/>
      <c r="AI45" s="1423"/>
      <c r="AJ45" s="1017"/>
      <c r="AK45" s="1016"/>
      <c r="AL45" s="1015"/>
      <c r="AM45" s="990">
        <f t="shared" si="18"/>
        <v>0</v>
      </c>
      <c r="AO45" s="990">
        <f t="shared" si="19"/>
        <v>0</v>
      </c>
      <c r="AR45" s="990">
        <f t="shared" si="14"/>
        <v>0</v>
      </c>
    </row>
    <row r="46" spans="1:46" ht="14.25" thickTop="1">
      <c r="B46" s="1014"/>
      <c r="C46" s="1013"/>
      <c r="D46" s="1012" t="s">
        <v>1430</v>
      </c>
      <c r="E46" s="1011">
        <f t="shared" ref="E46:L46" si="34">+SUM(E7:E45)</f>
        <v>42643669657</v>
      </c>
      <c r="F46" s="1010">
        <f t="shared" si="34"/>
        <v>17380716581</v>
      </c>
      <c r="G46" s="1381">
        <f t="shared" si="34"/>
        <v>396270048</v>
      </c>
      <c r="H46" s="1009">
        <f>+SUM(H7:H45)</f>
        <v>492675795</v>
      </c>
      <c r="I46" s="1391">
        <f t="shared" ref="I46" si="35">+SUM(I7:I45)</f>
        <v>18269662424</v>
      </c>
      <c r="J46" s="1010">
        <f t="shared" si="34"/>
        <v>563892182</v>
      </c>
      <c r="K46" s="1009">
        <f t="shared" si="34"/>
        <v>23810115051</v>
      </c>
      <c r="L46" s="1008">
        <f t="shared" si="34"/>
        <v>24374007233</v>
      </c>
      <c r="M46" s="1006">
        <f t="shared" ref="M46" si="36">+SUM(M7:M45)</f>
        <v>0</v>
      </c>
      <c r="N46" s="1012" t="s">
        <v>1430</v>
      </c>
      <c r="O46" s="1130">
        <f t="shared" ref="O46:V46" si="37">+SUM(O7:O45)</f>
        <v>41815647458</v>
      </c>
      <c r="P46" s="1010">
        <f t="shared" si="37"/>
        <v>17221073393</v>
      </c>
      <c r="Q46" s="1381">
        <f t="shared" si="37"/>
        <v>377350558</v>
      </c>
      <c r="R46" s="1009">
        <f>+SUM(R7:R45)</f>
        <v>457243918</v>
      </c>
      <c r="S46" s="1008">
        <f t="shared" ref="S46" si="38">+SUM(S7:S45)</f>
        <v>18055667869</v>
      </c>
      <c r="T46" s="1113">
        <f t="shared" si="37"/>
        <v>551241129</v>
      </c>
      <c r="U46" s="1009">
        <f t="shared" si="37"/>
        <v>23208738460</v>
      </c>
      <c r="V46" s="1008">
        <f t="shared" si="37"/>
        <v>23759979589</v>
      </c>
      <c r="W46" s="1006">
        <f t="shared" ref="W46" si="39">+SUM(W7:W45)</f>
        <v>0</v>
      </c>
      <c r="X46" s="1012" t="s">
        <v>1430</v>
      </c>
      <c r="Y46" s="1448"/>
      <c r="Z46" s="1448"/>
      <c r="AA46" s="1448"/>
      <c r="AB46" s="1448"/>
      <c r="AC46" s="1448"/>
      <c r="AD46" s="1011">
        <f t="shared" ref="AD46:AK46" si="40">+SUM(AD7:AD45)</f>
        <v>42028134935</v>
      </c>
      <c r="AE46" s="1010">
        <f t="shared" si="40"/>
        <v>17385467774</v>
      </c>
      <c r="AF46" s="1381">
        <f t="shared" si="40"/>
        <v>392800549</v>
      </c>
      <c r="AG46" s="1009">
        <f>+SUM(AG7:AG45)</f>
        <v>480297219</v>
      </c>
      <c r="AH46" s="1008">
        <f t="shared" ref="AH46" si="41">+SUM(AH7:AH45)</f>
        <v>18258565542</v>
      </c>
      <c r="AI46" s="1113">
        <f t="shared" si="40"/>
        <v>560817564</v>
      </c>
      <c r="AJ46" s="1009">
        <f t="shared" si="40"/>
        <v>23208751829</v>
      </c>
      <c r="AK46" s="1008">
        <f t="shared" si="40"/>
        <v>23769569393</v>
      </c>
      <c r="AL46" s="1006">
        <f t="shared" ref="AL46" si="42">+SUM(AL7:AL45)</f>
        <v>0</v>
      </c>
      <c r="AO46" s="990">
        <f t="shared" si="19"/>
        <v>0</v>
      </c>
      <c r="AR46" s="990">
        <f t="shared" si="14"/>
        <v>0</v>
      </c>
    </row>
    <row r="47" spans="1:46">
      <c r="B47" s="1003" t="s">
        <v>1429</v>
      </c>
      <c r="C47" s="1005"/>
      <c r="D47" s="1004" t="s">
        <v>1428</v>
      </c>
      <c r="E47" s="1000">
        <f t="shared" ref="E47:T48" si="43">+SUMIFS(E$7:E$45,$B$7:$B$45,$B47)</f>
        <v>11642506890</v>
      </c>
      <c r="F47" s="999">
        <f t="shared" si="43"/>
        <v>2836814906</v>
      </c>
      <c r="G47" s="1387">
        <f t="shared" si="43"/>
        <v>270904224</v>
      </c>
      <c r="H47" s="998">
        <f t="shared" si="43"/>
        <v>456300637</v>
      </c>
      <c r="I47" s="1411">
        <f t="shared" si="43"/>
        <v>3564019767</v>
      </c>
      <c r="J47" s="999">
        <f t="shared" si="43"/>
        <v>231363468</v>
      </c>
      <c r="K47" s="998">
        <f t="shared" si="43"/>
        <v>7847123655</v>
      </c>
      <c r="L47" s="997">
        <f t="shared" si="43"/>
        <v>8078487123</v>
      </c>
      <c r="M47" s="995">
        <f t="shared" si="43"/>
        <v>0</v>
      </c>
      <c r="N47" s="1004" t="s">
        <v>1428</v>
      </c>
      <c r="O47" s="1000">
        <f t="shared" si="43"/>
        <v>10820104123</v>
      </c>
      <c r="P47" s="999">
        <f t="shared" si="43"/>
        <v>2679951191</v>
      </c>
      <c r="Q47" s="1387">
        <f t="shared" si="43"/>
        <v>251984734</v>
      </c>
      <c r="R47" s="998">
        <f t="shared" si="43"/>
        <v>420868760</v>
      </c>
      <c r="S47" s="1411">
        <f t="shared" si="43"/>
        <v>3352804685</v>
      </c>
      <c r="T47" s="1112">
        <f t="shared" si="43"/>
        <v>218712415</v>
      </c>
      <c r="U47" s="998">
        <f t="shared" ref="O47:W48" si="44">+SUMIFS(U$7:U$45,$B$7:$B$45,$B47)</f>
        <v>7248587023</v>
      </c>
      <c r="V47" s="997">
        <f t="shared" si="44"/>
        <v>7467299438</v>
      </c>
      <c r="W47" s="995">
        <f t="shared" si="44"/>
        <v>0</v>
      </c>
      <c r="X47" s="1004" t="s">
        <v>1428</v>
      </c>
      <c r="Y47" s="1436"/>
      <c r="Z47" s="1436"/>
      <c r="AA47" s="1436"/>
      <c r="AB47" s="1436"/>
      <c r="AC47" s="1436"/>
      <c r="AD47" s="1000">
        <f t="shared" ref="AD47:AL48" si="45">+SUMIFS(AD$7:AD$45,$B$7:$B$45,$B47)</f>
        <v>11030037961</v>
      </c>
      <c r="AE47" s="999">
        <f t="shared" si="45"/>
        <v>2841791933</v>
      </c>
      <c r="AF47" s="1387">
        <f t="shared" si="45"/>
        <v>267434725</v>
      </c>
      <c r="AG47" s="998">
        <f t="shared" si="45"/>
        <v>443922061</v>
      </c>
      <c r="AH47" s="1411">
        <f t="shared" si="45"/>
        <v>3553148719</v>
      </c>
      <c r="AI47" s="1112">
        <f t="shared" si="45"/>
        <v>228288850</v>
      </c>
      <c r="AJ47" s="998">
        <f t="shared" si="45"/>
        <v>7248600392</v>
      </c>
      <c r="AK47" s="997">
        <f t="shared" si="45"/>
        <v>7476889242</v>
      </c>
      <c r="AL47" s="995">
        <f t="shared" si="45"/>
        <v>0</v>
      </c>
      <c r="AO47" s="990">
        <f t="shared" si="19"/>
        <v>0</v>
      </c>
      <c r="AR47" s="990">
        <f t="shared" si="14"/>
        <v>0</v>
      </c>
    </row>
    <row r="48" spans="1:46">
      <c r="B48" s="1003" t="s">
        <v>1427</v>
      </c>
      <c r="C48" s="1005"/>
      <c r="D48" s="1004" t="s">
        <v>1426</v>
      </c>
      <c r="E48" s="1000">
        <f t="shared" si="43"/>
        <v>31001162767</v>
      </c>
      <c r="F48" s="999">
        <f t="shared" si="43"/>
        <v>14543901675</v>
      </c>
      <c r="G48" s="1387">
        <f t="shared" si="43"/>
        <v>125365824</v>
      </c>
      <c r="H48" s="998">
        <f t="shared" si="43"/>
        <v>36375158</v>
      </c>
      <c r="I48" s="1411">
        <f t="shared" si="43"/>
        <v>14705642657</v>
      </c>
      <c r="J48" s="999">
        <f t="shared" si="43"/>
        <v>332528714</v>
      </c>
      <c r="K48" s="998">
        <f t="shared" si="43"/>
        <v>15962991396</v>
      </c>
      <c r="L48" s="997">
        <f t="shared" si="43"/>
        <v>16295520110</v>
      </c>
      <c r="M48" s="995">
        <f t="shared" si="43"/>
        <v>0</v>
      </c>
      <c r="N48" s="1004" t="s">
        <v>1426</v>
      </c>
      <c r="O48" s="1000">
        <f t="shared" si="44"/>
        <v>30995543335</v>
      </c>
      <c r="P48" s="999">
        <f>+SUMIFS(P$7:P$45,$B$7:$B$45,$B48)</f>
        <v>14541122202</v>
      </c>
      <c r="Q48" s="1387">
        <f t="shared" si="44"/>
        <v>125365824</v>
      </c>
      <c r="R48" s="998">
        <f t="shared" si="44"/>
        <v>36375158</v>
      </c>
      <c r="S48" s="1411">
        <f t="shared" si="44"/>
        <v>14702863184</v>
      </c>
      <c r="T48" s="1112">
        <f t="shared" si="44"/>
        <v>332528714</v>
      </c>
      <c r="U48" s="998">
        <f t="shared" si="44"/>
        <v>15960151437</v>
      </c>
      <c r="V48" s="997">
        <f t="shared" si="44"/>
        <v>16292680151</v>
      </c>
      <c r="W48" s="995">
        <f t="shared" si="44"/>
        <v>0</v>
      </c>
      <c r="X48" s="1004" t="s">
        <v>1426</v>
      </c>
      <c r="Y48" s="1436"/>
      <c r="Z48" s="1436"/>
      <c r="AA48" s="1436"/>
      <c r="AB48" s="1436"/>
      <c r="AC48" s="1436"/>
      <c r="AD48" s="1000">
        <f t="shared" si="45"/>
        <v>30998096974</v>
      </c>
      <c r="AE48" s="999">
        <f t="shared" si="45"/>
        <v>14543675841</v>
      </c>
      <c r="AF48" s="1387">
        <f t="shared" si="45"/>
        <v>125365824</v>
      </c>
      <c r="AG48" s="998">
        <f t="shared" si="45"/>
        <v>36375158</v>
      </c>
      <c r="AH48" s="1411">
        <f t="shared" si="45"/>
        <v>14705416823</v>
      </c>
      <c r="AI48" s="1112">
        <f t="shared" si="45"/>
        <v>332528714</v>
      </c>
      <c r="AJ48" s="998">
        <f t="shared" si="45"/>
        <v>15960151437</v>
      </c>
      <c r="AK48" s="997">
        <f t="shared" si="45"/>
        <v>16292680151</v>
      </c>
      <c r="AL48" s="995">
        <f t="shared" si="45"/>
        <v>0</v>
      </c>
      <c r="AO48" s="990">
        <f t="shared" si="19"/>
        <v>0</v>
      </c>
      <c r="AR48" s="990">
        <f t="shared" si="14"/>
        <v>0</v>
      </c>
    </row>
    <row r="49" spans="1:46">
      <c r="B49" s="1003"/>
      <c r="C49" s="1002"/>
      <c r="D49" s="1001" t="s">
        <v>1425</v>
      </c>
      <c r="E49" s="1000">
        <f>+SUM(E7:E45)</f>
        <v>42643669657</v>
      </c>
      <c r="F49" s="999">
        <f t="shared" ref="F49:M49" si="46">+SUM(F7:F45)</f>
        <v>17380716581</v>
      </c>
      <c r="G49" s="1387">
        <f t="shared" si="46"/>
        <v>396270048</v>
      </c>
      <c r="H49" s="998">
        <f t="shared" si="46"/>
        <v>492675795</v>
      </c>
      <c r="I49" s="1411">
        <f t="shared" si="46"/>
        <v>18269662424</v>
      </c>
      <c r="J49" s="999">
        <f t="shared" si="46"/>
        <v>563892182</v>
      </c>
      <c r="K49" s="998">
        <f t="shared" si="46"/>
        <v>23810115051</v>
      </c>
      <c r="L49" s="997">
        <f t="shared" si="46"/>
        <v>24374007233</v>
      </c>
      <c r="M49" s="995">
        <f t="shared" si="46"/>
        <v>0</v>
      </c>
      <c r="N49" s="1001" t="s">
        <v>1425</v>
      </c>
      <c r="O49" s="1000">
        <f>+SUM(O7:O45)</f>
        <v>41815647458</v>
      </c>
      <c r="P49" s="999">
        <f t="shared" ref="P49:V49" si="47">+SUM(P7:P45)</f>
        <v>17221073393</v>
      </c>
      <c r="Q49" s="1387">
        <f t="shared" si="47"/>
        <v>377350558</v>
      </c>
      <c r="R49" s="998">
        <f t="shared" si="47"/>
        <v>457243918</v>
      </c>
      <c r="S49" s="1411">
        <f t="shared" si="47"/>
        <v>18055667869</v>
      </c>
      <c r="T49" s="1112">
        <f t="shared" si="47"/>
        <v>551241129</v>
      </c>
      <c r="U49" s="998">
        <f t="shared" si="47"/>
        <v>23208738460</v>
      </c>
      <c r="V49" s="997">
        <f t="shared" si="47"/>
        <v>23759979589</v>
      </c>
      <c r="W49" s="995">
        <f t="shared" ref="W49" si="48">+SUM(W7:W21,W22:W27,W28:W33,W34:W36,W37:W40,W41:W45)</f>
        <v>0</v>
      </c>
      <c r="X49" s="1001" t="s">
        <v>1425</v>
      </c>
      <c r="Y49" s="1449"/>
      <c r="Z49" s="1449"/>
      <c r="AA49" s="1449"/>
      <c r="AB49" s="1449"/>
      <c r="AC49" s="1449"/>
      <c r="AD49" s="1000">
        <f>+SUM(AD7:AD45)</f>
        <v>42028134935</v>
      </c>
      <c r="AE49" s="999">
        <f t="shared" ref="AE49:AK49" si="49">+SUM(AE7:AE45)</f>
        <v>17385467774</v>
      </c>
      <c r="AF49" s="1387">
        <f t="shared" si="49"/>
        <v>392800549</v>
      </c>
      <c r="AG49" s="998">
        <f t="shared" si="49"/>
        <v>480297219</v>
      </c>
      <c r="AH49" s="1411">
        <f t="shared" si="49"/>
        <v>18258565542</v>
      </c>
      <c r="AI49" s="1112">
        <f t="shared" si="49"/>
        <v>560817564</v>
      </c>
      <c r="AJ49" s="998">
        <f t="shared" si="49"/>
        <v>23208751829</v>
      </c>
      <c r="AK49" s="997">
        <f t="shared" si="49"/>
        <v>23769569393</v>
      </c>
      <c r="AL49" s="995">
        <f t="shared" ref="AL49" si="50">+SUM(AL7:AL21,AL22:AL27,AL28:AL33,AL34:AL36,AL37:AL40,AL41:AL45)</f>
        <v>0</v>
      </c>
      <c r="AO49" s="990">
        <f t="shared" si="19"/>
        <v>0</v>
      </c>
      <c r="AR49" s="990">
        <f t="shared" si="14"/>
        <v>0</v>
      </c>
    </row>
    <row r="50" spans="1:46" ht="13.5" customHeight="1">
      <c r="D50" s="1127"/>
      <c r="E50" s="994">
        <f>E49-'3条支出'!$E$42</f>
        <v>0</v>
      </c>
      <c r="F50" s="994"/>
      <c r="G50" s="994"/>
      <c r="H50" s="994"/>
      <c r="I50" s="993"/>
      <c r="J50" s="994"/>
      <c r="K50" s="994"/>
      <c r="L50" s="993"/>
      <c r="M50" s="994"/>
      <c r="O50" s="994">
        <f>+O49-'3条支出'!$T$42</f>
        <v>0</v>
      </c>
      <c r="P50" s="994"/>
      <c r="Q50" s="994"/>
      <c r="R50" s="994"/>
      <c r="S50" s="993"/>
      <c r="T50" s="994"/>
      <c r="U50" s="994"/>
      <c r="V50" s="993"/>
      <c r="W50" s="994"/>
      <c r="X50" s="990"/>
      <c r="Y50" s="990"/>
      <c r="Z50" s="990"/>
      <c r="AA50" s="990"/>
      <c r="AB50" s="990"/>
      <c r="AC50" s="990"/>
      <c r="AD50" s="994">
        <f>+AD49-'3条支出'!$T$41</f>
        <v>0</v>
      </c>
      <c r="AE50" s="994"/>
      <c r="AF50" s="994"/>
      <c r="AG50" s="994"/>
      <c r="AH50" s="993"/>
      <c r="AI50" s="994"/>
      <c r="AJ50" s="994"/>
      <c r="AK50" s="993"/>
      <c r="AL50" s="993"/>
      <c r="AO50" s="990">
        <f t="shared" si="19"/>
        <v>0</v>
      </c>
      <c r="AR50" s="990">
        <f t="shared" si="14"/>
        <v>0</v>
      </c>
    </row>
    <row r="51" spans="1:46">
      <c r="D51" s="992"/>
      <c r="E51" s="994"/>
      <c r="F51" s="994"/>
      <c r="G51" s="994"/>
      <c r="H51" s="994"/>
      <c r="I51" s="993"/>
      <c r="J51" s="994"/>
      <c r="K51" s="994"/>
      <c r="L51" s="993"/>
      <c r="M51" s="994"/>
      <c r="O51" s="994"/>
      <c r="P51" s="994"/>
      <c r="Q51" s="994"/>
      <c r="R51" s="994"/>
      <c r="S51" s="993"/>
      <c r="T51" s="994"/>
      <c r="U51" s="994"/>
      <c r="V51" s="993"/>
      <c r="W51" s="994"/>
      <c r="X51" s="993"/>
      <c r="Y51" s="993"/>
      <c r="Z51" s="993"/>
      <c r="AA51" s="993"/>
      <c r="AB51" s="993"/>
      <c r="AC51" s="993"/>
      <c r="AD51" s="994"/>
      <c r="AE51" s="994"/>
      <c r="AF51" s="994"/>
      <c r="AG51" s="994"/>
      <c r="AH51" s="993"/>
      <c r="AI51" s="994"/>
      <c r="AJ51" s="994"/>
      <c r="AK51" s="993"/>
      <c r="AL51" s="994"/>
    </row>
    <row r="52" spans="1:46">
      <c r="D52" s="990" t="str">
        <f>+$D$1</f>
        <v>令和５年度決算　消費税算出資料</v>
      </c>
      <c r="N52" s="990" t="str">
        <f>+$D$1</f>
        <v>令和５年度決算　消費税算出資料</v>
      </c>
      <c r="X52" s="990" t="str">
        <f>+$D$1</f>
        <v>令和５年度決算　消費税算出資料</v>
      </c>
      <c r="Y52" s="990"/>
      <c r="Z52" s="990"/>
      <c r="AA52" s="990"/>
      <c r="AB52" s="990"/>
      <c r="AC52" s="990"/>
    </row>
    <row r="53" spans="1:46">
      <c r="D53" s="990" t="s">
        <v>1525</v>
      </c>
      <c r="M53" s="1042" t="str">
        <f>+IF(COUNTIF(M58:M96,0)=COUNT(M58:M96),"","↓エラーあり")</f>
        <v/>
      </c>
      <c r="N53" s="990" t="s">
        <v>1525</v>
      </c>
      <c r="W53" s="1042" t="str">
        <f>+IF(COUNTIF(W58:W96,0)=COUNT(W58:W96),"","↓エラーあり")</f>
        <v/>
      </c>
      <c r="X53" s="990" t="s">
        <v>1780</v>
      </c>
      <c r="Y53" s="990"/>
      <c r="Z53" s="990"/>
      <c r="AA53" s="990"/>
      <c r="AB53" s="990"/>
      <c r="AC53" s="990"/>
      <c r="AL53" s="1042" t="str">
        <f>+IF(COUNTIF(AL58:AL96,0)=COUNT(AL58:AL96),"","↓エラーあり")</f>
        <v/>
      </c>
    </row>
    <row r="54" spans="1:46">
      <c r="B54" s="1572"/>
      <c r="C54" s="1573"/>
      <c r="D54" s="1565" t="s">
        <v>1520</v>
      </c>
      <c r="E54" s="1578" t="s">
        <v>1521</v>
      </c>
      <c r="F54" s="1579"/>
      <c r="G54" s="1579"/>
      <c r="H54" s="1579"/>
      <c r="I54" s="1579"/>
      <c r="J54" s="1579"/>
      <c r="K54" s="1579"/>
      <c r="L54" s="1579"/>
      <c r="M54" s="1580"/>
      <c r="N54" s="1565" t="s">
        <v>1520</v>
      </c>
      <c r="O54" s="1578" t="s">
        <v>1519</v>
      </c>
      <c r="P54" s="1579"/>
      <c r="Q54" s="1579"/>
      <c r="R54" s="1579"/>
      <c r="S54" s="1579"/>
      <c r="T54" s="1579"/>
      <c r="U54" s="1579"/>
      <c r="V54" s="1579"/>
      <c r="W54" s="1580"/>
      <c r="X54" s="1565" t="s">
        <v>1520</v>
      </c>
      <c r="Y54" s="1435"/>
      <c r="Z54" s="1435"/>
      <c r="AA54" s="1435"/>
      <c r="AB54" s="1435"/>
      <c r="AC54" s="1435"/>
      <c r="AD54" s="1578" t="s">
        <v>1519</v>
      </c>
      <c r="AE54" s="1579"/>
      <c r="AF54" s="1579"/>
      <c r="AG54" s="1579"/>
      <c r="AH54" s="1579"/>
      <c r="AI54" s="1579"/>
      <c r="AJ54" s="1579"/>
      <c r="AK54" s="1579"/>
      <c r="AL54" s="1580"/>
    </row>
    <row r="55" spans="1:46">
      <c r="B55" s="1574"/>
      <c r="C55" s="1575"/>
      <c r="D55" s="1566"/>
      <c r="E55" s="1565" t="s">
        <v>1515</v>
      </c>
      <c r="F55" s="1578" t="s">
        <v>1511</v>
      </c>
      <c r="G55" s="1579"/>
      <c r="H55" s="1579"/>
      <c r="I55" s="1580"/>
      <c r="J55" s="1578" t="s">
        <v>1510</v>
      </c>
      <c r="K55" s="1579"/>
      <c r="L55" s="1580"/>
      <c r="M55" s="1568" t="s">
        <v>1508</v>
      </c>
      <c r="N55" s="1566"/>
      <c r="O55" s="1565" t="s">
        <v>1514</v>
      </c>
      <c r="P55" s="1578" t="s">
        <v>1511</v>
      </c>
      <c r="Q55" s="1579"/>
      <c r="R55" s="1579"/>
      <c r="S55" s="1580"/>
      <c r="T55" s="1578" t="s">
        <v>1510</v>
      </c>
      <c r="U55" s="1579"/>
      <c r="V55" s="1580"/>
      <c r="W55" s="1568" t="s">
        <v>1513</v>
      </c>
      <c r="X55" s="1566"/>
      <c r="Y55" s="1432"/>
      <c r="Z55" s="1432"/>
      <c r="AA55" s="1432"/>
      <c r="AB55" s="1432"/>
      <c r="AC55" s="1432"/>
      <c r="AD55" s="1565" t="s">
        <v>1514</v>
      </c>
      <c r="AE55" s="1578" t="s">
        <v>1511</v>
      </c>
      <c r="AF55" s="1579"/>
      <c r="AG55" s="1579"/>
      <c r="AH55" s="1580"/>
      <c r="AI55" s="1578" t="s">
        <v>1510</v>
      </c>
      <c r="AJ55" s="1579"/>
      <c r="AK55" s="1580"/>
      <c r="AL55" s="1568" t="s">
        <v>1513</v>
      </c>
    </row>
    <row r="56" spans="1:46">
      <c r="A56" s="1571"/>
      <c r="B56" s="1574"/>
      <c r="C56" s="1575"/>
      <c r="D56" s="1566"/>
      <c r="E56" s="1566"/>
      <c r="F56" s="1102" t="s">
        <v>1507</v>
      </c>
      <c r="G56" s="1374" t="s">
        <v>1507</v>
      </c>
      <c r="H56" s="1101" t="s">
        <v>1505</v>
      </c>
      <c r="I56" s="1372" t="s">
        <v>1506</v>
      </c>
      <c r="J56" s="1102" t="s">
        <v>1507</v>
      </c>
      <c r="K56" s="1101" t="s">
        <v>1505</v>
      </c>
      <c r="L56" s="1100" t="s">
        <v>1506</v>
      </c>
      <c r="M56" s="1569"/>
      <c r="N56" s="1566"/>
      <c r="O56" s="1566"/>
      <c r="P56" s="1102" t="s">
        <v>1507</v>
      </c>
      <c r="Q56" s="1374" t="s">
        <v>1507</v>
      </c>
      <c r="R56" s="1101" t="s">
        <v>1505</v>
      </c>
      <c r="S56" s="1372" t="s">
        <v>1506</v>
      </c>
      <c r="T56" s="1102" t="s">
        <v>1507</v>
      </c>
      <c r="U56" s="1101" t="s">
        <v>1505</v>
      </c>
      <c r="V56" s="1100" t="s">
        <v>1506</v>
      </c>
      <c r="W56" s="1569"/>
      <c r="X56" s="1566"/>
      <c r="Y56" s="1432"/>
      <c r="Z56" s="1432"/>
      <c r="AA56" s="1432"/>
      <c r="AB56" s="1432"/>
      <c r="AC56" s="1432"/>
      <c r="AD56" s="1566"/>
      <c r="AE56" s="1102" t="s">
        <v>1507</v>
      </c>
      <c r="AF56" s="1374" t="s">
        <v>1507</v>
      </c>
      <c r="AG56" s="1101" t="s">
        <v>1505</v>
      </c>
      <c r="AH56" s="1372" t="s">
        <v>1506</v>
      </c>
      <c r="AI56" s="1102" t="s">
        <v>1507</v>
      </c>
      <c r="AJ56" s="1101" t="s">
        <v>1505</v>
      </c>
      <c r="AK56" s="1100" t="s">
        <v>1506</v>
      </c>
      <c r="AL56" s="1569"/>
    </row>
    <row r="57" spans="1:46" s="1095" customFormat="1">
      <c r="A57" s="1571"/>
      <c r="B57" s="1576"/>
      <c r="C57" s="1577"/>
      <c r="D57" s="1566"/>
      <c r="E57" s="1566"/>
      <c r="F57" s="1098" t="s">
        <v>1503</v>
      </c>
      <c r="G57" s="1375" t="s">
        <v>1504</v>
      </c>
      <c r="H57" s="1400" t="s">
        <v>1509</v>
      </c>
      <c r="I57" s="1390"/>
      <c r="J57" s="1098" t="s">
        <v>1503</v>
      </c>
      <c r="K57" s="1097" t="s">
        <v>1503</v>
      </c>
      <c r="L57" s="1096"/>
      <c r="M57" s="1569"/>
      <c r="N57" s="1566"/>
      <c r="O57" s="1566"/>
      <c r="P57" s="1098" t="s">
        <v>1503</v>
      </c>
      <c r="Q57" s="1375" t="s">
        <v>1504</v>
      </c>
      <c r="R57" s="1400" t="s">
        <v>1509</v>
      </c>
      <c r="S57" s="1390"/>
      <c r="T57" s="1098" t="s">
        <v>1503</v>
      </c>
      <c r="U57" s="1097" t="s">
        <v>1503</v>
      </c>
      <c r="V57" s="1096"/>
      <c r="W57" s="1569"/>
      <c r="X57" s="1567"/>
      <c r="Y57" s="1433"/>
      <c r="Z57" s="1433"/>
      <c r="AA57" s="1433"/>
      <c r="AB57" s="1433"/>
      <c r="AC57" s="1433"/>
      <c r="AD57" s="1567"/>
      <c r="AE57" s="1098" t="s">
        <v>1503</v>
      </c>
      <c r="AF57" s="1375" t="s">
        <v>1504</v>
      </c>
      <c r="AG57" s="1400" t="s">
        <v>1509</v>
      </c>
      <c r="AH57" s="1390"/>
      <c r="AI57" s="1098" t="s">
        <v>1503</v>
      </c>
      <c r="AJ57" s="1097" t="s">
        <v>1503</v>
      </c>
      <c r="AK57" s="1096"/>
      <c r="AL57" s="1570"/>
    </row>
    <row r="58" spans="1:46" s="991" customFormat="1">
      <c r="A58" s="1024"/>
      <c r="B58" s="1094" t="s">
        <v>1429</v>
      </c>
      <c r="C58" s="1093" t="s">
        <v>1446</v>
      </c>
      <c r="D58" s="1088" t="s">
        <v>1482</v>
      </c>
      <c r="E58" s="1176">
        <f>+'3条収入'!E8</f>
        <v>20488962528</v>
      </c>
      <c r="F58" s="1086"/>
      <c r="G58" s="1123"/>
      <c r="H58" s="1087"/>
      <c r="I58" s="1090">
        <f>+SUM(F58:H58)</f>
        <v>0</v>
      </c>
      <c r="J58" s="1086"/>
      <c r="K58" s="1087">
        <f>+E58</f>
        <v>20488962528</v>
      </c>
      <c r="L58" s="1084">
        <f>+SUM(J58:K58)</f>
        <v>20488962528</v>
      </c>
      <c r="M58" s="1083">
        <f>E58-SUM(I58,L58)</f>
        <v>0</v>
      </c>
      <c r="N58" s="1088" t="s">
        <v>1482</v>
      </c>
      <c r="O58" s="1176">
        <f>+'3条収入'!AI8</f>
        <v>18626337467</v>
      </c>
      <c r="P58" s="1086">
        <f>+IFERROR(ROUND(F58*$O58/$E58,0),0)</f>
        <v>0</v>
      </c>
      <c r="Q58" s="1123">
        <f>+IFERROR(ROUND(G58*$O58/$E58,0),0)</f>
        <v>0</v>
      </c>
      <c r="R58" s="1087">
        <f>+IFERROR(ROUND(H58*$O58/$E58,0),0)</f>
        <v>0</v>
      </c>
      <c r="S58" s="1090">
        <f t="shared" ref="S58:S95" si="51">+SUM(P58:R58)</f>
        <v>0</v>
      </c>
      <c r="T58" s="1086">
        <f>+IFERROR(ROUND(J58*$O58/$E58,0),0)</f>
        <v>0</v>
      </c>
      <c r="U58" s="1087">
        <f>+O58-S58-T58</f>
        <v>18626337467</v>
      </c>
      <c r="V58" s="1084">
        <f t="shared" ref="V58:V73" si="52">+SUM(T58:U58)</f>
        <v>18626337467</v>
      </c>
      <c r="W58" s="1083">
        <f t="shared" ref="W58:W95" si="53">O58-SUM(S58,V58)</f>
        <v>0</v>
      </c>
      <c r="X58" s="1088" t="s">
        <v>1482</v>
      </c>
      <c r="Y58" s="1088"/>
      <c r="Z58" s="1088"/>
      <c r="AA58" s="1088"/>
      <c r="AB58" s="1088"/>
      <c r="AC58" s="1088"/>
      <c r="AD58" s="1083">
        <f>+O58</f>
        <v>18626337467</v>
      </c>
      <c r="AE58" s="1086">
        <f>+P58</f>
        <v>0</v>
      </c>
      <c r="AF58" s="1123">
        <f>+Q58</f>
        <v>0</v>
      </c>
      <c r="AG58" s="1087">
        <f>+R58</f>
        <v>0</v>
      </c>
      <c r="AH58" s="1090">
        <f t="shared" ref="AH58:AH95" si="54">+SUM(AE58:AG58)</f>
        <v>0</v>
      </c>
      <c r="AI58" s="1086">
        <f>+T58</f>
        <v>0</v>
      </c>
      <c r="AJ58" s="1085">
        <f>+U58</f>
        <v>18626337467</v>
      </c>
      <c r="AK58" s="1084">
        <f t="shared" ref="AK58:AK95" si="55">+SUM(AI58:AJ58)</f>
        <v>18626337467</v>
      </c>
      <c r="AL58" s="1083">
        <f t="shared" ref="AL58:AL95" si="56">AD58-SUM(AH58,AK58)</f>
        <v>0</v>
      </c>
      <c r="AM58" s="990">
        <f t="shared" ref="AM58:AM96" si="57">SUM(AE58:AG58,AI58)</f>
        <v>0</v>
      </c>
      <c r="AN58" s="991">
        <v>0</v>
      </c>
      <c r="AO58" s="990">
        <f t="shared" ref="AO58:AO96" si="58">-(AM58-AN58)</f>
        <v>0</v>
      </c>
      <c r="AQ58" s="990">
        <v>0</v>
      </c>
      <c r="AR58" s="990">
        <f t="shared" ref="AR58:AR96" si="59">-(AM58-AQ58)</f>
        <v>0</v>
      </c>
      <c r="AT58" s="990" t="s">
        <v>4738</v>
      </c>
    </row>
    <row r="59" spans="1:46" s="991" customFormat="1">
      <c r="A59" s="1024"/>
      <c r="B59" s="1034"/>
      <c r="C59" s="1033"/>
      <c r="D59" s="1030"/>
      <c r="E59" s="1025"/>
      <c r="F59" s="1028"/>
      <c r="G59" s="1379"/>
      <c r="H59" s="1027"/>
      <c r="I59" s="1029"/>
      <c r="J59" s="1028"/>
      <c r="K59" s="1027"/>
      <c r="L59" s="1026"/>
      <c r="M59" s="1025"/>
      <c r="N59" s="1030"/>
      <c r="O59" s="1025"/>
      <c r="P59" s="1028"/>
      <c r="Q59" s="1379"/>
      <c r="R59" s="1027"/>
      <c r="S59" s="1029"/>
      <c r="T59" s="1028"/>
      <c r="U59" s="1027"/>
      <c r="V59" s="1026"/>
      <c r="W59" s="1025"/>
      <c r="X59" s="1030"/>
      <c r="Y59" s="1030"/>
      <c r="Z59" s="1030"/>
      <c r="AA59" s="1030"/>
      <c r="AB59" s="1030"/>
      <c r="AC59" s="1030"/>
      <c r="AD59" s="1025"/>
      <c r="AE59" s="1028"/>
      <c r="AF59" s="1379"/>
      <c r="AG59" s="1027"/>
      <c r="AH59" s="1029"/>
      <c r="AI59" s="1028"/>
      <c r="AJ59" s="1027"/>
      <c r="AK59" s="1026"/>
      <c r="AL59" s="1025"/>
      <c r="AM59" s="990">
        <f t="shared" si="57"/>
        <v>0</v>
      </c>
      <c r="AO59" s="990">
        <f t="shared" si="58"/>
        <v>0</v>
      </c>
      <c r="AR59" s="990">
        <f t="shared" si="59"/>
        <v>0</v>
      </c>
    </row>
    <row r="60" spans="1:46" s="991" customFormat="1">
      <c r="A60" s="1024"/>
      <c r="B60" s="1034" t="s">
        <v>1429</v>
      </c>
      <c r="C60" s="1033" t="s">
        <v>1446</v>
      </c>
      <c r="D60" s="1030" t="s">
        <v>1491</v>
      </c>
      <c r="E60" s="1163">
        <f>+'3条収入'!E17</f>
        <v>0</v>
      </c>
      <c r="F60" s="1154">
        <f>+雨汚収入!AV3</f>
        <v>0</v>
      </c>
      <c r="G60" s="1401">
        <f>+雨汚収入!AW3</f>
        <v>0</v>
      </c>
      <c r="H60" s="1153">
        <f>+雨汚収入!AX3</f>
        <v>0</v>
      </c>
      <c r="I60" s="1029">
        <f t="shared" ref="I60:I65" si="60">+SUM(F60:H60)</f>
        <v>0</v>
      </c>
      <c r="J60" s="1154">
        <f>+雨汚収入!AZ3</f>
        <v>0</v>
      </c>
      <c r="K60" s="1153">
        <f>+雨汚収入!BA3</f>
        <v>0</v>
      </c>
      <c r="L60" s="1026">
        <f t="shared" ref="L60:L65" si="61">+SUM(J60:K60)</f>
        <v>0</v>
      </c>
      <c r="M60" s="1025">
        <f t="shared" ref="M60:M65" si="62">E60-SUM(I60,L60)</f>
        <v>0</v>
      </c>
      <c r="N60" s="1030" t="s">
        <v>1491</v>
      </c>
      <c r="O60" s="1163">
        <f>+'3条収入'!AI17</f>
        <v>0</v>
      </c>
      <c r="P60" s="1154">
        <f>+雨汚収入!BF3</f>
        <v>0</v>
      </c>
      <c r="Q60" s="1401">
        <f>+雨汚収入!BG3</f>
        <v>0</v>
      </c>
      <c r="R60" s="1153">
        <f>+雨汚収入!BH3</f>
        <v>0</v>
      </c>
      <c r="S60" s="1029">
        <f t="shared" ref="S60:S73" si="63">+SUM(P60:R60)</f>
        <v>0</v>
      </c>
      <c r="T60" s="1154">
        <f>+雨汚収入!BJ3</f>
        <v>0</v>
      </c>
      <c r="U60" s="1153">
        <f>+雨汚収入!BK3</f>
        <v>0</v>
      </c>
      <c r="V60" s="1026">
        <f t="shared" si="52"/>
        <v>0</v>
      </c>
      <c r="W60" s="1025">
        <f t="shared" ref="W60:W73" si="64">O60-SUM(S60,V60)</f>
        <v>0</v>
      </c>
      <c r="X60" s="1030" t="s">
        <v>1491</v>
      </c>
      <c r="Y60" s="1030"/>
      <c r="Z60" s="1030"/>
      <c r="AA60" s="1030"/>
      <c r="AB60" s="1030"/>
      <c r="AC60" s="1030"/>
      <c r="AD60" s="1025">
        <f t="shared" ref="AD60:AG65" si="65">+O60</f>
        <v>0</v>
      </c>
      <c r="AE60" s="1028">
        <f t="shared" si="65"/>
        <v>0</v>
      </c>
      <c r="AF60" s="1379">
        <f t="shared" si="65"/>
        <v>0</v>
      </c>
      <c r="AG60" s="1027">
        <f t="shared" si="65"/>
        <v>0</v>
      </c>
      <c r="AH60" s="1029">
        <f t="shared" si="54"/>
        <v>0</v>
      </c>
      <c r="AI60" s="1028">
        <f t="shared" ref="AI60:AJ65" si="66">+T60</f>
        <v>0</v>
      </c>
      <c r="AJ60" s="1027">
        <f t="shared" si="66"/>
        <v>0</v>
      </c>
      <c r="AK60" s="1026">
        <f t="shared" si="55"/>
        <v>0</v>
      </c>
      <c r="AL60" s="1025">
        <f t="shared" si="56"/>
        <v>0</v>
      </c>
      <c r="AM60" s="990">
        <f t="shared" si="57"/>
        <v>0</v>
      </c>
      <c r="AO60" s="990">
        <f t="shared" si="58"/>
        <v>0</v>
      </c>
      <c r="AR60" s="990">
        <f t="shared" si="59"/>
        <v>0</v>
      </c>
    </row>
    <row r="61" spans="1:46" s="991" customFormat="1">
      <c r="A61" s="1024"/>
      <c r="B61" s="1034" t="s">
        <v>1429</v>
      </c>
      <c r="C61" s="1033" t="s">
        <v>1446</v>
      </c>
      <c r="D61" s="1030" t="s">
        <v>1493</v>
      </c>
      <c r="E61" s="1163">
        <f>+'3条収入'!E20</f>
        <v>187826166</v>
      </c>
      <c r="F61" s="1154">
        <f>+雨汚収入!AV4</f>
        <v>0</v>
      </c>
      <c r="G61" s="1401">
        <f>+雨汚収入!AW4</f>
        <v>0</v>
      </c>
      <c r="H61" s="1160">
        <f>+雨汚収入!AX4</f>
        <v>37753060</v>
      </c>
      <c r="I61" s="1029">
        <f t="shared" si="60"/>
        <v>37753060</v>
      </c>
      <c r="J61" s="1154">
        <f>+雨汚収入!AZ4</f>
        <v>0</v>
      </c>
      <c r="K61" s="1153">
        <f>+雨汚収入!BA4</f>
        <v>150073106</v>
      </c>
      <c r="L61" s="1026">
        <f t="shared" si="61"/>
        <v>150073106</v>
      </c>
      <c r="M61" s="1025">
        <f t="shared" si="62"/>
        <v>0</v>
      </c>
      <c r="N61" s="1030" t="s">
        <v>1493</v>
      </c>
      <c r="O61" s="1163">
        <f>+'3条収入'!AI20</f>
        <v>170751060</v>
      </c>
      <c r="P61" s="1154">
        <f>+雨汚収入!BF4</f>
        <v>0</v>
      </c>
      <c r="Q61" s="1401">
        <f>+雨汚収入!BG4</f>
        <v>0</v>
      </c>
      <c r="R61" s="1160">
        <f>+雨汚収入!BH4</f>
        <v>34320964</v>
      </c>
      <c r="S61" s="1029">
        <f t="shared" si="63"/>
        <v>34320964</v>
      </c>
      <c r="T61" s="1154">
        <f>+雨汚収入!BJ4</f>
        <v>0</v>
      </c>
      <c r="U61" s="1153">
        <f>+雨汚収入!BK4</f>
        <v>136430096</v>
      </c>
      <c r="V61" s="1026">
        <f t="shared" si="52"/>
        <v>136430096</v>
      </c>
      <c r="W61" s="1025">
        <f>O61-SUM(S61,V61)</f>
        <v>0</v>
      </c>
      <c r="X61" s="1030" t="s">
        <v>1493</v>
      </c>
      <c r="Y61" s="1030"/>
      <c r="Z61" s="1030"/>
      <c r="AA61" s="1030"/>
      <c r="AB61" s="1030"/>
      <c r="AC61" s="1030"/>
      <c r="AD61" s="1025">
        <f t="shared" si="65"/>
        <v>170751060</v>
      </c>
      <c r="AE61" s="1028">
        <f t="shared" si="65"/>
        <v>0</v>
      </c>
      <c r="AF61" s="1379">
        <f t="shared" si="65"/>
        <v>0</v>
      </c>
      <c r="AG61" s="1043">
        <f t="shared" si="65"/>
        <v>34320964</v>
      </c>
      <c r="AH61" s="1029">
        <f t="shared" si="54"/>
        <v>34320964</v>
      </c>
      <c r="AI61" s="1028">
        <f t="shared" si="66"/>
        <v>0</v>
      </c>
      <c r="AJ61" s="1027">
        <f t="shared" si="66"/>
        <v>136430096</v>
      </c>
      <c r="AK61" s="1026">
        <f t="shared" si="55"/>
        <v>136430096</v>
      </c>
      <c r="AL61" s="1025">
        <f>AD61-SUM(AH61,AK61)</f>
        <v>0</v>
      </c>
      <c r="AM61" s="990">
        <f t="shared" si="57"/>
        <v>34320964</v>
      </c>
      <c r="AN61" s="991">
        <v>0</v>
      </c>
      <c r="AO61" s="990">
        <f t="shared" si="58"/>
        <v>-34320964</v>
      </c>
      <c r="AQ61" s="990">
        <v>0</v>
      </c>
      <c r="AR61" s="990">
        <f t="shared" si="59"/>
        <v>-34320964</v>
      </c>
      <c r="AT61" s="990" t="s">
        <v>4739</v>
      </c>
    </row>
    <row r="62" spans="1:46" s="991" customFormat="1">
      <c r="A62" s="1024"/>
      <c r="B62" s="1034" t="s">
        <v>1429</v>
      </c>
      <c r="C62" s="1033" t="s">
        <v>1446</v>
      </c>
      <c r="D62" s="1030" t="s">
        <v>1498</v>
      </c>
      <c r="E62" s="1163">
        <f>+'3条収入'!E21</f>
        <v>1409733</v>
      </c>
      <c r="F62" s="1154">
        <f>+雨汚収入!AV5</f>
        <v>902422</v>
      </c>
      <c r="G62" s="1401">
        <f>+雨汚収入!AW5</f>
        <v>507311</v>
      </c>
      <c r="H62" s="1153">
        <f>+雨汚収入!AX5</f>
        <v>0</v>
      </c>
      <c r="I62" s="1029">
        <f t="shared" si="60"/>
        <v>1409733</v>
      </c>
      <c r="J62" s="1154">
        <f>+雨汚収入!AZ5</f>
        <v>0</v>
      </c>
      <c r="K62" s="1153">
        <f>+雨汚収入!BA5</f>
        <v>0</v>
      </c>
      <c r="L62" s="1026">
        <f t="shared" si="61"/>
        <v>0</v>
      </c>
      <c r="M62" s="1025">
        <f t="shared" si="62"/>
        <v>0</v>
      </c>
      <c r="N62" s="1030" t="s">
        <v>1498</v>
      </c>
      <c r="O62" s="1163">
        <f>+'3条収入'!AI21</f>
        <v>1281576</v>
      </c>
      <c r="P62" s="1154">
        <f>+雨汚収入!BF5</f>
        <v>820384</v>
      </c>
      <c r="Q62" s="1401">
        <f>+雨汚収入!BG5</f>
        <v>461192</v>
      </c>
      <c r="R62" s="1153">
        <f>+雨汚収入!BH5</f>
        <v>0</v>
      </c>
      <c r="S62" s="1029">
        <f t="shared" si="63"/>
        <v>1281576</v>
      </c>
      <c r="T62" s="1154">
        <f>+雨汚収入!BJ5</f>
        <v>0</v>
      </c>
      <c r="U62" s="1153">
        <f>+雨汚収入!BK5</f>
        <v>0</v>
      </c>
      <c r="V62" s="1026">
        <f t="shared" si="52"/>
        <v>0</v>
      </c>
      <c r="W62" s="1025">
        <f t="shared" si="64"/>
        <v>0</v>
      </c>
      <c r="X62" s="1030" t="s">
        <v>1498</v>
      </c>
      <c r="Y62" s="1030"/>
      <c r="Z62" s="1030"/>
      <c r="AA62" s="1030"/>
      <c r="AB62" s="1030"/>
      <c r="AC62" s="1030"/>
      <c r="AD62" s="1025">
        <f t="shared" si="65"/>
        <v>1281576</v>
      </c>
      <c r="AE62" s="1028">
        <f t="shared" si="65"/>
        <v>820384</v>
      </c>
      <c r="AF62" s="1379">
        <f t="shared" si="65"/>
        <v>461192</v>
      </c>
      <c r="AG62" s="1027">
        <f t="shared" si="65"/>
        <v>0</v>
      </c>
      <c r="AH62" s="1029">
        <f t="shared" si="54"/>
        <v>1281576</v>
      </c>
      <c r="AI62" s="1028">
        <f t="shared" si="66"/>
        <v>0</v>
      </c>
      <c r="AJ62" s="1027">
        <f t="shared" si="66"/>
        <v>0</v>
      </c>
      <c r="AK62" s="1026">
        <f t="shared" si="55"/>
        <v>0</v>
      </c>
      <c r="AL62" s="1025">
        <f t="shared" si="56"/>
        <v>0</v>
      </c>
      <c r="AM62" s="990">
        <f t="shared" si="57"/>
        <v>1281576</v>
      </c>
      <c r="AN62" s="991">
        <v>1456000</v>
      </c>
      <c r="AO62" s="990">
        <f t="shared" si="58"/>
        <v>174424</v>
      </c>
      <c r="AQ62" s="990">
        <v>1599000</v>
      </c>
      <c r="AR62" s="990">
        <f t="shared" si="59"/>
        <v>317424</v>
      </c>
      <c r="AT62" s="990" t="s">
        <v>4740</v>
      </c>
    </row>
    <row r="63" spans="1:46" s="991" customFormat="1">
      <c r="A63" s="1024"/>
      <c r="B63" s="1034" t="s">
        <v>1429</v>
      </c>
      <c r="C63" s="1033" t="s">
        <v>1446</v>
      </c>
      <c r="D63" s="1074" t="s">
        <v>1501</v>
      </c>
      <c r="E63" s="1426">
        <f>+'3条収入'!E23</f>
        <v>71970</v>
      </c>
      <c r="F63" s="1427">
        <f>+雨汚収入!AV6</f>
        <v>32943</v>
      </c>
      <c r="G63" s="1428">
        <f>+雨汚収入!AW6</f>
        <v>0</v>
      </c>
      <c r="H63" s="1429">
        <f>+雨汚収入!AX6</f>
        <v>0</v>
      </c>
      <c r="I63" s="1172">
        <f t="shared" si="60"/>
        <v>32943</v>
      </c>
      <c r="J63" s="1427">
        <f>+雨汚収入!AZ6</f>
        <v>0</v>
      </c>
      <c r="K63" s="1430">
        <f>+雨汚収入!BA6</f>
        <v>39027</v>
      </c>
      <c r="L63" s="1169">
        <f t="shared" si="61"/>
        <v>39027</v>
      </c>
      <c r="M63" s="1073">
        <f t="shared" si="62"/>
        <v>0</v>
      </c>
      <c r="N63" s="1074" t="s">
        <v>1501</v>
      </c>
      <c r="O63" s="1426">
        <f>+'3条収入'!AI23</f>
        <v>71970</v>
      </c>
      <c r="P63" s="1427">
        <f>+雨汚収入!BF6</f>
        <v>32943</v>
      </c>
      <c r="Q63" s="1428">
        <f>+雨汚収入!BG6</f>
        <v>0</v>
      </c>
      <c r="R63" s="1429">
        <f>+雨汚収入!BH6</f>
        <v>0</v>
      </c>
      <c r="S63" s="1172">
        <f t="shared" si="63"/>
        <v>32943</v>
      </c>
      <c r="T63" s="1427">
        <f>+雨汚収入!BJ6</f>
        <v>0</v>
      </c>
      <c r="U63" s="1430">
        <f>+雨汚収入!BK6</f>
        <v>39027</v>
      </c>
      <c r="V63" s="1169">
        <f t="shared" si="52"/>
        <v>39027</v>
      </c>
      <c r="W63" s="1073">
        <f t="shared" si="64"/>
        <v>0</v>
      </c>
      <c r="X63" s="1030" t="s">
        <v>1501</v>
      </c>
      <c r="Y63" s="1030"/>
      <c r="Z63" s="1030"/>
      <c r="AA63" s="1030"/>
      <c r="AB63" s="1030"/>
      <c r="AC63" s="1030"/>
      <c r="AD63" s="1025">
        <f t="shared" si="65"/>
        <v>71970</v>
      </c>
      <c r="AE63" s="1028">
        <f t="shared" si="65"/>
        <v>32943</v>
      </c>
      <c r="AF63" s="1379">
        <f t="shared" si="65"/>
        <v>0</v>
      </c>
      <c r="AG63" s="1027">
        <f t="shared" si="65"/>
        <v>0</v>
      </c>
      <c r="AH63" s="1029">
        <f t="shared" si="54"/>
        <v>32943</v>
      </c>
      <c r="AI63" s="1028">
        <f t="shared" si="66"/>
        <v>0</v>
      </c>
      <c r="AJ63" s="1027">
        <f t="shared" si="66"/>
        <v>39027</v>
      </c>
      <c r="AK63" s="1026">
        <f t="shared" si="55"/>
        <v>39027</v>
      </c>
      <c r="AL63" s="1025">
        <f t="shared" si="56"/>
        <v>0</v>
      </c>
      <c r="AM63" s="990">
        <f t="shared" si="57"/>
        <v>32943</v>
      </c>
      <c r="AO63" s="990">
        <f t="shared" si="58"/>
        <v>-32943</v>
      </c>
      <c r="AR63" s="990">
        <f t="shared" si="59"/>
        <v>-32943</v>
      </c>
    </row>
    <row r="64" spans="1:46" s="991" customFormat="1">
      <c r="A64" s="1024"/>
      <c r="B64" s="1034" t="s">
        <v>1429</v>
      </c>
      <c r="C64" s="1033" t="s">
        <v>1446</v>
      </c>
      <c r="D64" s="1030" t="s">
        <v>1489</v>
      </c>
      <c r="E64" s="1163">
        <f>+'3条収入'!E24</f>
        <v>539000</v>
      </c>
      <c r="F64" s="1154">
        <f>+雨汚収入!AV7</f>
        <v>0</v>
      </c>
      <c r="G64" s="1401">
        <f>+雨汚収入!AW7</f>
        <v>0</v>
      </c>
      <c r="H64" s="1153">
        <f>+雨汚収入!AX7</f>
        <v>0</v>
      </c>
      <c r="I64" s="1029">
        <f t="shared" si="60"/>
        <v>0</v>
      </c>
      <c r="J64" s="1154">
        <f>+雨汚収入!AZ7</f>
        <v>269500</v>
      </c>
      <c r="K64" s="1153">
        <f>+雨汚収入!BA7</f>
        <v>269500</v>
      </c>
      <c r="L64" s="1026">
        <f t="shared" si="61"/>
        <v>539000</v>
      </c>
      <c r="M64" s="1025">
        <f t="shared" si="62"/>
        <v>0</v>
      </c>
      <c r="N64" s="1030" t="s">
        <v>1489</v>
      </c>
      <c r="O64" s="1163">
        <f>+'3条収入'!AI24</f>
        <v>539000</v>
      </c>
      <c r="P64" s="1154">
        <f>+雨汚収入!BF7</f>
        <v>0</v>
      </c>
      <c r="Q64" s="1401">
        <f>+雨汚収入!BG7</f>
        <v>0</v>
      </c>
      <c r="R64" s="1153">
        <f>+雨汚収入!BH7</f>
        <v>0</v>
      </c>
      <c r="S64" s="1029">
        <f t="shared" si="63"/>
        <v>0</v>
      </c>
      <c r="T64" s="1154">
        <f>+雨汚収入!BJ7</f>
        <v>269500</v>
      </c>
      <c r="U64" s="1153">
        <f>+雨汚収入!BK7</f>
        <v>269500</v>
      </c>
      <c r="V64" s="1026">
        <f t="shared" si="52"/>
        <v>539000</v>
      </c>
      <c r="W64" s="1025">
        <f t="shared" si="64"/>
        <v>0</v>
      </c>
      <c r="X64" s="1030" t="s">
        <v>1489</v>
      </c>
      <c r="Y64" s="1030"/>
      <c r="Z64" s="1030"/>
      <c r="AA64" s="1030"/>
      <c r="AB64" s="1030"/>
      <c r="AC64" s="1030"/>
      <c r="AD64" s="1025">
        <f t="shared" si="65"/>
        <v>539000</v>
      </c>
      <c r="AE64" s="1028">
        <f t="shared" si="65"/>
        <v>0</v>
      </c>
      <c r="AF64" s="1379">
        <f t="shared" si="65"/>
        <v>0</v>
      </c>
      <c r="AG64" s="1027">
        <f t="shared" si="65"/>
        <v>0</v>
      </c>
      <c r="AH64" s="1029">
        <f t="shared" si="54"/>
        <v>0</v>
      </c>
      <c r="AI64" s="1028">
        <f t="shared" si="66"/>
        <v>269500</v>
      </c>
      <c r="AJ64" s="1027">
        <f t="shared" si="66"/>
        <v>269500</v>
      </c>
      <c r="AK64" s="1026">
        <f t="shared" si="55"/>
        <v>539000</v>
      </c>
      <c r="AL64" s="1025">
        <f t="shared" si="56"/>
        <v>0</v>
      </c>
      <c r="AM64" s="990">
        <f t="shared" si="57"/>
        <v>269500</v>
      </c>
      <c r="AN64" s="991">
        <v>0</v>
      </c>
      <c r="AO64" s="990">
        <f t="shared" si="58"/>
        <v>-269500</v>
      </c>
      <c r="AQ64" s="990">
        <v>0</v>
      </c>
      <c r="AR64" s="990">
        <f t="shared" si="59"/>
        <v>-269500</v>
      </c>
      <c r="AT64" s="990" t="s">
        <v>4741</v>
      </c>
    </row>
    <row r="65" spans="1:46" s="991" customFormat="1">
      <c r="A65" s="1024"/>
      <c r="B65" s="1034" t="s">
        <v>1429</v>
      </c>
      <c r="C65" s="1033" t="s">
        <v>1446</v>
      </c>
      <c r="D65" s="1030" t="s">
        <v>1462</v>
      </c>
      <c r="E65" s="1163">
        <f>+'3条収入'!E26</f>
        <v>0</v>
      </c>
      <c r="F65" s="1154">
        <f>+雨汚収入!AV8</f>
        <v>0</v>
      </c>
      <c r="G65" s="1401">
        <f>+雨汚収入!AW8</f>
        <v>0</v>
      </c>
      <c r="H65" s="1153">
        <f>+雨汚収入!AX8</f>
        <v>0</v>
      </c>
      <c r="I65" s="1029">
        <f t="shared" si="60"/>
        <v>0</v>
      </c>
      <c r="J65" s="1154">
        <f>+雨汚収入!AZ8</f>
        <v>0</v>
      </c>
      <c r="K65" s="1153">
        <f>+雨汚収入!BA8</f>
        <v>0</v>
      </c>
      <c r="L65" s="1026">
        <f t="shared" si="61"/>
        <v>0</v>
      </c>
      <c r="M65" s="1025">
        <f t="shared" si="62"/>
        <v>0</v>
      </c>
      <c r="N65" s="1030" t="s">
        <v>1462</v>
      </c>
      <c r="O65" s="1163">
        <f>+'3条収入'!AI26</f>
        <v>0</v>
      </c>
      <c r="P65" s="1154">
        <f>+雨汚収入!BF8</f>
        <v>0</v>
      </c>
      <c r="Q65" s="1401">
        <f>+雨汚収入!BG8</f>
        <v>0</v>
      </c>
      <c r="R65" s="1153">
        <f>+雨汚収入!BH8</f>
        <v>0</v>
      </c>
      <c r="S65" s="1029">
        <f t="shared" ref="S65" si="67">+SUM(P65:R65)</f>
        <v>0</v>
      </c>
      <c r="T65" s="1154">
        <f>+雨汚収入!BJ8</f>
        <v>0</v>
      </c>
      <c r="U65" s="1153">
        <f>+雨汚収入!BK8</f>
        <v>0</v>
      </c>
      <c r="V65" s="1057">
        <f t="shared" si="52"/>
        <v>0</v>
      </c>
      <c r="W65" s="1025">
        <f t="shared" si="64"/>
        <v>0</v>
      </c>
      <c r="X65" s="1030" t="s">
        <v>1462</v>
      </c>
      <c r="Y65" s="1030"/>
      <c r="Z65" s="1030"/>
      <c r="AA65" s="1030"/>
      <c r="AB65" s="1030"/>
      <c r="AC65" s="1030"/>
      <c r="AD65" s="1025">
        <f t="shared" si="65"/>
        <v>0</v>
      </c>
      <c r="AE65" s="1028">
        <f t="shared" si="65"/>
        <v>0</v>
      </c>
      <c r="AF65" s="1379">
        <f t="shared" si="65"/>
        <v>0</v>
      </c>
      <c r="AG65" s="1027">
        <f t="shared" si="65"/>
        <v>0</v>
      </c>
      <c r="AH65" s="1029">
        <f t="shared" si="54"/>
        <v>0</v>
      </c>
      <c r="AI65" s="1028">
        <f t="shared" si="66"/>
        <v>0</v>
      </c>
      <c r="AJ65" s="1027">
        <f t="shared" si="66"/>
        <v>0</v>
      </c>
      <c r="AK65" s="1026">
        <f>+SUM(AI65:AJ65)</f>
        <v>0</v>
      </c>
      <c r="AL65" s="1025">
        <f t="shared" si="56"/>
        <v>0</v>
      </c>
      <c r="AM65" s="990">
        <f t="shared" si="57"/>
        <v>0</v>
      </c>
      <c r="AO65" s="990">
        <f t="shared" si="58"/>
        <v>0</v>
      </c>
      <c r="AR65" s="990">
        <f t="shared" si="59"/>
        <v>0</v>
      </c>
    </row>
    <row r="66" spans="1:46" s="991" customFormat="1">
      <c r="A66" s="1024"/>
      <c r="B66" s="1034"/>
      <c r="C66" s="1033"/>
      <c r="D66" s="1056"/>
      <c r="E66" s="1166"/>
      <c r="F66" s="1164"/>
      <c r="G66" s="1402"/>
      <c r="H66" s="1165"/>
      <c r="I66" s="1062"/>
      <c r="J66" s="1164"/>
      <c r="K66" s="1165"/>
      <c r="L66" s="1057"/>
      <c r="M66" s="1025"/>
      <c r="N66" s="1056"/>
      <c r="O66" s="1166"/>
      <c r="P66" s="1164"/>
      <c r="Q66" s="1402"/>
      <c r="R66" s="1043"/>
      <c r="S66" s="1062"/>
      <c r="T66" s="1164"/>
      <c r="U66" s="1043"/>
      <c r="V66" s="1057"/>
      <c r="W66" s="1025"/>
      <c r="X66" s="1056"/>
      <c r="Y66" s="1056"/>
      <c r="Z66" s="1056"/>
      <c r="AA66" s="1056"/>
      <c r="AB66" s="1056"/>
      <c r="AC66" s="1056"/>
      <c r="AD66" s="1056"/>
      <c r="AE66" s="1058"/>
      <c r="AF66" s="1380"/>
      <c r="AG66" s="1043"/>
      <c r="AH66" s="1029"/>
      <c r="AI66" s="1058"/>
      <c r="AJ66" s="1043"/>
      <c r="AK66" s="1026"/>
      <c r="AL66" s="1025"/>
      <c r="AM66" s="990">
        <f t="shared" si="57"/>
        <v>0</v>
      </c>
      <c r="AO66" s="990">
        <f t="shared" si="58"/>
        <v>0</v>
      </c>
      <c r="AR66" s="990">
        <f t="shared" si="59"/>
        <v>0</v>
      </c>
    </row>
    <row r="67" spans="1:46" s="991" customFormat="1">
      <c r="A67" s="1024"/>
      <c r="B67" s="1034"/>
      <c r="C67" s="1033"/>
      <c r="D67" s="1056"/>
      <c r="E67" s="1166"/>
      <c r="F67" s="1164"/>
      <c r="G67" s="1402"/>
      <c r="H67" s="1165"/>
      <c r="I67" s="1062"/>
      <c r="J67" s="1164"/>
      <c r="K67" s="1165"/>
      <c r="L67" s="1057"/>
      <c r="M67" s="1025"/>
      <c r="N67" s="1056"/>
      <c r="O67" s="1166"/>
      <c r="P67" s="1164"/>
      <c r="Q67" s="1402"/>
      <c r="R67" s="1043"/>
      <c r="S67" s="1062"/>
      <c r="T67" s="1164"/>
      <c r="U67" s="1043"/>
      <c r="V67" s="1057"/>
      <c r="W67" s="1025"/>
      <c r="X67" s="1056"/>
      <c r="Y67" s="1056"/>
      <c r="Z67" s="1056"/>
      <c r="AA67" s="1056"/>
      <c r="AB67" s="1056"/>
      <c r="AC67" s="1056"/>
      <c r="AD67" s="1056"/>
      <c r="AE67" s="1058"/>
      <c r="AF67" s="1380"/>
      <c r="AG67" s="1043"/>
      <c r="AH67" s="1029"/>
      <c r="AI67" s="1058"/>
      <c r="AJ67" s="1043"/>
      <c r="AK67" s="1026"/>
      <c r="AL67" s="1025"/>
      <c r="AM67" s="990">
        <f t="shared" si="57"/>
        <v>0</v>
      </c>
      <c r="AO67" s="990">
        <f t="shared" si="58"/>
        <v>0</v>
      </c>
      <c r="AR67" s="990">
        <f t="shared" si="59"/>
        <v>0</v>
      </c>
    </row>
    <row r="68" spans="1:46" s="991" customFormat="1">
      <c r="A68" s="1024"/>
      <c r="B68" s="1034" t="s">
        <v>1429</v>
      </c>
      <c r="C68" s="1033" t="s">
        <v>1439</v>
      </c>
      <c r="D68" s="1030" t="s">
        <v>1467</v>
      </c>
      <c r="E68" s="1163">
        <f>+'3条収入'!E29</f>
        <v>88770</v>
      </c>
      <c r="F68" s="1154">
        <f>+雨汚収入!AV9</f>
        <v>44385</v>
      </c>
      <c r="G68" s="1401">
        <f>+雨汚収入!AW9</f>
        <v>0</v>
      </c>
      <c r="H68" s="1153">
        <f>+雨汚収入!AX9</f>
        <v>0</v>
      </c>
      <c r="I68" s="1029">
        <f t="shared" ref="I68:I77" si="68">+SUM(F68:H68)</f>
        <v>44385</v>
      </c>
      <c r="J68" s="1154">
        <f>+雨汚収入!AZ9</f>
        <v>0</v>
      </c>
      <c r="K68" s="1153">
        <f>+雨汚収入!BA9</f>
        <v>44385</v>
      </c>
      <c r="L68" s="1026">
        <f>+SUM(J68:K68)</f>
        <v>44385</v>
      </c>
      <c r="M68" s="1025">
        <f t="shared" ref="M68:M77" si="69">E68-SUM(I68,L68)</f>
        <v>0</v>
      </c>
      <c r="N68" s="1030" t="s">
        <v>1467</v>
      </c>
      <c r="O68" s="1163">
        <f>+'3条収入'!AI29</f>
        <v>88770</v>
      </c>
      <c r="P68" s="1154">
        <f>+雨汚収入!BF9</f>
        <v>44385</v>
      </c>
      <c r="Q68" s="1401">
        <f>+雨汚収入!BG9</f>
        <v>0</v>
      </c>
      <c r="R68" s="1153">
        <f>+雨汚収入!BH9</f>
        <v>0</v>
      </c>
      <c r="S68" s="1029">
        <f t="shared" si="63"/>
        <v>44385</v>
      </c>
      <c r="T68" s="1154">
        <f>+雨汚収入!BJ9</f>
        <v>0</v>
      </c>
      <c r="U68" s="1153">
        <f>+雨汚収入!BK9</f>
        <v>44385</v>
      </c>
      <c r="V68" s="1026">
        <f t="shared" si="52"/>
        <v>44385</v>
      </c>
      <c r="W68" s="1025">
        <f t="shared" si="64"/>
        <v>0</v>
      </c>
      <c r="X68" s="1056" t="s">
        <v>1467</v>
      </c>
      <c r="Y68" s="1056"/>
      <c r="Z68" s="1056"/>
      <c r="AA68" s="1056"/>
      <c r="AB68" s="1056"/>
      <c r="AC68" s="1056"/>
      <c r="AD68" s="1056">
        <f t="shared" ref="AD68:AD76" si="70">+O68</f>
        <v>88770</v>
      </c>
      <c r="AE68" s="1058">
        <f t="shared" ref="AE68:AE76" si="71">+P68</f>
        <v>44385</v>
      </c>
      <c r="AF68" s="1380">
        <f t="shared" ref="AF68:AF76" si="72">+Q68</f>
        <v>0</v>
      </c>
      <c r="AG68" s="1043">
        <f t="shared" ref="AG68:AG76" si="73">+R68</f>
        <v>0</v>
      </c>
      <c r="AH68" s="1029">
        <f t="shared" si="54"/>
        <v>44385</v>
      </c>
      <c r="AI68" s="1058">
        <f t="shared" ref="AI68:AI76" si="74">+T68</f>
        <v>0</v>
      </c>
      <c r="AJ68" s="1043">
        <f t="shared" ref="AJ68:AJ76" si="75">+U68</f>
        <v>44385</v>
      </c>
      <c r="AK68" s="1026">
        <f t="shared" si="55"/>
        <v>44385</v>
      </c>
      <c r="AL68" s="1025">
        <f t="shared" si="56"/>
        <v>0</v>
      </c>
      <c r="AM68" s="990">
        <f t="shared" si="57"/>
        <v>44385</v>
      </c>
      <c r="AN68" s="991">
        <v>0</v>
      </c>
      <c r="AO68" s="990">
        <f t="shared" si="58"/>
        <v>-44385</v>
      </c>
      <c r="AQ68" s="990">
        <v>0</v>
      </c>
      <c r="AR68" s="990">
        <f t="shared" si="59"/>
        <v>-44385</v>
      </c>
      <c r="AT68" s="990" t="s">
        <v>4742</v>
      </c>
    </row>
    <row r="69" spans="1:46" s="991" customFormat="1">
      <c r="A69" s="1024"/>
      <c r="B69" s="1034" t="s">
        <v>1429</v>
      </c>
      <c r="C69" s="1033" t="s">
        <v>1439</v>
      </c>
      <c r="D69" s="1030" t="s">
        <v>1473</v>
      </c>
      <c r="E69" s="1163">
        <f>+'3条収入'!E34</f>
        <v>0</v>
      </c>
      <c r="F69" s="1154">
        <f>+雨汚収入!AV10</f>
        <v>0</v>
      </c>
      <c r="G69" s="1401">
        <f>+雨汚収入!AW10</f>
        <v>0</v>
      </c>
      <c r="H69" s="1153">
        <f>+雨汚収入!AX10</f>
        <v>0</v>
      </c>
      <c r="I69" s="1029">
        <f t="shared" si="68"/>
        <v>0</v>
      </c>
      <c r="J69" s="1154">
        <f>+雨汚収入!AZ10</f>
        <v>0</v>
      </c>
      <c r="K69" s="1153">
        <f>+雨汚収入!BA10</f>
        <v>0</v>
      </c>
      <c r="L69" s="1026">
        <f>+SUM(J69:K69)</f>
        <v>0</v>
      </c>
      <c r="M69" s="1025">
        <f t="shared" si="69"/>
        <v>0</v>
      </c>
      <c r="N69" s="1030" t="s">
        <v>1473</v>
      </c>
      <c r="O69" s="1163">
        <f>+'3条収入'!AI34</f>
        <v>0</v>
      </c>
      <c r="P69" s="1154">
        <f>+雨汚収入!BF10</f>
        <v>0</v>
      </c>
      <c r="Q69" s="1401">
        <f>+雨汚収入!BG10</f>
        <v>0</v>
      </c>
      <c r="R69" s="1153">
        <f>+雨汚収入!BH10</f>
        <v>0</v>
      </c>
      <c r="S69" s="1029">
        <f t="shared" ref="S69" si="76">+SUM(P69:R69)</f>
        <v>0</v>
      </c>
      <c r="T69" s="1154">
        <f>+雨汚収入!BJ10</f>
        <v>0</v>
      </c>
      <c r="U69" s="1153">
        <f>+雨汚収入!BK10</f>
        <v>0</v>
      </c>
      <c r="V69" s="1026">
        <f t="shared" si="52"/>
        <v>0</v>
      </c>
      <c r="W69" s="1025">
        <f t="shared" si="64"/>
        <v>0</v>
      </c>
      <c r="X69" s="1030" t="s">
        <v>1473</v>
      </c>
      <c r="Y69" s="1030"/>
      <c r="Z69" s="1030"/>
      <c r="AA69" s="1030"/>
      <c r="AB69" s="1030"/>
      <c r="AC69" s="1030"/>
      <c r="AD69" s="1025">
        <f t="shared" si="70"/>
        <v>0</v>
      </c>
      <c r="AE69" s="1028">
        <f t="shared" si="71"/>
        <v>0</v>
      </c>
      <c r="AF69" s="1379">
        <f t="shared" si="72"/>
        <v>0</v>
      </c>
      <c r="AG69" s="1027">
        <f t="shared" si="73"/>
        <v>0</v>
      </c>
      <c r="AH69" s="1029">
        <f t="shared" si="54"/>
        <v>0</v>
      </c>
      <c r="AI69" s="1028">
        <f t="shared" si="74"/>
        <v>0</v>
      </c>
      <c r="AJ69" s="1027">
        <f t="shared" si="75"/>
        <v>0</v>
      </c>
      <c r="AK69" s="1026">
        <f t="shared" si="55"/>
        <v>0</v>
      </c>
      <c r="AL69" s="1025">
        <f t="shared" si="56"/>
        <v>0</v>
      </c>
      <c r="AM69" s="990">
        <f t="shared" si="57"/>
        <v>0</v>
      </c>
      <c r="AO69" s="990">
        <f t="shared" si="58"/>
        <v>0</v>
      </c>
      <c r="AR69" s="990">
        <f t="shared" si="59"/>
        <v>0</v>
      </c>
    </row>
    <row r="70" spans="1:46" s="991" customFormat="1">
      <c r="A70" s="1024"/>
      <c r="B70" s="1034" t="s">
        <v>1429</v>
      </c>
      <c r="C70" s="1033" t="s">
        <v>1439</v>
      </c>
      <c r="D70" s="1030" t="s">
        <v>1495</v>
      </c>
      <c r="E70" s="1163">
        <f>+'3条収入'!E40</f>
        <v>37016600</v>
      </c>
      <c r="F70" s="1154">
        <f>+雨汚収入!AV11</f>
        <v>36785219</v>
      </c>
      <c r="G70" s="1401">
        <f>+雨汚収入!AW11</f>
        <v>0</v>
      </c>
      <c r="H70" s="1153">
        <f>+雨汚収入!AX11</f>
        <v>0</v>
      </c>
      <c r="I70" s="1029">
        <f t="shared" si="68"/>
        <v>36785219</v>
      </c>
      <c r="J70" s="1154">
        <f>+雨汚収入!AZ11</f>
        <v>0</v>
      </c>
      <c r="K70" s="1153">
        <f>+雨汚収入!BA11</f>
        <v>231381</v>
      </c>
      <c r="L70" s="1026">
        <f>+SUM(J70:K70)</f>
        <v>231381</v>
      </c>
      <c r="M70" s="1025">
        <f t="shared" si="69"/>
        <v>0</v>
      </c>
      <c r="N70" s="1030" t="s">
        <v>1495</v>
      </c>
      <c r="O70" s="1163">
        <f>+'3条収入'!AI40</f>
        <v>33651455</v>
      </c>
      <c r="P70" s="1154">
        <f>+雨汚収入!BF11</f>
        <v>33441108</v>
      </c>
      <c r="Q70" s="1401">
        <f>+雨汚収入!BG11</f>
        <v>0</v>
      </c>
      <c r="R70" s="1153">
        <f>+雨汚収入!BH11</f>
        <v>0</v>
      </c>
      <c r="S70" s="1029">
        <f t="shared" si="63"/>
        <v>33441108</v>
      </c>
      <c r="T70" s="1154">
        <f>+雨汚収入!BJ11</f>
        <v>0</v>
      </c>
      <c r="U70" s="1153">
        <f>+雨汚収入!BK11</f>
        <v>210347</v>
      </c>
      <c r="V70" s="1026">
        <f t="shared" si="52"/>
        <v>210347</v>
      </c>
      <c r="W70" s="1025">
        <f t="shared" si="64"/>
        <v>0</v>
      </c>
      <c r="X70" s="1030" t="s">
        <v>1495</v>
      </c>
      <c r="Y70" s="1030"/>
      <c r="Z70" s="1030"/>
      <c r="AA70" s="1030"/>
      <c r="AB70" s="1030"/>
      <c r="AC70" s="1030"/>
      <c r="AD70" s="1025">
        <f t="shared" si="70"/>
        <v>33651455</v>
      </c>
      <c r="AE70" s="1028">
        <f t="shared" si="71"/>
        <v>33441108</v>
      </c>
      <c r="AF70" s="1379">
        <f t="shared" si="72"/>
        <v>0</v>
      </c>
      <c r="AG70" s="1027">
        <f t="shared" si="73"/>
        <v>0</v>
      </c>
      <c r="AH70" s="1029">
        <f t="shared" si="54"/>
        <v>33441108</v>
      </c>
      <c r="AI70" s="1028">
        <f t="shared" si="74"/>
        <v>0</v>
      </c>
      <c r="AJ70" s="1027">
        <f t="shared" si="75"/>
        <v>210347</v>
      </c>
      <c r="AK70" s="1026">
        <f t="shared" si="55"/>
        <v>210347</v>
      </c>
      <c r="AL70" s="1025">
        <f t="shared" si="56"/>
        <v>0</v>
      </c>
      <c r="AM70" s="990">
        <f t="shared" si="57"/>
        <v>33441108</v>
      </c>
      <c r="AN70" s="991">
        <v>29944000</v>
      </c>
      <c r="AO70" s="990">
        <f t="shared" si="58"/>
        <v>-3497108</v>
      </c>
      <c r="AQ70" s="990">
        <v>29944000</v>
      </c>
      <c r="AR70" s="990">
        <f t="shared" si="59"/>
        <v>-3497108</v>
      </c>
      <c r="AT70" s="990" t="s">
        <v>4743</v>
      </c>
    </row>
    <row r="71" spans="1:46" s="991" customFormat="1">
      <c r="A71" s="1024"/>
      <c r="B71" s="1034" t="s">
        <v>1429</v>
      </c>
      <c r="C71" s="1033"/>
      <c r="D71" s="1030"/>
      <c r="E71" s="1025"/>
      <c r="F71" s="1028"/>
      <c r="G71" s="1379"/>
      <c r="H71" s="1027"/>
      <c r="I71" s="1029">
        <f t="shared" si="68"/>
        <v>0</v>
      </c>
      <c r="J71" s="1028"/>
      <c r="K71" s="1027"/>
      <c r="L71" s="1026"/>
      <c r="M71" s="1025">
        <f t="shared" si="69"/>
        <v>0</v>
      </c>
      <c r="N71" s="1030"/>
      <c r="O71" s="1025"/>
      <c r="P71" s="1028">
        <f t="shared" ref="P71:R72" si="77">+IFERROR(ROUND(F71*$O71/$E71,0),0)</f>
        <v>0</v>
      </c>
      <c r="Q71" s="1379">
        <f t="shared" si="77"/>
        <v>0</v>
      </c>
      <c r="R71" s="1027">
        <f t="shared" si="77"/>
        <v>0</v>
      </c>
      <c r="S71" s="1029">
        <f t="shared" si="63"/>
        <v>0</v>
      </c>
      <c r="T71" s="1028">
        <f>+IFERROR(ROUND(J71*$O71/$E71,0),0)</f>
        <v>0</v>
      </c>
      <c r="U71" s="1027">
        <f t="shared" ref="U71:U72" si="78">+O71-S71-T71</f>
        <v>0</v>
      </c>
      <c r="V71" s="1026">
        <f t="shared" si="52"/>
        <v>0</v>
      </c>
      <c r="W71" s="1025">
        <f t="shared" si="64"/>
        <v>0</v>
      </c>
      <c r="X71" s="1030"/>
      <c r="Y71" s="1030"/>
      <c r="Z71" s="1030"/>
      <c r="AA71" s="1030"/>
      <c r="AB71" s="1030"/>
      <c r="AC71" s="1030"/>
      <c r="AD71" s="1056">
        <f t="shared" si="70"/>
        <v>0</v>
      </c>
      <c r="AE71" s="1058">
        <f t="shared" si="71"/>
        <v>0</v>
      </c>
      <c r="AF71" s="1380">
        <f t="shared" si="72"/>
        <v>0</v>
      </c>
      <c r="AG71" s="1043">
        <f t="shared" si="73"/>
        <v>0</v>
      </c>
      <c r="AH71" s="1029">
        <f t="shared" si="54"/>
        <v>0</v>
      </c>
      <c r="AI71" s="1058">
        <f t="shared" si="74"/>
        <v>0</v>
      </c>
      <c r="AJ71" s="1043">
        <f t="shared" si="75"/>
        <v>0</v>
      </c>
      <c r="AK71" s="1026">
        <f t="shared" si="55"/>
        <v>0</v>
      </c>
      <c r="AL71" s="1025">
        <f t="shared" si="56"/>
        <v>0</v>
      </c>
      <c r="AM71" s="990">
        <f t="shared" si="57"/>
        <v>0</v>
      </c>
      <c r="AO71" s="990">
        <f t="shared" si="58"/>
        <v>0</v>
      </c>
      <c r="AR71" s="990">
        <f t="shared" si="59"/>
        <v>0</v>
      </c>
    </row>
    <row r="72" spans="1:46" s="991" customFormat="1">
      <c r="A72" s="1024"/>
      <c r="B72" s="1034" t="s">
        <v>1429</v>
      </c>
      <c r="C72" s="1033"/>
      <c r="D72" s="1056"/>
      <c r="E72" s="1166"/>
      <c r="F72" s="1164"/>
      <c r="G72" s="1402"/>
      <c r="H72" s="1165"/>
      <c r="I72" s="1062">
        <f t="shared" si="68"/>
        <v>0</v>
      </c>
      <c r="J72" s="1164"/>
      <c r="K72" s="1165"/>
      <c r="L72" s="1057"/>
      <c r="M72" s="1025">
        <f t="shared" si="69"/>
        <v>0</v>
      </c>
      <c r="N72" s="1056"/>
      <c r="O72" s="1166"/>
      <c r="P72" s="1164">
        <f t="shared" si="77"/>
        <v>0</v>
      </c>
      <c r="Q72" s="1402">
        <f t="shared" si="77"/>
        <v>0</v>
      </c>
      <c r="R72" s="1043">
        <f t="shared" si="77"/>
        <v>0</v>
      </c>
      <c r="S72" s="1062">
        <f t="shared" si="63"/>
        <v>0</v>
      </c>
      <c r="T72" s="1164">
        <f>+IFERROR(ROUND(J72*$O72/$E72,0),0)</f>
        <v>0</v>
      </c>
      <c r="U72" s="1043">
        <f t="shared" si="78"/>
        <v>0</v>
      </c>
      <c r="V72" s="1057">
        <f t="shared" si="52"/>
        <v>0</v>
      </c>
      <c r="W72" s="1025">
        <f t="shared" si="64"/>
        <v>0</v>
      </c>
      <c r="X72" s="1030"/>
      <c r="Y72" s="1030"/>
      <c r="Z72" s="1030"/>
      <c r="AA72" s="1030"/>
      <c r="AB72" s="1030"/>
      <c r="AC72" s="1030"/>
      <c r="AD72" s="1025">
        <f t="shared" si="70"/>
        <v>0</v>
      </c>
      <c r="AE72" s="1028">
        <f t="shared" si="71"/>
        <v>0</v>
      </c>
      <c r="AF72" s="1379">
        <f t="shared" si="72"/>
        <v>0</v>
      </c>
      <c r="AG72" s="1027">
        <f t="shared" si="73"/>
        <v>0</v>
      </c>
      <c r="AH72" s="1412">
        <f t="shared" si="54"/>
        <v>0</v>
      </c>
      <c r="AI72" s="1028">
        <f t="shared" si="74"/>
        <v>0</v>
      </c>
      <c r="AJ72" s="1027">
        <f t="shared" si="75"/>
        <v>0</v>
      </c>
      <c r="AK72" s="1041">
        <f t="shared" si="55"/>
        <v>0</v>
      </c>
      <c r="AL72" s="1025">
        <f t="shared" si="56"/>
        <v>0</v>
      </c>
      <c r="AM72" s="990">
        <f t="shared" si="57"/>
        <v>0</v>
      </c>
      <c r="AO72" s="990">
        <f t="shared" si="58"/>
        <v>0</v>
      </c>
      <c r="AR72" s="990">
        <f t="shared" si="59"/>
        <v>0</v>
      </c>
    </row>
    <row r="73" spans="1:46" s="991" customFormat="1">
      <c r="A73" s="1024"/>
      <c r="B73" s="1034" t="s">
        <v>1429</v>
      </c>
      <c r="C73" s="1033" t="s">
        <v>1439</v>
      </c>
      <c r="D73" s="1030" t="s">
        <v>1461</v>
      </c>
      <c r="E73" s="1163">
        <f>+'3条収入'!E50</f>
        <v>0</v>
      </c>
      <c r="F73" s="1154">
        <f>+雨汚収入!AV13</f>
        <v>0</v>
      </c>
      <c r="G73" s="1401">
        <f>+雨汚収入!AW13</f>
        <v>0</v>
      </c>
      <c r="H73" s="1153">
        <f>+雨汚収入!AX13</f>
        <v>0</v>
      </c>
      <c r="I73" s="1029">
        <f t="shared" si="68"/>
        <v>0</v>
      </c>
      <c r="J73" s="1154">
        <f>+雨汚収入!AZ13</f>
        <v>0</v>
      </c>
      <c r="K73" s="1153">
        <f>+雨汚収入!BA13</f>
        <v>0</v>
      </c>
      <c r="L73" s="1026">
        <f>+SUM(J73:K73)</f>
        <v>0</v>
      </c>
      <c r="M73" s="1025">
        <f t="shared" si="69"/>
        <v>0</v>
      </c>
      <c r="N73" s="1030" t="s">
        <v>1461</v>
      </c>
      <c r="O73" s="1163">
        <f>+'3条収入'!AI50</f>
        <v>0</v>
      </c>
      <c r="P73" s="1154">
        <f>+雨汚収入!BF13</f>
        <v>0</v>
      </c>
      <c r="Q73" s="1401">
        <f>+雨汚収入!BG13</f>
        <v>0</v>
      </c>
      <c r="R73" s="1153">
        <f>+雨汚収入!BH13</f>
        <v>0</v>
      </c>
      <c r="S73" s="1029">
        <f t="shared" si="63"/>
        <v>0</v>
      </c>
      <c r="T73" s="1154">
        <f>+雨汚収入!BJ13</f>
        <v>0</v>
      </c>
      <c r="U73" s="1160">
        <f>+雨汚収入!BK13</f>
        <v>0</v>
      </c>
      <c r="V73" s="1026">
        <f t="shared" si="52"/>
        <v>0</v>
      </c>
      <c r="W73" s="1025">
        <f t="shared" si="64"/>
        <v>0</v>
      </c>
      <c r="X73" s="1030" t="s">
        <v>1461</v>
      </c>
      <c r="Y73" s="1030"/>
      <c r="Z73" s="1030"/>
      <c r="AA73" s="1030"/>
      <c r="AB73" s="1030"/>
      <c r="AC73" s="1030"/>
      <c r="AD73" s="1025">
        <f t="shared" si="70"/>
        <v>0</v>
      </c>
      <c r="AE73" s="1028">
        <f t="shared" si="71"/>
        <v>0</v>
      </c>
      <c r="AF73" s="1379">
        <f t="shared" si="72"/>
        <v>0</v>
      </c>
      <c r="AG73" s="1027">
        <f t="shared" si="73"/>
        <v>0</v>
      </c>
      <c r="AH73" s="1029">
        <f t="shared" si="54"/>
        <v>0</v>
      </c>
      <c r="AI73" s="1028">
        <f t="shared" si="74"/>
        <v>0</v>
      </c>
      <c r="AJ73" s="1027">
        <f t="shared" si="75"/>
        <v>0</v>
      </c>
      <c r="AK73" s="1026">
        <f t="shared" si="55"/>
        <v>0</v>
      </c>
      <c r="AL73" s="1025">
        <f t="shared" si="56"/>
        <v>0</v>
      </c>
      <c r="AM73" s="990">
        <f t="shared" si="57"/>
        <v>0</v>
      </c>
      <c r="AO73" s="990">
        <f t="shared" si="58"/>
        <v>0</v>
      </c>
      <c r="AR73" s="990">
        <f t="shared" si="59"/>
        <v>0</v>
      </c>
    </row>
    <row r="74" spans="1:46" s="991" customFormat="1">
      <c r="A74" s="1024"/>
      <c r="B74" s="1034" t="s">
        <v>1429</v>
      </c>
      <c r="C74" s="1033" t="s">
        <v>1439</v>
      </c>
      <c r="D74" s="1030"/>
      <c r="E74" s="1025"/>
      <c r="F74" s="1028"/>
      <c r="G74" s="1379"/>
      <c r="H74" s="1027"/>
      <c r="I74" s="1029">
        <f t="shared" si="68"/>
        <v>0</v>
      </c>
      <c r="J74" s="1028"/>
      <c r="K74" s="1027"/>
      <c r="L74" s="1026">
        <f>+SUM(J74:K74)</f>
        <v>0</v>
      </c>
      <c r="M74" s="1025">
        <f t="shared" si="69"/>
        <v>0</v>
      </c>
      <c r="N74" s="1030"/>
      <c r="O74" s="1025"/>
      <c r="P74" s="1028">
        <f>+IFERROR(ROUND(F74*$O74/$E74,0),0)</f>
        <v>0</v>
      </c>
      <c r="Q74" s="1379">
        <f>+IFERROR(ROUND(G74*$O74/$E74,0),0)</f>
        <v>0</v>
      </c>
      <c r="R74" s="1027">
        <f>+IFERROR(ROUND(H74*$O74/$E74,0),0)</f>
        <v>0</v>
      </c>
      <c r="S74" s="1029">
        <f t="shared" si="51"/>
        <v>0</v>
      </c>
      <c r="T74" s="1028">
        <f>+IFERROR(ROUND(J74*$O74/$E74,0),0)</f>
        <v>0</v>
      </c>
      <c r="U74" s="1027">
        <f>+O74-S74-T74</f>
        <v>0</v>
      </c>
      <c r="V74" s="1026">
        <f t="shared" ref="V74:V95" si="79">+SUM(T74:U74)</f>
        <v>0</v>
      </c>
      <c r="W74" s="1025">
        <f t="shared" si="53"/>
        <v>0</v>
      </c>
      <c r="X74" s="1030"/>
      <c r="Y74" s="1030"/>
      <c r="Z74" s="1030"/>
      <c r="AA74" s="1030"/>
      <c r="AB74" s="1030"/>
      <c r="AC74" s="1030"/>
      <c r="AD74" s="1025">
        <f t="shared" si="70"/>
        <v>0</v>
      </c>
      <c r="AE74" s="1028">
        <f t="shared" si="71"/>
        <v>0</v>
      </c>
      <c r="AF74" s="1379">
        <f t="shared" si="72"/>
        <v>0</v>
      </c>
      <c r="AG74" s="1027">
        <f t="shared" si="73"/>
        <v>0</v>
      </c>
      <c r="AH74" s="1029">
        <f t="shared" si="54"/>
        <v>0</v>
      </c>
      <c r="AI74" s="1028">
        <f t="shared" si="74"/>
        <v>0</v>
      </c>
      <c r="AJ74" s="1027">
        <f t="shared" si="75"/>
        <v>0</v>
      </c>
      <c r="AK74" s="1026">
        <f>+SUM(AI74:AJ74)</f>
        <v>0</v>
      </c>
      <c r="AL74" s="1025">
        <f t="shared" si="56"/>
        <v>0</v>
      </c>
      <c r="AM74" s="990">
        <f t="shared" si="57"/>
        <v>0</v>
      </c>
      <c r="AO74" s="990">
        <f t="shared" si="58"/>
        <v>0</v>
      </c>
      <c r="AR74" s="990">
        <f t="shared" si="59"/>
        <v>0</v>
      </c>
    </row>
    <row r="75" spans="1:46" s="991" customFormat="1">
      <c r="A75" s="1024"/>
      <c r="B75" s="1034" t="s">
        <v>1542</v>
      </c>
      <c r="C75" s="1033" t="s">
        <v>1541</v>
      </c>
      <c r="D75" s="1030" t="s">
        <v>1781</v>
      </c>
      <c r="E75" s="1163">
        <f>+'3条収入'!E52</f>
        <v>408100</v>
      </c>
      <c r="F75" s="1154">
        <f>+雨汚収入!AV14</f>
        <v>0</v>
      </c>
      <c r="G75" s="1401">
        <f>+雨汚収入!AW14</f>
        <v>0</v>
      </c>
      <c r="H75" s="1153">
        <f>+雨汚収入!AX14</f>
        <v>408100</v>
      </c>
      <c r="I75" s="1029">
        <f t="shared" si="68"/>
        <v>408100</v>
      </c>
      <c r="J75" s="1154">
        <f>+雨汚収入!AZ14</f>
        <v>0</v>
      </c>
      <c r="K75" s="1153">
        <f>+雨汚収入!BA14</f>
        <v>0</v>
      </c>
      <c r="L75" s="1026">
        <f>+SUM(J75:K75)</f>
        <v>0</v>
      </c>
      <c r="M75" s="1025">
        <f t="shared" si="69"/>
        <v>0</v>
      </c>
      <c r="N75" s="1030" t="s">
        <v>1781</v>
      </c>
      <c r="O75" s="1163">
        <f>+'3条収入'!AI52</f>
        <v>371000</v>
      </c>
      <c r="P75" s="1154">
        <f>+雨汚収入!BF14</f>
        <v>0</v>
      </c>
      <c r="Q75" s="1401">
        <f>+雨汚収入!BG14</f>
        <v>0</v>
      </c>
      <c r="R75" s="1153">
        <f>+雨汚収入!BH14</f>
        <v>371000</v>
      </c>
      <c r="S75" s="1029">
        <f t="shared" si="51"/>
        <v>371000</v>
      </c>
      <c r="T75" s="1154">
        <f>+雨汚収入!BJ14</f>
        <v>0</v>
      </c>
      <c r="U75" s="1160">
        <f>+雨汚収入!BK14</f>
        <v>0</v>
      </c>
      <c r="V75" s="1026">
        <f t="shared" ref="V75" si="80">+SUM(T75:U75)</f>
        <v>0</v>
      </c>
      <c r="W75" s="1025">
        <f t="shared" si="53"/>
        <v>0</v>
      </c>
      <c r="X75" s="1030" t="s">
        <v>1781</v>
      </c>
      <c r="Y75" s="1030"/>
      <c r="Z75" s="1030"/>
      <c r="AA75" s="1030"/>
      <c r="AB75" s="1030"/>
      <c r="AC75" s="1030"/>
      <c r="AD75" s="1025">
        <f t="shared" si="70"/>
        <v>371000</v>
      </c>
      <c r="AE75" s="1028">
        <f t="shared" si="71"/>
        <v>0</v>
      </c>
      <c r="AF75" s="1379">
        <f t="shared" si="72"/>
        <v>0</v>
      </c>
      <c r="AG75" s="1027">
        <f t="shared" si="73"/>
        <v>371000</v>
      </c>
      <c r="AH75" s="1029">
        <f t="shared" si="54"/>
        <v>371000</v>
      </c>
      <c r="AI75" s="1028">
        <f t="shared" si="74"/>
        <v>0</v>
      </c>
      <c r="AJ75" s="1043">
        <f t="shared" si="75"/>
        <v>0</v>
      </c>
      <c r="AK75" s="1026">
        <f t="shared" si="55"/>
        <v>0</v>
      </c>
      <c r="AL75" s="1025">
        <f t="shared" si="56"/>
        <v>0</v>
      </c>
      <c r="AM75" s="990">
        <f t="shared" si="57"/>
        <v>371000</v>
      </c>
      <c r="AO75" s="990">
        <f t="shared" si="58"/>
        <v>-371000</v>
      </c>
      <c r="AR75" s="990">
        <f t="shared" si="59"/>
        <v>-371000</v>
      </c>
    </row>
    <row r="76" spans="1:46" s="991" customFormat="1">
      <c r="A76" s="1024"/>
      <c r="B76" s="1034" t="s">
        <v>1429</v>
      </c>
      <c r="C76" s="1033" t="s">
        <v>1439</v>
      </c>
      <c r="D76" s="1030" t="s">
        <v>1782</v>
      </c>
      <c r="E76" s="1163">
        <f>+'3条収入'!E53</f>
        <v>36052234</v>
      </c>
      <c r="F76" s="1154">
        <f>+雨汚収入!AV15</f>
        <v>10360569</v>
      </c>
      <c r="G76" s="1401">
        <f>+雨汚収入!AW15</f>
        <v>0</v>
      </c>
      <c r="H76" s="1153">
        <f>+雨汚収入!AX15</f>
        <v>1399670</v>
      </c>
      <c r="I76" s="1029">
        <f t="shared" si="68"/>
        <v>11760239</v>
      </c>
      <c r="J76" s="1154">
        <f>+雨汚収入!AZ15</f>
        <v>0</v>
      </c>
      <c r="K76" s="1153">
        <f>+雨汚収入!BA15</f>
        <v>24291995</v>
      </c>
      <c r="L76" s="1026">
        <f>+SUM(J76:K76)</f>
        <v>24291995</v>
      </c>
      <c r="M76" s="1025">
        <f t="shared" si="69"/>
        <v>0</v>
      </c>
      <c r="N76" s="1030" t="s">
        <v>1782</v>
      </c>
      <c r="O76" s="1163">
        <f>+'3条収入'!AI53</f>
        <v>34878977</v>
      </c>
      <c r="P76" s="1154">
        <f>+雨汚収入!BF15</f>
        <v>10155799</v>
      </c>
      <c r="Q76" s="1401">
        <f>+雨汚収入!BG15</f>
        <v>0</v>
      </c>
      <c r="R76" s="1153">
        <f>+雨汚収入!BH15</f>
        <v>1397864</v>
      </c>
      <c r="S76" s="1029">
        <f t="shared" si="51"/>
        <v>11553663</v>
      </c>
      <c r="T76" s="1154">
        <f>+雨汚収入!BJ15</f>
        <v>0</v>
      </c>
      <c r="U76" s="1160">
        <f>+雨汚収入!BK15</f>
        <v>23325314</v>
      </c>
      <c r="V76" s="1026">
        <f t="shared" si="79"/>
        <v>23325314</v>
      </c>
      <c r="W76" s="1025">
        <f t="shared" si="53"/>
        <v>0</v>
      </c>
      <c r="X76" s="1030" t="s">
        <v>1795</v>
      </c>
      <c r="Y76" s="1030"/>
      <c r="Z76" s="1030"/>
      <c r="AA76" s="1030"/>
      <c r="AB76" s="1030"/>
      <c r="AC76" s="1030"/>
      <c r="AD76" s="1025">
        <f t="shared" si="70"/>
        <v>34878977</v>
      </c>
      <c r="AE76" s="1028">
        <f t="shared" si="71"/>
        <v>10155799</v>
      </c>
      <c r="AF76" s="1379">
        <f t="shared" si="72"/>
        <v>0</v>
      </c>
      <c r="AG76" s="1027">
        <f t="shared" si="73"/>
        <v>1397864</v>
      </c>
      <c r="AH76" s="1029">
        <f t="shared" si="54"/>
        <v>11553663</v>
      </c>
      <c r="AI76" s="1028">
        <f t="shared" si="74"/>
        <v>0</v>
      </c>
      <c r="AJ76" s="1043">
        <f t="shared" si="75"/>
        <v>23325314</v>
      </c>
      <c r="AK76" s="1026">
        <f>+SUM(AI76:AJ76)</f>
        <v>23325314</v>
      </c>
      <c r="AL76" s="1025">
        <f t="shared" si="56"/>
        <v>0</v>
      </c>
      <c r="AM76" s="990">
        <f t="shared" si="57"/>
        <v>11553663</v>
      </c>
      <c r="AN76" s="991">
        <v>31400000</v>
      </c>
      <c r="AO76" s="990">
        <f t="shared" si="58"/>
        <v>19846337</v>
      </c>
      <c r="AQ76" s="990">
        <v>31543000</v>
      </c>
      <c r="AR76" s="990">
        <f t="shared" si="59"/>
        <v>19989337</v>
      </c>
      <c r="AT76" s="990" t="s">
        <v>4744</v>
      </c>
    </row>
    <row r="77" spans="1:46" s="991" customFormat="1">
      <c r="A77" s="1024"/>
      <c r="B77" s="1034" t="s">
        <v>1429</v>
      </c>
      <c r="C77" s="1033" t="s">
        <v>1439</v>
      </c>
      <c r="D77" s="1049" t="s">
        <v>1783</v>
      </c>
      <c r="E77" s="1025"/>
      <c r="F77" s="1028"/>
      <c r="G77" s="1379"/>
      <c r="H77" s="1027"/>
      <c r="I77" s="1029">
        <f t="shared" si="68"/>
        <v>0</v>
      </c>
      <c r="J77" s="1028"/>
      <c r="K77" s="1027"/>
      <c r="L77" s="1026">
        <f>+SUM(J77:K77)</f>
        <v>0</v>
      </c>
      <c r="M77" s="1025">
        <f t="shared" si="69"/>
        <v>0</v>
      </c>
      <c r="N77" s="1049" t="s">
        <v>1783</v>
      </c>
      <c r="O77" s="1025"/>
      <c r="P77" s="1028"/>
      <c r="Q77" s="1379"/>
      <c r="R77" s="1027"/>
      <c r="S77" s="1029">
        <f t="shared" si="51"/>
        <v>0</v>
      </c>
      <c r="T77" s="1028"/>
      <c r="U77" s="1027"/>
      <c r="V77" s="1026">
        <f t="shared" si="79"/>
        <v>0</v>
      </c>
      <c r="W77" s="1025">
        <f t="shared" si="53"/>
        <v>0</v>
      </c>
      <c r="X77" s="1049" t="s">
        <v>1796</v>
      </c>
      <c r="Y77" s="1048"/>
      <c r="Z77" s="1048"/>
      <c r="AA77" s="1048"/>
      <c r="AB77" s="1048"/>
      <c r="AC77" s="1048"/>
      <c r="AD77" s="1047">
        <f>+SUM(AH77,AK77:AK77)</f>
        <v>1880565</v>
      </c>
      <c r="AE77" s="1046"/>
      <c r="AF77" s="1404"/>
      <c r="AG77" s="1045">
        <f>+対価返還!AX14-対価返還!BH14</f>
        <v>0</v>
      </c>
      <c r="AH77" s="1029">
        <f>+SUM(AE77:AG77)</f>
        <v>0</v>
      </c>
      <c r="AI77" s="1046"/>
      <c r="AJ77" s="1045">
        <f>+消費税!Z125</f>
        <v>1880565</v>
      </c>
      <c r="AK77" s="1026">
        <f>+SUM(AI77:AJ77)</f>
        <v>1880565</v>
      </c>
      <c r="AL77" s="1025">
        <f>AD77-SUM(AH77,AK77)</f>
        <v>0</v>
      </c>
      <c r="AM77" s="990">
        <f t="shared" si="57"/>
        <v>0</v>
      </c>
      <c r="AO77" s="990">
        <f t="shared" si="58"/>
        <v>0</v>
      </c>
      <c r="AR77" s="990">
        <f t="shared" si="59"/>
        <v>0</v>
      </c>
    </row>
    <row r="78" spans="1:46" s="991" customFormat="1">
      <c r="A78" s="1024"/>
      <c r="B78" s="1034"/>
      <c r="C78" s="1033"/>
      <c r="D78" s="1030"/>
      <c r="E78" s="1025"/>
      <c r="F78" s="1028"/>
      <c r="G78" s="1379"/>
      <c r="H78" s="1027"/>
      <c r="I78" s="1029"/>
      <c r="J78" s="1028"/>
      <c r="K78" s="1027"/>
      <c r="L78" s="1026"/>
      <c r="M78" s="1025"/>
      <c r="N78" s="1030"/>
      <c r="O78" s="1025"/>
      <c r="P78" s="1028"/>
      <c r="Q78" s="1379"/>
      <c r="R78" s="1027"/>
      <c r="S78" s="1029"/>
      <c r="T78" s="1028"/>
      <c r="U78" s="1027"/>
      <c r="V78" s="1026"/>
      <c r="W78" s="1025"/>
      <c r="X78" s="1030"/>
      <c r="Y78" s="1030"/>
      <c r="Z78" s="1030"/>
      <c r="AA78" s="1030"/>
      <c r="AB78" s="1030"/>
      <c r="AC78" s="1030"/>
      <c r="AD78" s="1025"/>
      <c r="AE78" s="1028"/>
      <c r="AF78" s="1379"/>
      <c r="AG78" s="1027"/>
      <c r="AH78" s="1029"/>
      <c r="AI78" s="1028"/>
      <c r="AJ78" s="1027"/>
      <c r="AK78" s="1026"/>
      <c r="AL78" s="1025"/>
      <c r="AM78" s="990">
        <f t="shared" si="57"/>
        <v>0</v>
      </c>
      <c r="AO78" s="990">
        <f t="shared" si="58"/>
        <v>0</v>
      </c>
      <c r="AR78" s="990">
        <f t="shared" si="59"/>
        <v>0</v>
      </c>
    </row>
    <row r="79" spans="1:46" s="991" customFormat="1">
      <c r="A79" s="1024"/>
      <c r="B79" s="1034" t="s">
        <v>1429</v>
      </c>
      <c r="C79" s="1033" t="s">
        <v>1433</v>
      </c>
      <c r="D79" s="1030" t="s">
        <v>1454</v>
      </c>
      <c r="E79" s="1140">
        <f>+'3条収入'!E59</f>
        <v>0</v>
      </c>
      <c r="F79" s="1154">
        <f>+雨汚収入!AV16</f>
        <v>0</v>
      </c>
      <c r="G79" s="1401">
        <f>+雨汚収入!AW16</f>
        <v>0</v>
      </c>
      <c r="H79" s="1153">
        <f>+雨汚収入!AX16</f>
        <v>0</v>
      </c>
      <c r="I79" s="1029">
        <f>+SUM(F79:H79)</f>
        <v>0</v>
      </c>
      <c r="J79" s="1154">
        <f>+雨汚収入!AZ16</f>
        <v>0</v>
      </c>
      <c r="K79" s="1153">
        <f>+雨汚収入!BA16</f>
        <v>0</v>
      </c>
      <c r="L79" s="1026">
        <f>+SUM(J79:K79)</f>
        <v>0</v>
      </c>
      <c r="M79" s="1025">
        <f>E79-SUM(I79,L79)</f>
        <v>0</v>
      </c>
      <c r="N79" s="1030" t="s">
        <v>1454</v>
      </c>
      <c r="O79" s="1140">
        <f>+'3条収入'!AI59</f>
        <v>0</v>
      </c>
      <c r="P79" s="1154">
        <f>+雨汚収入!BF16</f>
        <v>0</v>
      </c>
      <c r="Q79" s="1401">
        <f>+雨汚収入!BG16</f>
        <v>0</v>
      </c>
      <c r="R79" s="1153">
        <f>+雨汚収入!BH16</f>
        <v>0</v>
      </c>
      <c r="S79" s="1029">
        <f t="shared" si="51"/>
        <v>0</v>
      </c>
      <c r="T79" s="1154">
        <f>+雨汚収入!BJ16</f>
        <v>0</v>
      </c>
      <c r="U79" s="1153">
        <f>+雨汚収入!BK16</f>
        <v>0</v>
      </c>
      <c r="V79" s="1026">
        <f t="shared" si="79"/>
        <v>0</v>
      </c>
      <c r="W79" s="1025">
        <f t="shared" si="53"/>
        <v>0</v>
      </c>
      <c r="X79" s="1030" t="s">
        <v>1454</v>
      </c>
      <c r="Y79" s="1450"/>
      <c r="Z79" s="1450"/>
      <c r="AA79" s="1450"/>
      <c r="AB79" s="1450"/>
      <c r="AC79" s="1450"/>
      <c r="AD79" s="1029">
        <f t="shared" ref="AD79:AG83" si="81">+O79</f>
        <v>0</v>
      </c>
      <c r="AE79" s="1028">
        <f t="shared" si="81"/>
        <v>0</v>
      </c>
      <c r="AF79" s="1379">
        <f t="shared" si="81"/>
        <v>0</v>
      </c>
      <c r="AG79" s="1027">
        <f t="shared" si="81"/>
        <v>0</v>
      </c>
      <c r="AH79" s="1412">
        <f t="shared" si="54"/>
        <v>0</v>
      </c>
      <c r="AI79" s="1028">
        <f t="shared" ref="AI79:AJ83" si="82">+T79</f>
        <v>0</v>
      </c>
      <c r="AJ79" s="1027">
        <f t="shared" si="82"/>
        <v>0</v>
      </c>
      <c r="AK79" s="1041">
        <f t="shared" si="55"/>
        <v>0</v>
      </c>
      <c r="AL79" s="1025">
        <f t="shared" si="56"/>
        <v>0</v>
      </c>
      <c r="AM79" s="990">
        <f t="shared" si="57"/>
        <v>0</v>
      </c>
      <c r="AO79" s="990">
        <f t="shared" si="58"/>
        <v>0</v>
      </c>
      <c r="AR79" s="990">
        <f t="shared" si="59"/>
        <v>0</v>
      </c>
    </row>
    <row r="80" spans="1:46" s="991" customFormat="1">
      <c r="A80" s="1024"/>
      <c r="B80" s="1034" t="s">
        <v>1429</v>
      </c>
      <c r="C80" s="1033" t="s">
        <v>1433</v>
      </c>
      <c r="D80" s="1030" t="s">
        <v>1436</v>
      </c>
      <c r="E80" s="1140">
        <f>+'3条収入'!E61-E93</f>
        <v>2435350</v>
      </c>
      <c r="F80" s="1154">
        <f>+雨汚収入!AV17-F93</f>
        <v>70892</v>
      </c>
      <c r="G80" s="1401">
        <f>+雨汚収入!AW17-G93</f>
        <v>0</v>
      </c>
      <c r="H80" s="1153">
        <f>+雨汚収入!AX17-H93</f>
        <v>487974</v>
      </c>
      <c r="I80" s="1029">
        <f>+SUM(F80:H80)</f>
        <v>558866</v>
      </c>
      <c r="J80" s="1154">
        <f>+雨汚収入!AZ17-J93</f>
        <v>29260</v>
      </c>
      <c r="K80" s="1153">
        <f>+雨汚収入!BA17-K93</f>
        <v>1847224</v>
      </c>
      <c r="L80" s="1026">
        <f>+SUM(J80:K80)</f>
        <v>1876484</v>
      </c>
      <c r="M80" s="1025">
        <f>E80-SUM(I80,L80)</f>
        <v>0</v>
      </c>
      <c r="N80" s="1030" t="s">
        <v>1436</v>
      </c>
      <c r="O80" s="1140">
        <f>+'3条収入'!AI61-O93</f>
        <v>2289462</v>
      </c>
      <c r="P80" s="1154">
        <f>+雨汚収入!BF17-P93</f>
        <v>70892</v>
      </c>
      <c r="Q80" s="1401">
        <f>+雨汚収入!BG17-Q93</f>
        <v>0</v>
      </c>
      <c r="R80" s="1153">
        <f>+雨汚収入!BH17-R93</f>
        <v>487974</v>
      </c>
      <c r="S80" s="1029">
        <f t="shared" si="51"/>
        <v>558866</v>
      </c>
      <c r="T80" s="1154">
        <f>+雨汚収入!BJ17-T93</f>
        <v>29260</v>
      </c>
      <c r="U80" s="1160">
        <f>+雨汚収入!BK17-U93</f>
        <v>1701336</v>
      </c>
      <c r="V80" s="1026">
        <f t="shared" si="79"/>
        <v>1730596</v>
      </c>
      <c r="W80" s="1025">
        <f t="shared" si="53"/>
        <v>0</v>
      </c>
      <c r="X80" s="1030" t="s">
        <v>1436</v>
      </c>
      <c r="Y80" s="1450"/>
      <c r="Z80" s="1450"/>
      <c r="AA80" s="1450"/>
      <c r="AB80" s="1450"/>
      <c r="AC80" s="1450"/>
      <c r="AD80" s="1029">
        <f t="shared" si="81"/>
        <v>2289462</v>
      </c>
      <c r="AE80" s="1028">
        <f t="shared" si="81"/>
        <v>70892</v>
      </c>
      <c r="AF80" s="1379">
        <f t="shared" si="81"/>
        <v>0</v>
      </c>
      <c r="AG80" s="1027">
        <f t="shared" si="81"/>
        <v>487974</v>
      </c>
      <c r="AH80" s="1029">
        <f t="shared" si="54"/>
        <v>558866</v>
      </c>
      <c r="AI80" s="1028">
        <f t="shared" si="82"/>
        <v>29260</v>
      </c>
      <c r="AJ80" s="1043">
        <f t="shared" si="82"/>
        <v>1701336</v>
      </c>
      <c r="AK80" s="1026">
        <f t="shared" si="55"/>
        <v>1730596</v>
      </c>
      <c r="AL80" s="1025">
        <f t="shared" si="56"/>
        <v>0</v>
      </c>
      <c r="AM80" s="990">
        <f t="shared" si="57"/>
        <v>588126</v>
      </c>
      <c r="AO80" s="990">
        <f t="shared" si="58"/>
        <v>-588126</v>
      </c>
      <c r="AQ80" s="990"/>
      <c r="AR80" s="990">
        <f t="shared" si="59"/>
        <v>-588126</v>
      </c>
    </row>
    <row r="81" spans="1:44" s="991" customFormat="1">
      <c r="A81" s="1024"/>
      <c r="B81" s="1034" t="s">
        <v>1429</v>
      </c>
      <c r="C81" s="1033" t="s">
        <v>1433</v>
      </c>
      <c r="D81" s="1030" t="s">
        <v>1451</v>
      </c>
      <c r="E81" s="1140">
        <f>+'3条収入'!E63-E94</f>
        <v>864807</v>
      </c>
      <c r="F81" s="1154">
        <f>+雨汚収入!AV18-F94</f>
        <v>588069</v>
      </c>
      <c r="G81" s="1401">
        <f>+雨汚収入!AW18-G94</f>
        <v>0</v>
      </c>
      <c r="H81" s="1153">
        <f>+雨汚収入!AX18-H94</f>
        <v>0</v>
      </c>
      <c r="I81" s="1029">
        <f>+SUM(F81:H81)</f>
        <v>588069</v>
      </c>
      <c r="J81" s="1154">
        <f>+雨汚収入!AZ18-J94</f>
        <v>0</v>
      </c>
      <c r="K81" s="1153">
        <f>+雨汚収入!BA18-K94</f>
        <v>276738</v>
      </c>
      <c r="L81" s="1026">
        <f>+SUM(J81:K81)</f>
        <v>276738</v>
      </c>
      <c r="M81" s="1025">
        <f>E81-SUM(I81,L81)</f>
        <v>0</v>
      </c>
      <c r="N81" s="1030" t="s">
        <v>1451</v>
      </c>
      <c r="O81" s="1140">
        <f>+'3条収入'!AI63-O94</f>
        <v>864807</v>
      </c>
      <c r="P81" s="1154">
        <f>+雨汚収入!BF18-P94</f>
        <v>588069</v>
      </c>
      <c r="Q81" s="1401">
        <f>+雨汚収入!BG18-Q94</f>
        <v>0</v>
      </c>
      <c r="R81" s="1153">
        <f>+雨汚収入!BH18-R94</f>
        <v>0</v>
      </c>
      <c r="S81" s="1029">
        <f t="shared" si="51"/>
        <v>588069</v>
      </c>
      <c r="T81" s="1154">
        <f>+雨汚収入!BJ18-T94</f>
        <v>0</v>
      </c>
      <c r="U81" s="1153">
        <f>+雨汚収入!BK18-U94</f>
        <v>276738</v>
      </c>
      <c r="V81" s="1026">
        <f t="shared" si="79"/>
        <v>276738</v>
      </c>
      <c r="W81" s="1025">
        <f t="shared" si="53"/>
        <v>0</v>
      </c>
      <c r="X81" s="1030" t="s">
        <v>1451</v>
      </c>
      <c r="Y81" s="1450"/>
      <c r="Z81" s="1450"/>
      <c r="AA81" s="1450"/>
      <c r="AB81" s="1450"/>
      <c r="AC81" s="1450"/>
      <c r="AD81" s="1029">
        <f t="shared" si="81"/>
        <v>864807</v>
      </c>
      <c r="AE81" s="1028">
        <f t="shared" si="81"/>
        <v>588069</v>
      </c>
      <c r="AF81" s="1379">
        <f t="shared" si="81"/>
        <v>0</v>
      </c>
      <c r="AG81" s="1027">
        <f t="shared" si="81"/>
        <v>0</v>
      </c>
      <c r="AH81" s="1029">
        <f t="shared" si="54"/>
        <v>588069</v>
      </c>
      <c r="AI81" s="1028">
        <f t="shared" si="82"/>
        <v>0</v>
      </c>
      <c r="AJ81" s="1027">
        <f t="shared" si="82"/>
        <v>276738</v>
      </c>
      <c r="AK81" s="1026">
        <f t="shared" si="55"/>
        <v>276738</v>
      </c>
      <c r="AL81" s="1025">
        <f t="shared" si="56"/>
        <v>0</v>
      </c>
      <c r="AM81" s="990">
        <f t="shared" si="57"/>
        <v>588069</v>
      </c>
      <c r="AO81" s="990">
        <f t="shared" si="58"/>
        <v>-588069</v>
      </c>
      <c r="AQ81" s="990"/>
      <c r="AR81" s="990">
        <f t="shared" si="59"/>
        <v>-588069</v>
      </c>
    </row>
    <row r="82" spans="1:44" s="991" customFormat="1">
      <c r="A82" s="1024"/>
      <c r="B82" s="1034" t="s">
        <v>1429</v>
      </c>
      <c r="C82" s="1033" t="s">
        <v>1433</v>
      </c>
      <c r="D82" s="1030" t="s">
        <v>1450</v>
      </c>
      <c r="E82" s="1140">
        <f>+'3条収入'!E64</f>
        <v>455622</v>
      </c>
      <c r="F82" s="1154">
        <f>+雨汚収入!AV19</f>
        <v>0</v>
      </c>
      <c r="G82" s="1401">
        <f>+雨汚収入!AW19</f>
        <v>0</v>
      </c>
      <c r="H82" s="1153">
        <f>+雨汚収入!AX19</f>
        <v>16334</v>
      </c>
      <c r="I82" s="1029">
        <f>+SUM(F82:H82)</f>
        <v>16334</v>
      </c>
      <c r="J82" s="1154">
        <f>+雨汚収入!AZ19</f>
        <v>0</v>
      </c>
      <c r="K82" s="1153">
        <f>+雨汚収入!BA19</f>
        <v>439288</v>
      </c>
      <c r="L82" s="1026">
        <f>+SUM(J82:K82)</f>
        <v>439288</v>
      </c>
      <c r="M82" s="1025">
        <f>E82-SUM(I82,L82)</f>
        <v>0</v>
      </c>
      <c r="N82" s="1030" t="s">
        <v>1450</v>
      </c>
      <c r="O82" s="1140">
        <f>+'3条収入'!AI64</f>
        <v>455622</v>
      </c>
      <c r="P82" s="1154">
        <f>+雨汚収入!BF19</f>
        <v>0</v>
      </c>
      <c r="Q82" s="1401">
        <f>+雨汚収入!BG19</f>
        <v>0</v>
      </c>
      <c r="R82" s="1153">
        <f>+雨汚収入!BH19</f>
        <v>16334</v>
      </c>
      <c r="S82" s="1029">
        <f t="shared" si="51"/>
        <v>16334</v>
      </c>
      <c r="T82" s="1154">
        <f>+雨汚収入!BJ19</f>
        <v>0</v>
      </c>
      <c r="U82" s="1153">
        <f>+雨汚収入!BK19</f>
        <v>439288</v>
      </c>
      <c r="V82" s="1026">
        <f t="shared" si="79"/>
        <v>439288</v>
      </c>
      <c r="W82" s="1025">
        <f t="shared" si="53"/>
        <v>0</v>
      </c>
      <c r="X82" s="1030" t="s">
        <v>1450</v>
      </c>
      <c r="Y82" s="1450"/>
      <c r="Z82" s="1450"/>
      <c r="AA82" s="1450"/>
      <c r="AB82" s="1450"/>
      <c r="AC82" s="1450"/>
      <c r="AD82" s="1029">
        <f t="shared" si="81"/>
        <v>455622</v>
      </c>
      <c r="AE82" s="1028">
        <f t="shared" si="81"/>
        <v>0</v>
      </c>
      <c r="AF82" s="1379">
        <f t="shared" si="81"/>
        <v>0</v>
      </c>
      <c r="AG82" s="1027">
        <f t="shared" si="81"/>
        <v>16334</v>
      </c>
      <c r="AH82" s="1029">
        <f t="shared" si="54"/>
        <v>16334</v>
      </c>
      <c r="AI82" s="1028">
        <f t="shared" si="82"/>
        <v>0</v>
      </c>
      <c r="AJ82" s="1027">
        <f t="shared" si="82"/>
        <v>439288</v>
      </c>
      <c r="AK82" s="1026">
        <f t="shared" si="55"/>
        <v>439288</v>
      </c>
      <c r="AL82" s="1025">
        <f t="shared" si="56"/>
        <v>0</v>
      </c>
      <c r="AM82" s="990">
        <f t="shared" si="57"/>
        <v>16334</v>
      </c>
      <c r="AO82" s="990">
        <f t="shared" si="58"/>
        <v>-16334</v>
      </c>
      <c r="AQ82" s="990"/>
      <c r="AR82" s="990">
        <f t="shared" si="59"/>
        <v>-16334</v>
      </c>
    </row>
    <row r="83" spans="1:44" s="991" customFormat="1">
      <c r="A83" s="1024"/>
      <c r="B83" s="1034" t="s">
        <v>1429</v>
      </c>
      <c r="C83" s="1033" t="s">
        <v>1433</v>
      </c>
      <c r="D83" s="1030" t="s">
        <v>1449</v>
      </c>
      <c r="E83" s="1140">
        <f>+'3条収入'!E65</f>
        <v>109000</v>
      </c>
      <c r="F83" s="1154">
        <f>+雨汚収入!AV20</f>
        <v>54500</v>
      </c>
      <c r="G83" s="1401">
        <f>+雨汚収入!AW20</f>
        <v>0</v>
      </c>
      <c r="H83" s="1153">
        <f>+雨汚収入!AX20</f>
        <v>0</v>
      </c>
      <c r="I83" s="1029">
        <f>+SUM(F83:H83)</f>
        <v>54500</v>
      </c>
      <c r="J83" s="1154">
        <f>+雨汚収入!AZ20</f>
        <v>0</v>
      </c>
      <c r="K83" s="1153">
        <f>+雨汚収入!BA20</f>
        <v>54500</v>
      </c>
      <c r="L83" s="1026">
        <f>+SUM(J83:K83)</f>
        <v>54500</v>
      </c>
      <c r="M83" s="1025">
        <f>E83-SUM(I83,L83)</f>
        <v>0</v>
      </c>
      <c r="N83" s="1030" t="s">
        <v>1449</v>
      </c>
      <c r="O83" s="1140">
        <f>+'3条収入'!AI65</f>
        <v>109000</v>
      </c>
      <c r="P83" s="1154">
        <f>+雨汚収入!BF20</f>
        <v>54500</v>
      </c>
      <c r="Q83" s="1401">
        <f>+雨汚収入!BG20</f>
        <v>0</v>
      </c>
      <c r="R83" s="1153">
        <f>+雨汚収入!BH20</f>
        <v>0</v>
      </c>
      <c r="S83" s="1029">
        <f t="shared" si="51"/>
        <v>54500</v>
      </c>
      <c r="T83" s="1154">
        <f>+雨汚収入!BJ20</f>
        <v>0</v>
      </c>
      <c r="U83" s="1153">
        <f>+雨汚収入!BK20</f>
        <v>54500</v>
      </c>
      <c r="V83" s="1026">
        <f t="shared" si="79"/>
        <v>54500</v>
      </c>
      <c r="W83" s="1025">
        <f t="shared" si="53"/>
        <v>0</v>
      </c>
      <c r="X83" s="1030" t="s">
        <v>1449</v>
      </c>
      <c r="Y83" s="1450"/>
      <c r="Z83" s="1450"/>
      <c r="AA83" s="1450"/>
      <c r="AB83" s="1450"/>
      <c r="AC83" s="1450"/>
      <c r="AD83" s="1029">
        <f t="shared" si="81"/>
        <v>109000</v>
      </c>
      <c r="AE83" s="1028">
        <f t="shared" si="81"/>
        <v>54500</v>
      </c>
      <c r="AF83" s="1379">
        <f t="shared" si="81"/>
        <v>0</v>
      </c>
      <c r="AG83" s="1027">
        <f t="shared" si="81"/>
        <v>0</v>
      </c>
      <c r="AH83" s="1029">
        <f t="shared" si="54"/>
        <v>54500</v>
      </c>
      <c r="AI83" s="1028">
        <f t="shared" si="82"/>
        <v>0</v>
      </c>
      <c r="AJ83" s="1027">
        <f t="shared" si="82"/>
        <v>54500</v>
      </c>
      <c r="AK83" s="1026">
        <f t="shared" si="55"/>
        <v>54500</v>
      </c>
      <c r="AL83" s="1025">
        <f t="shared" si="56"/>
        <v>0</v>
      </c>
      <c r="AM83" s="990">
        <f t="shared" si="57"/>
        <v>54500</v>
      </c>
      <c r="AO83" s="990">
        <f t="shared" si="58"/>
        <v>-54500</v>
      </c>
      <c r="AQ83" s="990"/>
      <c r="AR83" s="990">
        <f t="shared" si="59"/>
        <v>-54500</v>
      </c>
    </row>
    <row r="84" spans="1:44" s="991" customFormat="1">
      <c r="A84" s="1024"/>
      <c r="B84" s="1034"/>
      <c r="C84" s="1033"/>
      <c r="D84" s="1030"/>
      <c r="E84" s="1029"/>
      <c r="F84" s="1028"/>
      <c r="G84" s="1379"/>
      <c r="H84" s="1027"/>
      <c r="I84" s="1029"/>
      <c r="J84" s="1028"/>
      <c r="K84" s="1027"/>
      <c r="L84" s="1026"/>
      <c r="M84" s="1025"/>
      <c r="N84" s="1030"/>
      <c r="O84" s="1029"/>
      <c r="P84" s="1028"/>
      <c r="Q84" s="1379"/>
      <c r="R84" s="1027"/>
      <c r="S84" s="1029"/>
      <c r="T84" s="1028"/>
      <c r="U84" s="1027"/>
      <c r="V84" s="1026"/>
      <c r="W84" s="1025"/>
      <c r="X84" s="1030"/>
      <c r="Y84" s="1450"/>
      <c r="Z84" s="1450"/>
      <c r="AA84" s="1450"/>
      <c r="AB84" s="1450"/>
      <c r="AC84" s="1450"/>
      <c r="AD84" s="1029"/>
      <c r="AE84" s="1028"/>
      <c r="AF84" s="1379"/>
      <c r="AG84" s="1027"/>
      <c r="AH84" s="1412"/>
      <c r="AI84" s="1028"/>
      <c r="AJ84" s="1027"/>
      <c r="AK84" s="1041"/>
      <c r="AL84" s="1025"/>
      <c r="AM84" s="990">
        <f t="shared" si="57"/>
        <v>0</v>
      </c>
      <c r="AO84" s="990">
        <f t="shared" si="58"/>
        <v>0</v>
      </c>
      <c r="AR84" s="990">
        <f t="shared" si="59"/>
        <v>0</v>
      </c>
    </row>
    <row r="85" spans="1:44" s="991" customFormat="1">
      <c r="A85" s="1024"/>
      <c r="B85" s="1034" t="s">
        <v>1427</v>
      </c>
      <c r="C85" s="1033" t="s">
        <v>1446</v>
      </c>
      <c r="D85" s="1030" t="s">
        <v>1447</v>
      </c>
      <c r="E85" s="1157">
        <f>+'3条収入'!E56-E86</f>
        <v>9364620277</v>
      </c>
      <c r="F85" s="1142">
        <v>4482094461</v>
      </c>
      <c r="G85" s="1405">
        <v>2428480</v>
      </c>
      <c r="H85" s="1027"/>
      <c r="I85" s="1029">
        <f t="shared" ref="I85:I90" si="83">+SUM(F85:H85)</f>
        <v>4484522941</v>
      </c>
      <c r="J85" s="1142">
        <f>ROUND(17206476/13857936954*4880097336,0)</f>
        <v>6059291</v>
      </c>
      <c r="K85" s="1141">
        <f>4880097336-J85</f>
        <v>4874038045</v>
      </c>
      <c r="L85" s="1026">
        <f t="shared" ref="L85:L90" si="84">+SUM(J85:K85)</f>
        <v>4880097336</v>
      </c>
      <c r="M85" s="1025">
        <f t="shared" ref="M85:M90" si="85">E85-SUM(I85,L85)</f>
        <v>0</v>
      </c>
      <c r="N85" s="1030" t="s">
        <v>1447</v>
      </c>
      <c r="O85" s="1157">
        <f>+'3条収入'!AI56-O86</f>
        <v>9364620277</v>
      </c>
      <c r="P85" s="1028">
        <f t="shared" ref="P85:R86" si="86">+F85</f>
        <v>4482094461</v>
      </c>
      <c r="Q85" s="1379">
        <f t="shared" si="86"/>
        <v>2428480</v>
      </c>
      <c r="R85" s="1027">
        <f t="shared" si="86"/>
        <v>0</v>
      </c>
      <c r="S85" s="1029">
        <f t="shared" si="51"/>
        <v>4484522941</v>
      </c>
      <c r="T85" s="1028">
        <f>+J85</f>
        <v>6059291</v>
      </c>
      <c r="U85" s="1027">
        <f t="shared" ref="U85:U86" si="87">+O85-S85-T85</f>
        <v>4874038045</v>
      </c>
      <c r="V85" s="1026">
        <f t="shared" si="79"/>
        <v>4880097336</v>
      </c>
      <c r="W85" s="1025">
        <f t="shared" si="53"/>
        <v>0</v>
      </c>
      <c r="X85" s="1030" t="s">
        <v>1447</v>
      </c>
      <c r="Y85" s="1451"/>
      <c r="Z85" s="1451"/>
      <c r="AA85" s="1451"/>
      <c r="AB85" s="1451"/>
      <c r="AC85" s="1451"/>
      <c r="AD85" s="1040">
        <f t="shared" ref="AD85:AG90" si="88">+O85</f>
        <v>9364620277</v>
      </c>
      <c r="AE85" s="1028">
        <f t="shared" si="88"/>
        <v>4482094461</v>
      </c>
      <c r="AF85" s="1379">
        <f t="shared" si="88"/>
        <v>2428480</v>
      </c>
      <c r="AG85" s="1027">
        <f t="shared" si="88"/>
        <v>0</v>
      </c>
      <c r="AH85" s="1029">
        <f t="shared" si="54"/>
        <v>4484522941</v>
      </c>
      <c r="AI85" s="1028">
        <f t="shared" ref="AI85:AJ90" si="89">+T85</f>
        <v>6059291</v>
      </c>
      <c r="AJ85" s="1027">
        <f t="shared" si="89"/>
        <v>4874038045</v>
      </c>
      <c r="AK85" s="1026">
        <f t="shared" si="55"/>
        <v>4880097336</v>
      </c>
      <c r="AL85" s="1025">
        <f t="shared" si="56"/>
        <v>0</v>
      </c>
      <c r="AM85" s="990">
        <f t="shared" si="57"/>
        <v>4490582232</v>
      </c>
      <c r="AO85" s="990">
        <f t="shared" si="58"/>
        <v>-4490582232</v>
      </c>
      <c r="AQ85" s="990">
        <v>4526816000</v>
      </c>
      <c r="AR85" s="990">
        <f t="shared" si="59"/>
        <v>36233768</v>
      </c>
    </row>
    <row r="86" spans="1:44" s="991" customFormat="1">
      <c r="A86" s="1024"/>
      <c r="B86" s="1034" t="s">
        <v>1427</v>
      </c>
      <c r="C86" s="1033" t="s">
        <v>1446</v>
      </c>
      <c r="D86" s="1030" t="s">
        <v>1444</v>
      </c>
      <c r="E86" s="1156">
        <v>120734725</v>
      </c>
      <c r="F86" s="1028">
        <f>+E86-L86-G86</f>
        <v>49928323</v>
      </c>
      <c r="G86" s="1379">
        <f>+IFERROR(ROUND((E86-L86)*G35/I35,0),0)</f>
        <v>486150</v>
      </c>
      <c r="H86" s="1027"/>
      <c r="I86" s="1029">
        <f t="shared" si="83"/>
        <v>50414473</v>
      </c>
      <c r="J86" s="1028"/>
      <c r="K86" s="1141">
        <v>70320252</v>
      </c>
      <c r="L86" s="1026">
        <f>+SUM(J86:K86)</f>
        <v>70320252</v>
      </c>
      <c r="M86" s="1025">
        <f t="shared" si="85"/>
        <v>0</v>
      </c>
      <c r="N86" s="1030" t="s">
        <v>1444</v>
      </c>
      <c r="O86" s="1040">
        <f>+E86</f>
        <v>120734725</v>
      </c>
      <c r="P86" s="1028">
        <f t="shared" si="86"/>
        <v>49928323</v>
      </c>
      <c r="Q86" s="1379">
        <f t="shared" si="86"/>
        <v>486150</v>
      </c>
      <c r="R86" s="1027">
        <f t="shared" si="86"/>
        <v>0</v>
      </c>
      <c r="S86" s="1029">
        <f t="shared" si="51"/>
        <v>50414473</v>
      </c>
      <c r="T86" s="1028">
        <f>+J86</f>
        <v>0</v>
      </c>
      <c r="U86" s="1027">
        <f t="shared" si="87"/>
        <v>70320252</v>
      </c>
      <c r="V86" s="1026">
        <f t="shared" si="79"/>
        <v>70320252</v>
      </c>
      <c r="W86" s="1025">
        <f t="shared" si="53"/>
        <v>0</v>
      </c>
      <c r="X86" s="1030" t="s">
        <v>1444</v>
      </c>
      <c r="Y86" s="1451"/>
      <c r="Z86" s="1451"/>
      <c r="AA86" s="1451"/>
      <c r="AB86" s="1451"/>
      <c r="AC86" s="1451"/>
      <c r="AD86" s="1040">
        <f t="shared" si="88"/>
        <v>120734725</v>
      </c>
      <c r="AE86" s="1028">
        <f t="shared" si="88"/>
        <v>49928323</v>
      </c>
      <c r="AF86" s="1379">
        <f t="shared" si="88"/>
        <v>486150</v>
      </c>
      <c r="AG86" s="1027">
        <f t="shared" si="88"/>
        <v>0</v>
      </c>
      <c r="AH86" s="1029">
        <f t="shared" si="54"/>
        <v>50414473</v>
      </c>
      <c r="AI86" s="1028">
        <f t="shared" si="89"/>
        <v>0</v>
      </c>
      <c r="AJ86" s="1027">
        <f t="shared" si="89"/>
        <v>70320252</v>
      </c>
      <c r="AK86" s="1026">
        <f t="shared" si="55"/>
        <v>70320252</v>
      </c>
      <c r="AL86" s="1025">
        <f t="shared" si="56"/>
        <v>0</v>
      </c>
      <c r="AM86" s="990">
        <f t="shared" si="57"/>
        <v>50414473</v>
      </c>
      <c r="AO86" s="990">
        <f t="shared" si="58"/>
        <v>-50414473</v>
      </c>
      <c r="AQ86" s="990">
        <v>44696000</v>
      </c>
      <c r="AR86" s="990">
        <f t="shared" si="59"/>
        <v>-5718473</v>
      </c>
    </row>
    <row r="87" spans="1:44" s="991" customFormat="1">
      <c r="A87" s="1024"/>
      <c r="B87" s="1034" t="s">
        <v>1427</v>
      </c>
      <c r="C87" s="1033"/>
      <c r="D87" s="1030"/>
      <c r="E87" s="1029"/>
      <c r="F87" s="1028"/>
      <c r="G87" s="1379"/>
      <c r="H87" s="1027"/>
      <c r="I87" s="1029">
        <f t="shared" si="83"/>
        <v>0</v>
      </c>
      <c r="J87" s="1028"/>
      <c r="K87" s="1027"/>
      <c r="L87" s="1026">
        <f t="shared" si="84"/>
        <v>0</v>
      </c>
      <c r="M87" s="1025">
        <f t="shared" si="85"/>
        <v>0</v>
      </c>
      <c r="N87" s="1030"/>
      <c r="O87" s="1029"/>
      <c r="P87" s="1028"/>
      <c r="Q87" s="1379"/>
      <c r="R87" s="1027"/>
      <c r="S87" s="1029">
        <f t="shared" si="51"/>
        <v>0</v>
      </c>
      <c r="T87" s="1028"/>
      <c r="U87" s="1027"/>
      <c r="V87" s="1026">
        <f t="shared" si="79"/>
        <v>0</v>
      </c>
      <c r="W87" s="1025">
        <f t="shared" si="53"/>
        <v>0</v>
      </c>
      <c r="X87" s="1030"/>
      <c r="Y87" s="1450"/>
      <c r="Z87" s="1450"/>
      <c r="AA87" s="1450"/>
      <c r="AB87" s="1450"/>
      <c r="AC87" s="1450"/>
      <c r="AD87" s="1029">
        <f t="shared" si="88"/>
        <v>0</v>
      </c>
      <c r="AE87" s="1028">
        <f t="shared" si="88"/>
        <v>0</v>
      </c>
      <c r="AF87" s="1379">
        <f t="shared" si="88"/>
        <v>0</v>
      </c>
      <c r="AG87" s="1027">
        <f t="shared" si="88"/>
        <v>0</v>
      </c>
      <c r="AH87" s="1029">
        <f t="shared" si="54"/>
        <v>0</v>
      </c>
      <c r="AI87" s="1028">
        <f t="shared" si="89"/>
        <v>0</v>
      </c>
      <c r="AJ87" s="1027">
        <f t="shared" si="89"/>
        <v>0</v>
      </c>
      <c r="AK87" s="1026">
        <f t="shared" si="55"/>
        <v>0</v>
      </c>
      <c r="AL87" s="1025">
        <f t="shared" si="56"/>
        <v>0</v>
      </c>
      <c r="AM87" s="990">
        <f t="shared" si="57"/>
        <v>0</v>
      </c>
      <c r="AO87" s="990">
        <f t="shared" si="58"/>
        <v>0</v>
      </c>
      <c r="AR87" s="990">
        <f t="shared" si="59"/>
        <v>0</v>
      </c>
    </row>
    <row r="88" spans="1:44" s="991" customFormat="1">
      <c r="A88" s="1024"/>
      <c r="B88" s="1034" t="s">
        <v>1427</v>
      </c>
      <c r="C88" s="1033" t="s">
        <v>1439</v>
      </c>
      <c r="D88" s="1030" t="s">
        <v>1442</v>
      </c>
      <c r="E88" s="1140">
        <f>+'3条収入'!E41-E89</f>
        <v>16476593</v>
      </c>
      <c r="F88" s="1028">
        <f>+E88-K88</f>
        <v>8440628</v>
      </c>
      <c r="G88" s="1379"/>
      <c r="H88" s="1027"/>
      <c r="I88" s="1029">
        <f t="shared" si="83"/>
        <v>8440628</v>
      </c>
      <c r="J88" s="1028"/>
      <c r="K88" s="1027">
        <f>+ROUND(E88*K37/E37,0)</f>
        <v>8035965</v>
      </c>
      <c r="L88" s="1026">
        <f t="shared" si="84"/>
        <v>8035965</v>
      </c>
      <c r="M88" s="1025">
        <f t="shared" si="85"/>
        <v>0</v>
      </c>
      <c r="N88" s="1030" t="s">
        <v>1442</v>
      </c>
      <c r="O88" s="1140">
        <f>E88</f>
        <v>16476593</v>
      </c>
      <c r="P88" s="1028">
        <f>+F88</f>
        <v>8440628</v>
      </c>
      <c r="Q88" s="1379"/>
      <c r="R88" s="1027"/>
      <c r="S88" s="1029">
        <f t="shared" si="51"/>
        <v>8440628</v>
      </c>
      <c r="T88" s="1027"/>
      <c r="U88" s="1027">
        <f t="shared" ref="U88" si="90">+O88-S88-T88</f>
        <v>8035965</v>
      </c>
      <c r="V88" s="1026">
        <f t="shared" si="79"/>
        <v>8035965</v>
      </c>
      <c r="W88" s="1025">
        <f t="shared" si="53"/>
        <v>0</v>
      </c>
      <c r="X88" s="1030" t="s">
        <v>1442</v>
      </c>
      <c r="Y88" s="1450"/>
      <c r="Z88" s="1450"/>
      <c r="AA88" s="1450"/>
      <c r="AB88" s="1450"/>
      <c r="AC88" s="1450"/>
      <c r="AD88" s="1029">
        <f t="shared" si="88"/>
        <v>16476593</v>
      </c>
      <c r="AE88" s="1028">
        <f t="shared" si="88"/>
        <v>8440628</v>
      </c>
      <c r="AF88" s="1379">
        <f t="shared" si="88"/>
        <v>0</v>
      </c>
      <c r="AG88" s="1027">
        <f t="shared" si="88"/>
        <v>0</v>
      </c>
      <c r="AH88" s="1029">
        <f t="shared" si="54"/>
        <v>8440628</v>
      </c>
      <c r="AI88" s="1028">
        <f t="shared" si="89"/>
        <v>0</v>
      </c>
      <c r="AJ88" s="1027">
        <f t="shared" si="89"/>
        <v>8035965</v>
      </c>
      <c r="AK88" s="1026">
        <f t="shared" si="55"/>
        <v>8035965</v>
      </c>
      <c r="AL88" s="1025">
        <f t="shared" si="56"/>
        <v>0</v>
      </c>
      <c r="AM88" s="990">
        <f t="shared" si="57"/>
        <v>8440628</v>
      </c>
      <c r="AO88" s="990">
        <f t="shared" si="58"/>
        <v>-8440628</v>
      </c>
      <c r="AR88" s="990">
        <f t="shared" si="59"/>
        <v>-8440628</v>
      </c>
    </row>
    <row r="89" spans="1:44" s="991" customFormat="1">
      <c r="A89" s="1024"/>
      <c r="B89" s="1034" t="s">
        <v>1427</v>
      </c>
      <c r="C89" s="1033" t="s">
        <v>1439</v>
      </c>
      <c r="D89" s="1030" t="s">
        <v>1440</v>
      </c>
      <c r="E89" s="1029">
        <f>+K89</f>
        <v>0</v>
      </c>
      <c r="F89" s="1154">
        <f>+雨汚収入!AV12</f>
        <v>0</v>
      </c>
      <c r="G89" s="1401">
        <f>+雨汚収入!AW12</f>
        <v>0</v>
      </c>
      <c r="H89" s="1153">
        <f>+雨汚収入!AX12</f>
        <v>0</v>
      </c>
      <c r="I89" s="1029">
        <f t="shared" si="83"/>
        <v>0</v>
      </c>
      <c r="J89" s="1154">
        <f>+雨汚収入!AZ12</f>
        <v>0</v>
      </c>
      <c r="K89" s="1153">
        <f>+雨汚収入!BA12</f>
        <v>0</v>
      </c>
      <c r="L89" s="1026">
        <f t="shared" si="84"/>
        <v>0</v>
      </c>
      <c r="M89" s="1025">
        <f t="shared" si="85"/>
        <v>0</v>
      </c>
      <c r="N89" s="1030" t="s">
        <v>1440</v>
      </c>
      <c r="O89" s="1029">
        <f>+'3条収入'!AI41-O88</f>
        <v>0</v>
      </c>
      <c r="P89" s="1154">
        <f>+雨汚収入!BF12</f>
        <v>0</v>
      </c>
      <c r="Q89" s="1401">
        <f>+雨汚収入!BG12</f>
        <v>0</v>
      </c>
      <c r="R89" s="1153">
        <f>+雨汚収入!BH12</f>
        <v>0</v>
      </c>
      <c r="S89" s="1029">
        <f t="shared" si="51"/>
        <v>0</v>
      </c>
      <c r="T89" s="1154">
        <f>+雨汚収入!BJ12</f>
        <v>0</v>
      </c>
      <c r="U89" s="1153">
        <f>+雨汚収入!BK12</f>
        <v>0</v>
      </c>
      <c r="V89" s="1026">
        <f t="shared" si="79"/>
        <v>0</v>
      </c>
      <c r="W89" s="1025">
        <f t="shared" si="53"/>
        <v>0</v>
      </c>
      <c r="X89" s="1030" t="s">
        <v>1440</v>
      </c>
      <c r="Y89" s="1450"/>
      <c r="Z89" s="1450"/>
      <c r="AA89" s="1450"/>
      <c r="AB89" s="1450"/>
      <c r="AC89" s="1450"/>
      <c r="AD89" s="1029">
        <f t="shared" si="88"/>
        <v>0</v>
      </c>
      <c r="AE89" s="1028">
        <f t="shared" si="88"/>
        <v>0</v>
      </c>
      <c r="AF89" s="1379">
        <f t="shared" si="88"/>
        <v>0</v>
      </c>
      <c r="AG89" s="1027">
        <f t="shared" si="88"/>
        <v>0</v>
      </c>
      <c r="AH89" s="1029">
        <f t="shared" si="54"/>
        <v>0</v>
      </c>
      <c r="AI89" s="1028">
        <f t="shared" si="89"/>
        <v>0</v>
      </c>
      <c r="AJ89" s="1027">
        <f t="shared" si="89"/>
        <v>0</v>
      </c>
      <c r="AK89" s="1026">
        <f t="shared" si="55"/>
        <v>0</v>
      </c>
      <c r="AL89" s="1025">
        <f t="shared" si="56"/>
        <v>0</v>
      </c>
      <c r="AM89" s="990">
        <f t="shared" si="57"/>
        <v>0</v>
      </c>
      <c r="AO89" s="990">
        <f t="shared" si="58"/>
        <v>0</v>
      </c>
      <c r="AR89" s="990">
        <f t="shared" si="59"/>
        <v>0</v>
      </c>
    </row>
    <row r="90" spans="1:44" s="991" customFormat="1">
      <c r="A90" s="1024"/>
      <c r="B90" s="1034" t="s">
        <v>1427</v>
      </c>
      <c r="C90" s="1033" t="s">
        <v>1439</v>
      </c>
      <c r="D90" s="1030"/>
      <c r="E90" s="1029"/>
      <c r="F90" s="1028"/>
      <c r="G90" s="1379"/>
      <c r="H90" s="1027"/>
      <c r="I90" s="1029">
        <f t="shared" si="83"/>
        <v>0</v>
      </c>
      <c r="J90" s="1028"/>
      <c r="K90" s="1027"/>
      <c r="L90" s="1026">
        <f t="shared" si="84"/>
        <v>0</v>
      </c>
      <c r="M90" s="1025">
        <f t="shared" si="85"/>
        <v>0</v>
      </c>
      <c r="N90" s="1030"/>
      <c r="O90" s="1029"/>
      <c r="P90" s="1028"/>
      <c r="Q90" s="1379"/>
      <c r="R90" s="1027"/>
      <c r="S90" s="1029">
        <f t="shared" si="51"/>
        <v>0</v>
      </c>
      <c r="T90" s="1028"/>
      <c r="U90" s="1027"/>
      <c r="V90" s="1026">
        <f t="shared" si="79"/>
        <v>0</v>
      </c>
      <c r="W90" s="1025">
        <f t="shared" si="53"/>
        <v>0</v>
      </c>
      <c r="X90" s="1030"/>
      <c r="Y90" s="1450"/>
      <c r="Z90" s="1450"/>
      <c r="AA90" s="1450"/>
      <c r="AB90" s="1450"/>
      <c r="AC90" s="1450"/>
      <c r="AD90" s="1029">
        <f t="shared" si="88"/>
        <v>0</v>
      </c>
      <c r="AE90" s="1028">
        <f t="shared" si="88"/>
        <v>0</v>
      </c>
      <c r="AF90" s="1379">
        <f t="shared" si="88"/>
        <v>0</v>
      </c>
      <c r="AG90" s="1027">
        <f t="shared" si="88"/>
        <v>0</v>
      </c>
      <c r="AH90" s="1029">
        <f t="shared" si="54"/>
        <v>0</v>
      </c>
      <c r="AI90" s="1028">
        <f t="shared" si="89"/>
        <v>0</v>
      </c>
      <c r="AJ90" s="1027">
        <f t="shared" si="89"/>
        <v>0</v>
      </c>
      <c r="AK90" s="1026">
        <f t="shared" si="55"/>
        <v>0</v>
      </c>
      <c r="AL90" s="1025">
        <f t="shared" si="56"/>
        <v>0</v>
      </c>
      <c r="AM90" s="990">
        <f t="shared" si="57"/>
        <v>0</v>
      </c>
      <c r="AO90" s="990">
        <f t="shared" si="58"/>
        <v>0</v>
      </c>
      <c r="AR90" s="990">
        <f t="shared" si="59"/>
        <v>0</v>
      </c>
    </row>
    <row r="91" spans="1:44" s="991" customFormat="1">
      <c r="A91" s="1024"/>
      <c r="B91" s="1034"/>
      <c r="C91" s="1033"/>
      <c r="D91" s="1030"/>
      <c r="E91" s="1029"/>
      <c r="F91" s="1028"/>
      <c r="G91" s="1379"/>
      <c r="H91" s="1027"/>
      <c r="I91" s="1029"/>
      <c r="J91" s="1028"/>
      <c r="K91" s="1027"/>
      <c r="L91" s="1026"/>
      <c r="M91" s="1025"/>
      <c r="N91" s="1030"/>
      <c r="O91" s="1029"/>
      <c r="P91" s="1028"/>
      <c r="Q91" s="1379"/>
      <c r="R91" s="1027"/>
      <c r="S91" s="1029"/>
      <c r="T91" s="1028"/>
      <c r="U91" s="1027"/>
      <c r="V91" s="1026"/>
      <c r="W91" s="1025"/>
      <c r="X91" s="1030"/>
      <c r="Y91" s="1450"/>
      <c r="Z91" s="1450"/>
      <c r="AA91" s="1450"/>
      <c r="AB91" s="1450"/>
      <c r="AC91" s="1450"/>
      <c r="AD91" s="1029"/>
      <c r="AE91" s="1028"/>
      <c r="AF91" s="1379"/>
      <c r="AG91" s="1027"/>
      <c r="AH91" s="1029"/>
      <c r="AI91" s="1028"/>
      <c r="AJ91" s="1027"/>
      <c r="AK91" s="1026"/>
      <c r="AL91" s="1025"/>
      <c r="AM91" s="990">
        <f t="shared" si="57"/>
        <v>0</v>
      </c>
      <c r="AO91" s="990">
        <f t="shared" si="58"/>
        <v>0</v>
      </c>
      <c r="AR91" s="990">
        <f t="shared" si="59"/>
        <v>0</v>
      </c>
    </row>
    <row r="92" spans="1:44" s="991" customFormat="1">
      <c r="A92" s="1024"/>
      <c r="B92" s="1034" t="s">
        <v>1427</v>
      </c>
      <c r="C92" s="1033" t="s">
        <v>1433</v>
      </c>
      <c r="D92" s="1030"/>
      <c r="E92" s="1029"/>
      <c r="F92" s="1028"/>
      <c r="G92" s="1379"/>
      <c r="H92" s="1027"/>
      <c r="I92" s="1029">
        <f>+SUM(F92:H92)</f>
        <v>0</v>
      </c>
      <c r="J92" s="1028"/>
      <c r="K92" s="1027"/>
      <c r="L92" s="1026">
        <f>+SUM(J92:K92)</f>
        <v>0</v>
      </c>
      <c r="M92" s="1025">
        <f>E92-SUM(I92,L92)</f>
        <v>0</v>
      </c>
      <c r="N92" s="1030"/>
      <c r="O92" s="1029"/>
      <c r="P92" s="1028"/>
      <c r="Q92" s="1379"/>
      <c r="R92" s="1027"/>
      <c r="S92" s="1029">
        <f t="shared" si="51"/>
        <v>0</v>
      </c>
      <c r="T92" s="1028"/>
      <c r="U92" s="1027"/>
      <c r="V92" s="1026">
        <f t="shared" si="79"/>
        <v>0</v>
      </c>
      <c r="W92" s="1025">
        <f t="shared" si="53"/>
        <v>0</v>
      </c>
      <c r="X92" s="1030"/>
      <c r="Y92" s="1450"/>
      <c r="Z92" s="1450"/>
      <c r="AA92" s="1450"/>
      <c r="AB92" s="1450"/>
      <c r="AC92" s="1450"/>
      <c r="AD92" s="1029">
        <f t="shared" ref="AD92:AG95" si="91">+O92</f>
        <v>0</v>
      </c>
      <c r="AE92" s="1028">
        <f t="shared" si="91"/>
        <v>0</v>
      </c>
      <c r="AF92" s="1379">
        <f t="shared" si="91"/>
        <v>0</v>
      </c>
      <c r="AG92" s="1027">
        <f t="shared" si="91"/>
        <v>0</v>
      </c>
      <c r="AH92" s="1029">
        <f t="shared" si="54"/>
        <v>0</v>
      </c>
      <c r="AI92" s="1028">
        <f t="shared" ref="AI92:AJ95" si="92">+T92</f>
        <v>0</v>
      </c>
      <c r="AJ92" s="1027">
        <f t="shared" si="92"/>
        <v>0</v>
      </c>
      <c r="AK92" s="1026">
        <f t="shared" si="55"/>
        <v>0</v>
      </c>
      <c r="AL92" s="1025">
        <f t="shared" si="56"/>
        <v>0</v>
      </c>
      <c r="AM92" s="990">
        <f t="shared" si="57"/>
        <v>0</v>
      </c>
      <c r="AO92" s="990">
        <f t="shared" si="58"/>
        <v>0</v>
      </c>
      <c r="AR92" s="990">
        <f t="shared" si="59"/>
        <v>0</v>
      </c>
    </row>
    <row r="93" spans="1:44" s="991" customFormat="1">
      <c r="A93" s="1024"/>
      <c r="B93" s="1034" t="s">
        <v>1427</v>
      </c>
      <c r="C93" s="1033" t="s">
        <v>1433</v>
      </c>
      <c r="D93" s="1030" t="s">
        <v>1436</v>
      </c>
      <c r="E93" s="1147">
        <v>334220</v>
      </c>
      <c r="F93" s="1142">
        <v>281270</v>
      </c>
      <c r="G93" s="1405"/>
      <c r="H93" s="1027"/>
      <c r="I93" s="1029">
        <f>+SUM(F93:H93)</f>
        <v>281270</v>
      </c>
      <c r="J93" s="1142"/>
      <c r="K93" s="1141">
        <v>52950</v>
      </c>
      <c r="L93" s="1026">
        <f>+SUM(J93:K93)</f>
        <v>52950</v>
      </c>
      <c r="M93" s="1025">
        <f>E93-SUM(I93,L93)</f>
        <v>0</v>
      </c>
      <c r="N93" s="1030" t="s">
        <v>1436</v>
      </c>
      <c r="O93" s="1040">
        <f t="shared" ref="O93:Q94" si="93">+E93</f>
        <v>334220</v>
      </c>
      <c r="P93" s="1028">
        <f t="shared" si="93"/>
        <v>281270</v>
      </c>
      <c r="Q93" s="1379">
        <f t="shared" si="93"/>
        <v>0</v>
      </c>
      <c r="R93" s="1027"/>
      <c r="S93" s="1029">
        <f t="shared" si="51"/>
        <v>281270</v>
      </c>
      <c r="T93" s="1028">
        <f>+J93</f>
        <v>0</v>
      </c>
      <c r="U93" s="1027">
        <f t="shared" ref="U93:U95" si="94">+O93-S93-T93</f>
        <v>52950</v>
      </c>
      <c r="V93" s="1026">
        <f t="shared" si="79"/>
        <v>52950</v>
      </c>
      <c r="W93" s="1025">
        <f t="shared" si="53"/>
        <v>0</v>
      </c>
      <c r="X93" s="1030" t="s">
        <v>1436</v>
      </c>
      <c r="Y93" s="1450"/>
      <c r="Z93" s="1450"/>
      <c r="AA93" s="1450"/>
      <c r="AB93" s="1450"/>
      <c r="AC93" s="1450"/>
      <c r="AD93" s="1029">
        <f t="shared" si="91"/>
        <v>334220</v>
      </c>
      <c r="AE93" s="1028">
        <f t="shared" si="91"/>
        <v>281270</v>
      </c>
      <c r="AF93" s="1379">
        <f t="shared" si="91"/>
        <v>0</v>
      </c>
      <c r="AG93" s="1027">
        <f t="shared" si="91"/>
        <v>0</v>
      </c>
      <c r="AH93" s="1029">
        <f t="shared" si="54"/>
        <v>281270</v>
      </c>
      <c r="AI93" s="1028">
        <f t="shared" si="92"/>
        <v>0</v>
      </c>
      <c r="AJ93" s="1027">
        <f t="shared" si="92"/>
        <v>52950</v>
      </c>
      <c r="AK93" s="1026">
        <f t="shared" si="55"/>
        <v>52950</v>
      </c>
      <c r="AL93" s="1025">
        <f t="shared" si="56"/>
        <v>0</v>
      </c>
      <c r="AM93" s="990">
        <f t="shared" si="57"/>
        <v>281270</v>
      </c>
      <c r="AO93" s="990">
        <f t="shared" si="58"/>
        <v>-281270</v>
      </c>
      <c r="AR93" s="990">
        <f t="shared" si="59"/>
        <v>-281270</v>
      </c>
    </row>
    <row r="94" spans="1:44" s="991" customFormat="1">
      <c r="A94" s="1024"/>
      <c r="B94" s="1034" t="s">
        <v>1427</v>
      </c>
      <c r="C94" s="1033" t="s">
        <v>1433</v>
      </c>
      <c r="D94" s="1030" t="s">
        <v>1434</v>
      </c>
      <c r="E94" s="1147"/>
      <c r="F94" s="1142"/>
      <c r="G94" s="1405"/>
      <c r="H94" s="1027"/>
      <c r="I94" s="1029">
        <f>+SUM(F94:H94)</f>
        <v>0</v>
      </c>
      <c r="J94" s="1142"/>
      <c r="K94" s="1141"/>
      <c r="L94" s="1026">
        <f>+SUM(J94:K94)</f>
        <v>0</v>
      </c>
      <c r="M94" s="1025">
        <f>E94-SUM(I94,L94)</f>
        <v>0</v>
      </c>
      <c r="N94" s="1030" t="s">
        <v>1434</v>
      </c>
      <c r="O94" s="1040">
        <f t="shared" si="93"/>
        <v>0</v>
      </c>
      <c r="P94" s="1028">
        <f t="shared" si="93"/>
        <v>0</v>
      </c>
      <c r="Q94" s="1379">
        <f t="shared" si="93"/>
        <v>0</v>
      </c>
      <c r="R94" s="1027"/>
      <c r="S94" s="1029">
        <f t="shared" si="51"/>
        <v>0</v>
      </c>
      <c r="T94" s="1028">
        <f>+J94</f>
        <v>0</v>
      </c>
      <c r="U94" s="1027">
        <f t="shared" si="94"/>
        <v>0</v>
      </c>
      <c r="V94" s="1026">
        <f t="shared" si="79"/>
        <v>0</v>
      </c>
      <c r="W94" s="1025">
        <f t="shared" si="53"/>
        <v>0</v>
      </c>
      <c r="X94" s="1030" t="s">
        <v>1434</v>
      </c>
      <c r="Y94" s="1450"/>
      <c r="Z94" s="1450"/>
      <c r="AA94" s="1450"/>
      <c r="AB94" s="1450"/>
      <c r="AC94" s="1450"/>
      <c r="AD94" s="1029">
        <f t="shared" si="91"/>
        <v>0</v>
      </c>
      <c r="AE94" s="1028">
        <f t="shared" si="91"/>
        <v>0</v>
      </c>
      <c r="AF94" s="1379">
        <f t="shared" si="91"/>
        <v>0</v>
      </c>
      <c r="AG94" s="1027">
        <f t="shared" si="91"/>
        <v>0</v>
      </c>
      <c r="AH94" s="1029">
        <f t="shared" si="54"/>
        <v>0</v>
      </c>
      <c r="AI94" s="1028">
        <f t="shared" si="92"/>
        <v>0</v>
      </c>
      <c r="AJ94" s="1027">
        <f t="shared" si="92"/>
        <v>0</v>
      </c>
      <c r="AK94" s="1026">
        <f t="shared" si="55"/>
        <v>0</v>
      </c>
      <c r="AL94" s="1025">
        <f t="shared" si="56"/>
        <v>0</v>
      </c>
      <c r="AM94" s="990">
        <f t="shared" si="57"/>
        <v>0</v>
      </c>
      <c r="AO94" s="990">
        <f t="shared" si="58"/>
        <v>0</v>
      </c>
      <c r="AR94" s="990">
        <f t="shared" si="59"/>
        <v>0</v>
      </c>
    </row>
    <row r="95" spans="1:44" s="991" customFormat="1">
      <c r="A95" s="1024"/>
      <c r="B95" s="1034" t="s">
        <v>1427</v>
      </c>
      <c r="C95" s="1033" t="s">
        <v>1433</v>
      </c>
      <c r="D95" s="1030" t="s">
        <v>1431</v>
      </c>
      <c r="E95" s="1029">
        <f>+'3条収入'!E66</f>
        <v>0</v>
      </c>
      <c r="F95" s="1142">
        <v>0</v>
      </c>
      <c r="G95" s="1379"/>
      <c r="H95" s="1027"/>
      <c r="I95" s="1029">
        <f>+SUM(F95:H95)</f>
        <v>0</v>
      </c>
      <c r="J95" s="1028"/>
      <c r="K95" s="1141">
        <v>0</v>
      </c>
      <c r="L95" s="1026">
        <f>+SUM(J95:K95)</f>
        <v>0</v>
      </c>
      <c r="M95" s="1025">
        <f>E95-SUM(I95,L95)</f>
        <v>0</v>
      </c>
      <c r="N95" s="1030" t="s">
        <v>1431</v>
      </c>
      <c r="O95" s="1140">
        <f>+'3条収入'!AI66</f>
        <v>0</v>
      </c>
      <c r="P95" s="1028">
        <f>+F95</f>
        <v>0</v>
      </c>
      <c r="Q95" s="1379"/>
      <c r="R95" s="1027"/>
      <c r="S95" s="1029">
        <f t="shared" si="51"/>
        <v>0</v>
      </c>
      <c r="T95" s="1028"/>
      <c r="U95" s="1027">
        <f t="shared" si="94"/>
        <v>0</v>
      </c>
      <c r="V95" s="1026">
        <f t="shared" si="79"/>
        <v>0</v>
      </c>
      <c r="W95" s="1025">
        <f t="shared" si="53"/>
        <v>0</v>
      </c>
      <c r="X95" s="1030" t="s">
        <v>1431</v>
      </c>
      <c r="Y95" s="1450"/>
      <c r="Z95" s="1450"/>
      <c r="AA95" s="1450"/>
      <c r="AB95" s="1450"/>
      <c r="AC95" s="1450"/>
      <c r="AD95" s="1029">
        <f t="shared" si="91"/>
        <v>0</v>
      </c>
      <c r="AE95" s="1028">
        <f t="shared" si="91"/>
        <v>0</v>
      </c>
      <c r="AF95" s="1379">
        <f t="shared" si="91"/>
        <v>0</v>
      </c>
      <c r="AG95" s="1027">
        <f t="shared" si="91"/>
        <v>0</v>
      </c>
      <c r="AH95" s="1029">
        <f t="shared" si="54"/>
        <v>0</v>
      </c>
      <c r="AI95" s="1028">
        <f t="shared" si="92"/>
        <v>0</v>
      </c>
      <c r="AJ95" s="1027">
        <f t="shared" si="92"/>
        <v>0</v>
      </c>
      <c r="AK95" s="1026">
        <f t="shared" si="55"/>
        <v>0</v>
      </c>
      <c r="AL95" s="1025">
        <f t="shared" si="56"/>
        <v>0</v>
      </c>
      <c r="AM95" s="990">
        <f t="shared" si="57"/>
        <v>0</v>
      </c>
      <c r="AO95" s="990">
        <f t="shared" si="58"/>
        <v>0</v>
      </c>
      <c r="AR95" s="990">
        <f t="shared" si="59"/>
        <v>0</v>
      </c>
    </row>
    <row r="96" spans="1:44" s="991" customFormat="1" ht="14.25" thickBot="1">
      <c r="A96" s="1024"/>
      <c r="B96" s="1023"/>
      <c r="C96" s="1022"/>
      <c r="D96" s="1020"/>
      <c r="E96" s="1019"/>
      <c r="F96" s="1018"/>
      <c r="G96" s="1403"/>
      <c r="H96" s="1017"/>
      <c r="I96" s="1019"/>
      <c r="J96" s="1018"/>
      <c r="K96" s="1017"/>
      <c r="L96" s="1131"/>
      <c r="M96" s="1015"/>
      <c r="N96" s="1020"/>
      <c r="O96" s="1019"/>
      <c r="P96" s="1018"/>
      <c r="Q96" s="1403"/>
      <c r="R96" s="1017"/>
      <c r="S96" s="1019"/>
      <c r="T96" s="1018"/>
      <c r="U96" s="1017"/>
      <c r="V96" s="1131"/>
      <c r="W96" s="1015"/>
      <c r="X96" s="1020"/>
      <c r="Y96" s="1452"/>
      <c r="Z96" s="1452"/>
      <c r="AA96" s="1452"/>
      <c r="AB96" s="1452"/>
      <c r="AC96" s="1452"/>
      <c r="AD96" s="1019"/>
      <c r="AE96" s="1018"/>
      <c r="AF96" s="1403"/>
      <c r="AG96" s="1017"/>
      <c r="AH96" s="1413"/>
      <c r="AI96" s="1018"/>
      <c r="AJ96" s="1017"/>
      <c r="AK96" s="1016"/>
      <c r="AL96" s="1015"/>
      <c r="AM96" s="990">
        <f t="shared" si="57"/>
        <v>0</v>
      </c>
      <c r="AO96" s="990">
        <f t="shared" si="58"/>
        <v>0</v>
      </c>
      <c r="AR96" s="990">
        <f t="shared" si="59"/>
        <v>0</v>
      </c>
    </row>
    <row r="97" spans="2:38" ht="14.25" thickTop="1">
      <c r="B97" s="1014"/>
      <c r="C97" s="1013"/>
      <c r="D97" s="1012" t="s">
        <v>1430</v>
      </c>
      <c r="E97" s="1130">
        <f t="shared" ref="E97:M97" si="95">+SUM(E58:E96)</f>
        <v>30258405695</v>
      </c>
      <c r="F97" s="1010">
        <f t="shared" si="95"/>
        <v>4589583681</v>
      </c>
      <c r="G97" s="1381">
        <f t="shared" si="95"/>
        <v>3421941</v>
      </c>
      <c r="H97" s="1009">
        <f t="shared" si="95"/>
        <v>40065138</v>
      </c>
      <c r="I97" s="1391">
        <f t="shared" si="95"/>
        <v>4633070760</v>
      </c>
      <c r="J97" s="1010">
        <f t="shared" si="95"/>
        <v>6358051</v>
      </c>
      <c r="K97" s="1009">
        <f t="shared" si="95"/>
        <v>25618976884</v>
      </c>
      <c r="L97" s="1008">
        <f t="shared" si="95"/>
        <v>25625334935</v>
      </c>
      <c r="M97" s="1006">
        <f t="shared" si="95"/>
        <v>0</v>
      </c>
      <c r="N97" s="1012" t="s">
        <v>1430</v>
      </c>
      <c r="O97" s="1130">
        <f t="shared" ref="O97:W97" si="96">+SUM(O58:O96)</f>
        <v>28373855981</v>
      </c>
      <c r="P97" s="1010">
        <f t="shared" si="96"/>
        <v>4585952762</v>
      </c>
      <c r="Q97" s="1381">
        <f t="shared" si="96"/>
        <v>3375822</v>
      </c>
      <c r="R97" s="1009">
        <f t="shared" si="96"/>
        <v>36594136</v>
      </c>
      <c r="S97" s="1391">
        <f t="shared" si="96"/>
        <v>4625922720</v>
      </c>
      <c r="T97" s="1010">
        <f t="shared" si="96"/>
        <v>6358051</v>
      </c>
      <c r="U97" s="1009">
        <f t="shared" si="96"/>
        <v>23741575210</v>
      </c>
      <c r="V97" s="1008">
        <f t="shared" si="96"/>
        <v>23747933261</v>
      </c>
      <c r="W97" s="1006">
        <f t="shared" si="96"/>
        <v>0</v>
      </c>
      <c r="X97" s="1012" t="s">
        <v>1430</v>
      </c>
      <c r="Y97" s="1448"/>
      <c r="Z97" s="1448"/>
      <c r="AA97" s="1448"/>
      <c r="AB97" s="1448"/>
      <c r="AC97" s="1448"/>
      <c r="AD97" s="1011">
        <f t="shared" ref="AD97:AL97" si="97">+SUM(AD58:AD96)</f>
        <v>28375736546</v>
      </c>
      <c r="AE97" s="1010">
        <f t="shared" si="97"/>
        <v>4585952762</v>
      </c>
      <c r="AF97" s="1381">
        <f t="shared" si="97"/>
        <v>3375822</v>
      </c>
      <c r="AG97" s="1009">
        <f t="shared" si="97"/>
        <v>36594136</v>
      </c>
      <c r="AH97" s="1391">
        <f t="shared" si="97"/>
        <v>4625922720</v>
      </c>
      <c r="AI97" s="1010">
        <f t="shared" si="97"/>
        <v>6358051</v>
      </c>
      <c r="AJ97" s="1009">
        <f t="shared" si="97"/>
        <v>23743455775</v>
      </c>
      <c r="AK97" s="1008">
        <f t="shared" si="97"/>
        <v>23749813826</v>
      </c>
      <c r="AL97" s="1006">
        <f t="shared" si="97"/>
        <v>0</v>
      </c>
    </row>
    <row r="98" spans="2:38">
      <c r="B98" s="1003" t="s">
        <v>1429</v>
      </c>
      <c r="C98" s="1005"/>
      <c r="D98" s="1004" t="s">
        <v>1428</v>
      </c>
      <c r="E98" s="1129">
        <f>+SUMIFS(E$58:E$96,$B$58:$B$96,$B98)</f>
        <v>20756239880</v>
      </c>
      <c r="F98" s="999">
        <f t="shared" ref="F98:M99" si="98">+SUMIFS(F$58:F$96,$B$58:$B$96,$B98)</f>
        <v>48838999</v>
      </c>
      <c r="G98" s="1387">
        <f t="shared" si="98"/>
        <v>507311</v>
      </c>
      <c r="H98" s="998">
        <f t="shared" si="98"/>
        <v>40065138</v>
      </c>
      <c r="I98" s="1411">
        <f t="shared" si="98"/>
        <v>89411448</v>
      </c>
      <c r="J98" s="999">
        <f t="shared" si="98"/>
        <v>298760</v>
      </c>
      <c r="K98" s="998">
        <f t="shared" si="98"/>
        <v>20666529672</v>
      </c>
      <c r="L98" s="997">
        <f t="shared" si="98"/>
        <v>20666828432</v>
      </c>
      <c r="M98" s="995">
        <f t="shared" si="98"/>
        <v>0</v>
      </c>
      <c r="N98" s="1004" t="s">
        <v>1428</v>
      </c>
      <c r="O98" s="1129">
        <f>+SUMIFS(O$58:O$96,$B$58:$B$96,$B98)</f>
        <v>18871690166</v>
      </c>
      <c r="P98" s="999">
        <f>+SUMIFS(P$58:P$96,$B$58:$B$96,$B98)</f>
        <v>45208080</v>
      </c>
      <c r="Q98" s="1387">
        <f t="shared" ref="P98:W99" si="99">+SUMIFS(Q$58:Q$96,$B$58:$B$96,$B98)</f>
        <v>461192</v>
      </c>
      <c r="R98" s="998">
        <f t="shared" si="99"/>
        <v>36594136</v>
      </c>
      <c r="S98" s="1411">
        <f t="shared" si="99"/>
        <v>82263408</v>
      </c>
      <c r="T98" s="999">
        <f>+SUMIFS(T$58:T$96,$B$58:$B$96,$B98)</f>
        <v>298760</v>
      </c>
      <c r="U98" s="998">
        <f t="shared" si="99"/>
        <v>18789127998</v>
      </c>
      <c r="V98" s="997">
        <f t="shared" si="99"/>
        <v>18789426758</v>
      </c>
      <c r="W98" s="995">
        <f t="shared" si="99"/>
        <v>0</v>
      </c>
      <c r="X98" s="1004" t="s">
        <v>1428</v>
      </c>
      <c r="Y98" s="1434"/>
      <c r="Z98" s="1434"/>
      <c r="AA98" s="1434"/>
      <c r="AB98" s="1434"/>
      <c r="AC98" s="1434"/>
      <c r="AD98" s="1129">
        <f>+SUMIFS(AD$58:AD$96,$B$58:$B$96,$B98)</f>
        <v>18873570731</v>
      </c>
      <c r="AE98" s="999">
        <f t="shared" ref="AE98:AL99" si="100">+SUMIFS(AE$58:AE$96,$B$58:$B$96,$B98)</f>
        <v>45208080</v>
      </c>
      <c r="AF98" s="1387">
        <f t="shared" si="100"/>
        <v>461192</v>
      </c>
      <c r="AG98" s="998">
        <f t="shared" si="100"/>
        <v>36594136</v>
      </c>
      <c r="AH98" s="1411">
        <f t="shared" si="100"/>
        <v>82263408</v>
      </c>
      <c r="AI98" s="999">
        <f t="shared" si="100"/>
        <v>298760</v>
      </c>
      <c r="AJ98" s="998">
        <f t="shared" si="100"/>
        <v>18791008563</v>
      </c>
      <c r="AK98" s="997">
        <f t="shared" si="100"/>
        <v>18791307323</v>
      </c>
      <c r="AL98" s="995">
        <f t="shared" si="100"/>
        <v>0</v>
      </c>
    </row>
    <row r="99" spans="2:38">
      <c r="B99" s="1003" t="s">
        <v>1427</v>
      </c>
      <c r="C99" s="1005"/>
      <c r="D99" s="1004" t="s">
        <v>1426</v>
      </c>
      <c r="E99" s="1129">
        <f t="shared" ref="E99:O99" si="101">+SUMIFS(E$58:E$96,$B$58:$B$96,$B99)</f>
        <v>9502165815</v>
      </c>
      <c r="F99" s="999">
        <f t="shared" si="98"/>
        <v>4540744682</v>
      </c>
      <c r="G99" s="1387">
        <f t="shared" si="98"/>
        <v>2914630</v>
      </c>
      <c r="H99" s="998">
        <f t="shared" si="98"/>
        <v>0</v>
      </c>
      <c r="I99" s="1411">
        <f t="shared" si="98"/>
        <v>4543659312</v>
      </c>
      <c r="J99" s="999">
        <f t="shared" si="98"/>
        <v>6059291</v>
      </c>
      <c r="K99" s="998">
        <f t="shared" si="98"/>
        <v>4952447212</v>
      </c>
      <c r="L99" s="997">
        <f t="shared" si="98"/>
        <v>4958506503</v>
      </c>
      <c r="M99" s="995">
        <f t="shared" si="98"/>
        <v>0</v>
      </c>
      <c r="N99" s="1004" t="s">
        <v>1426</v>
      </c>
      <c r="O99" s="1129">
        <f t="shared" si="101"/>
        <v>9502165815</v>
      </c>
      <c r="P99" s="999">
        <f t="shared" si="99"/>
        <v>4540744682</v>
      </c>
      <c r="Q99" s="1387">
        <f t="shared" si="99"/>
        <v>2914630</v>
      </c>
      <c r="R99" s="998">
        <f t="shared" si="99"/>
        <v>0</v>
      </c>
      <c r="S99" s="1411">
        <f t="shared" si="99"/>
        <v>4543659312</v>
      </c>
      <c r="T99" s="999">
        <f t="shared" si="99"/>
        <v>6059291</v>
      </c>
      <c r="U99" s="998">
        <f t="shared" si="99"/>
        <v>4952447212</v>
      </c>
      <c r="V99" s="997">
        <f t="shared" si="99"/>
        <v>4958506503</v>
      </c>
      <c r="W99" s="995">
        <f t="shared" si="99"/>
        <v>0</v>
      </c>
      <c r="X99" s="1004" t="s">
        <v>1426</v>
      </c>
      <c r="Y99" s="1434"/>
      <c r="Z99" s="1434"/>
      <c r="AA99" s="1434"/>
      <c r="AB99" s="1434"/>
      <c r="AC99" s="1434"/>
      <c r="AD99" s="1129">
        <f t="shared" ref="AD99" si="102">+SUMIFS(AD$58:AD$96,$B$58:$B$96,$B99)</f>
        <v>9502165815</v>
      </c>
      <c r="AE99" s="999">
        <f t="shared" si="100"/>
        <v>4540744682</v>
      </c>
      <c r="AF99" s="1387">
        <f t="shared" si="100"/>
        <v>2914630</v>
      </c>
      <c r="AG99" s="998">
        <f t="shared" si="100"/>
        <v>0</v>
      </c>
      <c r="AH99" s="1411">
        <f t="shared" si="100"/>
        <v>4543659312</v>
      </c>
      <c r="AI99" s="999">
        <f t="shared" si="100"/>
        <v>6059291</v>
      </c>
      <c r="AJ99" s="998">
        <f t="shared" si="100"/>
        <v>4952447212</v>
      </c>
      <c r="AK99" s="997">
        <f t="shared" si="100"/>
        <v>4958506503</v>
      </c>
      <c r="AL99" s="995">
        <f t="shared" si="100"/>
        <v>0</v>
      </c>
    </row>
    <row r="100" spans="2:38">
      <c r="B100" s="1003"/>
      <c r="C100" s="1002"/>
      <c r="D100" s="1001" t="s">
        <v>1425</v>
      </c>
      <c r="E100" s="1000">
        <f t="shared" ref="E100:L100" si="103">+SUM(E58:E96)</f>
        <v>30258405695</v>
      </c>
      <c r="F100" s="999">
        <f t="shared" si="103"/>
        <v>4589583681</v>
      </c>
      <c r="G100" s="1387">
        <f t="shared" si="103"/>
        <v>3421941</v>
      </c>
      <c r="H100" s="998">
        <f t="shared" si="103"/>
        <v>40065138</v>
      </c>
      <c r="I100" s="1411">
        <f t="shared" si="103"/>
        <v>4633070760</v>
      </c>
      <c r="J100" s="999">
        <f t="shared" si="103"/>
        <v>6358051</v>
      </c>
      <c r="K100" s="998">
        <f t="shared" si="103"/>
        <v>25618976884</v>
      </c>
      <c r="L100" s="997">
        <f t="shared" si="103"/>
        <v>25625334935</v>
      </c>
      <c r="M100" s="995">
        <f>+SUM(M58:M74,M68:M78,M79:M84,M85:M87,M88:M91,M92:M96)</f>
        <v>0</v>
      </c>
      <c r="N100" s="1001" t="s">
        <v>1425</v>
      </c>
      <c r="O100" s="1000">
        <f>+SUM(O58:O96)</f>
        <v>28373855981</v>
      </c>
      <c r="P100" s="999">
        <f t="shared" ref="P100:V100" si="104">+SUM(P58:P96)</f>
        <v>4585952762</v>
      </c>
      <c r="Q100" s="1387">
        <f t="shared" si="104"/>
        <v>3375822</v>
      </c>
      <c r="R100" s="998">
        <f t="shared" si="104"/>
        <v>36594136</v>
      </c>
      <c r="S100" s="1411">
        <f t="shared" si="104"/>
        <v>4625922720</v>
      </c>
      <c r="T100" s="999">
        <f t="shared" si="104"/>
        <v>6358051</v>
      </c>
      <c r="U100" s="998">
        <f t="shared" si="104"/>
        <v>23741575210</v>
      </c>
      <c r="V100" s="997">
        <f t="shared" si="104"/>
        <v>23747933261</v>
      </c>
      <c r="W100" s="995">
        <f>+SUM(W58:W74,W68:W78,W79:W84,W85:W87,W88:W91,W92:W96)</f>
        <v>0</v>
      </c>
      <c r="X100" s="1001" t="s">
        <v>1425</v>
      </c>
      <c r="Y100" s="1449"/>
      <c r="Z100" s="1449"/>
      <c r="AA100" s="1449"/>
      <c r="AB100" s="1449"/>
      <c r="AC100" s="1449"/>
      <c r="AD100" s="1000">
        <f>+SUM(AD58:AD96)</f>
        <v>28375736546</v>
      </c>
      <c r="AE100" s="999">
        <f t="shared" ref="AE100:AK100" si="105">+SUM(AE58:AE96)</f>
        <v>4585952762</v>
      </c>
      <c r="AF100" s="1387">
        <f t="shared" si="105"/>
        <v>3375822</v>
      </c>
      <c r="AG100" s="998">
        <f t="shared" si="105"/>
        <v>36594136</v>
      </c>
      <c r="AH100" s="1411">
        <f t="shared" si="105"/>
        <v>4625922720</v>
      </c>
      <c r="AI100" s="999">
        <f t="shared" si="105"/>
        <v>6358051</v>
      </c>
      <c r="AJ100" s="998">
        <f t="shared" si="105"/>
        <v>23743455775</v>
      </c>
      <c r="AK100" s="997">
        <f t="shared" si="105"/>
        <v>23749813826</v>
      </c>
      <c r="AL100" s="995">
        <f>+SUM(AL58:AL72,AL73:AL78,AL79:AL84,AL85:AL87,AL88:AL91,AL92:AL96)</f>
        <v>0</v>
      </c>
    </row>
    <row r="101" spans="2:38">
      <c r="D101" s="993"/>
      <c r="E101" s="994">
        <f>+E100-('3条収入'!$E$70-'3条収入'!$E$9-'3条収入'!$E$42)</f>
        <v>0</v>
      </c>
      <c r="F101" s="994"/>
      <c r="G101" s="994"/>
      <c r="H101" s="994"/>
      <c r="I101" s="993"/>
      <c r="J101" s="994"/>
      <c r="K101" s="994"/>
      <c r="L101" s="993"/>
      <c r="M101" s="994"/>
      <c r="N101" s="993"/>
      <c r="O101" s="994">
        <f>+O100-('3条収入'!$AI$70-'3条収入'!$AI$9-'3条収入'!$AI$42)</f>
        <v>0</v>
      </c>
      <c r="P101" s="994"/>
      <c r="Q101" s="994"/>
      <c r="R101" s="994"/>
      <c r="S101" s="993"/>
      <c r="T101" s="994"/>
      <c r="U101" s="994"/>
      <c r="V101" s="993"/>
      <c r="W101" s="994"/>
      <c r="X101" s="993"/>
      <c r="Y101" s="993"/>
      <c r="Z101" s="993"/>
      <c r="AA101" s="993"/>
      <c r="AB101" s="993"/>
      <c r="AC101" s="993"/>
      <c r="AD101" s="994">
        <f>+AD100-('3条収入'!$AI$69-'3条収入'!$AI$9-'3条収入'!$AI$42)</f>
        <v>0</v>
      </c>
      <c r="AE101" s="994"/>
      <c r="AF101" s="994"/>
      <c r="AG101" s="994"/>
      <c r="AH101" s="993"/>
      <c r="AI101" s="994"/>
      <c r="AJ101" s="994"/>
      <c r="AK101" s="993"/>
      <c r="AL101" s="993"/>
    </row>
    <row r="103" spans="2:38">
      <c r="D103" s="990" t="str">
        <f>+$D$1</f>
        <v>令和５年度決算　消費税算出資料</v>
      </c>
      <c r="E103" s="994"/>
      <c r="F103" s="994"/>
      <c r="G103" s="994"/>
      <c r="H103" s="994"/>
      <c r="I103" s="994"/>
      <c r="J103" s="994"/>
      <c r="K103" s="994"/>
      <c r="L103" s="994"/>
      <c r="M103" s="994"/>
      <c r="N103" s="990" t="str">
        <f>+$D$1</f>
        <v>令和５年度決算　消費税算出資料</v>
      </c>
      <c r="O103" s="991"/>
      <c r="U103" s="991"/>
      <c r="V103" s="990"/>
      <c r="W103" s="990"/>
      <c r="X103" s="990" t="str">
        <f>+$D$1</f>
        <v>令和５年度決算　消費税算出資料</v>
      </c>
      <c r="AA103" s="990"/>
      <c r="AB103" s="990"/>
      <c r="AC103" s="990"/>
      <c r="AE103" s="991"/>
      <c r="AI103" s="991"/>
    </row>
    <row r="104" spans="2:38">
      <c r="D104" s="1103" t="s">
        <v>1797</v>
      </c>
      <c r="E104" s="994"/>
      <c r="F104" s="994"/>
      <c r="G104" s="994"/>
      <c r="H104" s="994"/>
      <c r="I104" s="994"/>
      <c r="J104" s="994"/>
      <c r="K104" s="994"/>
      <c r="L104" s="994"/>
      <c r="M104" s="1042" t="str">
        <f>+IF(COUNTIF(M109:M130,0)=COUNT(M109:M130),"","↓エラーあり")</f>
        <v/>
      </c>
      <c r="N104" s="990" t="s">
        <v>1798</v>
      </c>
      <c r="O104" s="991"/>
      <c r="U104" s="991"/>
      <c r="V104" s="990"/>
      <c r="W104" s="1042" t="str">
        <f>+IF(COUNTIF(W109:W130,0)=COUNT(W109:W130),"","↓エラーあり")</f>
        <v/>
      </c>
      <c r="X104" s="990" t="s">
        <v>1549</v>
      </c>
      <c r="AA104" s="990"/>
      <c r="AB104" s="990"/>
      <c r="AC104" s="990"/>
      <c r="AE104" s="991"/>
      <c r="AI104" s="991"/>
      <c r="AL104" s="1042" t="str">
        <f>+IF(COUNTIF(AL109:AL137,0)=COUNT(AL109:AL137),"","↓エラーあり")</f>
        <v/>
      </c>
    </row>
    <row r="105" spans="2:38">
      <c r="D105" s="1565" t="s">
        <v>1518</v>
      </c>
      <c r="E105" s="1578" t="s">
        <v>1517</v>
      </c>
      <c r="F105" s="1579"/>
      <c r="G105" s="1579"/>
      <c r="H105" s="1579"/>
      <c r="I105" s="1579"/>
      <c r="J105" s="1579"/>
      <c r="K105" s="1579"/>
      <c r="L105" s="1579"/>
      <c r="M105" s="1580"/>
      <c r="N105" s="1565" t="s">
        <v>1518</v>
      </c>
      <c r="O105" s="1578" t="s">
        <v>1548</v>
      </c>
      <c r="P105" s="1579"/>
      <c r="Q105" s="1579"/>
      <c r="R105" s="1579"/>
      <c r="S105" s="1579"/>
      <c r="T105" s="1579"/>
      <c r="U105" s="1579"/>
      <c r="V105" s="1579"/>
      <c r="W105" s="1580"/>
      <c r="X105" s="1565" t="s">
        <v>1518</v>
      </c>
      <c r="Y105" s="1578" t="s">
        <v>1539</v>
      </c>
      <c r="Z105" s="1579"/>
      <c r="AA105" s="1579"/>
      <c r="AB105" s="1579"/>
      <c r="AC105" s="1579"/>
      <c r="AD105" s="1579"/>
      <c r="AE105" s="1579"/>
      <c r="AF105" s="1579"/>
      <c r="AG105" s="1579"/>
      <c r="AH105" s="1579"/>
      <c r="AI105" s="1579"/>
      <c r="AJ105" s="1579"/>
      <c r="AK105" s="1579"/>
      <c r="AL105" s="1580"/>
    </row>
    <row r="106" spans="2:38">
      <c r="D106" s="1566"/>
      <c r="E106" s="1581" t="s">
        <v>1512</v>
      </c>
      <c r="F106" s="1578" t="s">
        <v>1511</v>
      </c>
      <c r="G106" s="1579"/>
      <c r="H106" s="1579"/>
      <c r="I106" s="1580"/>
      <c r="J106" s="1578" t="s">
        <v>1510</v>
      </c>
      <c r="K106" s="1579"/>
      <c r="L106" s="1580"/>
      <c r="M106" s="1583" t="s">
        <v>1508</v>
      </c>
      <c r="N106" s="1566"/>
      <c r="O106" s="1587" t="s">
        <v>1546</v>
      </c>
      <c r="P106" s="1578" t="s">
        <v>1511</v>
      </c>
      <c r="Q106" s="1579"/>
      <c r="R106" s="1579"/>
      <c r="S106" s="1580"/>
      <c r="T106" s="1578" t="s">
        <v>1510</v>
      </c>
      <c r="U106" s="1579"/>
      <c r="V106" s="1580"/>
      <c r="W106" s="1568" t="s">
        <v>1545</v>
      </c>
      <c r="X106" s="1566"/>
      <c r="Y106" s="1588" t="s">
        <v>1547</v>
      </c>
      <c r="Z106" s="1588" t="s">
        <v>1538</v>
      </c>
      <c r="AA106" s="1590" t="s">
        <v>1537</v>
      </c>
      <c r="AB106" s="1593" t="s">
        <v>1536</v>
      </c>
      <c r="AC106" s="1099" t="s">
        <v>1535</v>
      </c>
      <c r="AD106" s="1581" t="s">
        <v>1534</v>
      </c>
      <c r="AE106" s="1578" t="s">
        <v>1511</v>
      </c>
      <c r="AF106" s="1579"/>
      <c r="AG106" s="1579"/>
      <c r="AH106" s="1580"/>
      <c r="AI106" s="1578" t="s">
        <v>1510</v>
      </c>
      <c r="AJ106" s="1579"/>
      <c r="AK106" s="1580"/>
      <c r="AL106" s="1568" t="s">
        <v>1533</v>
      </c>
    </row>
    <row r="107" spans="2:38">
      <c r="D107" s="1566"/>
      <c r="E107" s="1582"/>
      <c r="F107" s="1102" t="s">
        <v>1507</v>
      </c>
      <c r="G107" s="1374" t="s">
        <v>1507</v>
      </c>
      <c r="H107" s="1101" t="s">
        <v>1505</v>
      </c>
      <c r="I107" s="1372" t="s">
        <v>1506</v>
      </c>
      <c r="J107" s="1102" t="s">
        <v>1507</v>
      </c>
      <c r="K107" s="1101" t="s">
        <v>1505</v>
      </c>
      <c r="L107" s="1100" t="s">
        <v>1506</v>
      </c>
      <c r="M107" s="1569"/>
      <c r="N107" s="1566"/>
      <c r="O107" s="1571"/>
      <c r="P107" s="1102" t="s">
        <v>1507</v>
      </c>
      <c r="Q107" s="1374" t="s">
        <v>1507</v>
      </c>
      <c r="R107" s="1101" t="s">
        <v>1505</v>
      </c>
      <c r="S107" s="1372" t="s">
        <v>1506</v>
      </c>
      <c r="T107" s="1102" t="s">
        <v>1507</v>
      </c>
      <c r="U107" s="1101" t="s">
        <v>1505</v>
      </c>
      <c r="V107" s="1100" t="s">
        <v>1506</v>
      </c>
      <c r="W107" s="1569"/>
      <c r="X107" s="1566"/>
      <c r="Y107" s="1566"/>
      <c r="Z107" s="1589"/>
      <c r="AA107" s="1591"/>
      <c r="AB107" s="1594"/>
      <c r="AC107" s="1159" t="s">
        <v>1532</v>
      </c>
      <c r="AD107" s="1582"/>
      <c r="AE107" s="1102" t="s">
        <v>1507</v>
      </c>
      <c r="AF107" s="1374" t="s">
        <v>1507</v>
      </c>
      <c r="AG107" s="1101" t="s">
        <v>1505</v>
      </c>
      <c r="AH107" s="1372" t="s">
        <v>1506</v>
      </c>
      <c r="AI107" s="1102" t="s">
        <v>1507</v>
      </c>
      <c r="AJ107" s="1101" t="s">
        <v>1505</v>
      </c>
      <c r="AK107" s="1100" t="s">
        <v>1506</v>
      </c>
      <c r="AL107" s="1569"/>
    </row>
    <row r="108" spans="2:38">
      <c r="D108" s="1566"/>
      <c r="E108" s="1582"/>
      <c r="F108" s="1098" t="s">
        <v>1503</v>
      </c>
      <c r="G108" s="1375" t="s">
        <v>1504</v>
      </c>
      <c r="H108" s="1400" t="s">
        <v>1509</v>
      </c>
      <c r="I108" s="1390"/>
      <c r="J108" s="1098" t="s">
        <v>1503</v>
      </c>
      <c r="K108" s="1097" t="s">
        <v>1503</v>
      </c>
      <c r="L108" s="1096"/>
      <c r="M108" s="1569"/>
      <c r="N108" s="1566"/>
      <c r="O108" s="1571"/>
      <c r="P108" s="1098" t="s">
        <v>1503</v>
      </c>
      <c r="Q108" s="1375" t="s">
        <v>1504</v>
      </c>
      <c r="R108" s="1400" t="s">
        <v>1509</v>
      </c>
      <c r="S108" s="1390"/>
      <c r="T108" s="1098" t="s">
        <v>1503</v>
      </c>
      <c r="U108" s="1097" t="s">
        <v>1503</v>
      </c>
      <c r="V108" s="1096"/>
      <c r="W108" s="1569"/>
      <c r="X108" s="1566"/>
      <c r="Y108" s="1566"/>
      <c r="Z108" s="1589"/>
      <c r="AA108" s="1592"/>
      <c r="AB108" s="1595"/>
      <c r="AC108" s="1159"/>
      <c r="AD108" s="1582"/>
      <c r="AE108" s="1098" t="s">
        <v>1503</v>
      </c>
      <c r="AF108" s="1375" t="s">
        <v>1504</v>
      </c>
      <c r="AG108" s="1400" t="s">
        <v>1509</v>
      </c>
      <c r="AH108" s="1390"/>
      <c r="AI108" s="1098" t="s">
        <v>1503</v>
      </c>
      <c r="AJ108" s="1097" t="s">
        <v>1503</v>
      </c>
      <c r="AK108" s="1096"/>
      <c r="AL108" s="1569"/>
    </row>
    <row r="109" spans="2:38">
      <c r="D109" s="1082" t="s">
        <v>1500</v>
      </c>
      <c r="E109" s="1080">
        <f>+SUM(E110,E116:E118)</f>
        <v>14187102335</v>
      </c>
      <c r="F109" s="1079">
        <f>+SUM(F110,F116:F118)</f>
        <v>12799515012</v>
      </c>
      <c r="G109" s="1382">
        <f>+SUM(G110,G116:G118)</f>
        <v>389424727</v>
      </c>
      <c r="H109" s="1078">
        <f>+SUM(H110,H116:H118)</f>
        <v>443703083</v>
      </c>
      <c r="I109" s="1392">
        <f>+SUM(F109:H109)</f>
        <v>13632642822</v>
      </c>
      <c r="J109" s="1079">
        <f>+SUM(J110,J116:J118)</f>
        <v>554459513</v>
      </c>
      <c r="K109" s="1078">
        <f>+SUM(K110,K116:K118)</f>
        <v>0</v>
      </c>
      <c r="L109" s="1077">
        <f t="shared" ref="L109:L126" si="106">+SUM(J109:K109)</f>
        <v>554459513</v>
      </c>
      <c r="M109" s="1075">
        <f>E109-SUM(I109,L109)</f>
        <v>0</v>
      </c>
      <c r="N109" s="1082" t="s">
        <v>1500</v>
      </c>
      <c r="O109" s="1175">
        <f>+SUM(O110,O116:O118)</f>
        <v>13974628227</v>
      </c>
      <c r="P109" s="1174">
        <f>+SUM(P110,P116:P118)</f>
        <v>12635120631</v>
      </c>
      <c r="Q109" s="1376">
        <f>+SUM(Q110,Q116:Q118)</f>
        <v>373974736</v>
      </c>
      <c r="R109" s="1173">
        <f>+SUM(R110,R116:R118)</f>
        <v>420649782</v>
      </c>
      <c r="S109" s="1090">
        <f t="shared" ref="S109:S115" si="107">+SUM(P109:R109)</f>
        <v>13429745149</v>
      </c>
      <c r="T109" s="1174">
        <f>+SUM(T110,T116:T118)</f>
        <v>544883078</v>
      </c>
      <c r="U109" s="1173">
        <f>+SUM(U110,U116:U118)</f>
        <v>0</v>
      </c>
      <c r="V109" s="1084">
        <f t="shared" ref="V109:V124" si="108">+SUM(T109:U109)</f>
        <v>544883078</v>
      </c>
      <c r="W109" s="1083">
        <f>O109-SUM(S109,V109)</f>
        <v>0</v>
      </c>
      <c r="X109" s="1082" t="s">
        <v>1500</v>
      </c>
      <c r="Y109" s="1125">
        <f>+SUM(Y110,Y116:Y118)</f>
        <v>14184927522</v>
      </c>
      <c r="Z109" s="1081">
        <f>+SUM(Z110,Z116:Z118)</f>
        <v>209752468</v>
      </c>
      <c r="AA109" s="1081">
        <f>+SUM(AA110,AA116:AA118)</f>
        <v>2228406</v>
      </c>
      <c r="AB109" s="1081">
        <f>+O109+Z109+AA109</f>
        <v>14186609101</v>
      </c>
      <c r="AC109" s="1081">
        <f>+SUM(AC110,AC116:AC118)</f>
        <v>493234</v>
      </c>
      <c r="AD109" s="1080">
        <f>+SUM(AD110,AD116:AD118)</f>
        <v>212474108</v>
      </c>
      <c r="AE109" s="1079">
        <f>+SUM(AE110,AE116:AE118)</f>
        <v>164394381</v>
      </c>
      <c r="AF109" s="1382">
        <f>+SUM(AF110,AF116:AF118)</f>
        <v>15449991</v>
      </c>
      <c r="AG109" s="1078">
        <f>+SUM(AG110,AG116:AG118)</f>
        <v>23053301</v>
      </c>
      <c r="AH109" s="1392">
        <f>+SUM(AE109:AG109)</f>
        <v>202897673</v>
      </c>
      <c r="AI109" s="1079">
        <f>+SUM(AI110,AI116:AI118)</f>
        <v>9576435</v>
      </c>
      <c r="AJ109" s="1078">
        <f>+SUM(AJ110,AJ116:AJ118)</f>
        <v>0</v>
      </c>
      <c r="AK109" s="1077">
        <f t="shared" ref="AK109:AK128" si="109">+SUM(AI109:AJ109)</f>
        <v>9576435</v>
      </c>
      <c r="AL109" s="1075">
        <f>AD109-SUM(AH109,AK109)</f>
        <v>0</v>
      </c>
    </row>
    <row r="110" spans="2:38">
      <c r="D110" s="1074" t="s">
        <v>1497</v>
      </c>
      <c r="E110" s="1072">
        <f>+SUM(E111:E113)</f>
        <v>14079749832</v>
      </c>
      <c r="F110" s="1071">
        <f>+SUM(F111:F113)</f>
        <v>12799515012</v>
      </c>
      <c r="G110" s="1383">
        <f>+SUM(G111:G113)</f>
        <v>389424727</v>
      </c>
      <c r="H110" s="1070">
        <f>+SUM(H111:H113)</f>
        <v>433219224</v>
      </c>
      <c r="I110" s="1393">
        <f t="shared" ref="I110:I126" si="110">+SUM(F110:H110)</f>
        <v>13622158963</v>
      </c>
      <c r="J110" s="1071">
        <f>+SUM(J111:J113)</f>
        <v>457590869</v>
      </c>
      <c r="K110" s="1070">
        <f>+SUM(K111:K113)</f>
        <v>0</v>
      </c>
      <c r="L110" s="1069">
        <f t="shared" si="106"/>
        <v>457590869</v>
      </c>
      <c r="M110" s="1068">
        <f t="shared" ref="M110:M126" si="111">E110-SUM(I110,L110)</f>
        <v>0</v>
      </c>
      <c r="N110" s="1074" t="s">
        <v>1497</v>
      </c>
      <c r="O110" s="1172">
        <f>+SUM(O111:O113)</f>
        <v>13869351636</v>
      </c>
      <c r="P110" s="1171">
        <f>+SUM(P111:P113)</f>
        <v>12635120631</v>
      </c>
      <c r="Q110" s="1377">
        <f>+SUM(Q111:Q113)</f>
        <v>373974736</v>
      </c>
      <c r="R110" s="1170">
        <f>+SUM(R111:R113)</f>
        <v>410253512</v>
      </c>
      <c r="S110" s="1172">
        <f t="shared" si="107"/>
        <v>13419348879</v>
      </c>
      <c r="T110" s="1171">
        <f>+SUM(T111:T113)</f>
        <v>450002757</v>
      </c>
      <c r="U110" s="1170">
        <f>+SUM(U111:U113)</f>
        <v>0</v>
      </c>
      <c r="V110" s="1169">
        <f t="shared" si="108"/>
        <v>450002757</v>
      </c>
      <c r="W110" s="1073">
        <f t="shared" ref="W110:W126" si="112">O110-SUM(S110,V110)</f>
        <v>0</v>
      </c>
      <c r="X110" s="1074" t="s">
        <v>1497</v>
      </c>
      <c r="Y110" s="1073">
        <f>+SUM(Y111:Y113)</f>
        <v>14077575019</v>
      </c>
      <c r="Z110" s="1068">
        <f>+SUM(Z111:Z113)</f>
        <v>207718222</v>
      </c>
      <c r="AA110" s="1068">
        <f>+SUM(AA111:AA113)</f>
        <v>2206794</v>
      </c>
      <c r="AB110" s="1068">
        <f>+O110+Z110+AA110</f>
        <v>14079276652</v>
      </c>
      <c r="AC110" s="1068">
        <f>+SUM(AC111:AC113)</f>
        <v>473180</v>
      </c>
      <c r="AD110" s="1072">
        <f>+SUM(AD111:AD113)</f>
        <v>210398196</v>
      </c>
      <c r="AE110" s="1071">
        <f>+SUM(AE111:AE113)</f>
        <v>164394381</v>
      </c>
      <c r="AF110" s="1383">
        <f>+SUM(AF111:AF113)</f>
        <v>15449991</v>
      </c>
      <c r="AG110" s="1070">
        <f>+SUM(AG111:AG113)</f>
        <v>22965712</v>
      </c>
      <c r="AH110" s="1393">
        <f t="shared" ref="AH110:AH128" si="113">+SUM(AE110:AG110)</f>
        <v>202810084</v>
      </c>
      <c r="AI110" s="1071">
        <f>+SUM(AI111:AI113)</f>
        <v>7588112</v>
      </c>
      <c r="AJ110" s="1070">
        <f>+SUM(AJ111:AJ113)</f>
        <v>0</v>
      </c>
      <c r="AK110" s="1069">
        <f t="shared" si="109"/>
        <v>7588112</v>
      </c>
      <c r="AL110" s="1068">
        <f t="shared" ref="AL110:AL137" si="114">AD110-SUM(AH110,AK110)</f>
        <v>0</v>
      </c>
    </row>
    <row r="111" spans="2:38">
      <c r="D111" s="1030" t="s">
        <v>1472</v>
      </c>
      <c r="E111" s="1062">
        <f>+SUM(I111,L111)</f>
        <v>3591522898</v>
      </c>
      <c r="F111" s="1067">
        <f>+P111+AE111+AE137</f>
        <v>2796583853</v>
      </c>
      <c r="G111" s="1389">
        <f>+Q111+AF111+AF137</f>
        <v>266973533</v>
      </c>
      <c r="H111" s="1065">
        <f>+R111+AG111+AG137</f>
        <v>396844066</v>
      </c>
      <c r="I111" s="1062">
        <f t="shared" si="110"/>
        <v>3460401452</v>
      </c>
      <c r="J111" s="1066">
        <f>+T111+AI111+AI137</f>
        <v>131121446</v>
      </c>
      <c r="K111" s="1065">
        <f>IF(U131&lt;0,IF(SUM(U131:U133,-U125)&gt;=0,U111+AJ111,U111+AJ111+AJ135+AJ137),0)</f>
        <v>0</v>
      </c>
      <c r="L111" s="1057">
        <f t="shared" si="106"/>
        <v>131121446</v>
      </c>
      <c r="M111" s="1056">
        <f t="shared" si="111"/>
        <v>0</v>
      </c>
      <c r="N111" s="1030" t="s">
        <v>1472</v>
      </c>
      <c r="O111" s="1029">
        <f>+SUM(S111,V111)</f>
        <v>3383678341</v>
      </c>
      <c r="P111" s="1037">
        <f>+P47-P98-SUM(P116:P118,P126)</f>
        <v>2634743111</v>
      </c>
      <c r="Q111" s="1378">
        <f>+Q47-Q98-SUM(Q116:Q118,Q126)</f>
        <v>251523542</v>
      </c>
      <c r="R111" s="1027">
        <f>+R47-R98-SUM(R116:R118,R126)</f>
        <v>373878354</v>
      </c>
      <c r="S111" s="1029">
        <f t="shared" si="107"/>
        <v>3260145007</v>
      </c>
      <c r="T111" s="1037">
        <f>+T47-T98-SUM(T116:T118,T126)</f>
        <v>123533334</v>
      </c>
      <c r="U111" s="1036">
        <f>+IF(OR(U134&gt;=0,U131&gt;=0),0,-U131)</f>
        <v>0</v>
      </c>
      <c r="V111" s="1026">
        <f t="shared" si="108"/>
        <v>123533334</v>
      </c>
      <c r="W111" s="1025">
        <f t="shared" si="112"/>
        <v>0</v>
      </c>
      <c r="X111" s="1030" t="s">
        <v>1472</v>
      </c>
      <c r="Y111" s="1035">
        <f>+E47-K47-(E98-K98)-SUM(Y116:Y118,Y126)+IF(Y141&gt;0,0,-Y141-U112-U113)</f>
        <v>3589122251</v>
      </c>
      <c r="Z111" s="1064">
        <f>+Z130-SUM(Z112:Z113,Z116:Z120,Z128)</f>
        <v>205191428</v>
      </c>
      <c r="AA111" s="1064">
        <f>+AA130-SUM(AA112:AA113,AA116:AA120,AA128)</f>
        <v>2179949</v>
      </c>
      <c r="AB111" s="1056">
        <f>+O111+Z111+AA111</f>
        <v>3591049718</v>
      </c>
      <c r="AC111" s="1064">
        <f>-SUM(AC112:AC113,AC116:AC120)</f>
        <v>473180</v>
      </c>
      <c r="AD111" s="1155">
        <f>+AD130-SUM(AD112:AD113,AD116:AD120,AD128)</f>
        <v>207844557</v>
      </c>
      <c r="AE111" s="1061">
        <f t="shared" ref="AE111:AG112" si="115">+IFERROR(ROUND($AD111*P111/$O111,0),0)</f>
        <v>161840742</v>
      </c>
      <c r="AF111" s="1380">
        <f t="shared" si="115"/>
        <v>15449991</v>
      </c>
      <c r="AG111" s="1043">
        <f t="shared" si="115"/>
        <v>22965712</v>
      </c>
      <c r="AH111" s="1062">
        <f t="shared" si="113"/>
        <v>200256445</v>
      </c>
      <c r="AI111" s="1058">
        <f>+IFERROR(ROUND($AD111*T111/$O111,0),0)</f>
        <v>7588112</v>
      </c>
      <c r="AJ111" s="1043">
        <f>+IFERROR(ROUND($AD111*U111/$O111,0),0)</f>
        <v>0</v>
      </c>
      <c r="AK111" s="1057">
        <f t="shared" si="109"/>
        <v>7588112</v>
      </c>
      <c r="AL111" s="1056">
        <f t="shared" si="114"/>
        <v>0</v>
      </c>
    </row>
    <row r="112" spans="2:38">
      <c r="D112" s="1030" t="s">
        <v>1470</v>
      </c>
      <c r="E112" s="1062">
        <f>+SUM(I112,L112)</f>
        <v>8476549651</v>
      </c>
      <c r="F112" s="1061">
        <f>+P112+AE112</f>
        <v>8342951272</v>
      </c>
      <c r="G112" s="1380">
        <f>+Q112+AF112</f>
        <v>122451194</v>
      </c>
      <c r="H112" s="1043">
        <f>+R112+AG112</f>
        <v>0</v>
      </c>
      <c r="I112" s="1062">
        <f>+SUM(F112:H112)</f>
        <v>8465402466</v>
      </c>
      <c r="J112" s="1058">
        <f>+T112+AI112</f>
        <v>11147185</v>
      </c>
      <c r="K112" s="1043">
        <f>IF(U131&lt;0,U112+AJ112,U112+AJ112+IF(SUM(U131:U133,-U125)&gt;=0,U111+AJ111,U111+AJ111+AJ135+AJ137))</f>
        <v>0</v>
      </c>
      <c r="L112" s="1057">
        <f t="shared" si="106"/>
        <v>11147185</v>
      </c>
      <c r="M112" s="1056">
        <f t="shared" si="111"/>
        <v>0</v>
      </c>
      <c r="N112" s="1030" t="s">
        <v>1470</v>
      </c>
      <c r="O112" s="1029">
        <f>+SUM(S112,V112)</f>
        <v>8476549651</v>
      </c>
      <c r="P112" s="1028">
        <f>+P48-P99-P113</f>
        <v>8342951272</v>
      </c>
      <c r="Q112" s="1379">
        <f>+Q48-Q99-Q113</f>
        <v>122451194</v>
      </c>
      <c r="R112" s="1027">
        <f>+R48-R99-R113</f>
        <v>0</v>
      </c>
      <c r="S112" s="1029">
        <f t="shared" si="107"/>
        <v>8465402466</v>
      </c>
      <c r="T112" s="1028">
        <f>+T48-T99-T113</f>
        <v>11147185</v>
      </c>
      <c r="U112" s="1027">
        <f>+IF(U134&gt;=0,0,IF(U131&gt;0,-(ROUND(U131*U132/(U132+U133),0)+U132),-U132))</f>
        <v>0</v>
      </c>
      <c r="V112" s="1026">
        <f t="shared" si="108"/>
        <v>11147185</v>
      </c>
      <c r="W112" s="1025">
        <f t="shared" si="112"/>
        <v>0</v>
      </c>
      <c r="X112" s="1030" t="s">
        <v>1470</v>
      </c>
      <c r="Y112" s="1025">
        <f>+E48-K48-(E99-K99)-((E37-K37)-(E88-K88)+(E38-K38)-(E89-K89))+IF(U134&lt;0,U112,0)</f>
        <v>8476549651</v>
      </c>
      <c r="Z112" s="1056">
        <f>+'3条収入'!AH12</f>
        <v>0</v>
      </c>
      <c r="AA112" s="1056">
        <f>+ROUND($AA$130*$Z112/$Z$130,0)</f>
        <v>0</v>
      </c>
      <c r="AB112" s="1056">
        <f>+O112+Z112+AA112</f>
        <v>8476549651</v>
      </c>
      <c r="AC112" s="1056">
        <f>+IF((Y112-AB112)&lt;0,(Y112-AB112),0)</f>
        <v>0</v>
      </c>
      <c r="AD112" s="1059">
        <f>+IF(AC112&lt;0,SUM(Z112:AA112,AC112),SUM(Z112:AA112))</f>
        <v>0</v>
      </c>
      <c r="AE112" s="1061">
        <f>+IFERROR(ROUND($AD112*P112/$O112,0),0)</f>
        <v>0</v>
      </c>
      <c r="AF112" s="1380">
        <f t="shared" si="115"/>
        <v>0</v>
      </c>
      <c r="AG112" s="1043">
        <f t="shared" si="115"/>
        <v>0</v>
      </c>
      <c r="AH112" s="1062">
        <f t="shared" si="113"/>
        <v>0</v>
      </c>
      <c r="AI112" s="1058">
        <f>+IFERROR(ROUND($AD112*T112/$O112,0),0)</f>
        <v>0</v>
      </c>
      <c r="AJ112" s="1043">
        <f>+IFERROR(ROUND($AD112*U112/$O112,0),0)</f>
        <v>0</v>
      </c>
      <c r="AK112" s="1057">
        <f t="shared" si="109"/>
        <v>0</v>
      </c>
      <c r="AL112" s="1056">
        <f t="shared" si="114"/>
        <v>0</v>
      </c>
    </row>
    <row r="113" spans="4:38">
      <c r="D113" s="1030" t="s">
        <v>1469</v>
      </c>
      <c r="E113" s="1025">
        <f>+SUM(E114:E115)</f>
        <v>2011677283</v>
      </c>
      <c r="F113" s="1040">
        <f>+SUM(F114:F115)</f>
        <v>1659979887</v>
      </c>
      <c r="G113" s="1379">
        <f>+SUM(G114:G115)</f>
        <v>0</v>
      </c>
      <c r="H113" s="1043">
        <f>+SUM(H114:H115)</f>
        <v>36375158</v>
      </c>
      <c r="I113" s="1062">
        <f t="shared" si="110"/>
        <v>1696355045</v>
      </c>
      <c r="J113" s="1058">
        <f>+SUM(J114:J115)</f>
        <v>315322238</v>
      </c>
      <c r="K113" s="1043">
        <f>+SUM(K114:K115)</f>
        <v>0</v>
      </c>
      <c r="L113" s="1057">
        <f t="shared" si="106"/>
        <v>315322238</v>
      </c>
      <c r="M113" s="1056">
        <f t="shared" si="111"/>
        <v>0</v>
      </c>
      <c r="N113" s="1030" t="s">
        <v>1469</v>
      </c>
      <c r="O113" s="1029">
        <f>+SUM(O114:O115)</f>
        <v>2009123644</v>
      </c>
      <c r="P113" s="1028">
        <f>+SUM(P114:P115)</f>
        <v>1657426248</v>
      </c>
      <c r="Q113" s="1379">
        <f>+SUM(Q114:Q115)</f>
        <v>0</v>
      </c>
      <c r="R113" s="1043">
        <f>+SUM(R114:R115)</f>
        <v>36375158</v>
      </c>
      <c r="S113" s="1029">
        <f t="shared" si="107"/>
        <v>1693801406</v>
      </c>
      <c r="T113" s="1028">
        <f>+SUM(T114:T115)</f>
        <v>315322238</v>
      </c>
      <c r="U113" s="1027">
        <f>+SUM(U114:U115)</f>
        <v>0</v>
      </c>
      <c r="V113" s="1026">
        <f t="shared" si="108"/>
        <v>315322238</v>
      </c>
      <c r="W113" s="1025">
        <f t="shared" si="112"/>
        <v>0</v>
      </c>
      <c r="X113" s="1030" t="s">
        <v>1469</v>
      </c>
      <c r="Y113" s="1025">
        <f>+SUM(Y114:Y115)</f>
        <v>2011903117</v>
      </c>
      <c r="Z113" s="1025">
        <f t="shared" ref="Z113:AF113" si="116">+SUM(Z114:Z115)</f>
        <v>2526794</v>
      </c>
      <c r="AA113" s="1056">
        <f t="shared" si="116"/>
        <v>26845</v>
      </c>
      <c r="AB113" s="1025">
        <f t="shared" si="116"/>
        <v>2011677283</v>
      </c>
      <c r="AC113" s="1025">
        <f t="shared" si="116"/>
        <v>0</v>
      </c>
      <c r="AD113" s="1025">
        <f t="shared" si="116"/>
        <v>2553639</v>
      </c>
      <c r="AE113" s="1040">
        <f t="shared" si="116"/>
        <v>2553639</v>
      </c>
      <c r="AF113" s="1379">
        <f t="shared" si="116"/>
        <v>0</v>
      </c>
      <c r="AG113" s="1043">
        <f>+SUM(AG114:AG115)</f>
        <v>0</v>
      </c>
      <c r="AH113" s="1062">
        <f t="shared" si="113"/>
        <v>2553639</v>
      </c>
      <c r="AI113" s="1058">
        <f>+SUM(AI114:AI115)</f>
        <v>0</v>
      </c>
      <c r="AJ113" s="1043">
        <f>+SUM(AJ114:AJ115)</f>
        <v>0</v>
      </c>
      <c r="AK113" s="1057">
        <f t="shared" si="109"/>
        <v>0</v>
      </c>
      <c r="AL113" s="1056">
        <f t="shared" si="114"/>
        <v>0</v>
      </c>
    </row>
    <row r="114" spans="4:38">
      <c r="D114" s="1030" t="s">
        <v>1488</v>
      </c>
      <c r="E114" s="1062">
        <f>+SUM(I114,L114)</f>
        <v>1981328911</v>
      </c>
      <c r="F114" s="1061">
        <f t="shared" ref="F114:H118" si="117">+P114+AE114</f>
        <v>1629631515</v>
      </c>
      <c r="G114" s="1380">
        <f t="shared" si="117"/>
        <v>0</v>
      </c>
      <c r="H114" s="1043">
        <f t="shared" si="117"/>
        <v>36375158</v>
      </c>
      <c r="I114" s="1062">
        <f t="shared" si="110"/>
        <v>1666006673</v>
      </c>
      <c r="J114" s="1058">
        <f t="shared" ref="J114:K118" si="118">+T114+AI114</f>
        <v>315322238</v>
      </c>
      <c r="K114" s="1043">
        <f t="shared" si="118"/>
        <v>0</v>
      </c>
      <c r="L114" s="1057">
        <f t="shared" si="106"/>
        <v>315322238</v>
      </c>
      <c r="M114" s="1056">
        <f t="shared" si="111"/>
        <v>0</v>
      </c>
      <c r="N114" s="1030" t="s">
        <v>1488</v>
      </c>
      <c r="O114" s="1029">
        <f>+SUM(S114,V114)</f>
        <v>1981328911</v>
      </c>
      <c r="P114" s="1028">
        <f t="shared" ref="P114:R115" si="119">+P37-P88</f>
        <v>1629631515</v>
      </c>
      <c r="Q114" s="1379">
        <f t="shared" si="119"/>
        <v>0</v>
      </c>
      <c r="R114" s="1043">
        <f t="shared" si="119"/>
        <v>36375158</v>
      </c>
      <c r="S114" s="1029">
        <f t="shared" si="107"/>
        <v>1666006673</v>
      </c>
      <c r="T114" s="1028">
        <f>+T37-T88</f>
        <v>315322238</v>
      </c>
      <c r="U114" s="1027">
        <f>+IF(U134&gt;=0,0,IF(U131&gt;0,-(ROUND(U131*U133/(U133+U132),0)+U133),-U133))</f>
        <v>0</v>
      </c>
      <c r="V114" s="1026">
        <f t="shared" si="108"/>
        <v>315322238</v>
      </c>
      <c r="W114" s="1025">
        <f t="shared" si="112"/>
        <v>0</v>
      </c>
      <c r="X114" s="1030" t="s">
        <v>1488</v>
      </c>
      <c r="Y114" s="1025">
        <f>+(E37-K37)-(E88-K88)+IF(U134&lt;0,U114,0)</f>
        <v>1981328911</v>
      </c>
      <c r="Z114" s="1056"/>
      <c r="AA114" s="1056">
        <f>+ROUND($AA$130*$Z114/$Z$130,0)</f>
        <v>0</v>
      </c>
      <c r="AB114" s="1056">
        <f>+O114+Z114+AA114</f>
        <v>1981328911</v>
      </c>
      <c r="AC114" s="1056">
        <f>+IF((Y114-AB114)&lt;0,(Y114-AB114),0)</f>
        <v>0</v>
      </c>
      <c r="AD114" s="1059">
        <f>+IF(AC114&lt;0,SUM(Z114:AA114,AC114),SUM(Z114:AA114))</f>
        <v>0</v>
      </c>
      <c r="AE114" s="1061">
        <f t="shared" ref="AE114:AG118" si="120">+IFERROR(ROUND($AD114*P114/$O114,0),0)</f>
        <v>0</v>
      </c>
      <c r="AF114" s="1380">
        <f t="shared" si="120"/>
        <v>0</v>
      </c>
      <c r="AG114" s="1043">
        <f t="shared" si="120"/>
        <v>0</v>
      </c>
      <c r="AH114" s="1062">
        <f t="shared" si="113"/>
        <v>0</v>
      </c>
      <c r="AI114" s="1058">
        <f t="shared" ref="AI114:AJ118" si="121">+IFERROR(ROUND($AD114*T114/$O114,0),0)</f>
        <v>0</v>
      </c>
      <c r="AJ114" s="1043">
        <f t="shared" si="121"/>
        <v>0</v>
      </c>
      <c r="AK114" s="1057">
        <f t="shared" si="109"/>
        <v>0</v>
      </c>
      <c r="AL114" s="1056">
        <f t="shared" si="114"/>
        <v>0</v>
      </c>
    </row>
    <row r="115" spans="4:38">
      <c r="D115" s="1063" t="s">
        <v>1486</v>
      </c>
      <c r="E115" s="1062">
        <f>+SUM(I115,L115)</f>
        <v>30348372</v>
      </c>
      <c r="F115" s="1061">
        <f t="shared" si="117"/>
        <v>30348372</v>
      </c>
      <c r="G115" s="1380">
        <f t="shared" si="117"/>
        <v>0</v>
      </c>
      <c r="H115" s="1043">
        <f t="shared" si="117"/>
        <v>0</v>
      </c>
      <c r="I115" s="1062">
        <f t="shared" si="110"/>
        <v>30348372</v>
      </c>
      <c r="J115" s="1058">
        <f t="shared" si="118"/>
        <v>0</v>
      </c>
      <c r="K115" s="1043">
        <f t="shared" si="118"/>
        <v>0</v>
      </c>
      <c r="L115" s="1057">
        <f t="shared" si="106"/>
        <v>0</v>
      </c>
      <c r="M115" s="1056">
        <f t="shared" si="111"/>
        <v>0</v>
      </c>
      <c r="N115" s="1063" t="s">
        <v>1486</v>
      </c>
      <c r="O115" s="1029">
        <f t="shared" ref="O115:O118" si="122">+SUM(S115,V115)</f>
        <v>27794733</v>
      </c>
      <c r="P115" s="1028">
        <f t="shared" si="119"/>
        <v>27794733</v>
      </c>
      <c r="Q115" s="1379">
        <f t="shared" si="119"/>
        <v>0</v>
      </c>
      <c r="R115" s="1043">
        <f t="shared" si="119"/>
        <v>0</v>
      </c>
      <c r="S115" s="1029">
        <f t="shared" si="107"/>
        <v>27794733</v>
      </c>
      <c r="T115" s="1028">
        <f>+T38-T89</f>
        <v>0</v>
      </c>
      <c r="U115" s="1027"/>
      <c r="V115" s="1026">
        <f t="shared" si="108"/>
        <v>0</v>
      </c>
      <c r="W115" s="1025">
        <f t="shared" si="112"/>
        <v>0</v>
      </c>
      <c r="X115" s="1063" t="s">
        <v>1486</v>
      </c>
      <c r="Y115" s="1025">
        <f>+(E38-K38)-(E89-K89)+IF(U134&lt;0,U115,0)</f>
        <v>30574206</v>
      </c>
      <c r="Z115" s="1056">
        <f>+'3条収入'!AH13</f>
        <v>2526794</v>
      </c>
      <c r="AA115" s="1056">
        <f>+ROUND($AA$130*$Z115/$Z$130,0)</f>
        <v>26845</v>
      </c>
      <c r="AB115" s="1056">
        <f>+O115+Z115+AA115</f>
        <v>30348372</v>
      </c>
      <c r="AC115" s="1056">
        <f>+IF((Y115-AB115)&lt;0,(Y115-AB115),0)</f>
        <v>0</v>
      </c>
      <c r="AD115" s="1059">
        <f>+IF(AC115&lt;0,SUM(Z115:AA115,AC115),SUM(Z115:AA115))</f>
        <v>2553639</v>
      </c>
      <c r="AE115" s="1061">
        <f t="shared" si="120"/>
        <v>2553639</v>
      </c>
      <c r="AF115" s="1380">
        <f t="shared" si="120"/>
        <v>0</v>
      </c>
      <c r="AG115" s="1043">
        <f t="shared" si="120"/>
        <v>0</v>
      </c>
      <c r="AH115" s="1062">
        <f t="shared" si="113"/>
        <v>2553639</v>
      </c>
      <c r="AI115" s="1058">
        <f t="shared" si="121"/>
        <v>0</v>
      </c>
      <c r="AJ115" s="1043">
        <f t="shared" si="121"/>
        <v>0</v>
      </c>
      <c r="AK115" s="1057">
        <f t="shared" si="109"/>
        <v>0</v>
      </c>
      <c r="AL115" s="1056">
        <f t="shared" si="114"/>
        <v>0</v>
      </c>
    </row>
    <row r="116" spans="4:38">
      <c r="D116" s="1030" t="s">
        <v>1484</v>
      </c>
      <c r="E116" s="1062">
        <f>+SUM(I116,L116)</f>
        <v>52443869</v>
      </c>
      <c r="F116" s="1061">
        <f t="shared" si="117"/>
        <v>0</v>
      </c>
      <c r="G116" s="1380">
        <f t="shared" si="117"/>
        <v>0</v>
      </c>
      <c r="H116" s="1043">
        <f t="shared" si="117"/>
        <v>0</v>
      </c>
      <c r="I116" s="1062">
        <f t="shared" si="110"/>
        <v>0</v>
      </c>
      <c r="J116" s="1058">
        <f t="shared" si="118"/>
        <v>52443869</v>
      </c>
      <c r="K116" s="1043">
        <f t="shared" si="118"/>
        <v>0</v>
      </c>
      <c r="L116" s="1057">
        <f t="shared" si="106"/>
        <v>52443869</v>
      </c>
      <c r="M116" s="1056">
        <f t="shared" si="111"/>
        <v>0</v>
      </c>
      <c r="N116" s="1030" t="s">
        <v>1484</v>
      </c>
      <c r="O116" s="1029">
        <f t="shared" si="122"/>
        <v>51313295</v>
      </c>
      <c r="P116" s="1028">
        <f>+P8</f>
        <v>0</v>
      </c>
      <c r="Q116" s="1379">
        <f>+Q8</f>
        <v>0</v>
      </c>
      <c r="R116" s="1027">
        <f>+R8</f>
        <v>0</v>
      </c>
      <c r="S116" s="1029">
        <f t="shared" ref="S116:S118" si="123">+SUM(P116:R116)</f>
        <v>0</v>
      </c>
      <c r="T116" s="1028">
        <f>+T8</f>
        <v>51313295</v>
      </c>
      <c r="U116" s="1027"/>
      <c r="V116" s="1026">
        <f t="shared" si="108"/>
        <v>51313295</v>
      </c>
      <c r="W116" s="1025">
        <f t="shared" si="112"/>
        <v>0</v>
      </c>
      <c r="X116" s="1030" t="s">
        <v>1484</v>
      </c>
      <c r="Y116" s="1025">
        <f>+E8-K8</f>
        <v>52443869</v>
      </c>
      <c r="Z116" s="1056">
        <f>+'3条収入'!AH14</f>
        <v>1106201</v>
      </c>
      <c r="AA116" s="1056">
        <f>+ROUND($AA$130*$Z116/$Z$130,0)</f>
        <v>11752</v>
      </c>
      <c r="AB116" s="1056">
        <f>+O116+Z116+AA116</f>
        <v>52431248</v>
      </c>
      <c r="AC116" s="1064">
        <f>Y116-AB116</f>
        <v>12621</v>
      </c>
      <c r="AD116" s="1128">
        <f>SUM(Z116:AA116,AC116)</f>
        <v>1130574</v>
      </c>
      <c r="AE116" s="1061">
        <f t="shared" si="120"/>
        <v>0</v>
      </c>
      <c r="AF116" s="1380">
        <f t="shared" si="120"/>
        <v>0</v>
      </c>
      <c r="AG116" s="1043">
        <f t="shared" si="120"/>
        <v>0</v>
      </c>
      <c r="AH116" s="1062">
        <f t="shared" si="113"/>
        <v>0</v>
      </c>
      <c r="AI116" s="1058">
        <f>+IFERROR(ROUND($AD116*T116/$O116,0),0)</f>
        <v>1130574</v>
      </c>
      <c r="AJ116" s="1043">
        <f t="shared" si="121"/>
        <v>0</v>
      </c>
      <c r="AK116" s="1057">
        <f t="shared" si="109"/>
        <v>1130574</v>
      </c>
      <c r="AL116" s="1056">
        <f t="shared" si="114"/>
        <v>0</v>
      </c>
    </row>
    <row r="117" spans="4:38">
      <c r="D117" s="1030" t="s">
        <v>1481</v>
      </c>
      <c r="E117" s="1062">
        <f>+SUM(I117,L117)</f>
        <v>44424775</v>
      </c>
      <c r="F117" s="1061">
        <f t="shared" si="117"/>
        <v>0</v>
      </c>
      <c r="G117" s="1380">
        <f t="shared" si="117"/>
        <v>0</v>
      </c>
      <c r="H117" s="1043">
        <f t="shared" si="117"/>
        <v>0</v>
      </c>
      <c r="I117" s="1062">
        <f t="shared" si="110"/>
        <v>0</v>
      </c>
      <c r="J117" s="1058">
        <f t="shared" si="118"/>
        <v>44424775</v>
      </c>
      <c r="K117" s="1043">
        <f t="shared" si="118"/>
        <v>0</v>
      </c>
      <c r="L117" s="1057">
        <f t="shared" si="106"/>
        <v>44424775</v>
      </c>
      <c r="M117" s="1056">
        <f t="shared" si="111"/>
        <v>0</v>
      </c>
      <c r="N117" s="1030" t="s">
        <v>1481</v>
      </c>
      <c r="O117" s="1029">
        <f t="shared" si="122"/>
        <v>43567026</v>
      </c>
      <c r="P117" s="1028">
        <f t="shared" ref="P117:R118" si="124">+P12</f>
        <v>0</v>
      </c>
      <c r="Q117" s="1379">
        <f t="shared" si="124"/>
        <v>0</v>
      </c>
      <c r="R117" s="1027">
        <f t="shared" si="124"/>
        <v>0</v>
      </c>
      <c r="S117" s="1029">
        <f t="shared" si="123"/>
        <v>0</v>
      </c>
      <c r="T117" s="1028">
        <f>+T12</f>
        <v>43567026</v>
      </c>
      <c r="U117" s="1027"/>
      <c r="V117" s="1026">
        <f t="shared" si="108"/>
        <v>43567026</v>
      </c>
      <c r="W117" s="1025">
        <f t="shared" si="112"/>
        <v>0</v>
      </c>
      <c r="X117" s="1030" t="s">
        <v>1530</v>
      </c>
      <c r="Y117" s="1025">
        <f>+E12-K12</f>
        <v>44424775</v>
      </c>
      <c r="Z117" s="1056">
        <f>+'3条収入'!AH15</f>
        <v>841187</v>
      </c>
      <c r="AA117" s="1056">
        <f>+ROUND($AA$130*$Z117/$Z$130,0)</f>
        <v>8937</v>
      </c>
      <c r="AB117" s="1056">
        <f>+O117+Z117+AA117</f>
        <v>44417150</v>
      </c>
      <c r="AC117" s="1064">
        <f>Y117-AB117</f>
        <v>7625</v>
      </c>
      <c r="AD117" s="1128">
        <f>SUM(Z117:AA117,AC117)</f>
        <v>857749</v>
      </c>
      <c r="AE117" s="1061">
        <f t="shared" si="120"/>
        <v>0</v>
      </c>
      <c r="AF117" s="1380">
        <f t="shared" si="120"/>
        <v>0</v>
      </c>
      <c r="AG117" s="1043">
        <f t="shared" si="120"/>
        <v>0</v>
      </c>
      <c r="AH117" s="1062">
        <f t="shared" si="113"/>
        <v>0</v>
      </c>
      <c r="AI117" s="1058">
        <f>+IFERROR(ROUND($AD117*T117/$O117,0),0)</f>
        <v>857749</v>
      </c>
      <c r="AJ117" s="1043">
        <f t="shared" si="121"/>
        <v>0</v>
      </c>
      <c r="AK117" s="1057">
        <f t="shared" si="109"/>
        <v>857749</v>
      </c>
      <c r="AL117" s="1056">
        <f t="shared" si="114"/>
        <v>0</v>
      </c>
    </row>
    <row r="118" spans="4:38">
      <c r="D118" s="1056" t="s">
        <v>1479</v>
      </c>
      <c r="E118" s="1062">
        <f>+SUM(I118,L118)</f>
        <v>10483859</v>
      </c>
      <c r="F118" s="1061">
        <f t="shared" si="117"/>
        <v>0</v>
      </c>
      <c r="G118" s="1380">
        <f t="shared" si="117"/>
        <v>0</v>
      </c>
      <c r="H118" s="1043">
        <f>+R118+AG118</f>
        <v>10483859</v>
      </c>
      <c r="I118" s="1062">
        <f t="shared" si="110"/>
        <v>10483859</v>
      </c>
      <c r="J118" s="1058">
        <f t="shared" si="118"/>
        <v>0</v>
      </c>
      <c r="K118" s="1043">
        <f t="shared" si="118"/>
        <v>0</v>
      </c>
      <c r="L118" s="1057">
        <f t="shared" si="106"/>
        <v>0</v>
      </c>
      <c r="M118" s="1056">
        <f t="shared" si="111"/>
        <v>0</v>
      </c>
      <c r="N118" s="1056" t="s">
        <v>1479</v>
      </c>
      <c r="O118" s="1029">
        <f t="shared" si="122"/>
        <v>10396270</v>
      </c>
      <c r="P118" s="1028">
        <f t="shared" si="124"/>
        <v>0</v>
      </c>
      <c r="Q118" s="1380">
        <f t="shared" si="124"/>
        <v>0</v>
      </c>
      <c r="R118" s="1043">
        <f t="shared" si="124"/>
        <v>10396270</v>
      </c>
      <c r="S118" s="1062">
        <f t="shared" si="123"/>
        <v>10396270</v>
      </c>
      <c r="T118" s="1058">
        <f>+T13</f>
        <v>0</v>
      </c>
      <c r="U118" s="1043"/>
      <c r="V118" s="1057">
        <f t="shared" si="108"/>
        <v>0</v>
      </c>
      <c r="W118" s="1025">
        <f t="shared" si="112"/>
        <v>0</v>
      </c>
      <c r="X118" s="1056" t="s">
        <v>1479</v>
      </c>
      <c r="Y118" s="1025">
        <f>+E13-K13</f>
        <v>10483859</v>
      </c>
      <c r="Z118" s="1056">
        <f>+'3条収入'!AH16</f>
        <v>86858</v>
      </c>
      <c r="AA118" s="1056">
        <f>+ROUND($AA$130*$Z118/$Z$130,0)</f>
        <v>923</v>
      </c>
      <c r="AB118" s="1056">
        <f>+O118+Z118+AA118</f>
        <v>10484051</v>
      </c>
      <c r="AC118" s="1064">
        <f>Y118-AB118</f>
        <v>-192</v>
      </c>
      <c r="AD118" s="1128">
        <f>SUM(Z118:AA118,AC118)</f>
        <v>87589</v>
      </c>
      <c r="AE118" s="1061">
        <f t="shared" si="120"/>
        <v>0</v>
      </c>
      <c r="AF118" s="1380">
        <f t="shared" si="120"/>
        <v>0</v>
      </c>
      <c r="AG118" s="1043">
        <f t="shared" si="120"/>
        <v>87589</v>
      </c>
      <c r="AH118" s="1062">
        <f t="shared" si="113"/>
        <v>87589</v>
      </c>
      <c r="AI118" s="1058">
        <f>+IFERROR(ROUND($AD118*T118/$O118,0),0)</f>
        <v>0</v>
      </c>
      <c r="AJ118" s="1043">
        <f t="shared" si="121"/>
        <v>0</v>
      </c>
      <c r="AK118" s="1057">
        <f t="shared" si="109"/>
        <v>0</v>
      </c>
      <c r="AL118" s="1056">
        <f t="shared" si="114"/>
        <v>0</v>
      </c>
    </row>
    <row r="119" spans="4:38">
      <c r="D119" s="1056"/>
      <c r="E119" s="1059"/>
      <c r="F119" s="1061"/>
      <c r="G119" s="1380"/>
      <c r="H119" s="1043"/>
      <c r="I119" s="1062"/>
      <c r="J119" s="1058"/>
      <c r="K119" s="1043"/>
      <c r="L119" s="1057"/>
      <c r="M119" s="1056"/>
      <c r="N119" s="1056"/>
      <c r="O119" s="1029"/>
      <c r="P119" s="1028"/>
      <c r="Q119" s="1380"/>
      <c r="R119" s="1043"/>
      <c r="S119" s="1062"/>
      <c r="T119" s="1058"/>
      <c r="U119" s="1043"/>
      <c r="V119" s="1057"/>
      <c r="W119" s="1025"/>
      <c r="X119" s="1056"/>
      <c r="Y119" s="1025"/>
      <c r="Z119" s="1056"/>
      <c r="AA119" s="1056"/>
      <c r="AB119" s="1056"/>
      <c r="AC119" s="1064"/>
      <c r="AD119" s="1059"/>
      <c r="AE119" s="1061"/>
      <c r="AF119" s="1380"/>
      <c r="AG119" s="1043"/>
      <c r="AH119" s="1062"/>
      <c r="AI119" s="1058"/>
      <c r="AJ119" s="1043"/>
      <c r="AK119" s="1057"/>
      <c r="AL119" s="1056"/>
    </row>
    <row r="120" spans="4:38">
      <c r="D120" s="1056" t="s">
        <v>1477</v>
      </c>
      <c r="E120" s="1059">
        <f>+SUM(E121,E126)</f>
        <v>9203253</v>
      </c>
      <c r="F120" s="1058">
        <f>+SUM(F121,F126)</f>
        <v>0</v>
      </c>
      <c r="G120" s="1380">
        <f>+SUM(G121,G126)</f>
        <v>0</v>
      </c>
      <c r="H120" s="1043">
        <f>+SUM(H121,H126)</f>
        <v>0</v>
      </c>
      <c r="I120" s="1062">
        <f t="shared" si="110"/>
        <v>0</v>
      </c>
      <c r="J120" s="1058">
        <f>+SUM(J121,J126)</f>
        <v>0</v>
      </c>
      <c r="K120" s="1043">
        <f>+SUM(K121,K126)</f>
        <v>9203253</v>
      </c>
      <c r="L120" s="1057">
        <f t="shared" si="106"/>
        <v>9203253</v>
      </c>
      <c r="M120" s="1056">
        <f t="shared" si="111"/>
        <v>0</v>
      </c>
      <c r="N120" s="1056" t="s">
        <v>1477</v>
      </c>
      <c r="O120" s="1062">
        <f>+SUM(O121,O126)</f>
        <v>9203253</v>
      </c>
      <c r="P120" s="1058">
        <f>+SUM(P121,P126)</f>
        <v>0</v>
      </c>
      <c r="Q120" s="1380">
        <f>+SUM(Q121,Q126)</f>
        <v>0</v>
      </c>
      <c r="R120" s="1043">
        <f>+SUM(R121,R126)</f>
        <v>0</v>
      </c>
      <c r="S120" s="1062">
        <f>+SUM(P120:R120)</f>
        <v>0</v>
      </c>
      <c r="T120" s="1058">
        <f>+SUM(T121,T126)</f>
        <v>0</v>
      </c>
      <c r="U120" s="1043">
        <f>+SUM(U121,U126)</f>
        <v>9203253</v>
      </c>
      <c r="V120" s="1057">
        <f t="shared" si="108"/>
        <v>9203253</v>
      </c>
      <c r="W120" s="1025">
        <f t="shared" si="112"/>
        <v>0</v>
      </c>
      <c r="X120" s="1056" t="s">
        <v>1477</v>
      </c>
      <c r="Y120" s="1056">
        <f>+SUM(Y121,Y126)</f>
        <v>9203253</v>
      </c>
      <c r="Z120" s="1056">
        <f>+SUM(Z121,Z126)</f>
        <v>488049</v>
      </c>
      <c r="AA120" s="1056">
        <f>+SUM(AA121,AA126)</f>
        <v>5185</v>
      </c>
      <c r="AB120" s="1056">
        <f t="shared" ref="AB120:AB126" si="125">+O120+Z120+AA120</f>
        <v>9696487</v>
      </c>
      <c r="AC120" s="1056">
        <f>+SUM(AC121,AC126)</f>
        <v>-493234</v>
      </c>
      <c r="AD120" s="1059">
        <f>+SUM(AD121,AD126)</f>
        <v>0</v>
      </c>
      <c r="AE120" s="1058">
        <f>+SUM(AE121,AE126)</f>
        <v>0</v>
      </c>
      <c r="AF120" s="1380">
        <f>+SUM(AF121,AF126)</f>
        <v>0</v>
      </c>
      <c r="AG120" s="1043">
        <f>+SUM(AG121,AG126)</f>
        <v>0</v>
      </c>
      <c r="AH120" s="1062">
        <f t="shared" si="113"/>
        <v>0</v>
      </c>
      <c r="AI120" s="1058">
        <f>+SUM(AI121,AI126)</f>
        <v>0</v>
      </c>
      <c r="AJ120" s="1043">
        <f>+SUM(AJ121,AJ126)</f>
        <v>0</v>
      </c>
      <c r="AK120" s="1057">
        <f t="shared" si="109"/>
        <v>0</v>
      </c>
      <c r="AL120" s="1056">
        <f t="shared" si="114"/>
        <v>0</v>
      </c>
    </row>
    <row r="121" spans="4:38">
      <c r="D121" s="1056" t="s">
        <v>1475</v>
      </c>
      <c r="E121" s="1059">
        <f>+SUM(E122:E125)</f>
        <v>4980</v>
      </c>
      <c r="F121" s="1058">
        <f>+SUM(F122:F125)</f>
        <v>0</v>
      </c>
      <c r="G121" s="1380">
        <f>+SUM(G122:G125)</f>
        <v>0</v>
      </c>
      <c r="H121" s="1043">
        <f>+SUM(H122:H125)</f>
        <v>0</v>
      </c>
      <c r="I121" s="1062">
        <f t="shared" si="110"/>
        <v>0</v>
      </c>
      <c r="J121" s="1058">
        <f>+SUM(J122:J125)</f>
        <v>0</v>
      </c>
      <c r="K121" s="1043">
        <f>+SUM(K122:K125)</f>
        <v>4980</v>
      </c>
      <c r="L121" s="1057">
        <f t="shared" si="106"/>
        <v>4980</v>
      </c>
      <c r="M121" s="1056">
        <f t="shared" si="111"/>
        <v>0</v>
      </c>
      <c r="N121" s="1056" t="s">
        <v>1475</v>
      </c>
      <c r="O121" s="1062">
        <f>+SUM(O122:O125)</f>
        <v>4980</v>
      </c>
      <c r="P121" s="1058">
        <f>+SUM(P122:P125)</f>
        <v>0</v>
      </c>
      <c r="Q121" s="1380">
        <f>+SUM(Q122:Q125)</f>
        <v>0</v>
      </c>
      <c r="R121" s="1043">
        <f>+SUM(R122:R125)</f>
        <v>0</v>
      </c>
      <c r="S121" s="1062">
        <f>+SUM(P121:R121)</f>
        <v>0</v>
      </c>
      <c r="T121" s="1058">
        <f>+SUM(T122:T125)</f>
        <v>0</v>
      </c>
      <c r="U121" s="1043">
        <f>+SUM(U122:U125)</f>
        <v>4980</v>
      </c>
      <c r="V121" s="1057">
        <f t="shared" si="108"/>
        <v>4980</v>
      </c>
      <c r="W121" s="1025">
        <f t="shared" si="112"/>
        <v>0</v>
      </c>
      <c r="X121" s="1056" t="s">
        <v>1475</v>
      </c>
      <c r="Y121" s="1056">
        <f>+SUM(Y122:Y125)</f>
        <v>4980</v>
      </c>
      <c r="Z121" s="1056">
        <f>+SUM(Z122:Z125)</f>
        <v>0</v>
      </c>
      <c r="AA121" s="1056">
        <f>+SUM(AA122:AA125)</f>
        <v>0</v>
      </c>
      <c r="AB121" s="1056">
        <f t="shared" si="125"/>
        <v>4980</v>
      </c>
      <c r="AC121" s="1056">
        <f>+SUM(AC122:AC125)</f>
        <v>0</v>
      </c>
      <c r="AD121" s="1059">
        <f>+SUM(AD122:AD125)</f>
        <v>0</v>
      </c>
      <c r="AE121" s="1058">
        <f>+SUM(AE122:AE125)</f>
        <v>0</v>
      </c>
      <c r="AF121" s="1380">
        <f>+SUM(AF122:AF125)</f>
        <v>0</v>
      </c>
      <c r="AG121" s="1043">
        <f>+SUM(AG122:AG125)</f>
        <v>0</v>
      </c>
      <c r="AH121" s="1062">
        <f t="shared" si="113"/>
        <v>0</v>
      </c>
      <c r="AI121" s="1058">
        <f>+SUM(AI122:AI125)</f>
        <v>0</v>
      </c>
      <c r="AJ121" s="1043">
        <f>+SUM(AJ122:AJ125)</f>
        <v>0</v>
      </c>
      <c r="AK121" s="1057">
        <f t="shared" si="109"/>
        <v>0</v>
      </c>
      <c r="AL121" s="1056">
        <f t="shared" si="114"/>
        <v>0</v>
      </c>
    </row>
    <row r="122" spans="4:38">
      <c r="D122" s="1030" t="s">
        <v>1472</v>
      </c>
      <c r="E122" s="1062">
        <f>+SUM(I122,L122)</f>
        <v>0</v>
      </c>
      <c r="F122" s="1058">
        <f t="shared" ref="F122:H126" si="126">+P122+AE122</f>
        <v>0</v>
      </c>
      <c r="G122" s="1380">
        <f t="shared" si="126"/>
        <v>0</v>
      </c>
      <c r="H122" s="1043">
        <f t="shared" si="126"/>
        <v>0</v>
      </c>
      <c r="I122" s="1062">
        <f t="shared" si="110"/>
        <v>0</v>
      </c>
      <c r="J122" s="1058">
        <f>+T122+AI122</f>
        <v>0</v>
      </c>
      <c r="K122" s="1065">
        <f>+U122+AJ122+IF(SUM(U131:U133,-U125)&gt;=0,U111+AJ111,U111+AJ111+AJ135+AJ137)</f>
        <v>0</v>
      </c>
      <c r="L122" s="1057">
        <f t="shared" si="106"/>
        <v>0</v>
      </c>
      <c r="M122" s="1056">
        <f t="shared" si="111"/>
        <v>0</v>
      </c>
      <c r="N122" s="1030" t="s">
        <v>1472</v>
      </c>
      <c r="O122" s="1029">
        <f t="shared" ref="O122:O126" si="127">+SUM(S122,V122)</f>
        <v>0</v>
      </c>
      <c r="P122" s="1028"/>
      <c r="Q122" s="1379"/>
      <c r="R122" s="1027"/>
      <c r="S122" s="1029">
        <f>+SUM(P122:R122)</f>
        <v>0</v>
      </c>
      <c r="T122" s="1028"/>
      <c r="U122" s="1065">
        <f>-IF($U$134=0,0,IF($U$131&gt;0,0,U131))</f>
        <v>0</v>
      </c>
      <c r="V122" s="1026">
        <f t="shared" si="108"/>
        <v>0</v>
      </c>
      <c r="W122" s="1025">
        <f t="shared" si="112"/>
        <v>0</v>
      </c>
      <c r="X122" s="1030" t="s">
        <v>1472</v>
      </c>
      <c r="Y122" s="1064">
        <f>-IF($Y$141=0,0,IF($Y$138&gt;0,0,Y138))</f>
        <v>0</v>
      </c>
      <c r="Z122" s="1056">
        <f>+'3条収入'!AH44</f>
        <v>0</v>
      </c>
      <c r="AA122" s="1056">
        <f>+ROUND($AA$130*$Z122/$Z$130,0)</f>
        <v>0</v>
      </c>
      <c r="AB122" s="1056">
        <f t="shared" si="125"/>
        <v>0</v>
      </c>
      <c r="AC122" s="1056">
        <f>+IF((Y122-AB122)&lt;0,(Y122-AB122),0)</f>
        <v>0</v>
      </c>
      <c r="AD122" s="1059">
        <f>+IF(AC122&lt;0,SUM(Z122:AA122,AC122),SUM(Z122:AA122))</f>
        <v>0</v>
      </c>
      <c r="AE122" s="1061">
        <f t="shared" ref="AE122:AG126" si="128">+IFERROR(ROUND($AD122*P122/$O122,0),0)</f>
        <v>0</v>
      </c>
      <c r="AF122" s="1380">
        <f t="shared" si="128"/>
        <v>0</v>
      </c>
      <c r="AG122" s="1043">
        <f t="shared" si="128"/>
        <v>0</v>
      </c>
      <c r="AH122" s="1062">
        <f t="shared" si="113"/>
        <v>0</v>
      </c>
      <c r="AI122" s="1058">
        <f t="shared" ref="AI122:AJ126" si="129">+IFERROR(ROUND($AD122*T122/$O122,0),0)</f>
        <v>0</v>
      </c>
      <c r="AJ122" s="1043">
        <f t="shared" si="129"/>
        <v>0</v>
      </c>
      <c r="AK122" s="1057">
        <f t="shared" si="109"/>
        <v>0</v>
      </c>
      <c r="AL122" s="1056">
        <f t="shared" si="114"/>
        <v>0</v>
      </c>
    </row>
    <row r="123" spans="4:38">
      <c r="D123" s="1030" t="s">
        <v>1470</v>
      </c>
      <c r="E123" s="1062">
        <f>+SUM(I123,L123)</f>
        <v>0</v>
      </c>
      <c r="F123" s="1058">
        <f t="shared" si="126"/>
        <v>0</v>
      </c>
      <c r="G123" s="1380">
        <f t="shared" si="126"/>
        <v>0</v>
      </c>
      <c r="H123" s="1043">
        <f t="shared" si="126"/>
        <v>0</v>
      </c>
      <c r="I123" s="1062">
        <f t="shared" si="110"/>
        <v>0</v>
      </c>
      <c r="J123" s="1058">
        <f>+T123+AI123</f>
        <v>0</v>
      </c>
      <c r="K123" s="1065">
        <f>+U123+AJ123</f>
        <v>0</v>
      </c>
      <c r="L123" s="1057">
        <f t="shared" si="106"/>
        <v>0</v>
      </c>
      <c r="M123" s="1056">
        <f t="shared" si="111"/>
        <v>0</v>
      </c>
      <c r="N123" s="1030" t="s">
        <v>1470</v>
      </c>
      <c r="O123" s="1029">
        <f t="shared" si="127"/>
        <v>0</v>
      </c>
      <c r="P123" s="1028"/>
      <c r="Q123" s="1379"/>
      <c r="R123" s="1027"/>
      <c r="S123" s="1029">
        <f>+SUM(P123:Q123)</f>
        <v>0</v>
      </c>
      <c r="T123" s="1028"/>
      <c r="U123" s="1065">
        <f>-IF($U$134=0,0,IF($U$131&gt;0,ROUND($U$134*U132/($U$132+$U$133),0),U132))</f>
        <v>0</v>
      </c>
      <c r="V123" s="1026">
        <f t="shared" si="108"/>
        <v>0</v>
      </c>
      <c r="W123" s="1025">
        <f t="shared" si="112"/>
        <v>0</v>
      </c>
      <c r="X123" s="1030" t="s">
        <v>1470</v>
      </c>
      <c r="Y123" s="1064">
        <f>-IF($Y$141=0,0,IF($Y$138&gt;0,ROUND($Y$141*Y139/($Y$139+$Y$140),0),Y139))</f>
        <v>0</v>
      </c>
      <c r="Z123" s="1056">
        <f>+'3条収入'!AH45</f>
        <v>0</v>
      </c>
      <c r="AA123" s="1056">
        <f>+ROUND($AA$130*$Z123/$Z$130,0)</f>
        <v>0</v>
      </c>
      <c r="AB123" s="1056">
        <f t="shared" si="125"/>
        <v>0</v>
      </c>
      <c r="AC123" s="1064"/>
      <c r="AD123" s="1059">
        <f>+IF(AC123&lt;0,SUM(Z123:AA123,AC123),SUM(Z123:AA123))</f>
        <v>0</v>
      </c>
      <c r="AE123" s="1061">
        <f t="shared" si="128"/>
        <v>0</v>
      </c>
      <c r="AF123" s="1380">
        <f t="shared" si="128"/>
        <v>0</v>
      </c>
      <c r="AG123" s="1043">
        <f t="shared" si="128"/>
        <v>0</v>
      </c>
      <c r="AH123" s="1062">
        <f t="shared" si="113"/>
        <v>0</v>
      </c>
      <c r="AI123" s="1058">
        <f t="shared" si="129"/>
        <v>0</v>
      </c>
      <c r="AJ123" s="1043">
        <f t="shared" si="129"/>
        <v>0</v>
      </c>
      <c r="AK123" s="1057">
        <f t="shared" si="109"/>
        <v>0</v>
      </c>
      <c r="AL123" s="1056">
        <f t="shared" si="114"/>
        <v>0</v>
      </c>
    </row>
    <row r="124" spans="4:38">
      <c r="D124" s="1030" t="s">
        <v>1469</v>
      </c>
      <c r="E124" s="1062">
        <f>+SUM(I124,L124)</f>
        <v>0</v>
      </c>
      <c r="F124" s="1058">
        <f t="shared" si="126"/>
        <v>0</v>
      </c>
      <c r="G124" s="1380">
        <f t="shared" si="126"/>
        <v>0</v>
      </c>
      <c r="H124" s="1043">
        <f t="shared" si="126"/>
        <v>0</v>
      </c>
      <c r="I124" s="1062">
        <f t="shared" si="110"/>
        <v>0</v>
      </c>
      <c r="J124" s="1058">
        <f>+T124+AI124</f>
        <v>0</v>
      </c>
      <c r="K124" s="1065">
        <f>+U124+AJ124</f>
        <v>0</v>
      </c>
      <c r="L124" s="1057">
        <f t="shared" si="106"/>
        <v>0</v>
      </c>
      <c r="M124" s="1056">
        <f t="shared" si="111"/>
        <v>0</v>
      </c>
      <c r="N124" s="1030" t="s">
        <v>1469</v>
      </c>
      <c r="O124" s="1029">
        <f t="shared" si="127"/>
        <v>0</v>
      </c>
      <c r="P124" s="1058"/>
      <c r="Q124" s="1380"/>
      <c r="R124" s="1027"/>
      <c r="S124" s="1029">
        <f>+SUM(P124:Q124)</f>
        <v>0</v>
      </c>
      <c r="T124" s="1028"/>
      <c r="U124" s="1065">
        <f>-IF($U$134=0,0,IF($U$131&gt;0,U134+U123,U133))</f>
        <v>0</v>
      </c>
      <c r="V124" s="1026">
        <f t="shared" si="108"/>
        <v>0</v>
      </c>
      <c r="W124" s="1025">
        <f t="shared" si="112"/>
        <v>0</v>
      </c>
      <c r="X124" s="1030" t="s">
        <v>1469</v>
      </c>
      <c r="Y124" s="1064">
        <f>-IF($Y$141=0,0,IF($Y$138&gt;0,Y141+Y123,Y140))</f>
        <v>0</v>
      </c>
      <c r="Z124" s="1056">
        <f>+'3条収入'!AH46</f>
        <v>0</v>
      </c>
      <c r="AA124" s="1056">
        <f>+ROUND($AA$130*$Z124/$Z$130,0)</f>
        <v>0</v>
      </c>
      <c r="AB124" s="1056">
        <f t="shared" si="125"/>
        <v>0</v>
      </c>
      <c r="AC124" s="1064"/>
      <c r="AD124" s="1059">
        <f>+IF(AC124&lt;0,SUM(Z124:AA124,AC124),SUM(Z124:AA124))</f>
        <v>0</v>
      </c>
      <c r="AE124" s="1061">
        <f t="shared" si="128"/>
        <v>0</v>
      </c>
      <c r="AF124" s="1380">
        <f t="shared" si="128"/>
        <v>0</v>
      </c>
      <c r="AG124" s="1043">
        <f t="shared" si="128"/>
        <v>0</v>
      </c>
      <c r="AH124" s="1062">
        <f t="shared" si="113"/>
        <v>0</v>
      </c>
      <c r="AI124" s="1058">
        <f t="shared" si="129"/>
        <v>0</v>
      </c>
      <c r="AJ124" s="1043">
        <f t="shared" si="129"/>
        <v>0</v>
      </c>
      <c r="AK124" s="1057">
        <f t="shared" si="109"/>
        <v>0</v>
      </c>
      <c r="AL124" s="1056">
        <f t="shared" si="114"/>
        <v>0</v>
      </c>
    </row>
    <row r="125" spans="4:38">
      <c r="D125" s="1030" t="s">
        <v>1466</v>
      </c>
      <c r="E125" s="1062">
        <f>+SUM(I125,L125)</f>
        <v>4980</v>
      </c>
      <c r="F125" s="1058">
        <f t="shared" si="126"/>
        <v>0</v>
      </c>
      <c r="G125" s="1380">
        <f t="shared" si="126"/>
        <v>0</v>
      </c>
      <c r="H125" s="1043">
        <f t="shared" si="126"/>
        <v>0</v>
      </c>
      <c r="I125" s="1062">
        <f t="shared" si="110"/>
        <v>0</v>
      </c>
      <c r="J125" s="1058">
        <f>+T125+AI125</f>
        <v>0</v>
      </c>
      <c r="K125" s="1043">
        <f>+U125+AJ125</f>
        <v>4980</v>
      </c>
      <c r="L125" s="1057">
        <f t="shared" si="106"/>
        <v>4980</v>
      </c>
      <c r="M125" s="1056">
        <f t="shared" si="111"/>
        <v>0</v>
      </c>
      <c r="N125" s="1030" t="s">
        <v>1466</v>
      </c>
      <c r="O125" s="1029">
        <f t="shared" si="127"/>
        <v>4980</v>
      </c>
      <c r="P125" s="1028"/>
      <c r="Q125" s="1379"/>
      <c r="R125" s="1027"/>
      <c r="S125" s="1029">
        <f>+SUM(P125:R125)</f>
        <v>0</v>
      </c>
      <c r="T125" s="1028"/>
      <c r="U125" s="1399">
        <f>+'3条収入'!V47</f>
        <v>4980</v>
      </c>
      <c r="V125" s="1026">
        <f>+SUM(T125:U125)</f>
        <v>4980</v>
      </c>
      <c r="W125" s="1025">
        <f t="shared" si="112"/>
        <v>0</v>
      </c>
      <c r="X125" s="1030" t="s">
        <v>1466</v>
      </c>
      <c r="Y125" s="1035">
        <f>+O125</f>
        <v>4980</v>
      </c>
      <c r="Z125" s="1056">
        <f>+'3条収入'!AH47</f>
        <v>0</v>
      </c>
      <c r="AA125" s="1056">
        <f>+ROUND($AA$130*$Z125/$Z$130,0)</f>
        <v>0</v>
      </c>
      <c r="AB125" s="1056">
        <f t="shared" si="125"/>
        <v>4980</v>
      </c>
      <c r="AC125" s="1056">
        <f>+IF((Y125-AB125)&lt;0,(Y125-AB125),0)</f>
        <v>0</v>
      </c>
      <c r="AD125" s="1059">
        <f>+IF(AC125&lt;0,SUM(Z125:AA125,AC125),SUM(Z125:AA125))</f>
        <v>0</v>
      </c>
      <c r="AE125" s="1061">
        <f t="shared" si="128"/>
        <v>0</v>
      </c>
      <c r="AF125" s="1380">
        <f t="shared" si="128"/>
        <v>0</v>
      </c>
      <c r="AG125" s="1043">
        <f t="shared" si="128"/>
        <v>0</v>
      </c>
      <c r="AH125" s="1062">
        <f t="shared" si="113"/>
        <v>0</v>
      </c>
      <c r="AI125" s="1058">
        <f t="shared" si="129"/>
        <v>0</v>
      </c>
      <c r="AJ125" s="1043">
        <f t="shared" si="129"/>
        <v>0</v>
      </c>
      <c r="AK125" s="1057">
        <f t="shared" si="109"/>
        <v>0</v>
      </c>
      <c r="AL125" s="1056">
        <f t="shared" si="114"/>
        <v>0</v>
      </c>
    </row>
    <row r="126" spans="4:38">
      <c r="D126" s="1030" t="s">
        <v>1464</v>
      </c>
      <c r="E126" s="1059">
        <f>+SUM(I126,L126)</f>
        <v>9198273</v>
      </c>
      <c r="F126" s="1058">
        <f t="shared" si="126"/>
        <v>0</v>
      </c>
      <c r="G126" s="1380">
        <f t="shared" si="126"/>
        <v>0</v>
      </c>
      <c r="H126" s="1043">
        <f t="shared" si="126"/>
        <v>0</v>
      </c>
      <c r="I126" s="1062">
        <f t="shared" si="110"/>
        <v>0</v>
      </c>
      <c r="J126" s="1058">
        <f>+T126+AI126</f>
        <v>0</v>
      </c>
      <c r="K126" s="1043">
        <f>+U126+AJ126</f>
        <v>9198273</v>
      </c>
      <c r="L126" s="1057">
        <f t="shared" si="106"/>
        <v>9198273</v>
      </c>
      <c r="M126" s="1056">
        <f t="shared" si="111"/>
        <v>0</v>
      </c>
      <c r="N126" s="1030" t="s">
        <v>1464</v>
      </c>
      <c r="O126" s="1029">
        <f t="shared" si="127"/>
        <v>9198273</v>
      </c>
      <c r="P126" s="1028">
        <f>+P24</f>
        <v>0</v>
      </c>
      <c r="Q126" s="1379">
        <f>+Q24</f>
        <v>0</v>
      </c>
      <c r="R126" s="1027"/>
      <c r="S126" s="1029">
        <f>+SUM(P126:R126)</f>
        <v>0</v>
      </c>
      <c r="T126" s="1028">
        <f>+T24</f>
        <v>0</v>
      </c>
      <c r="U126" s="1399">
        <f>E24</f>
        <v>9198273</v>
      </c>
      <c r="V126" s="1026">
        <f>+SUM(T126:U126)</f>
        <v>9198273</v>
      </c>
      <c r="W126" s="1025">
        <f t="shared" si="112"/>
        <v>0</v>
      </c>
      <c r="X126" s="1030" t="s">
        <v>1464</v>
      </c>
      <c r="Y126" s="1025">
        <f>+E24</f>
        <v>9198273</v>
      </c>
      <c r="Z126" s="1056">
        <f>+'3条収入'!AH48</f>
        <v>488049</v>
      </c>
      <c r="AA126" s="1056">
        <f>+ROUND($AA$130*$Z126/$Z$130,0)</f>
        <v>5185</v>
      </c>
      <c r="AB126" s="1056">
        <f t="shared" si="125"/>
        <v>9691507</v>
      </c>
      <c r="AC126" s="1064">
        <f>Y126-AB126</f>
        <v>-493234</v>
      </c>
      <c r="AD126" s="1128">
        <f>SUM(Z126:AA126,AC126)</f>
        <v>0</v>
      </c>
      <c r="AE126" s="1061">
        <f t="shared" si="128"/>
        <v>0</v>
      </c>
      <c r="AF126" s="1380">
        <f t="shared" si="128"/>
        <v>0</v>
      </c>
      <c r="AG126" s="1043">
        <f t="shared" si="128"/>
        <v>0</v>
      </c>
      <c r="AH126" s="1062">
        <f t="shared" si="113"/>
        <v>0</v>
      </c>
      <c r="AI126" s="1058">
        <f t="shared" si="129"/>
        <v>0</v>
      </c>
      <c r="AJ126" s="1043">
        <f t="shared" si="129"/>
        <v>0</v>
      </c>
      <c r="AK126" s="1057">
        <f t="shared" si="109"/>
        <v>0</v>
      </c>
      <c r="AL126" s="1056">
        <f t="shared" si="114"/>
        <v>0</v>
      </c>
    </row>
    <row r="127" spans="4:38">
      <c r="D127" s="1030"/>
      <c r="E127" s="1059"/>
      <c r="F127" s="1058"/>
      <c r="G127" s="1380"/>
      <c r="H127" s="1043"/>
      <c r="I127" s="1062"/>
      <c r="J127" s="1058"/>
      <c r="K127" s="1043"/>
      <c r="L127" s="1057"/>
      <c r="M127" s="1056"/>
      <c r="N127" s="1030"/>
      <c r="O127" s="1029"/>
      <c r="P127" s="1028"/>
      <c r="Q127" s="1379"/>
      <c r="R127" s="1027"/>
      <c r="S127" s="1029"/>
      <c r="T127" s="1028"/>
      <c r="U127" s="1027"/>
      <c r="V127" s="1026"/>
      <c r="W127" s="1025"/>
      <c r="X127" s="1030"/>
      <c r="Y127" s="1032"/>
      <c r="Z127" s="1056"/>
      <c r="AA127" s="1056"/>
      <c r="AB127" s="1056"/>
      <c r="AC127" s="1064"/>
      <c r="AD127" s="1059"/>
      <c r="AE127" s="1061"/>
      <c r="AF127" s="1380"/>
      <c r="AG127" s="1043"/>
      <c r="AH127" s="1062"/>
      <c r="AI127" s="1058"/>
      <c r="AJ127" s="1043"/>
      <c r="AK127" s="1057"/>
      <c r="AL127" s="1056"/>
    </row>
    <row r="128" spans="4:38">
      <c r="D128" s="1030"/>
      <c r="E128" s="1059"/>
      <c r="F128" s="1058"/>
      <c r="G128" s="1380"/>
      <c r="H128" s="1043"/>
      <c r="I128" s="1062"/>
      <c r="J128" s="1058"/>
      <c r="K128" s="1043"/>
      <c r="L128" s="1057"/>
      <c r="M128" s="1056"/>
      <c r="N128" s="1030"/>
      <c r="O128" s="1029"/>
      <c r="P128" s="1028"/>
      <c r="Q128" s="1379"/>
      <c r="R128" s="1027"/>
      <c r="S128" s="1029"/>
      <c r="T128" s="1028"/>
      <c r="U128" s="1027"/>
      <c r="V128" s="1026"/>
      <c r="W128" s="1025"/>
      <c r="X128" s="1453" t="s">
        <v>1528</v>
      </c>
      <c r="Y128" s="1454"/>
      <c r="Z128" s="1056">
        <f>+AJ133</f>
        <v>12606</v>
      </c>
      <c r="AA128" s="1056">
        <f>+AJ134</f>
        <v>134</v>
      </c>
      <c r="AB128" s="1056">
        <f>+Z128+AA128</f>
        <v>12740</v>
      </c>
      <c r="AC128" s="1056"/>
      <c r="AD128" s="1059">
        <f>SUM(Z128:AA128,AC128)</f>
        <v>12740</v>
      </c>
      <c r="AE128" s="1061"/>
      <c r="AF128" s="1380"/>
      <c r="AG128" s="1043"/>
      <c r="AH128" s="1062">
        <f t="shared" si="113"/>
        <v>0</v>
      </c>
      <c r="AI128" s="1058"/>
      <c r="AJ128" s="1065">
        <f t="shared" ref="AJ128" si="130">+AD128-AH128-AI128</f>
        <v>12740</v>
      </c>
      <c r="AK128" s="1057">
        <f t="shared" si="109"/>
        <v>12740</v>
      </c>
      <c r="AL128" s="1056">
        <f t="shared" si="114"/>
        <v>0</v>
      </c>
    </row>
    <row r="129" spans="4:38" ht="14.25" thickBot="1">
      <c r="D129" s="1020"/>
      <c r="E129" s="1455"/>
      <c r="F129" s="1456"/>
      <c r="G129" s="1457"/>
      <c r="H129" s="1458"/>
      <c r="I129" s="1459"/>
      <c r="J129" s="1456"/>
      <c r="K129" s="1458"/>
      <c r="L129" s="1460"/>
      <c r="M129" s="1461"/>
      <c r="N129" s="1020"/>
      <c r="O129" s="1019"/>
      <c r="P129" s="1018"/>
      <c r="Q129" s="1403"/>
      <c r="R129" s="1017"/>
      <c r="S129" s="1019"/>
      <c r="T129" s="1018"/>
      <c r="U129" s="1017"/>
      <c r="V129" s="1131"/>
      <c r="W129" s="1015"/>
      <c r="X129" s="1462"/>
      <c r="Y129" s="1463"/>
      <c r="Z129" s="1461"/>
      <c r="AA129" s="1461"/>
      <c r="AB129" s="1461"/>
      <c r="AC129" s="1461"/>
      <c r="AD129" s="1455"/>
      <c r="AE129" s="1464"/>
      <c r="AF129" s="1457"/>
      <c r="AG129" s="1458"/>
      <c r="AH129" s="1459"/>
      <c r="AI129" s="1456"/>
      <c r="AJ129" s="1458"/>
      <c r="AK129" s="1460"/>
      <c r="AL129" s="1461"/>
    </row>
    <row r="130" spans="4:38" ht="14.25" thickTop="1">
      <c r="D130" s="1012" t="s">
        <v>1430</v>
      </c>
      <c r="E130" s="1055">
        <f t="shared" ref="E130:M130" si="131">+SUM(E109,E120)</f>
        <v>14196305588</v>
      </c>
      <c r="F130" s="1054">
        <f t="shared" si="131"/>
        <v>12799515012</v>
      </c>
      <c r="G130" s="1384">
        <f t="shared" si="131"/>
        <v>389424727</v>
      </c>
      <c r="H130" s="1053">
        <f>+SUM(H109,H120)</f>
        <v>443703083</v>
      </c>
      <c r="I130" s="1394">
        <f t="shared" si="131"/>
        <v>13632642822</v>
      </c>
      <c r="J130" s="1054">
        <f t="shared" si="131"/>
        <v>554459513</v>
      </c>
      <c r="K130" s="1053">
        <f t="shared" si="131"/>
        <v>9203253</v>
      </c>
      <c r="L130" s="1052">
        <f t="shared" si="131"/>
        <v>563662766</v>
      </c>
      <c r="M130" s="1051">
        <f t="shared" si="131"/>
        <v>0</v>
      </c>
      <c r="N130" s="1012" t="s">
        <v>1430</v>
      </c>
      <c r="O130" s="1130">
        <f t="shared" ref="O130:W130" si="132">+SUM(O109,O120)</f>
        <v>13983831480</v>
      </c>
      <c r="P130" s="1010">
        <f t="shared" si="132"/>
        <v>12635120631</v>
      </c>
      <c r="Q130" s="1381">
        <f t="shared" si="132"/>
        <v>373974736</v>
      </c>
      <c r="R130" s="1009">
        <f t="shared" si="132"/>
        <v>420649782</v>
      </c>
      <c r="S130" s="1391">
        <f t="shared" si="132"/>
        <v>13429745149</v>
      </c>
      <c r="T130" s="1010">
        <f t="shared" si="132"/>
        <v>544883078</v>
      </c>
      <c r="U130" s="1009">
        <f t="shared" si="132"/>
        <v>9203253</v>
      </c>
      <c r="V130" s="1008">
        <f t="shared" si="132"/>
        <v>554086331</v>
      </c>
      <c r="W130" s="1006">
        <f t="shared" si="132"/>
        <v>0</v>
      </c>
      <c r="X130" s="1012" t="s">
        <v>1430</v>
      </c>
      <c r="Y130" s="1007">
        <f>+SUM(Y109,Y120)</f>
        <v>14194130775</v>
      </c>
      <c r="Z130" s="1126">
        <f>+営外!T17</f>
        <v>210253123</v>
      </c>
      <c r="AA130" s="1126">
        <f>+営外!T18</f>
        <v>2233725</v>
      </c>
      <c r="AB130" s="1007">
        <f>+SUM(AB109,AB120,AB128)</f>
        <v>14196318328</v>
      </c>
      <c r="AC130" s="1007">
        <f>+SUM(AC109,AC120,AC128)</f>
        <v>0</v>
      </c>
      <c r="AD130" s="1055">
        <f>+Z130+AA130</f>
        <v>212486848</v>
      </c>
      <c r="AE130" s="1054">
        <f>+SUM(AE109,AE120,AE128)</f>
        <v>164394381</v>
      </c>
      <c r="AF130" s="1384">
        <f>+SUM(AF109,AF120,AF128)</f>
        <v>15449991</v>
      </c>
      <c r="AG130" s="1053">
        <f>+SUM(AG109,AG120,AG128)</f>
        <v>23053301</v>
      </c>
      <c r="AH130" s="1394">
        <f>+SUM(AH109,AH120)</f>
        <v>202897673</v>
      </c>
      <c r="AI130" s="1054">
        <f>+SUM(AI109,AI120,AI128)</f>
        <v>9576435</v>
      </c>
      <c r="AJ130" s="1053">
        <f>+SUM(AJ109,AJ120,AJ128)</f>
        <v>12740</v>
      </c>
      <c r="AK130" s="1052">
        <f>+SUM(AK109,AK120)</f>
        <v>9576435</v>
      </c>
      <c r="AL130" s="1051">
        <f>+SUM(AL109,AL120)</f>
        <v>0</v>
      </c>
    </row>
    <row r="131" spans="4:38">
      <c r="D131" s="991"/>
      <c r="E131" s="994"/>
      <c r="H131" s="991"/>
      <c r="I131" s="993"/>
      <c r="J131" s="994" t="s">
        <v>1459</v>
      </c>
      <c r="K131" s="993">
        <f>AJ97-AJ46-(AJ99-AJ48-((AJ88+AJ89)-(AJ37+AJ38)+K124)+K123)-((AJ88+AJ89)-(AJ37+AJ38)+K124)+K120+K111</f>
        <v>11551611424</v>
      </c>
      <c r="L131" s="994"/>
      <c r="M131" s="990"/>
      <c r="O131" s="1438"/>
      <c r="P131" s="1438"/>
      <c r="R131" s="994"/>
      <c r="T131" s="994" t="s">
        <v>1459</v>
      </c>
      <c r="U131" s="993">
        <f>U97-U46-U132-U133+U125</f>
        <v>11540545955</v>
      </c>
      <c r="V131" s="994"/>
      <c r="W131" s="994"/>
      <c r="X131" s="1366" t="s">
        <v>1793</v>
      </c>
      <c r="Y131" s="1366"/>
      <c r="Z131" s="996">
        <f t="shared" ref="Z131:AG131" si="133">+Z130-Z128</f>
        <v>210240517</v>
      </c>
      <c r="AA131" s="996">
        <f t="shared" si="133"/>
        <v>2233591</v>
      </c>
      <c r="AB131" s="996">
        <f t="shared" si="133"/>
        <v>14196305588</v>
      </c>
      <c r="AC131" s="996">
        <f t="shared" si="133"/>
        <v>0</v>
      </c>
      <c r="AD131" s="996">
        <f t="shared" si="133"/>
        <v>212474108</v>
      </c>
      <c r="AE131" s="1112">
        <f t="shared" si="133"/>
        <v>164394381</v>
      </c>
      <c r="AF131" s="1387">
        <f t="shared" si="133"/>
        <v>15449991</v>
      </c>
      <c r="AG131" s="998">
        <f t="shared" si="133"/>
        <v>23053301</v>
      </c>
      <c r="AH131" s="1397">
        <f>+SUM(AE131:AG131)</f>
        <v>202897673</v>
      </c>
      <c r="AI131" s="999">
        <f>+AI130-AI128</f>
        <v>9576435</v>
      </c>
      <c r="AJ131" s="1111">
        <f>+AJ130-AJ128</f>
        <v>0</v>
      </c>
      <c r="AK131" s="997">
        <f>+SUM(AI131:AJ131)</f>
        <v>9576435</v>
      </c>
      <c r="AL131" s="995">
        <f>AD131-SUM(AH131,AK131)</f>
        <v>0</v>
      </c>
    </row>
    <row r="132" spans="4:38">
      <c r="D132" s="991"/>
      <c r="E132" s="991"/>
      <c r="I132" s="993" t="s">
        <v>1458</v>
      </c>
      <c r="J132" s="993" t="s">
        <v>1457</v>
      </c>
      <c r="K132" s="990">
        <f>+AJ99-AJ48-((AJ88+AJ89)-(AJ37+AJ38)+K124)+K123+K112</f>
        <v>-9092965228</v>
      </c>
      <c r="L132" s="1044"/>
      <c r="M132" s="990"/>
      <c r="O132" s="1438"/>
      <c r="P132" s="1438"/>
      <c r="R132" s="994"/>
      <c r="T132" s="993" t="s">
        <v>1457</v>
      </c>
      <c r="U132" s="990">
        <f>+U99-U48-U133</f>
        <v>-9092965228</v>
      </c>
      <c r="V132" s="1044"/>
      <c r="W132" s="994"/>
      <c r="X132" s="1439"/>
      <c r="Y132" s="1398"/>
      <c r="Z132" s="1440"/>
      <c r="AA132" s="1440"/>
      <c r="AB132" s="1398"/>
      <c r="AC132" s="1398"/>
      <c r="AD132" s="1440"/>
      <c r="AE132" s="1440"/>
      <c r="AF132" s="1440"/>
      <c r="AG132" s="1440"/>
      <c r="AH132" s="1440"/>
      <c r="AI132" s="1440"/>
      <c r="AJ132" s="1440"/>
      <c r="AK132" s="1440"/>
      <c r="AL132" s="1440"/>
    </row>
    <row r="133" spans="4:38">
      <c r="D133" s="991"/>
      <c r="E133" s="991"/>
      <c r="H133" s="991"/>
      <c r="J133" s="993" t="s">
        <v>1456</v>
      </c>
      <c r="K133" s="990">
        <f>+(AJ88+AJ89)-(AJ37+AJ38)+K124+K113</f>
        <v>-1914738997</v>
      </c>
      <c r="L133" s="1044"/>
      <c r="M133" s="990"/>
      <c r="O133" s="1438"/>
      <c r="P133" s="1438"/>
      <c r="R133" s="994"/>
      <c r="T133" s="993" t="s">
        <v>1456</v>
      </c>
      <c r="U133" s="990">
        <f>+(U88+U89)-(U37+U38)</f>
        <v>-1914738997</v>
      </c>
      <c r="V133" s="1044"/>
      <c r="W133" s="994"/>
      <c r="X133" s="1584" t="s">
        <v>1794</v>
      </c>
      <c r="Y133" s="1125"/>
      <c r="Z133" s="1120">
        <f>+雨汚収入!BM65</f>
        <v>23344</v>
      </c>
      <c r="AA133" s="1076"/>
      <c r="AB133" s="1125">
        <f>+Z133+AA133</f>
        <v>23344</v>
      </c>
      <c r="AC133" s="1125"/>
      <c r="AD133" s="1125">
        <f>+Z133</f>
        <v>23344</v>
      </c>
      <c r="AE133" s="1124">
        <f>+雨汚収入!BF65</f>
        <v>10738</v>
      </c>
      <c r="AF133" s="1385">
        <f>+雨汚収入!BG65</f>
        <v>0</v>
      </c>
      <c r="AG133" s="1121">
        <f>+雨汚収入!BH65</f>
        <v>0</v>
      </c>
      <c r="AH133" s="1092">
        <f t="shared" ref="AH133:AH137" si="134">+SUM(AE133:AG133)</f>
        <v>10738</v>
      </c>
      <c r="AI133" s="1122">
        <f>+雨汚収入!BJ65</f>
        <v>0</v>
      </c>
      <c r="AJ133" s="1121">
        <f>+雨汚収入!BK65</f>
        <v>12606</v>
      </c>
      <c r="AK133" s="1084">
        <f>+SUM(AI133:AJ133)</f>
        <v>12606</v>
      </c>
      <c r="AL133" s="1083">
        <f t="shared" si="114"/>
        <v>0</v>
      </c>
    </row>
    <row r="134" spans="4:38" ht="14.25" thickBot="1">
      <c r="D134" s="991"/>
      <c r="E134" s="991"/>
      <c r="H134" s="991"/>
      <c r="J134" s="994" t="s">
        <v>1453</v>
      </c>
      <c r="K134" s="991">
        <f>+SUM(K131:K133)</f>
        <v>543907199</v>
      </c>
      <c r="M134" s="990"/>
      <c r="N134" s="1161"/>
      <c r="O134" s="1438"/>
      <c r="P134" s="1438"/>
      <c r="T134" s="1161" t="s">
        <v>1540</v>
      </c>
      <c r="U134" s="991">
        <f>IF(SUM(U131:U133)&gt;0,0,SUM(U131:U133))</f>
        <v>0</v>
      </c>
      <c r="X134" s="1585"/>
      <c r="Y134" s="1115"/>
      <c r="Z134" s="1115"/>
      <c r="AA134" s="1114">
        <f>+ROUND(Z133/Z130*AA130,0)</f>
        <v>248</v>
      </c>
      <c r="AB134" s="1115">
        <f>+Z134+AA134</f>
        <v>248</v>
      </c>
      <c r="AC134" s="1115"/>
      <c r="AD134" s="1115">
        <f>+AA134</f>
        <v>248</v>
      </c>
      <c r="AE134" s="1119">
        <f>+IFERROR(ROUND($AD$134/$AD$133*AE133,0),0)</f>
        <v>114</v>
      </c>
      <c r="AF134" s="1386">
        <f>+IFERROR(ROUND($AD$134/$AD$133*AF133,0),0)</f>
        <v>0</v>
      </c>
      <c r="AG134" s="1117">
        <f>+IFERROR(ROUND($AD$134/$AD$133*AG133,0),0)</f>
        <v>0</v>
      </c>
      <c r="AH134" s="1395">
        <f t="shared" si="134"/>
        <v>114</v>
      </c>
      <c r="AI134" s="1118">
        <f>+IFERROR(ROUND($AD$134/$AD$133*AI133,0),0)</f>
        <v>0</v>
      </c>
      <c r="AJ134" s="1117">
        <f>+IFERROR(ROUND($AD$134/$AD$133*AJ133,0),0)</f>
        <v>134</v>
      </c>
      <c r="AK134" s="1116">
        <f>+SUM(AI134:AJ134)</f>
        <v>134</v>
      </c>
      <c r="AL134" s="1114">
        <f t="shared" si="114"/>
        <v>0</v>
      </c>
    </row>
    <row r="135" spans="4:38" ht="14.25" thickTop="1">
      <c r="D135" s="991"/>
      <c r="E135" s="991"/>
      <c r="H135" s="991"/>
      <c r="K135" s="1042" t="str">
        <f>+IF(K134='3条収入'!AI74,"↑純利益と一致","純利益と不一致!!")</f>
        <v>↑純利益と一致</v>
      </c>
      <c r="M135" s="990"/>
      <c r="O135" s="994"/>
      <c r="P135" s="994"/>
      <c r="S135" s="990"/>
      <c r="U135" s="991"/>
      <c r="V135" s="990"/>
      <c r="W135" s="990"/>
      <c r="X135" s="1586"/>
      <c r="Y135" s="1007"/>
      <c r="Z135" s="1007">
        <f t="shared" ref="Z135:AF135" si="135">+SUM(Z133:Z134)</f>
        <v>23344</v>
      </c>
      <c r="AA135" s="1007">
        <f t="shared" si="135"/>
        <v>248</v>
      </c>
      <c r="AB135" s="1007">
        <f t="shared" si="135"/>
        <v>23592</v>
      </c>
      <c r="AC135" s="1007">
        <f t="shared" si="135"/>
        <v>0</v>
      </c>
      <c r="AD135" s="1007">
        <f t="shared" si="135"/>
        <v>23592</v>
      </c>
      <c r="AE135" s="1113">
        <f t="shared" si="135"/>
        <v>10852</v>
      </c>
      <c r="AF135" s="1381">
        <f t="shared" si="135"/>
        <v>0</v>
      </c>
      <c r="AG135" s="1009">
        <f>+SUM(AG133:AG134)</f>
        <v>0</v>
      </c>
      <c r="AH135" s="1396">
        <f t="shared" si="134"/>
        <v>10852</v>
      </c>
      <c r="AI135" s="1010">
        <f>+SUM(AI133:AI134)</f>
        <v>0</v>
      </c>
      <c r="AJ135" s="1009">
        <f>+SUM(AJ133:AJ134)</f>
        <v>12740</v>
      </c>
      <c r="AK135" s="1008">
        <f>+SUM(AI135:AJ135)</f>
        <v>12740</v>
      </c>
      <c r="AL135" s="1006">
        <f t="shared" si="114"/>
        <v>0</v>
      </c>
    </row>
    <row r="136" spans="4:38">
      <c r="D136" s="991"/>
      <c r="E136" s="991"/>
      <c r="H136" s="991"/>
      <c r="K136" s="991">
        <f>K134-'3条収入'!$AI$74</f>
        <v>0</v>
      </c>
      <c r="M136" s="990"/>
      <c r="O136" s="991"/>
      <c r="P136" s="994"/>
      <c r="S136" s="990"/>
      <c r="U136" s="991"/>
      <c r="V136" s="990"/>
      <c r="W136" s="990"/>
      <c r="X136" s="1439"/>
      <c r="Y136" s="1398"/>
      <c r="Z136" s="1440"/>
      <c r="AA136" s="1440"/>
      <c r="AB136" s="1398"/>
      <c r="AC136" s="1398"/>
      <c r="AD136" s="1440"/>
      <c r="AE136" s="1440"/>
      <c r="AF136" s="1440"/>
      <c r="AG136" s="1440"/>
      <c r="AH136" s="1440"/>
      <c r="AI136" s="1440"/>
      <c r="AJ136" s="1440"/>
      <c r="AK136" s="1440"/>
      <c r="AL136" s="1440"/>
    </row>
    <row r="137" spans="4:38">
      <c r="D137" s="991"/>
      <c r="O137" s="994"/>
      <c r="P137" s="994"/>
      <c r="R137" s="991"/>
      <c r="T137" s="991"/>
      <c r="V137" s="990"/>
      <c r="W137" s="990"/>
      <c r="X137" s="1367" t="s">
        <v>1527</v>
      </c>
      <c r="Y137" s="1367"/>
      <c r="Z137" s="1105">
        <f>-AD77</f>
        <v>-1880565</v>
      </c>
      <c r="AA137" s="1110"/>
      <c r="AB137" s="1105">
        <f>+Z137+AA137</f>
        <v>-1880565</v>
      </c>
      <c r="AC137" s="1105"/>
      <c r="AD137" s="1105">
        <f>+Z137</f>
        <v>-1880565</v>
      </c>
      <c r="AE137" s="1109">
        <f>-AE77</f>
        <v>0</v>
      </c>
      <c r="AF137" s="1388">
        <f>-AF77</f>
        <v>0</v>
      </c>
      <c r="AG137" s="1107">
        <f>-AG77</f>
        <v>0</v>
      </c>
      <c r="AH137" s="1398">
        <f t="shared" si="134"/>
        <v>0</v>
      </c>
      <c r="AI137" s="1108">
        <f>-AI77</f>
        <v>0</v>
      </c>
      <c r="AJ137" s="1107">
        <f>-AJ77</f>
        <v>-1880565</v>
      </c>
      <c r="AK137" s="1106">
        <f>+SUM(AI137:AJ137)</f>
        <v>-1880565</v>
      </c>
      <c r="AL137" s="1104">
        <f t="shared" si="114"/>
        <v>0</v>
      </c>
    </row>
    <row r="138" spans="4:38">
      <c r="O138" s="991"/>
      <c r="R138" s="991"/>
      <c r="T138" s="991"/>
      <c r="V138" s="990"/>
      <c r="W138" s="990"/>
      <c r="X138" s="994" t="s">
        <v>1459</v>
      </c>
      <c r="Y138" s="994">
        <f>K97-K46-Y139-Y140+Y125</f>
        <v>12819410997</v>
      </c>
      <c r="Z138" s="994"/>
      <c r="AA138" s="990"/>
      <c r="AB138" s="990"/>
      <c r="AD138" s="991"/>
      <c r="AE138" s="991"/>
      <c r="AH138" s="990"/>
      <c r="AJ138" s="991"/>
      <c r="AK138" s="990"/>
      <c r="AL138" s="990"/>
    </row>
    <row r="139" spans="4:38">
      <c r="O139" s="991"/>
      <c r="P139" s="991"/>
      <c r="R139" s="991"/>
      <c r="T139" s="991"/>
      <c r="V139" s="990"/>
      <c r="W139" s="990"/>
      <c r="X139" s="993" t="s">
        <v>1457</v>
      </c>
      <c r="Y139" s="994">
        <f>K99-K48-Y140</f>
        <v>-9092965228</v>
      </c>
      <c r="Z139" s="994"/>
      <c r="AA139" s="990"/>
      <c r="AB139" s="990"/>
      <c r="AD139" s="991"/>
      <c r="AE139" s="991"/>
      <c r="AH139" s="990"/>
      <c r="AJ139" s="991"/>
      <c r="AK139" s="990"/>
      <c r="AL139" s="990"/>
    </row>
    <row r="140" spans="4:38">
      <c r="X140" s="993" t="s">
        <v>1456</v>
      </c>
      <c r="Y140" s="990">
        <f>+(K88+K89)-(K37+K38)</f>
        <v>-1917578956</v>
      </c>
      <c r="Z140" s="994"/>
      <c r="AA140" s="990"/>
      <c r="AB140" s="990"/>
      <c r="AD140" s="991"/>
      <c r="AE140" s="991"/>
      <c r="AH140" s="990"/>
      <c r="AJ140" s="991"/>
      <c r="AK140" s="990"/>
      <c r="AL140" s="990"/>
    </row>
    <row r="141" spans="4:38">
      <c r="X141" s="990"/>
      <c r="Y141" s="991">
        <f>IF(SUM(Y138:Y140)&gt;0,0,SUM(Y138:Y140))</f>
        <v>0</v>
      </c>
      <c r="Z141" s="1162" t="s">
        <v>1785</v>
      </c>
      <c r="AA141" s="990"/>
      <c r="AB141" s="990"/>
      <c r="AC141" s="990"/>
      <c r="AD141" s="991"/>
      <c r="AG141" s="991"/>
      <c r="AI141" s="991"/>
      <c r="AK141" s="990"/>
      <c r="AL141" s="990"/>
    </row>
    <row r="142" spans="4:38">
      <c r="Z142" s="990"/>
      <c r="AA142" s="990"/>
      <c r="AB142" s="990"/>
      <c r="AC142" s="990"/>
      <c r="AD142" s="991"/>
      <c r="AG142" s="991"/>
      <c r="AI142" s="991"/>
      <c r="AK142" s="990"/>
      <c r="AL142" s="990"/>
    </row>
    <row r="143" spans="4:38">
      <c r="Z143" s="990"/>
      <c r="AA143" s="990"/>
      <c r="AB143" s="990"/>
      <c r="AC143" s="990"/>
      <c r="AD143" s="991"/>
      <c r="AG143" s="991"/>
      <c r="AI143" s="991"/>
      <c r="AK143" s="990"/>
      <c r="AL143" s="990"/>
    </row>
    <row r="144" spans="4:38">
      <c r="Z144" s="990"/>
      <c r="AA144" s="990"/>
      <c r="AB144" s="990"/>
      <c r="AC144" s="990"/>
      <c r="AD144" s="991"/>
      <c r="AG144" s="991"/>
      <c r="AI144" s="991"/>
      <c r="AK144" s="990"/>
      <c r="AL144" s="990"/>
    </row>
    <row r="145" spans="16:38">
      <c r="Y145" s="990"/>
      <c r="Z145" s="990"/>
      <c r="AA145" s="990"/>
      <c r="AB145" s="990"/>
      <c r="AF145" s="991"/>
      <c r="AG145" s="991"/>
      <c r="AK145" s="990"/>
      <c r="AL145" s="990"/>
    </row>
    <row r="146" spans="16:38">
      <c r="Y146" s="990"/>
      <c r="Z146" s="990"/>
      <c r="AA146" s="990"/>
      <c r="AB146" s="990"/>
      <c r="AF146" s="991"/>
      <c r="AG146" s="991"/>
      <c r="AK146" s="990"/>
      <c r="AL146" s="990"/>
    </row>
    <row r="147" spans="16:38">
      <c r="Y147" s="990"/>
      <c r="Z147" s="990"/>
      <c r="AA147" s="990"/>
      <c r="AB147" s="990"/>
      <c r="AF147" s="991"/>
      <c r="AG147" s="991"/>
      <c r="AK147" s="990"/>
      <c r="AL147" s="990"/>
    </row>
    <row r="148" spans="16:38">
      <c r="Y148" s="990"/>
      <c r="Z148" s="990"/>
      <c r="AA148" s="990"/>
      <c r="AB148" s="990"/>
      <c r="AF148" s="991"/>
      <c r="AG148" s="991"/>
      <c r="AK148" s="990"/>
      <c r="AL148" s="990"/>
    </row>
    <row r="149" spans="16:38">
      <c r="Y149" s="990"/>
      <c r="Z149" s="990"/>
      <c r="AA149" s="990"/>
      <c r="AB149" s="990"/>
      <c r="AF149" s="991"/>
      <c r="AG149" s="991"/>
      <c r="AK149" s="990"/>
      <c r="AL149" s="990"/>
    </row>
    <row r="150" spans="16:38">
      <c r="Y150" s="990"/>
      <c r="Z150" s="990"/>
      <c r="AA150" s="990"/>
      <c r="AB150" s="990"/>
      <c r="AF150" s="991"/>
      <c r="AG150" s="991"/>
      <c r="AK150" s="990"/>
      <c r="AL150" s="990"/>
    </row>
    <row r="151" spans="16:38">
      <c r="P151" s="1559"/>
      <c r="Q151" s="1559"/>
      <c r="R151" s="1559"/>
      <c r="S151" s="1559"/>
      <c r="T151" s="1559"/>
      <c r="U151" s="1559"/>
      <c r="V151" s="1559"/>
      <c r="Y151" s="990"/>
      <c r="Z151" s="990"/>
      <c r="AA151" s="990"/>
      <c r="AB151" s="990"/>
      <c r="AF151" s="991"/>
      <c r="AG151" s="991"/>
      <c r="AK151" s="990"/>
      <c r="AL151" s="990"/>
    </row>
    <row r="152" spans="16:38">
      <c r="P152" s="1559"/>
      <c r="Q152" s="1559"/>
      <c r="R152" s="1559"/>
      <c r="S152" s="1559"/>
      <c r="T152" s="1559"/>
      <c r="U152" s="1559"/>
      <c r="V152" s="1559"/>
    </row>
    <row r="153" spans="16:38">
      <c r="P153" s="1559"/>
      <c r="Q153" s="1559"/>
      <c r="R153" s="1559"/>
      <c r="S153" s="1559"/>
      <c r="T153" s="1559"/>
      <c r="U153" s="1559"/>
      <c r="V153" s="1559"/>
    </row>
    <row r="154" spans="16:38">
      <c r="P154" s="1559"/>
      <c r="Q154" s="1559"/>
      <c r="R154" s="1559"/>
      <c r="S154" s="1559"/>
      <c r="T154" s="1559"/>
      <c r="U154" s="1559"/>
      <c r="V154" s="1559"/>
    </row>
    <row r="155" spans="16:38">
      <c r="P155" s="1559"/>
      <c r="Q155" s="1559"/>
      <c r="R155" s="1559"/>
      <c r="S155" s="1559"/>
      <c r="T155" s="1559"/>
      <c r="U155" s="1559"/>
      <c r="V155" s="1559"/>
    </row>
    <row r="156" spans="16:38">
      <c r="P156" s="1559"/>
      <c r="Q156" s="1559"/>
      <c r="R156" s="1559"/>
      <c r="S156" s="1559"/>
      <c r="T156" s="1559"/>
      <c r="U156" s="1559"/>
      <c r="V156" s="1559"/>
    </row>
    <row r="157" spans="16:38">
      <c r="P157" s="1559"/>
      <c r="Q157" s="1559"/>
      <c r="R157" s="1559"/>
      <c r="S157" s="1559"/>
      <c r="T157" s="1559"/>
      <c r="U157" s="1559"/>
      <c r="V157" s="1559"/>
    </row>
    <row r="158" spans="16:38">
      <c r="P158" s="1559"/>
      <c r="Q158" s="1559"/>
      <c r="R158" s="1559"/>
      <c r="S158" s="1559"/>
      <c r="T158" s="1559"/>
      <c r="U158" s="1559"/>
      <c r="V158" s="1559"/>
    </row>
    <row r="159" spans="16:38">
      <c r="P159" s="1559"/>
      <c r="Q159" s="1559"/>
      <c r="R159" s="1559"/>
      <c r="S159" s="1559"/>
      <c r="T159" s="1559"/>
      <c r="U159" s="1559"/>
      <c r="V159" s="1559"/>
    </row>
    <row r="160" spans="16:38">
      <c r="P160" s="1559"/>
      <c r="Q160" s="1559"/>
      <c r="R160" s="1559"/>
      <c r="S160" s="1559"/>
      <c r="T160" s="1559"/>
      <c r="U160" s="1559"/>
      <c r="V160" s="1559"/>
    </row>
    <row r="161" spans="16:22">
      <c r="P161" s="1559"/>
      <c r="Q161" s="1559"/>
      <c r="R161" s="1559"/>
      <c r="S161" s="1559"/>
      <c r="T161" s="1559"/>
      <c r="U161" s="1559"/>
      <c r="V161" s="1559"/>
    </row>
    <row r="162" spans="16:22">
      <c r="S162" s="990"/>
      <c r="V162" s="990"/>
    </row>
    <row r="163" spans="16:22">
      <c r="S163" s="990"/>
      <c r="V163" s="990"/>
    </row>
    <row r="164" spans="16:22">
      <c r="S164" s="990"/>
      <c r="V164" s="990"/>
    </row>
    <row r="165" spans="16:22">
      <c r="S165" s="990"/>
      <c r="V165" s="990"/>
    </row>
    <row r="166" spans="16:22">
      <c r="S166" s="990"/>
      <c r="V166" s="990"/>
    </row>
    <row r="167" spans="16:22">
      <c r="S167" s="990"/>
      <c r="V167" s="990"/>
    </row>
  </sheetData>
  <mergeCells count="63">
    <mergeCell ref="T55:V55"/>
    <mergeCell ref="W55:W57"/>
    <mergeCell ref="AL106:AL108"/>
    <mergeCell ref="Z106:Z108"/>
    <mergeCell ref="AE106:AH106"/>
    <mergeCell ref="AA106:AA108"/>
    <mergeCell ref="Y106:Y108"/>
    <mergeCell ref="AB106:AB108"/>
    <mergeCell ref="AD106:AD108"/>
    <mergeCell ref="X133:X135"/>
    <mergeCell ref="W106:W108"/>
    <mergeCell ref="AI106:AK106"/>
    <mergeCell ref="T106:V106"/>
    <mergeCell ref="O106:O108"/>
    <mergeCell ref="P106:S106"/>
    <mergeCell ref="N54:N57"/>
    <mergeCell ref="N105:N108"/>
    <mergeCell ref="O54:W54"/>
    <mergeCell ref="B3:C6"/>
    <mergeCell ref="F4:I4"/>
    <mergeCell ref="E3:M3"/>
    <mergeCell ref="E4:E6"/>
    <mergeCell ref="J4:L4"/>
    <mergeCell ref="M4:M6"/>
    <mergeCell ref="W4:W6"/>
    <mergeCell ref="J106:L106"/>
    <mergeCell ref="M106:M108"/>
    <mergeCell ref="O4:O6"/>
    <mergeCell ref="N3:N6"/>
    <mergeCell ref="O55:O57"/>
    <mergeCell ref="P55:S55"/>
    <mergeCell ref="T4:V4"/>
    <mergeCell ref="O3:W3"/>
    <mergeCell ref="D54:D57"/>
    <mergeCell ref="F106:I106"/>
    <mergeCell ref="AI55:AK55"/>
    <mergeCell ref="E54:M54"/>
    <mergeCell ref="E55:E57"/>
    <mergeCell ref="F55:I55"/>
    <mergeCell ref="J55:L55"/>
    <mergeCell ref="M55:M57"/>
    <mergeCell ref="AE55:AH55"/>
    <mergeCell ref="Y105:AL105"/>
    <mergeCell ref="O105:W105"/>
    <mergeCell ref="E105:M105"/>
    <mergeCell ref="X105:X108"/>
    <mergeCell ref="E106:E108"/>
    <mergeCell ref="D105:D108"/>
    <mergeCell ref="AD55:AD57"/>
    <mergeCell ref="AL55:AL57"/>
    <mergeCell ref="A56:A57"/>
    <mergeCell ref="AL4:AL6"/>
    <mergeCell ref="B54:C57"/>
    <mergeCell ref="X3:X6"/>
    <mergeCell ref="AD3:AL3"/>
    <mergeCell ref="AD4:AD6"/>
    <mergeCell ref="AE4:AH4"/>
    <mergeCell ref="AI4:AK4"/>
    <mergeCell ref="X54:X57"/>
    <mergeCell ref="AD54:AL54"/>
    <mergeCell ref="A5:A6"/>
    <mergeCell ref="D3:D6"/>
    <mergeCell ref="P4:S4"/>
  </mergeCells>
  <phoneticPr fontId="2"/>
  <conditionalFormatting sqref="W58:W97 AL58:AL97 W109:W130 M109:M130 W100 AL100 AL109:AL135 AL137 M58:M100">
    <cfRule type="cellIs" dxfId="501" priority="10" operator="notEqual">
      <formula>0</formula>
    </cfRule>
  </conditionalFormatting>
  <conditionalFormatting sqref="W7:W46 W49 AL49 AL7:AL46">
    <cfRule type="cellIs" dxfId="500" priority="7" operator="notEqual">
      <formula>0</formula>
    </cfRule>
  </conditionalFormatting>
  <conditionalFormatting sqref="M7:M49">
    <cfRule type="cellIs" dxfId="499" priority="6" operator="notEqual">
      <formula>0</formula>
    </cfRule>
  </conditionalFormatting>
  <conditionalFormatting sqref="W98:W99">
    <cfRule type="cellIs" dxfId="498" priority="5" operator="notEqual">
      <formula>0</formula>
    </cfRule>
  </conditionalFormatting>
  <conditionalFormatting sqref="AL98:AL99">
    <cfRule type="cellIs" dxfId="497" priority="4" operator="notEqual">
      <formula>0</formula>
    </cfRule>
  </conditionalFormatting>
  <conditionalFormatting sqref="W47:W48">
    <cfRule type="cellIs" dxfId="496" priority="3" operator="notEqual">
      <formula>0</formula>
    </cfRule>
  </conditionalFormatting>
  <conditionalFormatting sqref="AL47:AL48">
    <cfRule type="cellIs" dxfId="495" priority="2" operator="notEqual">
      <formula>0</formula>
    </cfRule>
  </conditionalFormatting>
  <conditionalFormatting sqref="AL136">
    <cfRule type="cellIs" dxfId="494" priority="1" operator="notEqual">
      <formula>0</formula>
    </cfRule>
  </conditionalFormatting>
  <printOptions horizontalCentered="1"/>
  <pageMargins left="0.39370078740157483" right="0.39370078740157483" top="0.78740157480314965" bottom="0.19685039370078741" header="0.19685039370078741" footer="0.19685039370078741"/>
  <pageSetup paperSize="9" scale="71" fitToWidth="3" fitToHeight="3" orientation="landscape" blackAndWhite="1" r:id="rId1"/>
  <rowBreaks count="2" manualBreakCount="2">
    <brk id="51" max="16383" man="1"/>
    <brk id="102" max="16383" man="1"/>
  </rowBreaks>
  <colBreaks count="1" manualBreakCount="1">
    <brk id="23" max="139" man="1"/>
  </colBreaks>
  <drawing r:id="rId2"/>
  <legacyDrawing r:id="rId3"/>
</worksheet>
</file>

<file path=xl/worksheets/w5_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7C80"/>
    <pageSetUpPr fitToPage="1"/>
  </sheetPr>
  <dimension ref="A1:BT902"/>
  <sheetViews>
    <sheetView zoomScale="70" zoomScaleNormal="70" workbookViewId="0">
      <pane xSplit="18" ySplit="2" topLeftCell="BE3" activePane="bottomRight" state="frozen"/>
      <selection activeCell="E1" sqref="E1"/>
      <selection pane="topRight" activeCell="S1" sqref="S1"/>
      <selection pane="bottomLeft" activeCell="E3" sqref="E3"/>
      <selection pane="bottomRight" activeCell="BO12" sqref="BO12"/>
    </sheetView>
  </sheetViews>
  <sheetFormatPr defaultColWidth="9" defaultRowHeight="13.5" outlineLevelCol="1"/>
  <cols>
    <col min="1" max="1" width="3.375" style="1182" customWidth="1" outlineLevel="1"/>
    <col min="2" max="4" width="4.25" style="1182" customWidth="1" outlineLevel="1"/>
    <col min="5" max="5" width="6" style="1182" customWidth="1"/>
    <col min="6" max="7" width="4.375" style="1182" hidden="1" customWidth="1" outlineLevel="1"/>
    <col min="8" max="8" width="61.125" style="1182" customWidth="1" collapsed="1"/>
    <col min="9" max="9" width="6.625" style="1182" customWidth="1" outlineLevel="1"/>
    <col min="10" max="13" width="6.125" style="1182" customWidth="1" outlineLevel="1"/>
    <col min="14" max="14" width="3.625" style="1182" customWidth="1" outlineLevel="1"/>
    <col min="15" max="15" width="6.25" style="1182" customWidth="1" outlineLevel="1"/>
    <col min="16" max="16" width="7.875" style="1182" customWidth="1"/>
    <col min="17" max="19" width="9" style="1182" customWidth="1"/>
    <col min="20" max="24" width="9" style="1182" hidden="1" customWidth="1" outlineLevel="1"/>
    <col min="25" max="25" width="11.375" style="1182" bestFit="1" customWidth="1" collapsed="1"/>
    <col min="26" max="31" width="4.25" style="1182" hidden="1" customWidth="1" outlineLevel="1"/>
    <col min="32" max="32" width="5.375" style="1182" hidden="1" customWidth="1" outlineLevel="1"/>
    <col min="33" max="33" width="6" style="1182" hidden="1" customWidth="1" outlineLevel="1"/>
    <col min="34" max="36" width="9" style="1182" hidden="1" customWidth="1" outlineLevel="1"/>
    <col min="37" max="37" width="2.375" style="1182" hidden="1" customWidth="1" outlineLevel="1"/>
    <col min="38" max="38" width="5.875" style="1182" hidden="1" customWidth="1" outlineLevel="1"/>
    <col min="39" max="39" width="6.125" style="1182" hidden="1" customWidth="1" outlineLevel="1"/>
    <col min="40" max="41" width="9" style="1182" hidden="1" customWidth="1" outlineLevel="1"/>
    <col min="42" max="43" width="6.125" style="1182" hidden="1" customWidth="1" outlineLevel="1"/>
    <col min="44" max="44" width="2.125" style="1182" hidden="1" customWidth="1" outlineLevel="1"/>
    <col min="45" max="46" width="9" style="1182" hidden="1" customWidth="1" outlineLevel="1"/>
    <col min="47" max="47" width="2.125" style="1182" hidden="1" customWidth="1" outlineLevel="1"/>
    <col min="48" max="48" width="10.625" style="1183" customWidth="1" collapsed="1"/>
    <col min="49" max="56" width="10.625" style="1183" customWidth="1"/>
    <col min="57" max="57" width="4" style="1183" customWidth="1"/>
    <col min="58" max="65" width="10.625" style="1183" customWidth="1"/>
    <col min="66" max="66" width="14.25" style="1183" customWidth="1"/>
    <col min="67" max="67" width="11.375" style="1182" bestFit="1" customWidth="1"/>
    <col min="68" max="16384" width="9" style="1182"/>
  </cols>
  <sheetData>
    <row r="1" spans="14:68" ht="13.5" customHeight="1">
      <c r="Q1" s="1196"/>
      <c r="R1" s="1195" t="s">
        <v>1652</v>
      </c>
      <c r="AV1" s="1596" t="s">
        <v>1638</v>
      </c>
      <c r="AW1" s="1596"/>
      <c r="AX1" s="1596"/>
      <c r="AY1" s="1596"/>
      <c r="AZ1" s="1596" t="s">
        <v>1637</v>
      </c>
      <c r="BA1" s="1596"/>
      <c r="BB1" s="1596"/>
      <c r="BC1" s="1598" t="s">
        <v>1636</v>
      </c>
      <c r="BD1" s="1596" t="s">
        <v>1649</v>
      </c>
      <c r="BE1" s="1187"/>
      <c r="BF1" s="1596" t="s">
        <v>1792</v>
      </c>
      <c r="BG1" s="1596"/>
      <c r="BH1" s="1596"/>
      <c r="BI1" s="1596"/>
      <c r="BJ1" s="1596" t="s">
        <v>1634</v>
      </c>
      <c r="BK1" s="1596"/>
      <c r="BL1" s="1596"/>
      <c r="BM1" s="1598" t="s">
        <v>1633</v>
      </c>
      <c r="BN1" s="1598" t="s">
        <v>1648</v>
      </c>
      <c r="BO1" s="1598" t="s">
        <v>1647</v>
      </c>
    </row>
    <row r="2" spans="14:68">
      <c r="Y2" s="1182" t="s">
        <v>1799</v>
      </c>
      <c r="AV2" s="1373" t="s">
        <v>1587</v>
      </c>
      <c r="AW2" s="1373" t="s">
        <v>1586</v>
      </c>
      <c r="AX2" s="1373" t="s">
        <v>1784</v>
      </c>
      <c r="AY2" s="1373" t="s">
        <v>1583</v>
      </c>
      <c r="AZ2" s="1187" t="s">
        <v>1585</v>
      </c>
      <c r="BA2" s="1187" t="s">
        <v>1584</v>
      </c>
      <c r="BB2" s="1187" t="s">
        <v>1583</v>
      </c>
      <c r="BC2" s="1596"/>
      <c r="BD2" s="1596"/>
      <c r="BE2" s="1187"/>
      <c r="BF2" s="1373" t="s">
        <v>1587</v>
      </c>
      <c r="BG2" s="1373" t="s">
        <v>1586</v>
      </c>
      <c r="BH2" s="1373" t="s">
        <v>1784</v>
      </c>
      <c r="BI2" s="1373" t="s">
        <v>1583</v>
      </c>
      <c r="BJ2" s="1187" t="s">
        <v>1585</v>
      </c>
      <c r="BK2" s="1187" t="s">
        <v>1584</v>
      </c>
      <c r="BL2" s="1187" t="s">
        <v>1583</v>
      </c>
      <c r="BM2" s="1596"/>
      <c r="BN2" s="1598"/>
      <c r="BO2" s="1598"/>
    </row>
    <row r="3" spans="14:68">
      <c r="N3" s="1194" t="s">
        <v>1646</v>
      </c>
      <c r="O3" s="1182" t="s">
        <v>1554</v>
      </c>
      <c r="P3" s="1182" t="s">
        <v>1575</v>
      </c>
      <c r="Q3" s="1182" t="s">
        <v>1491</v>
      </c>
      <c r="R3" s="1182" t="s">
        <v>1491</v>
      </c>
      <c r="Y3" s="1183">
        <f t="shared" ref="Y3:Y20" si="0">+SUMIFS(Y$69:Y$891,$N$69:$N$891,$N3)</f>
        <v>0</v>
      </c>
      <c r="AV3" s="1183">
        <f t="shared" ref="AV3:BC12" si="1">+SUMIFS(AV$69:AV$894,$N$69:$N$894,$N3)</f>
        <v>0</v>
      </c>
      <c r="AW3" s="1183">
        <f t="shared" si="1"/>
        <v>0</v>
      </c>
      <c r="AX3" s="1183">
        <f t="shared" si="1"/>
        <v>0</v>
      </c>
      <c r="AY3" s="1183">
        <f t="shared" si="1"/>
        <v>0</v>
      </c>
      <c r="AZ3" s="1183">
        <f t="shared" si="1"/>
        <v>0</v>
      </c>
      <c r="BA3" s="1183">
        <f t="shared" si="1"/>
        <v>0</v>
      </c>
      <c r="BB3" s="1183">
        <f t="shared" si="1"/>
        <v>0</v>
      </c>
      <c r="BC3" s="1183">
        <f t="shared" si="1"/>
        <v>0</v>
      </c>
      <c r="BD3" s="1183">
        <f t="shared" ref="BD3:BD20" si="2">+SUMIFS(BD$69:BD$784,$N$69:$N$784,$N3)</f>
        <v>0</v>
      </c>
      <c r="BF3" s="1183">
        <f t="shared" ref="BF3:BL12" si="3">+SUMIFS(BF$69:BF$891,$N$69:$N$891,$N3)</f>
        <v>0</v>
      </c>
      <c r="BG3" s="1183">
        <f t="shared" si="3"/>
        <v>0</v>
      </c>
      <c r="BH3" s="1183">
        <f t="shared" si="3"/>
        <v>0</v>
      </c>
      <c r="BI3" s="1183">
        <f t="shared" si="3"/>
        <v>0</v>
      </c>
      <c r="BJ3" s="1183">
        <f t="shared" si="3"/>
        <v>0</v>
      </c>
      <c r="BK3" s="1183">
        <f t="shared" si="3"/>
        <v>0</v>
      </c>
      <c r="BL3" s="1183">
        <f t="shared" si="3"/>
        <v>0</v>
      </c>
      <c r="BM3" s="1183">
        <f t="shared" ref="BM3:BM20" si="4">+SUMIFS(BM$69:BM$894,$N$69:$N$894,$N3)</f>
        <v>0</v>
      </c>
      <c r="BN3" s="1183">
        <f t="shared" ref="BN3:BN19" si="5">+BO3-BM3</f>
        <v>0</v>
      </c>
      <c r="BO3" s="1192">
        <f>+SUMIFS('3条収入'!$AI$6:$AI$70,'3条収入'!$C$6:$C$70,雨汚収入!N3)</f>
        <v>0</v>
      </c>
    </row>
    <row r="4" spans="14:68">
      <c r="N4" s="1182" t="s">
        <v>1582</v>
      </c>
      <c r="O4" s="1182" t="s">
        <v>1554</v>
      </c>
      <c r="P4" s="1182" t="s">
        <v>1575</v>
      </c>
      <c r="Q4" s="1182" t="s">
        <v>1574</v>
      </c>
      <c r="R4" s="1182" t="s">
        <v>1581</v>
      </c>
      <c r="Y4" s="1183">
        <f t="shared" si="0"/>
        <v>187826166</v>
      </c>
      <c r="AV4" s="1183">
        <f t="shared" si="1"/>
        <v>0</v>
      </c>
      <c r="AW4" s="1183">
        <f t="shared" si="1"/>
        <v>0</v>
      </c>
      <c r="AX4" s="1183">
        <f t="shared" si="1"/>
        <v>37753060</v>
      </c>
      <c r="AY4" s="1183">
        <f t="shared" si="1"/>
        <v>37753060</v>
      </c>
      <c r="AZ4" s="1183">
        <f t="shared" si="1"/>
        <v>0</v>
      </c>
      <c r="BA4" s="1183">
        <f t="shared" si="1"/>
        <v>150073106</v>
      </c>
      <c r="BB4" s="1183">
        <f t="shared" si="1"/>
        <v>150073106</v>
      </c>
      <c r="BC4" s="1183">
        <f t="shared" si="1"/>
        <v>187826166</v>
      </c>
      <c r="BD4" s="1183">
        <f t="shared" si="2"/>
        <v>0</v>
      </c>
      <c r="BF4" s="1183">
        <f t="shared" si="3"/>
        <v>0</v>
      </c>
      <c r="BG4" s="1183">
        <f t="shared" si="3"/>
        <v>0</v>
      </c>
      <c r="BH4" s="1183">
        <f t="shared" si="3"/>
        <v>34320964</v>
      </c>
      <c r="BI4" s="1183">
        <f t="shared" si="3"/>
        <v>34320964</v>
      </c>
      <c r="BJ4" s="1183">
        <f t="shared" si="3"/>
        <v>0</v>
      </c>
      <c r="BK4" s="1183">
        <f t="shared" si="3"/>
        <v>136430096</v>
      </c>
      <c r="BL4" s="1183">
        <f t="shared" si="3"/>
        <v>136430096</v>
      </c>
      <c r="BM4" s="1183">
        <f t="shared" si="4"/>
        <v>170751060</v>
      </c>
      <c r="BN4" s="1183">
        <f t="shared" si="5"/>
        <v>0</v>
      </c>
      <c r="BO4" s="1192">
        <f>+SUMIFS('3条収入'!$AI$6:$AI$70,'3条収入'!$C$6:$C$70,雨汚収入!N4)</f>
        <v>170751060</v>
      </c>
    </row>
    <row r="5" spans="14:68">
      <c r="N5" s="1182" t="s">
        <v>1580</v>
      </c>
      <c r="O5" s="1182" t="s">
        <v>1554</v>
      </c>
      <c r="P5" s="1182" t="s">
        <v>1575</v>
      </c>
      <c r="Q5" s="1182" t="s">
        <v>1574</v>
      </c>
      <c r="R5" s="1182" t="s">
        <v>1579</v>
      </c>
      <c r="Y5" s="1183">
        <f t="shared" si="0"/>
        <v>1409733</v>
      </c>
      <c r="AV5" s="1183">
        <f t="shared" si="1"/>
        <v>902422</v>
      </c>
      <c r="AW5" s="1183">
        <f t="shared" si="1"/>
        <v>507311</v>
      </c>
      <c r="AX5" s="1183">
        <f t="shared" si="1"/>
        <v>0</v>
      </c>
      <c r="AY5" s="1183">
        <f t="shared" si="1"/>
        <v>1409733</v>
      </c>
      <c r="AZ5" s="1183">
        <f t="shared" si="1"/>
        <v>0</v>
      </c>
      <c r="BA5" s="1183">
        <f t="shared" si="1"/>
        <v>0</v>
      </c>
      <c r="BB5" s="1183">
        <f t="shared" si="1"/>
        <v>0</v>
      </c>
      <c r="BC5" s="1183">
        <f t="shared" si="1"/>
        <v>1409733</v>
      </c>
      <c r="BD5" s="1183">
        <f t="shared" si="2"/>
        <v>0</v>
      </c>
      <c r="BF5" s="1183">
        <f t="shared" si="3"/>
        <v>820384</v>
      </c>
      <c r="BG5" s="1183">
        <f t="shared" si="3"/>
        <v>461192</v>
      </c>
      <c r="BH5" s="1183">
        <f t="shared" si="3"/>
        <v>0</v>
      </c>
      <c r="BI5" s="1183">
        <f t="shared" si="3"/>
        <v>1281576</v>
      </c>
      <c r="BJ5" s="1183">
        <f t="shared" si="3"/>
        <v>0</v>
      </c>
      <c r="BK5" s="1183">
        <f t="shared" si="3"/>
        <v>0</v>
      </c>
      <c r="BL5" s="1183">
        <f t="shared" si="3"/>
        <v>0</v>
      </c>
      <c r="BM5" s="1183">
        <f t="shared" si="4"/>
        <v>1281576</v>
      </c>
      <c r="BN5" s="1183">
        <f t="shared" si="5"/>
        <v>0</v>
      </c>
      <c r="BO5" s="1192">
        <f>+SUMIFS('3条収入'!$AI$6:$AI$70,'3条収入'!$C$6:$C$70,雨汚収入!N5)</f>
        <v>1281576</v>
      </c>
    </row>
    <row r="6" spans="14:68">
      <c r="N6" s="1182" t="s">
        <v>1578</v>
      </c>
      <c r="O6" s="1182" t="s">
        <v>1554</v>
      </c>
      <c r="P6" s="1182" t="s">
        <v>1575</v>
      </c>
      <c r="Q6" s="1182" t="s">
        <v>1574</v>
      </c>
      <c r="R6" s="1182" t="s">
        <v>1573</v>
      </c>
      <c r="S6" s="1182" t="s">
        <v>1577</v>
      </c>
      <c r="Y6" s="1183">
        <f t="shared" si="0"/>
        <v>71970</v>
      </c>
      <c r="AV6" s="1183">
        <f t="shared" si="1"/>
        <v>32943</v>
      </c>
      <c r="AW6" s="1183">
        <f t="shared" si="1"/>
        <v>0</v>
      </c>
      <c r="AX6" s="1183">
        <f t="shared" si="1"/>
        <v>0</v>
      </c>
      <c r="AY6" s="1183">
        <f t="shared" si="1"/>
        <v>32943</v>
      </c>
      <c r="AZ6" s="1183">
        <f t="shared" si="1"/>
        <v>0</v>
      </c>
      <c r="BA6" s="1183">
        <f t="shared" si="1"/>
        <v>39027</v>
      </c>
      <c r="BB6" s="1183">
        <f t="shared" si="1"/>
        <v>39027</v>
      </c>
      <c r="BC6" s="1183">
        <f t="shared" si="1"/>
        <v>71970</v>
      </c>
      <c r="BD6" s="1183">
        <f t="shared" si="2"/>
        <v>0</v>
      </c>
      <c r="BF6" s="1183">
        <f t="shared" si="3"/>
        <v>32943</v>
      </c>
      <c r="BG6" s="1183">
        <f t="shared" si="3"/>
        <v>0</v>
      </c>
      <c r="BH6" s="1183">
        <f t="shared" si="3"/>
        <v>0</v>
      </c>
      <c r="BI6" s="1183">
        <f t="shared" si="3"/>
        <v>32943</v>
      </c>
      <c r="BJ6" s="1183">
        <f t="shared" si="3"/>
        <v>0</v>
      </c>
      <c r="BK6" s="1183">
        <f t="shared" si="3"/>
        <v>39027</v>
      </c>
      <c r="BL6" s="1183">
        <f t="shared" si="3"/>
        <v>39027</v>
      </c>
      <c r="BM6" s="1183">
        <f t="shared" si="4"/>
        <v>71970</v>
      </c>
      <c r="BN6" s="1183">
        <f t="shared" si="5"/>
        <v>0</v>
      </c>
      <c r="BO6" s="1192">
        <f>+SUMIFS('3条収入'!$AI$6:$AI$70,'3条収入'!$C$6:$C$70,雨汚収入!N6)</f>
        <v>71970</v>
      </c>
    </row>
    <row r="7" spans="14:68">
      <c r="N7" s="1182" t="s">
        <v>1576</v>
      </c>
      <c r="O7" s="1182" t="s">
        <v>1554</v>
      </c>
      <c r="P7" s="1182" t="s">
        <v>1575</v>
      </c>
      <c r="Q7" s="1182" t="s">
        <v>1574</v>
      </c>
      <c r="R7" s="1182" t="s">
        <v>1573</v>
      </c>
      <c r="S7" s="1182" t="s">
        <v>1572</v>
      </c>
      <c r="Y7" s="1183">
        <f t="shared" si="0"/>
        <v>539000</v>
      </c>
      <c r="AV7" s="1183">
        <f t="shared" si="1"/>
        <v>0</v>
      </c>
      <c r="AW7" s="1183">
        <f t="shared" si="1"/>
        <v>0</v>
      </c>
      <c r="AX7" s="1183">
        <f t="shared" si="1"/>
        <v>0</v>
      </c>
      <c r="AY7" s="1183">
        <f t="shared" si="1"/>
        <v>0</v>
      </c>
      <c r="AZ7" s="1183">
        <f t="shared" si="1"/>
        <v>269500</v>
      </c>
      <c r="BA7" s="1183">
        <f t="shared" si="1"/>
        <v>269500</v>
      </c>
      <c r="BB7" s="1183">
        <f t="shared" si="1"/>
        <v>539000</v>
      </c>
      <c r="BC7" s="1183">
        <f t="shared" si="1"/>
        <v>539000</v>
      </c>
      <c r="BD7" s="1183">
        <f t="shared" si="2"/>
        <v>0</v>
      </c>
      <c r="BF7" s="1183">
        <f t="shared" si="3"/>
        <v>0</v>
      </c>
      <c r="BG7" s="1183">
        <f t="shared" si="3"/>
        <v>0</v>
      </c>
      <c r="BH7" s="1183">
        <f t="shared" si="3"/>
        <v>0</v>
      </c>
      <c r="BI7" s="1183">
        <f t="shared" si="3"/>
        <v>0</v>
      </c>
      <c r="BJ7" s="1183">
        <f t="shared" si="3"/>
        <v>269500</v>
      </c>
      <c r="BK7" s="1183">
        <f t="shared" si="3"/>
        <v>269500</v>
      </c>
      <c r="BL7" s="1183">
        <f t="shared" si="3"/>
        <v>539000</v>
      </c>
      <c r="BM7" s="1183">
        <f t="shared" si="4"/>
        <v>539000</v>
      </c>
      <c r="BN7" s="1183">
        <f t="shared" si="5"/>
        <v>0</v>
      </c>
      <c r="BO7" s="1192">
        <f>+SUMIFS('3条収入'!$AI$6:$AI$70,'3条収入'!$C$6:$C$70,雨汚収入!N7)</f>
        <v>539000</v>
      </c>
    </row>
    <row r="8" spans="14:68">
      <c r="N8" s="1431" t="s">
        <v>1789</v>
      </c>
      <c r="O8" s="1182" t="s">
        <v>1554</v>
      </c>
      <c r="P8" s="1182" t="s">
        <v>1563</v>
      </c>
      <c r="Q8" s="1182" t="s">
        <v>1787</v>
      </c>
      <c r="Y8" s="1183">
        <f t="shared" si="0"/>
        <v>0</v>
      </c>
      <c r="AV8" s="1183">
        <f t="shared" si="1"/>
        <v>0</v>
      </c>
      <c r="AW8" s="1183">
        <f t="shared" si="1"/>
        <v>0</v>
      </c>
      <c r="AX8" s="1183">
        <f t="shared" si="1"/>
        <v>0</v>
      </c>
      <c r="AY8" s="1183">
        <f t="shared" si="1"/>
        <v>0</v>
      </c>
      <c r="AZ8" s="1183">
        <f t="shared" si="1"/>
        <v>0</v>
      </c>
      <c r="BA8" s="1183">
        <f t="shared" si="1"/>
        <v>0</v>
      </c>
      <c r="BB8" s="1183">
        <f t="shared" si="1"/>
        <v>0</v>
      </c>
      <c r="BC8" s="1183">
        <f t="shared" si="1"/>
        <v>0</v>
      </c>
      <c r="BD8" s="1183">
        <f t="shared" si="2"/>
        <v>0</v>
      </c>
      <c r="BF8" s="1183">
        <f t="shared" si="3"/>
        <v>0</v>
      </c>
      <c r="BG8" s="1183">
        <f t="shared" si="3"/>
        <v>0</v>
      </c>
      <c r="BH8" s="1183">
        <f t="shared" si="3"/>
        <v>0</v>
      </c>
      <c r="BI8" s="1183">
        <f t="shared" si="3"/>
        <v>0</v>
      </c>
      <c r="BJ8" s="1183">
        <f t="shared" si="3"/>
        <v>0</v>
      </c>
      <c r="BK8" s="1183">
        <f t="shared" si="3"/>
        <v>0</v>
      </c>
      <c r="BL8" s="1183">
        <f t="shared" si="3"/>
        <v>0</v>
      </c>
      <c r="BM8" s="1183">
        <f t="shared" si="4"/>
        <v>0</v>
      </c>
      <c r="BN8" s="1183">
        <f t="shared" ref="BN8" si="6">+BO8-BM8</f>
        <v>0</v>
      </c>
      <c r="BO8" s="1192">
        <f>+SUMIFS('3条収入'!$AI$6:$AI$70,'3条収入'!$C$6:$C$70,雨汚収入!N8)</f>
        <v>0</v>
      </c>
    </row>
    <row r="9" spans="14:68">
      <c r="N9" s="1182" t="s">
        <v>1571</v>
      </c>
      <c r="O9" s="1182" t="s">
        <v>1554</v>
      </c>
      <c r="P9" s="1182" t="s">
        <v>1563</v>
      </c>
      <c r="Q9" s="1182" t="s">
        <v>1467</v>
      </c>
      <c r="R9" s="1182" t="s">
        <v>1570</v>
      </c>
      <c r="Y9" s="1183">
        <f t="shared" si="0"/>
        <v>88770</v>
      </c>
      <c r="AV9" s="1183">
        <f t="shared" si="1"/>
        <v>44385</v>
      </c>
      <c r="AW9" s="1183">
        <f t="shared" si="1"/>
        <v>0</v>
      </c>
      <c r="AX9" s="1183">
        <f t="shared" si="1"/>
        <v>0</v>
      </c>
      <c r="AY9" s="1183">
        <f t="shared" si="1"/>
        <v>44385</v>
      </c>
      <c r="AZ9" s="1183">
        <f t="shared" si="1"/>
        <v>0</v>
      </c>
      <c r="BA9" s="1183">
        <f t="shared" si="1"/>
        <v>44385</v>
      </c>
      <c r="BB9" s="1183">
        <f t="shared" si="1"/>
        <v>44385</v>
      </c>
      <c r="BC9" s="1183">
        <f t="shared" si="1"/>
        <v>88770</v>
      </c>
      <c r="BD9" s="1183">
        <f t="shared" si="2"/>
        <v>0</v>
      </c>
      <c r="BF9" s="1183">
        <f t="shared" si="3"/>
        <v>44385</v>
      </c>
      <c r="BG9" s="1183">
        <f t="shared" si="3"/>
        <v>0</v>
      </c>
      <c r="BH9" s="1183">
        <f t="shared" si="3"/>
        <v>0</v>
      </c>
      <c r="BI9" s="1183">
        <f t="shared" si="3"/>
        <v>44385</v>
      </c>
      <c r="BJ9" s="1183">
        <f t="shared" si="3"/>
        <v>0</v>
      </c>
      <c r="BK9" s="1183">
        <f t="shared" si="3"/>
        <v>44385</v>
      </c>
      <c r="BL9" s="1183">
        <f t="shared" si="3"/>
        <v>44385</v>
      </c>
      <c r="BM9" s="1183">
        <f t="shared" si="4"/>
        <v>88770</v>
      </c>
      <c r="BN9" s="1183">
        <f t="shared" si="5"/>
        <v>0</v>
      </c>
      <c r="BO9" s="1192">
        <f>+SUMIFS('3条収入'!$AI$6:$AI$70,'3条収入'!$C$6:$C$70,雨汚収入!N9)</f>
        <v>88770</v>
      </c>
    </row>
    <row r="10" spans="14:68">
      <c r="N10" s="1431" t="s">
        <v>1790</v>
      </c>
      <c r="O10" s="1182" t="s">
        <v>1554</v>
      </c>
      <c r="P10" s="1182" t="s">
        <v>1563</v>
      </c>
      <c r="Q10" s="1182" t="s">
        <v>1788</v>
      </c>
      <c r="R10" s="1182" t="s">
        <v>1791</v>
      </c>
      <c r="Y10" s="1183">
        <f t="shared" si="0"/>
        <v>0</v>
      </c>
      <c r="AV10" s="1183">
        <f t="shared" si="1"/>
        <v>0</v>
      </c>
      <c r="AW10" s="1183">
        <f t="shared" si="1"/>
        <v>0</v>
      </c>
      <c r="AX10" s="1183">
        <f t="shared" si="1"/>
        <v>0</v>
      </c>
      <c r="AY10" s="1183">
        <f t="shared" si="1"/>
        <v>0</v>
      </c>
      <c r="AZ10" s="1183">
        <f t="shared" si="1"/>
        <v>0</v>
      </c>
      <c r="BA10" s="1183">
        <f t="shared" si="1"/>
        <v>0</v>
      </c>
      <c r="BB10" s="1183">
        <f t="shared" si="1"/>
        <v>0</v>
      </c>
      <c r="BC10" s="1183">
        <f t="shared" si="1"/>
        <v>0</v>
      </c>
      <c r="BD10" s="1183">
        <f t="shared" si="2"/>
        <v>0</v>
      </c>
      <c r="BF10" s="1183">
        <f t="shared" si="3"/>
        <v>0</v>
      </c>
      <c r="BG10" s="1183">
        <f t="shared" si="3"/>
        <v>0</v>
      </c>
      <c r="BH10" s="1183">
        <f t="shared" si="3"/>
        <v>0</v>
      </c>
      <c r="BI10" s="1183">
        <f t="shared" si="3"/>
        <v>0</v>
      </c>
      <c r="BJ10" s="1183">
        <f t="shared" si="3"/>
        <v>0</v>
      </c>
      <c r="BK10" s="1183">
        <f t="shared" si="3"/>
        <v>0</v>
      </c>
      <c r="BL10" s="1183">
        <f t="shared" si="3"/>
        <v>0</v>
      </c>
      <c r="BM10" s="1183">
        <f t="shared" si="4"/>
        <v>0</v>
      </c>
      <c r="BN10" s="1183">
        <f t="shared" si="5"/>
        <v>0</v>
      </c>
      <c r="BO10" s="1192">
        <f>+SUMIFS('3条収入'!$AI$6:$AI$70,'3条収入'!$C$6:$C$70,雨汚収入!N10)</f>
        <v>0</v>
      </c>
    </row>
    <row r="11" spans="14:68">
      <c r="N11" s="1182" t="s">
        <v>1569</v>
      </c>
      <c r="O11" s="1182" t="s">
        <v>1554</v>
      </c>
      <c r="P11" s="1182" t="s">
        <v>1563</v>
      </c>
      <c r="Q11" s="1182" t="s">
        <v>1566</v>
      </c>
      <c r="R11" s="1182" t="s">
        <v>1568</v>
      </c>
      <c r="Y11" s="1183">
        <f t="shared" si="0"/>
        <v>37016600</v>
      </c>
      <c r="AV11" s="1183">
        <f t="shared" si="1"/>
        <v>36785219</v>
      </c>
      <c r="AW11" s="1183">
        <f t="shared" si="1"/>
        <v>0</v>
      </c>
      <c r="AX11" s="1183">
        <f t="shared" si="1"/>
        <v>0</v>
      </c>
      <c r="AY11" s="1183">
        <f t="shared" si="1"/>
        <v>36785219</v>
      </c>
      <c r="AZ11" s="1183">
        <f t="shared" si="1"/>
        <v>0</v>
      </c>
      <c r="BA11" s="1183">
        <f t="shared" si="1"/>
        <v>231381</v>
      </c>
      <c r="BB11" s="1183">
        <f t="shared" si="1"/>
        <v>231381</v>
      </c>
      <c r="BC11" s="1183">
        <f t="shared" si="1"/>
        <v>37016600</v>
      </c>
      <c r="BD11" s="1183">
        <f t="shared" si="2"/>
        <v>0</v>
      </c>
      <c r="BF11" s="1183">
        <f t="shared" si="3"/>
        <v>33441108</v>
      </c>
      <c r="BG11" s="1183">
        <f t="shared" si="3"/>
        <v>0</v>
      </c>
      <c r="BH11" s="1183">
        <f t="shared" si="3"/>
        <v>0</v>
      </c>
      <c r="BI11" s="1183">
        <f t="shared" si="3"/>
        <v>33441108</v>
      </c>
      <c r="BJ11" s="1183">
        <f t="shared" si="3"/>
        <v>0</v>
      </c>
      <c r="BK11" s="1183">
        <f t="shared" si="3"/>
        <v>210347</v>
      </c>
      <c r="BL11" s="1183">
        <f t="shared" si="3"/>
        <v>210347</v>
      </c>
      <c r="BM11" s="1183">
        <f t="shared" si="4"/>
        <v>33651455</v>
      </c>
      <c r="BN11" s="1183">
        <f t="shared" si="5"/>
        <v>0</v>
      </c>
      <c r="BO11" s="1192">
        <f>+SUMIFS('3条収入'!$AI$6:$AI$70,'3条収入'!$C$6:$C$70,雨汚収入!N11)</f>
        <v>33651455</v>
      </c>
    </row>
    <row r="12" spans="14:68">
      <c r="N12" s="1182" t="s">
        <v>1567</v>
      </c>
      <c r="O12" s="1182" t="s">
        <v>1554</v>
      </c>
      <c r="P12" s="1182" t="s">
        <v>1563</v>
      </c>
      <c r="Q12" s="1182" t="s">
        <v>1566</v>
      </c>
      <c r="R12" s="1182" t="s">
        <v>1565</v>
      </c>
      <c r="Y12" s="1183">
        <f t="shared" si="0"/>
        <v>0</v>
      </c>
      <c r="AV12" s="1183">
        <f t="shared" si="1"/>
        <v>0</v>
      </c>
      <c r="AW12" s="1183">
        <f t="shared" si="1"/>
        <v>0</v>
      </c>
      <c r="AX12" s="1183">
        <f t="shared" si="1"/>
        <v>0</v>
      </c>
      <c r="AY12" s="1183">
        <f t="shared" si="1"/>
        <v>0</v>
      </c>
      <c r="AZ12" s="1183">
        <f t="shared" si="1"/>
        <v>0</v>
      </c>
      <c r="BA12" s="1183">
        <f t="shared" si="1"/>
        <v>0</v>
      </c>
      <c r="BB12" s="1183">
        <f t="shared" si="1"/>
        <v>0</v>
      </c>
      <c r="BC12" s="1183">
        <f t="shared" si="1"/>
        <v>0</v>
      </c>
      <c r="BD12" s="1183">
        <f t="shared" si="2"/>
        <v>0</v>
      </c>
      <c r="BF12" s="1183">
        <f t="shared" si="3"/>
        <v>0</v>
      </c>
      <c r="BG12" s="1183">
        <f t="shared" si="3"/>
        <v>0</v>
      </c>
      <c r="BH12" s="1183">
        <f t="shared" si="3"/>
        <v>0</v>
      </c>
      <c r="BI12" s="1183">
        <f t="shared" si="3"/>
        <v>0</v>
      </c>
      <c r="BJ12" s="1183">
        <f t="shared" si="3"/>
        <v>0</v>
      </c>
      <c r="BK12" s="1183">
        <f t="shared" si="3"/>
        <v>0</v>
      </c>
      <c r="BL12" s="1183">
        <f t="shared" si="3"/>
        <v>0</v>
      </c>
      <c r="BM12" s="1183">
        <f t="shared" si="4"/>
        <v>0</v>
      </c>
      <c r="BN12" s="1183">
        <f t="shared" si="5"/>
        <v>16476593</v>
      </c>
      <c r="BO12" s="1192">
        <f>+SUMIFS('3条収入'!$AI$6:$AI$70,'3条収入'!$C$6:$C$70,雨汚収入!N12)</f>
        <v>16476593</v>
      </c>
      <c r="BP12" s="1196"/>
    </row>
    <row r="13" spans="14:68">
      <c r="N13" s="1182" t="s">
        <v>1645</v>
      </c>
      <c r="O13" s="1182" t="s">
        <v>1554</v>
      </c>
      <c r="P13" s="1182" t="s">
        <v>1563</v>
      </c>
      <c r="Q13" s="1182" t="s">
        <v>1461</v>
      </c>
      <c r="R13" s="1182" t="s">
        <v>1461</v>
      </c>
      <c r="Y13" s="1183">
        <f t="shared" si="0"/>
        <v>0</v>
      </c>
      <c r="AV13" s="1183">
        <f t="shared" ref="AV13:BC20" si="7">+SUMIFS(AV$69:AV$894,$N$69:$N$894,$N13)</f>
        <v>0</v>
      </c>
      <c r="AW13" s="1183">
        <f t="shared" si="7"/>
        <v>0</v>
      </c>
      <c r="AX13" s="1183">
        <f t="shared" si="7"/>
        <v>0</v>
      </c>
      <c r="AY13" s="1183">
        <f t="shared" si="7"/>
        <v>0</v>
      </c>
      <c r="AZ13" s="1183">
        <f t="shared" si="7"/>
        <v>0</v>
      </c>
      <c r="BA13" s="1183">
        <f t="shared" si="7"/>
        <v>0</v>
      </c>
      <c r="BB13" s="1183">
        <f t="shared" si="7"/>
        <v>0</v>
      </c>
      <c r="BC13" s="1183">
        <f t="shared" si="7"/>
        <v>0</v>
      </c>
      <c r="BD13" s="1183">
        <f t="shared" si="2"/>
        <v>0</v>
      </c>
      <c r="BF13" s="1183">
        <f t="shared" ref="BF13:BL20" si="8">+SUMIFS(BF$69:BF$891,$N$69:$N$891,$N13)</f>
        <v>0</v>
      </c>
      <c r="BG13" s="1183">
        <f t="shared" si="8"/>
        <v>0</v>
      </c>
      <c r="BH13" s="1183">
        <f t="shared" si="8"/>
        <v>0</v>
      </c>
      <c r="BI13" s="1183">
        <f t="shared" si="8"/>
        <v>0</v>
      </c>
      <c r="BJ13" s="1183">
        <f t="shared" si="8"/>
        <v>0</v>
      </c>
      <c r="BK13" s="1183">
        <f t="shared" si="8"/>
        <v>0</v>
      </c>
      <c r="BL13" s="1183">
        <f t="shared" si="8"/>
        <v>0</v>
      </c>
      <c r="BM13" s="1183">
        <f t="shared" si="4"/>
        <v>0</v>
      </c>
      <c r="BN13" s="1183">
        <f t="shared" si="5"/>
        <v>0</v>
      </c>
      <c r="BO13" s="1192">
        <f>+SUMIFS('3条収入'!$AI$6:$AI$70,'3条収入'!$C$6:$C$70,雨汚収入!N13)</f>
        <v>0</v>
      </c>
    </row>
    <row r="14" spans="14:68">
      <c r="N14" s="1194" t="s">
        <v>1644</v>
      </c>
      <c r="O14" s="1182" t="s">
        <v>1554</v>
      </c>
      <c r="P14" s="1182" t="s">
        <v>1563</v>
      </c>
      <c r="Q14" s="1182" t="s">
        <v>1562</v>
      </c>
      <c r="R14" s="1182" t="s">
        <v>1643</v>
      </c>
      <c r="Y14" s="1183">
        <f t="shared" si="0"/>
        <v>408100</v>
      </c>
      <c r="AV14" s="1183">
        <f t="shared" si="7"/>
        <v>0</v>
      </c>
      <c r="AW14" s="1183">
        <f t="shared" si="7"/>
        <v>0</v>
      </c>
      <c r="AX14" s="1183">
        <f t="shared" si="7"/>
        <v>408100</v>
      </c>
      <c r="AY14" s="1183">
        <f t="shared" si="7"/>
        <v>408100</v>
      </c>
      <c r="AZ14" s="1183">
        <f t="shared" si="7"/>
        <v>0</v>
      </c>
      <c r="BA14" s="1183">
        <f t="shared" si="7"/>
        <v>0</v>
      </c>
      <c r="BB14" s="1183">
        <f t="shared" si="7"/>
        <v>0</v>
      </c>
      <c r="BC14" s="1183">
        <f t="shared" si="7"/>
        <v>408100</v>
      </c>
      <c r="BD14" s="1183">
        <f t="shared" si="2"/>
        <v>0</v>
      </c>
      <c r="BF14" s="1183">
        <f t="shared" si="8"/>
        <v>0</v>
      </c>
      <c r="BG14" s="1183">
        <f t="shared" si="8"/>
        <v>0</v>
      </c>
      <c r="BH14" s="1183">
        <f t="shared" si="8"/>
        <v>371000</v>
      </c>
      <c r="BI14" s="1183">
        <f t="shared" si="8"/>
        <v>371000</v>
      </c>
      <c r="BJ14" s="1183">
        <f t="shared" si="8"/>
        <v>0</v>
      </c>
      <c r="BK14" s="1183">
        <f t="shared" si="8"/>
        <v>0</v>
      </c>
      <c r="BL14" s="1183">
        <f t="shared" si="8"/>
        <v>0</v>
      </c>
      <c r="BM14" s="1183">
        <f t="shared" si="4"/>
        <v>371000</v>
      </c>
      <c r="BN14" s="1183">
        <f t="shared" si="5"/>
        <v>0</v>
      </c>
      <c r="BO14" s="1192">
        <f>+SUMIFS('3条収入'!$AI$6:$AI$70,'3条収入'!$C$6:$C$70,雨汚収入!N14)</f>
        <v>371000</v>
      </c>
    </row>
    <row r="15" spans="14:68">
      <c r="N15" s="1182" t="s">
        <v>1564</v>
      </c>
      <c r="O15" s="1182" t="s">
        <v>1554</v>
      </c>
      <c r="P15" s="1182" t="s">
        <v>1563</v>
      </c>
      <c r="Q15" s="1182" t="s">
        <v>1562</v>
      </c>
      <c r="R15" s="1182" t="s">
        <v>1561</v>
      </c>
      <c r="Y15" s="1183">
        <f t="shared" si="0"/>
        <v>36052234</v>
      </c>
      <c r="AV15" s="1183">
        <f t="shared" si="7"/>
        <v>10360569</v>
      </c>
      <c r="AW15" s="1183">
        <f t="shared" si="7"/>
        <v>0</v>
      </c>
      <c r="AX15" s="1183">
        <f t="shared" si="7"/>
        <v>1399670</v>
      </c>
      <c r="AY15" s="1183">
        <f t="shared" si="7"/>
        <v>11760239</v>
      </c>
      <c r="AZ15" s="1183">
        <f t="shared" si="7"/>
        <v>0</v>
      </c>
      <c r="BA15" s="1183">
        <f t="shared" si="7"/>
        <v>24291995</v>
      </c>
      <c r="BB15" s="1183">
        <f t="shared" si="7"/>
        <v>24291995</v>
      </c>
      <c r="BC15" s="1183">
        <f t="shared" si="7"/>
        <v>36052234</v>
      </c>
      <c r="BD15" s="1183">
        <f t="shared" si="2"/>
        <v>0</v>
      </c>
      <c r="BF15" s="1183">
        <f t="shared" si="8"/>
        <v>10155799</v>
      </c>
      <c r="BG15" s="1183">
        <f t="shared" si="8"/>
        <v>0</v>
      </c>
      <c r="BH15" s="1183">
        <f t="shared" si="8"/>
        <v>1397864</v>
      </c>
      <c r="BI15" s="1183">
        <f t="shared" si="8"/>
        <v>11553663</v>
      </c>
      <c r="BJ15" s="1183">
        <f t="shared" si="8"/>
        <v>0</v>
      </c>
      <c r="BK15" s="1183">
        <f t="shared" si="8"/>
        <v>23325314</v>
      </c>
      <c r="BL15" s="1183">
        <f t="shared" si="8"/>
        <v>23325314</v>
      </c>
      <c r="BM15" s="1183">
        <f t="shared" si="4"/>
        <v>34878977</v>
      </c>
      <c r="BN15" s="1183">
        <f t="shared" si="5"/>
        <v>0</v>
      </c>
      <c r="BO15" s="1192">
        <f>+SUMIFS('3条収入'!$AI$6:$AI$70,'3条収入'!$C$6:$C$70,雨汚収入!N15)</f>
        <v>34878977</v>
      </c>
    </row>
    <row r="16" spans="14:68">
      <c r="N16" s="1193" t="s">
        <v>1642</v>
      </c>
      <c r="O16" s="1193" t="s">
        <v>1554</v>
      </c>
      <c r="P16" s="1193" t="s">
        <v>1553</v>
      </c>
      <c r="Q16" s="1193" t="s">
        <v>1641</v>
      </c>
      <c r="R16" s="1193" t="s">
        <v>1641</v>
      </c>
      <c r="Y16" s="1183">
        <f t="shared" si="0"/>
        <v>0</v>
      </c>
      <c r="AV16" s="1183">
        <f t="shared" si="7"/>
        <v>0</v>
      </c>
      <c r="AW16" s="1183">
        <f t="shared" si="7"/>
        <v>0</v>
      </c>
      <c r="AX16" s="1183">
        <f t="shared" si="7"/>
        <v>0</v>
      </c>
      <c r="AY16" s="1183">
        <f t="shared" si="7"/>
        <v>0</v>
      </c>
      <c r="AZ16" s="1183">
        <f t="shared" si="7"/>
        <v>0</v>
      </c>
      <c r="BA16" s="1183">
        <f t="shared" si="7"/>
        <v>0</v>
      </c>
      <c r="BB16" s="1183">
        <f t="shared" si="7"/>
        <v>0</v>
      </c>
      <c r="BC16" s="1183">
        <f t="shared" si="7"/>
        <v>0</v>
      </c>
      <c r="BD16" s="1183">
        <f t="shared" si="2"/>
        <v>0</v>
      </c>
      <c r="BF16" s="1183">
        <f t="shared" si="8"/>
        <v>0</v>
      </c>
      <c r="BG16" s="1183">
        <f t="shared" si="8"/>
        <v>0</v>
      </c>
      <c r="BH16" s="1183">
        <f t="shared" si="8"/>
        <v>0</v>
      </c>
      <c r="BI16" s="1183">
        <f t="shared" si="8"/>
        <v>0</v>
      </c>
      <c r="BJ16" s="1183">
        <f t="shared" si="8"/>
        <v>0</v>
      </c>
      <c r="BK16" s="1183">
        <f t="shared" si="8"/>
        <v>0</v>
      </c>
      <c r="BL16" s="1183">
        <f t="shared" si="8"/>
        <v>0</v>
      </c>
      <c r="BM16" s="1183">
        <f t="shared" si="4"/>
        <v>0</v>
      </c>
      <c r="BN16" s="1183">
        <f t="shared" si="5"/>
        <v>0</v>
      </c>
      <c r="BO16" s="1192">
        <f>+SUMIFS('3条収入'!$AI$6:$AI$70,'3条収入'!$C$6:$C$70,雨汚収入!N16)</f>
        <v>0</v>
      </c>
    </row>
    <row r="17" spans="1:72" s="1183" customFormat="1">
      <c r="A17" s="1182"/>
      <c r="B17" s="1182"/>
      <c r="C17" s="1182"/>
      <c r="D17" s="1182"/>
      <c r="E17" s="1182"/>
      <c r="F17" s="1182"/>
      <c r="G17" s="1182"/>
      <c r="H17" s="1182"/>
      <c r="I17" s="1182"/>
      <c r="J17" s="1182"/>
      <c r="K17" s="1182"/>
      <c r="L17" s="1182"/>
      <c r="M17" s="1182"/>
      <c r="N17" s="1182" t="s">
        <v>1560</v>
      </c>
      <c r="O17" s="1182" t="s">
        <v>1554</v>
      </c>
      <c r="P17" s="1182" t="s">
        <v>1553</v>
      </c>
      <c r="Q17" s="1182" t="s">
        <v>1559</v>
      </c>
      <c r="R17" s="1182" t="s">
        <v>1559</v>
      </c>
      <c r="S17" s="1182"/>
      <c r="T17" s="1182"/>
      <c r="U17" s="1182"/>
      <c r="V17" s="1182"/>
      <c r="W17" s="1182"/>
      <c r="X17" s="1182"/>
      <c r="Y17" s="1183">
        <f t="shared" si="0"/>
        <v>2769570</v>
      </c>
      <c r="Z17" s="1182"/>
      <c r="AA17" s="1182"/>
      <c r="AB17" s="1182"/>
      <c r="AC17" s="1182"/>
      <c r="AD17" s="1182"/>
      <c r="AE17" s="1182"/>
      <c r="AF17" s="1182"/>
      <c r="AG17" s="1182"/>
      <c r="AH17" s="1182"/>
      <c r="AI17" s="1182"/>
      <c r="AJ17" s="1182"/>
      <c r="AK17" s="1182"/>
      <c r="AL17" s="1182"/>
      <c r="AM17" s="1182"/>
      <c r="AN17" s="1182"/>
      <c r="AO17" s="1182"/>
      <c r="AP17" s="1182"/>
      <c r="AQ17" s="1182"/>
      <c r="AR17" s="1182"/>
      <c r="AS17" s="1182"/>
      <c r="AT17" s="1182"/>
      <c r="AU17" s="1182"/>
      <c r="AV17" s="1183">
        <f t="shared" si="7"/>
        <v>352162</v>
      </c>
      <c r="AW17" s="1183">
        <f t="shared" si="7"/>
        <v>0</v>
      </c>
      <c r="AX17" s="1183">
        <f t="shared" si="7"/>
        <v>487974</v>
      </c>
      <c r="AY17" s="1183">
        <f t="shared" si="7"/>
        <v>840136</v>
      </c>
      <c r="AZ17" s="1183">
        <f t="shared" si="7"/>
        <v>29260</v>
      </c>
      <c r="BA17" s="1183">
        <f t="shared" si="7"/>
        <v>1900174</v>
      </c>
      <c r="BB17" s="1183">
        <f t="shared" si="7"/>
        <v>1929434</v>
      </c>
      <c r="BC17" s="1183">
        <f t="shared" si="7"/>
        <v>2769570</v>
      </c>
      <c r="BD17" s="1183">
        <f t="shared" si="2"/>
        <v>0</v>
      </c>
      <c r="BF17" s="1183">
        <f t="shared" si="8"/>
        <v>352162</v>
      </c>
      <c r="BG17" s="1183">
        <f t="shared" si="8"/>
        <v>0</v>
      </c>
      <c r="BH17" s="1183">
        <f t="shared" si="8"/>
        <v>487974</v>
      </c>
      <c r="BI17" s="1183">
        <f t="shared" si="8"/>
        <v>840136</v>
      </c>
      <c r="BJ17" s="1183">
        <f t="shared" si="8"/>
        <v>29260</v>
      </c>
      <c r="BK17" s="1183">
        <f t="shared" si="8"/>
        <v>1754286</v>
      </c>
      <c r="BL17" s="1183">
        <f t="shared" si="8"/>
        <v>1783546</v>
      </c>
      <c r="BM17" s="1183">
        <f t="shared" si="4"/>
        <v>2623682</v>
      </c>
      <c r="BN17" s="1183">
        <f t="shared" si="5"/>
        <v>0</v>
      </c>
      <c r="BO17" s="1192">
        <f>+SUMIFS('3条収入'!$AI$6:$AI$70,'3条収入'!$C$6:$C$70,雨汚収入!N17)</f>
        <v>2623682</v>
      </c>
      <c r="BP17" s="1182"/>
      <c r="BQ17" s="1182"/>
      <c r="BR17" s="1182"/>
      <c r="BS17" s="1182"/>
      <c r="BT17" s="1182"/>
    </row>
    <row r="18" spans="1:72" s="1183" customFormat="1">
      <c r="A18" s="1182"/>
      <c r="B18" s="1182"/>
      <c r="C18" s="1182"/>
      <c r="D18" s="1182"/>
      <c r="E18" s="1182"/>
      <c r="F18" s="1182"/>
      <c r="G18" s="1182"/>
      <c r="H18" s="1182"/>
      <c r="I18" s="1182"/>
      <c r="J18" s="1182"/>
      <c r="K18" s="1182"/>
      <c r="L18" s="1182"/>
      <c r="M18" s="1182"/>
      <c r="N18" s="1182" t="s">
        <v>1558</v>
      </c>
      <c r="O18" s="1182" t="s">
        <v>1554</v>
      </c>
      <c r="P18" s="1182" t="s">
        <v>1553</v>
      </c>
      <c r="Q18" s="1182" t="s">
        <v>1552</v>
      </c>
      <c r="R18" s="1182" t="s">
        <v>1552</v>
      </c>
      <c r="S18" s="1182"/>
      <c r="T18" s="1182"/>
      <c r="U18" s="1182"/>
      <c r="V18" s="1182"/>
      <c r="W18" s="1182"/>
      <c r="X18" s="1182"/>
      <c r="Y18" s="1183">
        <f t="shared" si="0"/>
        <v>864807</v>
      </c>
      <c r="Z18" s="1182"/>
      <c r="AA18" s="1182"/>
      <c r="AB18" s="1182"/>
      <c r="AC18" s="1182"/>
      <c r="AD18" s="1182"/>
      <c r="AE18" s="1182"/>
      <c r="AF18" s="1182"/>
      <c r="AG18" s="1182"/>
      <c r="AH18" s="1182"/>
      <c r="AI18" s="1182"/>
      <c r="AJ18" s="1182"/>
      <c r="AK18" s="1182"/>
      <c r="AL18" s="1182"/>
      <c r="AM18" s="1182"/>
      <c r="AN18" s="1182"/>
      <c r="AO18" s="1182"/>
      <c r="AP18" s="1182"/>
      <c r="AQ18" s="1182"/>
      <c r="AR18" s="1182"/>
      <c r="AS18" s="1182"/>
      <c r="AT18" s="1182"/>
      <c r="AU18" s="1182"/>
      <c r="AV18" s="1183">
        <f t="shared" si="7"/>
        <v>588069</v>
      </c>
      <c r="AW18" s="1183">
        <f t="shared" si="7"/>
        <v>0</v>
      </c>
      <c r="AX18" s="1183">
        <f t="shared" si="7"/>
        <v>0</v>
      </c>
      <c r="AY18" s="1183">
        <f t="shared" si="7"/>
        <v>588069</v>
      </c>
      <c r="AZ18" s="1183">
        <f t="shared" si="7"/>
        <v>0</v>
      </c>
      <c r="BA18" s="1183">
        <f t="shared" si="7"/>
        <v>276738</v>
      </c>
      <c r="BB18" s="1183">
        <f t="shared" si="7"/>
        <v>276738</v>
      </c>
      <c r="BC18" s="1183">
        <f t="shared" si="7"/>
        <v>864807</v>
      </c>
      <c r="BD18" s="1183">
        <f t="shared" si="2"/>
        <v>0</v>
      </c>
      <c r="BF18" s="1183">
        <f t="shared" si="8"/>
        <v>588069</v>
      </c>
      <c r="BG18" s="1183">
        <f t="shared" si="8"/>
        <v>0</v>
      </c>
      <c r="BH18" s="1183">
        <f t="shared" si="8"/>
        <v>0</v>
      </c>
      <c r="BI18" s="1183">
        <f t="shared" si="8"/>
        <v>588069</v>
      </c>
      <c r="BJ18" s="1183">
        <f t="shared" si="8"/>
        <v>0</v>
      </c>
      <c r="BK18" s="1183">
        <f t="shared" si="8"/>
        <v>276738</v>
      </c>
      <c r="BL18" s="1183">
        <f t="shared" si="8"/>
        <v>276738</v>
      </c>
      <c r="BM18" s="1183">
        <f t="shared" si="4"/>
        <v>864807</v>
      </c>
      <c r="BN18" s="1183">
        <f t="shared" si="5"/>
        <v>0</v>
      </c>
      <c r="BO18" s="1192">
        <f>+SUMIFS('3条収入'!$AI$6:$AI$70,'3条収入'!$C$6:$C$70,雨汚収入!N18)</f>
        <v>864807</v>
      </c>
      <c r="BP18" s="1182"/>
      <c r="BQ18" s="1182"/>
      <c r="BR18" s="1182"/>
      <c r="BS18" s="1182"/>
      <c r="BT18" s="1182"/>
    </row>
    <row r="19" spans="1:72" s="1183" customFormat="1">
      <c r="A19" s="1182"/>
      <c r="B19" s="1182"/>
      <c r="C19" s="1182"/>
      <c r="D19" s="1182"/>
      <c r="E19" s="1182"/>
      <c r="F19" s="1182"/>
      <c r="G19" s="1182"/>
      <c r="H19" s="1182"/>
      <c r="I19" s="1182"/>
      <c r="J19" s="1182"/>
      <c r="K19" s="1182"/>
      <c r="L19" s="1182"/>
      <c r="M19" s="1182"/>
      <c r="N19" s="1182" t="s">
        <v>1557</v>
      </c>
      <c r="O19" s="1182" t="s">
        <v>1554</v>
      </c>
      <c r="P19" s="1182" t="s">
        <v>1553</v>
      </c>
      <c r="Q19" s="1182" t="s">
        <v>1552</v>
      </c>
      <c r="R19" s="1182" t="s">
        <v>1556</v>
      </c>
      <c r="S19" s="1182"/>
      <c r="T19" s="1182"/>
      <c r="U19" s="1182"/>
      <c r="V19" s="1182"/>
      <c r="W19" s="1182"/>
      <c r="X19" s="1182"/>
      <c r="Y19" s="1183">
        <f t="shared" si="0"/>
        <v>455622</v>
      </c>
      <c r="Z19" s="1182"/>
      <c r="AA19" s="1182"/>
      <c r="AB19" s="1182"/>
      <c r="AC19" s="1182"/>
      <c r="AD19" s="1182"/>
      <c r="AE19" s="1182"/>
      <c r="AF19" s="1182"/>
      <c r="AG19" s="1182"/>
      <c r="AH19" s="1182"/>
      <c r="AI19" s="1182"/>
      <c r="AJ19" s="1182"/>
      <c r="AK19" s="1182"/>
      <c r="AL19" s="1182"/>
      <c r="AM19" s="1182"/>
      <c r="AN19" s="1182"/>
      <c r="AO19" s="1182"/>
      <c r="AP19" s="1182"/>
      <c r="AQ19" s="1182"/>
      <c r="AR19" s="1182"/>
      <c r="AS19" s="1182"/>
      <c r="AT19" s="1182"/>
      <c r="AU19" s="1182"/>
      <c r="AV19" s="1183">
        <f t="shared" si="7"/>
        <v>0</v>
      </c>
      <c r="AW19" s="1183">
        <f t="shared" si="7"/>
        <v>0</v>
      </c>
      <c r="AX19" s="1183">
        <f t="shared" si="7"/>
        <v>16334</v>
      </c>
      <c r="AY19" s="1183">
        <f t="shared" si="7"/>
        <v>16334</v>
      </c>
      <c r="AZ19" s="1183">
        <f t="shared" si="7"/>
        <v>0</v>
      </c>
      <c r="BA19" s="1183">
        <f t="shared" si="7"/>
        <v>439288</v>
      </c>
      <c r="BB19" s="1183">
        <f t="shared" si="7"/>
        <v>439288</v>
      </c>
      <c r="BC19" s="1183">
        <f t="shared" si="7"/>
        <v>455622</v>
      </c>
      <c r="BD19" s="1183">
        <f t="shared" si="2"/>
        <v>0</v>
      </c>
      <c r="BF19" s="1183">
        <f t="shared" si="8"/>
        <v>0</v>
      </c>
      <c r="BG19" s="1183">
        <f t="shared" si="8"/>
        <v>0</v>
      </c>
      <c r="BH19" s="1183">
        <f t="shared" si="8"/>
        <v>16334</v>
      </c>
      <c r="BI19" s="1183">
        <f t="shared" si="8"/>
        <v>16334</v>
      </c>
      <c r="BJ19" s="1183">
        <f t="shared" si="8"/>
        <v>0</v>
      </c>
      <c r="BK19" s="1183">
        <f t="shared" si="8"/>
        <v>439288</v>
      </c>
      <c r="BL19" s="1183">
        <f t="shared" si="8"/>
        <v>439288</v>
      </c>
      <c r="BM19" s="1183">
        <f t="shared" si="4"/>
        <v>455622</v>
      </c>
      <c r="BN19" s="1183">
        <f t="shared" si="5"/>
        <v>0</v>
      </c>
      <c r="BO19" s="1192">
        <f>+SUMIFS('3条収入'!$AI$6:$AI$70,'3条収入'!$C$6:$C$70,雨汚収入!N19)</f>
        <v>455622</v>
      </c>
      <c r="BP19" s="1182"/>
      <c r="BQ19" s="1182"/>
      <c r="BR19" s="1182"/>
      <c r="BS19" s="1182"/>
      <c r="BT19" s="1182"/>
    </row>
    <row r="20" spans="1:72" s="1183" customFormat="1">
      <c r="A20" s="1182"/>
      <c r="B20" s="1182"/>
      <c r="C20" s="1182"/>
      <c r="D20" s="1182"/>
      <c r="E20" s="1182"/>
      <c r="F20" s="1182"/>
      <c r="G20" s="1182"/>
      <c r="H20" s="1182"/>
      <c r="I20" s="1182"/>
      <c r="J20" s="1182"/>
      <c r="K20" s="1182"/>
      <c r="L20" s="1182"/>
      <c r="M20" s="1182"/>
      <c r="N20" s="1182" t="s">
        <v>1555</v>
      </c>
      <c r="O20" s="1182" t="s">
        <v>1554</v>
      </c>
      <c r="P20" s="1182" t="s">
        <v>1553</v>
      </c>
      <c r="Q20" s="1182" t="s">
        <v>1552</v>
      </c>
      <c r="R20" s="1182" t="s">
        <v>1551</v>
      </c>
      <c r="S20" s="1182"/>
      <c r="T20" s="1182"/>
      <c r="U20" s="1182"/>
      <c r="V20" s="1182"/>
      <c r="W20" s="1182"/>
      <c r="X20" s="1182"/>
      <c r="Y20" s="1183">
        <f t="shared" si="0"/>
        <v>109000</v>
      </c>
      <c r="Z20" s="1182"/>
      <c r="AA20" s="1182"/>
      <c r="AB20" s="1182"/>
      <c r="AC20" s="1182"/>
      <c r="AD20" s="1182"/>
      <c r="AE20" s="1182"/>
      <c r="AF20" s="1182"/>
      <c r="AG20" s="1182"/>
      <c r="AH20" s="1182"/>
      <c r="AI20" s="1182"/>
      <c r="AJ20" s="1182"/>
      <c r="AK20" s="1182"/>
      <c r="AL20" s="1182"/>
      <c r="AM20" s="1182"/>
      <c r="AN20" s="1182"/>
      <c r="AO20" s="1182"/>
      <c r="AP20" s="1182"/>
      <c r="AQ20" s="1182"/>
      <c r="AR20" s="1182"/>
      <c r="AS20" s="1182"/>
      <c r="AT20" s="1182"/>
      <c r="AU20" s="1182"/>
      <c r="AV20" s="1183">
        <f t="shared" si="7"/>
        <v>54500</v>
      </c>
      <c r="AW20" s="1183">
        <f t="shared" si="7"/>
        <v>0</v>
      </c>
      <c r="AX20" s="1183">
        <f t="shared" si="7"/>
        <v>0</v>
      </c>
      <c r="AY20" s="1183">
        <f t="shared" si="7"/>
        <v>54500</v>
      </c>
      <c r="AZ20" s="1183">
        <f t="shared" si="7"/>
        <v>0</v>
      </c>
      <c r="BA20" s="1183">
        <f t="shared" si="7"/>
        <v>54500</v>
      </c>
      <c r="BB20" s="1183">
        <f t="shared" si="7"/>
        <v>54500</v>
      </c>
      <c r="BC20" s="1183">
        <f t="shared" si="7"/>
        <v>109000</v>
      </c>
      <c r="BD20" s="1183">
        <f t="shared" si="2"/>
        <v>0</v>
      </c>
      <c r="BF20" s="1183">
        <f t="shared" si="8"/>
        <v>54500</v>
      </c>
      <c r="BG20" s="1183">
        <f t="shared" si="8"/>
        <v>0</v>
      </c>
      <c r="BH20" s="1183">
        <f t="shared" si="8"/>
        <v>0</v>
      </c>
      <c r="BI20" s="1183">
        <f t="shared" si="8"/>
        <v>54500</v>
      </c>
      <c r="BJ20" s="1183">
        <f t="shared" si="8"/>
        <v>0</v>
      </c>
      <c r="BK20" s="1183">
        <f t="shared" si="8"/>
        <v>54500</v>
      </c>
      <c r="BL20" s="1183">
        <f t="shared" si="8"/>
        <v>54500</v>
      </c>
      <c r="BM20" s="1183">
        <f t="shared" si="4"/>
        <v>109000</v>
      </c>
      <c r="BN20" s="1183">
        <f>+BO20-BM20</f>
        <v>0</v>
      </c>
      <c r="BO20" s="1192">
        <f>+SUMIFS('3条収入'!$AI$6:$AI$70,'3条収入'!$C$6:$C$70,雨汚収入!N20)</f>
        <v>109000</v>
      </c>
      <c r="BP20" s="1182"/>
      <c r="BQ20" s="1182"/>
      <c r="BR20" s="1182"/>
      <c r="BS20" s="1182"/>
      <c r="BT20" s="1182"/>
    </row>
    <row r="23" spans="1:72" ht="13.5" customHeight="1">
      <c r="Q23" s="1196"/>
      <c r="R23" s="1195" t="s">
        <v>1651</v>
      </c>
      <c r="AV23" s="1596" t="s">
        <v>1638</v>
      </c>
      <c r="AW23" s="1596"/>
      <c r="AX23" s="1596"/>
      <c r="AY23" s="1596"/>
      <c r="AZ23" s="1596" t="s">
        <v>1637</v>
      </c>
      <c r="BA23" s="1596"/>
      <c r="BB23" s="1596"/>
      <c r="BC23" s="1598" t="s">
        <v>1636</v>
      </c>
      <c r="BD23" s="1596" t="s">
        <v>1649</v>
      </c>
      <c r="BE23" s="1187"/>
      <c r="BF23" s="1596" t="s">
        <v>1792</v>
      </c>
      <c r="BG23" s="1596"/>
      <c r="BH23" s="1596"/>
      <c r="BI23" s="1596"/>
      <c r="BJ23" s="1596" t="s">
        <v>1634</v>
      </c>
      <c r="BK23" s="1596"/>
      <c r="BL23" s="1596"/>
      <c r="BM23" s="1598" t="s">
        <v>1633</v>
      </c>
      <c r="BN23" s="1598" t="s">
        <v>1648</v>
      </c>
      <c r="BO23" s="1598" t="s">
        <v>1647</v>
      </c>
    </row>
    <row r="24" spans="1:72">
      <c r="AV24" s="1373" t="s">
        <v>1587</v>
      </c>
      <c r="AW24" s="1373" t="s">
        <v>1586</v>
      </c>
      <c r="AX24" s="1373" t="s">
        <v>1784</v>
      </c>
      <c r="AY24" s="1373" t="s">
        <v>1583</v>
      </c>
      <c r="AZ24" s="1187" t="s">
        <v>1585</v>
      </c>
      <c r="BA24" s="1187" t="s">
        <v>1584</v>
      </c>
      <c r="BB24" s="1187" t="s">
        <v>1583</v>
      </c>
      <c r="BC24" s="1596"/>
      <c r="BD24" s="1596"/>
      <c r="BE24" s="1187"/>
      <c r="BF24" s="1373" t="s">
        <v>1587</v>
      </c>
      <c r="BG24" s="1373" t="s">
        <v>1586</v>
      </c>
      <c r="BH24" s="1373" t="s">
        <v>1784</v>
      </c>
      <c r="BI24" s="1373" t="s">
        <v>1583</v>
      </c>
      <c r="BJ24" s="1187" t="s">
        <v>1585</v>
      </c>
      <c r="BK24" s="1187" t="s">
        <v>1584</v>
      </c>
      <c r="BL24" s="1187" t="s">
        <v>1583</v>
      </c>
      <c r="BM24" s="1596"/>
      <c r="BN24" s="1598"/>
      <c r="BO24" s="1598"/>
    </row>
    <row r="25" spans="1:72">
      <c r="N25" s="1194" t="s">
        <v>1646</v>
      </c>
      <c r="O25" s="1182" t="s">
        <v>1554</v>
      </c>
      <c r="P25" s="1182" t="s">
        <v>1575</v>
      </c>
      <c r="Q25" s="1182" t="s">
        <v>1491</v>
      </c>
      <c r="R25" s="1182" t="s">
        <v>1491</v>
      </c>
      <c r="Y25" s="1183">
        <f t="shared" ref="Y25:Y42" si="9">+SUMIFS(Y$69:Y$891,$N$69:$N$891,$N25,$AS$69:$AS$891,31)</f>
        <v>0</v>
      </c>
      <c r="AS25" s="1183"/>
      <c r="AT25" s="1183"/>
      <c r="AU25" s="1183"/>
      <c r="AV25" s="1183">
        <f t="shared" ref="AV25:BC34" si="10">+SUMIFS(AV$69:AV$894,$N$69:$N$894,$N25,$AS$69:$AS$894,31)</f>
        <v>0</v>
      </c>
      <c r="AW25" s="1183">
        <f t="shared" si="10"/>
        <v>0</v>
      </c>
      <c r="AX25" s="1183">
        <f t="shared" si="10"/>
        <v>0</v>
      </c>
      <c r="AY25" s="1183">
        <f t="shared" si="10"/>
        <v>0</v>
      </c>
      <c r="AZ25" s="1183">
        <f t="shared" si="10"/>
        <v>0</v>
      </c>
      <c r="BA25" s="1183">
        <f t="shared" si="10"/>
        <v>0</v>
      </c>
      <c r="BB25" s="1183">
        <f t="shared" si="10"/>
        <v>0</v>
      </c>
      <c r="BC25" s="1183">
        <f t="shared" si="10"/>
        <v>0</v>
      </c>
      <c r="BD25" s="1183">
        <f t="shared" ref="BD25:BE42" si="11">+SUMIFS(BD$69:BD$784,$N$69:$N$784,$N25,$AS$69:$AS$784,31)</f>
        <v>0</v>
      </c>
      <c r="BE25" s="1183">
        <f t="shared" si="11"/>
        <v>0</v>
      </c>
      <c r="BF25" s="1183">
        <f t="shared" ref="BF25:BL34" si="12">+SUMIFS(BF$69:BF$891,$N$69:$N$891,$N25,$AS$69:$AS$891,31)</f>
        <v>0</v>
      </c>
      <c r="BG25" s="1183">
        <f t="shared" si="12"/>
        <v>0</v>
      </c>
      <c r="BH25" s="1183">
        <f t="shared" si="12"/>
        <v>0</v>
      </c>
      <c r="BI25" s="1183">
        <f t="shared" si="12"/>
        <v>0</v>
      </c>
      <c r="BJ25" s="1183">
        <f t="shared" si="12"/>
        <v>0</v>
      </c>
      <c r="BK25" s="1183">
        <f t="shared" si="12"/>
        <v>0</v>
      </c>
      <c r="BL25" s="1183">
        <f t="shared" si="12"/>
        <v>0</v>
      </c>
      <c r="BM25" s="1183">
        <f t="shared" ref="BM25:BM42" si="13">+SUMIFS(BM$69:BM$894,$N$69:$N$894,$N25,$AS$69:$AS$894,31)</f>
        <v>0</v>
      </c>
      <c r="BN25" s="1183">
        <f t="shared" ref="BN25:BN42" si="14">+SUMIFS(BN$69:BN$784,$N$69:$N$784,$N25,$AS$69:$AS$784,31)</f>
        <v>0</v>
      </c>
      <c r="BO25" s="1183"/>
    </row>
    <row r="26" spans="1:72">
      <c r="N26" s="1182" t="s">
        <v>1582</v>
      </c>
      <c r="O26" s="1182" t="s">
        <v>1554</v>
      </c>
      <c r="P26" s="1182" t="s">
        <v>1575</v>
      </c>
      <c r="Q26" s="1182" t="s">
        <v>1574</v>
      </c>
      <c r="R26" s="1182" t="s">
        <v>1581</v>
      </c>
      <c r="Y26" s="1183">
        <f t="shared" si="9"/>
        <v>0</v>
      </c>
      <c r="AS26" s="1183"/>
      <c r="AT26" s="1183"/>
      <c r="AU26" s="1183"/>
      <c r="AV26" s="1183">
        <f t="shared" si="10"/>
        <v>0</v>
      </c>
      <c r="AW26" s="1183">
        <f t="shared" si="10"/>
        <v>0</v>
      </c>
      <c r="AX26" s="1183">
        <f t="shared" si="10"/>
        <v>0</v>
      </c>
      <c r="AY26" s="1183">
        <f t="shared" si="10"/>
        <v>0</v>
      </c>
      <c r="AZ26" s="1183">
        <f t="shared" si="10"/>
        <v>0</v>
      </c>
      <c r="BA26" s="1183">
        <f t="shared" si="10"/>
        <v>0</v>
      </c>
      <c r="BB26" s="1183">
        <f t="shared" si="10"/>
        <v>0</v>
      </c>
      <c r="BC26" s="1183">
        <f t="shared" si="10"/>
        <v>0</v>
      </c>
      <c r="BD26" s="1183">
        <f t="shared" si="11"/>
        <v>0</v>
      </c>
      <c r="BE26" s="1183">
        <f t="shared" si="11"/>
        <v>0</v>
      </c>
      <c r="BF26" s="1183">
        <f t="shared" si="12"/>
        <v>0</v>
      </c>
      <c r="BG26" s="1183">
        <f t="shared" si="12"/>
        <v>0</v>
      </c>
      <c r="BH26" s="1183">
        <f t="shared" si="12"/>
        <v>0</v>
      </c>
      <c r="BI26" s="1183">
        <f t="shared" si="12"/>
        <v>0</v>
      </c>
      <c r="BJ26" s="1183">
        <f t="shared" si="12"/>
        <v>0</v>
      </c>
      <c r="BK26" s="1183">
        <f t="shared" si="12"/>
        <v>0</v>
      </c>
      <c r="BL26" s="1183">
        <f t="shared" si="12"/>
        <v>0</v>
      </c>
      <c r="BM26" s="1183">
        <f t="shared" si="13"/>
        <v>0</v>
      </c>
      <c r="BN26" s="1183">
        <f t="shared" si="14"/>
        <v>0</v>
      </c>
      <c r="BO26" s="1183"/>
    </row>
    <row r="27" spans="1:72">
      <c r="N27" s="1182" t="s">
        <v>1580</v>
      </c>
      <c r="O27" s="1182" t="s">
        <v>1554</v>
      </c>
      <c r="P27" s="1182" t="s">
        <v>1575</v>
      </c>
      <c r="Q27" s="1182" t="s">
        <v>1574</v>
      </c>
      <c r="R27" s="1182" t="s">
        <v>1579</v>
      </c>
      <c r="Y27" s="1183">
        <f t="shared" si="9"/>
        <v>0</v>
      </c>
      <c r="AS27" s="1183"/>
      <c r="AT27" s="1183"/>
      <c r="AU27" s="1183"/>
      <c r="AV27" s="1183">
        <f t="shared" si="10"/>
        <v>0</v>
      </c>
      <c r="AW27" s="1183">
        <f t="shared" si="10"/>
        <v>0</v>
      </c>
      <c r="AX27" s="1183">
        <f t="shared" si="10"/>
        <v>0</v>
      </c>
      <c r="AY27" s="1183">
        <f t="shared" si="10"/>
        <v>0</v>
      </c>
      <c r="AZ27" s="1183">
        <f t="shared" si="10"/>
        <v>0</v>
      </c>
      <c r="BA27" s="1183">
        <f t="shared" si="10"/>
        <v>0</v>
      </c>
      <c r="BB27" s="1183">
        <f t="shared" si="10"/>
        <v>0</v>
      </c>
      <c r="BC27" s="1183">
        <f t="shared" si="10"/>
        <v>0</v>
      </c>
      <c r="BD27" s="1183">
        <f t="shared" si="11"/>
        <v>0</v>
      </c>
      <c r="BE27" s="1183">
        <f t="shared" si="11"/>
        <v>0</v>
      </c>
      <c r="BF27" s="1183">
        <f t="shared" si="12"/>
        <v>0</v>
      </c>
      <c r="BG27" s="1183">
        <f t="shared" si="12"/>
        <v>0</v>
      </c>
      <c r="BH27" s="1183">
        <f t="shared" si="12"/>
        <v>0</v>
      </c>
      <c r="BI27" s="1183">
        <f t="shared" si="12"/>
        <v>0</v>
      </c>
      <c r="BJ27" s="1183">
        <f t="shared" si="12"/>
        <v>0</v>
      </c>
      <c r="BK27" s="1183">
        <f t="shared" si="12"/>
        <v>0</v>
      </c>
      <c r="BL27" s="1183">
        <f t="shared" si="12"/>
        <v>0</v>
      </c>
      <c r="BM27" s="1183">
        <f t="shared" si="13"/>
        <v>0</v>
      </c>
      <c r="BN27" s="1183">
        <f t="shared" si="14"/>
        <v>0</v>
      </c>
      <c r="BO27" s="1183"/>
    </row>
    <row r="28" spans="1:72">
      <c r="N28" s="1182" t="s">
        <v>1578</v>
      </c>
      <c r="O28" s="1182" t="s">
        <v>1554</v>
      </c>
      <c r="P28" s="1182" t="s">
        <v>1575</v>
      </c>
      <c r="Q28" s="1182" t="s">
        <v>1574</v>
      </c>
      <c r="R28" s="1182" t="s">
        <v>1573</v>
      </c>
      <c r="S28" s="1182" t="s">
        <v>1577</v>
      </c>
      <c r="Y28" s="1183">
        <f t="shared" si="9"/>
        <v>0</v>
      </c>
      <c r="AS28" s="1183"/>
      <c r="AT28" s="1183"/>
      <c r="AU28" s="1183"/>
      <c r="AV28" s="1183">
        <f t="shared" si="10"/>
        <v>0</v>
      </c>
      <c r="AW28" s="1183">
        <f t="shared" si="10"/>
        <v>0</v>
      </c>
      <c r="AX28" s="1183">
        <f t="shared" si="10"/>
        <v>0</v>
      </c>
      <c r="AY28" s="1183">
        <f t="shared" si="10"/>
        <v>0</v>
      </c>
      <c r="AZ28" s="1183">
        <f t="shared" si="10"/>
        <v>0</v>
      </c>
      <c r="BA28" s="1183">
        <f t="shared" si="10"/>
        <v>0</v>
      </c>
      <c r="BB28" s="1183">
        <f t="shared" si="10"/>
        <v>0</v>
      </c>
      <c r="BC28" s="1183">
        <f t="shared" si="10"/>
        <v>0</v>
      </c>
      <c r="BD28" s="1183">
        <f t="shared" si="11"/>
        <v>0</v>
      </c>
      <c r="BE28" s="1183">
        <f t="shared" si="11"/>
        <v>0</v>
      </c>
      <c r="BF28" s="1183">
        <f t="shared" si="12"/>
        <v>0</v>
      </c>
      <c r="BG28" s="1183">
        <f t="shared" si="12"/>
        <v>0</v>
      </c>
      <c r="BH28" s="1183">
        <f t="shared" si="12"/>
        <v>0</v>
      </c>
      <c r="BI28" s="1183">
        <f t="shared" si="12"/>
        <v>0</v>
      </c>
      <c r="BJ28" s="1183">
        <f t="shared" si="12"/>
        <v>0</v>
      </c>
      <c r="BK28" s="1183">
        <f t="shared" si="12"/>
        <v>0</v>
      </c>
      <c r="BL28" s="1183">
        <f t="shared" si="12"/>
        <v>0</v>
      </c>
      <c r="BM28" s="1183">
        <f t="shared" si="13"/>
        <v>0</v>
      </c>
      <c r="BN28" s="1183">
        <f t="shared" si="14"/>
        <v>0</v>
      </c>
      <c r="BO28" s="1183"/>
    </row>
    <row r="29" spans="1:72">
      <c r="N29" s="1182" t="s">
        <v>1576</v>
      </c>
      <c r="O29" s="1182" t="s">
        <v>1554</v>
      </c>
      <c r="P29" s="1182" t="s">
        <v>1575</v>
      </c>
      <c r="Q29" s="1182" t="s">
        <v>1574</v>
      </c>
      <c r="R29" s="1182" t="s">
        <v>1573</v>
      </c>
      <c r="S29" s="1182" t="s">
        <v>1572</v>
      </c>
      <c r="Y29" s="1183">
        <f t="shared" si="9"/>
        <v>0</v>
      </c>
      <c r="AS29" s="1183"/>
      <c r="AT29" s="1183"/>
      <c r="AU29" s="1183"/>
      <c r="AV29" s="1183">
        <f t="shared" si="10"/>
        <v>0</v>
      </c>
      <c r="AW29" s="1183">
        <f t="shared" si="10"/>
        <v>0</v>
      </c>
      <c r="AX29" s="1183">
        <f t="shared" si="10"/>
        <v>0</v>
      </c>
      <c r="AY29" s="1183">
        <f t="shared" si="10"/>
        <v>0</v>
      </c>
      <c r="AZ29" s="1183">
        <f t="shared" si="10"/>
        <v>0</v>
      </c>
      <c r="BA29" s="1183">
        <f t="shared" si="10"/>
        <v>0</v>
      </c>
      <c r="BB29" s="1183">
        <f t="shared" si="10"/>
        <v>0</v>
      </c>
      <c r="BC29" s="1183">
        <f t="shared" si="10"/>
        <v>0</v>
      </c>
      <c r="BD29" s="1183">
        <f t="shared" si="11"/>
        <v>0</v>
      </c>
      <c r="BE29" s="1183">
        <f t="shared" si="11"/>
        <v>0</v>
      </c>
      <c r="BF29" s="1183">
        <f t="shared" si="12"/>
        <v>0</v>
      </c>
      <c r="BG29" s="1183">
        <f t="shared" si="12"/>
        <v>0</v>
      </c>
      <c r="BH29" s="1183">
        <f t="shared" si="12"/>
        <v>0</v>
      </c>
      <c r="BI29" s="1183">
        <f t="shared" si="12"/>
        <v>0</v>
      </c>
      <c r="BJ29" s="1183">
        <f t="shared" si="12"/>
        <v>0</v>
      </c>
      <c r="BK29" s="1183">
        <f t="shared" si="12"/>
        <v>0</v>
      </c>
      <c r="BL29" s="1183">
        <f t="shared" si="12"/>
        <v>0</v>
      </c>
      <c r="BM29" s="1183">
        <f t="shared" si="13"/>
        <v>0</v>
      </c>
      <c r="BN29" s="1183">
        <f t="shared" si="14"/>
        <v>0</v>
      </c>
      <c r="BO29" s="1183"/>
    </row>
    <row r="30" spans="1:72">
      <c r="N30" s="1431" t="s">
        <v>1789</v>
      </c>
      <c r="O30" s="1182" t="s">
        <v>1554</v>
      </c>
      <c r="P30" s="1182" t="s">
        <v>1563</v>
      </c>
      <c r="Q30" s="1182" t="s">
        <v>1787</v>
      </c>
      <c r="Y30" s="1183">
        <f t="shared" si="9"/>
        <v>0</v>
      </c>
      <c r="AS30" s="1183"/>
      <c r="AT30" s="1183"/>
      <c r="AU30" s="1183"/>
      <c r="AV30" s="1183">
        <f t="shared" si="10"/>
        <v>0</v>
      </c>
      <c r="AW30" s="1183">
        <f t="shared" si="10"/>
        <v>0</v>
      </c>
      <c r="AX30" s="1183">
        <f t="shared" si="10"/>
        <v>0</v>
      </c>
      <c r="AY30" s="1183">
        <f t="shared" si="10"/>
        <v>0</v>
      </c>
      <c r="AZ30" s="1183">
        <f t="shared" si="10"/>
        <v>0</v>
      </c>
      <c r="BA30" s="1183">
        <f t="shared" si="10"/>
        <v>0</v>
      </c>
      <c r="BB30" s="1183">
        <f t="shared" si="10"/>
        <v>0</v>
      </c>
      <c r="BC30" s="1183">
        <f t="shared" si="10"/>
        <v>0</v>
      </c>
      <c r="BD30" s="1183">
        <f t="shared" si="11"/>
        <v>0</v>
      </c>
      <c r="BE30" s="1183">
        <f t="shared" si="11"/>
        <v>0</v>
      </c>
      <c r="BF30" s="1183">
        <f t="shared" si="12"/>
        <v>0</v>
      </c>
      <c r="BG30" s="1183">
        <f t="shared" si="12"/>
        <v>0</v>
      </c>
      <c r="BH30" s="1183">
        <f t="shared" si="12"/>
        <v>0</v>
      </c>
      <c r="BI30" s="1183">
        <f t="shared" si="12"/>
        <v>0</v>
      </c>
      <c r="BJ30" s="1183">
        <f t="shared" si="12"/>
        <v>0</v>
      </c>
      <c r="BK30" s="1183">
        <f t="shared" si="12"/>
        <v>0</v>
      </c>
      <c r="BL30" s="1183">
        <f t="shared" si="12"/>
        <v>0</v>
      </c>
      <c r="BM30" s="1183">
        <f t="shared" si="13"/>
        <v>0</v>
      </c>
      <c r="BN30" s="1183">
        <f t="shared" si="14"/>
        <v>0</v>
      </c>
      <c r="BO30" s="1183"/>
    </row>
    <row r="31" spans="1:72">
      <c r="N31" s="1182" t="s">
        <v>1571</v>
      </c>
      <c r="O31" s="1182" t="s">
        <v>1554</v>
      </c>
      <c r="P31" s="1182" t="s">
        <v>1563</v>
      </c>
      <c r="Q31" s="1182" t="s">
        <v>1467</v>
      </c>
      <c r="R31" s="1182" t="s">
        <v>1570</v>
      </c>
      <c r="Y31" s="1183">
        <f t="shared" si="9"/>
        <v>0</v>
      </c>
      <c r="AS31" s="1183"/>
      <c r="AT31" s="1183"/>
      <c r="AU31" s="1183"/>
      <c r="AV31" s="1183">
        <f t="shared" si="10"/>
        <v>0</v>
      </c>
      <c r="AW31" s="1183">
        <f t="shared" si="10"/>
        <v>0</v>
      </c>
      <c r="AX31" s="1183">
        <f t="shared" si="10"/>
        <v>0</v>
      </c>
      <c r="AY31" s="1183">
        <f t="shared" si="10"/>
        <v>0</v>
      </c>
      <c r="AZ31" s="1183">
        <f t="shared" si="10"/>
        <v>0</v>
      </c>
      <c r="BA31" s="1183">
        <f t="shared" si="10"/>
        <v>0</v>
      </c>
      <c r="BB31" s="1183">
        <f t="shared" si="10"/>
        <v>0</v>
      </c>
      <c r="BC31" s="1183">
        <f t="shared" si="10"/>
        <v>0</v>
      </c>
      <c r="BD31" s="1183">
        <f t="shared" si="11"/>
        <v>0</v>
      </c>
      <c r="BE31" s="1183">
        <f t="shared" si="11"/>
        <v>0</v>
      </c>
      <c r="BF31" s="1183">
        <f t="shared" si="12"/>
        <v>0</v>
      </c>
      <c r="BG31" s="1183">
        <f t="shared" si="12"/>
        <v>0</v>
      </c>
      <c r="BH31" s="1183">
        <f t="shared" si="12"/>
        <v>0</v>
      </c>
      <c r="BI31" s="1183">
        <f t="shared" si="12"/>
        <v>0</v>
      </c>
      <c r="BJ31" s="1183">
        <f t="shared" si="12"/>
        <v>0</v>
      </c>
      <c r="BK31" s="1183">
        <f t="shared" si="12"/>
        <v>0</v>
      </c>
      <c r="BL31" s="1183">
        <f t="shared" si="12"/>
        <v>0</v>
      </c>
      <c r="BM31" s="1183">
        <f t="shared" si="13"/>
        <v>0</v>
      </c>
      <c r="BN31" s="1183">
        <f t="shared" si="14"/>
        <v>0</v>
      </c>
      <c r="BO31" s="1183"/>
    </row>
    <row r="32" spans="1:72">
      <c r="N32" s="1431" t="s">
        <v>1790</v>
      </c>
      <c r="O32" s="1182" t="s">
        <v>1554</v>
      </c>
      <c r="P32" s="1182" t="s">
        <v>1563</v>
      </c>
      <c r="Q32" s="1182" t="s">
        <v>1788</v>
      </c>
      <c r="R32" s="1182" t="s">
        <v>1791</v>
      </c>
      <c r="Y32" s="1183">
        <f t="shared" si="9"/>
        <v>0</v>
      </c>
      <c r="AS32" s="1183"/>
      <c r="AT32" s="1183"/>
      <c r="AU32" s="1183"/>
      <c r="AV32" s="1183">
        <f t="shared" si="10"/>
        <v>0</v>
      </c>
      <c r="AW32" s="1183">
        <f t="shared" si="10"/>
        <v>0</v>
      </c>
      <c r="AX32" s="1183">
        <f t="shared" si="10"/>
        <v>0</v>
      </c>
      <c r="AY32" s="1183">
        <f t="shared" si="10"/>
        <v>0</v>
      </c>
      <c r="AZ32" s="1183">
        <f t="shared" si="10"/>
        <v>0</v>
      </c>
      <c r="BA32" s="1183">
        <f t="shared" si="10"/>
        <v>0</v>
      </c>
      <c r="BB32" s="1183">
        <f t="shared" si="10"/>
        <v>0</v>
      </c>
      <c r="BC32" s="1183">
        <f t="shared" si="10"/>
        <v>0</v>
      </c>
      <c r="BD32" s="1183">
        <f t="shared" si="11"/>
        <v>0</v>
      </c>
      <c r="BE32" s="1183">
        <f t="shared" si="11"/>
        <v>0</v>
      </c>
      <c r="BF32" s="1183">
        <f t="shared" si="12"/>
        <v>0</v>
      </c>
      <c r="BG32" s="1183">
        <f t="shared" si="12"/>
        <v>0</v>
      </c>
      <c r="BH32" s="1183">
        <f t="shared" si="12"/>
        <v>0</v>
      </c>
      <c r="BI32" s="1183">
        <f t="shared" si="12"/>
        <v>0</v>
      </c>
      <c r="BJ32" s="1183">
        <f t="shared" si="12"/>
        <v>0</v>
      </c>
      <c r="BK32" s="1183">
        <f t="shared" si="12"/>
        <v>0</v>
      </c>
      <c r="BL32" s="1183">
        <f t="shared" si="12"/>
        <v>0</v>
      </c>
      <c r="BM32" s="1183">
        <f t="shared" si="13"/>
        <v>0</v>
      </c>
      <c r="BN32" s="1183">
        <f t="shared" si="14"/>
        <v>0</v>
      </c>
      <c r="BO32" s="1183"/>
    </row>
    <row r="33" spans="14:67">
      <c r="N33" s="1182" t="s">
        <v>1569</v>
      </c>
      <c r="O33" s="1182" t="s">
        <v>1554</v>
      </c>
      <c r="P33" s="1182" t="s">
        <v>1563</v>
      </c>
      <c r="Q33" s="1182" t="s">
        <v>1566</v>
      </c>
      <c r="R33" s="1182" t="s">
        <v>1568</v>
      </c>
      <c r="Y33" s="1183">
        <f t="shared" si="9"/>
        <v>0</v>
      </c>
      <c r="AS33" s="1183"/>
      <c r="AT33" s="1183"/>
      <c r="AU33" s="1183"/>
      <c r="AV33" s="1183">
        <f t="shared" si="10"/>
        <v>0</v>
      </c>
      <c r="AW33" s="1183">
        <f t="shared" si="10"/>
        <v>0</v>
      </c>
      <c r="AX33" s="1183">
        <f t="shared" si="10"/>
        <v>0</v>
      </c>
      <c r="AY33" s="1183">
        <f t="shared" si="10"/>
        <v>0</v>
      </c>
      <c r="AZ33" s="1183">
        <f t="shared" si="10"/>
        <v>0</v>
      </c>
      <c r="BA33" s="1183">
        <f t="shared" si="10"/>
        <v>0</v>
      </c>
      <c r="BB33" s="1183">
        <f t="shared" si="10"/>
        <v>0</v>
      </c>
      <c r="BC33" s="1183">
        <f t="shared" si="10"/>
        <v>0</v>
      </c>
      <c r="BD33" s="1183">
        <f t="shared" si="11"/>
        <v>0</v>
      </c>
      <c r="BE33" s="1183">
        <f t="shared" si="11"/>
        <v>0</v>
      </c>
      <c r="BF33" s="1183">
        <f t="shared" si="12"/>
        <v>0</v>
      </c>
      <c r="BG33" s="1183">
        <f t="shared" si="12"/>
        <v>0</v>
      </c>
      <c r="BH33" s="1183">
        <f t="shared" si="12"/>
        <v>0</v>
      </c>
      <c r="BI33" s="1183">
        <f t="shared" si="12"/>
        <v>0</v>
      </c>
      <c r="BJ33" s="1183">
        <f t="shared" si="12"/>
        <v>0</v>
      </c>
      <c r="BK33" s="1183">
        <f t="shared" si="12"/>
        <v>0</v>
      </c>
      <c r="BL33" s="1183">
        <f t="shared" si="12"/>
        <v>0</v>
      </c>
      <c r="BM33" s="1183">
        <f t="shared" si="13"/>
        <v>0</v>
      </c>
      <c r="BN33" s="1183">
        <f t="shared" si="14"/>
        <v>0</v>
      </c>
      <c r="BO33" s="1183"/>
    </row>
    <row r="34" spans="14:67">
      <c r="N34" s="1182" t="s">
        <v>1567</v>
      </c>
      <c r="O34" s="1182" t="s">
        <v>1554</v>
      </c>
      <c r="P34" s="1182" t="s">
        <v>1563</v>
      </c>
      <c r="Q34" s="1182" t="s">
        <v>1566</v>
      </c>
      <c r="R34" s="1182" t="s">
        <v>1565</v>
      </c>
      <c r="Y34" s="1183">
        <f t="shared" si="9"/>
        <v>0</v>
      </c>
      <c r="AS34" s="1183"/>
      <c r="AT34" s="1183"/>
      <c r="AU34" s="1183"/>
      <c r="AV34" s="1183">
        <f t="shared" si="10"/>
        <v>0</v>
      </c>
      <c r="AW34" s="1183">
        <f t="shared" si="10"/>
        <v>0</v>
      </c>
      <c r="AX34" s="1183">
        <f t="shared" si="10"/>
        <v>0</v>
      </c>
      <c r="AY34" s="1183">
        <f t="shared" si="10"/>
        <v>0</v>
      </c>
      <c r="AZ34" s="1183">
        <f t="shared" si="10"/>
        <v>0</v>
      </c>
      <c r="BA34" s="1183">
        <f t="shared" si="10"/>
        <v>0</v>
      </c>
      <c r="BB34" s="1183">
        <f t="shared" si="10"/>
        <v>0</v>
      </c>
      <c r="BC34" s="1183">
        <f t="shared" si="10"/>
        <v>0</v>
      </c>
      <c r="BD34" s="1183">
        <f t="shared" si="11"/>
        <v>0</v>
      </c>
      <c r="BE34" s="1183">
        <f t="shared" si="11"/>
        <v>0</v>
      </c>
      <c r="BF34" s="1183">
        <f t="shared" si="12"/>
        <v>0</v>
      </c>
      <c r="BG34" s="1183">
        <f t="shared" si="12"/>
        <v>0</v>
      </c>
      <c r="BH34" s="1183">
        <f t="shared" si="12"/>
        <v>0</v>
      </c>
      <c r="BI34" s="1183">
        <f t="shared" si="12"/>
        <v>0</v>
      </c>
      <c r="BJ34" s="1183">
        <f t="shared" si="12"/>
        <v>0</v>
      </c>
      <c r="BK34" s="1183">
        <f t="shared" si="12"/>
        <v>0</v>
      </c>
      <c r="BL34" s="1183">
        <f t="shared" si="12"/>
        <v>0</v>
      </c>
      <c r="BM34" s="1183">
        <f t="shared" si="13"/>
        <v>0</v>
      </c>
      <c r="BN34" s="1183">
        <f t="shared" si="14"/>
        <v>0</v>
      </c>
      <c r="BO34" s="1183"/>
    </row>
    <row r="35" spans="14:67">
      <c r="N35" s="1182" t="s">
        <v>1645</v>
      </c>
      <c r="O35" s="1182" t="s">
        <v>1554</v>
      </c>
      <c r="P35" s="1182" t="s">
        <v>1563</v>
      </c>
      <c r="Q35" s="1182" t="s">
        <v>1461</v>
      </c>
      <c r="R35" s="1182" t="s">
        <v>1461</v>
      </c>
      <c r="Y35" s="1183">
        <f t="shared" si="9"/>
        <v>0</v>
      </c>
      <c r="AS35" s="1183"/>
      <c r="AT35" s="1183"/>
      <c r="AU35" s="1183"/>
      <c r="AV35" s="1183">
        <f t="shared" ref="AV35:BC42" si="15">+SUMIFS(AV$69:AV$894,$N$69:$N$894,$N35,$AS$69:$AS$894,31)</f>
        <v>0</v>
      </c>
      <c r="AW35" s="1183">
        <f t="shared" si="15"/>
        <v>0</v>
      </c>
      <c r="AX35" s="1183">
        <f t="shared" si="15"/>
        <v>0</v>
      </c>
      <c r="AY35" s="1183">
        <f t="shared" si="15"/>
        <v>0</v>
      </c>
      <c r="AZ35" s="1183">
        <f t="shared" si="15"/>
        <v>0</v>
      </c>
      <c r="BA35" s="1183">
        <f t="shared" si="15"/>
        <v>0</v>
      </c>
      <c r="BB35" s="1183">
        <f t="shared" si="15"/>
        <v>0</v>
      </c>
      <c r="BC35" s="1183">
        <f t="shared" si="15"/>
        <v>0</v>
      </c>
      <c r="BD35" s="1183">
        <f t="shared" si="11"/>
        <v>0</v>
      </c>
      <c r="BE35" s="1183">
        <f t="shared" si="11"/>
        <v>0</v>
      </c>
      <c r="BF35" s="1183">
        <f t="shared" ref="BF35:BL42" si="16">+SUMIFS(BF$69:BF$891,$N$69:$N$891,$N35,$AS$69:$AS$891,31)</f>
        <v>0</v>
      </c>
      <c r="BG35" s="1183">
        <f t="shared" si="16"/>
        <v>0</v>
      </c>
      <c r="BH35" s="1183">
        <f t="shared" si="16"/>
        <v>0</v>
      </c>
      <c r="BI35" s="1183">
        <f t="shared" si="16"/>
        <v>0</v>
      </c>
      <c r="BJ35" s="1183">
        <f t="shared" si="16"/>
        <v>0</v>
      </c>
      <c r="BK35" s="1183">
        <f t="shared" si="16"/>
        <v>0</v>
      </c>
      <c r="BL35" s="1183">
        <f t="shared" si="16"/>
        <v>0</v>
      </c>
      <c r="BM35" s="1183">
        <f t="shared" si="13"/>
        <v>0</v>
      </c>
      <c r="BN35" s="1183">
        <f t="shared" si="14"/>
        <v>0</v>
      </c>
      <c r="BO35" s="1183"/>
    </row>
    <row r="36" spans="14:67">
      <c r="N36" s="1194" t="s">
        <v>1644</v>
      </c>
      <c r="O36" s="1182" t="s">
        <v>1554</v>
      </c>
      <c r="P36" s="1182" t="s">
        <v>1563</v>
      </c>
      <c r="Q36" s="1182" t="s">
        <v>1562</v>
      </c>
      <c r="R36" s="1182" t="s">
        <v>1643</v>
      </c>
      <c r="Y36" s="1183">
        <f t="shared" si="9"/>
        <v>0</v>
      </c>
      <c r="AS36" s="1183"/>
      <c r="AT36" s="1183"/>
      <c r="AU36" s="1183"/>
      <c r="AV36" s="1183">
        <f t="shared" si="15"/>
        <v>0</v>
      </c>
      <c r="AW36" s="1183">
        <f t="shared" si="15"/>
        <v>0</v>
      </c>
      <c r="AX36" s="1183">
        <f t="shared" si="15"/>
        <v>0</v>
      </c>
      <c r="AY36" s="1183">
        <f t="shared" si="15"/>
        <v>0</v>
      </c>
      <c r="AZ36" s="1183">
        <f t="shared" si="15"/>
        <v>0</v>
      </c>
      <c r="BA36" s="1183">
        <f t="shared" si="15"/>
        <v>0</v>
      </c>
      <c r="BB36" s="1183">
        <f t="shared" si="15"/>
        <v>0</v>
      </c>
      <c r="BC36" s="1183">
        <f t="shared" si="15"/>
        <v>0</v>
      </c>
      <c r="BD36" s="1183">
        <f t="shared" si="11"/>
        <v>0</v>
      </c>
      <c r="BE36" s="1183">
        <f t="shared" si="11"/>
        <v>0</v>
      </c>
      <c r="BF36" s="1183">
        <f t="shared" si="16"/>
        <v>0</v>
      </c>
      <c r="BG36" s="1183">
        <f t="shared" si="16"/>
        <v>0</v>
      </c>
      <c r="BH36" s="1183">
        <f t="shared" si="16"/>
        <v>0</v>
      </c>
      <c r="BI36" s="1183">
        <f t="shared" si="16"/>
        <v>0</v>
      </c>
      <c r="BJ36" s="1183">
        <f t="shared" si="16"/>
        <v>0</v>
      </c>
      <c r="BK36" s="1183">
        <f t="shared" si="16"/>
        <v>0</v>
      </c>
      <c r="BL36" s="1183">
        <f t="shared" si="16"/>
        <v>0</v>
      </c>
      <c r="BM36" s="1183">
        <f t="shared" si="13"/>
        <v>0</v>
      </c>
      <c r="BN36" s="1183">
        <f t="shared" si="14"/>
        <v>0</v>
      </c>
      <c r="BO36" s="1183"/>
    </row>
    <row r="37" spans="14:67">
      <c r="N37" s="1182" t="s">
        <v>1564</v>
      </c>
      <c r="O37" s="1182" t="s">
        <v>1554</v>
      </c>
      <c r="P37" s="1182" t="s">
        <v>1563</v>
      </c>
      <c r="Q37" s="1182" t="s">
        <v>1562</v>
      </c>
      <c r="R37" s="1182" t="s">
        <v>1561</v>
      </c>
      <c r="Y37" s="1183">
        <f t="shared" si="9"/>
        <v>1202214</v>
      </c>
      <c r="AS37" s="1183"/>
      <c r="AT37" s="1183"/>
      <c r="AU37" s="1183"/>
      <c r="AV37" s="1183">
        <f t="shared" si="15"/>
        <v>553018</v>
      </c>
      <c r="AW37" s="1183">
        <f t="shared" si="15"/>
        <v>0</v>
      </c>
      <c r="AX37" s="1183">
        <f t="shared" si="15"/>
        <v>0</v>
      </c>
      <c r="AY37" s="1183">
        <f t="shared" si="15"/>
        <v>553018</v>
      </c>
      <c r="AZ37" s="1183">
        <f t="shared" si="15"/>
        <v>0</v>
      </c>
      <c r="BA37" s="1183">
        <f t="shared" si="15"/>
        <v>649196</v>
      </c>
      <c r="BB37" s="1183">
        <f t="shared" si="15"/>
        <v>649196</v>
      </c>
      <c r="BC37" s="1183">
        <f t="shared" si="15"/>
        <v>1202214</v>
      </c>
      <c r="BD37" s="1183">
        <f t="shared" si="11"/>
        <v>0</v>
      </c>
      <c r="BE37" s="1183">
        <f t="shared" si="11"/>
        <v>0</v>
      </c>
      <c r="BF37" s="1183">
        <f t="shared" si="16"/>
        <v>553018</v>
      </c>
      <c r="BG37" s="1183">
        <f t="shared" si="16"/>
        <v>0</v>
      </c>
      <c r="BH37" s="1183">
        <f t="shared" si="16"/>
        <v>0</v>
      </c>
      <c r="BI37" s="1183">
        <f t="shared" si="16"/>
        <v>553018</v>
      </c>
      <c r="BJ37" s="1183">
        <f t="shared" si="16"/>
        <v>0</v>
      </c>
      <c r="BK37" s="1183">
        <f t="shared" si="16"/>
        <v>649196</v>
      </c>
      <c r="BL37" s="1183">
        <f t="shared" si="16"/>
        <v>649196</v>
      </c>
      <c r="BM37" s="1183">
        <f t="shared" si="13"/>
        <v>1202214</v>
      </c>
      <c r="BN37" s="1183">
        <f t="shared" si="14"/>
        <v>0</v>
      </c>
      <c r="BO37" s="1183"/>
    </row>
    <row r="38" spans="14:67">
      <c r="N38" s="1193" t="s">
        <v>1642</v>
      </c>
      <c r="O38" s="1193" t="s">
        <v>1554</v>
      </c>
      <c r="P38" s="1193" t="s">
        <v>1553</v>
      </c>
      <c r="Q38" s="1193" t="s">
        <v>1641</v>
      </c>
      <c r="R38" s="1193" t="s">
        <v>1641</v>
      </c>
      <c r="Y38" s="1183">
        <f t="shared" si="9"/>
        <v>0</v>
      </c>
      <c r="AS38" s="1183"/>
      <c r="AT38" s="1183"/>
      <c r="AU38" s="1183"/>
      <c r="AV38" s="1183">
        <f t="shared" si="15"/>
        <v>0</v>
      </c>
      <c r="AW38" s="1183">
        <f t="shared" si="15"/>
        <v>0</v>
      </c>
      <c r="AX38" s="1183">
        <f t="shared" si="15"/>
        <v>0</v>
      </c>
      <c r="AY38" s="1183">
        <f t="shared" si="15"/>
        <v>0</v>
      </c>
      <c r="AZ38" s="1183">
        <f t="shared" si="15"/>
        <v>0</v>
      </c>
      <c r="BA38" s="1183">
        <f t="shared" si="15"/>
        <v>0</v>
      </c>
      <c r="BB38" s="1183">
        <f t="shared" si="15"/>
        <v>0</v>
      </c>
      <c r="BC38" s="1183">
        <f t="shared" si="15"/>
        <v>0</v>
      </c>
      <c r="BD38" s="1183">
        <f t="shared" si="11"/>
        <v>0</v>
      </c>
      <c r="BE38" s="1183">
        <f t="shared" si="11"/>
        <v>0</v>
      </c>
      <c r="BF38" s="1183">
        <f t="shared" si="16"/>
        <v>0</v>
      </c>
      <c r="BG38" s="1183">
        <f t="shared" si="16"/>
        <v>0</v>
      </c>
      <c r="BH38" s="1183">
        <f t="shared" si="16"/>
        <v>0</v>
      </c>
      <c r="BI38" s="1183">
        <f t="shared" si="16"/>
        <v>0</v>
      </c>
      <c r="BJ38" s="1183">
        <f t="shared" si="16"/>
        <v>0</v>
      </c>
      <c r="BK38" s="1183">
        <f t="shared" si="16"/>
        <v>0</v>
      </c>
      <c r="BL38" s="1183">
        <f t="shared" si="16"/>
        <v>0</v>
      </c>
      <c r="BM38" s="1183">
        <f t="shared" si="13"/>
        <v>0</v>
      </c>
      <c r="BN38" s="1183">
        <f t="shared" si="14"/>
        <v>0</v>
      </c>
      <c r="BO38" s="1183"/>
    </row>
    <row r="39" spans="14:67">
      <c r="N39" s="1182" t="s">
        <v>1560</v>
      </c>
      <c r="O39" s="1182" t="s">
        <v>1554</v>
      </c>
      <c r="P39" s="1182" t="s">
        <v>1553</v>
      </c>
      <c r="Q39" s="1182" t="s">
        <v>1559</v>
      </c>
      <c r="R39" s="1182" t="s">
        <v>1559</v>
      </c>
      <c r="Y39" s="1183">
        <f t="shared" si="9"/>
        <v>1155175</v>
      </c>
      <c r="AS39" s="1183"/>
      <c r="AT39" s="1183"/>
      <c r="AU39" s="1183"/>
      <c r="AV39" s="1183">
        <f t="shared" si="15"/>
        <v>351708</v>
      </c>
      <c r="AW39" s="1183">
        <f t="shared" si="15"/>
        <v>0</v>
      </c>
      <c r="AX39" s="1183">
        <f t="shared" si="15"/>
        <v>487974</v>
      </c>
      <c r="AY39" s="1183">
        <f t="shared" si="15"/>
        <v>839682</v>
      </c>
      <c r="AZ39" s="1183">
        <f t="shared" si="15"/>
        <v>29260</v>
      </c>
      <c r="BA39" s="1183">
        <f t="shared" si="15"/>
        <v>286233</v>
      </c>
      <c r="BB39" s="1183">
        <f t="shared" si="15"/>
        <v>315493</v>
      </c>
      <c r="BC39" s="1183">
        <f t="shared" si="15"/>
        <v>1155175</v>
      </c>
      <c r="BD39" s="1183">
        <f t="shared" si="11"/>
        <v>0</v>
      </c>
      <c r="BE39" s="1183">
        <f t="shared" si="11"/>
        <v>0</v>
      </c>
      <c r="BF39" s="1183">
        <f t="shared" si="16"/>
        <v>351708</v>
      </c>
      <c r="BG39" s="1183">
        <f t="shared" si="16"/>
        <v>0</v>
      </c>
      <c r="BH39" s="1183">
        <f t="shared" si="16"/>
        <v>487974</v>
      </c>
      <c r="BI39" s="1183">
        <f t="shared" si="16"/>
        <v>839682</v>
      </c>
      <c r="BJ39" s="1183">
        <f t="shared" si="16"/>
        <v>29260</v>
      </c>
      <c r="BK39" s="1183">
        <f t="shared" si="16"/>
        <v>286233</v>
      </c>
      <c r="BL39" s="1183">
        <f t="shared" si="16"/>
        <v>315493</v>
      </c>
      <c r="BM39" s="1183">
        <f t="shared" si="13"/>
        <v>1155175</v>
      </c>
      <c r="BN39" s="1183">
        <f t="shared" si="14"/>
        <v>0</v>
      </c>
      <c r="BO39" s="1183"/>
    </row>
    <row r="40" spans="14:67">
      <c r="N40" s="1182" t="s">
        <v>1558</v>
      </c>
      <c r="O40" s="1182" t="s">
        <v>1554</v>
      </c>
      <c r="P40" s="1182" t="s">
        <v>1553</v>
      </c>
      <c r="Q40" s="1182" t="s">
        <v>1552</v>
      </c>
      <c r="R40" s="1182" t="s">
        <v>1552</v>
      </c>
      <c r="Y40" s="1183">
        <f t="shared" si="9"/>
        <v>864807</v>
      </c>
      <c r="AS40" s="1183"/>
      <c r="AT40" s="1183"/>
      <c r="AU40" s="1183"/>
      <c r="AV40" s="1183">
        <f t="shared" si="15"/>
        <v>588069</v>
      </c>
      <c r="AW40" s="1183">
        <f t="shared" si="15"/>
        <v>0</v>
      </c>
      <c r="AX40" s="1183">
        <f t="shared" si="15"/>
        <v>0</v>
      </c>
      <c r="AY40" s="1183">
        <f t="shared" si="15"/>
        <v>588069</v>
      </c>
      <c r="AZ40" s="1183">
        <f t="shared" si="15"/>
        <v>0</v>
      </c>
      <c r="BA40" s="1183">
        <f t="shared" si="15"/>
        <v>276738</v>
      </c>
      <c r="BB40" s="1183">
        <f t="shared" si="15"/>
        <v>276738</v>
      </c>
      <c r="BC40" s="1183">
        <f t="shared" si="15"/>
        <v>864807</v>
      </c>
      <c r="BD40" s="1183">
        <f t="shared" si="11"/>
        <v>0</v>
      </c>
      <c r="BE40" s="1183">
        <f t="shared" si="11"/>
        <v>0</v>
      </c>
      <c r="BF40" s="1183">
        <f t="shared" si="16"/>
        <v>588069</v>
      </c>
      <c r="BG40" s="1183">
        <f t="shared" si="16"/>
        <v>0</v>
      </c>
      <c r="BH40" s="1183">
        <f t="shared" si="16"/>
        <v>0</v>
      </c>
      <c r="BI40" s="1183">
        <f t="shared" si="16"/>
        <v>588069</v>
      </c>
      <c r="BJ40" s="1183">
        <f t="shared" si="16"/>
        <v>0</v>
      </c>
      <c r="BK40" s="1183">
        <f t="shared" si="16"/>
        <v>276738</v>
      </c>
      <c r="BL40" s="1183">
        <f t="shared" si="16"/>
        <v>276738</v>
      </c>
      <c r="BM40" s="1183">
        <f t="shared" si="13"/>
        <v>864807</v>
      </c>
      <c r="BN40" s="1183">
        <f t="shared" si="14"/>
        <v>0</v>
      </c>
      <c r="BO40" s="1183"/>
    </row>
    <row r="41" spans="14:67">
      <c r="N41" s="1182" t="s">
        <v>1557</v>
      </c>
      <c r="O41" s="1182" t="s">
        <v>1554</v>
      </c>
      <c r="P41" s="1182" t="s">
        <v>1553</v>
      </c>
      <c r="Q41" s="1182" t="s">
        <v>1552</v>
      </c>
      <c r="R41" s="1182" t="s">
        <v>1556</v>
      </c>
      <c r="Y41" s="1183">
        <f t="shared" si="9"/>
        <v>455622</v>
      </c>
      <c r="AS41" s="1183"/>
      <c r="AT41" s="1183"/>
      <c r="AU41" s="1183"/>
      <c r="AV41" s="1183">
        <f t="shared" si="15"/>
        <v>0</v>
      </c>
      <c r="AW41" s="1183">
        <f t="shared" si="15"/>
        <v>0</v>
      </c>
      <c r="AX41" s="1183">
        <f t="shared" si="15"/>
        <v>16334</v>
      </c>
      <c r="AY41" s="1183">
        <f t="shared" si="15"/>
        <v>16334</v>
      </c>
      <c r="AZ41" s="1183">
        <f t="shared" si="15"/>
        <v>0</v>
      </c>
      <c r="BA41" s="1183">
        <f t="shared" si="15"/>
        <v>439288</v>
      </c>
      <c r="BB41" s="1183">
        <f t="shared" si="15"/>
        <v>439288</v>
      </c>
      <c r="BC41" s="1183">
        <f t="shared" si="15"/>
        <v>455622</v>
      </c>
      <c r="BD41" s="1183">
        <f t="shared" si="11"/>
        <v>0</v>
      </c>
      <c r="BE41" s="1183">
        <f t="shared" si="11"/>
        <v>0</v>
      </c>
      <c r="BF41" s="1183">
        <f t="shared" si="16"/>
        <v>0</v>
      </c>
      <c r="BG41" s="1183">
        <f t="shared" si="16"/>
        <v>0</v>
      </c>
      <c r="BH41" s="1183">
        <f t="shared" si="16"/>
        <v>16334</v>
      </c>
      <c r="BI41" s="1183">
        <f t="shared" si="16"/>
        <v>16334</v>
      </c>
      <c r="BJ41" s="1183">
        <f t="shared" si="16"/>
        <v>0</v>
      </c>
      <c r="BK41" s="1183">
        <f t="shared" si="16"/>
        <v>439288</v>
      </c>
      <c r="BL41" s="1183">
        <f t="shared" si="16"/>
        <v>439288</v>
      </c>
      <c r="BM41" s="1183">
        <f t="shared" si="13"/>
        <v>455622</v>
      </c>
      <c r="BN41" s="1183">
        <f t="shared" si="14"/>
        <v>0</v>
      </c>
      <c r="BO41" s="1183"/>
    </row>
    <row r="42" spans="14:67">
      <c r="N42" s="1182" t="s">
        <v>1555</v>
      </c>
      <c r="O42" s="1182" t="s">
        <v>1554</v>
      </c>
      <c r="P42" s="1182" t="s">
        <v>1553</v>
      </c>
      <c r="Q42" s="1182" t="s">
        <v>1552</v>
      </c>
      <c r="R42" s="1182" t="s">
        <v>1551</v>
      </c>
      <c r="Y42" s="1183">
        <f t="shared" si="9"/>
        <v>109000</v>
      </c>
      <c r="AS42" s="1183"/>
      <c r="AT42" s="1183"/>
      <c r="AU42" s="1183"/>
      <c r="AV42" s="1183">
        <f t="shared" si="15"/>
        <v>54500</v>
      </c>
      <c r="AW42" s="1183">
        <f t="shared" si="15"/>
        <v>0</v>
      </c>
      <c r="AX42" s="1183">
        <f t="shared" si="15"/>
        <v>0</v>
      </c>
      <c r="AY42" s="1183">
        <f t="shared" si="15"/>
        <v>54500</v>
      </c>
      <c r="AZ42" s="1183">
        <f t="shared" si="15"/>
        <v>0</v>
      </c>
      <c r="BA42" s="1183">
        <f t="shared" si="15"/>
        <v>54500</v>
      </c>
      <c r="BB42" s="1183">
        <f t="shared" si="15"/>
        <v>54500</v>
      </c>
      <c r="BC42" s="1183">
        <f t="shared" si="15"/>
        <v>109000</v>
      </c>
      <c r="BD42" s="1183">
        <f t="shared" si="11"/>
        <v>0</v>
      </c>
      <c r="BE42" s="1183">
        <f t="shared" si="11"/>
        <v>0</v>
      </c>
      <c r="BF42" s="1183">
        <f t="shared" si="16"/>
        <v>54500</v>
      </c>
      <c r="BG42" s="1183">
        <f t="shared" si="16"/>
        <v>0</v>
      </c>
      <c r="BH42" s="1183">
        <f t="shared" si="16"/>
        <v>0</v>
      </c>
      <c r="BI42" s="1183">
        <f t="shared" si="16"/>
        <v>54500</v>
      </c>
      <c r="BJ42" s="1183">
        <f t="shared" si="16"/>
        <v>0</v>
      </c>
      <c r="BK42" s="1183">
        <f t="shared" si="16"/>
        <v>54500</v>
      </c>
      <c r="BL42" s="1183">
        <f t="shared" si="16"/>
        <v>54500</v>
      </c>
      <c r="BM42" s="1183">
        <f t="shared" si="13"/>
        <v>109000</v>
      </c>
      <c r="BN42" s="1183">
        <f t="shared" si="14"/>
        <v>0</v>
      </c>
      <c r="BO42" s="1183"/>
    </row>
    <row r="45" spans="14:67" ht="13.5" customHeight="1">
      <c r="Q45" s="1196"/>
      <c r="R45" s="1564" t="s">
        <v>1650</v>
      </c>
      <c r="AV45" s="1596" t="s">
        <v>1638</v>
      </c>
      <c r="AW45" s="1596"/>
      <c r="AX45" s="1596"/>
      <c r="AY45" s="1596"/>
      <c r="AZ45" s="1596" t="s">
        <v>1637</v>
      </c>
      <c r="BA45" s="1596"/>
      <c r="BB45" s="1596"/>
      <c r="BC45" s="1598" t="s">
        <v>1636</v>
      </c>
      <c r="BD45" s="1596" t="s">
        <v>1649</v>
      </c>
      <c r="BE45" s="1187"/>
      <c r="BF45" s="1596" t="s">
        <v>1792</v>
      </c>
      <c r="BG45" s="1596"/>
      <c r="BH45" s="1596"/>
      <c r="BI45" s="1596"/>
      <c r="BJ45" s="1596" t="s">
        <v>1634</v>
      </c>
      <c r="BK45" s="1596"/>
      <c r="BL45" s="1596"/>
      <c r="BM45" s="1598" t="s">
        <v>1633</v>
      </c>
      <c r="BN45" s="1598" t="s">
        <v>1648</v>
      </c>
      <c r="BO45" s="1598" t="s">
        <v>1647</v>
      </c>
    </row>
    <row r="46" spans="14:67">
      <c r="AV46" s="1373" t="s">
        <v>1587</v>
      </c>
      <c r="AW46" s="1373" t="s">
        <v>1586</v>
      </c>
      <c r="AX46" s="1373" t="s">
        <v>1784</v>
      </c>
      <c r="AY46" s="1373" t="s">
        <v>1583</v>
      </c>
      <c r="AZ46" s="1187" t="s">
        <v>1585</v>
      </c>
      <c r="BA46" s="1187" t="s">
        <v>1584</v>
      </c>
      <c r="BB46" s="1187" t="s">
        <v>1583</v>
      </c>
      <c r="BC46" s="1598"/>
      <c r="BD46" s="1596"/>
      <c r="BE46" s="1187"/>
      <c r="BF46" s="1373" t="s">
        <v>1587</v>
      </c>
      <c r="BG46" s="1373" t="s">
        <v>1586</v>
      </c>
      <c r="BH46" s="1373" t="s">
        <v>1784</v>
      </c>
      <c r="BI46" s="1373" t="s">
        <v>1583</v>
      </c>
      <c r="BJ46" s="1187" t="s">
        <v>1585</v>
      </c>
      <c r="BK46" s="1187" t="s">
        <v>1584</v>
      </c>
      <c r="BL46" s="1187" t="s">
        <v>1583</v>
      </c>
      <c r="BM46" s="1598"/>
      <c r="BN46" s="1598"/>
      <c r="BO46" s="1598"/>
    </row>
    <row r="47" spans="14:67">
      <c r="N47" s="1194" t="s">
        <v>1646</v>
      </c>
      <c r="O47" s="1182" t="s">
        <v>1554</v>
      </c>
      <c r="P47" s="1182" t="s">
        <v>1575</v>
      </c>
      <c r="Q47" s="1182" t="s">
        <v>1491</v>
      </c>
      <c r="R47" s="1182" t="s">
        <v>1491</v>
      </c>
      <c r="BF47" s="1183">
        <f t="shared" ref="BF47:BH64" si="17">+IFERROR(ROUND($BO47*BF25/$BM25,0),0)</f>
        <v>0</v>
      </c>
      <c r="BG47" s="1183">
        <f t="shared" si="17"/>
        <v>0</v>
      </c>
      <c r="BH47" s="1183">
        <f t="shared" si="17"/>
        <v>0</v>
      </c>
      <c r="BI47" s="1183">
        <f t="shared" ref="BI47:BI64" si="18">SUM(BF47:BG47)</f>
        <v>0</v>
      </c>
      <c r="BJ47" s="1183">
        <f t="shared" ref="BJ47:BK64" si="19">+IFERROR(ROUND($BO47*BJ25/$BM25,0),0)</f>
        <v>0</v>
      </c>
      <c r="BK47" s="1183">
        <f t="shared" si="19"/>
        <v>0</v>
      </c>
      <c r="BL47" s="1183">
        <f t="shared" ref="BL47:BL64" si="20">SUM(BJ47:BK47)</f>
        <v>0</v>
      </c>
      <c r="BM47" s="1183">
        <f t="shared" ref="BM47:BM64" si="21">+BI47+BL47+BH47</f>
        <v>0</v>
      </c>
      <c r="BN47" s="1183">
        <f t="shared" ref="BN47:BN64" si="22">+BO47-BM47</f>
        <v>0</v>
      </c>
      <c r="BO47" s="1192">
        <f>+SUMIFS('3条収入'!$AH$6:$AH$70,'3条収入'!$C$6:$C$70,雨汚収入!N47)</f>
        <v>0</v>
      </c>
    </row>
    <row r="48" spans="14:67">
      <c r="N48" s="1182" t="s">
        <v>1582</v>
      </c>
      <c r="O48" s="1182" t="s">
        <v>1554</v>
      </c>
      <c r="P48" s="1182" t="s">
        <v>1575</v>
      </c>
      <c r="Q48" s="1182" t="s">
        <v>1574</v>
      </c>
      <c r="R48" s="1182" t="s">
        <v>1581</v>
      </c>
      <c r="BF48" s="1183">
        <f t="shared" si="17"/>
        <v>0</v>
      </c>
      <c r="BG48" s="1183">
        <f t="shared" si="17"/>
        <v>0</v>
      </c>
      <c r="BH48" s="1183">
        <f t="shared" si="17"/>
        <v>0</v>
      </c>
      <c r="BI48" s="1183">
        <f t="shared" si="18"/>
        <v>0</v>
      </c>
      <c r="BJ48" s="1183">
        <f t="shared" si="19"/>
        <v>0</v>
      </c>
      <c r="BK48" s="1183">
        <f t="shared" si="19"/>
        <v>0</v>
      </c>
      <c r="BL48" s="1183">
        <f t="shared" si="20"/>
        <v>0</v>
      </c>
      <c r="BM48" s="1183">
        <f t="shared" si="21"/>
        <v>0</v>
      </c>
      <c r="BN48" s="1183">
        <f t="shared" si="22"/>
        <v>0</v>
      </c>
      <c r="BO48" s="1192">
        <f>+SUMIFS('3条収入'!$AH$6:$AH$70,'3条収入'!$C$6:$C$70,雨汚収入!N48)</f>
        <v>0</v>
      </c>
    </row>
    <row r="49" spans="14:67">
      <c r="N49" s="1182" t="s">
        <v>1580</v>
      </c>
      <c r="O49" s="1182" t="s">
        <v>1554</v>
      </c>
      <c r="P49" s="1182" t="s">
        <v>1575</v>
      </c>
      <c r="Q49" s="1182" t="s">
        <v>1574</v>
      </c>
      <c r="R49" s="1182" t="s">
        <v>1579</v>
      </c>
      <c r="BF49" s="1183">
        <f t="shared" si="17"/>
        <v>0</v>
      </c>
      <c r="BG49" s="1183">
        <f t="shared" si="17"/>
        <v>0</v>
      </c>
      <c r="BH49" s="1183">
        <f t="shared" si="17"/>
        <v>0</v>
      </c>
      <c r="BI49" s="1183">
        <f t="shared" si="18"/>
        <v>0</v>
      </c>
      <c r="BJ49" s="1183">
        <f t="shared" si="19"/>
        <v>0</v>
      </c>
      <c r="BK49" s="1183">
        <f t="shared" si="19"/>
        <v>0</v>
      </c>
      <c r="BL49" s="1183">
        <f t="shared" si="20"/>
        <v>0</v>
      </c>
      <c r="BM49" s="1183">
        <f t="shared" si="21"/>
        <v>0</v>
      </c>
      <c r="BN49" s="1183">
        <f t="shared" si="22"/>
        <v>0</v>
      </c>
      <c r="BO49" s="1192">
        <f>+SUMIFS('3条収入'!$AH$6:$AH$70,'3条収入'!$C$6:$C$70,雨汚収入!N49)</f>
        <v>0</v>
      </c>
    </row>
    <row r="50" spans="14:67">
      <c r="N50" s="1182" t="s">
        <v>1578</v>
      </c>
      <c r="O50" s="1182" t="s">
        <v>1554</v>
      </c>
      <c r="P50" s="1182" t="s">
        <v>1575</v>
      </c>
      <c r="Q50" s="1182" t="s">
        <v>1574</v>
      </c>
      <c r="R50" s="1182" t="s">
        <v>1573</v>
      </c>
      <c r="S50" s="1182" t="s">
        <v>1577</v>
      </c>
      <c r="BF50" s="1183">
        <f t="shared" si="17"/>
        <v>0</v>
      </c>
      <c r="BG50" s="1183">
        <f t="shared" si="17"/>
        <v>0</v>
      </c>
      <c r="BH50" s="1183">
        <f t="shared" si="17"/>
        <v>0</v>
      </c>
      <c r="BI50" s="1183">
        <f t="shared" si="18"/>
        <v>0</v>
      </c>
      <c r="BJ50" s="1183">
        <f t="shared" si="19"/>
        <v>0</v>
      </c>
      <c r="BK50" s="1183">
        <f t="shared" si="19"/>
        <v>0</v>
      </c>
      <c r="BL50" s="1183">
        <f t="shared" si="20"/>
        <v>0</v>
      </c>
      <c r="BM50" s="1183">
        <f t="shared" si="21"/>
        <v>0</v>
      </c>
      <c r="BN50" s="1183">
        <f t="shared" si="22"/>
        <v>0</v>
      </c>
      <c r="BO50" s="1192">
        <f>+SUMIFS('3条収入'!$AH$6:$AH$70,'3条収入'!$C$6:$C$70,雨汚収入!N50)</f>
        <v>0</v>
      </c>
    </row>
    <row r="51" spans="14:67">
      <c r="N51" s="1182" t="s">
        <v>1576</v>
      </c>
      <c r="O51" s="1182" t="s">
        <v>1554</v>
      </c>
      <c r="P51" s="1182" t="s">
        <v>1575</v>
      </c>
      <c r="Q51" s="1182" t="s">
        <v>1574</v>
      </c>
      <c r="R51" s="1182" t="s">
        <v>1573</v>
      </c>
      <c r="S51" s="1182" t="s">
        <v>1572</v>
      </c>
      <c r="BF51" s="1183">
        <f t="shared" si="17"/>
        <v>0</v>
      </c>
      <c r="BG51" s="1183">
        <f t="shared" si="17"/>
        <v>0</v>
      </c>
      <c r="BH51" s="1183">
        <f t="shared" si="17"/>
        <v>0</v>
      </c>
      <c r="BI51" s="1183">
        <f t="shared" si="18"/>
        <v>0</v>
      </c>
      <c r="BJ51" s="1183">
        <f t="shared" si="19"/>
        <v>0</v>
      </c>
      <c r="BK51" s="1183">
        <f t="shared" si="19"/>
        <v>0</v>
      </c>
      <c r="BL51" s="1183">
        <f t="shared" si="20"/>
        <v>0</v>
      </c>
      <c r="BM51" s="1183">
        <f t="shared" si="21"/>
        <v>0</v>
      </c>
      <c r="BN51" s="1183">
        <f t="shared" si="22"/>
        <v>0</v>
      </c>
      <c r="BO51" s="1192">
        <f>+SUMIFS('3条収入'!$AH$6:$AH$70,'3条収入'!$C$6:$C$70,雨汚収入!N51)</f>
        <v>0</v>
      </c>
    </row>
    <row r="52" spans="14:67">
      <c r="N52" s="1431" t="s">
        <v>1789</v>
      </c>
      <c r="O52" s="1182" t="s">
        <v>1554</v>
      </c>
      <c r="P52" s="1182" t="s">
        <v>1563</v>
      </c>
      <c r="Q52" s="1182" t="s">
        <v>1787</v>
      </c>
      <c r="BF52" s="1183">
        <f t="shared" si="17"/>
        <v>0</v>
      </c>
      <c r="BG52" s="1183">
        <f t="shared" si="17"/>
        <v>0</v>
      </c>
      <c r="BH52" s="1183">
        <f t="shared" si="17"/>
        <v>0</v>
      </c>
      <c r="BI52" s="1183">
        <f t="shared" ref="BI52" si="23">SUM(BF52:BG52)</f>
        <v>0</v>
      </c>
      <c r="BJ52" s="1183">
        <f t="shared" si="19"/>
        <v>0</v>
      </c>
      <c r="BK52" s="1183">
        <f t="shared" si="19"/>
        <v>0</v>
      </c>
      <c r="BL52" s="1183">
        <f t="shared" ref="BL52" si="24">SUM(BJ52:BK52)</f>
        <v>0</v>
      </c>
      <c r="BM52" s="1183">
        <f t="shared" ref="BM52" si="25">+BI52+BL52+BH52</f>
        <v>0</v>
      </c>
      <c r="BN52" s="1183">
        <f t="shared" ref="BN52" si="26">+BO52-BM52</f>
        <v>0</v>
      </c>
      <c r="BO52" s="1192">
        <f>+SUMIFS('3条収入'!$AH$6:$AH$70,'3条収入'!$C$6:$C$70,雨汚収入!N52)</f>
        <v>0</v>
      </c>
    </row>
    <row r="53" spans="14:67">
      <c r="N53" s="1182" t="s">
        <v>1571</v>
      </c>
      <c r="O53" s="1182" t="s">
        <v>1554</v>
      </c>
      <c r="P53" s="1182" t="s">
        <v>1563</v>
      </c>
      <c r="Q53" s="1182" t="s">
        <v>1467</v>
      </c>
      <c r="R53" s="1182" t="s">
        <v>1570</v>
      </c>
      <c r="BF53" s="1183">
        <f t="shared" si="17"/>
        <v>0</v>
      </c>
      <c r="BG53" s="1183">
        <f t="shared" si="17"/>
        <v>0</v>
      </c>
      <c r="BH53" s="1183">
        <f t="shared" si="17"/>
        <v>0</v>
      </c>
      <c r="BI53" s="1183">
        <f t="shared" si="18"/>
        <v>0</v>
      </c>
      <c r="BJ53" s="1183">
        <f t="shared" si="19"/>
        <v>0</v>
      </c>
      <c r="BK53" s="1183">
        <f t="shared" si="19"/>
        <v>0</v>
      </c>
      <c r="BL53" s="1183">
        <f t="shared" si="20"/>
        <v>0</v>
      </c>
      <c r="BM53" s="1183">
        <f t="shared" si="21"/>
        <v>0</v>
      </c>
      <c r="BN53" s="1183">
        <f t="shared" si="22"/>
        <v>0</v>
      </c>
      <c r="BO53" s="1192">
        <f>+SUMIFS('3条収入'!$AH$6:$AH$70,'3条収入'!$C$6:$C$70,雨汚収入!N53)</f>
        <v>0</v>
      </c>
    </row>
    <row r="54" spans="14:67">
      <c r="N54" s="1431" t="s">
        <v>1790</v>
      </c>
      <c r="O54" s="1182" t="s">
        <v>1554</v>
      </c>
      <c r="P54" s="1182" t="s">
        <v>1563</v>
      </c>
      <c r="Q54" s="1182" t="s">
        <v>1788</v>
      </c>
      <c r="R54" s="1182" t="s">
        <v>1791</v>
      </c>
      <c r="BF54" s="1183">
        <f t="shared" si="17"/>
        <v>0</v>
      </c>
      <c r="BG54" s="1183">
        <f t="shared" si="17"/>
        <v>0</v>
      </c>
      <c r="BH54" s="1183">
        <f t="shared" si="17"/>
        <v>0</v>
      </c>
      <c r="BI54" s="1183">
        <f t="shared" si="18"/>
        <v>0</v>
      </c>
      <c r="BJ54" s="1183">
        <f t="shared" si="19"/>
        <v>0</v>
      </c>
      <c r="BK54" s="1183">
        <f t="shared" si="19"/>
        <v>0</v>
      </c>
      <c r="BL54" s="1183">
        <f t="shared" si="20"/>
        <v>0</v>
      </c>
      <c r="BM54" s="1183">
        <f t="shared" si="21"/>
        <v>0</v>
      </c>
      <c r="BN54" s="1183">
        <f t="shared" si="22"/>
        <v>0</v>
      </c>
      <c r="BO54" s="1192">
        <f>+SUMIFS('3条収入'!$AH$6:$AH$70,'3条収入'!$C$6:$C$70,雨汚収入!N54)</f>
        <v>0</v>
      </c>
    </row>
    <row r="55" spans="14:67">
      <c r="N55" s="1182" t="s">
        <v>1569</v>
      </c>
      <c r="O55" s="1182" t="s">
        <v>1554</v>
      </c>
      <c r="P55" s="1182" t="s">
        <v>1563</v>
      </c>
      <c r="Q55" s="1182" t="s">
        <v>1566</v>
      </c>
      <c r="R55" s="1182" t="s">
        <v>1568</v>
      </c>
      <c r="BF55" s="1183">
        <f t="shared" si="17"/>
        <v>0</v>
      </c>
      <c r="BG55" s="1183">
        <f t="shared" si="17"/>
        <v>0</v>
      </c>
      <c r="BH55" s="1183">
        <f t="shared" si="17"/>
        <v>0</v>
      </c>
      <c r="BI55" s="1183">
        <f t="shared" si="18"/>
        <v>0</v>
      </c>
      <c r="BJ55" s="1183">
        <f t="shared" si="19"/>
        <v>0</v>
      </c>
      <c r="BK55" s="1183">
        <f t="shared" si="19"/>
        <v>0</v>
      </c>
      <c r="BL55" s="1183">
        <f t="shared" si="20"/>
        <v>0</v>
      </c>
      <c r="BM55" s="1183">
        <f t="shared" si="21"/>
        <v>0</v>
      </c>
      <c r="BN55" s="1183">
        <f t="shared" si="22"/>
        <v>0</v>
      </c>
      <c r="BO55" s="1192">
        <f>+SUMIFS('3条収入'!$AH$6:$AH$70,'3条収入'!$C$6:$C$70,雨汚収入!N55)</f>
        <v>0</v>
      </c>
    </row>
    <row r="56" spans="14:67">
      <c r="N56" s="1182" t="s">
        <v>1567</v>
      </c>
      <c r="O56" s="1182" t="s">
        <v>1554</v>
      </c>
      <c r="P56" s="1182" t="s">
        <v>1563</v>
      </c>
      <c r="Q56" s="1182" t="s">
        <v>1566</v>
      </c>
      <c r="R56" s="1182" t="s">
        <v>1565</v>
      </c>
      <c r="BF56" s="1183">
        <f t="shared" si="17"/>
        <v>0</v>
      </c>
      <c r="BG56" s="1183">
        <f t="shared" si="17"/>
        <v>0</v>
      </c>
      <c r="BH56" s="1183">
        <f t="shared" si="17"/>
        <v>0</v>
      </c>
      <c r="BI56" s="1183">
        <f t="shared" si="18"/>
        <v>0</v>
      </c>
      <c r="BJ56" s="1183">
        <f t="shared" si="19"/>
        <v>0</v>
      </c>
      <c r="BK56" s="1183">
        <f t="shared" si="19"/>
        <v>0</v>
      </c>
      <c r="BL56" s="1183">
        <f t="shared" si="20"/>
        <v>0</v>
      </c>
      <c r="BM56" s="1183">
        <f t="shared" si="21"/>
        <v>0</v>
      </c>
      <c r="BN56" s="1183">
        <f t="shared" si="22"/>
        <v>0</v>
      </c>
      <c r="BO56" s="1192">
        <f>+SUMIFS('3条収入'!$AH$6:$AH$70,'3条収入'!$C$6:$C$70,雨汚収入!N56)</f>
        <v>0</v>
      </c>
    </row>
    <row r="57" spans="14:67">
      <c r="N57" s="1182" t="s">
        <v>1645</v>
      </c>
      <c r="O57" s="1182" t="s">
        <v>1554</v>
      </c>
      <c r="P57" s="1182" t="s">
        <v>1563</v>
      </c>
      <c r="Q57" s="1182" t="s">
        <v>1461</v>
      </c>
      <c r="R57" s="1182" t="s">
        <v>1461</v>
      </c>
      <c r="BF57" s="1183">
        <f t="shared" si="17"/>
        <v>0</v>
      </c>
      <c r="BG57" s="1183">
        <f t="shared" si="17"/>
        <v>0</v>
      </c>
      <c r="BH57" s="1183">
        <f t="shared" si="17"/>
        <v>0</v>
      </c>
      <c r="BI57" s="1183">
        <f t="shared" si="18"/>
        <v>0</v>
      </c>
      <c r="BJ57" s="1183">
        <f t="shared" si="19"/>
        <v>0</v>
      </c>
      <c r="BK57" s="1183">
        <f t="shared" si="19"/>
        <v>0</v>
      </c>
      <c r="BL57" s="1183">
        <f t="shared" si="20"/>
        <v>0</v>
      </c>
      <c r="BM57" s="1183">
        <f t="shared" si="21"/>
        <v>0</v>
      </c>
      <c r="BN57" s="1183">
        <f t="shared" si="22"/>
        <v>0</v>
      </c>
      <c r="BO57" s="1192">
        <f>+SUMIFS('3条収入'!$AH$6:$AH$70,'3条収入'!$C$6:$C$70,雨汚収入!N57)</f>
        <v>0</v>
      </c>
    </row>
    <row r="58" spans="14:67">
      <c r="N58" s="1194" t="s">
        <v>1644</v>
      </c>
      <c r="O58" s="1182" t="s">
        <v>1554</v>
      </c>
      <c r="P58" s="1182" t="s">
        <v>1563</v>
      </c>
      <c r="Q58" s="1182" t="s">
        <v>1562</v>
      </c>
      <c r="R58" s="1182" t="s">
        <v>1643</v>
      </c>
      <c r="BF58" s="1183">
        <f t="shared" si="17"/>
        <v>0</v>
      </c>
      <c r="BG58" s="1183">
        <f t="shared" si="17"/>
        <v>0</v>
      </c>
      <c r="BH58" s="1183">
        <f t="shared" si="17"/>
        <v>0</v>
      </c>
      <c r="BI58" s="1183">
        <f t="shared" si="18"/>
        <v>0</v>
      </c>
      <c r="BJ58" s="1183">
        <f t="shared" si="19"/>
        <v>0</v>
      </c>
      <c r="BK58" s="1183">
        <f t="shared" si="19"/>
        <v>0</v>
      </c>
      <c r="BL58" s="1183">
        <f t="shared" si="20"/>
        <v>0</v>
      </c>
      <c r="BM58" s="1183">
        <f t="shared" si="21"/>
        <v>0</v>
      </c>
      <c r="BN58" s="1183">
        <f t="shared" si="22"/>
        <v>0</v>
      </c>
      <c r="BO58" s="1192">
        <f>+SUMIFS('3条収入'!$AH$6:$AH$70,'3条収入'!$C$6:$C$70,雨汚収入!N58)</f>
        <v>0</v>
      </c>
    </row>
    <row r="59" spans="14:67">
      <c r="N59" s="1182" t="s">
        <v>1564</v>
      </c>
      <c r="O59" s="1182" t="s">
        <v>1554</v>
      </c>
      <c r="P59" s="1182" t="s">
        <v>1563</v>
      </c>
      <c r="Q59" s="1182" t="s">
        <v>1562</v>
      </c>
      <c r="R59" s="1182" t="s">
        <v>1561</v>
      </c>
      <c r="BF59" s="1185">
        <f>+IFERROR(ROUND($BO59*BF37/$BM37,0),0)</f>
        <v>10738</v>
      </c>
      <c r="BG59" s="1183">
        <f t="shared" si="17"/>
        <v>0</v>
      </c>
      <c r="BH59" s="1183">
        <f t="shared" si="17"/>
        <v>0</v>
      </c>
      <c r="BI59" s="1183">
        <f t="shared" si="18"/>
        <v>10738</v>
      </c>
      <c r="BJ59" s="1183">
        <f t="shared" si="19"/>
        <v>0</v>
      </c>
      <c r="BK59" s="1183">
        <f t="shared" si="19"/>
        <v>12606</v>
      </c>
      <c r="BL59" s="1183">
        <f t="shared" si="20"/>
        <v>12606</v>
      </c>
      <c r="BM59" s="1183">
        <f t="shared" si="21"/>
        <v>23344</v>
      </c>
      <c r="BN59" s="1183">
        <f t="shared" si="22"/>
        <v>0</v>
      </c>
      <c r="BO59" s="1192">
        <f>+SUMIFS('3条収入'!$AH$6:$AH$70,'3条収入'!$C$6:$C$70,雨汚収入!N59)</f>
        <v>23344</v>
      </c>
    </row>
    <row r="60" spans="14:67">
      <c r="N60" s="1193" t="s">
        <v>1642</v>
      </c>
      <c r="O60" s="1193" t="s">
        <v>1554</v>
      </c>
      <c r="P60" s="1193" t="s">
        <v>1553</v>
      </c>
      <c r="Q60" s="1193" t="s">
        <v>1641</v>
      </c>
      <c r="R60" s="1193" t="s">
        <v>1641</v>
      </c>
      <c r="BF60" s="1183">
        <f t="shared" si="17"/>
        <v>0</v>
      </c>
      <c r="BG60" s="1183">
        <f t="shared" si="17"/>
        <v>0</v>
      </c>
      <c r="BH60" s="1183">
        <f t="shared" si="17"/>
        <v>0</v>
      </c>
      <c r="BI60" s="1183">
        <f t="shared" si="18"/>
        <v>0</v>
      </c>
      <c r="BJ60" s="1183">
        <f t="shared" si="19"/>
        <v>0</v>
      </c>
      <c r="BK60" s="1183">
        <f t="shared" si="19"/>
        <v>0</v>
      </c>
      <c r="BL60" s="1183">
        <f t="shared" si="20"/>
        <v>0</v>
      </c>
      <c r="BM60" s="1183">
        <f t="shared" si="21"/>
        <v>0</v>
      </c>
      <c r="BN60" s="1183">
        <f t="shared" si="22"/>
        <v>0</v>
      </c>
      <c r="BO60" s="1192">
        <f>+SUMIFS('3条収入'!$AH$6:$AH$70,'3条収入'!$C$6:$C$70,雨汚収入!N60)</f>
        <v>0</v>
      </c>
    </row>
    <row r="61" spans="14:67">
      <c r="N61" s="1182" t="s">
        <v>1560</v>
      </c>
      <c r="O61" s="1182" t="s">
        <v>1554</v>
      </c>
      <c r="P61" s="1182" t="s">
        <v>1553</v>
      </c>
      <c r="Q61" s="1182" t="s">
        <v>1559</v>
      </c>
      <c r="R61" s="1182" t="s">
        <v>1559</v>
      </c>
      <c r="BF61" s="1183">
        <f t="shared" si="17"/>
        <v>0</v>
      </c>
      <c r="BG61" s="1183">
        <f t="shared" si="17"/>
        <v>0</v>
      </c>
      <c r="BH61" s="1183">
        <f t="shared" si="17"/>
        <v>0</v>
      </c>
      <c r="BI61" s="1183">
        <f t="shared" si="18"/>
        <v>0</v>
      </c>
      <c r="BJ61" s="1183">
        <f t="shared" si="19"/>
        <v>0</v>
      </c>
      <c r="BK61" s="1183">
        <f t="shared" si="19"/>
        <v>0</v>
      </c>
      <c r="BL61" s="1183">
        <f t="shared" si="20"/>
        <v>0</v>
      </c>
      <c r="BM61" s="1183">
        <f t="shared" si="21"/>
        <v>0</v>
      </c>
      <c r="BN61" s="1183">
        <f t="shared" si="22"/>
        <v>0</v>
      </c>
      <c r="BO61" s="1192">
        <f>+SUMIFS('3条収入'!$AH$6:$AH$70,'3条収入'!$C$6:$C$70,雨汚収入!N61)</f>
        <v>0</v>
      </c>
    </row>
    <row r="62" spans="14:67">
      <c r="N62" s="1182" t="s">
        <v>1558</v>
      </c>
      <c r="O62" s="1182" t="s">
        <v>1554</v>
      </c>
      <c r="P62" s="1182" t="s">
        <v>1553</v>
      </c>
      <c r="Q62" s="1182" t="s">
        <v>1552</v>
      </c>
      <c r="R62" s="1182" t="s">
        <v>1552</v>
      </c>
      <c r="BF62" s="1183">
        <f t="shared" si="17"/>
        <v>0</v>
      </c>
      <c r="BG62" s="1183">
        <f t="shared" si="17"/>
        <v>0</v>
      </c>
      <c r="BH62" s="1183">
        <f t="shared" si="17"/>
        <v>0</v>
      </c>
      <c r="BI62" s="1183">
        <f t="shared" si="18"/>
        <v>0</v>
      </c>
      <c r="BJ62" s="1183">
        <f t="shared" si="19"/>
        <v>0</v>
      </c>
      <c r="BK62" s="1183">
        <f t="shared" si="19"/>
        <v>0</v>
      </c>
      <c r="BL62" s="1183">
        <f t="shared" si="20"/>
        <v>0</v>
      </c>
      <c r="BM62" s="1183">
        <f t="shared" si="21"/>
        <v>0</v>
      </c>
      <c r="BN62" s="1183">
        <f t="shared" si="22"/>
        <v>0</v>
      </c>
      <c r="BO62" s="1192">
        <f>+SUMIFS('3条収入'!$AH$6:$AH$70,'3条収入'!$C$6:$C$70,雨汚収入!N62)</f>
        <v>0</v>
      </c>
    </row>
    <row r="63" spans="14:67">
      <c r="N63" s="1182" t="s">
        <v>1557</v>
      </c>
      <c r="O63" s="1182" t="s">
        <v>1554</v>
      </c>
      <c r="P63" s="1182" t="s">
        <v>1553</v>
      </c>
      <c r="Q63" s="1182" t="s">
        <v>1552</v>
      </c>
      <c r="R63" s="1182" t="s">
        <v>1556</v>
      </c>
      <c r="BF63" s="1183">
        <f t="shared" si="17"/>
        <v>0</v>
      </c>
      <c r="BG63" s="1183">
        <f t="shared" si="17"/>
        <v>0</v>
      </c>
      <c r="BH63" s="1183">
        <f t="shared" si="17"/>
        <v>0</v>
      </c>
      <c r="BI63" s="1183">
        <f t="shared" si="18"/>
        <v>0</v>
      </c>
      <c r="BJ63" s="1183">
        <f t="shared" si="19"/>
        <v>0</v>
      </c>
      <c r="BK63" s="1183">
        <f t="shared" si="19"/>
        <v>0</v>
      </c>
      <c r="BL63" s="1183">
        <f t="shared" si="20"/>
        <v>0</v>
      </c>
      <c r="BM63" s="1183">
        <f t="shared" si="21"/>
        <v>0</v>
      </c>
      <c r="BN63" s="1183">
        <f t="shared" si="22"/>
        <v>0</v>
      </c>
      <c r="BO63" s="1192">
        <f>+SUMIFS('3条収入'!$AH$6:$AH$70,'3条収入'!$C$6:$C$70,雨汚収入!N63)</f>
        <v>0</v>
      </c>
    </row>
    <row r="64" spans="14:67">
      <c r="N64" s="1182" t="s">
        <v>1555</v>
      </c>
      <c r="O64" s="1182" t="s">
        <v>1554</v>
      </c>
      <c r="P64" s="1182" t="s">
        <v>1553</v>
      </c>
      <c r="Q64" s="1182" t="s">
        <v>1552</v>
      </c>
      <c r="R64" s="1182" t="s">
        <v>1551</v>
      </c>
      <c r="BF64" s="1183">
        <f t="shared" si="17"/>
        <v>0</v>
      </c>
      <c r="BG64" s="1183">
        <f t="shared" si="17"/>
        <v>0</v>
      </c>
      <c r="BH64" s="1183">
        <f t="shared" si="17"/>
        <v>0</v>
      </c>
      <c r="BI64" s="1183">
        <f t="shared" si="18"/>
        <v>0</v>
      </c>
      <c r="BJ64" s="1183">
        <f t="shared" si="19"/>
        <v>0</v>
      </c>
      <c r="BK64" s="1183">
        <f t="shared" si="19"/>
        <v>0</v>
      </c>
      <c r="BL64" s="1183">
        <f t="shared" si="20"/>
        <v>0</v>
      </c>
      <c r="BM64" s="1183">
        <f t="shared" si="21"/>
        <v>0</v>
      </c>
      <c r="BN64" s="1183">
        <f t="shared" si="22"/>
        <v>0</v>
      </c>
      <c r="BO64" s="1192">
        <f>+SUMIFS('3条収入'!$AH$6:$AH$70,'3条収入'!$C$6:$C$70,雨汚収入!N64)</f>
        <v>0</v>
      </c>
    </row>
    <row r="65" spans="1:72">
      <c r="R65" s="1182" t="s">
        <v>1506</v>
      </c>
      <c r="BF65" s="1183">
        <f t="shared" ref="BF65:BO65" si="27">+SUM(BF47:BF64)</f>
        <v>10738</v>
      </c>
      <c r="BG65" s="1183">
        <f t="shared" si="27"/>
        <v>0</v>
      </c>
      <c r="BH65" s="1183">
        <f t="shared" si="27"/>
        <v>0</v>
      </c>
      <c r="BI65" s="1183">
        <f t="shared" si="27"/>
        <v>10738</v>
      </c>
      <c r="BJ65" s="1183">
        <f t="shared" si="27"/>
        <v>0</v>
      </c>
      <c r="BK65" s="1183">
        <f t="shared" si="27"/>
        <v>12606</v>
      </c>
      <c r="BL65" s="1183">
        <f t="shared" si="27"/>
        <v>12606</v>
      </c>
      <c r="BM65" s="1183">
        <f t="shared" si="27"/>
        <v>23344</v>
      </c>
      <c r="BN65" s="1183">
        <f t="shared" si="27"/>
        <v>0</v>
      </c>
      <c r="BO65" s="1192">
        <f t="shared" si="27"/>
        <v>23344</v>
      </c>
    </row>
    <row r="67" spans="1:72">
      <c r="Y67" s="1183">
        <f>+SUBTOTAL(109,Y69:Y1000)</f>
        <v>267611572</v>
      </c>
      <c r="AV67" s="1183">
        <f t="shared" ref="AV67:BM67" si="28">+SUBTOTAL(109,AV69:AV1000)</f>
        <v>49120269</v>
      </c>
      <c r="AW67" s="1183">
        <f t="shared" si="28"/>
        <v>507311</v>
      </c>
      <c r="AX67" s="1183">
        <f t="shared" si="28"/>
        <v>40065138</v>
      </c>
      <c r="AY67" s="1183">
        <f t="shared" si="28"/>
        <v>89692718</v>
      </c>
      <c r="AZ67" s="1183">
        <f t="shared" si="28"/>
        <v>298760</v>
      </c>
      <c r="BA67" s="1183">
        <f t="shared" si="28"/>
        <v>177620094</v>
      </c>
      <c r="BB67" s="1183">
        <f t="shared" si="28"/>
        <v>177918854</v>
      </c>
      <c r="BC67" s="1183">
        <f t="shared" si="28"/>
        <v>267611572</v>
      </c>
      <c r="BD67" s="1183">
        <f t="shared" si="28"/>
        <v>0</v>
      </c>
      <c r="BE67" s="1183">
        <f t="shared" si="28"/>
        <v>0</v>
      </c>
      <c r="BF67" s="1183">
        <f t="shared" si="28"/>
        <v>45489350</v>
      </c>
      <c r="BG67" s="1183">
        <f t="shared" si="28"/>
        <v>461192</v>
      </c>
      <c r="BH67" s="1183">
        <f t="shared" si="28"/>
        <v>36594136</v>
      </c>
      <c r="BI67" s="1183">
        <f t="shared" si="28"/>
        <v>82544678</v>
      </c>
      <c r="BJ67" s="1183">
        <f t="shared" si="28"/>
        <v>298760</v>
      </c>
      <c r="BK67" s="1183">
        <f t="shared" si="28"/>
        <v>162843481</v>
      </c>
      <c r="BL67" s="1183">
        <f t="shared" si="28"/>
        <v>163142241</v>
      </c>
      <c r="BM67" s="1183">
        <f t="shared" si="28"/>
        <v>245686919</v>
      </c>
    </row>
    <row r="68" spans="1:72" ht="13.5" customHeight="1">
      <c r="V68" s="1189"/>
      <c r="W68" s="1189"/>
      <c r="X68" s="1189"/>
      <c r="Y68" s="1191"/>
      <c r="AB68" s="1189"/>
      <c r="AE68" s="1189"/>
      <c r="AG68" s="1189"/>
      <c r="AH68" s="1189"/>
      <c r="AI68" s="1189"/>
      <c r="AL68" s="1186" t="s">
        <v>1640</v>
      </c>
      <c r="AQ68" s="1182" t="s">
        <v>1639</v>
      </c>
      <c r="AS68" s="1186">
        <v>0</v>
      </c>
      <c r="AT68" s="1186">
        <v>0</v>
      </c>
      <c r="AV68" s="1596" t="s">
        <v>1638</v>
      </c>
      <c r="AW68" s="1596"/>
      <c r="AX68" s="1596"/>
      <c r="AY68" s="1596"/>
      <c r="AZ68" s="1596" t="s">
        <v>1637</v>
      </c>
      <c r="BA68" s="1596"/>
      <c r="BB68" s="1596"/>
      <c r="BC68" s="1551" t="s">
        <v>1636</v>
      </c>
      <c r="BD68" s="1183" t="s">
        <v>1635</v>
      </c>
      <c r="BE68" s="1187"/>
      <c r="BF68" s="1597" t="s">
        <v>1800</v>
      </c>
      <c r="BG68" s="1597"/>
      <c r="BH68" s="1597"/>
      <c r="BI68" s="1597"/>
      <c r="BJ68" s="1597" t="s">
        <v>1634</v>
      </c>
      <c r="BK68" s="1597"/>
      <c r="BL68" s="1597"/>
      <c r="BM68" s="1552" t="s">
        <v>1633</v>
      </c>
      <c r="BN68" s="1544" t="s">
        <v>1632</v>
      </c>
      <c r="BO68" s="1190"/>
      <c r="BP68" s="1190"/>
      <c r="BQ68" s="1190"/>
      <c r="BR68" s="1190"/>
      <c r="BS68" s="1190"/>
      <c r="BT68" s="1190"/>
    </row>
    <row r="69" spans="1:72">
      <c r="A69" s="1182" t="s">
        <v>1631</v>
      </c>
      <c r="B69" s="1182" t="s">
        <v>1630</v>
      </c>
      <c r="C69" s="1182" t="s">
        <v>1629</v>
      </c>
      <c r="D69" s="1182" t="s">
        <v>1628</v>
      </c>
      <c r="E69" s="1182" t="s">
        <v>1627</v>
      </c>
      <c r="F69" s="1182" t="s">
        <v>1626</v>
      </c>
      <c r="G69" s="1182" t="s">
        <v>1625</v>
      </c>
      <c r="H69" s="1182" t="s">
        <v>1624</v>
      </c>
      <c r="I69" s="1182" t="s">
        <v>1623</v>
      </c>
      <c r="J69" s="1182" t="s">
        <v>1622</v>
      </c>
      <c r="K69" s="1182" t="s">
        <v>1621</v>
      </c>
      <c r="L69" s="1182" t="s">
        <v>1620</v>
      </c>
      <c r="M69" s="1182" t="s">
        <v>1619</v>
      </c>
      <c r="N69" s="1182" t="s">
        <v>1618</v>
      </c>
      <c r="O69" s="1182" t="s">
        <v>1617</v>
      </c>
      <c r="P69" s="1182" t="s">
        <v>1616</v>
      </c>
      <c r="Q69" s="1182" t="s">
        <v>1615</v>
      </c>
      <c r="R69" s="1188" t="s">
        <v>1614</v>
      </c>
      <c r="S69" s="1182" t="s">
        <v>1613</v>
      </c>
      <c r="T69" s="1182" t="s">
        <v>1612</v>
      </c>
      <c r="U69" s="1182" t="s">
        <v>1611</v>
      </c>
      <c r="V69" s="1189" t="s">
        <v>1610</v>
      </c>
      <c r="W69" s="1189" t="s">
        <v>1609</v>
      </c>
      <c r="X69" s="1189" t="s">
        <v>1608</v>
      </c>
      <c r="Y69" s="1544" t="s">
        <v>1607</v>
      </c>
      <c r="Z69" s="1182" t="s">
        <v>1606</v>
      </c>
      <c r="AA69" s="1182" t="s">
        <v>1605</v>
      </c>
      <c r="AB69" s="1189" t="s">
        <v>1604</v>
      </c>
      <c r="AC69" s="1182" t="s">
        <v>1603</v>
      </c>
      <c r="AD69" s="1182" t="s">
        <v>1602</v>
      </c>
      <c r="AE69" s="1189" t="s">
        <v>1601</v>
      </c>
      <c r="AF69" s="1182" t="s">
        <v>1600</v>
      </c>
      <c r="AG69" s="1189" t="s">
        <v>1599</v>
      </c>
      <c r="AH69" s="1189" t="s">
        <v>1598</v>
      </c>
      <c r="AI69" s="1189" t="s">
        <v>1597</v>
      </c>
      <c r="AJ69" s="1182" t="s">
        <v>1596</v>
      </c>
      <c r="AL69" s="1184" t="s">
        <v>1595</v>
      </c>
      <c r="AM69" s="1184" t="s">
        <v>1594</v>
      </c>
      <c r="AN69" s="1184" t="s">
        <v>1593</v>
      </c>
      <c r="AO69" s="1184" t="s">
        <v>1592</v>
      </c>
      <c r="AP69" s="1184" t="s">
        <v>1591</v>
      </c>
      <c r="AQ69" s="1184" t="s">
        <v>1590</v>
      </c>
      <c r="AS69" s="1182" t="s">
        <v>1589</v>
      </c>
      <c r="AT69" s="1182" t="s">
        <v>1588</v>
      </c>
      <c r="AV69" s="1373" t="s">
        <v>1587</v>
      </c>
      <c r="AW69" s="1373" t="s">
        <v>1586</v>
      </c>
      <c r="AX69" s="1373" t="s">
        <v>1784</v>
      </c>
      <c r="AY69" s="1537" t="s">
        <v>1583</v>
      </c>
      <c r="AZ69" s="1187" t="s">
        <v>1585</v>
      </c>
      <c r="BA69" s="1187" t="s">
        <v>1584</v>
      </c>
      <c r="BB69" s="1187" t="s">
        <v>1583</v>
      </c>
      <c r="BE69" s="1187"/>
      <c r="BF69" s="1542" t="s">
        <v>1587</v>
      </c>
      <c r="BG69" s="1542" t="s">
        <v>1586</v>
      </c>
      <c r="BH69" s="1542" t="s">
        <v>1784</v>
      </c>
      <c r="BI69" s="1542" t="s">
        <v>1583</v>
      </c>
      <c r="BJ69" s="1542" t="s">
        <v>1585</v>
      </c>
      <c r="BK69" s="1542" t="s">
        <v>1584</v>
      </c>
      <c r="BL69" s="1542" t="s">
        <v>1583</v>
      </c>
      <c r="BM69" s="1541"/>
      <c r="BN69" s="1544"/>
      <c r="BO69" s="1182" t="s">
        <v>4766</v>
      </c>
      <c r="BP69" s="1182" t="s">
        <v>4767</v>
      </c>
    </row>
    <row r="70" spans="1:72" ht="13.5" customHeight="1">
      <c r="A70" s="1182" t="s">
        <v>1803</v>
      </c>
      <c r="B70" s="1182" t="s">
        <v>1804</v>
      </c>
      <c r="C70" s="1182" t="s">
        <v>1639</v>
      </c>
      <c r="D70" s="1182" t="s">
        <v>1805</v>
      </c>
      <c r="E70" s="1182" t="s">
        <v>1806</v>
      </c>
      <c r="F70" s="1182" t="s">
        <v>1807</v>
      </c>
      <c r="G70" s="1182" t="s">
        <v>1807</v>
      </c>
      <c r="H70" s="1182" t="s">
        <v>1808</v>
      </c>
      <c r="I70" s="1182" t="s">
        <v>1809</v>
      </c>
      <c r="J70" s="1182" t="s">
        <v>1810</v>
      </c>
      <c r="K70" s="1182" t="s">
        <v>1811</v>
      </c>
      <c r="L70" s="1182" t="s">
        <v>1812</v>
      </c>
      <c r="M70" s="1182" t="s">
        <v>1803</v>
      </c>
      <c r="N70" s="1182" t="s">
        <v>1813</v>
      </c>
      <c r="O70" s="1182" t="s">
        <v>1554</v>
      </c>
      <c r="P70" s="1182" t="s">
        <v>1575</v>
      </c>
      <c r="Q70" s="1182" t="s">
        <v>1574</v>
      </c>
      <c r="R70" s="1182" t="s">
        <v>1581</v>
      </c>
      <c r="S70" s="1182" t="s">
        <v>1639</v>
      </c>
      <c r="T70" s="1182" t="s">
        <v>1814</v>
      </c>
      <c r="U70" s="1182" t="s">
        <v>1815</v>
      </c>
      <c r="V70" s="1182">
        <v>0</v>
      </c>
      <c r="W70" s="1182">
        <v>0</v>
      </c>
      <c r="X70" s="1182">
        <v>0</v>
      </c>
      <c r="Y70" s="1183">
        <v>13722588</v>
      </c>
      <c r="Z70" s="1182" t="s">
        <v>1816</v>
      </c>
      <c r="AA70" s="1182" t="s">
        <v>1817</v>
      </c>
      <c r="AB70" s="1182">
        <v>13722588</v>
      </c>
      <c r="AC70" s="1182" t="s">
        <v>1818</v>
      </c>
      <c r="AD70" s="1182" t="s">
        <v>1581</v>
      </c>
      <c r="AE70" s="1182">
        <v>13722588</v>
      </c>
      <c r="AF70" s="1182" t="s">
        <v>1819</v>
      </c>
      <c r="AG70" s="1182" t="s">
        <v>1820</v>
      </c>
      <c r="AH70" s="1182">
        <v>1247508</v>
      </c>
      <c r="AI70" s="1182">
        <v>12475080</v>
      </c>
      <c r="AJ70" s="1182" t="s">
        <v>1821</v>
      </c>
      <c r="AL70" s="1186" t="s">
        <v>1822</v>
      </c>
      <c r="AM70" s="1182">
        <v>1</v>
      </c>
      <c r="AN70" s="1182">
        <v>0</v>
      </c>
      <c r="AO70" s="1182">
        <v>0</v>
      </c>
      <c r="AP70" s="1182">
        <v>0</v>
      </c>
      <c r="AQ70" s="1182" t="s">
        <v>1639</v>
      </c>
      <c r="AS70" s="1186" t="s">
        <v>1819</v>
      </c>
      <c r="AT70" s="1186" t="s">
        <v>1820</v>
      </c>
      <c r="AV70" s="1183">
        <v>0</v>
      </c>
      <c r="AW70" s="1183">
        <v>0</v>
      </c>
      <c r="AX70" s="1183">
        <v>2758240</v>
      </c>
      <c r="AY70" s="1538">
        <v>2758240</v>
      </c>
      <c r="AZ70" s="1183">
        <v>0</v>
      </c>
      <c r="BA70" s="1183">
        <v>10964348</v>
      </c>
      <c r="BB70" s="1540">
        <v>10964348</v>
      </c>
      <c r="BC70" s="1540">
        <v>13722588</v>
      </c>
      <c r="BD70" s="1540">
        <v>0</v>
      </c>
      <c r="BF70" s="1539">
        <f t="shared" ref="BF70" si="29">+IFERROR(ROUND(AV70*100/(100+$AT70),0),AV70)</f>
        <v>0</v>
      </c>
      <c r="BG70" s="1539">
        <f t="shared" ref="BG70" si="30">+IFERROR(ROUND(AW70*100/(100+$AT70),0),AW70)</f>
        <v>0</v>
      </c>
      <c r="BH70" s="1539">
        <f t="shared" ref="BH70" si="31">+IFERROR(ROUND(AX70*100/(100+$AT70),0),AX70)</f>
        <v>2507491</v>
      </c>
      <c r="BI70" s="1539">
        <f t="shared" ref="BI70" si="32">SUM(BF70:BH70)</f>
        <v>2507491</v>
      </c>
      <c r="BJ70" s="1539">
        <f t="shared" ref="BJ70" si="33">+IFERROR(ROUND(AZ70*100/(100+$AT70),0),AZ70)</f>
        <v>0</v>
      </c>
      <c r="BK70" s="1539">
        <f t="shared" ref="BK70" si="34">+IFERROR(ROUND(BA70*100/(100+$AT70),0),BA70)</f>
        <v>9967589</v>
      </c>
      <c r="BL70" s="1539">
        <f t="shared" ref="BL70" si="35">SUM(BJ70:BK70)</f>
        <v>9967589</v>
      </c>
      <c r="BM70" s="1539">
        <f t="shared" ref="BM70" si="36">+BI70+BL70</f>
        <v>12475080</v>
      </c>
      <c r="BO70" s="1183"/>
      <c r="BQ70" s="1182">
        <f>AY70*100/(100+$AT70)-BI70</f>
        <v>-9.090909082442522E-2</v>
      </c>
      <c r="BR70" s="1182">
        <f>BB70*100/(100+$AT70)-BL70</f>
        <v>9.0909091755747795E-2</v>
      </c>
      <c r="BS70" s="1182">
        <f t="shared" ref="BS70:BT120" si="37">AZ70*100/(100+$AT70)-BJ70</f>
        <v>0</v>
      </c>
      <c r="BT70" s="1182">
        <f t="shared" si="37"/>
        <v>9.0909091755747795E-2</v>
      </c>
    </row>
    <row r="71" spans="1:72" ht="13.5" customHeight="1">
      <c r="A71" s="1182" t="s">
        <v>1803</v>
      </c>
      <c r="B71" s="1182" t="s">
        <v>1804</v>
      </c>
      <c r="C71" s="1182" t="s">
        <v>1639</v>
      </c>
      <c r="D71" s="1182" t="s">
        <v>1805</v>
      </c>
      <c r="E71" s="1182" t="s">
        <v>1806</v>
      </c>
      <c r="F71" s="1182" t="s">
        <v>1823</v>
      </c>
      <c r="G71" s="1182" t="s">
        <v>1823</v>
      </c>
      <c r="H71" s="1182" t="s">
        <v>1824</v>
      </c>
      <c r="I71" s="1182" t="s">
        <v>1809</v>
      </c>
      <c r="J71" s="1182" t="s">
        <v>1825</v>
      </c>
      <c r="K71" s="1182" t="s">
        <v>1811</v>
      </c>
      <c r="L71" s="1182" t="s">
        <v>1812</v>
      </c>
      <c r="M71" s="1182" t="s">
        <v>1803</v>
      </c>
      <c r="N71" s="1182" t="s">
        <v>1813</v>
      </c>
      <c r="O71" s="1182" t="s">
        <v>1554</v>
      </c>
      <c r="P71" s="1182" t="s">
        <v>1575</v>
      </c>
      <c r="Q71" s="1182" t="s">
        <v>1574</v>
      </c>
      <c r="R71" s="1182" t="s">
        <v>1581</v>
      </c>
      <c r="S71" s="1182" t="s">
        <v>1639</v>
      </c>
      <c r="T71" s="1182" t="s">
        <v>1814</v>
      </c>
      <c r="U71" s="1182" t="s">
        <v>1815</v>
      </c>
      <c r="V71" s="1182">
        <v>0</v>
      </c>
      <c r="W71" s="1182">
        <v>0</v>
      </c>
      <c r="X71" s="1182">
        <v>0</v>
      </c>
      <c r="Y71" s="1183">
        <v>16825396</v>
      </c>
      <c r="Z71" s="1182" t="s">
        <v>1816</v>
      </c>
      <c r="AA71" s="1182" t="s">
        <v>1817</v>
      </c>
      <c r="AB71" s="1182">
        <v>16825396</v>
      </c>
      <c r="AC71" s="1182" t="s">
        <v>1818</v>
      </c>
      <c r="AD71" s="1182" t="s">
        <v>1581</v>
      </c>
      <c r="AE71" s="1182">
        <v>16825396</v>
      </c>
      <c r="AF71" s="1182" t="s">
        <v>1819</v>
      </c>
      <c r="AG71" s="1182" t="s">
        <v>1820</v>
      </c>
      <c r="AH71" s="1182">
        <v>1529581</v>
      </c>
      <c r="AI71" s="1182">
        <v>15295815</v>
      </c>
      <c r="AJ71" s="1182" t="s">
        <v>1821</v>
      </c>
      <c r="AL71" s="1186" t="s">
        <v>1826</v>
      </c>
      <c r="AM71" s="1182">
        <v>1</v>
      </c>
      <c r="AN71" s="1182">
        <v>0</v>
      </c>
      <c r="AO71" s="1182">
        <v>0</v>
      </c>
      <c r="AP71" s="1182">
        <v>0</v>
      </c>
      <c r="AQ71" s="1182" t="s">
        <v>1639</v>
      </c>
      <c r="AS71" s="1186" t="s">
        <v>1819</v>
      </c>
      <c r="AT71" s="1186" t="s">
        <v>1820</v>
      </c>
      <c r="AV71" s="1183">
        <v>0</v>
      </c>
      <c r="AW71" s="1183">
        <v>0</v>
      </c>
      <c r="AX71" s="1183">
        <v>3381905</v>
      </c>
      <c r="AY71" s="1538">
        <v>3381905</v>
      </c>
      <c r="AZ71" s="1183">
        <v>0</v>
      </c>
      <c r="BA71" s="1183">
        <v>13443491</v>
      </c>
      <c r="BB71" s="1540">
        <v>13443491</v>
      </c>
      <c r="BC71" s="1540">
        <v>16825396</v>
      </c>
      <c r="BD71" s="1540">
        <v>0</v>
      </c>
      <c r="BF71" s="1539">
        <f t="shared" ref="BF71:BF134" si="38">+IFERROR(ROUND(AV71*100/(100+$AT71),0),AV71)</f>
        <v>0</v>
      </c>
      <c r="BG71" s="1539">
        <f t="shared" ref="BG71:BG134" si="39">+IFERROR(ROUND(AW71*100/(100+$AT71),0),AW71)</f>
        <v>0</v>
      </c>
      <c r="BH71" s="1539">
        <f t="shared" ref="BH71:BH134" si="40">+IFERROR(ROUND(AX71*100/(100+$AT71),0),AX71)</f>
        <v>3074459</v>
      </c>
      <c r="BI71" s="1539">
        <f t="shared" ref="BI71:BI134" si="41">SUM(BF71:BH71)</f>
        <v>3074459</v>
      </c>
      <c r="BJ71" s="1539">
        <f t="shared" ref="BJ71:BJ134" si="42">+IFERROR(ROUND(AZ71*100/(100+$AT71),0),AZ71)</f>
        <v>0</v>
      </c>
      <c r="BK71" s="1563">
        <f>+IFERROR(ROUND(BA71*100/(100+$AT71),0),BA71)+1</f>
        <v>12221356</v>
      </c>
      <c r="BL71" s="1539">
        <f t="shared" ref="BL71:BL134" si="43">SUM(BJ71:BK71)</f>
        <v>12221356</v>
      </c>
      <c r="BM71" s="1539">
        <f t="shared" ref="BM71:BM134" si="44">+BI71+BL71</f>
        <v>15295815</v>
      </c>
      <c r="BO71" s="1183"/>
      <c r="BQ71" s="1182">
        <f t="shared" ref="BQ71:BQ134" si="45">AY71*100/(100+$AT71)-BI71</f>
        <v>9.090909082442522E-2</v>
      </c>
      <c r="BR71" s="1182">
        <f t="shared" ref="BR71:BR134" si="46">BB71*100/(100+$AT71)-BL71</f>
        <v>-0.54545454494655132</v>
      </c>
      <c r="BS71" s="1182">
        <f t="shared" si="37"/>
        <v>0</v>
      </c>
      <c r="BT71" s="1182">
        <f t="shared" si="37"/>
        <v>-0.54545454494655132</v>
      </c>
    </row>
    <row r="72" spans="1:72" ht="13.5" customHeight="1">
      <c r="A72" s="1182" t="s">
        <v>1803</v>
      </c>
      <c r="B72" s="1182" t="s">
        <v>1804</v>
      </c>
      <c r="C72" s="1182" t="s">
        <v>1639</v>
      </c>
      <c r="D72" s="1182" t="s">
        <v>1805</v>
      </c>
      <c r="E72" s="1182" t="s">
        <v>1806</v>
      </c>
      <c r="F72" s="1182" t="s">
        <v>1827</v>
      </c>
      <c r="G72" s="1182" t="s">
        <v>1827</v>
      </c>
      <c r="H72" s="1182" t="s">
        <v>1828</v>
      </c>
      <c r="I72" s="1182" t="s">
        <v>1809</v>
      </c>
      <c r="J72" s="1182" t="s">
        <v>1829</v>
      </c>
      <c r="K72" s="1182" t="s">
        <v>1811</v>
      </c>
      <c r="L72" s="1182" t="s">
        <v>1812</v>
      </c>
      <c r="M72" s="1182" t="s">
        <v>1803</v>
      </c>
      <c r="N72" s="1182" t="s">
        <v>1813</v>
      </c>
      <c r="O72" s="1182" t="s">
        <v>1554</v>
      </c>
      <c r="P72" s="1182" t="s">
        <v>1575</v>
      </c>
      <c r="Q72" s="1182" t="s">
        <v>1574</v>
      </c>
      <c r="R72" s="1182" t="s">
        <v>1581</v>
      </c>
      <c r="S72" s="1182" t="s">
        <v>1639</v>
      </c>
      <c r="T72" s="1182" t="s">
        <v>1814</v>
      </c>
      <c r="U72" s="1182" t="s">
        <v>1815</v>
      </c>
      <c r="V72" s="1182">
        <v>0</v>
      </c>
      <c r="W72" s="1182">
        <v>0</v>
      </c>
      <c r="X72" s="1182">
        <v>0</v>
      </c>
      <c r="Y72" s="1183">
        <v>13836537</v>
      </c>
      <c r="Z72" s="1182" t="s">
        <v>1816</v>
      </c>
      <c r="AA72" s="1182" t="s">
        <v>1817</v>
      </c>
      <c r="AB72" s="1182">
        <v>13836537</v>
      </c>
      <c r="AC72" s="1182" t="s">
        <v>1818</v>
      </c>
      <c r="AD72" s="1182" t="s">
        <v>1581</v>
      </c>
      <c r="AE72" s="1182">
        <v>13836537</v>
      </c>
      <c r="AF72" s="1182" t="s">
        <v>1819</v>
      </c>
      <c r="AG72" s="1182" t="s">
        <v>1820</v>
      </c>
      <c r="AH72" s="1182">
        <v>1257867</v>
      </c>
      <c r="AI72" s="1182">
        <v>12578670</v>
      </c>
      <c r="AJ72" s="1182" t="s">
        <v>1821</v>
      </c>
      <c r="AL72" s="1186" t="s">
        <v>1830</v>
      </c>
      <c r="AM72" s="1182">
        <v>1</v>
      </c>
      <c r="AN72" s="1182">
        <v>0</v>
      </c>
      <c r="AO72" s="1182">
        <v>0</v>
      </c>
      <c r="AP72" s="1182">
        <v>0</v>
      </c>
      <c r="AQ72" s="1182" t="s">
        <v>1639</v>
      </c>
      <c r="AS72" s="1186" t="s">
        <v>1819</v>
      </c>
      <c r="AT72" s="1186" t="s">
        <v>1820</v>
      </c>
      <c r="AV72" s="1183">
        <v>0</v>
      </c>
      <c r="AW72" s="1183">
        <v>0</v>
      </c>
      <c r="AX72" s="1183">
        <v>2781144</v>
      </c>
      <c r="AY72" s="1538">
        <v>2781144</v>
      </c>
      <c r="AZ72" s="1183">
        <v>0</v>
      </c>
      <c r="BA72" s="1183">
        <v>11055393</v>
      </c>
      <c r="BB72" s="1540">
        <v>11055393</v>
      </c>
      <c r="BC72" s="1540">
        <v>13836537</v>
      </c>
      <c r="BD72" s="1540">
        <v>0</v>
      </c>
      <c r="BF72" s="1539">
        <f t="shared" si="38"/>
        <v>0</v>
      </c>
      <c r="BG72" s="1539">
        <f t="shared" si="39"/>
        <v>0</v>
      </c>
      <c r="BH72" s="1539">
        <f t="shared" si="40"/>
        <v>2528313</v>
      </c>
      <c r="BI72" s="1539">
        <f t="shared" si="41"/>
        <v>2528313</v>
      </c>
      <c r="BJ72" s="1539">
        <f t="shared" si="42"/>
        <v>0</v>
      </c>
      <c r="BK72" s="1539">
        <f t="shared" ref="BK72:BK134" si="47">+IFERROR(ROUND(BA72*100/(100+$AT72),0),BA72)</f>
        <v>10050357</v>
      </c>
      <c r="BL72" s="1539">
        <f t="shared" si="43"/>
        <v>10050357</v>
      </c>
      <c r="BM72" s="1539">
        <f t="shared" si="44"/>
        <v>12578670</v>
      </c>
      <c r="BO72" s="1183"/>
      <c r="BQ72" s="1182">
        <f t="shared" si="45"/>
        <v>-0.27272727293893695</v>
      </c>
      <c r="BR72" s="1182">
        <f t="shared" si="46"/>
        <v>0.27272727340459824</v>
      </c>
      <c r="BS72" s="1182">
        <f t="shared" si="37"/>
        <v>0</v>
      </c>
      <c r="BT72" s="1182">
        <f t="shared" si="37"/>
        <v>0.27272727340459824</v>
      </c>
    </row>
    <row r="73" spans="1:72" ht="13.5" customHeight="1">
      <c r="A73" s="1182" t="s">
        <v>1803</v>
      </c>
      <c r="B73" s="1182" t="s">
        <v>1804</v>
      </c>
      <c r="C73" s="1182" t="s">
        <v>1639</v>
      </c>
      <c r="D73" s="1182" t="s">
        <v>1805</v>
      </c>
      <c r="E73" s="1182" t="s">
        <v>1806</v>
      </c>
      <c r="F73" s="1182" t="s">
        <v>1831</v>
      </c>
      <c r="G73" s="1182" t="s">
        <v>1831</v>
      </c>
      <c r="H73" s="1182" t="s">
        <v>1832</v>
      </c>
      <c r="I73" s="1182" t="s">
        <v>1809</v>
      </c>
      <c r="J73" s="1182" t="s">
        <v>1833</v>
      </c>
      <c r="K73" s="1182" t="s">
        <v>1811</v>
      </c>
      <c r="L73" s="1182" t="s">
        <v>1812</v>
      </c>
      <c r="M73" s="1182" t="s">
        <v>1803</v>
      </c>
      <c r="N73" s="1182" t="s">
        <v>1813</v>
      </c>
      <c r="O73" s="1182" t="s">
        <v>1554</v>
      </c>
      <c r="P73" s="1182" t="s">
        <v>1575</v>
      </c>
      <c r="Q73" s="1182" t="s">
        <v>1574</v>
      </c>
      <c r="R73" s="1182" t="s">
        <v>1581</v>
      </c>
      <c r="S73" s="1182" t="s">
        <v>1639</v>
      </c>
      <c r="T73" s="1182" t="s">
        <v>1814</v>
      </c>
      <c r="U73" s="1182" t="s">
        <v>1815</v>
      </c>
      <c r="V73" s="1182">
        <v>0</v>
      </c>
      <c r="W73" s="1182">
        <v>0</v>
      </c>
      <c r="X73" s="1182">
        <v>0</v>
      </c>
      <c r="Y73" s="1183">
        <v>17239761</v>
      </c>
      <c r="Z73" s="1182" t="s">
        <v>1816</v>
      </c>
      <c r="AA73" s="1182" t="s">
        <v>1817</v>
      </c>
      <c r="AB73" s="1182">
        <v>17239761</v>
      </c>
      <c r="AC73" s="1182" t="s">
        <v>1818</v>
      </c>
      <c r="AD73" s="1182" t="s">
        <v>1581</v>
      </c>
      <c r="AE73" s="1182">
        <v>17239761</v>
      </c>
      <c r="AF73" s="1182" t="s">
        <v>1819</v>
      </c>
      <c r="AG73" s="1182" t="s">
        <v>1820</v>
      </c>
      <c r="AH73" s="1182">
        <v>1567251</v>
      </c>
      <c r="AI73" s="1182">
        <v>15672510</v>
      </c>
      <c r="AJ73" s="1182" t="s">
        <v>1834</v>
      </c>
      <c r="AL73" s="1186" t="s">
        <v>1835</v>
      </c>
      <c r="AM73" s="1182">
        <v>1</v>
      </c>
      <c r="AN73" s="1182">
        <v>0</v>
      </c>
      <c r="AO73" s="1182">
        <v>0</v>
      </c>
      <c r="AP73" s="1182">
        <v>0</v>
      </c>
      <c r="AQ73" s="1182" t="s">
        <v>1639</v>
      </c>
      <c r="AS73" s="1186" t="s">
        <v>1819</v>
      </c>
      <c r="AT73" s="1186" t="s">
        <v>1820</v>
      </c>
      <c r="AV73" s="1183">
        <v>0</v>
      </c>
      <c r="AW73" s="1183">
        <v>0</v>
      </c>
      <c r="AX73" s="1183">
        <v>3465192</v>
      </c>
      <c r="AY73" s="1538">
        <v>3465192</v>
      </c>
      <c r="AZ73" s="1183">
        <v>0</v>
      </c>
      <c r="BA73" s="1183">
        <v>13774569</v>
      </c>
      <c r="BB73" s="1540">
        <v>13774569</v>
      </c>
      <c r="BC73" s="1540">
        <v>17239761</v>
      </c>
      <c r="BD73" s="1540">
        <v>0</v>
      </c>
      <c r="BF73" s="1539">
        <f t="shared" si="38"/>
        <v>0</v>
      </c>
      <c r="BG73" s="1539">
        <f t="shared" si="39"/>
        <v>0</v>
      </c>
      <c r="BH73" s="1539">
        <f t="shared" si="40"/>
        <v>3150175</v>
      </c>
      <c r="BI73" s="1539">
        <f t="shared" si="41"/>
        <v>3150175</v>
      </c>
      <c r="BJ73" s="1539">
        <f t="shared" si="42"/>
        <v>0</v>
      </c>
      <c r="BK73" s="1563">
        <f>+IFERROR(ROUND(BA73*100/(100+$AT73),0),BA73)+1</f>
        <v>12522336</v>
      </c>
      <c r="BL73" s="1539">
        <f t="shared" si="43"/>
        <v>12522336</v>
      </c>
      <c r="BM73" s="1539">
        <f t="shared" si="44"/>
        <v>15672511</v>
      </c>
      <c r="BO73" s="1183"/>
      <c r="BQ73" s="1182">
        <f t="shared" si="45"/>
        <v>-0.45454545458778739</v>
      </c>
      <c r="BR73" s="1182">
        <f t="shared" si="46"/>
        <v>-0.54545454494655132</v>
      </c>
      <c r="BS73" s="1182">
        <f t="shared" si="37"/>
        <v>0</v>
      </c>
      <c r="BT73" s="1182">
        <f t="shared" si="37"/>
        <v>-0.54545454494655132</v>
      </c>
    </row>
    <row r="74" spans="1:72" ht="13.5" customHeight="1">
      <c r="A74" s="1182" t="s">
        <v>1803</v>
      </c>
      <c r="B74" s="1182" t="s">
        <v>1804</v>
      </c>
      <c r="C74" s="1182" t="s">
        <v>1639</v>
      </c>
      <c r="D74" s="1182" t="s">
        <v>1805</v>
      </c>
      <c r="E74" s="1182" t="s">
        <v>1806</v>
      </c>
      <c r="F74" s="1182" t="s">
        <v>1836</v>
      </c>
      <c r="G74" s="1182" t="s">
        <v>1836</v>
      </c>
      <c r="H74" s="1182" t="s">
        <v>1837</v>
      </c>
      <c r="I74" s="1182" t="s">
        <v>1809</v>
      </c>
      <c r="J74" s="1182" t="s">
        <v>1838</v>
      </c>
      <c r="K74" s="1182" t="s">
        <v>1811</v>
      </c>
      <c r="L74" s="1182" t="s">
        <v>1812</v>
      </c>
      <c r="M74" s="1182" t="s">
        <v>1803</v>
      </c>
      <c r="N74" s="1182" t="s">
        <v>1813</v>
      </c>
      <c r="O74" s="1182" t="s">
        <v>1554</v>
      </c>
      <c r="P74" s="1182" t="s">
        <v>1575</v>
      </c>
      <c r="Q74" s="1182" t="s">
        <v>1574</v>
      </c>
      <c r="R74" s="1182" t="s">
        <v>1581</v>
      </c>
      <c r="S74" s="1182" t="s">
        <v>1639</v>
      </c>
      <c r="T74" s="1182" t="s">
        <v>1814</v>
      </c>
      <c r="U74" s="1182" t="s">
        <v>1815</v>
      </c>
      <c r="V74" s="1182">
        <v>0</v>
      </c>
      <c r="W74" s="1182">
        <v>0</v>
      </c>
      <c r="X74" s="1182">
        <v>0</v>
      </c>
      <c r="Y74" s="1183">
        <v>20232135</v>
      </c>
      <c r="Z74" s="1182" t="s">
        <v>1816</v>
      </c>
      <c r="AA74" s="1182" t="s">
        <v>1817</v>
      </c>
      <c r="AB74" s="1182">
        <v>20232135</v>
      </c>
      <c r="AC74" s="1182" t="s">
        <v>1818</v>
      </c>
      <c r="AD74" s="1182" t="s">
        <v>1581</v>
      </c>
      <c r="AE74" s="1182">
        <v>20232135</v>
      </c>
      <c r="AF74" s="1182" t="s">
        <v>1819</v>
      </c>
      <c r="AG74" s="1182" t="s">
        <v>1820</v>
      </c>
      <c r="AH74" s="1182">
        <v>1839285</v>
      </c>
      <c r="AI74" s="1182">
        <v>18392850</v>
      </c>
      <c r="AJ74" s="1182" t="s">
        <v>1834</v>
      </c>
      <c r="AL74" s="1186" t="s">
        <v>1839</v>
      </c>
      <c r="AM74" s="1182">
        <v>1</v>
      </c>
      <c r="AN74" s="1182">
        <v>0</v>
      </c>
      <c r="AO74" s="1182">
        <v>0</v>
      </c>
      <c r="AP74" s="1182">
        <v>0</v>
      </c>
      <c r="AQ74" s="1182" t="s">
        <v>1639</v>
      </c>
      <c r="AS74" s="1186" t="s">
        <v>1819</v>
      </c>
      <c r="AT74" s="1186" t="s">
        <v>1820</v>
      </c>
      <c r="AV74" s="1183">
        <v>0</v>
      </c>
      <c r="AW74" s="1183">
        <v>0</v>
      </c>
      <c r="AX74" s="1183">
        <v>4066659</v>
      </c>
      <c r="AY74" s="1538">
        <v>4066659</v>
      </c>
      <c r="AZ74" s="1183">
        <v>0</v>
      </c>
      <c r="BA74" s="1183">
        <v>16165476</v>
      </c>
      <c r="BB74" s="1540">
        <v>16165476</v>
      </c>
      <c r="BC74" s="1540">
        <v>20232135</v>
      </c>
      <c r="BD74" s="1540">
        <v>0</v>
      </c>
      <c r="BF74" s="1539">
        <f t="shared" si="38"/>
        <v>0</v>
      </c>
      <c r="BG74" s="1539">
        <f t="shared" si="39"/>
        <v>0</v>
      </c>
      <c r="BH74" s="1539">
        <f t="shared" si="40"/>
        <v>3696963</v>
      </c>
      <c r="BI74" s="1539">
        <f t="shared" si="41"/>
        <v>3696963</v>
      </c>
      <c r="BJ74" s="1539">
        <f t="shared" si="42"/>
        <v>0</v>
      </c>
      <c r="BK74" s="1539">
        <f t="shared" si="47"/>
        <v>14695887</v>
      </c>
      <c r="BL74" s="1539">
        <f t="shared" si="43"/>
        <v>14695887</v>
      </c>
      <c r="BM74" s="1539">
        <f t="shared" si="44"/>
        <v>18392850</v>
      </c>
      <c r="BO74" s="1183"/>
      <c r="BQ74" s="1182">
        <f t="shared" si="45"/>
        <v>-0.27272727293893695</v>
      </c>
      <c r="BR74" s="1182">
        <f t="shared" si="46"/>
        <v>0.27272727340459824</v>
      </c>
      <c r="BS74" s="1182">
        <f t="shared" si="37"/>
        <v>0</v>
      </c>
      <c r="BT74" s="1182">
        <f t="shared" si="37"/>
        <v>0.27272727340459824</v>
      </c>
    </row>
    <row r="75" spans="1:72" ht="13.5" customHeight="1">
      <c r="A75" s="1182" t="s">
        <v>1803</v>
      </c>
      <c r="B75" s="1182" t="s">
        <v>1804</v>
      </c>
      <c r="C75" s="1182" t="s">
        <v>1639</v>
      </c>
      <c r="D75" s="1182" t="s">
        <v>1805</v>
      </c>
      <c r="E75" s="1182" t="s">
        <v>1806</v>
      </c>
      <c r="F75" s="1182" t="s">
        <v>1840</v>
      </c>
      <c r="G75" s="1182" t="s">
        <v>1840</v>
      </c>
      <c r="H75" s="1182" t="s">
        <v>1841</v>
      </c>
      <c r="I75" s="1182" t="s">
        <v>1809</v>
      </c>
      <c r="J75" s="1182" t="s">
        <v>1842</v>
      </c>
      <c r="K75" s="1182" t="s">
        <v>1811</v>
      </c>
      <c r="L75" s="1182" t="s">
        <v>1812</v>
      </c>
      <c r="M75" s="1182" t="s">
        <v>1803</v>
      </c>
      <c r="N75" s="1182" t="s">
        <v>1813</v>
      </c>
      <c r="O75" s="1182" t="s">
        <v>1554</v>
      </c>
      <c r="P75" s="1182" t="s">
        <v>1575</v>
      </c>
      <c r="Q75" s="1182" t="s">
        <v>1574</v>
      </c>
      <c r="R75" s="1182" t="s">
        <v>1581</v>
      </c>
      <c r="S75" s="1182" t="s">
        <v>1639</v>
      </c>
      <c r="T75" s="1182" t="s">
        <v>1814</v>
      </c>
      <c r="U75" s="1182" t="s">
        <v>1815</v>
      </c>
      <c r="V75" s="1182">
        <v>0</v>
      </c>
      <c r="W75" s="1182">
        <v>0</v>
      </c>
      <c r="X75" s="1182">
        <v>0</v>
      </c>
      <c r="Y75" s="1183">
        <v>18357223</v>
      </c>
      <c r="Z75" s="1182" t="s">
        <v>1816</v>
      </c>
      <c r="AA75" s="1182" t="s">
        <v>1817</v>
      </c>
      <c r="AB75" s="1182">
        <v>18357223</v>
      </c>
      <c r="AC75" s="1182" t="s">
        <v>1818</v>
      </c>
      <c r="AD75" s="1182" t="s">
        <v>1581</v>
      </c>
      <c r="AE75" s="1182">
        <v>18357223</v>
      </c>
      <c r="AF75" s="1182" t="s">
        <v>1819</v>
      </c>
      <c r="AG75" s="1182" t="s">
        <v>1820</v>
      </c>
      <c r="AH75" s="1182">
        <v>1668838</v>
      </c>
      <c r="AI75" s="1182">
        <v>16688385</v>
      </c>
      <c r="AJ75" s="1182" t="s">
        <v>1834</v>
      </c>
      <c r="AL75" s="1186" t="s">
        <v>1843</v>
      </c>
      <c r="AM75" s="1182">
        <v>1</v>
      </c>
      <c r="AN75" s="1182">
        <v>0</v>
      </c>
      <c r="AO75" s="1182">
        <v>0</v>
      </c>
      <c r="AP75" s="1182">
        <v>0</v>
      </c>
      <c r="AQ75" s="1182" t="s">
        <v>1639</v>
      </c>
      <c r="AS75" s="1186" t="s">
        <v>1819</v>
      </c>
      <c r="AT75" s="1186" t="s">
        <v>1820</v>
      </c>
      <c r="AV75" s="1183">
        <v>0</v>
      </c>
      <c r="AW75" s="1183">
        <v>0</v>
      </c>
      <c r="AX75" s="1183">
        <v>3689802</v>
      </c>
      <c r="AY75" s="1538">
        <v>3689802</v>
      </c>
      <c r="AZ75" s="1183">
        <v>0</v>
      </c>
      <c r="BA75" s="1183">
        <v>14667421</v>
      </c>
      <c r="BB75" s="1540">
        <v>14667421</v>
      </c>
      <c r="BC75" s="1540">
        <v>18357223</v>
      </c>
      <c r="BD75" s="1540">
        <v>0</v>
      </c>
      <c r="BF75" s="1539">
        <f t="shared" si="38"/>
        <v>0</v>
      </c>
      <c r="BG75" s="1539">
        <f t="shared" si="39"/>
        <v>0</v>
      </c>
      <c r="BH75" s="1563">
        <f>+IFERROR(ROUND(AX75*100/(100+$AT75),0),AX75)+1</f>
        <v>3354366</v>
      </c>
      <c r="BI75" s="1539">
        <f t="shared" si="41"/>
        <v>3354366</v>
      </c>
      <c r="BJ75" s="1539">
        <f t="shared" si="42"/>
        <v>0</v>
      </c>
      <c r="BK75" s="1539">
        <f t="shared" si="47"/>
        <v>13334019</v>
      </c>
      <c r="BL75" s="1539">
        <f t="shared" si="43"/>
        <v>13334019</v>
      </c>
      <c r="BM75" s="1539">
        <f t="shared" si="44"/>
        <v>16688385</v>
      </c>
      <c r="BO75" s="1183"/>
      <c r="BQ75" s="1182">
        <f t="shared" si="45"/>
        <v>-0.54545454541221261</v>
      </c>
      <c r="BR75" s="1182">
        <f t="shared" si="46"/>
        <v>9.0909091755747795E-2</v>
      </c>
      <c r="BS75" s="1182">
        <f t="shared" si="37"/>
        <v>0</v>
      </c>
      <c r="BT75" s="1182">
        <f t="shared" si="37"/>
        <v>9.0909091755747795E-2</v>
      </c>
    </row>
    <row r="76" spans="1:72" ht="13.5" customHeight="1">
      <c r="A76" s="1182" t="s">
        <v>1803</v>
      </c>
      <c r="B76" s="1182" t="s">
        <v>1804</v>
      </c>
      <c r="C76" s="1182" t="s">
        <v>1639</v>
      </c>
      <c r="D76" s="1182" t="s">
        <v>1805</v>
      </c>
      <c r="E76" s="1182" t="s">
        <v>1806</v>
      </c>
      <c r="F76" s="1182" t="s">
        <v>1844</v>
      </c>
      <c r="G76" s="1182" t="s">
        <v>1844</v>
      </c>
      <c r="H76" s="1182" t="s">
        <v>1845</v>
      </c>
      <c r="I76" s="1182" t="s">
        <v>1809</v>
      </c>
      <c r="J76" s="1182" t="s">
        <v>1846</v>
      </c>
      <c r="K76" s="1182" t="s">
        <v>1811</v>
      </c>
      <c r="L76" s="1182" t="s">
        <v>1812</v>
      </c>
      <c r="M76" s="1182" t="s">
        <v>1803</v>
      </c>
      <c r="N76" s="1182" t="s">
        <v>1813</v>
      </c>
      <c r="O76" s="1182" t="s">
        <v>1554</v>
      </c>
      <c r="P76" s="1182" t="s">
        <v>1575</v>
      </c>
      <c r="Q76" s="1182" t="s">
        <v>1574</v>
      </c>
      <c r="R76" s="1182" t="s">
        <v>1581</v>
      </c>
      <c r="S76" s="1182" t="s">
        <v>1639</v>
      </c>
      <c r="T76" s="1182" t="s">
        <v>1814</v>
      </c>
      <c r="U76" s="1182" t="s">
        <v>1815</v>
      </c>
      <c r="V76" s="1182">
        <v>0</v>
      </c>
      <c r="W76" s="1182">
        <v>0</v>
      </c>
      <c r="X76" s="1182">
        <v>0</v>
      </c>
      <c r="Y76" s="1183">
        <v>17858956</v>
      </c>
      <c r="Z76" s="1182" t="s">
        <v>1816</v>
      </c>
      <c r="AA76" s="1182" t="s">
        <v>1817</v>
      </c>
      <c r="AB76" s="1182">
        <v>17858956</v>
      </c>
      <c r="AC76" s="1182" t="s">
        <v>1818</v>
      </c>
      <c r="AD76" s="1182" t="s">
        <v>1581</v>
      </c>
      <c r="AE76" s="1182">
        <v>17858956</v>
      </c>
      <c r="AF76" s="1182" t="s">
        <v>1819</v>
      </c>
      <c r="AG76" s="1182" t="s">
        <v>1820</v>
      </c>
      <c r="AH76" s="1182">
        <v>1623541</v>
      </c>
      <c r="AI76" s="1182">
        <v>16235415</v>
      </c>
      <c r="AJ76" s="1182" t="s">
        <v>1834</v>
      </c>
      <c r="AL76" s="1186" t="s">
        <v>1847</v>
      </c>
      <c r="AM76" s="1182">
        <v>1</v>
      </c>
      <c r="AN76" s="1182">
        <v>0</v>
      </c>
      <c r="AO76" s="1182">
        <v>0</v>
      </c>
      <c r="AP76" s="1182">
        <v>0</v>
      </c>
      <c r="AQ76" s="1182" t="s">
        <v>1639</v>
      </c>
      <c r="AS76" s="1186" t="s">
        <v>1819</v>
      </c>
      <c r="AT76" s="1186" t="s">
        <v>1820</v>
      </c>
      <c r="AV76" s="1183">
        <v>0</v>
      </c>
      <c r="AW76" s="1183">
        <v>0</v>
      </c>
      <c r="AX76" s="1183">
        <v>3589650</v>
      </c>
      <c r="AY76" s="1538">
        <v>3589650</v>
      </c>
      <c r="AZ76" s="1183">
        <v>0</v>
      </c>
      <c r="BA76" s="1183">
        <v>14269306</v>
      </c>
      <c r="BB76" s="1540">
        <v>14269306</v>
      </c>
      <c r="BC76" s="1540">
        <v>17858956</v>
      </c>
      <c r="BD76" s="1540">
        <v>0</v>
      </c>
      <c r="BF76" s="1539">
        <f t="shared" si="38"/>
        <v>0</v>
      </c>
      <c r="BG76" s="1539">
        <f t="shared" si="39"/>
        <v>0</v>
      </c>
      <c r="BH76" s="1539">
        <f t="shared" si="40"/>
        <v>3263318</v>
      </c>
      <c r="BI76" s="1539">
        <f t="shared" si="41"/>
        <v>3263318</v>
      </c>
      <c r="BJ76" s="1539">
        <f t="shared" si="42"/>
        <v>0</v>
      </c>
      <c r="BK76" s="1539">
        <f t="shared" si="47"/>
        <v>12972096</v>
      </c>
      <c r="BL76" s="1539">
        <f t="shared" si="43"/>
        <v>12972096</v>
      </c>
      <c r="BM76" s="1539">
        <f t="shared" si="44"/>
        <v>16235414</v>
      </c>
      <c r="BO76" s="1183"/>
      <c r="BQ76" s="1182">
        <f t="shared" si="45"/>
        <v>0.18181818164885044</v>
      </c>
      <c r="BR76" s="1182">
        <f t="shared" si="46"/>
        <v>0.36363636329770088</v>
      </c>
      <c r="BS76" s="1182">
        <f t="shared" si="37"/>
        <v>0</v>
      </c>
      <c r="BT76" s="1182">
        <f t="shared" si="37"/>
        <v>0.36363636329770088</v>
      </c>
    </row>
    <row r="77" spans="1:72" ht="13.5" customHeight="1">
      <c r="A77" s="1182" t="s">
        <v>1803</v>
      </c>
      <c r="B77" s="1182" t="s">
        <v>1804</v>
      </c>
      <c r="C77" s="1182" t="s">
        <v>1639</v>
      </c>
      <c r="D77" s="1182" t="s">
        <v>1805</v>
      </c>
      <c r="E77" s="1182" t="s">
        <v>1806</v>
      </c>
      <c r="F77" s="1182" t="s">
        <v>1848</v>
      </c>
      <c r="G77" s="1182" t="s">
        <v>1848</v>
      </c>
      <c r="H77" s="1182" t="s">
        <v>1849</v>
      </c>
      <c r="I77" s="1182" t="s">
        <v>1809</v>
      </c>
      <c r="J77" s="1182" t="s">
        <v>1850</v>
      </c>
      <c r="K77" s="1182" t="s">
        <v>1811</v>
      </c>
      <c r="L77" s="1182" t="s">
        <v>1812</v>
      </c>
      <c r="M77" s="1182" t="s">
        <v>1803</v>
      </c>
      <c r="N77" s="1182" t="s">
        <v>1813</v>
      </c>
      <c r="O77" s="1182" t="s">
        <v>1554</v>
      </c>
      <c r="P77" s="1182" t="s">
        <v>1575</v>
      </c>
      <c r="Q77" s="1182" t="s">
        <v>1574</v>
      </c>
      <c r="R77" s="1182" t="s">
        <v>1581</v>
      </c>
      <c r="S77" s="1182" t="s">
        <v>1639</v>
      </c>
      <c r="T77" s="1182" t="s">
        <v>1814</v>
      </c>
      <c r="U77" s="1182" t="s">
        <v>1815</v>
      </c>
      <c r="V77" s="1182">
        <v>0</v>
      </c>
      <c r="W77" s="1182">
        <v>0</v>
      </c>
      <c r="X77" s="1182">
        <v>0</v>
      </c>
      <c r="Y77" s="1183">
        <v>14627596</v>
      </c>
      <c r="Z77" s="1182" t="s">
        <v>1816</v>
      </c>
      <c r="AA77" s="1182" t="s">
        <v>1817</v>
      </c>
      <c r="AB77" s="1182">
        <v>14627596</v>
      </c>
      <c r="AC77" s="1182" t="s">
        <v>1818</v>
      </c>
      <c r="AD77" s="1182" t="s">
        <v>1581</v>
      </c>
      <c r="AE77" s="1182">
        <v>14627596</v>
      </c>
      <c r="AF77" s="1182" t="s">
        <v>1819</v>
      </c>
      <c r="AG77" s="1182" t="s">
        <v>1820</v>
      </c>
      <c r="AH77" s="1182">
        <v>1329781</v>
      </c>
      <c r="AI77" s="1182">
        <v>13297815</v>
      </c>
      <c r="AJ77" s="1182" t="s">
        <v>1834</v>
      </c>
      <c r="AL77" s="1186" t="s">
        <v>1851</v>
      </c>
      <c r="AM77" s="1182">
        <v>1</v>
      </c>
      <c r="AN77" s="1182">
        <v>0</v>
      </c>
      <c r="AO77" s="1182">
        <v>0</v>
      </c>
      <c r="AP77" s="1182">
        <v>0</v>
      </c>
      <c r="AQ77" s="1182" t="s">
        <v>1639</v>
      </c>
      <c r="AS77" s="1186" t="s">
        <v>1819</v>
      </c>
      <c r="AT77" s="1186" t="s">
        <v>1820</v>
      </c>
      <c r="AV77" s="1183">
        <v>0</v>
      </c>
      <c r="AW77" s="1183">
        <v>0</v>
      </c>
      <c r="AX77" s="1183">
        <v>2940147</v>
      </c>
      <c r="AY77" s="1538">
        <v>2940147</v>
      </c>
      <c r="AZ77" s="1183">
        <v>0</v>
      </c>
      <c r="BA77" s="1183">
        <v>11687449</v>
      </c>
      <c r="BB77" s="1540">
        <v>11687449</v>
      </c>
      <c r="BC77" s="1540">
        <v>14627596</v>
      </c>
      <c r="BD77" s="1540">
        <v>0</v>
      </c>
      <c r="BF77" s="1539">
        <f t="shared" si="38"/>
        <v>0</v>
      </c>
      <c r="BG77" s="1539">
        <f t="shared" si="39"/>
        <v>0</v>
      </c>
      <c r="BH77" s="1539">
        <f t="shared" si="40"/>
        <v>2672861</v>
      </c>
      <c r="BI77" s="1539">
        <f t="shared" si="41"/>
        <v>2672861</v>
      </c>
      <c r="BJ77" s="1539">
        <f t="shared" si="42"/>
        <v>0</v>
      </c>
      <c r="BK77" s="1539">
        <f t="shared" si="47"/>
        <v>10624954</v>
      </c>
      <c r="BL77" s="1539">
        <f t="shared" si="43"/>
        <v>10624954</v>
      </c>
      <c r="BM77" s="1539">
        <f t="shared" si="44"/>
        <v>13297815</v>
      </c>
      <c r="BO77" s="1183"/>
      <c r="BQ77" s="1182">
        <f t="shared" si="45"/>
        <v>-9.090909082442522E-2</v>
      </c>
      <c r="BR77" s="1182">
        <f t="shared" si="46"/>
        <v>-0.36363636329770088</v>
      </c>
      <c r="BS77" s="1182">
        <f t="shared" si="37"/>
        <v>0</v>
      </c>
      <c r="BT77" s="1182">
        <f t="shared" si="37"/>
        <v>-0.36363636329770088</v>
      </c>
    </row>
    <row r="78" spans="1:72" ht="13.5" customHeight="1">
      <c r="A78" s="1182" t="s">
        <v>1803</v>
      </c>
      <c r="B78" s="1182" t="s">
        <v>1804</v>
      </c>
      <c r="C78" s="1182" t="s">
        <v>1639</v>
      </c>
      <c r="D78" s="1182" t="s">
        <v>1805</v>
      </c>
      <c r="E78" s="1182" t="s">
        <v>1806</v>
      </c>
      <c r="F78" s="1182" t="s">
        <v>1852</v>
      </c>
      <c r="G78" s="1182" t="s">
        <v>1852</v>
      </c>
      <c r="H78" s="1182" t="s">
        <v>1853</v>
      </c>
      <c r="I78" s="1182" t="s">
        <v>1809</v>
      </c>
      <c r="J78" s="1182" t="s">
        <v>1854</v>
      </c>
      <c r="K78" s="1182" t="s">
        <v>1811</v>
      </c>
      <c r="L78" s="1182" t="s">
        <v>1812</v>
      </c>
      <c r="M78" s="1182" t="s">
        <v>1803</v>
      </c>
      <c r="N78" s="1182" t="s">
        <v>1813</v>
      </c>
      <c r="O78" s="1182" t="s">
        <v>1554</v>
      </c>
      <c r="P78" s="1182" t="s">
        <v>1575</v>
      </c>
      <c r="Q78" s="1182" t="s">
        <v>1574</v>
      </c>
      <c r="R78" s="1182" t="s">
        <v>1581</v>
      </c>
      <c r="S78" s="1182" t="s">
        <v>1639</v>
      </c>
      <c r="T78" s="1182" t="s">
        <v>1814</v>
      </c>
      <c r="U78" s="1182" t="s">
        <v>1815</v>
      </c>
      <c r="V78" s="1182">
        <v>0</v>
      </c>
      <c r="W78" s="1182">
        <v>0</v>
      </c>
      <c r="X78" s="1182">
        <v>0</v>
      </c>
      <c r="Y78" s="1183">
        <v>17104279</v>
      </c>
      <c r="Z78" s="1182" t="s">
        <v>1816</v>
      </c>
      <c r="AA78" s="1182" t="s">
        <v>1817</v>
      </c>
      <c r="AB78" s="1182">
        <v>17104279</v>
      </c>
      <c r="AC78" s="1182" t="s">
        <v>1818</v>
      </c>
      <c r="AD78" s="1182" t="s">
        <v>1581</v>
      </c>
      <c r="AE78" s="1182">
        <v>17104279</v>
      </c>
      <c r="AF78" s="1182" t="s">
        <v>1819</v>
      </c>
      <c r="AG78" s="1182" t="s">
        <v>1820</v>
      </c>
      <c r="AH78" s="1182">
        <v>1554934</v>
      </c>
      <c r="AI78" s="1182">
        <v>15549345</v>
      </c>
      <c r="AJ78" s="1182" t="s">
        <v>1821</v>
      </c>
      <c r="AL78" s="1186" t="s">
        <v>1855</v>
      </c>
      <c r="AM78" s="1182">
        <v>1</v>
      </c>
      <c r="AN78" s="1182">
        <v>0</v>
      </c>
      <c r="AO78" s="1182">
        <v>0</v>
      </c>
      <c r="AP78" s="1182">
        <v>0</v>
      </c>
      <c r="AQ78" s="1182" t="s">
        <v>1639</v>
      </c>
      <c r="AS78" s="1186" t="s">
        <v>1819</v>
      </c>
      <c r="AT78" s="1186" t="s">
        <v>1820</v>
      </c>
      <c r="AV78" s="1183">
        <v>0</v>
      </c>
      <c r="AW78" s="1183">
        <v>0</v>
      </c>
      <c r="AX78" s="1183">
        <v>3437960</v>
      </c>
      <c r="AY78" s="1538">
        <v>3437960</v>
      </c>
      <c r="AZ78" s="1183">
        <v>0</v>
      </c>
      <c r="BA78" s="1183">
        <v>13666319</v>
      </c>
      <c r="BB78" s="1540">
        <v>13666319</v>
      </c>
      <c r="BC78" s="1540">
        <v>17104279</v>
      </c>
      <c r="BD78" s="1540">
        <v>0</v>
      </c>
      <c r="BF78" s="1539">
        <f t="shared" si="38"/>
        <v>0</v>
      </c>
      <c r="BG78" s="1539">
        <f t="shared" si="39"/>
        <v>0</v>
      </c>
      <c r="BH78" s="1539">
        <f t="shared" si="40"/>
        <v>3125418</v>
      </c>
      <c r="BI78" s="1539">
        <f t="shared" si="41"/>
        <v>3125418</v>
      </c>
      <c r="BJ78" s="1539">
        <f t="shared" si="42"/>
        <v>0</v>
      </c>
      <c r="BK78" s="1539">
        <f t="shared" si="47"/>
        <v>12423926</v>
      </c>
      <c r="BL78" s="1539">
        <f t="shared" si="43"/>
        <v>12423926</v>
      </c>
      <c r="BM78" s="1539">
        <f t="shared" si="44"/>
        <v>15549344</v>
      </c>
      <c r="BO78" s="1183"/>
      <c r="BQ78" s="1182">
        <f t="shared" si="45"/>
        <v>0.18181818164885044</v>
      </c>
      <c r="BR78" s="1182">
        <f t="shared" si="46"/>
        <v>0.36363636329770088</v>
      </c>
      <c r="BS78" s="1182">
        <f t="shared" si="37"/>
        <v>0</v>
      </c>
      <c r="BT78" s="1182">
        <f t="shared" si="37"/>
        <v>0.36363636329770088</v>
      </c>
    </row>
    <row r="79" spans="1:72" ht="13.5" customHeight="1">
      <c r="A79" s="1182" t="s">
        <v>1803</v>
      </c>
      <c r="B79" s="1182" t="s">
        <v>1804</v>
      </c>
      <c r="C79" s="1182" t="s">
        <v>1639</v>
      </c>
      <c r="D79" s="1182" t="s">
        <v>1805</v>
      </c>
      <c r="E79" s="1182" t="s">
        <v>1806</v>
      </c>
      <c r="F79" s="1182" t="s">
        <v>1856</v>
      </c>
      <c r="G79" s="1182" t="s">
        <v>1856</v>
      </c>
      <c r="H79" s="1182" t="s">
        <v>1857</v>
      </c>
      <c r="I79" s="1182" t="s">
        <v>1809</v>
      </c>
      <c r="J79" s="1182" t="s">
        <v>1858</v>
      </c>
      <c r="K79" s="1182" t="s">
        <v>1811</v>
      </c>
      <c r="L79" s="1182" t="s">
        <v>1812</v>
      </c>
      <c r="M79" s="1182" t="s">
        <v>1803</v>
      </c>
      <c r="N79" s="1182" t="s">
        <v>1813</v>
      </c>
      <c r="O79" s="1182" t="s">
        <v>1554</v>
      </c>
      <c r="P79" s="1182" t="s">
        <v>1575</v>
      </c>
      <c r="Q79" s="1182" t="s">
        <v>1574</v>
      </c>
      <c r="R79" s="1182" t="s">
        <v>1581</v>
      </c>
      <c r="S79" s="1182" t="s">
        <v>1639</v>
      </c>
      <c r="T79" s="1182" t="s">
        <v>1814</v>
      </c>
      <c r="U79" s="1182" t="s">
        <v>1815</v>
      </c>
      <c r="V79" s="1182">
        <v>0</v>
      </c>
      <c r="W79" s="1182">
        <v>0</v>
      </c>
      <c r="X79" s="1182">
        <v>0</v>
      </c>
      <c r="Y79" s="1183">
        <v>19530905</v>
      </c>
      <c r="Z79" s="1182" t="s">
        <v>1816</v>
      </c>
      <c r="AA79" s="1182" t="s">
        <v>1817</v>
      </c>
      <c r="AB79" s="1182">
        <v>19530905</v>
      </c>
      <c r="AC79" s="1182" t="s">
        <v>1818</v>
      </c>
      <c r="AD79" s="1182" t="s">
        <v>1581</v>
      </c>
      <c r="AE79" s="1182">
        <v>19530905</v>
      </c>
      <c r="AF79" s="1182" t="s">
        <v>1819</v>
      </c>
      <c r="AG79" s="1182" t="s">
        <v>1820</v>
      </c>
      <c r="AH79" s="1182">
        <v>1775536</v>
      </c>
      <c r="AI79" s="1182">
        <v>17755369</v>
      </c>
      <c r="AJ79" s="1182" t="s">
        <v>1821</v>
      </c>
      <c r="AL79" s="1186" t="s">
        <v>1859</v>
      </c>
      <c r="AM79" s="1182">
        <v>1</v>
      </c>
      <c r="AN79" s="1182">
        <v>0</v>
      </c>
      <c r="AO79" s="1182">
        <v>0</v>
      </c>
      <c r="AP79" s="1182">
        <v>0</v>
      </c>
      <c r="AQ79" s="1182" t="s">
        <v>1639</v>
      </c>
      <c r="AS79" s="1186" t="s">
        <v>1819</v>
      </c>
      <c r="AT79" s="1186" t="s">
        <v>1820</v>
      </c>
      <c r="AV79" s="1183">
        <v>0</v>
      </c>
      <c r="AW79" s="1183">
        <v>0</v>
      </c>
      <c r="AX79" s="1183">
        <v>3925712</v>
      </c>
      <c r="AY79" s="1538">
        <v>3925712</v>
      </c>
      <c r="AZ79" s="1183">
        <v>0</v>
      </c>
      <c r="BA79" s="1183">
        <v>15605193</v>
      </c>
      <c r="BB79" s="1540">
        <v>15605193</v>
      </c>
      <c r="BC79" s="1540">
        <v>19530905</v>
      </c>
      <c r="BD79" s="1540">
        <v>0</v>
      </c>
      <c r="BF79" s="1539">
        <f t="shared" si="38"/>
        <v>0</v>
      </c>
      <c r="BG79" s="1539">
        <f t="shared" si="39"/>
        <v>0</v>
      </c>
      <c r="BH79" s="1539">
        <f t="shared" si="40"/>
        <v>3568829</v>
      </c>
      <c r="BI79" s="1539">
        <f t="shared" si="41"/>
        <v>3568829</v>
      </c>
      <c r="BJ79" s="1539">
        <f t="shared" si="42"/>
        <v>0</v>
      </c>
      <c r="BK79" s="1539">
        <f t="shared" si="47"/>
        <v>14186539</v>
      </c>
      <c r="BL79" s="1539">
        <f t="shared" si="43"/>
        <v>14186539</v>
      </c>
      <c r="BM79" s="1539">
        <f t="shared" si="44"/>
        <v>17755368</v>
      </c>
      <c r="BO79" s="1183"/>
      <c r="BQ79" s="1182">
        <f t="shared" si="45"/>
        <v>9.090909082442522E-2</v>
      </c>
      <c r="BR79" s="1182">
        <f t="shared" si="46"/>
        <v>9.0909091755747795E-2</v>
      </c>
      <c r="BS79" s="1182">
        <f t="shared" si="37"/>
        <v>0</v>
      </c>
      <c r="BT79" s="1182">
        <f t="shared" si="37"/>
        <v>9.0909091755747795E-2</v>
      </c>
    </row>
    <row r="80" spans="1:72" ht="13.5" customHeight="1">
      <c r="A80" s="1182" t="s">
        <v>1803</v>
      </c>
      <c r="B80" s="1182" t="s">
        <v>1804</v>
      </c>
      <c r="C80" s="1182" t="s">
        <v>1639</v>
      </c>
      <c r="D80" s="1182" t="s">
        <v>1805</v>
      </c>
      <c r="E80" s="1182" t="s">
        <v>1806</v>
      </c>
      <c r="F80" s="1182" t="s">
        <v>1860</v>
      </c>
      <c r="G80" s="1182" t="s">
        <v>1860</v>
      </c>
      <c r="H80" s="1182" t="s">
        <v>1861</v>
      </c>
      <c r="I80" s="1182" t="s">
        <v>1809</v>
      </c>
      <c r="J80" s="1182" t="s">
        <v>1862</v>
      </c>
      <c r="K80" s="1182" t="s">
        <v>1811</v>
      </c>
      <c r="L80" s="1182" t="s">
        <v>1812</v>
      </c>
      <c r="M80" s="1182" t="s">
        <v>1803</v>
      </c>
      <c r="N80" s="1182" t="s">
        <v>1813</v>
      </c>
      <c r="O80" s="1182" t="s">
        <v>1554</v>
      </c>
      <c r="P80" s="1182" t="s">
        <v>1575</v>
      </c>
      <c r="Q80" s="1182" t="s">
        <v>1574</v>
      </c>
      <c r="R80" s="1182" t="s">
        <v>1581</v>
      </c>
      <c r="S80" s="1182" t="s">
        <v>1639</v>
      </c>
      <c r="T80" s="1182" t="s">
        <v>1814</v>
      </c>
      <c r="U80" s="1182" t="s">
        <v>1815</v>
      </c>
      <c r="V80" s="1182">
        <v>0</v>
      </c>
      <c r="W80" s="1182">
        <v>0</v>
      </c>
      <c r="X80" s="1182">
        <v>0</v>
      </c>
      <c r="Y80" s="1183">
        <v>9157891</v>
      </c>
      <c r="Z80" s="1182" t="s">
        <v>1816</v>
      </c>
      <c r="AA80" s="1182" t="s">
        <v>1817</v>
      </c>
      <c r="AB80" s="1182">
        <v>9157891</v>
      </c>
      <c r="AC80" s="1182" t="s">
        <v>1818</v>
      </c>
      <c r="AD80" s="1182" t="s">
        <v>1581</v>
      </c>
      <c r="AE80" s="1182">
        <v>9157891</v>
      </c>
      <c r="AF80" s="1182" t="s">
        <v>1819</v>
      </c>
      <c r="AG80" s="1182" t="s">
        <v>1820</v>
      </c>
      <c r="AH80" s="1182">
        <v>832535</v>
      </c>
      <c r="AI80" s="1182">
        <v>8325356</v>
      </c>
      <c r="AJ80" s="1182" t="s">
        <v>1821</v>
      </c>
      <c r="AL80" s="1186" t="s">
        <v>1863</v>
      </c>
      <c r="AM80" s="1182">
        <v>1</v>
      </c>
      <c r="AN80" s="1182">
        <v>0</v>
      </c>
      <c r="AO80" s="1182">
        <v>0</v>
      </c>
      <c r="AP80" s="1182">
        <v>0</v>
      </c>
      <c r="AQ80" s="1182" t="s">
        <v>1639</v>
      </c>
      <c r="AS80" s="1186" t="s">
        <v>1819</v>
      </c>
      <c r="AT80" s="1186" t="s">
        <v>1820</v>
      </c>
      <c r="AV80" s="1183">
        <v>0</v>
      </c>
      <c r="AW80" s="1183">
        <v>0</v>
      </c>
      <c r="AX80" s="1183">
        <v>1840736</v>
      </c>
      <c r="AY80" s="1538">
        <v>1840736</v>
      </c>
      <c r="AZ80" s="1183">
        <v>0</v>
      </c>
      <c r="BA80" s="1183">
        <v>7317155</v>
      </c>
      <c r="BB80" s="1540">
        <v>7317155</v>
      </c>
      <c r="BC80" s="1540">
        <v>9157891</v>
      </c>
      <c r="BD80" s="1540">
        <v>0</v>
      </c>
      <c r="BF80" s="1539">
        <f t="shared" si="38"/>
        <v>0</v>
      </c>
      <c r="BG80" s="1539">
        <f t="shared" si="39"/>
        <v>0</v>
      </c>
      <c r="BH80" s="1539">
        <f t="shared" si="40"/>
        <v>1673396</v>
      </c>
      <c r="BI80" s="1539">
        <f t="shared" si="41"/>
        <v>1673396</v>
      </c>
      <c r="BJ80" s="1539">
        <f t="shared" si="42"/>
        <v>0</v>
      </c>
      <c r="BK80" s="1539">
        <f t="shared" si="47"/>
        <v>6651959</v>
      </c>
      <c r="BL80" s="1539">
        <f t="shared" si="43"/>
        <v>6651959</v>
      </c>
      <c r="BM80" s="1539">
        <f t="shared" si="44"/>
        <v>8325355</v>
      </c>
      <c r="BO80" s="1183"/>
      <c r="BQ80" s="1182">
        <f t="shared" si="45"/>
        <v>0.36363636353053153</v>
      </c>
      <c r="BR80" s="1182">
        <f t="shared" si="46"/>
        <v>9.090909082442522E-2</v>
      </c>
      <c r="BS80" s="1182">
        <f t="shared" si="37"/>
        <v>0</v>
      </c>
      <c r="BT80" s="1182">
        <f t="shared" si="37"/>
        <v>9.090909082442522E-2</v>
      </c>
    </row>
    <row r="81" spans="1:72" ht="13.5" customHeight="1">
      <c r="A81" s="1182" t="s">
        <v>1803</v>
      </c>
      <c r="B81" s="1182" t="s">
        <v>1804</v>
      </c>
      <c r="C81" s="1182" t="s">
        <v>1639</v>
      </c>
      <c r="D81" s="1182" t="s">
        <v>1805</v>
      </c>
      <c r="E81" s="1182" t="s">
        <v>1806</v>
      </c>
      <c r="F81" s="1182" t="s">
        <v>1864</v>
      </c>
      <c r="G81" s="1182" t="s">
        <v>1864</v>
      </c>
      <c r="H81" s="1182" t="s">
        <v>1865</v>
      </c>
      <c r="I81" s="1182" t="s">
        <v>1809</v>
      </c>
      <c r="J81" s="1182" t="s">
        <v>1866</v>
      </c>
      <c r="K81" s="1182" t="s">
        <v>1811</v>
      </c>
      <c r="L81" s="1182" t="s">
        <v>1812</v>
      </c>
      <c r="M81" s="1182" t="s">
        <v>1803</v>
      </c>
      <c r="N81" s="1182" t="s">
        <v>1813</v>
      </c>
      <c r="O81" s="1182" t="s">
        <v>1554</v>
      </c>
      <c r="P81" s="1182" t="s">
        <v>1575</v>
      </c>
      <c r="Q81" s="1182" t="s">
        <v>1574</v>
      </c>
      <c r="R81" s="1182" t="s">
        <v>1581</v>
      </c>
      <c r="S81" s="1182" t="s">
        <v>1639</v>
      </c>
      <c r="T81" s="1182" t="s">
        <v>1814</v>
      </c>
      <c r="U81" s="1182" t="s">
        <v>1815</v>
      </c>
      <c r="V81" s="1182">
        <v>0</v>
      </c>
      <c r="W81" s="1182">
        <v>0</v>
      </c>
      <c r="X81" s="1182">
        <v>0</v>
      </c>
      <c r="Y81" s="1183">
        <v>8765528</v>
      </c>
      <c r="Z81" s="1182" t="s">
        <v>1816</v>
      </c>
      <c r="AA81" s="1182" t="s">
        <v>1817</v>
      </c>
      <c r="AB81" s="1182">
        <v>8765528</v>
      </c>
      <c r="AC81" s="1182" t="s">
        <v>1818</v>
      </c>
      <c r="AD81" s="1182" t="s">
        <v>1581</v>
      </c>
      <c r="AE81" s="1182">
        <v>8765528</v>
      </c>
      <c r="AF81" s="1182" t="s">
        <v>1819</v>
      </c>
      <c r="AG81" s="1182" t="s">
        <v>1820</v>
      </c>
      <c r="AH81" s="1182">
        <v>796866</v>
      </c>
      <c r="AI81" s="1182">
        <v>7968662</v>
      </c>
      <c r="AJ81" s="1182" t="s">
        <v>1867</v>
      </c>
      <c r="AL81" s="1186" t="s">
        <v>1868</v>
      </c>
      <c r="AM81" s="1182">
        <v>1</v>
      </c>
      <c r="AN81" s="1182">
        <v>0</v>
      </c>
      <c r="AO81" s="1182">
        <v>0</v>
      </c>
      <c r="AP81" s="1182">
        <v>0</v>
      </c>
      <c r="AQ81" s="1182" t="s">
        <v>1639</v>
      </c>
      <c r="AS81" s="1186" t="s">
        <v>1819</v>
      </c>
      <c r="AT81" s="1186" t="s">
        <v>1820</v>
      </c>
      <c r="AV81" s="1183">
        <v>0</v>
      </c>
      <c r="AW81" s="1183">
        <v>0</v>
      </c>
      <c r="AX81" s="1183">
        <v>1761871</v>
      </c>
      <c r="AY81" s="1538">
        <v>1761871</v>
      </c>
      <c r="AZ81" s="1183">
        <v>0</v>
      </c>
      <c r="BA81" s="1183">
        <v>7003657</v>
      </c>
      <c r="BB81" s="1540">
        <v>7003657</v>
      </c>
      <c r="BC81" s="1540">
        <v>8765528</v>
      </c>
      <c r="BD81" s="1540">
        <v>0</v>
      </c>
      <c r="BF81" s="1539">
        <f t="shared" si="38"/>
        <v>0</v>
      </c>
      <c r="BG81" s="1539">
        <f t="shared" si="39"/>
        <v>0</v>
      </c>
      <c r="BH81" s="1539">
        <f t="shared" si="40"/>
        <v>1601701</v>
      </c>
      <c r="BI81" s="1539">
        <f t="shared" si="41"/>
        <v>1601701</v>
      </c>
      <c r="BJ81" s="1539">
        <f t="shared" si="42"/>
        <v>0</v>
      </c>
      <c r="BK81" s="1539">
        <f t="shared" si="47"/>
        <v>6366961</v>
      </c>
      <c r="BL81" s="1539">
        <f t="shared" si="43"/>
        <v>6366961</v>
      </c>
      <c r="BM81" s="1539">
        <f t="shared" si="44"/>
        <v>7968662</v>
      </c>
      <c r="BO81" s="1183"/>
      <c r="BQ81" s="1182">
        <f t="shared" si="45"/>
        <v>-9.090909082442522E-2</v>
      </c>
      <c r="BR81" s="1182">
        <f t="shared" si="46"/>
        <v>-9.090909082442522E-2</v>
      </c>
      <c r="BS81" s="1182">
        <f t="shared" si="37"/>
        <v>0</v>
      </c>
      <c r="BT81" s="1182">
        <f t="shared" si="37"/>
        <v>-9.090909082442522E-2</v>
      </c>
    </row>
    <row r="82" spans="1:72" ht="13.5" customHeight="1">
      <c r="A82" s="1182" t="s">
        <v>1803</v>
      </c>
      <c r="B82" s="1182" t="s">
        <v>1804</v>
      </c>
      <c r="C82" s="1182" t="s">
        <v>1639</v>
      </c>
      <c r="D82" s="1182" t="s">
        <v>1805</v>
      </c>
      <c r="E82" s="1182" t="s">
        <v>1806</v>
      </c>
      <c r="F82" s="1182" t="s">
        <v>1807</v>
      </c>
      <c r="G82" s="1182" t="s">
        <v>1807</v>
      </c>
      <c r="H82" s="1182" t="s">
        <v>1869</v>
      </c>
      <c r="I82" s="1182" t="s">
        <v>1809</v>
      </c>
      <c r="J82" s="1182" t="s">
        <v>1870</v>
      </c>
      <c r="K82" s="1182" t="s">
        <v>1811</v>
      </c>
      <c r="L82" s="1182" t="s">
        <v>1812</v>
      </c>
      <c r="M82" s="1182" t="s">
        <v>1803</v>
      </c>
      <c r="N82" s="1182" t="s">
        <v>1813</v>
      </c>
      <c r="O82" s="1182" t="s">
        <v>1554</v>
      </c>
      <c r="P82" s="1182" t="s">
        <v>1575</v>
      </c>
      <c r="Q82" s="1182" t="s">
        <v>1574</v>
      </c>
      <c r="R82" s="1182" t="s">
        <v>1581</v>
      </c>
      <c r="S82" s="1182" t="s">
        <v>1639</v>
      </c>
      <c r="T82" s="1182" t="s">
        <v>1814</v>
      </c>
      <c r="U82" s="1182" t="s">
        <v>1815</v>
      </c>
      <c r="V82" s="1182">
        <v>0</v>
      </c>
      <c r="W82" s="1182">
        <v>0</v>
      </c>
      <c r="X82" s="1182">
        <v>0</v>
      </c>
      <c r="Y82" s="1183">
        <v>52595</v>
      </c>
      <c r="Z82" s="1182" t="s">
        <v>1816</v>
      </c>
      <c r="AA82" s="1182" t="s">
        <v>1817</v>
      </c>
      <c r="AB82" s="1182">
        <v>52595</v>
      </c>
      <c r="AC82" s="1182" t="s">
        <v>1818</v>
      </c>
      <c r="AD82" s="1182" t="s">
        <v>1581</v>
      </c>
      <c r="AE82" s="1182">
        <v>52595</v>
      </c>
      <c r="AF82" s="1182" t="s">
        <v>1819</v>
      </c>
      <c r="AG82" s="1182" t="s">
        <v>1820</v>
      </c>
      <c r="AH82" s="1182">
        <v>4781</v>
      </c>
      <c r="AI82" s="1182">
        <v>47814</v>
      </c>
      <c r="AJ82" s="1182" t="s">
        <v>1871</v>
      </c>
      <c r="AL82" s="1186" t="s">
        <v>1872</v>
      </c>
      <c r="AM82" s="1182">
        <v>1</v>
      </c>
      <c r="AN82" s="1182">
        <v>0</v>
      </c>
      <c r="AO82" s="1182">
        <v>0</v>
      </c>
      <c r="AP82" s="1182">
        <v>0</v>
      </c>
      <c r="AQ82" s="1182" t="s">
        <v>1639</v>
      </c>
      <c r="AS82" s="1186" t="s">
        <v>1819</v>
      </c>
      <c r="AT82" s="1186" t="s">
        <v>1820</v>
      </c>
      <c r="AV82" s="1183">
        <v>0</v>
      </c>
      <c r="AW82" s="1183">
        <v>0</v>
      </c>
      <c r="AX82" s="1183">
        <v>10572</v>
      </c>
      <c r="AY82" s="1538">
        <v>10572</v>
      </c>
      <c r="AZ82" s="1183">
        <v>0</v>
      </c>
      <c r="BA82" s="1183">
        <v>42023</v>
      </c>
      <c r="BB82" s="1540">
        <v>42023</v>
      </c>
      <c r="BC82" s="1540">
        <v>52595</v>
      </c>
      <c r="BD82" s="1540">
        <v>0</v>
      </c>
      <c r="BF82" s="1539">
        <f t="shared" si="38"/>
        <v>0</v>
      </c>
      <c r="BG82" s="1539">
        <f t="shared" si="39"/>
        <v>0</v>
      </c>
      <c r="BH82" s="1539">
        <f t="shared" si="40"/>
        <v>9611</v>
      </c>
      <c r="BI82" s="1539">
        <f t="shared" si="41"/>
        <v>9611</v>
      </c>
      <c r="BJ82" s="1539">
        <f t="shared" si="42"/>
        <v>0</v>
      </c>
      <c r="BK82" s="1539">
        <f t="shared" si="47"/>
        <v>38203</v>
      </c>
      <c r="BL82" s="1539">
        <f t="shared" si="43"/>
        <v>38203</v>
      </c>
      <c r="BM82" s="1539">
        <f t="shared" si="44"/>
        <v>47814</v>
      </c>
      <c r="BO82" s="1183"/>
      <c r="BQ82" s="1182">
        <f t="shared" si="45"/>
        <v>-9.0909090909917722E-2</v>
      </c>
      <c r="BR82" s="1182">
        <f t="shared" si="46"/>
        <v>-0.27272727272793418</v>
      </c>
      <c r="BS82" s="1182">
        <f t="shared" si="37"/>
        <v>0</v>
      </c>
      <c r="BT82" s="1182">
        <f t="shared" si="37"/>
        <v>-0.27272727272793418</v>
      </c>
    </row>
    <row r="83" spans="1:72" ht="13.5" customHeight="1">
      <c r="A83" s="1182" t="s">
        <v>1803</v>
      </c>
      <c r="B83" s="1182" t="s">
        <v>1804</v>
      </c>
      <c r="C83" s="1182" t="s">
        <v>1639</v>
      </c>
      <c r="D83" s="1182" t="s">
        <v>1805</v>
      </c>
      <c r="E83" s="1182" t="s">
        <v>1806</v>
      </c>
      <c r="F83" s="1182" t="s">
        <v>1823</v>
      </c>
      <c r="G83" s="1182" t="s">
        <v>1823</v>
      </c>
      <c r="H83" s="1182" t="s">
        <v>1873</v>
      </c>
      <c r="I83" s="1182" t="s">
        <v>1809</v>
      </c>
      <c r="J83" s="1182" t="s">
        <v>1874</v>
      </c>
      <c r="K83" s="1182" t="s">
        <v>1811</v>
      </c>
      <c r="L83" s="1182" t="s">
        <v>1812</v>
      </c>
      <c r="M83" s="1182" t="s">
        <v>1803</v>
      </c>
      <c r="N83" s="1182" t="s">
        <v>1813</v>
      </c>
      <c r="O83" s="1182" t="s">
        <v>1554</v>
      </c>
      <c r="P83" s="1182" t="s">
        <v>1575</v>
      </c>
      <c r="Q83" s="1182" t="s">
        <v>1574</v>
      </c>
      <c r="R83" s="1182" t="s">
        <v>1581</v>
      </c>
      <c r="S83" s="1182" t="s">
        <v>1639</v>
      </c>
      <c r="T83" s="1182" t="s">
        <v>1814</v>
      </c>
      <c r="U83" s="1182" t="s">
        <v>1815</v>
      </c>
      <c r="V83" s="1182">
        <v>0</v>
      </c>
      <c r="W83" s="1182">
        <v>0</v>
      </c>
      <c r="X83" s="1182">
        <v>0</v>
      </c>
      <c r="Y83" s="1183">
        <v>49018</v>
      </c>
      <c r="Z83" s="1182" t="s">
        <v>1816</v>
      </c>
      <c r="AA83" s="1182" t="s">
        <v>1817</v>
      </c>
      <c r="AB83" s="1182">
        <v>49018</v>
      </c>
      <c r="AC83" s="1182" t="s">
        <v>1818</v>
      </c>
      <c r="AD83" s="1182" t="s">
        <v>1581</v>
      </c>
      <c r="AE83" s="1182">
        <v>49018</v>
      </c>
      <c r="AF83" s="1182" t="s">
        <v>1819</v>
      </c>
      <c r="AG83" s="1182" t="s">
        <v>1820</v>
      </c>
      <c r="AH83" s="1182">
        <v>4456</v>
      </c>
      <c r="AI83" s="1182">
        <v>44562</v>
      </c>
      <c r="AJ83" s="1182" t="s">
        <v>1871</v>
      </c>
      <c r="AL83" s="1186" t="s">
        <v>1875</v>
      </c>
      <c r="AM83" s="1182">
        <v>1</v>
      </c>
      <c r="AN83" s="1182">
        <v>0</v>
      </c>
      <c r="AO83" s="1182">
        <v>0</v>
      </c>
      <c r="AP83" s="1182">
        <v>0</v>
      </c>
      <c r="AQ83" s="1182" t="s">
        <v>1639</v>
      </c>
      <c r="AS83" s="1186" t="s">
        <v>1819</v>
      </c>
      <c r="AT83" s="1186" t="s">
        <v>1820</v>
      </c>
      <c r="AV83" s="1183">
        <v>0</v>
      </c>
      <c r="AW83" s="1183">
        <v>0</v>
      </c>
      <c r="AX83" s="1183">
        <v>9853</v>
      </c>
      <c r="AY83" s="1538">
        <v>9853</v>
      </c>
      <c r="AZ83" s="1183">
        <v>0</v>
      </c>
      <c r="BA83" s="1183">
        <v>39165</v>
      </c>
      <c r="BB83" s="1540">
        <v>39165</v>
      </c>
      <c r="BC83" s="1540">
        <v>49018</v>
      </c>
      <c r="BD83" s="1540">
        <v>0</v>
      </c>
      <c r="BF83" s="1539">
        <f t="shared" si="38"/>
        <v>0</v>
      </c>
      <c r="BG83" s="1539">
        <f t="shared" si="39"/>
        <v>0</v>
      </c>
      <c r="BH83" s="1539">
        <f t="shared" si="40"/>
        <v>8957</v>
      </c>
      <c r="BI83" s="1539">
        <f t="shared" si="41"/>
        <v>8957</v>
      </c>
      <c r="BJ83" s="1539">
        <f t="shared" si="42"/>
        <v>0</v>
      </c>
      <c r="BK83" s="1539">
        <f t="shared" si="47"/>
        <v>35605</v>
      </c>
      <c r="BL83" s="1539">
        <f t="shared" si="43"/>
        <v>35605</v>
      </c>
      <c r="BM83" s="1539">
        <f t="shared" si="44"/>
        <v>44562</v>
      </c>
      <c r="BO83" s="1183"/>
      <c r="BQ83" s="1182">
        <f t="shared" si="45"/>
        <v>0.27272727272793418</v>
      </c>
      <c r="BR83" s="1182">
        <f t="shared" si="46"/>
        <v>-0.45454545454413164</v>
      </c>
      <c r="BS83" s="1182">
        <f t="shared" si="37"/>
        <v>0</v>
      </c>
      <c r="BT83" s="1182">
        <f t="shared" si="37"/>
        <v>-0.45454545454413164</v>
      </c>
    </row>
    <row r="84" spans="1:72" ht="13.5" customHeight="1">
      <c r="A84" s="1182" t="s">
        <v>1803</v>
      </c>
      <c r="B84" s="1182" t="s">
        <v>1804</v>
      </c>
      <c r="C84" s="1182" t="s">
        <v>1639</v>
      </c>
      <c r="D84" s="1182" t="s">
        <v>1805</v>
      </c>
      <c r="E84" s="1182" t="s">
        <v>1806</v>
      </c>
      <c r="F84" s="1182" t="s">
        <v>1827</v>
      </c>
      <c r="G84" s="1182" t="s">
        <v>1827</v>
      </c>
      <c r="H84" s="1182" t="s">
        <v>1876</v>
      </c>
      <c r="I84" s="1182" t="s">
        <v>1809</v>
      </c>
      <c r="J84" s="1182" t="s">
        <v>1877</v>
      </c>
      <c r="K84" s="1182" t="s">
        <v>1811</v>
      </c>
      <c r="L84" s="1182" t="s">
        <v>1812</v>
      </c>
      <c r="M84" s="1182" t="s">
        <v>1803</v>
      </c>
      <c r="N84" s="1182" t="s">
        <v>1813</v>
      </c>
      <c r="O84" s="1182" t="s">
        <v>1554</v>
      </c>
      <c r="P84" s="1182" t="s">
        <v>1575</v>
      </c>
      <c r="Q84" s="1182" t="s">
        <v>1574</v>
      </c>
      <c r="R84" s="1182" t="s">
        <v>1581</v>
      </c>
      <c r="S84" s="1182" t="s">
        <v>1639</v>
      </c>
      <c r="T84" s="1182" t="s">
        <v>1814</v>
      </c>
      <c r="U84" s="1182" t="s">
        <v>1815</v>
      </c>
      <c r="V84" s="1182">
        <v>0</v>
      </c>
      <c r="W84" s="1182">
        <v>0</v>
      </c>
      <c r="X84" s="1182">
        <v>0</v>
      </c>
      <c r="Y84" s="1183">
        <v>45690</v>
      </c>
      <c r="Z84" s="1182" t="s">
        <v>1816</v>
      </c>
      <c r="AA84" s="1182" t="s">
        <v>1817</v>
      </c>
      <c r="AB84" s="1182">
        <v>45690</v>
      </c>
      <c r="AC84" s="1182" t="s">
        <v>1818</v>
      </c>
      <c r="AD84" s="1182" t="s">
        <v>1581</v>
      </c>
      <c r="AE84" s="1182">
        <v>45690</v>
      </c>
      <c r="AF84" s="1182" t="s">
        <v>1819</v>
      </c>
      <c r="AG84" s="1182" t="s">
        <v>1820</v>
      </c>
      <c r="AH84" s="1182">
        <v>4153</v>
      </c>
      <c r="AI84" s="1182">
        <v>41537</v>
      </c>
      <c r="AJ84" s="1182" t="s">
        <v>1871</v>
      </c>
      <c r="AL84" s="1186" t="s">
        <v>1878</v>
      </c>
      <c r="AM84" s="1182">
        <v>1</v>
      </c>
      <c r="AN84" s="1182">
        <v>0</v>
      </c>
      <c r="AO84" s="1182">
        <v>0</v>
      </c>
      <c r="AP84" s="1182">
        <v>0</v>
      </c>
      <c r="AQ84" s="1182" t="s">
        <v>1639</v>
      </c>
      <c r="AS84" s="1186" t="s">
        <v>1819</v>
      </c>
      <c r="AT84" s="1186" t="s">
        <v>1820</v>
      </c>
      <c r="AV84" s="1183">
        <v>0</v>
      </c>
      <c r="AW84" s="1183">
        <v>0</v>
      </c>
      <c r="AX84" s="1183">
        <v>9184</v>
      </c>
      <c r="AY84" s="1538">
        <v>9184</v>
      </c>
      <c r="AZ84" s="1183">
        <v>0</v>
      </c>
      <c r="BA84" s="1183">
        <v>36506</v>
      </c>
      <c r="BB84" s="1540">
        <v>36506</v>
      </c>
      <c r="BC84" s="1540">
        <v>45690</v>
      </c>
      <c r="BD84" s="1540">
        <v>0</v>
      </c>
      <c r="BF84" s="1539">
        <f t="shared" si="38"/>
        <v>0</v>
      </c>
      <c r="BG84" s="1539">
        <f t="shared" si="39"/>
        <v>0</v>
      </c>
      <c r="BH84" s="1539">
        <f t="shared" si="40"/>
        <v>8349</v>
      </c>
      <c r="BI84" s="1539">
        <f t="shared" si="41"/>
        <v>8349</v>
      </c>
      <c r="BJ84" s="1539">
        <f t="shared" si="42"/>
        <v>0</v>
      </c>
      <c r="BK84" s="1539">
        <f t="shared" si="47"/>
        <v>33187</v>
      </c>
      <c r="BL84" s="1539">
        <f t="shared" si="43"/>
        <v>33187</v>
      </c>
      <c r="BM84" s="1539">
        <f t="shared" si="44"/>
        <v>41536</v>
      </c>
      <c r="BO84" s="1183"/>
      <c r="BQ84" s="1182">
        <f t="shared" si="45"/>
        <v>9.0909090909917722E-2</v>
      </c>
      <c r="BR84" s="1182">
        <f t="shared" si="46"/>
        <v>0.27272727272793418</v>
      </c>
      <c r="BS84" s="1182">
        <f t="shared" si="37"/>
        <v>0</v>
      </c>
      <c r="BT84" s="1182">
        <f t="shared" si="37"/>
        <v>0.27272727272793418</v>
      </c>
    </row>
    <row r="85" spans="1:72" ht="13.5" customHeight="1">
      <c r="A85" s="1182" t="s">
        <v>1803</v>
      </c>
      <c r="B85" s="1182" t="s">
        <v>1804</v>
      </c>
      <c r="C85" s="1182" t="s">
        <v>1639</v>
      </c>
      <c r="D85" s="1182" t="s">
        <v>1805</v>
      </c>
      <c r="E85" s="1182" t="s">
        <v>1806</v>
      </c>
      <c r="F85" s="1182" t="s">
        <v>1831</v>
      </c>
      <c r="G85" s="1182" t="s">
        <v>1831</v>
      </c>
      <c r="H85" s="1182" t="s">
        <v>1879</v>
      </c>
      <c r="I85" s="1182" t="s">
        <v>1809</v>
      </c>
      <c r="J85" s="1182" t="s">
        <v>1880</v>
      </c>
      <c r="K85" s="1182" t="s">
        <v>1811</v>
      </c>
      <c r="L85" s="1182" t="s">
        <v>1812</v>
      </c>
      <c r="M85" s="1182" t="s">
        <v>1803</v>
      </c>
      <c r="N85" s="1182" t="s">
        <v>1813</v>
      </c>
      <c r="O85" s="1182" t="s">
        <v>1554</v>
      </c>
      <c r="P85" s="1182" t="s">
        <v>1575</v>
      </c>
      <c r="Q85" s="1182" t="s">
        <v>1574</v>
      </c>
      <c r="R85" s="1182" t="s">
        <v>1581</v>
      </c>
      <c r="S85" s="1182" t="s">
        <v>1639</v>
      </c>
      <c r="T85" s="1182" t="s">
        <v>1814</v>
      </c>
      <c r="U85" s="1182" t="s">
        <v>1815</v>
      </c>
      <c r="V85" s="1182">
        <v>0</v>
      </c>
      <c r="W85" s="1182">
        <v>0</v>
      </c>
      <c r="X85" s="1182">
        <v>0</v>
      </c>
      <c r="Y85" s="1183">
        <v>44855</v>
      </c>
      <c r="Z85" s="1182" t="s">
        <v>1816</v>
      </c>
      <c r="AA85" s="1182" t="s">
        <v>1817</v>
      </c>
      <c r="AB85" s="1182">
        <v>44855</v>
      </c>
      <c r="AC85" s="1182" t="s">
        <v>1818</v>
      </c>
      <c r="AD85" s="1182" t="s">
        <v>1581</v>
      </c>
      <c r="AE85" s="1182">
        <v>44855</v>
      </c>
      <c r="AF85" s="1182" t="s">
        <v>1819</v>
      </c>
      <c r="AG85" s="1182" t="s">
        <v>1820</v>
      </c>
      <c r="AH85" s="1182">
        <v>4077</v>
      </c>
      <c r="AI85" s="1182">
        <v>40778</v>
      </c>
      <c r="AJ85" s="1182" t="s">
        <v>1871</v>
      </c>
      <c r="AL85" s="1186" t="s">
        <v>1881</v>
      </c>
      <c r="AM85" s="1182">
        <v>1</v>
      </c>
      <c r="AN85" s="1182">
        <v>0</v>
      </c>
      <c r="AO85" s="1182">
        <v>0</v>
      </c>
      <c r="AP85" s="1182">
        <v>0</v>
      </c>
      <c r="AQ85" s="1182" t="s">
        <v>1639</v>
      </c>
      <c r="AS85" s="1186" t="s">
        <v>1819</v>
      </c>
      <c r="AT85" s="1186" t="s">
        <v>1820</v>
      </c>
      <c r="AV85" s="1183">
        <v>0</v>
      </c>
      <c r="AW85" s="1183">
        <v>0</v>
      </c>
      <c r="AX85" s="1183">
        <v>9016</v>
      </c>
      <c r="AY85" s="1538">
        <v>9016</v>
      </c>
      <c r="AZ85" s="1183">
        <v>0</v>
      </c>
      <c r="BA85" s="1183">
        <v>35839</v>
      </c>
      <c r="BB85" s="1540">
        <v>35839</v>
      </c>
      <c r="BC85" s="1540">
        <v>44855</v>
      </c>
      <c r="BD85" s="1540">
        <v>0</v>
      </c>
      <c r="BF85" s="1539">
        <f t="shared" si="38"/>
        <v>0</v>
      </c>
      <c r="BG85" s="1539">
        <f t="shared" si="39"/>
        <v>0</v>
      </c>
      <c r="BH85" s="1539">
        <f t="shared" si="40"/>
        <v>8196</v>
      </c>
      <c r="BI85" s="1539">
        <f t="shared" si="41"/>
        <v>8196</v>
      </c>
      <c r="BJ85" s="1539">
        <f t="shared" si="42"/>
        <v>0</v>
      </c>
      <c r="BK85" s="1539">
        <f t="shared" si="47"/>
        <v>32581</v>
      </c>
      <c r="BL85" s="1539">
        <f t="shared" si="43"/>
        <v>32581</v>
      </c>
      <c r="BM85" s="1539">
        <f t="shared" si="44"/>
        <v>40777</v>
      </c>
      <c r="BO85" s="1183"/>
      <c r="BQ85" s="1182">
        <f t="shared" si="45"/>
        <v>0.36363636363603291</v>
      </c>
      <c r="BR85" s="1182">
        <f t="shared" si="46"/>
        <v>-9.0909090908098733E-2</v>
      </c>
      <c r="BS85" s="1182">
        <f t="shared" si="37"/>
        <v>0</v>
      </c>
      <c r="BT85" s="1182">
        <f t="shared" si="37"/>
        <v>-9.0909090908098733E-2</v>
      </c>
    </row>
    <row r="86" spans="1:72" ht="13.5" customHeight="1">
      <c r="A86" s="1182" t="s">
        <v>1803</v>
      </c>
      <c r="B86" s="1182" t="s">
        <v>1804</v>
      </c>
      <c r="C86" s="1182" t="s">
        <v>1639</v>
      </c>
      <c r="D86" s="1182" t="s">
        <v>1805</v>
      </c>
      <c r="E86" s="1182" t="s">
        <v>1806</v>
      </c>
      <c r="F86" s="1182" t="s">
        <v>1836</v>
      </c>
      <c r="G86" s="1182" t="s">
        <v>1836</v>
      </c>
      <c r="H86" s="1182" t="s">
        <v>1882</v>
      </c>
      <c r="I86" s="1182" t="s">
        <v>1809</v>
      </c>
      <c r="J86" s="1182" t="s">
        <v>1883</v>
      </c>
      <c r="K86" s="1182" t="s">
        <v>1811</v>
      </c>
      <c r="L86" s="1182" t="s">
        <v>1812</v>
      </c>
      <c r="M86" s="1182" t="s">
        <v>1803</v>
      </c>
      <c r="N86" s="1182" t="s">
        <v>1813</v>
      </c>
      <c r="O86" s="1182" t="s">
        <v>1554</v>
      </c>
      <c r="P86" s="1182" t="s">
        <v>1575</v>
      </c>
      <c r="Q86" s="1182" t="s">
        <v>1574</v>
      </c>
      <c r="R86" s="1182" t="s">
        <v>1581</v>
      </c>
      <c r="S86" s="1182" t="s">
        <v>1639</v>
      </c>
      <c r="T86" s="1182" t="s">
        <v>1814</v>
      </c>
      <c r="U86" s="1182" t="s">
        <v>1815</v>
      </c>
      <c r="V86" s="1182">
        <v>0</v>
      </c>
      <c r="W86" s="1182">
        <v>0</v>
      </c>
      <c r="X86" s="1182">
        <v>0</v>
      </c>
      <c r="Y86" s="1183">
        <v>48544</v>
      </c>
      <c r="Z86" s="1182" t="s">
        <v>1816</v>
      </c>
      <c r="AA86" s="1182" t="s">
        <v>1817</v>
      </c>
      <c r="AB86" s="1182">
        <v>48544</v>
      </c>
      <c r="AC86" s="1182" t="s">
        <v>1818</v>
      </c>
      <c r="AD86" s="1182" t="s">
        <v>1581</v>
      </c>
      <c r="AE86" s="1182">
        <v>48544</v>
      </c>
      <c r="AF86" s="1182" t="s">
        <v>1819</v>
      </c>
      <c r="AG86" s="1182" t="s">
        <v>1820</v>
      </c>
      <c r="AH86" s="1182">
        <v>4413</v>
      </c>
      <c r="AI86" s="1182">
        <v>44131</v>
      </c>
      <c r="AJ86" s="1182" t="s">
        <v>1871</v>
      </c>
      <c r="AL86" s="1186" t="s">
        <v>1884</v>
      </c>
      <c r="AM86" s="1182">
        <v>1</v>
      </c>
      <c r="AN86" s="1182">
        <v>0</v>
      </c>
      <c r="AO86" s="1182">
        <v>0</v>
      </c>
      <c r="AP86" s="1182">
        <v>0</v>
      </c>
      <c r="AQ86" s="1182" t="s">
        <v>1639</v>
      </c>
      <c r="AS86" s="1186" t="s">
        <v>1819</v>
      </c>
      <c r="AT86" s="1186" t="s">
        <v>1820</v>
      </c>
      <c r="AV86" s="1183">
        <v>0</v>
      </c>
      <c r="AW86" s="1183">
        <v>0</v>
      </c>
      <c r="AX86" s="1183">
        <v>9757</v>
      </c>
      <c r="AY86" s="1538">
        <v>9757</v>
      </c>
      <c r="AZ86" s="1183">
        <v>0</v>
      </c>
      <c r="BA86" s="1183">
        <v>38787</v>
      </c>
      <c r="BB86" s="1540">
        <v>38787</v>
      </c>
      <c r="BC86" s="1540">
        <v>48544</v>
      </c>
      <c r="BD86" s="1540">
        <v>0</v>
      </c>
      <c r="BF86" s="1539">
        <f t="shared" si="38"/>
        <v>0</v>
      </c>
      <c r="BG86" s="1539">
        <f t="shared" si="39"/>
        <v>0</v>
      </c>
      <c r="BH86" s="1539">
        <f t="shared" si="40"/>
        <v>8870</v>
      </c>
      <c r="BI86" s="1539">
        <f t="shared" si="41"/>
        <v>8870</v>
      </c>
      <c r="BJ86" s="1539">
        <f t="shared" si="42"/>
        <v>0</v>
      </c>
      <c r="BK86" s="1539">
        <f t="shared" si="47"/>
        <v>35261</v>
      </c>
      <c r="BL86" s="1539">
        <f t="shared" si="43"/>
        <v>35261</v>
      </c>
      <c r="BM86" s="1539">
        <f t="shared" si="44"/>
        <v>44131</v>
      </c>
      <c r="BO86" s="1183"/>
      <c r="BQ86" s="1182">
        <f t="shared" si="45"/>
        <v>0</v>
      </c>
      <c r="BR86" s="1182">
        <f t="shared" si="46"/>
        <v>-9.0909090911736712E-2</v>
      </c>
      <c r="BS86" s="1182">
        <f t="shared" si="37"/>
        <v>0</v>
      </c>
      <c r="BT86" s="1182">
        <f t="shared" si="37"/>
        <v>-9.0909090911736712E-2</v>
      </c>
    </row>
    <row r="87" spans="1:72" ht="13.5" customHeight="1">
      <c r="A87" s="1182" t="s">
        <v>1803</v>
      </c>
      <c r="B87" s="1182" t="s">
        <v>1804</v>
      </c>
      <c r="C87" s="1182" t="s">
        <v>1639</v>
      </c>
      <c r="D87" s="1182" t="s">
        <v>1805</v>
      </c>
      <c r="E87" s="1182" t="s">
        <v>1806</v>
      </c>
      <c r="F87" s="1182" t="s">
        <v>1840</v>
      </c>
      <c r="G87" s="1182" t="s">
        <v>1840</v>
      </c>
      <c r="H87" s="1182" t="s">
        <v>1885</v>
      </c>
      <c r="I87" s="1182" t="s">
        <v>1809</v>
      </c>
      <c r="J87" s="1182" t="s">
        <v>1886</v>
      </c>
      <c r="K87" s="1182" t="s">
        <v>1811</v>
      </c>
      <c r="L87" s="1182" t="s">
        <v>1812</v>
      </c>
      <c r="M87" s="1182" t="s">
        <v>1803</v>
      </c>
      <c r="N87" s="1182" t="s">
        <v>1813</v>
      </c>
      <c r="O87" s="1182" t="s">
        <v>1554</v>
      </c>
      <c r="P87" s="1182" t="s">
        <v>1575</v>
      </c>
      <c r="Q87" s="1182" t="s">
        <v>1574</v>
      </c>
      <c r="R87" s="1182" t="s">
        <v>1581</v>
      </c>
      <c r="S87" s="1182" t="s">
        <v>1639</v>
      </c>
      <c r="T87" s="1182" t="s">
        <v>1814</v>
      </c>
      <c r="U87" s="1182" t="s">
        <v>1815</v>
      </c>
      <c r="V87" s="1182">
        <v>0</v>
      </c>
      <c r="W87" s="1182">
        <v>0</v>
      </c>
      <c r="X87" s="1182">
        <v>0</v>
      </c>
      <c r="Y87" s="1183">
        <v>45016</v>
      </c>
      <c r="Z87" s="1182" t="s">
        <v>1816</v>
      </c>
      <c r="AA87" s="1182" t="s">
        <v>1817</v>
      </c>
      <c r="AB87" s="1182">
        <v>45016</v>
      </c>
      <c r="AC87" s="1182" t="s">
        <v>1818</v>
      </c>
      <c r="AD87" s="1182" t="s">
        <v>1581</v>
      </c>
      <c r="AE87" s="1182">
        <v>45016</v>
      </c>
      <c r="AF87" s="1182" t="s">
        <v>1819</v>
      </c>
      <c r="AG87" s="1182" t="s">
        <v>1820</v>
      </c>
      <c r="AH87" s="1182">
        <v>4092</v>
      </c>
      <c r="AI87" s="1182">
        <v>40924</v>
      </c>
      <c r="AJ87" s="1182" t="s">
        <v>1871</v>
      </c>
      <c r="AL87" s="1186" t="s">
        <v>1887</v>
      </c>
      <c r="AM87" s="1182">
        <v>1</v>
      </c>
      <c r="AN87" s="1182">
        <v>0</v>
      </c>
      <c r="AO87" s="1182">
        <v>0</v>
      </c>
      <c r="AP87" s="1182">
        <v>0</v>
      </c>
      <c r="AQ87" s="1182" t="s">
        <v>1639</v>
      </c>
      <c r="AS87" s="1186" t="s">
        <v>1819</v>
      </c>
      <c r="AT87" s="1186" t="s">
        <v>1820</v>
      </c>
      <c r="AV87" s="1183">
        <v>0</v>
      </c>
      <c r="AW87" s="1183">
        <v>0</v>
      </c>
      <c r="AX87" s="1183">
        <v>9048</v>
      </c>
      <c r="AY87" s="1538">
        <v>9048</v>
      </c>
      <c r="AZ87" s="1183">
        <v>0</v>
      </c>
      <c r="BA87" s="1183">
        <v>35968</v>
      </c>
      <c r="BB87" s="1540">
        <v>35968</v>
      </c>
      <c r="BC87" s="1540">
        <v>45016</v>
      </c>
      <c r="BD87" s="1540">
        <v>0</v>
      </c>
      <c r="BF87" s="1539">
        <f t="shared" si="38"/>
        <v>0</v>
      </c>
      <c r="BG87" s="1539">
        <f t="shared" si="39"/>
        <v>0</v>
      </c>
      <c r="BH87" s="1563">
        <f>+IFERROR(ROUND(AX87*100/(100+$AT87),0),AX87)+1</f>
        <v>8226</v>
      </c>
      <c r="BI87" s="1539">
        <f t="shared" si="41"/>
        <v>8226</v>
      </c>
      <c r="BJ87" s="1539">
        <f t="shared" si="42"/>
        <v>0</v>
      </c>
      <c r="BK87" s="1539">
        <f t="shared" si="47"/>
        <v>32698</v>
      </c>
      <c r="BL87" s="1539">
        <f t="shared" si="43"/>
        <v>32698</v>
      </c>
      <c r="BM87" s="1539">
        <f t="shared" si="44"/>
        <v>40924</v>
      </c>
      <c r="BO87" s="1183"/>
      <c r="BQ87" s="1182">
        <f t="shared" si="45"/>
        <v>-0.54545454545404937</v>
      </c>
      <c r="BR87" s="1182">
        <f t="shared" si="46"/>
        <v>0.18181818181983544</v>
      </c>
      <c r="BS87" s="1182">
        <f t="shared" si="37"/>
        <v>0</v>
      </c>
      <c r="BT87" s="1182">
        <f t="shared" si="37"/>
        <v>0.18181818181983544</v>
      </c>
    </row>
    <row r="88" spans="1:72" ht="13.5" customHeight="1">
      <c r="A88" s="1182" t="s">
        <v>1803</v>
      </c>
      <c r="B88" s="1182" t="s">
        <v>1804</v>
      </c>
      <c r="C88" s="1182" t="s">
        <v>1639</v>
      </c>
      <c r="D88" s="1182" t="s">
        <v>1805</v>
      </c>
      <c r="E88" s="1182" t="s">
        <v>1806</v>
      </c>
      <c r="F88" s="1182" t="s">
        <v>1844</v>
      </c>
      <c r="G88" s="1182" t="s">
        <v>1844</v>
      </c>
      <c r="H88" s="1182" t="s">
        <v>1888</v>
      </c>
      <c r="I88" s="1182" t="s">
        <v>1809</v>
      </c>
      <c r="J88" s="1182" t="s">
        <v>1889</v>
      </c>
      <c r="K88" s="1182" t="s">
        <v>1811</v>
      </c>
      <c r="L88" s="1182" t="s">
        <v>1812</v>
      </c>
      <c r="M88" s="1182" t="s">
        <v>1803</v>
      </c>
      <c r="N88" s="1182" t="s">
        <v>1813</v>
      </c>
      <c r="O88" s="1182" t="s">
        <v>1554</v>
      </c>
      <c r="P88" s="1182" t="s">
        <v>1575</v>
      </c>
      <c r="Q88" s="1182" t="s">
        <v>1574</v>
      </c>
      <c r="R88" s="1182" t="s">
        <v>1581</v>
      </c>
      <c r="S88" s="1182" t="s">
        <v>1639</v>
      </c>
      <c r="T88" s="1182" t="s">
        <v>1814</v>
      </c>
      <c r="U88" s="1182" t="s">
        <v>1815</v>
      </c>
      <c r="V88" s="1182">
        <v>0</v>
      </c>
      <c r="W88" s="1182">
        <v>0</v>
      </c>
      <c r="X88" s="1182">
        <v>0</v>
      </c>
      <c r="Y88" s="1183">
        <v>41636</v>
      </c>
      <c r="Z88" s="1182" t="s">
        <v>1816</v>
      </c>
      <c r="AA88" s="1182" t="s">
        <v>1817</v>
      </c>
      <c r="AB88" s="1182">
        <v>41636</v>
      </c>
      <c r="AC88" s="1182" t="s">
        <v>1818</v>
      </c>
      <c r="AD88" s="1182" t="s">
        <v>1581</v>
      </c>
      <c r="AE88" s="1182">
        <v>41636</v>
      </c>
      <c r="AF88" s="1182" t="s">
        <v>1819</v>
      </c>
      <c r="AG88" s="1182" t="s">
        <v>1820</v>
      </c>
      <c r="AH88" s="1182">
        <v>3785</v>
      </c>
      <c r="AI88" s="1182">
        <v>37851</v>
      </c>
      <c r="AJ88" s="1182" t="s">
        <v>1890</v>
      </c>
      <c r="AL88" s="1186" t="s">
        <v>1891</v>
      </c>
      <c r="AM88" s="1182">
        <v>1</v>
      </c>
      <c r="AN88" s="1182">
        <v>0</v>
      </c>
      <c r="AO88" s="1182">
        <v>0</v>
      </c>
      <c r="AP88" s="1182">
        <v>0</v>
      </c>
      <c r="AQ88" s="1182" t="s">
        <v>1639</v>
      </c>
      <c r="AS88" s="1186" t="s">
        <v>1819</v>
      </c>
      <c r="AT88" s="1186" t="s">
        <v>1820</v>
      </c>
      <c r="AV88" s="1183">
        <v>0</v>
      </c>
      <c r="AW88" s="1183">
        <v>0</v>
      </c>
      <c r="AX88" s="1183">
        <v>8369</v>
      </c>
      <c r="AY88" s="1538">
        <v>8369</v>
      </c>
      <c r="AZ88" s="1183">
        <v>0</v>
      </c>
      <c r="BA88" s="1183">
        <v>33267</v>
      </c>
      <c r="BB88" s="1540">
        <v>33267</v>
      </c>
      <c r="BC88" s="1540">
        <v>41636</v>
      </c>
      <c r="BD88" s="1540">
        <v>0</v>
      </c>
      <c r="BF88" s="1539">
        <f t="shared" si="38"/>
        <v>0</v>
      </c>
      <c r="BG88" s="1539">
        <f t="shared" si="39"/>
        <v>0</v>
      </c>
      <c r="BH88" s="1539">
        <f t="shared" si="40"/>
        <v>7608</v>
      </c>
      <c r="BI88" s="1539">
        <f t="shared" si="41"/>
        <v>7608</v>
      </c>
      <c r="BJ88" s="1539">
        <f t="shared" si="42"/>
        <v>0</v>
      </c>
      <c r="BK88" s="1539">
        <f t="shared" si="47"/>
        <v>30243</v>
      </c>
      <c r="BL88" s="1539">
        <f t="shared" si="43"/>
        <v>30243</v>
      </c>
      <c r="BM88" s="1539">
        <f t="shared" si="44"/>
        <v>37851</v>
      </c>
      <c r="BO88" s="1183"/>
      <c r="BQ88" s="1182">
        <f t="shared" si="45"/>
        <v>0.18181818181801646</v>
      </c>
      <c r="BR88" s="1182">
        <f t="shared" si="46"/>
        <v>-0.27272727272793418</v>
      </c>
      <c r="BS88" s="1182">
        <f t="shared" si="37"/>
        <v>0</v>
      </c>
      <c r="BT88" s="1182">
        <f t="shared" si="37"/>
        <v>-0.27272727272793418</v>
      </c>
    </row>
    <row r="89" spans="1:72" ht="13.5" customHeight="1">
      <c r="A89" s="1182" t="s">
        <v>1803</v>
      </c>
      <c r="B89" s="1182" t="s">
        <v>1804</v>
      </c>
      <c r="C89" s="1182" t="s">
        <v>1639</v>
      </c>
      <c r="D89" s="1182" t="s">
        <v>1805</v>
      </c>
      <c r="E89" s="1182" t="s">
        <v>1806</v>
      </c>
      <c r="F89" s="1182" t="s">
        <v>1848</v>
      </c>
      <c r="G89" s="1182" t="s">
        <v>1848</v>
      </c>
      <c r="H89" s="1182" t="s">
        <v>1892</v>
      </c>
      <c r="I89" s="1182" t="s">
        <v>1809</v>
      </c>
      <c r="J89" s="1182" t="s">
        <v>1893</v>
      </c>
      <c r="K89" s="1182" t="s">
        <v>1811</v>
      </c>
      <c r="L89" s="1182" t="s">
        <v>1812</v>
      </c>
      <c r="M89" s="1182" t="s">
        <v>1803</v>
      </c>
      <c r="N89" s="1182" t="s">
        <v>1813</v>
      </c>
      <c r="O89" s="1182" t="s">
        <v>1554</v>
      </c>
      <c r="P89" s="1182" t="s">
        <v>1575</v>
      </c>
      <c r="Q89" s="1182" t="s">
        <v>1574</v>
      </c>
      <c r="R89" s="1182" t="s">
        <v>1581</v>
      </c>
      <c r="S89" s="1182" t="s">
        <v>1639</v>
      </c>
      <c r="T89" s="1182" t="s">
        <v>1814</v>
      </c>
      <c r="U89" s="1182" t="s">
        <v>1815</v>
      </c>
      <c r="V89" s="1182">
        <v>0</v>
      </c>
      <c r="W89" s="1182">
        <v>0</v>
      </c>
      <c r="X89" s="1182">
        <v>0</v>
      </c>
      <c r="Y89" s="1183">
        <v>51280</v>
      </c>
      <c r="Z89" s="1182" t="s">
        <v>1816</v>
      </c>
      <c r="AA89" s="1182" t="s">
        <v>1817</v>
      </c>
      <c r="AB89" s="1182">
        <v>51280</v>
      </c>
      <c r="AC89" s="1182" t="s">
        <v>1818</v>
      </c>
      <c r="AD89" s="1182" t="s">
        <v>1581</v>
      </c>
      <c r="AE89" s="1182">
        <v>51280</v>
      </c>
      <c r="AF89" s="1182" t="s">
        <v>1819</v>
      </c>
      <c r="AG89" s="1182" t="s">
        <v>1820</v>
      </c>
      <c r="AH89" s="1182">
        <v>4661</v>
      </c>
      <c r="AI89" s="1182">
        <v>46619</v>
      </c>
      <c r="AJ89" s="1182" t="s">
        <v>1890</v>
      </c>
      <c r="AL89" s="1186" t="s">
        <v>1894</v>
      </c>
      <c r="AM89" s="1182">
        <v>1</v>
      </c>
      <c r="AN89" s="1182">
        <v>0</v>
      </c>
      <c r="AO89" s="1182">
        <v>0</v>
      </c>
      <c r="AP89" s="1182">
        <v>0</v>
      </c>
      <c r="AQ89" s="1182" t="s">
        <v>1639</v>
      </c>
      <c r="AS89" s="1186" t="s">
        <v>1819</v>
      </c>
      <c r="AT89" s="1186" t="s">
        <v>1820</v>
      </c>
      <c r="AV89" s="1183">
        <v>0</v>
      </c>
      <c r="AW89" s="1183">
        <v>0</v>
      </c>
      <c r="AX89" s="1183">
        <v>10307</v>
      </c>
      <c r="AY89" s="1538">
        <v>10307</v>
      </c>
      <c r="AZ89" s="1183">
        <v>0</v>
      </c>
      <c r="BA89" s="1183">
        <v>40973</v>
      </c>
      <c r="BB89" s="1540">
        <v>40973</v>
      </c>
      <c r="BC89" s="1540">
        <v>51280</v>
      </c>
      <c r="BD89" s="1540">
        <v>0</v>
      </c>
      <c r="BF89" s="1539">
        <f t="shared" si="38"/>
        <v>0</v>
      </c>
      <c r="BG89" s="1539">
        <f t="shared" si="39"/>
        <v>0</v>
      </c>
      <c r="BH89" s="1539">
        <f t="shared" si="40"/>
        <v>9370</v>
      </c>
      <c r="BI89" s="1539">
        <f t="shared" si="41"/>
        <v>9370</v>
      </c>
      <c r="BJ89" s="1539">
        <f t="shared" si="42"/>
        <v>0</v>
      </c>
      <c r="BK89" s="1539">
        <f t="shared" si="47"/>
        <v>37248</v>
      </c>
      <c r="BL89" s="1539">
        <f t="shared" si="43"/>
        <v>37248</v>
      </c>
      <c r="BM89" s="1539">
        <f t="shared" si="44"/>
        <v>46618</v>
      </c>
      <c r="BO89" s="1183"/>
      <c r="BQ89" s="1182">
        <f t="shared" si="45"/>
        <v>0</v>
      </c>
      <c r="BR89" s="1182">
        <f t="shared" si="46"/>
        <v>0.18181818181619747</v>
      </c>
      <c r="BS89" s="1182">
        <f t="shared" si="37"/>
        <v>0</v>
      </c>
      <c r="BT89" s="1182">
        <f t="shared" si="37"/>
        <v>0.18181818181619747</v>
      </c>
    </row>
    <row r="90" spans="1:72" ht="13.5" customHeight="1">
      <c r="A90" s="1182" t="s">
        <v>1803</v>
      </c>
      <c r="B90" s="1182" t="s">
        <v>1804</v>
      </c>
      <c r="C90" s="1182" t="s">
        <v>1639</v>
      </c>
      <c r="D90" s="1182" t="s">
        <v>1805</v>
      </c>
      <c r="E90" s="1182" t="s">
        <v>1806</v>
      </c>
      <c r="F90" s="1182" t="s">
        <v>1852</v>
      </c>
      <c r="G90" s="1182" t="s">
        <v>1852</v>
      </c>
      <c r="H90" s="1182" t="s">
        <v>1895</v>
      </c>
      <c r="I90" s="1182" t="s">
        <v>1809</v>
      </c>
      <c r="J90" s="1182" t="s">
        <v>1896</v>
      </c>
      <c r="K90" s="1182" t="s">
        <v>1811</v>
      </c>
      <c r="L90" s="1182" t="s">
        <v>1812</v>
      </c>
      <c r="M90" s="1182" t="s">
        <v>1803</v>
      </c>
      <c r="N90" s="1182" t="s">
        <v>1813</v>
      </c>
      <c r="O90" s="1182" t="s">
        <v>1554</v>
      </c>
      <c r="P90" s="1182" t="s">
        <v>1575</v>
      </c>
      <c r="Q90" s="1182" t="s">
        <v>1574</v>
      </c>
      <c r="R90" s="1182" t="s">
        <v>1581</v>
      </c>
      <c r="S90" s="1182" t="s">
        <v>1639</v>
      </c>
      <c r="T90" s="1182" t="s">
        <v>1814</v>
      </c>
      <c r="U90" s="1182" t="s">
        <v>1815</v>
      </c>
      <c r="V90" s="1182">
        <v>0</v>
      </c>
      <c r="W90" s="1182">
        <v>0</v>
      </c>
      <c r="X90" s="1182">
        <v>0</v>
      </c>
      <c r="Y90" s="1183">
        <v>53982</v>
      </c>
      <c r="Z90" s="1182" t="s">
        <v>1816</v>
      </c>
      <c r="AA90" s="1182" t="s">
        <v>1817</v>
      </c>
      <c r="AB90" s="1182">
        <v>53982</v>
      </c>
      <c r="AC90" s="1182" t="s">
        <v>1818</v>
      </c>
      <c r="AD90" s="1182" t="s">
        <v>1581</v>
      </c>
      <c r="AE90" s="1182">
        <v>53982</v>
      </c>
      <c r="AF90" s="1182" t="s">
        <v>1819</v>
      </c>
      <c r="AG90" s="1182" t="s">
        <v>1820</v>
      </c>
      <c r="AH90" s="1182">
        <v>4907</v>
      </c>
      <c r="AI90" s="1182">
        <v>49075</v>
      </c>
      <c r="AJ90" s="1182" t="s">
        <v>1871</v>
      </c>
      <c r="AL90" s="1186" t="s">
        <v>1897</v>
      </c>
      <c r="AM90" s="1182">
        <v>1</v>
      </c>
      <c r="AN90" s="1182">
        <v>0</v>
      </c>
      <c r="AO90" s="1182">
        <v>0</v>
      </c>
      <c r="AP90" s="1182">
        <v>0</v>
      </c>
      <c r="AQ90" s="1182" t="s">
        <v>1639</v>
      </c>
      <c r="AS90" s="1186" t="s">
        <v>1819</v>
      </c>
      <c r="AT90" s="1186" t="s">
        <v>1820</v>
      </c>
      <c r="AV90" s="1183">
        <v>0</v>
      </c>
      <c r="AW90" s="1183">
        <v>0</v>
      </c>
      <c r="AX90" s="1183">
        <v>10850</v>
      </c>
      <c r="AY90" s="1538">
        <v>10850</v>
      </c>
      <c r="AZ90" s="1183">
        <v>0</v>
      </c>
      <c r="BA90" s="1183">
        <v>43132</v>
      </c>
      <c r="BB90" s="1540">
        <v>43132</v>
      </c>
      <c r="BC90" s="1540">
        <v>53982</v>
      </c>
      <c r="BD90" s="1540">
        <v>0</v>
      </c>
      <c r="BF90" s="1539">
        <f t="shared" si="38"/>
        <v>0</v>
      </c>
      <c r="BG90" s="1539">
        <f t="shared" si="39"/>
        <v>0</v>
      </c>
      <c r="BH90" s="1539">
        <f t="shared" si="40"/>
        <v>9864</v>
      </c>
      <c r="BI90" s="1539">
        <f t="shared" si="41"/>
        <v>9864</v>
      </c>
      <c r="BJ90" s="1539">
        <f t="shared" si="42"/>
        <v>0</v>
      </c>
      <c r="BK90" s="1539">
        <f t="shared" si="47"/>
        <v>39211</v>
      </c>
      <c r="BL90" s="1539">
        <f t="shared" si="43"/>
        <v>39211</v>
      </c>
      <c r="BM90" s="1539">
        <f t="shared" si="44"/>
        <v>49075</v>
      </c>
      <c r="BO90" s="1183"/>
      <c r="BQ90" s="1182">
        <f t="shared" si="45"/>
        <v>-0.36363636363603291</v>
      </c>
      <c r="BR90" s="1182">
        <f t="shared" si="46"/>
        <v>-9.0909090911736712E-2</v>
      </c>
      <c r="BS90" s="1182">
        <f t="shared" si="37"/>
        <v>0</v>
      </c>
      <c r="BT90" s="1182">
        <f t="shared" si="37"/>
        <v>-9.0909090911736712E-2</v>
      </c>
    </row>
    <row r="91" spans="1:72" ht="13.5" customHeight="1">
      <c r="A91" s="1182" t="s">
        <v>1803</v>
      </c>
      <c r="B91" s="1182" t="s">
        <v>1804</v>
      </c>
      <c r="C91" s="1182" t="s">
        <v>1639</v>
      </c>
      <c r="D91" s="1182" t="s">
        <v>1805</v>
      </c>
      <c r="E91" s="1182" t="s">
        <v>1806</v>
      </c>
      <c r="F91" s="1182" t="s">
        <v>1856</v>
      </c>
      <c r="G91" s="1182" t="s">
        <v>1856</v>
      </c>
      <c r="H91" s="1182" t="s">
        <v>1898</v>
      </c>
      <c r="I91" s="1182" t="s">
        <v>1809</v>
      </c>
      <c r="J91" s="1182" t="s">
        <v>1899</v>
      </c>
      <c r="K91" s="1182" t="s">
        <v>1811</v>
      </c>
      <c r="L91" s="1182" t="s">
        <v>1812</v>
      </c>
      <c r="M91" s="1182" t="s">
        <v>1803</v>
      </c>
      <c r="N91" s="1182" t="s">
        <v>1813</v>
      </c>
      <c r="O91" s="1182" t="s">
        <v>1554</v>
      </c>
      <c r="P91" s="1182" t="s">
        <v>1575</v>
      </c>
      <c r="Q91" s="1182" t="s">
        <v>1574</v>
      </c>
      <c r="R91" s="1182" t="s">
        <v>1581</v>
      </c>
      <c r="S91" s="1182" t="s">
        <v>1639</v>
      </c>
      <c r="T91" s="1182" t="s">
        <v>1814</v>
      </c>
      <c r="U91" s="1182" t="s">
        <v>1815</v>
      </c>
      <c r="V91" s="1182">
        <v>0</v>
      </c>
      <c r="W91" s="1182">
        <v>0</v>
      </c>
      <c r="X91" s="1182">
        <v>0</v>
      </c>
      <c r="Y91" s="1183">
        <v>35334</v>
      </c>
      <c r="Z91" s="1182" t="s">
        <v>1816</v>
      </c>
      <c r="AA91" s="1182" t="s">
        <v>1817</v>
      </c>
      <c r="AB91" s="1182">
        <v>35334</v>
      </c>
      <c r="AC91" s="1182" t="s">
        <v>1818</v>
      </c>
      <c r="AD91" s="1182" t="s">
        <v>1581</v>
      </c>
      <c r="AE91" s="1182">
        <v>35334</v>
      </c>
      <c r="AF91" s="1182" t="s">
        <v>1819</v>
      </c>
      <c r="AG91" s="1182" t="s">
        <v>1820</v>
      </c>
      <c r="AH91" s="1182">
        <v>3212</v>
      </c>
      <c r="AI91" s="1182">
        <v>32122</v>
      </c>
      <c r="AJ91" s="1182" t="s">
        <v>1871</v>
      </c>
      <c r="AL91" s="1186" t="s">
        <v>1900</v>
      </c>
      <c r="AM91" s="1182">
        <v>1</v>
      </c>
      <c r="AN91" s="1182">
        <v>0</v>
      </c>
      <c r="AO91" s="1182">
        <v>0</v>
      </c>
      <c r="AP91" s="1182">
        <v>0</v>
      </c>
      <c r="AQ91" s="1182" t="s">
        <v>1639</v>
      </c>
      <c r="AS91" s="1186" t="s">
        <v>1819</v>
      </c>
      <c r="AT91" s="1186" t="s">
        <v>1820</v>
      </c>
      <c r="AV91" s="1183">
        <v>0</v>
      </c>
      <c r="AW91" s="1183">
        <v>0</v>
      </c>
      <c r="AX91" s="1183">
        <v>7102</v>
      </c>
      <c r="AY91" s="1538">
        <v>7102</v>
      </c>
      <c r="AZ91" s="1183">
        <v>0</v>
      </c>
      <c r="BA91" s="1183">
        <v>28232</v>
      </c>
      <c r="BB91" s="1540">
        <v>28232</v>
      </c>
      <c r="BC91" s="1540">
        <v>35334</v>
      </c>
      <c r="BD91" s="1540">
        <v>0</v>
      </c>
      <c r="BF91" s="1539">
        <f t="shared" si="38"/>
        <v>0</v>
      </c>
      <c r="BG91" s="1539">
        <f t="shared" si="39"/>
        <v>0</v>
      </c>
      <c r="BH91" s="1539">
        <f t="shared" si="40"/>
        <v>6456</v>
      </c>
      <c r="BI91" s="1539">
        <f t="shared" si="41"/>
        <v>6456</v>
      </c>
      <c r="BJ91" s="1539">
        <f t="shared" si="42"/>
        <v>0</v>
      </c>
      <c r="BK91" s="1539">
        <f t="shared" si="47"/>
        <v>25665</v>
      </c>
      <c r="BL91" s="1539">
        <f t="shared" si="43"/>
        <v>25665</v>
      </c>
      <c r="BM91" s="1539">
        <f t="shared" si="44"/>
        <v>32121</v>
      </c>
      <c r="BO91" s="1183"/>
      <c r="BQ91" s="1182">
        <f t="shared" si="45"/>
        <v>0.36363636363603291</v>
      </c>
      <c r="BR91" s="1182">
        <f t="shared" si="46"/>
        <v>0.45454545454413164</v>
      </c>
      <c r="BS91" s="1182">
        <f t="shared" si="37"/>
        <v>0</v>
      </c>
      <c r="BT91" s="1182">
        <f t="shared" si="37"/>
        <v>0.45454545454413164</v>
      </c>
    </row>
    <row r="92" spans="1:72" ht="13.5" customHeight="1">
      <c r="A92" s="1182" t="s">
        <v>1803</v>
      </c>
      <c r="B92" s="1182" t="s">
        <v>1804</v>
      </c>
      <c r="C92" s="1182" t="s">
        <v>1639</v>
      </c>
      <c r="D92" s="1182" t="s">
        <v>1805</v>
      </c>
      <c r="E92" s="1182" t="s">
        <v>1806</v>
      </c>
      <c r="F92" s="1182" t="s">
        <v>1860</v>
      </c>
      <c r="G92" s="1182" t="s">
        <v>1860</v>
      </c>
      <c r="H92" s="1182" t="s">
        <v>1901</v>
      </c>
      <c r="I92" s="1182" t="s">
        <v>1809</v>
      </c>
      <c r="J92" s="1182" t="s">
        <v>1902</v>
      </c>
      <c r="K92" s="1182" t="s">
        <v>1811</v>
      </c>
      <c r="L92" s="1182" t="s">
        <v>1812</v>
      </c>
      <c r="M92" s="1182" t="s">
        <v>1803</v>
      </c>
      <c r="N92" s="1182" t="s">
        <v>1813</v>
      </c>
      <c r="O92" s="1182" t="s">
        <v>1554</v>
      </c>
      <c r="P92" s="1182" t="s">
        <v>1575</v>
      </c>
      <c r="Q92" s="1182" t="s">
        <v>1574</v>
      </c>
      <c r="R92" s="1182" t="s">
        <v>1581</v>
      </c>
      <c r="S92" s="1182" t="s">
        <v>1639</v>
      </c>
      <c r="T92" s="1182" t="s">
        <v>1814</v>
      </c>
      <c r="U92" s="1182" t="s">
        <v>1815</v>
      </c>
      <c r="V92" s="1182">
        <v>0</v>
      </c>
      <c r="W92" s="1182">
        <v>0</v>
      </c>
      <c r="X92" s="1182">
        <v>0</v>
      </c>
      <c r="Y92" s="1183">
        <v>55605</v>
      </c>
      <c r="Z92" s="1182" t="s">
        <v>1816</v>
      </c>
      <c r="AA92" s="1182" t="s">
        <v>1817</v>
      </c>
      <c r="AB92" s="1182">
        <v>55605</v>
      </c>
      <c r="AC92" s="1182" t="s">
        <v>1818</v>
      </c>
      <c r="AD92" s="1182" t="s">
        <v>1581</v>
      </c>
      <c r="AE92" s="1182">
        <v>55605</v>
      </c>
      <c r="AF92" s="1182" t="s">
        <v>1819</v>
      </c>
      <c r="AG92" s="1182" t="s">
        <v>1820</v>
      </c>
      <c r="AH92" s="1182">
        <v>5055</v>
      </c>
      <c r="AI92" s="1182">
        <v>50550</v>
      </c>
      <c r="AJ92" s="1182" t="s">
        <v>1871</v>
      </c>
      <c r="AL92" s="1186" t="s">
        <v>1903</v>
      </c>
      <c r="AM92" s="1182">
        <v>1</v>
      </c>
      <c r="AN92" s="1182">
        <v>0</v>
      </c>
      <c r="AO92" s="1182">
        <v>0</v>
      </c>
      <c r="AP92" s="1182">
        <v>0</v>
      </c>
      <c r="AQ92" s="1182" t="s">
        <v>1639</v>
      </c>
      <c r="AS92" s="1186" t="s">
        <v>1819</v>
      </c>
      <c r="AT92" s="1186" t="s">
        <v>1820</v>
      </c>
      <c r="AV92" s="1183">
        <v>0</v>
      </c>
      <c r="AW92" s="1183">
        <v>0</v>
      </c>
      <c r="AX92" s="1183">
        <v>11177</v>
      </c>
      <c r="AY92" s="1538">
        <v>11177</v>
      </c>
      <c r="AZ92" s="1183">
        <v>0</v>
      </c>
      <c r="BA92" s="1183">
        <v>44428</v>
      </c>
      <c r="BB92" s="1540">
        <v>44428</v>
      </c>
      <c r="BC92" s="1540">
        <v>55605</v>
      </c>
      <c r="BD92" s="1540">
        <v>0</v>
      </c>
      <c r="BF92" s="1539">
        <f t="shared" si="38"/>
        <v>0</v>
      </c>
      <c r="BG92" s="1539">
        <f t="shared" si="39"/>
        <v>0</v>
      </c>
      <c r="BH92" s="1539">
        <f t="shared" si="40"/>
        <v>10161</v>
      </c>
      <c r="BI92" s="1539">
        <f t="shared" si="41"/>
        <v>10161</v>
      </c>
      <c r="BJ92" s="1539">
        <f t="shared" si="42"/>
        <v>0</v>
      </c>
      <c r="BK92" s="1539">
        <f t="shared" si="47"/>
        <v>40389</v>
      </c>
      <c r="BL92" s="1539">
        <f t="shared" si="43"/>
        <v>40389</v>
      </c>
      <c r="BM92" s="1539">
        <f t="shared" si="44"/>
        <v>50550</v>
      </c>
      <c r="BO92" s="1183"/>
      <c r="BQ92" s="1182">
        <f t="shared" si="45"/>
        <v>-9.0909090909917722E-2</v>
      </c>
      <c r="BR92" s="1182">
        <f t="shared" si="46"/>
        <v>9.0909090911736712E-2</v>
      </c>
      <c r="BS92" s="1182">
        <f t="shared" si="37"/>
        <v>0</v>
      </c>
      <c r="BT92" s="1182">
        <f t="shared" si="37"/>
        <v>9.0909090911736712E-2</v>
      </c>
    </row>
    <row r="93" spans="1:72" ht="13.5" customHeight="1">
      <c r="A93" s="1182" t="s">
        <v>1803</v>
      </c>
      <c r="B93" s="1182" t="s">
        <v>1804</v>
      </c>
      <c r="C93" s="1182" t="s">
        <v>1639</v>
      </c>
      <c r="D93" s="1182" t="s">
        <v>1805</v>
      </c>
      <c r="E93" s="1182" t="s">
        <v>1806</v>
      </c>
      <c r="F93" s="1182" t="s">
        <v>1864</v>
      </c>
      <c r="G93" s="1182" t="s">
        <v>1864</v>
      </c>
      <c r="H93" s="1182" t="s">
        <v>1904</v>
      </c>
      <c r="I93" s="1182" t="s">
        <v>1809</v>
      </c>
      <c r="J93" s="1182" t="s">
        <v>1905</v>
      </c>
      <c r="K93" s="1182" t="s">
        <v>1811</v>
      </c>
      <c r="L93" s="1182" t="s">
        <v>1812</v>
      </c>
      <c r="M93" s="1182" t="s">
        <v>1803</v>
      </c>
      <c r="N93" s="1182" t="s">
        <v>1813</v>
      </c>
      <c r="O93" s="1182" t="s">
        <v>1554</v>
      </c>
      <c r="P93" s="1182" t="s">
        <v>1575</v>
      </c>
      <c r="Q93" s="1182" t="s">
        <v>1574</v>
      </c>
      <c r="R93" s="1182" t="s">
        <v>1581</v>
      </c>
      <c r="S93" s="1182" t="s">
        <v>1639</v>
      </c>
      <c r="T93" s="1182" t="s">
        <v>1814</v>
      </c>
      <c r="U93" s="1182" t="s">
        <v>1815</v>
      </c>
      <c r="V93" s="1182">
        <v>0</v>
      </c>
      <c r="W93" s="1182">
        <v>0</v>
      </c>
      <c r="X93" s="1182">
        <v>0</v>
      </c>
      <c r="Y93" s="1183">
        <v>43816</v>
      </c>
      <c r="Z93" s="1182" t="s">
        <v>1816</v>
      </c>
      <c r="AA93" s="1182" t="s">
        <v>1817</v>
      </c>
      <c r="AB93" s="1182">
        <v>43816</v>
      </c>
      <c r="AC93" s="1182" t="s">
        <v>1818</v>
      </c>
      <c r="AD93" s="1182" t="s">
        <v>1581</v>
      </c>
      <c r="AE93" s="1182">
        <v>43816</v>
      </c>
      <c r="AF93" s="1182" t="s">
        <v>1819</v>
      </c>
      <c r="AG93" s="1182" t="s">
        <v>1820</v>
      </c>
      <c r="AH93" s="1182">
        <v>3983</v>
      </c>
      <c r="AI93" s="1182">
        <v>39833</v>
      </c>
      <c r="AJ93" s="1182" t="s">
        <v>1890</v>
      </c>
      <c r="AL93" s="1186" t="s">
        <v>1906</v>
      </c>
      <c r="AM93" s="1182">
        <v>1</v>
      </c>
      <c r="AN93" s="1182">
        <v>0</v>
      </c>
      <c r="AO93" s="1182">
        <v>0</v>
      </c>
      <c r="AP93" s="1182">
        <v>0</v>
      </c>
      <c r="AQ93" s="1182" t="s">
        <v>1639</v>
      </c>
      <c r="AS93" s="1186" t="s">
        <v>1819</v>
      </c>
      <c r="AT93" s="1186" t="s">
        <v>1820</v>
      </c>
      <c r="AV93" s="1183">
        <v>0</v>
      </c>
      <c r="AW93" s="1183">
        <v>0</v>
      </c>
      <c r="AX93" s="1183">
        <v>8807</v>
      </c>
      <c r="AY93" s="1538">
        <v>8807</v>
      </c>
      <c r="AZ93" s="1183">
        <v>0</v>
      </c>
      <c r="BA93" s="1183">
        <v>35009</v>
      </c>
      <c r="BB93" s="1540">
        <v>35009</v>
      </c>
      <c r="BC93" s="1540">
        <v>43816</v>
      </c>
      <c r="BD93" s="1540">
        <v>0</v>
      </c>
      <c r="BF93" s="1539">
        <f t="shared" si="38"/>
        <v>0</v>
      </c>
      <c r="BG93" s="1539">
        <f t="shared" si="39"/>
        <v>0</v>
      </c>
      <c r="BH93" s="1539">
        <f t="shared" si="40"/>
        <v>8006</v>
      </c>
      <c r="BI93" s="1539">
        <f t="shared" si="41"/>
        <v>8006</v>
      </c>
      <c r="BJ93" s="1539">
        <f t="shared" si="42"/>
        <v>0</v>
      </c>
      <c r="BK93" s="1539">
        <f t="shared" si="47"/>
        <v>31826</v>
      </c>
      <c r="BL93" s="1539">
        <f t="shared" si="43"/>
        <v>31826</v>
      </c>
      <c r="BM93" s="1539">
        <f t="shared" si="44"/>
        <v>39832</v>
      </c>
      <c r="BO93" s="1183"/>
      <c r="BQ93" s="1182">
        <f t="shared" si="45"/>
        <v>0.36363636363603291</v>
      </c>
      <c r="BR93" s="1182">
        <f t="shared" si="46"/>
        <v>0.36363636363603291</v>
      </c>
      <c r="BS93" s="1182">
        <f t="shared" si="37"/>
        <v>0</v>
      </c>
      <c r="BT93" s="1182">
        <f t="shared" si="37"/>
        <v>0.36363636363603291</v>
      </c>
    </row>
    <row r="94" spans="1:72" ht="13.5" customHeight="1">
      <c r="A94" s="1182" t="s">
        <v>1803</v>
      </c>
      <c r="B94" s="1182" t="s">
        <v>1804</v>
      </c>
      <c r="C94" s="1182" t="s">
        <v>1639</v>
      </c>
      <c r="D94" s="1182" t="s">
        <v>1907</v>
      </c>
      <c r="E94" s="1182" t="s">
        <v>1908</v>
      </c>
      <c r="F94" s="1182" t="s">
        <v>1864</v>
      </c>
      <c r="G94" s="1182" t="s">
        <v>1864</v>
      </c>
      <c r="H94" s="1182" t="s">
        <v>1909</v>
      </c>
      <c r="I94" s="1182" t="s">
        <v>1809</v>
      </c>
      <c r="J94" s="1182" t="s">
        <v>1910</v>
      </c>
      <c r="K94" s="1182" t="s">
        <v>1811</v>
      </c>
      <c r="L94" s="1182" t="s">
        <v>1812</v>
      </c>
      <c r="M94" s="1182" t="s">
        <v>1803</v>
      </c>
      <c r="N94" s="1182" t="s">
        <v>1911</v>
      </c>
      <c r="O94" s="1182" t="s">
        <v>1554</v>
      </c>
      <c r="P94" s="1182" t="s">
        <v>1575</v>
      </c>
      <c r="Q94" s="1182" t="s">
        <v>1574</v>
      </c>
      <c r="R94" s="1182" t="s">
        <v>1579</v>
      </c>
      <c r="S94" s="1182" t="s">
        <v>1639</v>
      </c>
      <c r="T94" s="1182" t="s">
        <v>1814</v>
      </c>
      <c r="U94" s="1182" t="s">
        <v>1815</v>
      </c>
      <c r="V94" s="1182">
        <v>0</v>
      </c>
      <c r="W94" s="1182">
        <v>0</v>
      </c>
      <c r="X94" s="1182">
        <v>0</v>
      </c>
      <c r="Y94" s="1183">
        <v>122020</v>
      </c>
      <c r="Z94" s="1182" t="s">
        <v>1816</v>
      </c>
      <c r="AA94" s="1182" t="s">
        <v>1817</v>
      </c>
      <c r="AB94" s="1182">
        <v>122020</v>
      </c>
      <c r="AC94" s="1182" t="s">
        <v>1912</v>
      </c>
      <c r="AD94" s="1182" t="s">
        <v>1579</v>
      </c>
      <c r="AE94" s="1182">
        <v>122020</v>
      </c>
      <c r="AF94" s="1182" t="s">
        <v>1819</v>
      </c>
      <c r="AG94" s="1182" t="s">
        <v>1820</v>
      </c>
      <c r="AH94" s="1182">
        <v>11092</v>
      </c>
      <c r="AI94" s="1182">
        <v>110928</v>
      </c>
      <c r="AJ94" s="1182" t="s">
        <v>1913</v>
      </c>
      <c r="AL94" s="1186" t="s">
        <v>1914</v>
      </c>
      <c r="AM94" s="1182">
        <v>1</v>
      </c>
      <c r="AN94" s="1182">
        <v>0</v>
      </c>
      <c r="AO94" s="1182">
        <v>0</v>
      </c>
      <c r="AP94" s="1182">
        <v>0</v>
      </c>
      <c r="AQ94" s="1182" t="s">
        <v>1639</v>
      </c>
      <c r="AS94" s="1186" t="s">
        <v>1819</v>
      </c>
      <c r="AT94" s="1186" t="s">
        <v>1820</v>
      </c>
      <c r="AV94" s="1183">
        <v>0</v>
      </c>
      <c r="AW94" s="1183">
        <v>122020</v>
      </c>
      <c r="AX94" s="1183">
        <v>0</v>
      </c>
      <c r="AY94" s="1538">
        <v>122020</v>
      </c>
      <c r="AZ94" s="1183">
        <v>0</v>
      </c>
      <c r="BA94" s="1183">
        <v>0</v>
      </c>
      <c r="BB94" s="1540">
        <v>0</v>
      </c>
      <c r="BC94" s="1540">
        <v>122020</v>
      </c>
      <c r="BD94" s="1540">
        <v>0</v>
      </c>
      <c r="BF94" s="1539">
        <f t="shared" si="38"/>
        <v>0</v>
      </c>
      <c r="BG94" s="1539">
        <f t="shared" si="39"/>
        <v>110927</v>
      </c>
      <c r="BH94" s="1539">
        <f t="shared" si="40"/>
        <v>0</v>
      </c>
      <c r="BI94" s="1539">
        <f t="shared" si="41"/>
        <v>110927</v>
      </c>
      <c r="BJ94" s="1539">
        <f t="shared" si="42"/>
        <v>0</v>
      </c>
      <c r="BK94" s="1539">
        <f t="shared" si="47"/>
        <v>0</v>
      </c>
      <c r="BL94" s="1539">
        <f t="shared" si="43"/>
        <v>0</v>
      </c>
      <c r="BM94" s="1539">
        <f t="shared" si="44"/>
        <v>110927</v>
      </c>
      <c r="BO94" s="1183"/>
      <c r="BQ94" s="1182">
        <f t="shared" si="45"/>
        <v>0.27272727272065822</v>
      </c>
      <c r="BR94" s="1182">
        <f t="shared" si="46"/>
        <v>0</v>
      </c>
      <c r="BS94" s="1182">
        <f t="shared" si="37"/>
        <v>0</v>
      </c>
      <c r="BT94" s="1182">
        <f t="shared" si="37"/>
        <v>0</v>
      </c>
    </row>
    <row r="95" spans="1:72" ht="13.5" customHeight="1">
      <c r="A95" s="1182" t="s">
        <v>1803</v>
      </c>
      <c r="B95" s="1182" t="s">
        <v>1804</v>
      </c>
      <c r="C95" s="1182" t="s">
        <v>1639</v>
      </c>
      <c r="D95" s="1182" t="s">
        <v>1915</v>
      </c>
      <c r="E95" s="1182" t="s">
        <v>1916</v>
      </c>
      <c r="F95" s="1182" t="s">
        <v>1864</v>
      </c>
      <c r="G95" s="1182" t="s">
        <v>1864</v>
      </c>
      <c r="H95" s="1182" t="s">
        <v>1917</v>
      </c>
      <c r="I95" s="1182" t="s">
        <v>1809</v>
      </c>
      <c r="J95" s="1182" t="s">
        <v>1918</v>
      </c>
      <c r="K95" s="1182" t="s">
        <v>1811</v>
      </c>
      <c r="L95" s="1182" t="s">
        <v>1812</v>
      </c>
      <c r="M95" s="1182" t="s">
        <v>1803</v>
      </c>
      <c r="N95" s="1182" t="s">
        <v>1911</v>
      </c>
      <c r="O95" s="1182" t="s">
        <v>1554</v>
      </c>
      <c r="P95" s="1182" t="s">
        <v>1575</v>
      </c>
      <c r="Q95" s="1182" t="s">
        <v>1574</v>
      </c>
      <c r="R95" s="1182" t="s">
        <v>1579</v>
      </c>
      <c r="S95" s="1182" t="s">
        <v>1639</v>
      </c>
      <c r="T95" s="1182" t="s">
        <v>1814</v>
      </c>
      <c r="U95" s="1182" t="s">
        <v>1815</v>
      </c>
      <c r="V95" s="1182">
        <v>0</v>
      </c>
      <c r="W95" s="1182">
        <v>0</v>
      </c>
      <c r="X95" s="1182">
        <v>0</v>
      </c>
      <c r="Y95" s="1183">
        <v>385291</v>
      </c>
      <c r="Z95" s="1182" t="s">
        <v>1816</v>
      </c>
      <c r="AA95" s="1182" t="s">
        <v>1817</v>
      </c>
      <c r="AB95" s="1182">
        <v>385291</v>
      </c>
      <c r="AC95" s="1182" t="s">
        <v>1912</v>
      </c>
      <c r="AD95" s="1182" t="s">
        <v>1579</v>
      </c>
      <c r="AE95" s="1182">
        <v>385291</v>
      </c>
      <c r="AF95" s="1182" t="s">
        <v>1819</v>
      </c>
      <c r="AG95" s="1182" t="s">
        <v>1820</v>
      </c>
      <c r="AH95" s="1182">
        <v>35026</v>
      </c>
      <c r="AI95" s="1182">
        <v>350265</v>
      </c>
      <c r="AJ95" s="1182" t="s">
        <v>1913</v>
      </c>
      <c r="AL95" s="1186" t="s">
        <v>1919</v>
      </c>
      <c r="AM95" s="1182">
        <v>1</v>
      </c>
      <c r="AN95" s="1182">
        <v>0</v>
      </c>
      <c r="AO95" s="1182">
        <v>0</v>
      </c>
      <c r="AP95" s="1182">
        <v>0</v>
      </c>
      <c r="AQ95" s="1182" t="s">
        <v>1639</v>
      </c>
      <c r="AS95" s="1186" t="s">
        <v>1819</v>
      </c>
      <c r="AT95" s="1186" t="s">
        <v>1820</v>
      </c>
      <c r="AV95" s="1183">
        <v>0</v>
      </c>
      <c r="AW95" s="1183">
        <v>385291</v>
      </c>
      <c r="AX95" s="1183">
        <v>0</v>
      </c>
      <c r="AY95" s="1538">
        <v>385291</v>
      </c>
      <c r="AZ95" s="1183">
        <v>0</v>
      </c>
      <c r="BA95" s="1183">
        <v>0</v>
      </c>
      <c r="BB95" s="1540">
        <v>0</v>
      </c>
      <c r="BC95" s="1540">
        <v>385291</v>
      </c>
      <c r="BD95" s="1540">
        <v>0</v>
      </c>
      <c r="BF95" s="1539">
        <f t="shared" si="38"/>
        <v>0</v>
      </c>
      <c r="BG95" s="1539">
        <f t="shared" si="39"/>
        <v>350265</v>
      </c>
      <c r="BH95" s="1539">
        <f t="shared" si="40"/>
        <v>0</v>
      </c>
      <c r="BI95" s="1539">
        <f t="shared" si="41"/>
        <v>350265</v>
      </c>
      <c r="BJ95" s="1539">
        <f t="shared" si="42"/>
        <v>0</v>
      </c>
      <c r="BK95" s="1539">
        <f t="shared" si="47"/>
        <v>0</v>
      </c>
      <c r="BL95" s="1539">
        <f t="shared" si="43"/>
        <v>0</v>
      </c>
      <c r="BM95" s="1539">
        <f t="shared" si="44"/>
        <v>350265</v>
      </c>
      <c r="BO95" s="1183"/>
      <c r="BQ95" s="1182">
        <f t="shared" si="45"/>
        <v>-0.45454545452957973</v>
      </c>
      <c r="BR95" s="1182">
        <f t="shared" si="46"/>
        <v>0</v>
      </c>
      <c r="BS95" s="1182">
        <f t="shared" si="37"/>
        <v>0</v>
      </c>
      <c r="BT95" s="1182">
        <f t="shared" si="37"/>
        <v>0</v>
      </c>
    </row>
    <row r="96" spans="1:72" ht="13.5" customHeight="1">
      <c r="A96" s="1182" t="s">
        <v>1803</v>
      </c>
      <c r="B96" s="1182" t="s">
        <v>1804</v>
      </c>
      <c r="C96" s="1182" t="s">
        <v>1639</v>
      </c>
      <c r="D96" s="1182" t="s">
        <v>1920</v>
      </c>
      <c r="E96" s="1182" t="s">
        <v>1921</v>
      </c>
      <c r="F96" s="1182" t="s">
        <v>1864</v>
      </c>
      <c r="G96" s="1182" t="s">
        <v>1864</v>
      </c>
      <c r="H96" s="1182" t="s">
        <v>1922</v>
      </c>
      <c r="I96" s="1182" t="s">
        <v>1809</v>
      </c>
      <c r="J96" s="1182" t="s">
        <v>1923</v>
      </c>
      <c r="K96" s="1182" t="s">
        <v>1811</v>
      </c>
      <c r="L96" s="1182" t="s">
        <v>1812</v>
      </c>
      <c r="M96" s="1182" t="s">
        <v>1803</v>
      </c>
      <c r="N96" s="1182" t="s">
        <v>1911</v>
      </c>
      <c r="O96" s="1182" t="s">
        <v>1554</v>
      </c>
      <c r="P96" s="1182" t="s">
        <v>1575</v>
      </c>
      <c r="Q96" s="1182" t="s">
        <v>1574</v>
      </c>
      <c r="R96" s="1182" t="s">
        <v>1579</v>
      </c>
      <c r="S96" s="1182" t="s">
        <v>1639</v>
      </c>
      <c r="T96" s="1182" t="s">
        <v>1814</v>
      </c>
      <c r="U96" s="1182" t="s">
        <v>1815</v>
      </c>
      <c r="V96" s="1182">
        <v>0</v>
      </c>
      <c r="W96" s="1182">
        <v>0</v>
      </c>
      <c r="X96" s="1182">
        <v>0</v>
      </c>
      <c r="Y96" s="1183">
        <v>316123</v>
      </c>
      <c r="Z96" s="1182" t="s">
        <v>1816</v>
      </c>
      <c r="AA96" s="1182" t="s">
        <v>1817</v>
      </c>
      <c r="AB96" s="1182">
        <v>316123</v>
      </c>
      <c r="AC96" s="1182" t="s">
        <v>1912</v>
      </c>
      <c r="AD96" s="1182" t="s">
        <v>1579</v>
      </c>
      <c r="AE96" s="1182">
        <v>316123</v>
      </c>
      <c r="AF96" s="1182" t="s">
        <v>1819</v>
      </c>
      <c r="AG96" s="1182" t="s">
        <v>1820</v>
      </c>
      <c r="AH96" s="1182">
        <v>28738</v>
      </c>
      <c r="AI96" s="1182">
        <v>287385</v>
      </c>
      <c r="AJ96" s="1182" t="s">
        <v>1924</v>
      </c>
      <c r="AL96" s="1186" t="s">
        <v>1925</v>
      </c>
      <c r="AM96" s="1182">
        <v>1</v>
      </c>
      <c r="AN96" s="1182">
        <v>0</v>
      </c>
      <c r="AO96" s="1182">
        <v>0</v>
      </c>
      <c r="AP96" s="1182" t="s">
        <v>1926</v>
      </c>
      <c r="AQ96" s="1182" t="s">
        <v>1639</v>
      </c>
      <c r="AS96" s="1186" t="s">
        <v>1819</v>
      </c>
      <c r="AT96" s="1186" t="s">
        <v>1820</v>
      </c>
      <c r="AV96" s="1183">
        <v>316123</v>
      </c>
      <c r="AW96" s="1183">
        <v>0</v>
      </c>
      <c r="AX96" s="1183">
        <v>0</v>
      </c>
      <c r="AY96" s="1538">
        <v>316123</v>
      </c>
      <c r="AZ96" s="1183">
        <v>0</v>
      </c>
      <c r="BA96" s="1183">
        <v>0</v>
      </c>
      <c r="BB96" s="1540">
        <v>0</v>
      </c>
      <c r="BC96" s="1540">
        <v>316123</v>
      </c>
      <c r="BD96" s="1540">
        <v>0</v>
      </c>
      <c r="BF96" s="1539">
        <f t="shared" si="38"/>
        <v>287385</v>
      </c>
      <c r="BG96" s="1539">
        <f t="shared" si="39"/>
        <v>0</v>
      </c>
      <c r="BH96" s="1539">
        <f t="shared" si="40"/>
        <v>0</v>
      </c>
      <c r="BI96" s="1539">
        <f t="shared" si="41"/>
        <v>287385</v>
      </c>
      <c r="BJ96" s="1539">
        <f t="shared" si="42"/>
        <v>0</v>
      </c>
      <c r="BK96" s="1539">
        <f t="shared" si="47"/>
        <v>0</v>
      </c>
      <c r="BL96" s="1539">
        <f t="shared" si="43"/>
        <v>0</v>
      </c>
      <c r="BM96" s="1539">
        <f t="shared" si="44"/>
        <v>287385</v>
      </c>
      <c r="BO96" s="1183"/>
      <c r="BQ96" s="1182">
        <f t="shared" si="45"/>
        <v>-0.45454545452957973</v>
      </c>
      <c r="BR96" s="1182">
        <f t="shared" si="46"/>
        <v>0</v>
      </c>
      <c r="BS96" s="1182">
        <f t="shared" si="37"/>
        <v>0</v>
      </c>
      <c r="BT96" s="1182">
        <f t="shared" si="37"/>
        <v>0</v>
      </c>
    </row>
    <row r="97" spans="1:72" ht="13.5" customHeight="1">
      <c r="A97" s="1182" t="s">
        <v>1803</v>
      </c>
      <c r="B97" s="1182" t="s">
        <v>1804</v>
      </c>
      <c r="C97" s="1182" t="s">
        <v>1639</v>
      </c>
      <c r="D97" s="1182" t="s">
        <v>1920</v>
      </c>
      <c r="E97" s="1182" t="s">
        <v>1921</v>
      </c>
      <c r="F97" s="1182" t="s">
        <v>1927</v>
      </c>
      <c r="G97" s="1182" t="s">
        <v>1927</v>
      </c>
      <c r="H97" s="1182" t="s">
        <v>1928</v>
      </c>
      <c r="I97" s="1182" t="s">
        <v>1809</v>
      </c>
      <c r="J97" s="1182" t="s">
        <v>1929</v>
      </c>
      <c r="K97" s="1182" t="s">
        <v>1811</v>
      </c>
      <c r="L97" s="1182" t="s">
        <v>1812</v>
      </c>
      <c r="M97" s="1182" t="s">
        <v>1803</v>
      </c>
      <c r="N97" s="1182" t="s">
        <v>1911</v>
      </c>
      <c r="O97" s="1182" t="s">
        <v>1554</v>
      </c>
      <c r="P97" s="1182" t="s">
        <v>1575</v>
      </c>
      <c r="Q97" s="1182" t="s">
        <v>1574</v>
      </c>
      <c r="R97" s="1182" t="s">
        <v>1579</v>
      </c>
      <c r="S97" s="1182" t="s">
        <v>1639</v>
      </c>
      <c r="T97" s="1182" t="s">
        <v>1814</v>
      </c>
      <c r="U97" s="1182" t="s">
        <v>1815</v>
      </c>
      <c r="V97" s="1182">
        <v>0</v>
      </c>
      <c r="W97" s="1182">
        <v>0</v>
      </c>
      <c r="X97" s="1182">
        <v>0</v>
      </c>
      <c r="Y97" s="1183">
        <v>586299</v>
      </c>
      <c r="Z97" s="1182" t="s">
        <v>1816</v>
      </c>
      <c r="AA97" s="1182" t="s">
        <v>1817</v>
      </c>
      <c r="AB97" s="1182">
        <v>586299</v>
      </c>
      <c r="AC97" s="1182" t="s">
        <v>1912</v>
      </c>
      <c r="AD97" s="1182" t="s">
        <v>1579</v>
      </c>
      <c r="AE97" s="1182">
        <v>586299</v>
      </c>
      <c r="AF97" s="1182" t="s">
        <v>1930</v>
      </c>
      <c r="AG97" s="1182" t="s">
        <v>1820</v>
      </c>
      <c r="AH97" s="1182">
        <v>53299</v>
      </c>
      <c r="AI97" s="1182">
        <v>533000</v>
      </c>
      <c r="AJ97" s="1182" t="s">
        <v>1924</v>
      </c>
      <c r="AL97" s="1186" t="s">
        <v>1931</v>
      </c>
      <c r="AM97" s="1182">
        <v>2</v>
      </c>
      <c r="AN97" s="1182">
        <v>17</v>
      </c>
      <c r="AO97" s="1182">
        <v>10</v>
      </c>
      <c r="AP97" s="1182" t="s">
        <v>1932</v>
      </c>
      <c r="AQ97" s="1182" t="s">
        <v>1639</v>
      </c>
      <c r="AS97" s="1186">
        <v>17</v>
      </c>
      <c r="AT97" s="1186">
        <v>10</v>
      </c>
      <c r="AV97" s="1183">
        <v>586299</v>
      </c>
      <c r="AW97" s="1183">
        <v>0</v>
      </c>
      <c r="AX97" s="1183">
        <v>0</v>
      </c>
      <c r="AY97" s="1538">
        <v>586299</v>
      </c>
      <c r="AZ97" s="1183">
        <v>0</v>
      </c>
      <c r="BA97" s="1183">
        <v>0</v>
      </c>
      <c r="BB97" s="1540">
        <v>0</v>
      </c>
      <c r="BC97" s="1540">
        <v>586299</v>
      </c>
      <c r="BD97" s="1540">
        <v>0</v>
      </c>
      <c r="BF97" s="1539">
        <f t="shared" si="38"/>
        <v>532999</v>
      </c>
      <c r="BG97" s="1539">
        <f t="shared" si="39"/>
        <v>0</v>
      </c>
      <c r="BH97" s="1539">
        <f t="shared" si="40"/>
        <v>0</v>
      </c>
      <c r="BI97" s="1539">
        <f t="shared" si="41"/>
        <v>532999</v>
      </c>
      <c r="BJ97" s="1539">
        <f t="shared" si="42"/>
        <v>0</v>
      </c>
      <c r="BK97" s="1539">
        <f t="shared" si="47"/>
        <v>0</v>
      </c>
      <c r="BL97" s="1539">
        <f t="shared" si="43"/>
        <v>0</v>
      </c>
      <c r="BM97" s="1539">
        <f t="shared" si="44"/>
        <v>532999</v>
      </c>
      <c r="BO97" s="1183"/>
      <c r="BQ97" s="1182">
        <f t="shared" si="45"/>
        <v>9.0909090940840542E-2</v>
      </c>
      <c r="BR97" s="1182">
        <f t="shared" si="46"/>
        <v>0</v>
      </c>
      <c r="BS97" s="1182">
        <f t="shared" si="37"/>
        <v>0</v>
      </c>
      <c r="BT97" s="1182">
        <f t="shared" si="37"/>
        <v>0</v>
      </c>
    </row>
    <row r="98" spans="1:72" ht="13.5" customHeight="1">
      <c r="A98" s="1182" t="s">
        <v>1803</v>
      </c>
      <c r="B98" s="1182" t="s">
        <v>1804</v>
      </c>
      <c r="C98" s="1182" t="s">
        <v>1639</v>
      </c>
      <c r="D98" s="1182" t="s">
        <v>1933</v>
      </c>
      <c r="E98" s="1182" t="s">
        <v>1934</v>
      </c>
      <c r="F98" s="1182" t="s">
        <v>1972</v>
      </c>
      <c r="G98" s="1182" t="s">
        <v>1972</v>
      </c>
      <c r="H98" s="1182" t="s">
        <v>1936</v>
      </c>
      <c r="I98" s="1182" t="s">
        <v>1937</v>
      </c>
      <c r="J98" s="1182" t="s">
        <v>1973</v>
      </c>
      <c r="K98" s="1182" t="s">
        <v>1811</v>
      </c>
      <c r="L98" s="1182" t="s">
        <v>1812</v>
      </c>
      <c r="M98" s="1182" t="s">
        <v>1803</v>
      </c>
      <c r="N98" s="1182" t="s">
        <v>1939</v>
      </c>
      <c r="O98" s="1182" t="s">
        <v>1554</v>
      </c>
      <c r="P98" s="1182" t="s">
        <v>1575</v>
      </c>
      <c r="Q98" s="1182" t="s">
        <v>1574</v>
      </c>
      <c r="R98" s="1182" t="s">
        <v>1573</v>
      </c>
      <c r="S98" s="1182" t="s">
        <v>1577</v>
      </c>
      <c r="T98" s="1182" t="s">
        <v>1814</v>
      </c>
      <c r="U98" s="1182" t="s">
        <v>1815</v>
      </c>
      <c r="V98" s="1182">
        <v>0</v>
      </c>
      <c r="W98" s="1182">
        <v>0</v>
      </c>
      <c r="X98" s="1182">
        <v>0</v>
      </c>
      <c r="Y98" s="1183">
        <v>300</v>
      </c>
      <c r="Z98" s="1182" t="s">
        <v>1940</v>
      </c>
      <c r="AA98" s="1182" t="s">
        <v>1941</v>
      </c>
      <c r="AB98" s="1182">
        <v>300</v>
      </c>
      <c r="AC98" s="1182" t="s">
        <v>1942</v>
      </c>
      <c r="AD98" s="1182" t="s">
        <v>1577</v>
      </c>
      <c r="AE98" s="1182">
        <v>300</v>
      </c>
      <c r="AF98" s="1182" t="s">
        <v>1943</v>
      </c>
      <c r="AG98" s="1182" t="s">
        <v>1944</v>
      </c>
      <c r="AH98" s="1182">
        <v>0</v>
      </c>
      <c r="AI98" s="1182">
        <v>300</v>
      </c>
      <c r="AJ98" s="1182" t="s">
        <v>1974</v>
      </c>
      <c r="AL98" s="1186" t="s">
        <v>1975</v>
      </c>
      <c r="AM98" s="1182">
        <v>1</v>
      </c>
      <c r="AN98" s="1182">
        <v>0</v>
      </c>
      <c r="AO98" s="1182">
        <v>0</v>
      </c>
      <c r="AP98" s="1182">
        <v>0</v>
      </c>
      <c r="AQ98" s="1182" t="s">
        <v>1639</v>
      </c>
      <c r="AS98" s="1186" t="s">
        <v>1943</v>
      </c>
      <c r="AT98" s="1186" t="s">
        <v>1944</v>
      </c>
      <c r="AV98" s="1183">
        <v>138</v>
      </c>
      <c r="AW98" s="1183">
        <v>0</v>
      </c>
      <c r="AX98" s="1183">
        <v>0</v>
      </c>
      <c r="AY98" s="1538">
        <v>138</v>
      </c>
      <c r="AZ98" s="1183">
        <v>0</v>
      </c>
      <c r="BA98" s="1183">
        <v>162</v>
      </c>
      <c r="BB98" s="1540">
        <v>162</v>
      </c>
      <c r="BC98" s="1540">
        <v>300</v>
      </c>
      <c r="BD98" s="1540">
        <v>0</v>
      </c>
      <c r="BF98" s="1539">
        <f t="shared" si="38"/>
        <v>138</v>
      </c>
      <c r="BG98" s="1539">
        <f t="shared" si="39"/>
        <v>0</v>
      </c>
      <c r="BH98" s="1539">
        <f t="shared" si="40"/>
        <v>0</v>
      </c>
      <c r="BI98" s="1539">
        <f t="shared" si="41"/>
        <v>138</v>
      </c>
      <c r="BJ98" s="1539">
        <f t="shared" si="42"/>
        <v>0</v>
      </c>
      <c r="BK98" s="1539">
        <f t="shared" si="47"/>
        <v>162</v>
      </c>
      <c r="BL98" s="1539">
        <f t="shared" si="43"/>
        <v>162</v>
      </c>
      <c r="BM98" s="1539">
        <f t="shared" si="44"/>
        <v>300</v>
      </c>
      <c r="BO98" s="1183"/>
      <c r="BQ98" s="1182">
        <f t="shared" si="45"/>
        <v>0</v>
      </c>
      <c r="BR98" s="1182">
        <f t="shared" si="46"/>
        <v>0</v>
      </c>
      <c r="BS98" s="1182">
        <f t="shared" si="37"/>
        <v>0</v>
      </c>
      <c r="BT98" s="1182">
        <f t="shared" si="37"/>
        <v>0</v>
      </c>
    </row>
    <row r="99" spans="1:72" ht="13.5" customHeight="1">
      <c r="A99" s="1182" t="s">
        <v>1803</v>
      </c>
      <c r="B99" s="1182" t="s">
        <v>1804</v>
      </c>
      <c r="C99" s="1182" t="s">
        <v>1639</v>
      </c>
      <c r="D99" s="1182" t="s">
        <v>1933</v>
      </c>
      <c r="E99" s="1182" t="s">
        <v>1934</v>
      </c>
      <c r="F99" s="1182" t="s">
        <v>1972</v>
      </c>
      <c r="G99" s="1182" t="s">
        <v>1972</v>
      </c>
      <c r="H99" s="1182" t="s">
        <v>1936</v>
      </c>
      <c r="I99" s="1182" t="s">
        <v>1937</v>
      </c>
      <c r="J99" s="1182" t="s">
        <v>1973</v>
      </c>
      <c r="K99" s="1182" t="s">
        <v>1811</v>
      </c>
      <c r="L99" s="1182" t="s">
        <v>1956</v>
      </c>
      <c r="M99" s="1182" t="s">
        <v>1803</v>
      </c>
      <c r="N99" s="1182" t="s">
        <v>1939</v>
      </c>
      <c r="O99" s="1182" t="s">
        <v>1554</v>
      </c>
      <c r="P99" s="1182" t="s">
        <v>1575</v>
      </c>
      <c r="Q99" s="1182" t="s">
        <v>1574</v>
      </c>
      <c r="R99" s="1182" t="s">
        <v>1573</v>
      </c>
      <c r="S99" s="1182" t="s">
        <v>1577</v>
      </c>
      <c r="T99" s="1182" t="s">
        <v>1814</v>
      </c>
      <c r="U99" s="1182" t="s">
        <v>1815</v>
      </c>
      <c r="V99" s="1182">
        <v>0</v>
      </c>
      <c r="W99" s="1182">
        <v>0</v>
      </c>
      <c r="X99" s="1182">
        <v>0</v>
      </c>
      <c r="Y99" s="1183">
        <v>300</v>
      </c>
      <c r="Z99" s="1182" t="s">
        <v>1940</v>
      </c>
      <c r="AA99" s="1182" t="s">
        <v>1941</v>
      </c>
      <c r="AB99" s="1182">
        <v>300</v>
      </c>
      <c r="AC99" s="1182" t="s">
        <v>1942</v>
      </c>
      <c r="AD99" s="1182" t="s">
        <v>1577</v>
      </c>
      <c r="AE99" s="1182">
        <v>300</v>
      </c>
      <c r="AF99" s="1182" t="s">
        <v>1943</v>
      </c>
      <c r="AG99" s="1182" t="s">
        <v>1944</v>
      </c>
      <c r="AH99" s="1182">
        <v>0</v>
      </c>
      <c r="AI99" s="1182">
        <v>300</v>
      </c>
      <c r="AJ99" s="1182" t="s">
        <v>1976</v>
      </c>
      <c r="AL99" s="1186" t="s">
        <v>1977</v>
      </c>
      <c r="AM99" s="1182">
        <v>1</v>
      </c>
      <c r="AN99" s="1182">
        <v>0</v>
      </c>
      <c r="AO99" s="1182">
        <v>0</v>
      </c>
      <c r="AP99" s="1182">
        <v>0</v>
      </c>
      <c r="AQ99" s="1182" t="s">
        <v>1639</v>
      </c>
      <c r="AS99" s="1186" t="s">
        <v>1943</v>
      </c>
      <c r="AT99" s="1186" t="s">
        <v>1944</v>
      </c>
      <c r="AV99" s="1183">
        <v>138</v>
      </c>
      <c r="AW99" s="1183">
        <v>0</v>
      </c>
      <c r="AX99" s="1183">
        <v>0</v>
      </c>
      <c r="AY99" s="1538">
        <v>138</v>
      </c>
      <c r="AZ99" s="1183">
        <v>0</v>
      </c>
      <c r="BA99" s="1183">
        <v>162</v>
      </c>
      <c r="BB99" s="1540">
        <v>162</v>
      </c>
      <c r="BC99" s="1540">
        <v>300</v>
      </c>
      <c r="BD99" s="1540">
        <v>0</v>
      </c>
      <c r="BF99" s="1539">
        <f t="shared" si="38"/>
        <v>138</v>
      </c>
      <c r="BG99" s="1539">
        <f t="shared" si="39"/>
        <v>0</v>
      </c>
      <c r="BH99" s="1539">
        <f t="shared" si="40"/>
        <v>0</v>
      </c>
      <c r="BI99" s="1539">
        <f t="shared" si="41"/>
        <v>138</v>
      </c>
      <c r="BJ99" s="1539">
        <f t="shared" si="42"/>
        <v>0</v>
      </c>
      <c r="BK99" s="1539">
        <f t="shared" si="47"/>
        <v>162</v>
      </c>
      <c r="BL99" s="1539">
        <f t="shared" si="43"/>
        <v>162</v>
      </c>
      <c r="BM99" s="1539">
        <f t="shared" si="44"/>
        <v>300</v>
      </c>
      <c r="BO99" s="1183"/>
      <c r="BQ99" s="1182">
        <f t="shared" si="45"/>
        <v>0</v>
      </c>
      <c r="BR99" s="1182">
        <f t="shared" si="46"/>
        <v>0</v>
      </c>
      <c r="BS99" s="1182">
        <f t="shared" si="37"/>
        <v>0</v>
      </c>
      <c r="BT99" s="1182">
        <f t="shared" si="37"/>
        <v>0</v>
      </c>
    </row>
    <row r="100" spans="1:72" ht="13.5" customHeight="1">
      <c r="A100" s="1182" t="s">
        <v>1803</v>
      </c>
      <c r="B100" s="1182" t="s">
        <v>1804</v>
      </c>
      <c r="C100" s="1182" t="s">
        <v>1639</v>
      </c>
      <c r="D100" s="1182" t="s">
        <v>1933</v>
      </c>
      <c r="E100" s="1182" t="s">
        <v>1934</v>
      </c>
      <c r="F100" s="1182" t="s">
        <v>1972</v>
      </c>
      <c r="G100" s="1182" t="s">
        <v>1972</v>
      </c>
      <c r="H100" s="1182" t="s">
        <v>1936</v>
      </c>
      <c r="I100" s="1182" t="s">
        <v>1937</v>
      </c>
      <c r="J100" s="1182" t="s">
        <v>1973</v>
      </c>
      <c r="K100" s="1182" t="s">
        <v>1811</v>
      </c>
      <c r="L100" s="1182" t="s">
        <v>1978</v>
      </c>
      <c r="M100" s="1182" t="s">
        <v>1803</v>
      </c>
      <c r="N100" s="1182" t="s">
        <v>1939</v>
      </c>
      <c r="O100" s="1182" t="s">
        <v>1554</v>
      </c>
      <c r="P100" s="1182" t="s">
        <v>1575</v>
      </c>
      <c r="Q100" s="1182" t="s">
        <v>1574</v>
      </c>
      <c r="R100" s="1182" t="s">
        <v>1573</v>
      </c>
      <c r="S100" s="1182" t="s">
        <v>1577</v>
      </c>
      <c r="T100" s="1182" t="s">
        <v>1814</v>
      </c>
      <c r="U100" s="1182" t="s">
        <v>1815</v>
      </c>
      <c r="V100" s="1182">
        <v>0</v>
      </c>
      <c r="W100" s="1182">
        <v>0</v>
      </c>
      <c r="X100" s="1182">
        <v>0</v>
      </c>
      <c r="Y100" s="1183">
        <v>600</v>
      </c>
      <c r="Z100" s="1182" t="s">
        <v>1940</v>
      </c>
      <c r="AA100" s="1182" t="s">
        <v>1941</v>
      </c>
      <c r="AB100" s="1182">
        <v>600</v>
      </c>
      <c r="AC100" s="1182" t="s">
        <v>1942</v>
      </c>
      <c r="AD100" s="1182" t="s">
        <v>1577</v>
      </c>
      <c r="AE100" s="1182">
        <v>600</v>
      </c>
      <c r="AF100" s="1182" t="s">
        <v>1943</v>
      </c>
      <c r="AG100" s="1182" t="s">
        <v>1944</v>
      </c>
      <c r="AH100" s="1182">
        <v>0</v>
      </c>
      <c r="AI100" s="1182">
        <v>600</v>
      </c>
      <c r="AJ100" s="1182" t="s">
        <v>1979</v>
      </c>
      <c r="AL100" s="1186" t="s">
        <v>1980</v>
      </c>
      <c r="AM100" s="1182">
        <v>1</v>
      </c>
      <c r="AN100" s="1182">
        <v>0</v>
      </c>
      <c r="AO100" s="1182">
        <v>0</v>
      </c>
      <c r="AP100" s="1182">
        <v>0</v>
      </c>
      <c r="AQ100" s="1182" t="s">
        <v>1639</v>
      </c>
      <c r="AS100" s="1186" t="s">
        <v>1943</v>
      </c>
      <c r="AT100" s="1186" t="s">
        <v>1944</v>
      </c>
      <c r="AV100" s="1183">
        <v>276</v>
      </c>
      <c r="AW100" s="1183">
        <v>0</v>
      </c>
      <c r="AX100" s="1183">
        <v>0</v>
      </c>
      <c r="AY100" s="1538">
        <v>276</v>
      </c>
      <c r="AZ100" s="1183">
        <v>0</v>
      </c>
      <c r="BA100" s="1183">
        <v>324</v>
      </c>
      <c r="BB100" s="1540">
        <v>324</v>
      </c>
      <c r="BC100" s="1540">
        <v>600</v>
      </c>
      <c r="BD100" s="1540">
        <v>0</v>
      </c>
      <c r="BF100" s="1539">
        <f t="shared" si="38"/>
        <v>276</v>
      </c>
      <c r="BG100" s="1539">
        <f t="shared" si="39"/>
        <v>0</v>
      </c>
      <c r="BH100" s="1539">
        <f t="shared" si="40"/>
        <v>0</v>
      </c>
      <c r="BI100" s="1539">
        <f t="shared" si="41"/>
        <v>276</v>
      </c>
      <c r="BJ100" s="1539">
        <f t="shared" si="42"/>
        <v>0</v>
      </c>
      <c r="BK100" s="1539">
        <f t="shared" si="47"/>
        <v>324</v>
      </c>
      <c r="BL100" s="1539">
        <f t="shared" si="43"/>
        <v>324</v>
      </c>
      <c r="BM100" s="1539">
        <f t="shared" si="44"/>
        <v>600</v>
      </c>
      <c r="BO100" s="1183"/>
      <c r="BQ100" s="1182">
        <f t="shared" si="45"/>
        <v>0</v>
      </c>
      <c r="BR100" s="1182">
        <f t="shared" si="46"/>
        <v>0</v>
      </c>
      <c r="BS100" s="1182">
        <f t="shared" si="37"/>
        <v>0</v>
      </c>
      <c r="BT100" s="1182">
        <f t="shared" si="37"/>
        <v>0</v>
      </c>
    </row>
    <row r="101" spans="1:72" ht="13.5" customHeight="1">
      <c r="A101" s="1182" t="s">
        <v>1803</v>
      </c>
      <c r="B101" s="1182" t="s">
        <v>1804</v>
      </c>
      <c r="C101" s="1182" t="s">
        <v>1639</v>
      </c>
      <c r="D101" s="1182" t="s">
        <v>1933</v>
      </c>
      <c r="E101" s="1182" t="s">
        <v>1934</v>
      </c>
      <c r="F101" s="1182" t="s">
        <v>1972</v>
      </c>
      <c r="G101" s="1182" t="s">
        <v>1972</v>
      </c>
      <c r="H101" s="1182" t="s">
        <v>1936</v>
      </c>
      <c r="I101" s="1182" t="s">
        <v>1937</v>
      </c>
      <c r="J101" s="1182" t="s">
        <v>1973</v>
      </c>
      <c r="K101" s="1182" t="s">
        <v>1811</v>
      </c>
      <c r="L101" s="1182" t="s">
        <v>1981</v>
      </c>
      <c r="M101" s="1182" t="s">
        <v>1803</v>
      </c>
      <c r="N101" s="1182" t="s">
        <v>1939</v>
      </c>
      <c r="O101" s="1182" t="s">
        <v>1554</v>
      </c>
      <c r="P101" s="1182" t="s">
        <v>1575</v>
      </c>
      <c r="Q101" s="1182" t="s">
        <v>1574</v>
      </c>
      <c r="R101" s="1182" t="s">
        <v>1573</v>
      </c>
      <c r="S101" s="1182" t="s">
        <v>1577</v>
      </c>
      <c r="T101" s="1182" t="s">
        <v>1814</v>
      </c>
      <c r="U101" s="1182" t="s">
        <v>1815</v>
      </c>
      <c r="V101" s="1182">
        <v>0</v>
      </c>
      <c r="W101" s="1182">
        <v>0</v>
      </c>
      <c r="X101" s="1182">
        <v>0</v>
      </c>
      <c r="Y101" s="1183">
        <v>200</v>
      </c>
      <c r="Z101" s="1182" t="s">
        <v>1940</v>
      </c>
      <c r="AA101" s="1182" t="s">
        <v>1941</v>
      </c>
      <c r="AB101" s="1182">
        <v>200</v>
      </c>
      <c r="AC101" s="1182" t="s">
        <v>1942</v>
      </c>
      <c r="AD101" s="1182" t="s">
        <v>1577</v>
      </c>
      <c r="AE101" s="1182">
        <v>200</v>
      </c>
      <c r="AF101" s="1182" t="s">
        <v>1943</v>
      </c>
      <c r="AG101" s="1182" t="s">
        <v>1944</v>
      </c>
      <c r="AH101" s="1182">
        <v>0</v>
      </c>
      <c r="AI101" s="1182">
        <v>200</v>
      </c>
      <c r="AJ101" s="1182" t="s">
        <v>1982</v>
      </c>
      <c r="AL101" s="1186" t="s">
        <v>1983</v>
      </c>
      <c r="AM101" s="1182">
        <v>1</v>
      </c>
      <c r="AN101" s="1182">
        <v>0</v>
      </c>
      <c r="AO101" s="1182">
        <v>0</v>
      </c>
      <c r="AP101" s="1182">
        <v>0</v>
      </c>
      <c r="AQ101" s="1182" t="s">
        <v>1639</v>
      </c>
      <c r="AS101" s="1186" t="s">
        <v>1943</v>
      </c>
      <c r="AT101" s="1186" t="s">
        <v>1944</v>
      </c>
      <c r="AV101" s="1183">
        <v>92</v>
      </c>
      <c r="AW101" s="1183">
        <v>0</v>
      </c>
      <c r="AX101" s="1183">
        <v>0</v>
      </c>
      <c r="AY101" s="1538">
        <v>92</v>
      </c>
      <c r="AZ101" s="1183">
        <v>0</v>
      </c>
      <c r="BA101" s="1183">
        <v>108</v>
      </c>
      <c r="BB101" s="1540">
        <v>108</v>
      </c>
      <c r="BC101" s="1540">
        <v>200</v>
      </c>
      <c r="BD101" s="1540">
        <v>0</v>
      </c>
      <c r="BF101" s="1539">
        <f t="shared" si="38"/>
        <v>92</v>
      </c>
      <c r="BG101" s="1539">
        <f t="shared" si="39"/>
        <v>0</v>
      </c>
      <c r="BH101" s="1539">
        <f t="shared" si="40"/>
        <v>0</v>
      </c>
      <c r="BI101" s="1539">
        <f t="shared" si="41"/>
        <v>92</v>
      </c>
      <c r="BJ101" s="1539">
        <f t="shared" si="42"/>
        <v>0</v>
      </c>
      <c r="BK101" s="1539">
        <f t="shared" si="47"/>
        <v>108</v>
      </c>
      <c r="BL101" s="1539">
        <f t="shared" si="43"/>
        <v>108</v>
      </c>
      <c r="BM101" s="1539">
        <f t="shared" si="44"/>
        <v>200</v>
      </c>
      <c r="BO101" s="1183"/>
      <c r="BQ101" s="1182">
        <f t="shared" si="45"/>
        <v>0</v>
      </c>
      <c r="BR101" s="1182">
        <f t="shared" si="46"/>
        <v>0</v>
      </c>
      <c r="BS101" s="1182">
        <f t="shared" si="37"/>
        <v>0</v>
      </c>
      <c r="BT101" s="1182">
        <f t="shared" si="37"/>
        <v>0</v>
      </c>
    </row>
    <row r="102" spans="1:72" ht="13.5" customHeight="1">
      <c r="A102" s="1182" t="s">
        <v>1803</v>
      </c>
      <c r="B102" s="1182" t="s">
        <v>1804</v>
      </c>
      <c r="C102" s="1182" t="s">
        <v>1639</v>
      </c>
      <c r="D102" s="1182" t="s">
        <v>1933</v>
      </c>
      <c r="E102" s="1182" t="s">
        <v>1934</v>
      </c>
      <c r="F102" s="1182" t="s">
        <v>1935</v>
      </c>
      <c r="G102" s="1182" t="s">
        <v>1935</v>
      </c>
      <c r="H102" s="1182" t="s">
        <v>1936</v>
      </c>
      <c r="I102" s="1182" t="s">
        <v>1937</v>
      </c>
      <c r="J102" s="1182" t="s">
        <v>1938</v>
      </c>
      <c r="K102" s="1182" t="s">
        <v>1811</v>
      </c>
      <c r="L102" s="1182" t="s">
        <v>1812</v>
      </c>
      <c r="M102" s="1182" t="s">
        <v>1803</v>
      </c>
      <c r="N102" s="1182" t="s">
        <v>1939</v>
      </c>
      <c r="O102" s="1182" t="s">
        <v>1554</v>
      </c>
      <c r="P102" s="1182" t="s">
        <v>1575</v>
      </c>
      <c r="Q102" s="1182" t="s">
        <v>1574</v>
      </c>
      <c r="R102" s="1182" t="s">
        <v>1573</v>
      </c>
      <c r="S102" s="1182" t="s">
        <v>1577</v>
      </c>
      <c r="T102" s="1182" t="s">
        <v>1814</v>
      </c>
      <c r="U102" s="1182" t="s">
        <v>1815</v>
      </c>
      <c r="V102" s="1182">
        <v>0</v>
      </c>
      <c r="W102" s="1182">
        <v>0</v>
      </c>
      <c r="X102" s="1182">
        <v>0</v>
      </c>
      <c r="Y102" s="1183">
        <v>600</v>
      </c>
      <c r="Z102" s="1182" t="s">
        <v>1940</v>
      </c>
      <c r="AA102" s="1182" t="s">
        <v>1941</v>
      </c>
      <c r="AB102" s="1182">
        <v>600</v>
      </c>
      <c r="AC102" s="1182" t="s">
        <v>1942</v>
      </c>
      <c r="AD102" s="1182" t="s">
        <v>1577</v>
      </c>
      <c r="AE102" s="1182">
        <v>600</v>
      </c>
      <c r="AF102" s="1182" t="s">
        <v>1943</v>
      </c>
      <c r="AG102" s="1182" t="s">
        <v>1944</v>
      </c>
      <c r="AH102" s="1182">
        <v>0</v>
      </c>
      <c r="AI102" s="1182">
        <v>600</v>
      </c>
      <c r="AJ102" s="1182" t="s">
        <v>1945</v>
      </c>
      <c r="AL102" s="1186" t="s">
        <v>1946</v>
      </c>
      <c r="AM102" s="1182">
        <v>1</v>
      </c>
      <c r="AN102" s="1182">
        <v>0</v>
      </c>
      <c r="AO102" s="1182">
        <v>0</v>
      </c>
      <c r="AP102" s="1182">
        <v>0</v>
      </c>
      <c r="AQ102" s="1182" t="s">
        <v>1639</v>
      </c>
      <c r="AS102" s="1186" t="s">
        <v>1943</v>
      </c>
      <c r="AT102" s="1186" t="s">
        <v>1944</v>
      </c>
      <c r="AV102" s="1183">
        <v>276</v>
      </c>
      <c r="AW102" s="1183">
        <v>0</v>
      </c>
      <c r="AX102" s="1183">
        <v>0</v>
      </c>
      <c r="AY102" s="1538">
        <v>276</v>
      </c>
      <c r="AZ102" s="1183">
        <v>0</v>
      </c>
      <c r="BA102" s="1183">
        <v>324</v>
      </c>
      <c r="BB102" s="1540">
        <v>324</v>
      </c>
      <c r="BC102" s="1540">
        <v>600</v>
      </c>
      <c r="BD102" s="1540">
        <v>0</v>
      </c>
      <c r="BF102" s="1539">
        <f t="shared" si="38"/>
        <v>276</v>
      </c>
      <c r="BG102" s="1539">
        <f t="shared" si="39"/>
        <v>0</v>
      </c>
      <c r="BH102" s="1539">
        <f t="shared" si="40"/>
        <v>0</v>
      </c>
      <c r="BI102" s="1539">
        <f t="shared" si="41"/>
        <v>276</v>
      </c>
      <c r="BJ102" s="1539">
        <f t="shared" si="42"/>
        <v>0</v>
      </c>
      <c r="BK102" s="1539">
        <f t="shared" si="47"/>
        <v>324</v>
      </c>
      <c r="BL102" s="1539">
        <f t="shared" si="43"/>
        <v>324</v>
      </c>
      <c r="BM102" s="1539">
        <f t="shared" si="44"/>
        <v>600</v>
      </c>
      <c r="BO102" s="1183"/>
      <c r="BQ102" s="1182">
        <f t="shared" si="45"/>
        <v>0</v>
      </c>
      <c r="BR102" s="1182">
        <f t="shared" si="46"/>
        <v>0</v>
      </c>
      <c r="BS102" s="1182">
        <f t="shared" si="37"/>
        <v>0</v>
      </c>
      <c r="BT102" s="1182">
        <f t="shared" si="37"/>
        <v>0</v>
      </c>
    </row>
    <row r="103" spans="1:72" ht="13.5" customHeight="1">
      <c r="A103" s="1182" t="s">
        <v>1803</v>
      </c>
      <c r="B103" s="1182" t="s">
        <v>1804</v>
      </c>
      <c r="C103" s="1182" t="s">
        <v>1639</v>
      </c>
      <c r="D103" s="1182" t="s">
        <v>1967</v>
      </c>
      <c r="E103" s="1182" t="s">
        <v>1968</v>
      </c>
      <c r="F103" s="1182" t="s">
        <v>1969</v>
      </c>
      <c r="G103" s="1182" t="s">
        <v>1969</v>
      </c>
      <c r="H103" s="1182" t="s">
        <v>1936</v>
      </c>
      <c r="I103" s="1182" t="s">
        <v>1937</v>
      </c>
      <c r="J103" s="1182" t="s">
        <v>1970</v>
      </c>
      <c r="K103" s="1182" t="s">
        <v>1811</v>
      </c>
      <c r="L103" s="1182" t="s">
        <v>1812</v>
      </c>
      <c r="M103" s="1182" t="s">
        <v>1803</v>
      </c>
      <c r="N103" s="1182" t="s">
        <v>1939</v>
      </c>
      <c r="O103" s="1182" t="s">
        <v>1554</v>
      </c>
      <c r="P103" s="1182" t="s">
        <v>1575</v>
      </c>
      <c r="Q103" s="1182" t="s">
        <v>1574</v>
      </c>
      <c r="R103" s="1182" t="s">
        <v>1573</v>
      </c>
      <c r="S103" s="1182" t="s">
        <v>1577</v>
      </c>
      <c r="T103" s="1182" t="s">
        <v>1814</v>
      </c>
      <c r="U103" s="1182" t="s">
        <v>1815</v>
      </c>
      <c r="V103" s="1182">
        <v>0</v>
      </c>
      <c r="W103" s="1182">
        <v>0</v>
      </c>
      <c r="X103" s="1182">
        <v>0</v>
      </c>
      <c r="Y103" s="1183">
        <v>940</v>
      </c>
      <c r="Z103" s="1182" t="s">
        <v>1940</v>
      </c>
      <c r="AA103" s="1182" t="s">
        <v>1941</v>
      </c>
      <c r="AB103" s="1182">
        <v>940</v>
      </c>
      <c r="AC103" s="1182" t="s">
        <v>1942</v>
      </c>
      <c r="AD103" s="1182" t="s">
        <v>1577</v>
      </c>
      <c r="AE103" s="1182">
        <v>940</v>
      </c>
      <c r="AF103" s="1182" t="s">
        <v>1943</v>
      </c>
      <c r="AG103" s="1182" t="s">
        <v>1944</v>
      </c>
      <c r="AH103" s="1182">
        <v>0</v>
      </c>
      <c r="AI103" s="1182">
        <v>940</v>
      </c>
      <c r="AJ103" s="1182" t="s">
        <v>1639</v>
      </c>
      <c r="AL103" s="1186" t="s">
        <v>1971</v>
      </c>
      <c r="AM103" s="1182">
        <v>1</v>
      </c>
      <c r="AN103" s="1182">
        <v>0</v>
      </c>
      <c r="AO103" s="1182">
        <v>0</v>
      </c>
      <c r="AP103" s="1182">
        <v>0</v>
      </c>
      <c r="AQ103" s="1182" t="s">
        <v>1639</v>
      </c>
      <c r="AS103" s="1186" t="s">
        <v>1943</v>
      </c>
      <c r="AT103" s="1186" t="s">
        <v>1944</v>
      </c>
      <c r="AV103" s="1183">
        <v>432</v>
      </c>
      <c r="AW103" s="1183">
        <v>0</v>
      </c>
      <c r="AX103" s="1183">
        <v>0</v>
      </c>
      <c r="AY103" s="1538">
        <v>432</v>
      </c>
      <c r="AZ103" s="1183">
        <v>0</v>
      </c>
      <c r="BA103" s="1183">
        <v>508</v>
      </c>
      <c r="BB103" s="1540">
        <v>508</v>
      </c>
      <c r="BC103" s="1540">
        <v>940</v>
      </c>
      <c r="BD103" s="1540">
        <v>0</v>
      </c>
      <c r="BF103" s="1539">
        <f t="shared" si="38"/>
        <v>432</v>
      </c>
      <c r="BG103" s="1539">
        <f t="shared" si="39"/>
        <v>0</v>
      </c>
      <c r="BH103" s="1539">
        <f t="shared" si="40"/>
        <v>0</v>
      </c>
      <c r="BI103" s="1539">
        <f t="shared" si="41"/>
        <v>432</v>
      </c>
      <c r="BJ103" s="1539">
        <f t="shared" si="42"/>
        <v>0</v>
      </c>
      <c r="BK103" s="1539">
        <f t="shared" si="47"/>
        <v>508</v>
      </c>
      <c r="BL103" s="1539">
        <f t="shared" si="43"/>
        <v>508</v>
      </c>
      <c r="BM103" s="1539">
        <f t="shared" si="44"/>
        <v>940</v>
      </c>
      <c r="BO103" s="1183"/>
      <c r="BQ103" s="1182">
        <f t="shared" si="45"/>
        <v>0</v>
      </c>
      <c r="BR103" s="1182">
        <f t="shared" si="46"/>
        <v>0</v>
      </c>
      <c r="BS103" s="1182">
        <f t="shared" si="37"/>
        <v>0</v>
      </c>
      <c r="BT103" s="1182">
        <f t="shared" si="37"/>
        <v>0</v>
      </c>
    </row>
    <row r="104" spans="1:72" ht="13.5" customHeight="1">
      <c r="A104" s="1182" t="s">
        <v>1803</v>
      </c>
      <c r="B104" s="1182" t="s">
        <v>1804</v>
      </c>
      <c r="C104" s="1182" t="s">
        <v>1639</v>
      </c>
      <c r="D104" s="1182" t="s">
        <v>1933</v>
      </c>
      <c r="E104" s="1182" t="s">
        <v>1934</v>
      </c>
      <c r="F104" s="1182" t="s">
        <v>1992</v>
      </c>
      <c r="G104" s="1182" t="s">
        <v>1992</v>
      </c>
      <c r="H104" s="1182" t="s">
        <v>1948</v>
      </c>
      <c r="I104" s="1182" t="s">
        <v>1937</v>
      </c>
      <c r="J104" s="1182" t="s">
        <v>1993</v>
      </c>
      <c r="K104" s="1182" t="s">
        <v>1811</v>
      </c>
      <c r="L104" s="1182" t="s">
        <v>1812</v>
      </c>
      <c r="M104" s="1182" t="s">
        <v>1803</v>
      </c>
      <c r="N104" s="1182" t="s">
        <v>1939</v>
      </c>
      <c r="O104" s="1182" t="s">
        <v>1554</v>
      </c>
      <c r="P104" s="1182" t="s">
        <v>1575</v>
      </c>
      <c r="Q104" s="1182" t="s">
        <v>1574</v>
      </c>
      <c r="R104" s="1182" t="s">
        <v>1573</v>
      </c>
      <c r="S104" s="1182" t="s">
        <v>1577</v>
      </c>
      <c r="T104" s="1182" t="s">
        <v>1814</v>
      </c>
      <c r="U104" s="1182" t="s">
        <v>1815</v>
      </c>
      <c r="V104" s="1182">
        <v>0</v>
      </c>
      <c r="W104" s="1182">
        <v>0</v>
      </c>
      <c r="X104" s="1182">
        <v>0</v>
      </c>
      <c r="Y104" s="1183">
        <v>300</v>
      </c>
      <c r="Z104" s="1182" t="s">
        <v>1940</v>
      </c>
      <c r="AA104" s="1182" t="s">
        <v>1941</v>
      </c>
      <c r="AB104" s="1182">
        <v>300</v>
      </c>
      <c r="AC104" s="1182" t="s">
        <v>1942</v>
      </c>
      <c r="AD104" s="1182" t="s">
        <v>1577</v>
      </c>
      <c r="AE104" s="1182">
        <v>300</v>
      </c>
      <c r="AF104" s="1182" t="s">
        <v>1943</v>
      </c>
      <c r="AG104" s="1182" t="s">
        <v>1944</v>
      </c>
      <c r="AH104" s="1182">
        <v>0</v>
      </c>
      <c r="AI104" s="1182">
        <v>300</v>
      </c>
      <c r="AJ104" s="1182" t="s">
        <v>1994</v>
      </c>
      <c r="AL104" s="1186" t="s">
        <v>1995</v>
      </c>
      <c r="AM104" s="1182">
        <v>1</v>
      </c>
      <c r="AN104" s="1182">
        <v>0</v>
      </c>
      <c r="AO104" s="1182">
        <v>0</v>
      </c>
      <c r="AP104" s="1182">
        <v>0</v>
      </c>
      <c r="AQ104" s="1182" t="s">
        <v>1639</v>
      </c>
      <c r="AS104" s="1186" t="s">
        <v>1943</v>
      </c>
      <c r="AT104" s="1186" t="s">
        <v>1944</v>
      </c>
      <c r="AV104" s="1183">
        <v>138</v>
      </c>
      <c r="AW104" s="1183">
        <v>0</v>
      </c>
      <c r="AX104" s="1183">
        <v>0</v>
      </c>
      <c r="AY104" s="1538">
        <v>138</v>
      </c>
      <c r="AZ104" s="1183">
        <v>0</v>
      </c>
      <c r="BA104" s="1183">
        <v>162</v>
      </c>
      <c r="BB104" s="1540">
        <v>162</v>
      </c>
      <c r="BC104" s="1540">
        <v>300</v>
      </c>
      <c r="BD104" s="1540">
        <v>0</v>
      </c>
      <c r="BF104" s="1539">
        <f t="shared" si="38"/>
        <v>138</v>
      </c>
      <c r="BG104" s="1539">
        <f t="shared" si="39"/>
        <v>0</v>
      </c>
      <c r="BH104" s="1539">
        <f t="shared" si="40"/>
        <v>0</v>
      </c>
      <c r="BI104" s="1539">
        <f t="shared" si="41"/>
        <v>138</v>
      </c>
      <c r="BJ104" s="1539">
        <f t="shared" si="42"/>
        <v>0</v>
      </c>
      <c r="BK104" s="1539">
        <f t="shared" si="47"/>
        <v>162</v>
      </c>
      <c r="BL104" s="1539">
        <f t="shared" si="43"/>
        <v>162</v>
      </c>
      <c r="BM104" s="1539">
        <f t="shared" si="44"/>
        <v>300</v>
      </c>
      <c r="BO104" s="1183"/>
      <c r="BQ104" s="1182">
        <f t="shared" si="45"/>
        <v>0</v>
      </c>
      <c r="BR104" s="1182">
        <f t="shared" si="46"/>
        <v>0</v>
      </c>
      <c r="BS104" s="1182">
        <f t="shared" si="37"/>
        <v>0</v>
      </c>
      <c r="BT104" s="1182">
        <f t="shared" si="37"/>
        <v>0</v>
      </c>
    </row>
    <row r="105" spans="1:72" ht="13.5" customHeight="1">
      <c r="A105" s="1182" t="s">
        <v>1803</v>
      </c>
      <c r="B105" s="1182" t="s">
        <v>1804</v>
      </c>
      <c r="C105" s="1182" t="s">
        <v>1639</v>
      </c>
      <c r="D105" s="1182" t="s">
        <v>1933</v>
      </c>
      <c r="E105" s="1182" t="s">
        <v>1934</v>
      </c>
      <c r="F105" s="1182" t="s">
        <v>1984</v>
      </c>
      <c r="G105" s="1182" t="s">
        <v>1984</v>
      </c>
      <c r="H105" s="1182" t="s">
        <v>1948</v>
      </c>
      <c r="I105" s="1182" t="s">
        <v>1937</v>
      </c>
      <c r="J105" s="1182" t="s">
        <v>1985</v>
      </c>
      <c r="K105" s="1182" t="s">
        <v>1811</v>
      </c>
      <c r="L105" s="1182" t="s">
        <v>1812</v>
      </c>
      <c r="M105" s="1182" t="s">
        <v>1803</v>
      </c>
      <c r="N105" s="1182" t="s">
        <v>1939</v>
      </c>
      <c r="O105" s="1182" t="s">
        <v>1554</v>
      </c>
      <c r="P105" s="1182" t="s">
        <v>1575</v>
      </c>
      <c r="Q105" s="1182" t="s">
        <v>1574</v>
      </c>
      <c r="R105" s="1182" t="s">
        <v>1573</v>
      </c>
      <c r="S105" s="1182" t="s">
        <v>1577</v>
      </c>
      <c r="T105" s="1182" t="s">
        <v>1814</v>
      </c>
      <c r="U105" s="1182" t="s">
        <v>1815</v>
      </c>
      <c r="V105" s="1182">
        <v>0</v>
      </c>
      <c r="W105" s="1182">
        <v>0</v>
      </c>
      <c r="X105" s="1182">
        <v>0</v>
      </c>
      <c r="Y105" s="1183">
        <v>300</v>
      </c>
      <c r="Z105" s="1182" t="s">
        <v>1940</v>
      </c>
      <c r="AA105" s="1182" t="s">
        <v>1941</v>
      </c>
      <c r="AB105" s="1182">
        <v>300</v>
      </c>
      <c r="AC105" s="1182" t="s">
        <v>1942</v>
      </c>
      <c r="AD105" s="1182" t="s">
        <v>1577</v>
      </c>
      <c r="AE105" s="1182">
        <v>300</v>
      </c>
      <c r="AF105" s="1182" t="s">
        <v>1943</v>
      </c>
      <c r="AG105" s="1182" t="s">
        <v>1944</v>
      </c>
      <c r="AH105" s="1182">
        <v>0</v>
      </c>
      <c r="AI105" s="1182">
        <v>300</v>
      </c>
      <c r="AJ105" s="1182" t="s">
        <v>1986</v>
      </c>
      <c r="AL105" s="1186" t="s">
        <v>1987</v>
      </c>
      <c r="AM105" s="1182">
        <v>1</v>
      </c>
      <c r="AN105" s="1182">
        <v>0</v>
      </c>
      <c r="AO105" s="1182">
        <v>0</v>
      </c>
      <c r="AP105" s="1182">
        <v>0</v>
      </c>
      <c r="AQ105" s="1182" t="s">
        <v>1639</v>
      </c>
      <c r="AS105" s="1186" t="s">
        <v>1943</v>
      </c>
      <c r="AT105" s="1186" t="s">
        <v>1944</v>
      </c>
      <c r="AV105" s="1183">
        <v>138</v>
      </c>
      <c r="AW105" s="1183">
        <v>0</v>
      </c>
      <c r="AX105" s="1183">
        <v>0</v>
      </c>
      <c r="AY105" s="1538">
        <v>138</v>
      </c>
      <c r="AZ105" s="1183">
        <v>0</v>
      </c>
      <c r="BA105" s="1183">
        <v>162</v>
      </c>
      <c r="BB105" s="1540">
        <v>162</v>
      </c>
      <c r="BC105" s="1540">
        <v>300</v>
      </c>
      <c r="BD105" s="1540">
        <v>0</v>
      </c>
      <c r="BF105" s="1539">
        <f t="shared" si="38"/>
        <v>138</v>
      </c>
      <c r="BG105" s="1539">
        <f t="shared" si="39"/>
        <v>0</v>
      </c>
      <c r="BH105" s="1539">
        <f t="shared" si="40"/>
        <v>0</v>
      </c>
      <c r="BI105" s="1539">
        <f t="shared" si="41"/>
        <v>138</v>
      </c>
      <c r="BJ105" s="1539">
        <f t="shared" si="42"/>
        <v>0</v>
      </c>
      <c r="BK105" s="1539">
        <f t="shared" si="47"/>
        <v>162</v>
      </c>
      <c r="BL105" s="1539">
        <f t="shared" si="43"/>
        <v>162</v>
      </c>
      <c r="BM105" s="1539">
        <f t="shared" si="44"/>
        <v>300</v>
      </c>
      <c r="BO105" s="1183"/>
      <c r="BQ105" s="1182">
        <f t="shared" si="45"/>
        <v>0</v>
      </c>
      <c r="BR105" s="1182">
        <f t="shared" si="46"/>
        <v>0</v>
      </c>
      <c r="BS105" s="1182">
        <f t="shared" si="37"/>
        <v>0</v>
      </c>
      <c r="BT105" s="1182">
        <f t="shared" si="37"/>
        <v>0</v>
      </c>
    </row>
    <row r="106" spans="1:72" ht="13.5" customHeight="1">
      <c r="A106" s="1182" t="s">
        <v>1803</v>
      </c>
      <c r="B106" s="1182" t="s">
        <v>1804</v>
      </c>
      <c r="C106" s="1182" t="s">
        <v>1639</v>
      </c>
      <c r="D106" s="1182" t="s">
        <v>1933</v>
      </c>
      <c r="E106" s="1182" t="s">
        <v>1934</v>
      </c>
      <c r="F106" s="1182" t="s">
        <v>1988</v>
      </c>
      <c r="G106" s="1182" t="s">
        <v>1988</v>
      </c>
      <c r="H106" s="1182" t="s">
        <v>1948</v>
      </c>
      <c r="I106" s="1182" t="s">
        <v>1937</v>
      </c>
      <c r="J106" s="1182" t="s">
        <v>1989</v>
      </c>
      <c r="K106" s="1182" t="s">
        <v>1811</v>
      </c>
      <c r="L106" s="1182" t="s">
        <v>1812</v>
      </c>
      <c r="M106" s="1182" t="s">
        <v>1803</v>
      </c>
      <c r="N106" s="1182" t="s">
        <v>1939</v>
      </c>
      <c r="O106" s="1182" t="s">
        <v>1554</v>
      </c>
      <c r="P106" s="1182" t="s">
        <v>1575</v>
      </c>
      <c r="Q106" s="1182" t="s">
        <v>1574</v>
      </c>
      <c r="R106" s="1182" t="s">
        <v>1573</v>
      </c>
      <c r="S106" s="1182" t="s">
        <v>1577</v>
      </c>
      <c r="T106" s="1182" t="s">
        <v>1814</v>
      </c>
      <c r="U106" s="1182" t="s">
        <v>1815</v>
      </c>
      <c r="V106" s="1182">
        <v>0</v>
      </c>
      <c r="W106" s="1182">
        <v>0</v>
      </c>
      <c r="X106" s="1182">
        <v>0</v>
      </c>
      <c r="Y106" s="1183">
        <v>300</v>
      </c>
      <c r="Z106" s="1182" t="s">
        <v>1940</v>
      </c>
      <c r="AA106" s="1182" t="s">
        <v>1941</v>
      </c>
      <c r="AB106" s="1182">
        <v>300</v>
      </c>
      <c r="AC106" s="1182" t="s">
        <v>1942</v>
      </c>
      <c r="AD106" s="1182" t="s">
        <v>1577</v>
      </c>
      <c r="AE106" s="1182">
        <v>300</v>
      </c>
      <c r="AF106" s="1182" t="s">
        <v>1943</v>
      </c>
      <c r="AG106" s="1182" t="s">
        <v>1944</v>
      </c>
      <c r="AH106" s="1182">
        <v>0</v>
      </c>
      <c r="AI106" s="1182">
        <v>300</v>
      </c>
      <c r="AJ106" s="1182" t="s">
        <v>1990</v>
      </c>
      <c r="AL106" s="1186" t="s">
        <v>1991</v>
      </c>
      <c r="AM106" s="1182">
        <v>1</v>
      </c>
      <c r="AN106" s="1182">
        <v>0</v>
      </c>
      <c r="AO106" s="1182">
        <v>0</v>
      </c>
      <c r="AP106" s="1182">
        <v>0</v>
      </c>
      <c r="AQ106" s="1182" t="s">
        <v>1639</v>
      </c>
      <c r="AS106" s="1186" t="s">
        <v>1943</v>
      </c>
      <c r="AT106" s="1186" t="s">
        <v>1944</v>
      </c>
      <c r="AV106" s="1183">
        <v>138</v>
      </c>
      <c r="AW106" s="1183">
        <v>0</v>
      </c>
      <c r="AX106" s="1183">
        <v>0</v>
      </c>
      <c r="AY106" s="1538">
        <v>138</v>
      </c>
      <c r="AZ106" s="1183">
        <v>0</v>
      </c>
      <c r="BA106" s="1183">
        <v>162</v>
      </c>
      <c r="BB106" s="1540">
        <v>162</v>
      </c>
      <c r="BC106" s="1540">
        <v>300</v>
      </c>
      <c r="BD106" s="1540">
        <v>0</v>
      </c>
      <c r="BF106" s="1539">
        <f t="shared" si="38"/>
        <v>138</v>
      </c>
      <c r="BG106" s="1539">
        <f t="shared" si="39"/>
        <v>0</v>
      </c>
      <c r="BH106" s="1539">
        <f t="shared" si="40"/>
        <v>0</v>
      </c>
      <c r="BI106" s="1539">
        <f t="shared" si="41"/>
        <v>138</v>
      </c>
      <c r="BJ106" s="1539">
        <f t="shared" si="42"/>
        <v>0</v>
      </c>
      <c r="BK106" s="1539">
        <f t="shared" si="47"/>
        <v>162</v>
      </c>
      <c r="BL106" s="1539">
        <f t="shared" si="43"/>
        <v>162</v>
      </c>
      <c r="BM106" s="1539">
        <f t="shared" si="44"/>
        <v>300</v>
      </c>
      <c r="BO106" s="1183"/>
      <c r="BQ106" s="1182">
        <f t="shared" si="45"/>
        <v>0</v>
      </c>
      <c r="BR106" s="1182">
        <f t="shared" si="46"/>
        <v>0</v>
      </c>
      <c r="BS106" s="1182">
        <f t="shared" si="37"/>
        <v>0</v>
      </c>
      <c r="BT106" s="1182">
        <f t="shared" si="37"/>
        <v>0</v>
      </c>
    </row>
    <row r="107" spans="1:72" ht="13.5" customHeight="1">
      <c r="A107" s="1182" t="s">
        <v>1803</v>
      </c>
      <c r="B107" s="1182" t="s">
        <v>1804</v>
      </c>
      <c r="C107" s="1182" t="s">
        <v>1639</v>
      </c>
      <c r="D107" s="1182" t="s">
        <v>1933</v>
      </c>
      <c r="E107" s="1182" t="s">
        <v>1934</v>
      </c>
      <c r="F107" s="1182" t="s">
        <v>2040</v>
      </c>
      <c r="G107" s="1182" t="s">
        <v>2040</v>
      </c>
      <c r="H107" s="1182" t="s">
        <v>1948</v>
      </c>
      <c r="I107" s="1182" t="s">
        <v>1937</v>
      </c>
      <c r="J107" s="1182" t="s">
        <v>2041</v>
      </c>
      <c r="K107" s="1182" t="s">
        <v>1811</v>
      </c>
      <c r="L107" s="1182" t="s">
        <v>1812</v>
      </c>
      <c r="M107" s="1182" t="s">
        <v>1803</v>
      </c>
      <c r="N107" s="1182" t="s">
        <v>1939</v>
      </c>
      <c r="O107" s="1182" t="s">
        <v>1554</v>
      </c>
      <c r="P107" s="1182" t="s">
        <v>1575</v>
      </c>
      <c r="Q107" s="1182" t="s">
        <v>1574</v>
      </c>
      <c r="R107" s="1182" t="s">
        <v>1573</v>
      </c>
      <c r="S107" s="1182" t="s">
        <v>1577</v>
      </c>
      <c r="T107" s="1182" t="s">
        <v>1814</v>
      </c>
      <c r="U107" s="1182" t="s">
        <v>1815</v>
      </c>
      <c r="V107" s="1182">
        <v>0</v>
      </c>
      <c r="W107" s="1182">
        <v>0</v>
      </c>
      <c r="X107" s="1182">
        <v>0</v>
      </c>
      <c r="Y107" s="1183">
        <v>300</v>
      </c>
      <c r="Z107" s="1182" t="s">
        <v>1940</v>
      </c>
      <c r="AA107" s="1182" t="s">
        <v>1941</v>
      </c>
      <c r="AB107" s="1182">
        <v>300</v>
      </c>
      <c r="AC107" s="1182" t="s">
        <v>1942</v>
      </c>
      <c r="AD107" s="1182" t="s">
        <v>1577</v>
      </c>
      <c r="AE107" s="1182">
        <v>300</v>
      </c>
      <c r="AF107" s="1182" t="s">
        <v>1943</v>
      </c>
      <c r="AG107" s="1182" t="s">
        <v>1944</v>
      </c>
      <c r="AH107" s="1182">
        <v>0</v>
      </c>
      <c r="AI107" s="1182">
        <v>300</v>
      </c>
      <c r="AJ107" s="1182" t="s">
        <v>2042</v>
      </c>
      <c r="AL107" s="1186" t="s">
        <v>2043</v>
      </c>
      <c r="AM107" s="1182">
        <v>1</v>
      </c>
      <c r="AN107" s="1182">
        <v>0</v>
      </c>
      <c r="AO107" s="1182">
        <v>0</v>
      </c>
      <c r="AP107" s="1182">
        <v>0</v>
      </c>
      <c r="AQ107" s="1182" t="s">
        <v>1639</v>
      </c>
      <c r="AS107" s="1186" t="s">
        <v>1943</v>
      </c>
      <c r="AT107" s="1186" t="s">
        <v>1944</v>
      </c>
      <c r="AV107" s="1183">
        <v>138</v>
      </c>
      <c r="AW107" s="1183">
        <v>0</v>
      </c>
      <c r="AX107" s="1183">
        <v>0</v>
      </c>
      <c r="AY107" s="1538">
        <v>138</v>
      </c>
      <c r="AZ107" s="1183">
        <v>0</v>
      </c>
      <c r="BA107" s="1183">
        <v>162</v>
      </c>
      <c r="BB107" s="1540">
        <v>162</v>
      </c>
      <c r="BC107" s="1540">
        <v>300</v>
      </c>
      <c r="BD107" s="1540">
        <v>0</v>
      </c>
      <c r="BF107" s="1539">
        <f t="shared" si="38"/>
        <v>138</v>
      </c>
      <c r="BG107" s="1539">
        <f t="shared" si="39"/>
        <v>0</v>
      </c>
      <c r="BH107" s="1539">
        <f t="shared" si="40"/>
        <v>0</v>
      </c>
      <c r="BI107" s="1539">
        <f t="shared" si="41"/>
        <v>138</v>
      </c>
      <c r="BJ107" s="1539">
        <f t="shared" si="42"/>
        <v>0</v>
      </c>
      <c r="BK107" s="1539">
        <f t="shared" si="47"/>
        <v>162</v>
      </c>
      <c r="BL107" s="1539">
        <f t="shared" si="43"/>
        <v>162</v>
      </c>
      <c r="BM107" s="1539">
        <f t="shared" si="44"/>
        <v>300</v>
      </c>
      <c r="BO107" s="1183"/>
      <c r="BQ107" s="1182">
        <f t="shared" si="45"/>
        <v>0</v>
      </c>
      <c r="BR107" s="1182">
        <f t="shared" si="46"/>
        <v>0</v>
      </c>
      <c r="BS107" s="1182">
        <f t="shared" si="37"/>
        <v>0</v>
      </c>
      <c r="BT107" s="1182">
        <f t="shared" si="37"/>
        <v>0</v>
      </c>
    </row>
    <row r="108" spans="1:72" ht="13.5" customHeight="1">
      <c r="A108" s="1182" t="s">
        <v>1803</v>
      </c>
      <c r="B108" s="1182" t="s">
        <v>1804</v>
      </c>
      <c r="C108" s="1182" t="s">
        <v>1639</v>
      </c>
      <c r="D108" s="1182" t="s">
        <v>1933</v>
      </c>
      <c r="E108" s="1182" t="s">
        <v>1934</v>
      </c>
      <c r="F108" s="1182" t="s">
        <v>2032</v>
      </c>
      <c r="G108" s="1182" t="s">
        <v>2032</v>
      </c>
      <c r="H108" s="1182" t="s">
        <v>1948</v>
      </c>
      <c r="I108" s="1182" t="s">
        <v>1937</v>
      </c>
      <c r="J108" s="1182" t="s">
        <v>2033</v>
      </c>
      <c r="K108" s="1182" t="s">
        <v>1811</v>
      </c>
      <c r="L108" s="1182" t="s">
        <v>1812</v>
      </c>
      <c r="M108" s="1182" t="s">
        <v>1803</v>
      </c>
      <c r="N108" s="1182" t="s">
        <v>1939</v>
      </c>
      <c r="O108" s="1182" t="s">
        <v>1554</v>
      </c>
      <c r="P108" s="1182" t="s">
        <v>1575</v>
      </c>
      <c r="Q108" s="1182" t="s">
        <v>1574</v>
      </c>
      <c r="R108" s="1182" t="s">
        <v>1573</v>
      </c>
      <c r="S108" s="1182" t="s">
        <v>1577</v>
      </c>
      <c r="T108" s="1182" t="s">
        <v>1814</v>
      </c>
      <c r="U108" s="1182" t="s">
        <v>1815</v>
      </c>
      <c r="V108" s="1182">
        <v>0</v>
      </c>
      <c r="W108" s="1182">
        <v>0</v>
      </c>
      <c r="X108" s="1182">
        <v>0</v>
      </c>
      <c r="Y108" s="1183">
        <v>300</v>
      </c>
      <c r="Z108" s="1182" t="s">
        <v>1940</v>
      </c>
      <c r="AA108" s="1182" t="s">
        <v>1941</v>
      </c>
      <c r="AB108" s="1182">
        <v>300</v>
      </c>
      <c r="AC108" s="1182" t="s">
        <v>1942</v>
      </c>
      <c r="AD108" s="1182" t="s">
        <v>1577</v>
      </c>
      <c r="AE108" s="1182">
        <v>300</v>
      </c>
      <c r="AF108" s="1182" t="s">
        <v>1943</v>
      </c>
      <c r="AG108" s="1182" t="s">
        <v>1944</v>
      </c>
      <c r="AH108" s="1182">
        <v>0</v>
      </c>
      <c r="AI108" s="1182">
        <v>300</v>
      </c>
      <c r="AJ108" s="1182" t="s">
        <v>2034</v>
      </c>
      <c r="AL108" s="1186" t="s">
        <v>2035</v>
      </c>
      <c r="AM108" s="1182">
        <v>1</v>
      </c>
      <c r="AN108" s="1182">
        <v>0</v>
      </c>
      <c r="AO108" s="1182">
        <v>0</v>
      </c>
      <c r="AP108" s="1182">
        <v>0</v>
      </c>
      <c r="AQ108" s="1182" t="s">
        <v>1639</v>
      </c>
      <c r="AS108" s="1186" t="s">
        <v>1943</v>
      </c>
      <c r="AT108" s="1186" t="s">
        <v>1944</v>
      </c>
      <c r="AV108" s="1183">
        <v>138</v>
      </c>
      <c r="AW108" s="1183">
        <v>0</v>
      </c>
      <c r="AX108" s="1183">
        <v>0</v>
      </c>
      <c r="AY108" s="1538">
        <v>138</v>
      </c>
      <c r="AZ108" s="1183">
        <v>0</v>
      </c>
      <c r="BA108" s="1183">
        <v>162</v>
      </c>
      <c r="BB108" s="1540">
        <v>162</v>
      </c>
      <c r="BC108" s="1540">
        <v>300</v>
      </c>
      <c r="BD108" s="1540">
        <v>0</v>
      </c>
      <c r="BF108" s="1539">
        <f t="shared" si="38"/>
        <v>138</v>
      </c>
      <c r="BG108" s="1539">
        <f t="shared" si="39"/>
        <v>0</v>
      </c>
      <c r="BH108" s="1539">
        <f t="shared" si="40"/>
        <v>0</v>
      </c>
      <c r="BI108" s="1539">
        <f t="shared" si="41"/>
        <v>138</v>
      </c>
      <c r="BJ108" s="1539">
        <f t="shared" si="42"/>
        <v>0</v>
      </c>
      <c r="BK108" s="1539">
        <f t="shared" si="47"/>
        <v>162</v>
      </c>
      <c r="BL108" s="1539">
        <f t="shared" si="43"/>
        <v>162</v>
      </c>
      <c r="BM108" s="1539">
        <f t="shared" si="44"/>
        <v>300</v>
      </c>
      <c r="BO108" s="1183"/>
      <c r="BQ108" s="1182">
        <f t="shared" si="45"/>
        <v>0</v>
      </c>
      <c r="BR108" s="1182">
        <f t="shared" si="46"/>
        <v>0</v>
      </c>
      <c r="BS108" s="1182">
        <f t="shared" si="37"/>
        <v>0</v>
      </c>
      <c r="BT108" s="1182">
        <f t="shared" si="37"/>
        <v>0</v>
      </c>
    </row>
    <row r="109" spans="1:72" ht="13.5" customHeight="1">
      <c r="A109" s="1182" t="s">
        <v>1803</v>
      </c>
      <c r="B109" s="1182" t="s">
        <v>1804</v>
      </c>
      <c r="C109" s="1182" t="s">
        <v>1639</v>
      </c>
      <c r="D109" s="1182" t="s">
        <v>1933</v>
      </c>
      <c r="E109" s="1182" t="s">
        <v>1934</v>
      </c>
      <c r="F109" s="1182" t="s">
        <v>2004</v>
      </c>
      <c r="G109" s="1182" t="s">
        <v>2004</v>
      </c>
      <c r="H109" s="1182" t="s">
        <v>1948</v>
      </c>
      <c r="I109" s="1182" t="s">
        <v>1937</v>
      </c>
      <c r="J109" s="1182" t="s">
        <v>2005</v>
      </c>
      <c r="K109" s="1182" t="s">
        <v>1811</v>
      </c>
      <c r="L109" s="1182" t="s">
        <v>1812</v>
      </c>
      <c r="M109" s="1182" t="s">
        <v>1803</v>
      </c>
      <c r="N109" s="1182" t="s">
        <v>1939</v>
      </c>
      <c r="O109" s="1182" t="s">
        <v>1554</v>
      </c>
      <c r="P109" s="1182" t="s">
        <v>1575</v>
      </c>
      <c r="Q109" s="1182" t="s">
        <v>1574</v>
      </c>
      <c r="R109" s="1182" t="s">
        <v>1573</v>
      </c>
      <c r="S109" s="1182" t="s">
        <v>1577</v>
      </c>
      <c r="T109" s="1182" t="s">
        <v>1814</v>
      </c>
      <c r="U109" s="1182" t="s">
        <v>1815</v>
      </c>
      <c r="V109" s="1182">
        <v>0</v>
      </c>
      <c r="W109" s="1182">
        <v>0</v>
      </c>
      <c r="X109" s="1182">
        <v>0</v>
      </c>
      <c r="Y109" s="1183">
        <v>300</v>
      </c>
      <c r="Z109" s="1182" t="s">
        <v>1940</v>
      </c>
      <c r="AA109" s="1182" t="s">
        <v>1941</v>
      </c>
      <c r="AB109" s="1182">
        <v>300</v>
      </c>
      <c r="AC109" s="1182" t="s">
        <v>1942</v>
      </c>
      <c r="AD109" s="1182" t="s">
        <v>1577</v>
      </c>
      <c r="AE109" s="1182">
        <v>300</v>
      </c>
      <c r="AF109" s="1182" t="s">
        <v>1943</v>
      </c>
      <c r="AG109" s="1182" t="s">
        <v>1944</v>
      </c>
      <c r="AH109" s="1182">
        <v>0</v>
      </c>
      <c r="AI109" s="1182">
        <v>300</v>
      </c>
      <c r="AJ109" s="1182" t="s">
        <v>2006</v>
      </c>
      <c r="AL109" s="1186" t="s">
        <v>2007</v>
      </c>
      <c r="AM109" s="1182">
        <v>1</v>
      </c>
      <c r="AN109" s="1182">
        <v>0</v>
      </c>
      <c r="AO109" s="1182">
        <v>0</v>
      </c>
      <c r="AP109" s="1182">
        <v>0</v>
      </c>
      <c r="AQ109" s="1182" t="s">
        <v>1639</v>
      </c>
      <c r="AS109" s="1186" t="s">
        <v>1943</v>
      </c>
      <c r="AT109" s="1186" t="s">
        <v>1944</v>
      </c>
      <c r="AV109" s="1183">
        <v>138</v>
      </c>
      <c r="AW109" s="1183">
        <v>0</v>
      </c>
      <c r="AX109" s="1183">
        <v>0</v>
      </c>
      <c r="AY109" s="1538">
        <v>138</v>
      </c>
      <c r="AZ109" s="1183">
        <v>0</v>
      </c>
      <c r="BA109" s="1183">
        <v>162</v>
      </c>
      <c r="BB109" s="1540">
        <v>162</v>
      </c>
      <c r="BC109" s="1540">
        <v>300</v>
      </c>
      <c r="BD109" s="1540">
        <v>0</v>
      </c>
      <c r="BF109" s="1539">
        <f t="shared" si="38"/>
        <v>138</v>
      </c>
      <c r="BG109" s="1539">
        <f t="shared" si="39"/>
        <v>0</v>
      </c>
      <c r="BH109" s="1539">
        <f t="shared" si="40"/>
        <v>0</v>
      </c>
      <c r="BI109" s="1539">
        <f t="shared" si="41"/>
        <v>138</v>
      </c>
      <c r="BJ109" s="1539">
        <f t="shared" si="42"/>
        <v>0</v>
      </c>
      <c r="BK109" s="1539">
        <f t="shared" si="47"/>
        <v>162</v>
      </c>
      <c r="BL109" s="1539">
        <f t="shared" si="43"/>
        <v>162</v>
      </c>
      <c r="BM109" s="1539">
        <f t="shared" si="44"/>
        <v>300</v>
      </c>
      <c r="BO109" s="1183"/>
      <c r="BQ109" s="1182">
        <f t="shared" si="45"/>
        <v>0</v>
      </c>
      <c r="BR109" s="1182">
        <f t="shared" si="46"/>
        <v>0</v>
      </c>
      <c r="BS109" s="1182">
        <f t="shared" si="37"/>
        <v>0</v>
      </c>
      <c r="BT109" s="1182">
        <f t="shared" si="37"/>
        <v>0</v>
      </c>
    </row>
    <row r="110" spans="1:72" ht="13.5" customHeight="1">
      <c r="A110" s="1182" t="s">
        <v>1803</v>
      </c>
      <c r="B110" s="1182" t="s">
        <v>1804</v>
      </c>
      <c r="C110" s="1182" t="s">
        <v>1639</v>
      </c>
      <c r="D110" s="1182" t="s">
        <v>1933</v>
      </c>
      <c r="E110" s="1182" t="s">
        <v>1934</v>
      </c>
      <c r="F110" s="1182" t="s">
        <v>2008</v>
      </c>
      <c r="G110" s="1182" t="s">
        <v>2008</v>
      </c>
      <c r="H110" s="1182" t="s">
        <v>1948</v>
      </c>
      <c r="I110" s="1182" t="s">
        <v>1937</v>
      </c>
      <c r="J110" s="1182" t="s">
        <v>2009</v>
      </c>
      <c r="K110" s="1182" t="s">
        <v>1811</v>
      </c>
      <c r="L110" s="1182" t="s">
        <v>1812</v>
      </c>
      <c r="M110" s="1182" t="s">
        <v>1803</v>
      </c>
      <c r="N110" s="1182" t="s">
        <v>1939</v>
      </c>
      <c r="O110" s="1182" t="s">
        <v>1554</v>
      </c>
      <c r="P110" s="1182" t="s">
        <v>1575</v>
      </c>
      <c r="Q110" s="1182" t="s">
        <v>1574</v>
      </c>
      <c r="R110" s="1182" t="s">
        <v>1573</v>
      </c>
      <c r="S110" s="1182" t="s">
        <v>1577</v>
      </c>
      <c r="T110" s="1182" t="s">
        <v>1814</v>
      </c>
      <c r="U110" s="1182" t="s">
        <v>1815</v>
      </c>
      <c r="V110" s="1182">
        <v>0</v>
      </c>
      <c r="W110" s="1182">
        <v>0</v>
      </c>
      <c r="X110" s="1182">
        <v>0</v>
      </c>
      <c r="Y110" s="1183">
        <v>300</v>
      </c>
      <c r="Z110" s="1182" t="s">
        <v>1940</v>
      </c>
      <c r="AA110" s="1182" t="s">
        <v>1941</v>
      </c>
      <c r="AB110" s="1182">
        <v>300</v>
      </c>
      <c r="AC110" s="1182" t="s">
        <v>1942</v>
      </c>
      <c r="AD110" s="1182" t="s">
        <v>1577</v>
      </c>
      <c r="AE110" s="1182">
        <v>300</v>
      </c>
      <c r="AF110" s="1182" t="s">
        <v>1943</v>
      </c>
      <c r="AG110" s="1182" t="s">
        <v>1944</v>
      </c>
      <c r="AH110" s="1182">
        <v>0</v>
      </c>
      <c r="AI110" s="1182">
        <v>300</v>
      </c>
      <c r="AJ110" s="1182" t="s">
        <v>2010</v>
      </c>
      <c r="AL110" s="1186" t="s">
        <v>2011</v>
      </c>
      <c r="AM110" s="1182">
        <v>1</v>
      </c>
      <c r="AN110" s="1182">
        <v>0</v>
      </c>
      <c r="AO110" s="1182">
        <v>0</v>
      </c>
      <c r="AP110" s="1182">
        <v>0</v>
      </c>
      <c r="AQ110" s="1182" t="s">
        <v>1639</v>
      </c>
      <c r="AS110" s="1186" t="s">
        <v>1943</v>
      </c>
      <c r="AT110" s="1186" t="s">
        <v>1944</v>
      </c>
      <c r="AV110" s="1183">
        <v>138</v>
      </c>
      <c r="AW110" s="1183">
        <v>0</v>
      </c>
      <c r="AX110" s="1183">
        <v>0</v>
      </c>
      <c r="AY110" s="1538">
        <v>138</v>
      </c>
      <c r="AZ110" s="1183">
        <v>0</v>
      </c>
      <c r="BA110" s="1183">
        <v>162</v>
      </c>
      <c r="BB110" s="1540">
        <v>162</v>
      </c>
      <c r="BC110" s="1540">
        <v>300</v>
      </c>
      <c r="BD110" s="1540">
        <v>0</v>
      </c>
      <c r="BF110" s="1539">
        <f t="shared" si="38"/>
        <v>138</v>
      </c>
      <c r="BG110" s="1539">
        <f t="shared" si="39"/>
        <v>0</v>
      </c>
      <c r="BH110" s="1539">
        <f t="shared" si="40"/>
        <v>0</v>
      </c>
      <c r="BI110" s="1539">
        <f t="shared" si="41"/>
        <v>138</v>
      </c>
      <c r="BJ110" s="1539">
        <f t="shared" si="42"/>
        <v>0</v>
      </c>
      <c r="BK110" s="1539">
        <f t="shared" si="47"/>
        <v>162</v>
      </c>
      <c r="BL110" s="1539">
        <f t="shared" si="43"/>
        <v>162</v>
      </c>
      <c r="BM110" s="1539">
        <f t="shared" si="44"/>
        <v>300</v>
      </c>
      <c r="BO110" s="1183"/>
      <c r="BQ110" s="1182">
        <f t="shared" si="45"/>
        <v>0</v>
      </c>
      <c r="BR110" s="1182">
        <f t="shared" si="46"/>
        <v>0</v>
      </c>
      <c r="BS110" s="1182">
        <f t="shared" si="37"/>
        <v>0</v>
      </c>
      <c r="BT110" s="1182">
        <f t="shared" si="37"/>
        <v>0</v>
      </c>
    </row>
    <row r="111" spans="1:72" ht="13.5" customHeight="1">
      <c r="A111" s="1182" t="s">
        <v>1803</v>
      </c>
      <c r="B111" s="1182" t="s">
        <v>1804</v>
      </c>
      <c r="C111" s="1182" t="s">
        <v>1639</v>
      </c>
      <c r="D111" s="1182" t="s">
        <v>1933</v>
      </c>
      <c r="E111" s="1182" t="s">
        <v>1934</v>
      </c>
      <c r="F111" s="1182" t="s">
        <v>2008</v>
      </c>
      <c r="G111" s="1182" t="s">
        <v>2008</v>
      </c>
      <c r="H111" s="1182" t="s">
        <v>1948</v>
      </c>
      <c r="I111" s="1182" t="s">
        <v>1937</v>
      </c>
      <c r="J111" s="1182" t="s">
        <v>2009</v>
      </c>
      <c r="K111" s="1182" t="s">
        <v>1811</v>
      </c>
      <c r="L111" s="1182" t="s">
        <v>1956</v>
      </c>
      <c r="M111" s="1182" t="s">
        <v>1803</v>
      </c>
      <c r="N111" s="1182" t="s">
        <v>1939</v>
      </c>
      <c r="O111" s="1182" t="s">
        <v>1554</v>
      </c>
      <c r="P111" s="1182" t="s">
        <v>1575</v>
      </c>
      <c r="Q111" s="1182" t="s">
        <v>1574</v>
      </c>
      <c r="R111" s="1182" t="s">
        <v>1573</v>
      </c>
      <c r="S111" s="1182" t="s">
        <v>1577</v>
      </c>
      <c r="T111" s="1182" t="s">
        <v>1814</v>
      </c>
      <c r="U111" s="1182" t="s">
        <v>1815</v>
      </c>
      <c r="V111" s="1182">
        <v>0</v>
      </c>
      <c r="W111" s="1182">
        <v>0</v>
      </c>
      <c r="X111" s="1182">
        <v>0</v>
      </c>
      <c r="Y111" s="1183">
        <v>300</v>
      </c>
      <c r="Z111" s="1182" t="s">
        <v>1940</v>
      </c>
      <c r="AA111" s="1182" t="s">
        <v>1941</v>
      </c>
      <c r="AB111" s="1182">
        <v>300</v>
      </c>
      <c r="AC111" s="1182" t="s">
        <v>1942</v>
      </c>
      <c r="AD111" s="1182" t="s">
        <v>1577</v>
      </c>
      <c r="AE111" s="1182">
        <v>300</v>
      </c>
      <c r="AF111" s="1182" t="s">
        <v>1943</v>
      </c>
      <c r="AG111" s="1182" t="s">
        <v>1944</v>
      </c>
      <c r="AH111" s="1182">
        <v>0</v>
      </c>
      <c r="AI111" s="1182">
        <v>300</v>
      </c>
      <c r="AJ111" s="1182" t="s">
        <v>2012</v>
      </c>
      <c r="AL111" s="1186" t="s">
        <v>2013</v>
      </c>
      <c r="AM111" s="1182">
        <v>1</v>
      </c>
      <c r="AN111" s="1182">
        <v>0</v>
      </c>
      <c r="AO111" s="1182">
        <v>0</v>
      </c>
      <c r="AP111" s="1182">
        <v>0</v>
      </c>
      <c r="AQ111" s="1182" t="s">
        <v>1639</v>
      </c>
      <c r="AS111" s="1186" t="s">
        <v>1943</v>
      </c>
      <c r="AT111" s="1186" t="s">
        <v>1944</v>
      </c>
      <c r="AV111" s="1183">
        <v>138</v>
      </c>
      <c r="AW111" s="1183">
        <v>0</v>
      </c>
      <c r="AX111" s="1183">
        <v>0</v>
      </c>
      <c r="AY111" s="1538">
        <v>138</v>
      </c>
      <c r="AZ111" s="1183">
        <v>0</v>
      </c>
      <c r="BA111" s="1183">
        <v>162</v>
      </c>
      <c r="BB111" s="1540">
        <v>162</v>
      </c>
      <c r="BC111" s="1540">
        <v>300</v>
      </c>
      <c r="BD111" s="1540">
        <v>0</v>
      </c>
      <c r="BF111" s="1539">
        <f t="shared" si="38"/>
        <v>138</v>
      </c>
      <c r="BG111" s="1539">
        <f t="shared" si="39"/>
        <v>0</v>
      </c>
      <c r="BH111" s="1539">
        <f t="shared" si="40"/>
        <v>0</v>
      </c>
      <c r="BI111" s="1539">
        <f t="shared" si="41"/>
        <v>138</v>
      </c>
      <c r="BJ111" s="1539">
        <f t="shared" si="42"/>
        <v>0</v>
      </c>
      <c r="BK111" s="1539">
        <f t="shared" si="47"/>
        <v>162</v>
      </c>
      <c r="BL111" s="1539">
        <f t="shared" si="43"/>
        <v>162</v>
      </c>
      <c r="BM111" s="1539">
        <f t="shared" si="44"/>
        <v>300</v>
      </c>
      <c r="BO111" s="1183"/>
      <c r="BQ111" s="1182">
        <f t="shared" si="45"/>
        <v>0</v>
      </c>
      <c r="BR111" s="1182">
        <f t="shared" si="46"/>
        <v>0</v>
      </c>
      <c r="BS111" s="1182">
        <f t="shared" si="37"/>
        <v>0</v>
      </c>
      <c r="BT111" s="1182">
        <f t="shared" si="37"/>
        <v>0</v>
      </c>
    </row>
    <row r="112" spans="1:72" ht="13.5" customHeight="1">
      <c r="A112" s="1182" t="s">
        <v>1803</v>
      </c>
      <c r="B112" s="1182" t="s">
        <v>1804</v>
      </c>
      <c r="C112" s="1182" t="s">
        <v>1639</v>
      </c>
      <c r="D112" s="1182" t="s">
        <v>1933</v>
      </c>
      <c r="E112" s="1182" t="s">
        <v>1934</v>
      </c>
      <c r="F112" s="1182" t="s">
        <v>2018</v>
      </c>
      <c r="G112" s="1182" t="s">
        <v>2018</v>
      </c>
      <c r="H112" s="1182" t="s">
        <v>1948</v>
      </c>
      <c r="I112" s="1182" t="s">
        <v>1937</v>
      </c>
      <c r="J112" s="1182" t="s">
        <v>2019</v>
      </c>
      <c r="K112" s="1182" t="s">
        <v>1811</v>
      </c>
      <c r="L112" s="1182" t="s">
        <v>1812</v>
      </c>
      <c r="M112" s="1182" t="s">
        <v>1803</v>
      </c>
      <c r="N112" s="1182" t="s">
        <v>1939</v>
      </c>
      <c r="O112" s="1182" t="s">
        <v>1554</v>
      </c>
      <c r="P112" s="1182" t="s">
        <v>1575</v>
      </c>
      <c r="Q112" s="1182" t="s">
        <v>1574</v>
      </c>
      <c r="R112" s="1182" t="s">
        <v>1573</v>
      </c>
      <c r="S112" s="1182" t="s">
        <v>1577</v>
      </c>
      <c r="T112" s="1182" t="s">
        <v>1814</v>
      </c>
      <c r="U112" s="1182" t="s">
        <v>1815</v>
      </c>
      <c r="V112" s="1182">
        <v>0</v>
      </c>
      <c r="W112" s="1182">
        <v>0</v>
      </c>
      <c r="X112" s="1182">
        <v>0</v>
      </c>
      <c r="Y112" s="1183">
        <v>300</v>
      </c>
      <c r="Z112" s="1182" t="s">
        <v>1940</v>
      </c>
      <c r="AA112" s="1182" t="s">
        <v>1941</v>
      </c>
      <c r="AB112" s="1182">
        <v>300</v>
      </c>
      <c r="AC112" s="1182" t="s">
        <v>1942</v>
      </c>
      <c r="AD112" s="1182" t="s">
        <v>1577</v>
      </c>
      <c r="AE112" s="1182">
        <v>300</v>
      </c>
      <c r="AF112" s="1182" t="s">
        <v>1943</v>
      </c>
      <c r="AG112" s="1182" t="s">
        <v>1944</v>
      </c>
      <c r="AH112" s="1182">
        <v>0</v>
      </c>
      <c r="AI112" s="1182">
        <v>300</v>
      </c>
      <c r="AJ112" s="1182" t="s">
        <v>2020</v>
      </c>
      <c r="AL112" s="1186" t="s">
        <v>2021</v>
      </c>
      <c r="AM112" s="1182">
        <v>1</v>
      </c>
      <c r="AN112" s="1182">
        <v>0</v>
      </c>
      <c r="AO112" s="1182">
        <v>0</v>
      </c>
      <c r="AP112" s="1182">
        <v>0</v>
      </c>
      <c r="AQ112" s="1182" t="s">
        <v>1639</v>
      </c>
      <c r="AS112" s="1186" t="s">
        <v>1943</v>
      </c>
      <c r="AT112" s="1186" t="s">
        <v>1944</v>
      </c>
      <c r="AV112" s="1183">
        <v>138</v>
      </c>
      <c r="AW112" s="1183">
        <v>0</v>
      </c>
      <c r="AX112" s="1183">
        <v>0</v>
      </c>
      <c r="AY112" s="1538">
        <v>138</v>
      </c>
      <c r="AZ112" s="1183">
        <v>0</v>
      </c>
      <c r="BA112" s="1183">
        <v>162</v>
      </c>
      <c r="BB112" s="1540">
        <v>162</v>
      </c>
      <c r="BC112" s="1540">
        <v>300</v>
      </c>
      <c r="BD112" s="1540">
        <v>0</v>
      </c>
      <c r="BF112" s="1539">
        <f t="shared" si="38"/>
        <v>138</v>
      </c>
      <c r="BG112" s="1539">
        <f t="shared" si="39"/>
        <v>0</v>
      </c>
      <c r="BH112" s="1539">
        <f t="shared" si="40"/>
        <v>0</v>
      </c>
      <c r="BI112" s="1539">
        <f t="shared" si="41"/>
        <v>138</v>
      </c>
      <c r="BJ112" s="1539">
        <f t="shared" si="42"/>
        <v>0</v>
      </c>
      <c r="BK112" s="1539">
        <f t="shared" si="47"/>
        <v>162</v>
      </c>
      <c r="BL112" s="1539">
        <f t="shared" si="43"/>
        <v>162</v>
      </c>
      <c r="BM112" s="1539">
        <f t="shared" si="44"/>
        <v>300</v>
      </c>
      <c r="BO112" s="1183"/>
      <c r="BQ112" s="1182">
        <f t="shared" si="45"/>
        <v>0</v>
      </c>
      <c r="BR112" s="1182">
        <f t="shared" si="46"/>
        <v>0</v>
      </c>
      <c r="BS112" s="1182">
        <f t="shared" si="37"/>
        <v>0</v>
      </c>
      <c r="BT112" s="1182">
        <f t="shared" si="37"/>
        <v>0</v>
      </c>
    </row>
    <row r="113" spans="1:72" ht="13.5" customHeight="1">
      <c r="A113" s="1182" t="s">
        <v>1803</v>
      </c>
      <c r="B113" s="1182" t="s">
        <v>1804</v>
      </c>
      <c r="C113" s="1182" t="s">
        <v>1639</v>
      </c>
      <c r="D113" s="1182" t="s">
        <v>1933</v>
      </c>
      <c r="E113" s="1182" t="s">
        <v>1934</v>
      </c>
      <c r="F113" s="1182" t="s">
        <v>2022</v>
      </c>
      <c r="G113" s="1182" t="s">
        <v>2022</v>
      </c>
      <c r="H113" s="1182" t="s">
        <v>1948</v>
      </c>
      <c r="I113" s="1182" t="s">
        <v>1937</v>
      </c>
      <c r="J113" s="1182" t="s">
        <v>2023</v>
      </c>
      <c r="K113" s="1182" t="s">
        <v>1811</v>
      </c>
      <c r="L113" s="1182" t="s">
        <v>1812</v>
      </c>
      <c r="M113" s="1182" t="s">
        <v>1803</v>
      </c>
      <c r="N113" s="1182" t="s">
        <v>1939</v>
      </c>
      <c r="O113" s="1182" t="s">
        <v>1554</v>
      </c>
      <c r="P113" s="1182" t="s">
        <v>1575</v>
      </c>
      <c r="Q113" s="1182" t="s">
        <v>1574</v>
      </c>
      <c r="R113" s="1182" t="s">
        <v>1573</v>
      </c>
      <c r="S113" s="1182" t="s">
        <v>1577</v>
      </c>
      <c r="T113" s="1182" t="s">
        <v>1814</v>
      </c>
      <c r="U113" s="1182" t="s">
        <v>1815</v>
      </c>
      <c r="V113" s="1182">
        <v>0</v>
      </c>
      <c r="W113" s="1182">
        <v>0</v>
      </c>
      <c r="X113" s="1182">
        <v>0</v>
      </c>
      <c r="Y113" s="1183">
        <v>600</v>
      </c>
      <c r="Z113" s="1182" t="s">
        <v>1940</v>
      </c>
      <c r="AA113" s="1182" t="s">
        <v>1941</v>
      </c>
      <c r="AB113" s="1182">
        <v>600</v>
      </c>
      <c r="AC113" s="1182" t="s">
        <v>1942</v>
      </c>
      <c r="AD113" s="1182" t="s">
        <v>1577</v>
      </c>
      <c r="AE113" s="1182">
        <v>600</v>
      </c>
      <c r="AF113" s="1182" t="s">
        <v>1943</v>
      </c>
      <c r="AG113" s="1182" t="s">
        <v>1944</v>
      </c>
      <c r="AH113" s="1182">
        <v>0</v>
      </c>
      <c r="AI113" s="1182">
        <v>600</v>
      </c>
      <c r="AJ113" s="1182" t="s">
        <v>2024</v>
      </c>
      <c r="AL113" s="1186" t="s">
        <v>2025</v>
      </c>
      <c r="AM113" s="1182">
        <v>1</v>
      </c>
      <c r="AN113" s="1182">
        <v>0</v>
      </c>
      <c r="AO113" s="1182">
        <v>0</v>
      </c>
      <c r="AP113" s="1182">
        <v>0</v>
      </c>
      <c r="AQ113" s="1182" t="s">
        <v>1639</v>
      </c>
      <c r="AS113" s="1186" t="s">
        <v>1943</v>
      </c>
      <c r="AT113" s="1186" t="s">
        <v>1944</v>
      </c>
      <c r="AV113" s="1183">
        <v>276</v>
      </c>
      <c r="AW113" s="1183">
        <v>0</v>
      </c>
      <c r="AX113" s="1183">
        <v>0</v>
      </c>
      <c r="AY113" s="1538">
        <v>276</v>
      </c>
      <c r="AZ113" s="1183">
        <v>0</v>
      </c>
      <c r="BA113" s="1183">
        <v>324</v>
      </c>
      <c r="BB113" s="1540">
        <v>324</v>
      </c>
      <c r="BC113" s="1540">
        <v>600</v>
      </c>
      <c r="BD113" s="1540">
        <v>0</v>
      </c>
      <c r="BF113" s="1539">
        <f t="shared" si="38"/>
        <v>276</v>
      </c>
      <c r="BG113" s="1539">
        <f t="shared" si="39"/>
        <v>0</v>
      </c>
      <c r="BH113" s="1539">
        <f t="shared" si="40"/>
        <v>0</v>
      </c>
      <c r="BI113" s="1539">
        <f t="shared" si="41"/>
        <v>276</v>
      </c>
      <c r="BJ113" s="1539">
        <f t="shared" si="42"/>
        <v>0</v>
      </c>
      <c r="BK113" s="1539">
        <f t="shared" si="47"/>
        <v>324</v>
      </c>
      <c r="BL113" s="1539">
        <f t="shared" si="43"/>
        <v>324</v>
      </c>
      <c r="BM113" s="1539">
        <f t="shared" si="44"/>
        <v>600</v>
      </c>
      <c r="BO113" s="1183"/>
      <c r="BQ113" s="1182">
        <f t="shared" si="45"/>
        <v>0</v>
      </c>
      <c r="BR113" s="1182">
        <f t="shared" si="46"/>
        <v>0</v>
      </c>
      <c r="BS113" s="1182">
        <f t="shared" si="37"/>
        <v>0</v>
      </c>
      <c r="BT113" s="1182">
        <f t="shared" si="37"/>
        <v>0</v>
      </c>
    </row>
    <row r="114" spans="1:72" ht="13.5" customHeight="1">
      <c r="A114" s="1182" t="s">
        <v>1803</v>
      </c>
      <c r="B114" s="1182" t="s">
        <v>1804</v>
      </c>
      <c r="C114" s="1182" t="s">
        <v>1639</v>
      </c>
      <c r="D114" s="1182" t="s">
        <v>1933</v>
      </c>
      <c r="E114" s="1182" t="s">
        <v>1934</v>
      </c>
      <c r="F114" s="1182" t="s">
        <v>2026</v>
      </c>
      <c r="G114" s="1182" t="s">
        <v>2026</v>
      </c>
      <c r="H114" s="1182" t="s">
        <v>1948</v>
      </c>
      <c r="I114" s="1182" t="s">
        <v>1937</v>
      </c>
      <c r="J114" s="1182" t="s">
        <v>2027</v>
      </c>
      <c r="K114" s="1182" t="s">
        <v>1811</v>
      </c>
      <c r="L114" s="1182" t="s">
        <v>1812</v>
      </c>
      <c r="M114" s="1182" t="s">
        <v>1803</v>
      </c>
      <c r="N114" s="1182" t="s">
        <v>1939</v>
      </c>
      <c r="O114" s="1182" t="s">
        <v>1554</v>
      </c>
      <c r="P114" s="1182" t="s">
        <v>1575</v>
      </c>
      <c r="Q114" s="1182" t="s">
        <v>1574</v>
      </c>
      <c r="R114" s="1182" t="s">
        <v>1573</v>
      </c>
      <c r="S114" s="1182" t="s">
        <v>1577</v>
      </c>
      <c r="T114" s="1182" t="s">
        <v>1814</v>
      </c>
      <c r="U114" s="1182" t="s">
        <v>1815</v>
      </c>
      <c r="V114" s="1182">
        <v>0</v>
      </c>
      <c r="W114" s="1182">
        <v>0</v>
      </c>
      <c r="X114" s="1182">
        <v>0</v>
      </c>
      <c r="Y114" s="1183">
        <v>300</v>
      </c>
      <c r="Z114" s="1182" t="s">
        <v>1940</v>
      </c>
      <c r="AA114" s="1182" t="s">
        <v>1941</v>
      </c>
      <c r="AB114" s="1182">
        <v>300</v>
      </c>
      <c r="AC114" s="1182" t="s">
        <v>1942</v>
      </c>
      <c r="AD114" s="1182" t="s">
        <v>1577</v>
      </c>
      <c r="AE114" s="1182">
        <v>300</v>
      </c>
      <c r="AF114" s="1182" t="s">
        <v>1943</v>
      </c>
      <c r="AG114" s="1182" t="s">
        <v>1944</v>
      </c>
      <c r="AH114" s="1182">
        <v>0</v>
      </c>
      <c r="AI114" s="1182">
        <v>300</v>
      </c>
      <c r="AJ114" s="1182" t="s">
        <v>2028</v>
      </c>
      <c r="AL114" s="1186" t="s">
        <v>2029</v>
      </c>
      <c r="AM114" s="1182">
        <v>1</v>
      </c>
      <c r="AN114" s="1182">
        <v>0</v>
      </c>
      <c r="AO114" s="1182">
        <v>0</v>
      </c>
      <c r="AP114" s="1182">
        <v>0</v>
      </c>
      <c r="AQ114" s="1182" t="s">
        <v>1639</v>
      </c>
      <c r="AS114" s="1186" t="s">
        <v>1943</v>
      </c>
      <c r="AT114" s="1186" t="s">
        <v>1944</v>
      </c>
      <c r="AV114" s="1183">
        <v>138</v>
      </c>
      <c r="AW114" s="1183">
        <v>0</v>
      </c>
      <c r="AX114" s="1183">
        <v>0</v>
      </c>
      <c r="AY114" s="1538">
        <v>138</v>
      </c>
      <c r="AZ114" s="1183">
        <v>0</v>
      </c>
      <c r="BA114" s="1183">
        <v>162</v>
      </c>
      <c r="BB114" s="1540">
        <v>162</v>
      </c>
      <c r="BC114" s="1540">
        <v>300</v>
      </c>
      <c r="BD114" s="1540">
        <v>0</v>
      </c>
      <c r="BF114" s="1539">
        <f t="shared" si="38"/>
        <v>138</v>
      </c>
      <c r="BG114" s="1539">
        <f t="shared" si="39"/>
        <v>0</v>
      </c>
      <c r="BH114" s="1539">
        <f t="shared" si="40"/>
        <v>0</v>
      </c>
      <c r="BI114" s="1539">
        <f t="shared" si="41"/>
        <v>138</v>
      </c>
      <c r="BJ114" s="1539">
        <f t="shared" si="42"/>
        <v>0</v>
      </c>
      <c r="BK114" s="1539">
        <f t="shared" si="47"/>
        <v>162</v>
      </c>
      <c r="BL114" s="1539">
        <f t="shared" si="43"/>
        <v>162</v>
      </c>
      <c r="BM114" s="1539">
        <f t="shared" si="44"/>
        <v>300</v>
      </c>
      <c r="BO114" s="1183"/>
      <c r="BQ114" s="1182">
        <f t="shared" si="45"/>
        <v>0</v>
      </c>
      <c r="BR114" s="1182">
        <f t="shared" si="46"/>
        <v>0</v>
      </c>
      <c r="BS114" s="1182">
        <f t="shared" si="37"/>
        <v>0</v>
      </c>
      <c r="BT114" s="1182">
        <f t="shared" si="37"/>
        <v>0</v>
      </c>
    </row>
    <row r="115" spans="1:72" ht="13.5" customHeight="1">
      <c r="A115" s="1182" t="s">
        <v>1803</v>
      </c>
      <c r="B115" s="1182" t="s">
        <v>1804</v>
      </c>
      <c r="C115" s="1182" t="s">
        <v>1639</v>
      </c>
      <c r="D115" s="1182" t="s">
        <v>1933</v>
      </c>
      <c r="E115" s="1182" t="s">
        <v>1934</v>
      </c>
      <c r="F115" s="1182" t="s">
        <v>2026</v>
      </c>
      <c r="G115" s="1182" t="s">
        <v>2026</v>
      </c>
      <c r="H115" s="1182" t="s">
        <v>1948</v>
      </c>
      <c r="I115" s="1182" t="s">
        <v>1937</v>
      </c>
      <c r="J115" s="1182" t="s">
        <v>2027</v>
      </c>
      <c r="K115" s="1182" t="s">
        <v>1811</v>
      </c>
      <c r="L115" s="1182" t="s">
        <v>1956</v>
      </c>
      <c r="M115" s="1182" t="s">
        <v>1803</v>
      </c>
      <c r="N115" s="1182" t="s">
        <v>1939</v>
      </c>
      <c r="O115" s="1182" t="s">
        <v>1554</v>
      </c>
      <c r="P115" s="1182" t="s">
        <v>1575</v>
      </c>
      <c r="Q115" s="1182" t="s">
        <v>1574</v>
      </c>
      <c r="R115" s="1182" t="s">
        <v>1573</v>
      </c>
      <c r="S115" s="1182" t="s">
        <v>1577</v>
      </c>
      <c r="T115" s="1182" t="s">
        <v>1814</v>
      </c>
      <c r="U115" s="1182" t="s">
        <v>1815</v>
      </c>
      <c r="V115" s="1182">
        <v>0</v>
      </c>
      <c r="W115" s="1182">
        <v>0</v>
      </c>
      <c r="X115" s="1182">
        <v>0</v>
      </c>
      <c r="Y115" s="1183">
        <v>300</v>
      </c>
      <c r="Z115" s="1182" t="s">
        <v>1940</v>
      </c>
      <c r="AA115" s="1182" t="s">
        <v>1941</v>
      </c>
      <c r="AB115" s="1182">
        <v>300</v>
      </c>
      <c r="AC115" s="1182" t="s">
        <v>1942</v>
      </c>
      <c r="AD115" s="1182" t="s">
        <v>1577</v>
      </c>
      <c r="AE115" s="1182">
        <v>300</v>
      </c>
      <c r="AF115" s="1182" t="s">
        <v>1943</v>
      </c>
      <c r="AG115" s="1182" t="s">
        <v>1944</v>
      </c>
      <c r="AH115" s="1182">
        <v>0</v>
      </c>
      <c r="AI115" s="1182">
        <v>300</v>
      </c>
      <c r="AJ115" s="1182" t="s">
        <v>2030</v>
      </c>
      <c r="AL115" s="1186" t="s">
        <v>2031</v>
      </c>
      <c r="AM115" s="1182">
        <v>1</v>
      </c>
      <c r="AN115" s="1182">
        <v>0</v>
      </c>
      <c r="AO115" s="1182">
        <v>0</v>
      </c>
      <c r="AP115" s="1182">
        <v>0</v>
      </c>
      <c r="AQ115" s="1182" t="s">
        <v>1639</v>
      </c>
      <c r="AS115" s="1186" t="s">
        <v>1943</v>
      </c>
      <c r="AT115" s="1186" t="s">
        <v>1944</v>
      </c>
      <c r="AV115" s="1183">
        <v>138</v>
      </c>
      <c r="AW115" s="1183">
        <v>0</v>
      </c>
      <c r="AX115" s="1183">
        <v>0</v>
      </c>
      <c r="AY115" s="1538">
        <v>138</v>
      </c>
      <c r="AZ115" s="1183">
        <v>0</v>
      </c>
      <c r="BA115" s="1183">
        <v>162</v>
      </c>
      <c r="BB115" s="1540">
        <v>162</v>
      </c>
      <c r="BC115" s="1540">
        <v>300</v>
      </c>
      <c r="BD115" s="1540">
        <v>0</v>
      </c>
      <c r="BF115" s="1539">
        <f t="shared" si="38"/>
        <v>138</v>
      </c>
      <c r="BG115" s="1539">
        <f t="shared" si="39"/>
        <v>0</v>
      </c>
      <c r="BH115" s="1539">
        <f t="shared" si="40"/>
        <v>0</v>
      </c>
      <c r="BI115" s="1539">
        <f t="shared" si="41"/>
        <v>138</v>
      </c>
      <c r="BJ115" s="1539">
        <f t="shared" si="42"/>
        <v>0</v>
      </c>
      <c r="BK115" s="1539">
        <f t="shared" si="47"/>
        <v>162</v>
      </c>
      <c r="BL115" s="1539">
        <f t="shared" si="43"/>
        <v>162</v>
      </c>
      <c r="BM115" s="1539">
        <f t="shared" si="44"/>
        <v>300</v>
      </c>
      <c r="BO115" s="1183"/>
      <c r="BQ115" s="1182">
        <f t="shared" si="45"/>
        <v>0</v>
      </c>
      <c r="BR115" s="1182">
        <f t="shared" si="46"/>
        <v>0</v>
      </c>
      <c r="BS115" s="1182">
        <f t="shared" si="37"/>
        <v>0</v>
      </c>
      <c r="BT115" s="1182">
        <f t="shared" si="37"/>
        <v>0</v>
      </c>
    </row>
    <row r="116" spans="1:72" ht="13.5" customHeight="1">
      <c r="A116" s="1182" t="s">
        <v>1803</v>
      </c>
      <c r="B116" s="1182" t="s">
        <v>1804</v>
      </c>
      <c r="C116" s="1182" t="s">
        <v>1639</v>
      </c>
      <c r="D116" s="1182" t="s">
        <v>1933</v>
      </c>
      <c r="E116" s="1182" t="s">
        <v>1934</v>
      </c>
      <c r="F116" s="1182" t="s">
        <v>2036</v>
      </c>
      <c r="G116" s="1182" t="s">
        <v>2036</v>
      </c>
      <c r="H116" s="1182" t="s">
        <v>1948</v>
      </c>
      <c r="I116" s="1182" t="s">
        <v>1937</v>
      </c>
      <c r="J116" s="1182" t="s">
        <v>2037</v>
      </c>
      <c r="K116" s="1182" t="s">
        <v>1811</v>
      </c>
      <c r="L116" s="1182" t="s">
        <v>1812</v>
      </c>
      <c r="M116" s="1182" t="s">
        <v>1803</v>
      </c>
      <c r="N116" s="1182" t="s">
        <v>1939</v>
      </c>
      <c r="O116" s="1182" t="s">
        <v>1554</v>
      </c>
      <c r="P116" s="1182" t="s">
        <v>1575</v>
      </c>
      <c r="Q116" s="1182" t="s">
        <v>1574</v>
      </c>
      <c r="R116" s="1182" t="s">
        <v>1573</v>
      </c>
      <c r="S116" s="1182" t="s">
        <v>1577</v>
      </c>
      <c r="T116" s="1182" t="s">
        <v>1814</v>
      </c>
      <c r="U116" s="1182" t="s">
        <v>1815</v>
      </c>
      <c r="V116" s="1182">
        <v>0</v>
      </c>
      <c r="W116" s="1182">
        <v>0</v>
      </c>
      <c r="X116" s="1182">
        <v>0</v>
      </c>
      <c r="Y116" s="1183">
        <v>600</v>
      </c>
      <c r="Z116" s="1182" t="s">
        <v>1940</v>
      </c>
      <c r="AA116" s="1182" t="s">
        <v>1941</v>
      </c>
      <c r="AB116" s="1182">
        <v>600</v>
      </c>
      <c r="AC116" s="1182" t="s">
        <v>1942</v>
      </c>
      <c r="AD116" s="1182" t="s">
        <v>1577</v>
      </c>
      <c r="AE116" s="1182">
        <v>600</v>
      </c>
      <c r="AF116" s="1182" t="s">
        <v>1943</v>
      </c>
      <c r="AG116" s="1182" t="s">
        <v>1944</v>
      </c>
      <c r="AH116" s="1182">
        <v>0</v>
      </c>
      <c r="AI116" s="1182">
        <v>600</v>
      </c>
      <c r="AJ116" s="1182" t="s">
        <v>2038</v>
      </c>
      <c r="AL116" s="1186" t="s">
        <v>2039</v>
      </c>
      <c r="AM116" s="1182">
        <v>1</v>
      </c>
      <c r="AN116" s="1182">
        <v>0</v>
      </c>
      <c r="AO116" s="1182">
        <v>0</v>
      </c>
      <c r="AP116" s="1182">
        <v>0</v>
      </c>
      <c r="AQ116" s="1182" t="s">
        <v>1639</v>
      </c>
      <c r="AS116" s="1186" t="s">
        <v>1943</v>
      </c>
      <c r="AT116" s="1186" t="s">
        <v>1944</v>
      </c>
      <c r="AV116" s="1183">
        <v>276</v>
      </c>
      <c r="AW116" s="1183">
        <v>0</v>
      </c>
      <c r="AX116" s="1183">
        <v>0</v>
      </c>
      <c r="AY116" s="1538">
        <v>276</v>
      </c>
      <c r="AZ116" s="1183">
        <v>0</v>
      </c>
      <c r="BA116" s="1183">
        <v>324</v>
      </c>
      <c r="BB116" s="1540">
        <v>324</v>
      </c>
      <c r="BC116" s="1540">
        <v>600</v>
      </c>
      <c r="BD116" s="1540">
        <v>0</v>
      </c>
      <c r="BF116" s="1539">
        <f t="shared" si="38"/>
        <v>276</v>
      </c>
      <c r="BG116" s="1539">
        <f t="shared" si="39"/>
        <v>0</v>
      </c>
      <c r="BH116" s="1539">
        <f t="shared" si="40"/>
        <v>0</v>
      </c>
      <c r="BI116" s="1539">
        <f t="shared" si="41"/>
        <v>276</v>
      </c>
      <c r="BJ116" s="1539">
        <f t="shared" si="42"/>
        <v>0</v>
      </c>
      <c r="BK116" s="1539">
        <f t="shared" si="47"/>
        <v>324</v>
      </c>
      <c r="BL116" s="1539">
        <f t="shared" si="43"/>
        <v>324</v>
      </c>
      <c r="BM116" s="1539">
        <f t="shared" si="44"/>
        <v>600</v>
      </c>
      <c r="BO116" s="1183"/>
      <c r="BQ116" s="1182">
        <f t="shared" si="45"/>
        <v>0</v>
      </c>
      <c r="BR116" s="1182">
        <f t="shared" si="46"/>
        <v>0</v>
      </c>
      <c r="BS116" s="1182">
        <f t="shared" si="37"/>
        <v>0</v>
      </c>
      <c r="BT116" s="1182">
        <f t="shared" si="37"/>
        <v>0</v>
      </c>
    </row>
    <row r="117" spans="1:72" ht="13.5" customHeight="1">
      <c r="A117" s="1182" t="s">
        <v>1803</v>
      </c>
      <c r="B117" s="1182" t="s">
        <v>1804</v>
      </c>
      <c r="C117" s="1182" t="s">
        <v>1639</v>
      </c>
      <c r="D117" s="1182" t="s">
        <v>1933</v>
      </c>
      <c r="E117" s="1182" t="s">
        <v>1934</v>
      </c>
      <c r="F117" s="1182" t="s">
        <v>1952</v>
      </c>
      <c r="G117" s="1182" t="s">
        <v>1952</v>
      </c>
      <c r="H117" s="1182" t="s">
        <v>1948</v>
      </c>
      <c r="I117" s="1182" t="s">
        <v>1937</v>
      </c>
      <c r="J117" s="1182" t="s">
        <v>1953</v>
      </c>
      <c r="K117" s="1182" t="s">
        <v>1811</v>
      </c>
      <c r="L117" s="1182" t="s">
        <v>1812</v>
      </c>
      <c r="M117" s="1182" t="s">
        <v>1803</v>
      </c>
      <c r="N117" s="1182" t="s">
        <v>1939</v>
      </c>
      <c r="O117" s="1182" t="s">
        <v>1554</v>
      </c>
      <c r="P117" s="1182" t="s">
        <v>1575</v>
      </c>
      <c r="Q117" s="1182" t="s">
        <v>1574</v>
      </c>
      <c r="R117" s="1182" t="s">
        <v>1573</v>
      </c>
      <c r="S117" s="1182" t="s">
        <v>1577</v>
      </c>
      <c r="T117" s="1182" t="s">
        <v>1814</v>
      </c>
      <c r="U117" s="1182" t="s">
        <v>1815</v>
      </c>
      <c r="V117" s="1182">
        <v>0</v>
      </c>
      <c r="W117" s="1182">
        <v>0</v>
      </c>
      <c r="X117" s="1182">
        <v>0</v>
      </c>
      <c r="Y117" s="1183">
        <v>200</v>
      </c>
      <c r="Z117" s="1182" t="s">
        <v>1940</v>
      </c>
      <c r="AA117" s="1182" t="s">
        <v>1941</v>
      </c>
      <c r="AB117" s="1182">
        <v>200</v>
      </c>
      <c r="AC117" s="1182" t="s">
        <v>1942</v>
      </c>
      <c r="AD117" s="1182" t="s">
        <v>1577</v>
      </c>
      <c r="AE117" s="1182">
        <v>200</v>
      </c>
      <c r="AF117" s="1182" t="s">
        <v>1943</v>
      </c>
      <c r="AG117" s="1182" t="s">
        <v>1944</v>
      </c>
      <c r="AH117" s="1182">
        <v>0</v>
      </c>
      <c r="AI117" s="1182">
        <v>200</v>
      </c>
      <c r="AJ117" s="1182" t="s">
        <v>1954</v>
      </c>
      <c r="AL117" s="1186" t="s">
        <v>1955</v>
      </c>
      <c r="AM117" s="1182">
        <v>1</v>
      </c>
      <c r="AN117" s="1182">
        <v>0</v>
      </c>
      <c r="AO117" s="1182">
        <v>0</v>
      </c>
      <c r="AP117" s="1182">
        <v>0</v>
      </c>
      <c r="AQ117" s="1182" t="s">
        <v>1639</v>
      </c>
      <c r="AS117" s="1186" t="s">
        <v>1943</v>
      </c>
      <c r="AT117" s="1186" t="s">
        <v>1944</v>
      </c>
      <c r="AV117" s="1183">
        <v>92</v>
      </c>
      <c r="AW117" s="1183">
        <v>0</v>
      </c>
      <c r="AX117" s="1183">
        <v>0</v>
      </c>
      <c r="AY117" s="1538">
        <v>92</v>
      </c>
      <c r="AZ117" s="1183">
        <v>0</v>
      </c>
      <c r="BA117" s="1183">
        <v>108</v>
      </c>
      <c r="BB117" s="1540">
        <v>108</v>
      </c>
      <c r="BC117" s="1540">
        <v>200</v>
      </c>
      <c r="BD117" s="1540">
        <v>0</v>
      </c>
      <c r="BF117" s="1539">
        <f t="shared" si="38"/>
        <v>92</v>
      </c>
      <c r="BG117" s="1539">
        <f t="shared" si="39"/>
        <v>0</v>
      </c>
      <c r="BH117" s="1539">
        <f t="shared" si="40"/>
        <v>0</v>
      </c>
      <c r="BI117" s="1539">
        <f t="shared" si="41"/>
        <v>92</v>
      </c>
      <c r="BJ117" s="1539">
        <f t="shared" si="42"/>
        <v>0</v>
      </c>
      <c r="BK117" s="1539">
        <f t="shared" si="47"/>
        <v>108</v>
      </c>
      <c r="BL117" s="1539">
        <f t="shared" si="43"/>
        <v>108</v>
      </c>
      <c r="BM117" s="1539">
        <f t="shared" si="44"/>
        <v>200</v>
      </c>
      <c r="BO117" s="1183"/>
      <c r="BQ117" s="1182">
        <f t="shared" si="45"/>
        <v>0</v>
      </c>
      <c r="BR117" s="1182">
        <f t="shared" si="46"/>
        <v>0</v>
      </c>
      <c r="BS117" s="1182">
        <f t="shared" si="37"/>
        <v>0</v>
      </c>
      <c r="BT117" s="1182">
        <f t="shared" si="37"/>
        <v>0</v>
      </c>
    </row>
    <row r="118" spans="1:72" ht="13.5" customHeight="1">
      <c r="A118" s="1182" t="s">
        <v>1803</v>
      </c>
      <c r="B118" s="1182" t="s">
        <v>1804</v>
      </c>
      <c r="C118" s="1182" t="s">
        <v>1639</v>
      </c>
      <c r="D118" s="1182" t="s">
        <v>1933</v>
      </c>
      <c r="E118" s="1182" t="s">
        <v>1934</v>
      </c>
      <c r="F118" s="1182" t="s">
        <v>1952</v>
      </c>
      <c r="G118" s="1182" t="s">
        <v>1952</v>
      </c>
      <c r="H118" s="1182" t="s">
        <v>1948</v>
      </c>
      <c r="I118" s="1182" t="s">
        <v>1937</v>
      </c>
      <c r="J118" s="1182" t="s">
        <v>1953</v>
      </c>
      <c r="K118" s="1182" t="s">
        <v>1811</v>
      </c>
      <c r="L118" s="1182" t="s">
        <v>1956</v>
      </c>
      <c r="M118" s="1182" t="s">
        <v>1803</v>
      </c>
      <c r="N118" s="1182" t="s">
        <v>1939</v>
      </c>
      <c r="O118" s="1182" t="s">
        <v>1554</v>
      </c>
      <c r="P118" s="1182" t="s">
        <v>1575</v>
      </c>
      <c r="Q118" s="1182" t="s">
        <v>1574</v>
      </c>
      <c r="R118" s="1182" t="s">
        <v>1573</v>
      </c>
      <c r="S118" s="1182" t="s">
        <v>1577</v>
      </c>
      <c r="T118" s="1182" t="s">
        <v>1814</v>
      </c>
      <c r="U118" s="1182" t="s">
        <v>1815</v>
      </c>
      <c r="V118" s="1182">
        <v>0</v>
      </c>
      <c r="W118" s="1182">
        <v>0</v>
      </c>
      <c r="X118" s="1182">
        <v>0</v>
      </c>
      <c r="Y118" s="1183">
        <v>300</v>
      </c>
      <c r="Z118" s="1182" t="s">
        <v>1940</v>
      </c>
      <c r="AA118" s="1182" t="s">
        <v>1941</v>
      </c>
      <c r="AB118" s="1182">
        <v>300</v>
      </c>
      <c r="AC118" s="1182" t="s">
        <v>1942</v>
      </c>
      <c r="AD118" s="1182" t="s">
        <v>1577</v>
      </c>
      <c r="AE118" s="1182">
        <v>300</v>
      </c>
      <c r="AF118" s="1182" t="s">
        <v>1943</v>
      </c>
      <c r="AG118" s="1182" t="s">
        <v>1944</v>
      </c>
      <c r="AH118" s="1182">
        <v>0</v>
      </c>
      <c r="AI118" s="1182">
        <v>300</v>
      </c>
      <c r="AJ118" s="1182" t="s">
        <v>1957</v>
      </c>
      <c r="AL118" s="1186" t="s">
        <v>1958</v>
      </c>
      <c r="AM118" s="1182">
        <v>1</v>
      </c>
      <c r="AN118" s="1182">
        <v>0</v>
      </c>
      <c r="AO118" s="1182">
        <v>0</v>
      </c>
      <c r="AP118" s="1182">
        <v>0</v>
      </c>
      <c r="AQ118" s="1182" t="s">
        <v>1639</v>
      </c>
      <c r="AS118" s="1186" t="s">
        <v>1943</v>
      </c>
      <c r="AT118" s="1186" t="s">
        <v>1944</v>
      </c>
      <c r="AV118" s="1183">
        <v>138</v>
      </c>
      <c r="AW118" s="1183">
        <v>0</v>
      </c>
      <c r="AX118" s="1183">
        <v>0</v>
      </c>
      <c r="AY118" s="1538">
        <v>138</v>
      </c>
      <c r="AZ118" s="1183">
        <v>0</v>
      </c>
      <c r="BA118" s="1183">
        <v>162</v>
      </c>
      <c r="BB118" s="1540">
        <v>162</v>
      </c>
      <c r="BC118" s="1540">
        <v>300</v>
      </c>
      <c r="BD118" s="1540">
        <v>0</v>
      </c>
      <c r="BF118" s="1539">
        <f t="shared" si="38"/>
        <v>138</v>
      </c>
      <c r="BG118" s="1539">
        <f t="shared" si="39"/>
        <v>0</v>
      </c>
      <c r="BH118" s="1539">
        <f t="shared" si="40"/>
        <v>0</v>
      </c>
      <c r="BI118" s="1539">
        <f t="shared" si="41"/>
        <v>138</v>
      </c>
      <c r="BJ118" s="1539">
        <f t="shared" si="42"/>
        <v>0</v>
      </c>
      <c r="BK118" s="1539">
        <f t="shared" si="47"/>
        <v>162</v>
      </c>
      <c r="BL118" s="1539">
        <f t="shared" si="43"/>
        <v>162</v>
      </c>
      <c r="BM118" s="1539">
        <f t="shared" si="44"/>
        <v>300</v>
      </c>
      <c r="BO118" s="1183"/>
      <c r="BQ118" s="1182">
        <f t="shared" si="45"/>
        <v>0</v>
      </c>
      <c r="BR118" s="1182">
        <f t="shared" si="46"/>
        <v>0</v>
      </c>
      <c r="BS118" s="1182">
        <f t="shared" si="37"/>
        <v>0</v>
      </c>
      <c r="BT118" s="1182">
        <f t="shared" si="37"/>
        <v>0</v>
      </c>
    </row>
    <row r="119" spans="1:72" ht="13.5" customHeight="1">
      <c r="A119" s="1182" t="s">
        <v>1803</v>
      </c>
      <c r="B119" s="1182" t="s">
        <v>1804</v>
      </c>
      <c r="C119" s="1182" t="s">
        <v>1639</v>
      </c>
      <c r="D119" s="1182" t="s">
        <v>1933</v>
      </c>
      <c r="E119" s="1182" t="s">
        <v>1934</v>
      </c>
      <c r="F119" s="1182" t="s">
        <v>1947</v>
      </c>
      <c r="G119" s="1182" t="s">
        <v>1947</v>
      </c>
      <c r="H119" s="1182" t="s">
        <v>1948</v>
      </c>
      <c r="I119" s="1182" t="s">
        <v>1937</v>
      </c>
      <c r="J119" s="1182" t="s">
        <v>1949</v>
      </c>
      <c r="K119" s="1182" t="s">
        <v>1811</v>
      </c>
      <c r="L119" s="1182" t="s">
        <v>1812</v>
      </c>
      <c r="M119" s="1182" t="s">
        <v>1803</v>
      </c>
      <c r="N119" s="1182" t="s">
        <v>1939</v>
      </c>
      <c r="O119" s="1182" t="s">
        <v>1554</v>
      </c>
      <c r="P119" s="1182" t="s">
        <v>1575</v>
      </c>
      <c r="Q119" s="1182" t="s">
        <v>1574</v>
      </c>
      <c r="R119" s="1182" t="s">
        <v>1573</v>
      </c>
      <c r="S119" s="1182" t="s">
        <v>1577</v>
      </c>
      <c r="T119" s="1182" t="s">
        <v>1814</v>
      </c>
      <c r="U119" s="1182" t="s">
        <v>1815</v>
      </c>
      <c r="V119" s="1182">
        <v>0</v>
      </c>
      <c r="W119" s="1182">
        <v>0</v>
      </c>
      <c r="X119" s="1182">
        <v>0</v>
      </c>
      <c r="Y119" s="1183">
        <v>300</v>
      </c>
      <c r="Z119" s="1182" t="s">
        <v>1940</v>
      </c>
      <c r="AA119" s="1182" t="s">
        <v>1941</v>
      </c>
      <c r="AB119" s="1182">
        <v>300</v>
      </c>
      <c r="AC119" s="1182" t="s">
        <v>1942</v>
      </c>
      <c r="AD119" s="1182" t="s">
        <v>1577</v>
      </c>
      <c r="AE119" s="1182">
        <v>300</v>
      </c>
      <c r="AF119" s="1182" t="s">
        <v>1943</v>
      </c>
      <c r="AG119" s="1182" t="s">
        <v>1944</v>
      </c>
      <c r="AH119" s="1182">
        <v>0</v>
      </c>
      <c r="AI119" s="1182">
        <v>300</v>
      </c>
      <c r="AJ119" s="1182" t="s">
        <v>1950</v>
      </c>
      <c r="AL119" s="1186" t="s">
        <v>1951</v>
      </c>
      <c r="AM119" s="1182">
        <v>1</v>
      </c>
      <c r="AN119" s="1182">
        <v>0</v>
      </c>
      <c r="AO119" s="1182">
        <v>0</v>
      </c>
      <c r="AP119" s="1182">
        <v>0</v>
      </c>
      <c r="AQ119" s="1182" t="s">
        <v>1639</v>
      </c>
      <c r="AS119" s="1186" t="s">
        <v>1943</v>
      </c>
      <c r="AT119" s="1186" t="s">
        <v>1944</v>
      </c>
      <c r="AV119" s="1183">
        <v>138</v>
      </c>
      <c r="AW119" s="1183">
        <v>0</v>
      </c>
      <c r="AX119" s="1183">
        <v>0</v>
      </c>
      <c r="AY119" s="1538">
        <v>138</v>
      </c>
      <c r="AZ119" s="1183">
        <v>0</v>
      </c>
      <c r="BA119" s="1183">
        <v>162</v>
      </c>
      <c r="BB119" s="1540">
        <v>162</v>
      </c>
      <c r="BC119" s="1540">
        <v>300</v>
      </c>
      <c r="BD119" s="1540">
        <v>0</v>
      </c>
      <c r="BF119" s="1539">
        <f t="shared" si="38"/>
        <v>138</v>
      </c>
      <c r="BG119" s="1539">
        <f t="shared" si="39"/>
        <v>0</v>
      </c>
      <c r="BH119" s="1539">
        <f t="shared" si="40"/>
        <v>0</v>
      </c>
      <c r="BI119" s="1539">
        <f t="shared" si="41"/>
        <v>138</v>
      </c>
      <c r="BJ119" s="1539">
        <f t="shared" si="42"/>
        <v>0</v>
      </c>
      <c r="BK119" s="1539">
        <f t="shared" si="47"/>
        <v>162</v>
      </c>
      <c r="BL119" s="1539">
        <f t="shared" si="43"/>
        <v>162</v>
      </c>
      <c r="BM119" s="1539">
        <f t="shared" si="44"/>
        <v>300</v>
      </c>
      <c r="BO119" s="1183"/>
      <c r="BQ119" s="1182">
        <f t="shared" si="45"/>
        <v>0</v>
      </c>
      <c r="BR119" s="1182">
        <f t="shared" si="46"/>
        <v>0</v>
      </c>
      <c r="BS119" s="1182">
        <f t="shared" si="37"/>
        <v>0</v>
      </c>
      <c r="BT119" s="1182">
        <f t="shared" si="37"/>
        <v>0</v>
      </c>
    </row>
    <row r="120" spans="1:72" ht="13.5" customHeight="1">
      <c r="A120" s="1182" t="s">
        <v>1803</v>
      </c>
      <c r="B120" s="1182" t="s">
        <v>1804</v>
      </c>
      <c r="C120" s="1182" t="s">
        <v>1639</v>
      </c>
      <c r="D120" s="1182" t="s">
        <v>1933</v>
      </c>
      <c r="E120" s="1182" t="s">
        <v>1934</v>
      </c>
      <c r="F120" s="1182" t="s">
        <v>2014</v>
      </c>
      <c r="G120" s="1182" t="s">
        <v>2014</v>
      </c>
      <c r="H120" s="1182" t="s">
        <v>1948</v>
      </c>
      <c r="I120" s="1182" t="s">
        <v>1937</v>
      </c>
      <c r="J120" s="1182" t="s">
        <v>2015</v>
      </c>
      <c r="K120" s="1182" t="s">
        <v>1811</v>
      </c>
      <c r="L120" s="1182" t="s">
        <v>1812</v>
      </c>
      <c r="M120" s="1182" t="s">
        <v>1803</v>
      </c>
      <c r="N120" s="1182" t="s">
        <v>1939</v>
      </c>
      <c r="O120" s="1182" t="s">
        <v>1554</v>
      </c>
      <c r="P120" s="1182" t="s">
        <v>1575</v>
      </c>
      <c r="Q120" s="1182" t="s">
        <v>1574</v>
      </c>
      <c r="R120" s="1182" t="s">
        <v>1573</v>
      </c>
      <c r="S120" s="1182" t="s">
        <v>1577</v>
      </c>
      <c r="T120" s="1182" t="s">
        <v>1814</v>
      </c>
      <c r="U120" s="1182" t="s">
        <v>1815</v>
      </c>
      <c r="V120" s="1182">
        <v>0</v>
      </c>
      <c r="W120" s="1182">
        <v>0</v>
      </c>
      <c r="X120" s="1182">
        <v>0</v>
      </c>
      <c r="Y120" s="1183">
        <v>470</v>
      </c>
      <c r="Z120" s="1182" t="s">
        <v>1940</v>
      </c>
      <c r="AA120" s="1182" t="s">
        <v>1941</v>
      </c>
      <c r="AB120" s="1182">
        <v>470</v>
      </c>
      <c r="AC120" s="1182" t="s">
        <v>1942</v>
      </c>
      <c r="AD120" s="1182" t="s">
        <v>1577</v>
      </c>
      <c r="AE120" s="1182">
        <v>470</v>
      </c>
      <c r="AF120" s="1182" t="s">
        <v>1943</v>
      </c>
      <c r="AG120" s="1182" t="s">
        <v>1944</v>
      </c>
      <c r="AH120" s="1182">
        <v>0</v>
      </c>
      <c r="AI120" s="1182">
        <v>470</v>
      </c>
      <c r="AJ120" s="1182" t="s">
        <v>2016</v>
      </c>
      <c r="AL120" s="1186" t="s">
        <v>2017</v>
      </c>
      <c r="AM120" s="1182">
        <v>1</v>
      </c>
      <c r="AN120" s="1182">
        <v>0</v>
      </c>
      <c r="AO120" s="1182">
        <v>0</v>
      </c>
      <c r="AP120" s="1182">
        <v>0</v>
      </c>
      <c r="AQ120" s="1182" t="s">
        <v>1639</v>
      </c>
      <c r="AS120" s="1186" t="s">
        <v>1943</v>
      </c>
      <c r="AT120" s="1186" t="s">
        <v>1944</v>
      </c>
      <c r="AV120" s="1183">
        <v>216</v>
      </c>
      <c r="AW120" s="1183">
        <v>0</v>
      </c>
      <c r="AX120" s="1183">
        <v>0</v>
      </c>
      <c r="AY120" s="1538">
        <v>216</v>
      </c>
      <c r="AZ120" s="1183">
        <v>0</v>
      </c>
      <c r="BA120" s="1183">
        <v>254</v>
      </c>
      <c r="BB120" s="1540">
        <v>254</v>
      </c>
      <c r="BC120" s="1540">
        <v>470</v>
      </c>
      <c r="BD120" s="1540">
        <v>0</v>
      </c>
      <c r="BF120" s="1539">
        <f t="shared" si="38"/>
        <v>216</v>
      </c>
      <c r="BG120" s="1539">
        <f t="shared" si="39"/>
        <v>0</v>
      </c>
      <c r="BH120" s="1539">
        <f t="shared" si="40"/>
        <v>0</v>
      </c>
      <c r="BI120" s="1539">
        <f t="shared" si="41"/>
        <v>216</v>
      </c>
      <c r="BJ120" s="1539">
        <f t="shared" si="42"/>
        <v>0</v>
      </c>
      <c r="BK120" s="1539">
        <f t="shared" si="47"/>
        <v>254</v>
      </c>
      <c r="BL120" s="1539">
        <f t="shared" si="43"/>
        <v>254</v>
      </c>
      <c r="BM120" s="1539">
        <f t="shared" si="44"/>
        <v>470</v>
      </c>
      <c r="BO120" s="1183"/>
      <c r="BQ120" s="1182">
        <f t="shared" si="45"/>
        <v>0</v>
      </c>
      <c r="BR120" s="1182">
        <f t="shared" si="46"/>
        <v>0</v>
      </c>
      <c r="BS120" s="1182">
        <f t="shared" si="37"/>
        <v>0</v>
      </c>
      <c r="BT120" s="1182">
        <f t="shared" si="37"/>
        <v>0</v>
      </c>
    </row>
    <row r="121" spans="1:72" ht="13.5" customHeight="1">
      <c r="A121" s="1182" t="s">
        <v>1803</v>
      </c>
      <c r="B121" s="1182" t="s">
        <v>1804</v>
      </c>
      <c r="C121" s="1182" t="s">
        <v>1639</v>
      </c>
      <c r="D121" s="1182" t="s">
        <v>1933</v>
      </c>
      <c r="E121" s="1182" t="s">
        <v>1934</v>
      </c>
      <c r="F121" s="1182" t="s">
        <v>1963</v>
      </c>
      <c r="G121" s="1182" t="s">
        <v>1963</v>
      </c>
      <c r="H121" s="1182" t="s">
        <v>1936</v>
      </c>
      <c r="I121" s="1182" t="s">
        <v>1937</v>
      </c>
      <c r="J121" s="1182" t="s">
        <v>1964</v>
      </c>
      <c r="K121" s="1182" t="s">
        <v>1811</v>
      </c>
      <c r="L121" s="1182" t="s">
        <v>1812</v>
      </c>
      <c r="M121" s="1182" t="s">
        <v>1803</v>
      </c>
      <c r="N121" s="1182" t="s">
        <v>1939</v>
      </c>
      <c r="O121" s="1182" t="s">
        <v>1554</v>
      </c>
      <c r="P121" s="1182" t="s">
        <v>1575</v>
      </c>
      <c r="Q121" s="1182" t="s">
        <v>1574</v>
      </c>
      <c r="R121" s="1182" t="s">
        <v>1573</v>
      </c>
      <c r="S121" s="1182" t="s">
        <v>1577</v>
      </c>
      <c r="T121" s="1182" t="s">
        <v>1814</v>
      </c>
      <c r="U121" s="1182" t="s">
        <v>1815</v>
      </c>
      <c r="V121" s="1182">
        <v>0</v>
      </c>
      <c r="W121" s="1182">
        <v>0</v>
      </c>
      <c r="X121" s="1182">
        <v>0</v>
      </c>
      <c r="Y121" s="1183">
        <v>600</v>
      </c>
      <c r="Z121" s="1182" t="s">
        <v>1940</v>
      </c>
      <c r="AA121" s="1182" t="s">
        <v>1941</v>
      </c>
      <c r="AB121" s="1182">
        <v>600</v>
      </c>
      <c r="AC121" s="1182" t="s">
        <v>1942</v>
      </c>
      <c r="AD121" s="1182" t="s">
        <v>1577</v>
      </c>
      <c r="AE121" s="1182">
        <v>600</v>
      </c>
      <c r="AF121" s="1182" t="s">
        <v>1943</v>
      </c>
      <c r="AG121" s="1182" t="s">
        <v>1944</v>
      </c>
      <c r="AH121" s="1182">
        <v>0</v>
      </c>
      <c r="AI121" s="1182">
        <v>600</v>
      </c>
      <c r="AJ121" s="1182" t="s">
        <v>1965</v>
      </c>
      <c r="AL121" s="1186" t="s">
        <v>1966</v>
      </c>
      <c r="AM121" s="1182">
        <v>1</v>
      </c>
      <c r="AN121" s="1182">
        <v>0</v>
      </c>
      <c r="AO121" s="1182">
        <v>0</v>
      </c>
      <c r="AP121" s="1182">
        <v>0</v>
      </c>
      <c r="AQ121" s="1182" t="s">
        <v>1639</v>
      </c>
      <c r="AS121" s="1186" t="s">
        <v>1943</v>
      </c>
      <c r="AT121" s="1186" t="s">
        <v>1944</v>
      </c>
      <c r="AV121" s="1183">
        <v>276</v>
      </c>
      <c r="AW121" s="1183">
        <v>0</v>
      </c>
      <c r="AX121" s="1183">
        <v>0</v>
      </c>
      <c r="AY121" s="1538">
        <v>276</v>
      </c>
      <c r="AZ121" s="1183">
        <v>0</v>
      </c>
      <c r="BA121" s="1183">
        <v>324</v>
      </c>
      <c r="BB121" s="1540">
        <v>324</v>
      </c>
      <c r="BC121" s="1540">
        <v>600</v>
      </c>
      <c r="BD121" s="1540">
        <v>0</v>
      </c>
      <c r="BF121" s="1539">
        <f t="shared" si="38"/>
        <v>276</v>
      </c>
      <c r="BG121" s="1539">
        <f t="shared" si="39"/>
        <v>0</v>
      </c>
      <c r="BH121" s="1539">
        <f t="shared" si="40"/>
        <v>0</v>
      </c>
      <c r="BI121" s="1539">
        <f t="shared" si="41"/>
        <v>276</v>
      </c>
      <c r="BJ121" s="1539">
        <f t="shared" si="42"/>
        <v>0</v>
      </c>
      <c r="BK121" s="1539">
        <f t="shared" si="47"/>
        <v>324</v>
      </c>
      <c r="BL121" s="1539">
        <f t="shared" si="43"/>
        <v>324</v>
      </c>
      <c r="BM121" s="1539">
        <f t="shared" si="44"/>
        <v>600</v>
      </c>
      <c r="BO121" s="1183"/>
      <c r="BQ121" s="1182">
        <f t="shared" si="45"/>
        <v>0</v>
      </c>
      <c r="BR121" s="1182">
        <f t="shared" si="46"/>
        <v>0</v>
      </c>
      <c r="BS121" s="1182">
        <f t="shared" ref="BS121:BT171" si="48">AZ121*100/(100+$AT121)-BJ121</f>
        <v>0</v>
      </c>
      <c r="BT121" s="1182">
        <f t="shared" si="48"/>
        <v>0</v>
      </c>
    </row>
    <row r="122" spans="1:72" ht="13.5" customHeight="1">
      <c r="A122" s="1182" t="s">
        <v>1803</v>
      </c>
      <c r="B122" s="1182" t="s">
        <v>1804</v>
      </c>
      <c r="C122" s="1182" t="s">
        <v>1639</v>
      </c>
      <c r="D122" s="1182" t="s">
        <v>1933</v>
      </c>
      <c r="E122" s="1182" t="s">
        <v>1934</v>
      </c>
      <c r="F122" s="1182" t="s">
        <v>1959</v>
      </c>
      <c r="G122" s="1182" t="s">
        <v>1959</v>
      </c>
      <c r="H122" s="1182" t="s">
        <v>1936</v>
      </c>
      <c r="I122" s="1182" t="s">
        <v>1937</v>
      </c>
      <c r="J122" s="1182" t="s">
        <v>1960</v>
      </c>
      <c r="K122" s="1182" t="s">
        <v>1811</v>
      </c>
      <c r="L122" s="1182" t="s">
        <v>1812</v>
      </c>
      <c r="M122" s="1182" t="s">
        <v>1803</v>
      </c>
      <c r="N122" s="1182" t="s">
        <v>1939</v>
      </c>
      <c r="O122" s="1182" t="s">
        <v>1554</v>
      </c>
      <c r="P122" s="1182" t="s">
        <v>1575</v>
      </c>
      <c r="Q122" s="1182" t="s">
        <v>1574</v>
      </c>
      <c r="R122" s="1182" t="s">
        <v>1573</v>
      </c>
      <c r="S122" s="1182" t="s">
        <v>1577</v>
      </c>
      <c r="T122" s="1182" t="s">
        <v>1814</v>
      </c>
      <c r="U122" s="1182" t="s">
        <v>1815</v>
      </c>
      <c r="V122" s="1182">
        <v>0</v>
      </c>
      <c r="W122" s="1182">
        <v>0</v>
      </c>
      <c r="X122" s="1182">
        <v>0</v>
      </c>
      <c r="Y122" s="1183">
        <v>300</v>
      </c>
      <c r="Z122" s="1182" t="s">
        <v>1940</v>
      </c>
      <c r="AA122" s="1182" t="s">
        <v>1941</v>
      </c>
      <c r="AB122" s="1182">
        <v>300</v>
      </c>
      <c r="AC122" s="1182" t="s">
        <v>1942</v>
      </c>
      <c r="AD122" s="1182" t="s">
        <v>1577</v>
      </c>
      <c r="AE122" s="1182">
        <v>300</v>
      </c>
      <c r="AF122" s="1182" t="s">
        <v>1943</v>
      </c>
      <c r="AG122" s="1182" t="s">
        <v>1944</v>
      </c>
      <c r="AH122" s="1182">
        <v>0</v>
      </c>
      <c r="AI122" s="1182">
        <v>300</v>
      </c>
      <c r="AJ122" s="1182" t="s">
        <v>1961</v>
      </c>
      <c r="AL122" s="1186" t="s">
        <v>1962</v>
      </c>
      <c r="AM122" s="1182">
        <v>1</v>
      </c>
      <c r="AN122" s="1182">
        <v>0</v>
      </c>
      <c r="AO122" s="1182">
        <v>0</v>
      </c>
      <c r="AP122" s="1182">
        <v>0</v>
      </c>
      <c r="AQ122" s="1182" t="s">
        <v>1639</v>
      </c>
      <c r="AS122" s="1186" t="s">
        <v>1943</v>
      </c>
      <c r="AT122" s="1186" t="s">
        <v>1944</v>
      </c>
      <c r="AV122" s="1183">
        <v>138</v>
      </c>
      <c r="AW122" s="1183">
        <v>0</v>
      </c>
      <c r="AX122" s="1183">
        <v>0</v>
      </c>
      <c r="AY122" s="1538">
        <v>138</v>
      </c>
      <c r="AZ122" s="1183">
        <v>0</v>
      </c>
      <c r="BA122" s="1183">
        <v>162</v>
      </c>
      <c r="BB122" s="1540">
        <v>162</v>
      </c>
      <c r="BC122" s="1540">
        <v>300</v>
      </c>
      <c r="BD122" s="1540">
        <v>0</v>
      </c>
      <c r="BF122" s="1539">
        <f t="shared" si="38"/>
        <v>138</v>
      </c>
      <c r="BG122" s="1539">
        <f t="shared" si="39"/>
        <v>0</v>
      </c>
      <c r="BH122" s="1539">
        <f t="shared" si="40"/>
        <v>0</v>
      </c>
      <c r="BI122" s="1539">
        <f t="shared" si="41"/>
        <v>138</v>
      </c>
      <c r="BJ122" s="1539">
        <f t="shared" si="42"/>
        <v>0</v>
      </c>
      <c r="BK122" s="1539">
        <f t="shared" si="47"/>
        <v>162</v>
      </c>
      <c r="BL122" s="1539">
        <f t="shared" si="43"/>
        <v>162</v>
      </c>
      <c r="BM122" s="1539">
        <f t="shared" si="44"/>
        <v>300</v>
      </c>
      <c r="BO122" s="1183"/>
      <c r="BQ122" s="1182">
        <f t="shared" si="45"/>
        <v>0</v>
      </c>
      <c r="BR122" s="1182">
        <f t="shared" si="46"/>
        <v>0</v>
      </c>
      <c r="BS122" s="1182">
        <f t="shared" si="48"/>
        <v>0</v>
      </c>
      <c r="BT122" s="1182">
        <f t="shared" si="48"/>
        <v>0</v>
      </c>
    </row>
    <row r="123" spans="1:72" ht="13.5" customHeight="1">
      <c r="A123" s="1182" t="s">
        <v>1803</v>
      </c>
      <c r="B123" s="1182" t="s">
        <v>1804</v>
      </c>
      <c r="C123" s="1182" t="s">
        <v>1639</v>
      </c>
      <c r="D123" s="1182" t="s">
        <v>1933</v>
      </c>
      <c r="E123" s="1182" t="s">
        <v>1934</v>
      </c>
      <c r="F123" s="1182" t="s">
        <v>2051</v>
      </c>
      <c r="G123" s="1182" t="s">
        <v>2051</v>
      </c>
      <c r="H123" s="1182" t="s">
        <v>1948</v>
      </c>
      <c r="I123" s="1182" t="s">
        <v>1937</v>
      </c>
      <c r="J123" s="1182" t="s">
        <v>2052</v>
      </c>
      <c r="K123" s="1182" t="s">
        <v>1811</v>
      </c>
      <c r="L123" s="1182" t="s">
        <v>1812</v>
      </c>
      <c r="M123" s="1182" t="s">
        <v>1803</v>
      </c>
      <c r="N123" s="1182" t="s">
        <v>1939</v>
      </c>
      <c r="O123" s="1182" t="s">
        <v>1554</v>
      </c>
      <c r="P123" s="1182" t="s">
        <v>1575</v>
      </c>
      <c r="Q123" s="1182" t="s">
        <v>1574</v>
      </c>
      <c r="R123" s="1182" t="s">
        <v>1573</v>
      </c>
      <c r="S123" s="1182" t="s">
        <v>1577</v>
      </c>
      <c r="T123" s="1182" t="s">
        <v>1814</v>
      </c>
      <c r="U123" s="1182" t="s">
        <v>1815</v>
      </c>
      <c r="V123" s="1182">
        <v>0</v>
      </c>
      <c r="W123" s="1182">
        <v>0</v>
      </c>
      <c r="X123" s="1182">
        <v>0</v>
      </c>
      <c r="Y123" s="1183">
        <v>600</v>
      </c>
      <c r="Z123" s="1182" t="s">
        <v>1940</v>
      </c>
      <c r="AA123" s="1182" t="s">
        <v>1941</v>
      </c>
      <c r="AB123" s="1182">
        <v>600</v>
      </c>
      <c r="AC123" s="1182" t="s">
        <v>1942</v>
      </c>
      <c r="AD123" s="1182" t="s">
        <v>1577</v>
      </c>
      <c r="AE123" s="1182">
        <v>600</v>
      </c>
      <c r="AF123" s="1182" t="s">
        <v>1943</v>
      </c>
      <c r="AG123" s="1182" t="s">
        <v>1944</v>
      </c>
      <c r="AH123" s="1182">
        <v>0</v>
      </c>
      <c r="AI123" s="1182">
        <v>600</v>
      </c>
      <c r="AJ123" s="1182" t="s">
        <v>2053</v>
      </c>
      <c r="AL123" s="1186" t="s">
        <v>2054</v>
      </c>
      <c r="AM123" s="1182">
        <v>1</v>
      </c>
      <c r="AN123" s="1182">
        <v>0</v>
      </c>
      <c r="AO123" s="1182">
        <v>0</v>
      </c>
      <c r="AP123" s="1182">
        <v>0</v>
      </c>
      <c r="AQ123" s="1182" t="s">
        <v>1639</v>
      </c>
      <c r="AS123" s="1186" t="s">
        <v>1943</v>
      </c>
      <c r="AT123" s="1186" t="s">
        <v>1944</v>
      </c>
      <c r="AV123" s="1183">
        <v>276</v>
      </c>
      <c r="AW123" s="1183">
        <v>0</v>
      </c>
      <c r="AX123" s="1183">
        <v>0</v>
      </c>
      <c r="AY123" s="1538">
        <v>276</v>
      </c>
      <c r="AZ123" s="1183">
        <v>0</v>
      </c>
      <c r="BA123" s="1183">
        <v>324</v>
      </c>
      <c r="BB123" s="1540">
        <v>324</v>
      </c>
      <c r="BC123" s="1540">
        <v>600</v>
      </c>
      <c r="BD123" s="1540">
        <v>0</v>
      </c>
      <c r="BF123" s="1539">
        <f t="shared" si="38"/>
        <v>276</v>
      </c>
      <c r="BG123" s="1539">
        <f t="shared" si="39"/>
        <v>0</v>
      </c>
      <c r="BH123" s="1539">
        <f t="shared" si="40"/>
        <v>0</v>
      </c>
      <c r="BI123" s="1539">
        <f t="shared" si="41"/>
        <v>276</v>
      </c>
      <c r="BJ123" s="1539">
        <f t="shared" si="42"/>
        <v>0</v>
      </c>
      <c r="BK123" s="1539">
        <f t="shared" si="47"/>
        <v>324</v>
      </c>
      <c r="BL123" s="1539">
        <f t="shared" si="43"/>
        <v>324</v>
      </c>
      <c r="BM123" s="1539">
        <f t="shared" si="44"/>
        <v>600</v>
      </c>
      <c r="BO123" s="1183"/>
      <c r="BQ123" s="1182">
        <f t="shared" si="45"/>
        <v>0</v>
      </c>
      <c r="BR123" s="1182">
        <f t="shared" si="46"/>
        <v>0</v>
      </c>
      <c r="BS123" s="1182">
        <f t="shared" si="48"/>
        <v>0</v>
      </c>
      <c r="BT123" s="1182">
        <f t="shared" si="48"/>
        <v>0</v>
      </c>
    </row>
    <row r="124" spans="1:72" ht="13.5" customHeight="1">
      <c r="A124" s="1182" t="s">
        <v>1803</v>
      </c>
      <c r="B124" s="1182" t="s">
        <v>1804</v>
      </c>
      <c r="C124" s="1182" t="s">
        <v>1639</v>
      </c>
      <c r="D124" s="1182" t="s">
        <v>1933</v>
      </c>
      <c r="E124" s="1182" t="s">
        <v>1934</v>
      </c>
      <c r="F124" s="1182" t="s">
        <v>2051</v>
      </c>
      <c r="G124" s="1182" t="s">
        <v>2051</v>
      </c>
      <c r="H124" s="1182" t="s">
        <v>1948</v>
      </c>
      <c r="I124" s="1182" t="s">
        <v>1937</v>
      </c>
      <c r="J124" s="1182" t="s">
        <v>2052</v>
      </c>
      <c r="K124" s="1182" t="s">
        <v>1811</v>
      </c>
      <c r="L124" s="1182" t="s">
        <v>1956</v>
      </c>
      <c r="M124" s="1182" t="s">
        <v>1803</v>
      </c>
      <c r="N124" s="1182" t="s">
        <v>1939</v>
      </c>
      <c r="O124" s="1182" t="s">
        <v>1554</v>
      </c>
      <c r="P124" s="1182" t="s">
        <v>1575</v>
      </c>
      <c r="Q124" s="1182" t="s">
        <v>1574</v>
      </c>
      <c r="R124" s="1182" t="s">
        <v>1573</v>
      </c>
      <c r="S124" s="1182" t="s">
        <v>1577</v>
      </c>
      <c r="T124" s="1182" t="s">
        <v>1814</v>
      </c>
      <c r="U124" s="1182" t="s">
        <v>1815</v>
      </c>
      <c r="V124" s="1182">
        <v>0</v>
      </c>
      <c r="W124" s="1182">
        <v>0</v>
      </c>
      <c r="X124" s="1182">
        <v>0</v>
      </c>
      <c r="Y124" s="1183">
        <v>600</v>
      </c>
      <c r="Z124" s="1182" t="s">
        <v>1940</v>
      </c>
      <c r="AA124" s="1182" t="s">
        <v>1941</v>
      </c>
      <c r="AB124" s="1182">
        <v>600</v>
      </c>
      <c r="AC124" s="1182" t="s">
        <v>1942</v>
      </c>
      <c r="AD124" s="1182" t="s">
        <v>1577</v>
      </c>
      <c r="AE124" s="1182">
        <v>600</v>
      </c>
      <c r="AF124" s="1182" t="s">
        <v>1943</v>
      </c>
      <c r="AG124" s="1182" t="s">
        <v>1944</v>
      </c>
      <c r="AH124" s="1182">
        <v>0</v>
      </c>
      <c r="AI124" s="1182">
        <v>600</v>
      </c>
      <c r="AJ124" s="1182" t="s">
        <v>2055</v>
      </c>
      <c r="AL124" s="1186" t="s">
        <v>2056</v>
      </c>
      <c r="AM124" s="1182">
        <v>1</v>
      </c>
      <c r="AN124" s="1182">
        <v>0</v>
      </c>
      <c r="AO124" s="1182">
        <v>0</v>
      </c>
      <c r="AP124" s="1182">
        <v>0</v>
      </c>
      <c r="AQ124" s="1182" t="s">
        <v>1639</v>
      </c>
      <c r="AS124" s="1186" t="s">
        <v>1943</v>
      </c>
      <c r="AT124" s="1186" t="s">
        <v>1944</v>
      </c>
      <c r="AV124" s="1183">
        <v>276</v>
      </c>
      <c r="AW124" s="1183">
        <v>0</v>
      </c>
      <c r="AX124" s="1183">
        <v>0</v>
      </c>
      <c r="AY124" s="1538">
        <v>276</v>
      </c>
      <c r="AZ124" s="1183">
        <v>0</v>
      </c>
      <c r="BA124" s="1183">
        <v>324</v>
      </c>
      <c r="BB124" s="1540">
        <v>324</v>
      </c>
      <c r="BC124" s="1540">
        <v>600</v>
      </c>
      <c r="BD124" s="1540">
        <v>0</v>
      </c>
      <c r="BF124" s="1539">
        <f t="shared" si="38"/>
        <v>276</v>
      </c>
      <c r="BG124" s="1539">
        <f t="shared" si="39"/>
        <v>0</v>
      </c>
      <c r="BH124" s="1539">
        <f t="shared" si="40"/>
        <v>0</v>
      </c>
      <c r="BI124" s="1539">
        <f t="shared" si="41"/>
        <v>276</v>
      </c>
      <c r="BJ124" s="1539">
        <f t="shared" si="42"/>
        <v>0</v>
      </c>
      <c r="BK124" s="1539">
        <f t="shared" si="47"/>
        <v>324</v>
      </c>
      <c r="BL124" s="1539">
        <f t="shared" si="43"/>
        <v>324</v>
      </c>
      <c r="BM124" s="1539">
        <f t="shared" si="44"/>
        <v>600</v>
      </c>
      <c r="BO124" s="1183"/>
      <c r="BQ124" s="1182">
        <f t="shared" si="45"/>
        <v>0</v>
      </c>
      <c r="BR124" s="1182">
        <f t="shared" si="46"/>
        <v>0</v>
      </c>
      <c r="BS124" s="1182">
        <f t="shared" si="48"/>
        <v>0</v>
      </c>
      <c r="BT124" s="1182">
        <f t="shared" si="48"/>
        <v>0</v>
      </c>
    </row>
    <row r="125" spans="1:72" ht="13.5" customHeight="1">
      <c r="A125" s="1182" t="s">
        <v>1803</v>
      </c>
      <c r="B125" s="1182" t="s">
        <v>1804</v>
      </c>
      <c r="C125" s="1182" t="s">
        <v>1639</v>
      </c>
      <c r="D125" s="1182" t="s">
        <v>1933</v>
      </c>
      <c r="E125" s="1182" t="s">
        <v>1934</v>
      </c>
      <c r="F125" s="1182" t="s">
        <v>1807</v>
      </c>
      <c r="G125" s="1182" t="s">
        <v>1807</v>
      </c>
      <c r="H125" s="1182" t="s">
        <v>1948</v>
      </c>
      <c r="I125" s="1182" t="s">
        <v>1937</v>
      </c>
      <c r="J125" s="1182" t="s">
        <v>2044</v>
      </c>
      <c r="K125" s="1182" t="s">
        <v>1811</v>
      </c>
      <c r="L125" s="1182" t="s">
        <v>1812</v>
      </c>
      <c r="M125" s="1182" t="s">
        <v>1803</v>
      </c>
      <c r="N125" s="1182" t="s">
        <v>1939</v>
      </c>
      <c r="O125" s="1182" t="s">
        <v>1554</v>
      </c>
      <c r="P125" s="1182" t="s">
        <v>1575</v>
      </c>
      <c r="Q125" s="1182" t="s">
        <v>1574</v>
      </c>
      <c r="R125" s="1182" t="s">
        <v>1573</v>
      </c>
      <c r="S125" s="1182" t="s">
        <v>1577</v>
      </c>
      <c r="T125" s="1182" t="s">
        <v>1814</v>
      </c>
      <c r="U125" s="1182" t="s">
        <v>1815</v>
      </c>
      <c r="V125" s="1182">
        <v>0</v>
      </c>
      <c r="W125" s="1182">
        <v>0</v>
      </c>
      <c r="X125" s="1182">
        <v>0</v>
      </c>
      <c r="Y125" s="1183">
        <v>300</v>
      </c>
      <c r="Z125" s="1182" t="s">
        <v>1940</v>
      </c>
      <c r="AA125" s="1182" t="s">
        <v>1941</v>
      </c>
      <c r="AB125" s="1182">
        <v>300</v>
      </c>
      <c r="AC125" s="1182" t="s">
        <v>1942</v>
      </c>
      <c r="AD125" s="1182" t="s">
        <v>1577</v>
      </c>
      <c r="AE125" s="1182">
        <v>300</v>
      </c>
      <c r="AF125" s="1182" t="s">
        <v>1943</v>
      </c>
      <c r="AG125" s="1182" t="s">
        <v>1944</v>
      </c>
      <c r="AH125" s="1182">
        <v>0</v>
      </c>
      <c r="AI125" s="1182">
        <v>300</v>
      </c>
      <c r="AJ125" s="1182" t="s">
        <v>2045</v>
      </c>
      <c r="AL125" s="1186" t="s">
        <v>2046</v>
      </c>
      <c r="AM125" s="1182">
        <v>1</v>
      </c>
      <c r="AN125" s="1182">
        <v>0</v>
      </c>
      <c r="AO125" s="1182">
        <v>0</v>
      </c>
      <c r="AP125" s="1182">
        <v>0</v>
      </c>
      <c r="AQ125" s="1182" t="s">
        <v>1639</v>
      </c>
      <c r="AS125" s="1186" t="s">
        <v>1943</v>
      </c>
      <c r="AT125" s="1186" t="s">
        <v>1944</v>
      </c>
      <c r="AV125" s="1183">
        <v>138</v>
      </c>
      <c r="AW125" s="1183">
        <v>0</v>
      </c>
      <c r="AX125" s="1183">
        <v>0</v>
      </c>
      <c r="AY125" s="1538">
        <v>138</v>
      </c>
      <c r="AZ125" s="1183">
        <v>0</v>
      </c>
      <c r="BA125" s="1183">
        <v>162</v>
      </c>
      <c r="BB125" s="1540">
        <v>162</v>
      </c>
      <c r="BC125" s="1540">
        <v>300</v>
      </c>
      <c r="BD125" s="1540">
        <v>0</v>
      </c>
      <c r="BF125" s="1539">
        <f t="shared" si="38"/>
        <v>138</v>
      </c>
      <c r="BG125" s="1539">
        <f t="shared" si="39"/>
        <v>0</v>
      </c>
      <c r="BH125" s="1539">
        <f t="shared" si="40"/>
        <v>0</v>
      </c>
      <c r="BI125" s="1539">
        <f t="shared" si="41"/>
        <v>138</v>
      </c>
      <c r="BJ125" s="1539">
        <f t="shared" si="42"/>
        <v>0</v>
      </c>
      <c r="BK125" s="1539">
        <f t="shared" si="47"/>
        <v>162</v>
      </c>
      <c r="BL125" s="1539">
        <f t="shared" si="43"/>
        <v>162</v>
      </c>
      <c r="BM125" s="1539">
        <f t="shared" si="44"/>
        <v>300</v>
      </c>
      <c r="BO125" s="1183"/>
      <c r="BQ125" s="1182">
        <f t="shared" si="45"/>
        <v>0</v>
      </c>
      <c r="BR125" s="1182">
        <f t="shared" si="46"/>
        <v>0</v>
      </c>
      <c r="BS125" s="1182">
        <f t="shared" si="48"/>
        <v>0</v>
      </c>
      <c r="BT125" s="1182">
        <f t="shared" si="48"/>
        <v>0</v>
      </c>
    </row>
    <row r="126" spans="1:72" ht="13.5" customHeight="1">
      <c r="A126" s="1182" t="s">
        <v>1803</v>
      </c>
      <c r="B126" s="1182" t="s">
        <v>1804</v>
      </c>
      <c r="C126" s="1182" t="s">
        <v>1639</v>
      </c>
      <c r="D126" s="1182" t="s">
        <v>1933</v>
      </c>
      <c r="E126" s="1182" t="s">
        <v>1934</v>
      </c>
      <c r="F126" s="1182" t="s">
        <v>1996</v>
      </c>
      <c r="G126" s="1182" t="s">
        <v>1996</v>
      </c>
      <c r="H126" s="1182" t="s">
        <v>1948</v>
      </c>
      <c r="I126" s="1182" t="s">
        <v>1937</v>
      </c>
      <c r="J126" s="1182" t="s">
        <v>1997</v>
      </c>
      <c r="K126" s="1182" t="s">
        <v>1811</v>
      </c>
      <c r="L126" s="1182" t="s">
        <v>1812</v>
      </c>
      <c r="M126" s="1182" t="s">
        <v>1803</v>
      </c>
      <c r="N126" s="1182" t="s">
        <v>1939</v>
      </c>
      <c r="O126" s="1182" t="s">
        <v>1554</v>
      </c>
      <c r="P126" s="1182" t="s">
        <v>1575</v>
      </c>
      <c r="Q126" s="1182" t="s">
        <v>1574</v>
      </c>
      <c r="R126" s="1182" t="s">
        <v>1573</v>
      </c>
      <c r="S126" s="1182" t="s">
        <v>1577</v>
      </c>
      <c r="T126" s="1182" t="s">
        <v>1814</v>
      </c>
      <c r="U126" s="1182" t="s">
        <v>1815</v>
      </c>
      <c r="V126" s="1182">
        <v>0</v>
      </c>
      <c r="W126" s="1182">
        <v>0</v>
      </c>
      <c r="X126" s="1182">
        <v>0</v>
      </c>
      <c r="Y126" s="1183">
        <v>300</v>
      </c>
      <c r="Z126" s="1182" t="s">
        <v>1940</v>
      </c>
      <c r="AA126" s="1182" t="s">
        <v>1941</v>
      </c>
      <c r="AB126" s="1182">
        <v>300</v>
      </c>
      <c r="AC126" s="1182" t="s">
        <v>1942</v>
      </c>
      <c r="AD126" s="1182" t="s">
        <v>1577</v>
      </c>
      <c r="AE126" s="1182">
        <v>300</v>
      </c>
      <c r="AF126" s="1182" t="s">
        <v>1943</v>
      </c>
      <c r="AG126" s="1182" t="s">
        <v>1944</v>
      </c>
      <c r="AH126" s="1182">
        <v>0</v>
      </c>
      <c r="AI126" s="1182">
        <v>300</v>
      </c>
      <c r="AJ126" s="1182" t="s">
        <v>1998</v>
      </c>
      <c r="AL126" s="1186" t="s">
        <v>1999</v>
      </c>
      <c r="AM126" s="1182">
        <v>1</v>
      </c>
      <c r="AN126" s="1182">
        <v>0</v>
      </c>
      <c r="AO126" s="1182">
        <v>0</v>
      </c>
      <c r="AP126" s="1182">
        <v>0</v>
      </c>
      <c r="AQ126" s="1182" t="s">
        <v>1639</v>
      </c>
      <c r="AS126" s="1186" t="s">
        <v>1943</v>
      </c>
      <c r="AT126" s="1186" t="s">
        <v>1944</v>
      </c>
      <c r="AV126" s="1183">
        <v>138</v>
      </c>
      <c r="AW126" s="1183">
        <v>0</v>
      </c>
      <c r="AX126" s="1183">
        <v>0</v>
      </c>
      <c r="AY126" s="1538">
        <v>138</v>
      </c>
      <c r="AZ126" s="1183">
        <v>0</v>
      </c>
      <c r="BA126" s="1183">
        <v>162</v>
      </c>
      <c r="BB126" s="1540">
        <v>162</v>
      </c>
      <c r="BC126" s="1540">
        <v>300</v>
      </c>
      <c r="BD126" s="1540">
        <v>0</v>
      </c>
      <c r="BF126" s="1539">
        <f t="shared" si="38"/>
        <v>138</v>
      </c>
      <c r="BG126" s="1539">
        <f t="shared" si="39"/>
        <v>0</v>
      </c>
      <c r="BH126" s="1539">
        <f t="shared" si="40"/>
        <v>0</v>
      </c>
      <c r="BI126" s="1539">
        <f t="shared" si="41"/>
        <v>138</v>
      </c>
      <c r="BJ126" s="1539">
        <f t="shared" si="42"/>
        <v>0</v>
      </c>
      <c r="BK126" s="1539">
        <f t="shared" si="47"/>
        <v>162</v>
      </c>
      <c r="BL126" s="1539">
        <f t="shared" si="43"/>
        <v>162</v>
      </c>
      <c r="BM126" s="1539">
        <f t="shared" si="44"/>
        <v>300</v>
      </c>
      <c r="BO126" s="1183"/>
      <c r="BQ126" s="1182">
        <f t="shared" si="45"/>
        <v>0</v>
      </c>
      <c r="BR126" s="1182">
        <f t="shared" si="46"/>
        <v>0</v>
      </c>
      <c r="BS126" s="1182">
        <f t="shared" si="48"/>
        <v>0</v>
      </c>
      <c r="BT126" s="1182">
        <f t="shared" si="48"/>
        <v>0</v>
      </c>
    </row>
    <row r="127" spans="1:72" ht="13.5" customHeight="1">
      <c r="A127" s="1182" t="s">
        <v>1803</v>
      </c>
      <c r="B127" s="1182" t="s">
        <v>1804</v>
      </c>
      <c r="C127" s="1182" t="s">
        <v>1639</v>
      </c>
      <c r="D127" s="1182" t="s">
        <v>1933</v>
      </c>
      <c r="E127" s="1182" t="s">
        <v>1934</v>
      </c>
      <c r="F127" s="1182" t="s">
        <v>2000</v>
      </c>
      <c r="G127" s="1182" t="s">
        <v>2000</v>
      </c>
      <c r="H127" s="1182" t="s">
        <v>1948</v>
      </c>
      <c r="I127" s="1182" t="s">
        <v>1937</v>
      </c>
      <c r="J127" s="1182" t="s">
        <v>2001</v>
      </c>
      <c r="K127" s="1182" t="s">
        <v>1811</v>
      </c>
      <c r="L127" s="1182" t="s">
        <v>1812</v>
      </c>
      <c r="M127" s="1182" t="s">
        <v>1803</v>
      </c>
      <c r="N127" s="1182" t="s">
        <v>1939</v>
      </c>
      <c r="O127" s="1182" t="s">
        <v>1554</v>
      </c>
      <c r="P127" s="1182" t="s">
        <v>1575</v>
      </c>
      <c r="Q127" s="1182" t="s">
        <v>1574</v>
      </c>
      <c r="R127" s="1182" t="s">
        <v>1573</v>
      </c>
      <c r="S127" s="1182" t="s">
        <v>1577</v>
      </c>
      <c r="T127" s="1182" t="s">
        <v>1814</v>
      </c>
      <c r="U127" s="1182" t="s">
        <v>1815</v>
      </c>
      <c r="V127" s="1182">
        <v>0</v>
      </c>
      <c r="W127" s="1182">
        <v>0</v>
      </c>
      <c r="X127" s="1182">
        <v>0</v>
      </c>
      <c r="Y127" s="1183">
        <v>300</v>
      </c>
      <c r="Z127" s="1182" t="s">
        <v>1940</v>
      </c>
      <c r="AA127" s="1182" t="s">
        <v>1941</v>
      </c>
      <c r="AB127" s="1182">
        <v>300</v>
      </c>
      <c r="AC127" s="1182" t="s">
        <v>1942</v>
      </c>
      <c r="AD127" s="1182" t="s">
        <v>1577</v>
      </c>
      <c r="AE127" s="1182">
        <v>300</v>
      </c>
      <c r="AF127" s="1182" t="s">
        <v>1943</v>
      </c>
      <c r="AG127" s="1182" t="s">
        <v>1944</v>
      </c>
      <c r="AH127" s="1182">
        <v>0</v>
      </c>
      <c r="AI127" s="1182">
        <v>300</v>
      </c>
      <c r="AJ127" s="1182" t="s">
        <v>2002</v>
      </c>
      <c r="AL127" s="1186" t="s">
        <v>2003</v>
      </c>
      <c r="AM127" s="1182">
        <v>1</v>
      </c>
      <c r="AN127" s="1182">
        <v>0</v>
      </c>
      <c r="AO127" s="1182">
        <v>0</v>
      </c>
      <c r="AP127" s="1182">
        <v>0</v>
      </c>
      <c r="AQ127" s="1182" t="s">
        <v>1639</v>
      </c>
      <c r="AS127" s="1186" t="s">
        <v>1943</v>
      </c>
      <c r="AT127" s="1186" t="s">
        <v>1944</v>
      </c>
      <c r="AV127" s="1183">
        <v>138</v>
      </c>
      <c r="AW127" s="1183">
        <v>0</v>
      </c>
      <c r="AX127" s="1183">
        <v>0</v>
      </c>
      <c r="AY127" s="1538">
        <v>138</v>
      </c>
      <c r="AZ127" s="1183">
        <v>0</v>
      </c>
      <c r="BA127" s="1183">
        <v>162</v>
      </c>
      <c r="BB127" s="1540">
        <v>162</v>
      </c>
      <c r="BC127" s="1540">
        <v>300</v>
      </c>
      <c r="BD127" s="1540">
        <v>0</v>
      </c>
      <c r="BF127" s="1539">
        <f t="shared" si="38"/>
        <v>138</v>
      </c>
      <c r="BG127" s="1539">
        <f t="shared" si="39"/>
        <v>0</v>
      </c>
      <c r="BH127" s="1539">
        <f t="shared" si="40"/>
        <v>0</v>
      </c>
      <c r="BI127" s="1539">
        <f t="shared" si="41"/>
        <v>138</v>
      </c>
      <c r="BJ127" s="1539">
        <f t="shared" si="42"/>
        <v>0</v>
      </c>
      <c r="BK127" s="1539">
        <f t="shared" si="47"/>
        <v>162</v>
      </c>
      <c r="BL127" s="1539">
        <f t="shared" si="43"/>
        <v>162</v>
      </c>
      <c r="BM127" s="1539">
        <f t="shared" si="44"/>
        <v>300</v>
      </c>
      <c r="BO127" s="1183"/>
      <c r="BQ127" s="1182">
        <f t="shared" si="45"/>
        <v>0</v>
      </c>
      <c r="BR127" s="1182">
        <f t="shared" si="46"/>
        <v>0</v>
      </c>
      <c r="BS127" s="1182">
        <f t="shared" si="48"/>
        <v>0</v>
      </c>
      <c r="BT127" s="1182">
        <f t="shared" si="48"/>
        <v>0</v>
      </c>
    </row>
    <row r="128" spans="1:72" ht="13.5" customHeight="1">
      <c r="A128" s="1182" t="s">
        <v>1803</v>
      </c>
      <c r="B128" s="1182" t="s">
        <v>1804</v>
      </c>
      <c r="C128" s="1182" t="s">
        <v>1639</v>
      </c>
      <c r="D128" s="1182" t="s">
        <v>1933</v>
      </c>
      <c r="E128" s="1182" t="s">
        <v>1934</v>
      </c>
      <c r="F128" s="1182" t="s">
        <v>2047</v>
      </c>
      <c r="G128" s="1182" t="s">
        <v>2047</v>
      </c>
      <c r="H128" s="1182" t="s">
        <v>1948</v>
      </c>
      <c r="I128" s="1182" t="s">
        <v>1937</v>
      </c>
      <c r="J128" s="1182" t="s">
        <v>2048</v>
      </c>
      <c r="K128" s="1182" t="s">
        <v>1811</v>
      </c>
      <c r="L128" s="1182" t="s">
        <v>1812</v>
      </c>
      <c r="M128" s="1182" t="s">
        <v>1803</v>
      </c>
      <c r="N128" s="1182" t="s">
        <v>1939</v>
      </c>
      <c r="O128" s="1182" t="s">
        <v>1554</v>
      </c>
      <c r="P128" s="1182" t="s">
        <v>1575</v>
      </c>
      <c r="Q128" s="1182" t="s">
        <v>1574</v>
      </c>
      <c r="R128" s="1182" t="s">
        <v>1573</v>
      </c>
      <c r="S128" s="1182" t="s">
        <v>1577</v>
      </c>
      <c r="T128" s="1182" t="s">
        <v>1814</v>
      </c>
      <c r="U128" s="1182" t="s">
        <v>1815</v>
      </c>
      <c r="V128" s="1182">
        <v>0</v>
      </c>
      <c r="W128" s="1182">
        <v>0</v>
      </c>
      <c r="X128" s="1182">
        <v>0</v>
      </c>
      <c r="Y128" s="1183">
        <v>470</v>
      </c>
      <c r="Z128" s="1182" t="s">
        <v>1940</v>
      </c>
      <c r="AA128" s="1182" t="s">
        <v>1941</v>
      </c>
      <c r="AB128" s="1182">
        <v>470</v>
      </c>
      <c r="AC128" s="1182" t="s">
        <v>1942</v>
      </c>
      <c r="AD128" s="1182" t="s">
        <v>1577</v>
      </c>
      <c r="AE128" s="1182">
        <v>470</v>
      </c>
      <c r="AF128" s="1182" t="s">
        <v>1943</v>
      </c>
      <c r="AG128" s="1182" t="s">
        <v>1944</v>
      </c>
      <c r="AH128" s="1182">
        <v>0</v>
      </c>
      <c r="AI128" s="1182">
        <v>470</v>
      </c>
      <c r="AJ128" s="1182" t="s">
        <v>2049</v>
      </c>
      <c r="AL128" s="1186" t="s">
        <v>2050</v>
      </c>
      <c r="AM128" s="1182">
        <v>1</v>
      </c>
      <c r="AN128" s="1182">
        <v>0</v>
      </c>
      <c r="AO128" s="1182">
        <v>0</v>
      </c>
      <c r="AP128" s="1182">
        <v>0</v>
      </c>
      <c r="AQ128" s="1182" t="s">
        <v>1639</v>
      </c>
      <c r="AS128" s="1186" t="s">
        <v>1943</v>
      </c>
      <c r="AT128" s="1186" t="s">
        <v>1944</v>
      </c>
      <c r="AV128" s="1183">
        <v>216</v>
      </c>
      <c r="AW128" s="1183">
        <v>0</v>
      </c>
      <c r="AX128" s="1183">
        <v>0</v>
      </c>
      <c r="AY128" s="1538">
        <v>216</v>
      </c>
      <c r="AZ128" s="1183">
        <v>0</v>
      </c>
      <c r="BA128" s="1183">
        <v>254</v>
      </c>
      <c r="BB128" s="1540">
        <v>254</v>
      </c>
      <c r="BC128" s="1540">
        <v>470</v>
      </c>
      <c r="BD128" s="1540">
        <v>0</v>
      </c>
      <c r="BF128" s="1539">
        <f t="shared" si="38"/>
        <v>216</v>
      </c>
      <c r="BG128" s="1539">
        <f t="shared" si="39"/>
        <v>0</v>
      </c>
      <c r="BH128" s="1539">
        <f t="shared" si="40"/>
        <v>0</v>
      </c>
      <c r="BI128" s="1539">
        <f t="shared" si="41"/>
        <v>216</v>
      </c>
      <c r="BJ128" s="1539">
        <f t="shared" si="42"/>
        <v>0</v>
      </c>
      <c r="BK128" s="1539">
        <f t="shared" si="47"/>
        <v>254</v>
      </c>
      <c r="BL128" s="1539">
        <f t="shared" si="43"/>
        <v>254</v>
      </c>
      <c r="BM128" s="1539">
        <f t="shared" si="44"/>
        <v>470</v>
      </c>
      <c r="BO128" s="1183"/>
      <c r="BQ128" s="1182">
        <f t="shared" si="45"/>
        <v>0</v>
      </c>
      <c r="BR128" s="1182">
        <f t="shared" si="46"/>
        <v>0</v>
      </c>
      <c r="BS128" s="1182">
        <f t="shared" si="48"/>
        <v>0</v>
      </c>
      <c r="BT128" s="1182">
        <f t="shared" si="48"/>
        <v>0</v>
      </c>
    </row>
    <row r="129" spans="1:72" ht="13.5" customHeight="1">
      <c r="A129" s="1182" t="s">
        <v>1803</v>
      </c>
      <c r="B129" s="1182" t="s">
        <v>1804</v>
      </c>
      <c r="C129" s="1182" t="s">
        <v>1639</v>
      </c>
      <c r="D129" s="1182" t="s">
        <v>1933</v>
      </c>
      <c r="E129" s="1182" t="s">
        <v>1934</v>
      </c>
      <c r="F129" s="1182" t="s">
        <v>2057</v>
      </c>
      <c r="G129" s="1182" t="s">
        <v>2057</v>
      </c>
      <c r="H129" s="1182" t="s">
        <v>1948</v>
      </c>
      <c r="I129" s="1182" t="s">
        <v>1937</v>
      </c>
      <c r="J129" s="1182" t="s">
        <v>2058</v>
      </c>
      <c r="K129" s="1182" t="s">
        <v>1811</v>
      </c>
      <c r="L129" s="1182" t="s">
        <v>1812</v>
      </c>
      <c r="M129" s="1182" t="s">
        <v>1803</v>
      </c>
      <c r="N129" s="1182" t="s">
        <v>1939</v>
      </c>
      <c r="O129" s="1182" t="s">
        <v>1554</v>
      </c>
      <c r="P129" s="1182" t="s">
        <v>1575</v>
      </c>
      <c r="Q129" s="1182" t="s">
        <v>1574</v>
      </c>
      <c r="R129" s="1182" t="s">
        <v>1573</v>
      </c>
      <c r="S129" s="1182" t="s">
        <v>1577</v>
      </c>
      <c r="T129" s="1182" t="s">
        <v>1814</v>
      </c>
      <c r="U129" s="1182" t="s">
        <v>1815</v>
      </c>
      <c r="V129" s="1182">
        <v>0</v>
      </c>
      <c r="W129" s="1182">
        <v>0</v>
      </c>
      <c r="X129" s="1182">
        <v>0</v>
      </c>
      <c r="Y129" s="1183">
        <v>300</v>
      </c>
      <c r="Z129" s="1182" t="s">
        <v>1940</v>
      </c>
      <c r="AA129" s="1182" t="s">
        <v>1941</v>
      </c>
      <c r="AB129" s="1182">
        <v>300</v>
      </c>
      <c r="AC129" s="1182" t="s">
        <v>1942</v>
      </c>
      <c r="AD129" s="1182" t="s">
        <v>1577</v>
      </c>
      <c r="AE129" s="1182">
        <v>300</v>
      </c>
      <c r="AF129" s="1182" t="s">
        <v>1943</v>
      </c>
      <c r="AG129" s="1182" t="s">
        <v>1944</v>
      </c>
      <c r="AH129" s="1182">
        <v>0</v>
      </c>
      <c r="AI129" s="1182">
        <v>300</v>
      </c>
      <c r="AJ129" s="1182" t="s">
        <v>1994</v>
      </c>
      <c r="AL129" s="1186" t="s">
        <v>2059</v>
      </c>
      <c r="AM129" s="1182">
        <v>1</v>
      </c>
      <c r="AN129" s="1182">
        <v>0</v>
      </c>
      <c r="AO129" s="1182">
        <v>0</v>
      </c>
      <c r="AP129" s="1182">
        <v>0</v>
      </c>
      <c r="AQ129" s="1182" t="s">
        <v>1639</v>
      </c>
      <c r="AS129" s="1186" t="s">
        <v>1943</v>
      </c>
      <c r="AT129" s="1186" t="s">
        <v>1944</v>
      </c>
      <c r="AV129" s="1183">
        <v>138</v>
      </c>
      <c r="AW129" s="1183">
        <v>0</v>
      </c>
      <c r="AX129" s="1183">
        <v>0</v>
      </c>
      <c r="AY129" s="1538">
        <v>138</v>
      </c>
      <c r="AZ129" s="1183">
        <v>0</v>
      </c>
      <c r="BA129" s="1183">
        <v>162</v>
      </c>
      <c r="BB129" s="1540">
        <v>162</v>
      </c>
      <c r="BC129" s="1540">
        <v>300</v>
      </c>
      <c r="BD129" s="1540">
        <v>0</v>
      </c>
      <c r="BF129" s="1539">
        <f t="shared" si="38"/>
        <v>138</v>
      </c>
      <c r="BG129" s="1539">
        <f t="shared" si="39"/>
        <v>0</v>
      </c>
      <c r="BH129" s="1539">
        <f t="shared" si="40"/>
        <v>0</v>
      </c>
      <c r="BI129" s="1539">
        <f t="shared" si="41"/>
        <v>138</v>
      </c>
      <c r="BJ129" s="1539">
        <f t="shared" si="42"/>
        <v>0</v>
      </c>
      <c r="BK129" s="1539">
        <f t="shared" si="47"/>
        <v>162</v>
      </c>
      <c r="BL129" s="1539">
        <f t="shared" si="43"/>
        <v>162</v>
      </c>
      <c r="BM129" s="1539">
        <f t="shared" si="44"/>
        <v>300</v>
      </c>
      <c r="BO129" s="1183"/>
      <c r="BQ129" s="1182">
        <f t="shared" si="45"/>
        <v>0</v>
      </c>
      <c r="BR129" s="1182">
        <f t="shared" si="46"/>
        <v>0</v>
      </c>
      <c r="BS129" s="1182">
        <f t="shared" si="48"/>
        <v>0</v>
      </c>
      <c r="BT129" s="1182">
        <f t="shared" si="48"/>
        <v>0</v>
      </c>
    </row>
    <row r="130" spans="1:72" ht="13.5" customHeight="1">
      <c r="A130" s="1182" t="s">
        <v>1803</v>
      </c>
      <c r="B130" s="1182" t="s">
        <v>1804</v>
      </c>
      <c r="C130" s="1182" t="s">
        <v>1639</v>
      </c>
      <c r="D130" s="1182" t="s">
        <v>1933</v>
      </c>
      <c r="E130" s="1182" t="s">
        <v>1934</v>
      </c>
      <c r="F130" s="1182" t="s">
        <v>2063</v>
      </c>
      <c r="G130" s="1182" t="s">
        <v>2063</v>
      </c>
      <c r="H130" s="1182" t="s">
        <v>1948</v>
      </c>
      <c r="I130" s="1182" t="s">
        <v>1937</v>
      </c>
      <c r="J130" s="1182" t="s">
        <v>2064</v>
      </c>
      <c r="K130" s="1182" t="s">
        <v>1811</v>
      </c>
      <c r="L130" s="1182" t="s">
        <v>1812</v>
      </c>
      <c r="M130" s="1182" t="s">
        <v>1803</v>
      </c>
      <c r="N130" s="1182" t="s">
        <v>1939</v>
      </c>
      <c r="O130" s="1182" t="s">
        <v>1554</v>
      </c>
      <c r="P130" s="1182" t="s">
        <v>1575</v>
      </c>
      <c r="Q130" s="1182" t="s">
        <v>1574</v>
      </c>
      <c r="R130" s="1182" t="s">
        <v>1573</v>
      </c>
      <c r="S130" s="1182" t="s">
        <v>1577</v>
      </c>
      <c r="T130" s="1182" t="s">
        <v>1814</v>
      </c>
      <c r="U130" s="1182" t="s">
        <v>1815</v>
      </c>
      <c r="V130" s="1182">
        <v>0</v>
      </c>
      <c r="W130" s="1182">
        <v>0</v>
      </c>
      <c r="X130" s="1182">
        <v>0</v>
      </c>
      <c r="Y130" s="1183">
        <v>600</v>
      </c>
      <c r="Z130" s="1182" t="s">
        <v>1940</v>
      </c>
      <c r="AA130" s="1182" t="s">
        <v>1941</v>
      </c>
      <c r="AB130" s="1182">
        <v>600</v>
      </c>
      <c r="AC130" s="1182" t="s">
        <v>1942</v>
      </c>
      <c r="AD130" s="1182" t="s">
        <v>1577</v>
      </c>
      <c r="AE130" s="1182">
        <v>600</v>
      </c>
      <c r="AF130" s="1182" t="s">
        <v>1943</v>
      </c>
      <c r="AG130" s="1182" t="s">
        <v>1944</v>
      </c>
      <c r="AH130" s="1182">
        <v>0</v>
      </c>
      <c r="AI130" s="1182">
        <v>600</v>
      </c>
      <c r="AJ130" s="1182" t="s">
        <v>2065</v>
      </c>
      <c r="AL130" s="1186" t="s">
        <v>2066</v>
      </c>
      <c r="AM130" s="1182">
        <v>1</v>
      </c>
      <c r="AN130" s="1182">
        <v>0</v>
      </c>
      <c r="AO130" s="1182">
        <v>0</v>
      </c>
      <c r="AP130" s="1182">
        <v>0</v>
      </c>
      <c r="AQ130" s="1182" t="s">
        <v>1639</v>
      </c>
      <c r="AS130" s="1186" t="s">
        <v>1943</v>
      </c>
      <c r="AT130" s="1186" t="s">
        <v>1944</v>
      </c>
      <c r="AV130" s="1183">
        <v>276</v>
      </c>
      <c r="AW130" s="1183">
        <v>0</v>
      </c>
      <c r="AX130" s="1183">
        <v>0</v>
      </c>
      <c r="AY130" s="1538">
        <v>276</v>
      </c>
      <c r="AZ130" s="1183">
        <v>0</v>
      </c>
      <c r="BA130" s="1183">
        <v>324</v>
      </c>
      <c r="BB130" s="1540">
        <v>324</v>
      </c>
      <c r="BC130" s="1540">
        <v>600</v>
      </c>
      <c r="BD130" s="1540">
        <v>0</v>
      </c>
      <c r="BF130" s="1539">
        <f t="shared" si="38"/>
        <v>276</v>
      </c>
      <c r="BG130" s="1539">
        <f t="shared" si="39"/>
        <v>0</v>
      </c>
      <c r="BH130" s="1539">
        <f t="shared" si="40"/>
        <v>0</v>
      </c>
      <c r="BI130" s="1539">
        <f t="shared" si="41"/>
        <v>276</v>
      </c>
      <c r="BJ130" s="1539">
        <f t="shared" si="42"/>
        <v>0</v>
      </c>
      <c r="BK130" s="1539">
        <f t="shared" si="47"/>
        <v>324</v>
      </c>
      <c r="BL130" s="1539">
        <f t="shared" si="43"/>
        <v>324</v>
      </c>
      <c r="BM130" s="1539">
        <f t="shared" si="44"/>
        <v>600</v>
      </c>
      <c r="BO130" s="1183"/>
      <c r="BQ130" s="1182">
        <f t="shared" si="45"/>
        <v>0</v>
      </c>
      <c r="BR130" s="1182">
        <f t="shared" si="46"/>
        <v>0</v>
      </c>
      <c r="BS130" s="1182">
        <f t="shared" si="48"/>
        <v>0</v>
      </c>
      <c r="BT130" s="1182">
        <f t="shared" si="48"/>
        <v>0</v>
      </c>
    </row>
    <row r="131" spans="1:72" ht="13.5" customHeight="1">
      <c r="A131" s="1182" t="s">
        <v>1803</v>
      </c>
      <c r="B131" s="1182" t="s">
        <v>1804</v>
      </c>
      <c r="C131" s="1182" t="s">
        <v>1639</v>
      </c>
      <c r="D131" s="1182" t="s">
        <v>1933</v>
      </c>
      <c r="E131" s="1182" t="s">
        <v>1934</v>
      </c>
      <c r="F131" s="1182" t="s">
        <v>1844</v>
      </c>
      <c r="G131" s="1182" t="s">
        <v>1844</v>
      </c>
      <c r="H131" s="1182" t="s">
        <v>1948</v>
      </c>
      <c r="I131" s="1182" t="s">
        <v>1937</v>
      </c>
      <c r="J131" s="1182" t="s">
        <v>2060</v>
      </c>
      <c r="K131" s="1182" t="s">
        <v>1811</v>
      </c>
      <c r="L131" s="1182" t="s">
        <v>1812</v>
      </c>
      <c r="M131" s="1182" t="s">
        <v>1803</v>
      </c>
      <c r="N131" s="1182" t="s">
        <v>1939</v>
      </c>
      <c r="O131" s="1182" t="s">
        <v>1554</v>
      </c>
      <c r="P131" s="1182" t="s">
        <v>1575</v>
      </c>
      <c r="Q131" s="1182" t="s">
        <v>1574</v>
      </c>
      <c r="R131" s="1182" t="s">
        <v>1573</v>
      </c>
      <c r="S131" s="1182" t="s">
        <v>1577</v>
      </c>
      <c r="T131" s="1182" t="s">
        <v>1814</v>
      </c>
      <c r="U131" s="1182" t="s">
        <v>1815</v>
      </c>
      <c r="V131" s="1182">
        <v>0</v>
      </c>
      <c r="W131" s="1182">
        <v>0</v>
      </c>
      <c r="X131" s="1182">
        <v>0</v>
      </c>
      <c r="Y131" s="1183">
        <v>200</v>
      </c>
      <c r="Z131" s="1182" t="s">
        <v>1940</v>
      </c>
      <c r="AA131" s="1182" t="s">
        <v>1941</v>
      </c>
      <c r="AB131" s="1182">
        <v>200</v>
      </c>
      <c r="AC131" s="1182" t="s">
        <v>1942</v>
      </c>
      <c r="AD131" s="1182" t="s">
        <v>1577</v>
      </c>
      <c r="AE131" s="1182">
        <v>200</v>
      </c>
      <c r="AF131" s="1182" t="s">
        <v>1943</v>
      </c>
      <c r="AG131" s="1182" t="s">
        <v>1944</v>
      </c>
      <c r="AH131" s="1182">
        <v>0</v>
      </c>
      <c r="AI131" s="1182">
        <v>200</v>
      </c>
      <c r="AJ131" s="1182" t="s">
        <v>2061</v>
      </c>
      <c r="AL131" s="1186" t="s">
        <v>2062</v>
      </c>
      <c r="AM131" s="1182">
        <v>1</v>
      </c>
      <c r="AN131" s="1182">
        <v>0</v>
      </c>
      <c r="AO131" s="1182">
        <v>0</v>
      </c>
      <c r="AP131" s="1182">
        <v>0</v>
      </c>
      <c r="AQ131" s="1182" t="s">
        <v>1639</v>
      </c>
      <c r="AS131" s="1186" t="s">
        <v>1943</v>
      </c>
      <c r="AT131" s="1186" t="s">
        <v>1944</v>
      </c>
      <c r="AV131" s="1183">
        <v>92</v>
      </c>
      <c r="AW131" s="1183">
        <v>0</v>
      </c>
      <c r="AX131" s="1183">
        <v>0</v>
      </c>
      <c r="AY131" s="1538">
        <v>92</v>
      </c>
      <c r="AZ131" s="1183">
        <v>0</v>
      </c>
      <c r="BA131" s="1183">
        <v>108</v>
      </c>
      <c r="BB131" s="1540">
        <v>108</v>
      </c>
      <c r="BC131" s="1540">
        <v>200</v>
      </c>
      <c r="BD131" s="1540">
        <v>0</v>
      </c>
      <c r="BF131" s="1539">
        <f t="shared" si="38"/>
        <v>92</v>
      </c>
      <c r="BG131" s="1539">
        <f t="shared" si="39"/>
        <v>0</v>
      </c>
      <c r="BH131" s="1539">
        <f t="shared" si="40"/>
        <v>0</v>
      </c>
      <c r="BI131" s="1539">
        <f t="shared" si="41"/>
        <v>92</v>
      </c>
      <c r="BJ131" s="1539">
        <f t="shared" si="42"/>
        <v>0</v>
      </c>
      <c r="BK131" s="1539">
        <f t="shared" si="47"/>
        <v>108</v>
      </c>
      <c r="BL131" s="1539">
        <f t="shared" si="43"/>
        <v>108</v>
      </c>
      <c r="BM131" s="1539">
        <f t="shared" si="44"/>
        <v>200</v>
      </c>
      <c r="BO131" s="1183"/>
      <c r="BQ131" s="1182">
        <f t="shared" si="45"/>
        <v>0</v>
      </c>
      <c r="BR131" s="1182">
        <f t="shared" si="46"/>
        <v>0</v>
      </c>
      <c r="BS131" s="1182">
        <f t="shared" si="48"/>
        <v>0</v>
      </c>
      <c r="BT131" s="1182">
        <f t="shared" si="48"/>
        <v>0</v>
      </c>
    </row>
    <row r="132" spans="1:72" ht="13.5" customHeight="1">
      <c r="A132" s="1182" t="s">
        <v>1803</v>
      </c>
      <c r="B132" s="1182" t="s">
        <v>1804</v>
      </c>
      <c r="C132" s="1182" t="s">
        <v>1639</v>
      </c>
      <c r="D132" s="1182" t="s">
        <v>1933</v>
      </c>
      <c r="E132" s="1182" t="s">
        <v>1934</v>
      </c>
      <c r="F132" s="1182" t="s">
        <v>2067</v>
      </c>
      <c r="G132" s="1182" t="s">
        <v>2067</v>
      </c>
      <c r="H132" s="1182" t="s">
        <v>1948</v>
      </c>
      <c r="I132" s="1182" t="s">
        <v>1937</v>
      </c>
      <c r="J132" s="1182" t="s">
        <v>2068</v>
      </c>
      <c r="K132" s="1182" t="s">
        <v>1811</v>
      </c>
      <c r="L132" s="1182" t="s">
        <v>1812</v>
      </c>
      <c r="M132" s="1182" t="s">
        <v>1803</v>
      </c>
      <c r="N132" s="1182" t="s">
        <v>1939</v>
      </c>
      <c r="O132" s="1182" t="s">
        <v>1554</v>
      </c>
      <c r="P132" s="1182" t="s">
        <v>1575</v>
      </c>
      <c r="Q132" s="1182" t="s">
        <v>1574</v>
      </c>
      <c r="R132" s="1182" t="s">
        <v>1573</v>
      </c>
      <c r="S132" s="1182" t="s">
        <v>1577</v>
      </c>
      <c r="T132" s="1182" t="s">
        <v>1814</v>
      </c>
      <c r="U132" s="1182" t="s">
        <v>1815</v>
      </c>
      <c r="V132" s="1182">
        <v>0</v>
      </c>
      <c r="W132" s="1182">
        <v>0</v>
      </c>
      <c r="X132" s="1182">
        <v>0</v>
      </c>
      <c r="Y132" s="1183">
        <v>300</v>
      </c>
      <c r="Z132" s="1182" t="s">
        <v>1940</v>
      </c>
      <c r="AA132" s="1182" t="s">
        <v>1941</v>
      </c>
      <c r="AB132" s="1182">
        <v>300</v>
      </c>
      <c r="AC132" s="1182" t="s">
        <v>1942</v>
      </c>
      <c r="AD132" s="1182" t="s">
        <v>1577</v>
      </c>
      <c r="AE132" s="1182">
        <v>300</v>
      </c>
      <c r="AF132" s="1182" t="s">
        <v>1943</v>
      </c>
      <c r="AG132" s="1182" t="s">
        <v>1944</v>
      </c>
      <c r="AH132" s="1182">
        <v>0</v>
      </c>
      <c r="AI132" s="1182">
        <v>300</v>
      </c>
      <c r="AJ132" s="1182" t="s">
        <v>2069</v>
      </c>
      <c r="AL132" s="1186" t="s">
        <v>2070</v>
      </c>
      <c r="AM132" s="1182">
        <v>1</v>
      </c>
      <c r="AN132" s="1182">
        <v>0</v>
      </c>
      <c r="AO132" s="1182">
        <v>0</v>
      </c>
      <c r="AP132" s="1182">
        <v>0</v>
      </c>
      <c r="AQ132" s="1182" t="s">
        <v>1639</v>
      </c>
      <c r="AS132" s="1186" t="s">
        <v>1943</v>
      </c>
      <c r="AT132" s="1186" t="s">
        <v>1944</v>
      </c>
      <c r="AV132" s="1183">
        <v>138</v>
      </c>
      <c r="AW132" s="1183">
        <v>0</v>
      </c>
      <c r="AX132" s="1183">
        <v>0</v>
      </c>
      <c r="AY132" s="1538">
        <v>138</v>
      </c>
      <c r="AZ132" s="1183">
        <v>0</v>
      </c>
      <c r="BA132" s="1183">
        <v>162</v>
      </c>
      <c r="BB132" s="1540">
        <v>162</v>
      </c>
      <c r="BC132" s="1540">
        <v>300</v>
      </c>
      <c r="BD132" s="1540">
        <v>0</v>
      </c>
      <c r="BF132" s="1539">
        <f t="shared" si="38"/>
        <v>138</v>
      </c>
      <c r="BG132" s="1539">
        <f t="shared" si="39"/>
        <v>0</v>
      </c>
      <c r="BH132" s="1539">
        <f t="shared" si="40"/>
        <v>0</v>
      </c>
      <c r="BI132" s="1539">
        <f t="shared" si="41"/>
        <v>138</v>
      </c>
      <c r="BJ132" s="1539">
        <f t="shared" si="42"/>
        <v>0</v>
      </c>
      <c r="BK132" s="1539">
        <f t="shared" si="47"/>
        <v>162</v>
      </c>
      <c r="BL132" s="1539">
        <f t="shared" si="43"/>
        <v>162</v>
      </c>
      <c r="BM132" s="1539">
        <f t="shared" si="44"/>
        <v>300</v>
      </c>
      <c r="BO132" s="1183"/>
      <c r="BQ132" s="1182">
        <f t="shared" si="45"/>
        <v>0</v>
      </c>
      <c r="BR132" s="1182">
        <f t="shared" si="46"/>
        <v>0</v>
      </c>
      <c r="BS132" s="1182">
        <f t="shared" si="48"/>
        <v>0</v>
      </c>
      <c r="BT132" s="1182">
        <f t="shared" si="48"/>
        <v>0</v>
      </c>
    </row>
    <row r="133" spans="1:72" ht="13.5" customHeight="1">
      <c r="A133" s="1182" t="s">
        <v>1803</v>
      </c>
      <c r="B133" s="1182" t="s">
        <v>1804</v>
      </c>
      <c r="C133" s="1182" t="s">
        <v>1639</v>
      </c>
      <c r="D133" s="1182" t="s">
        <v>1933</v>
      </c>
      <c r="E133" s="1182" t="s">
        <v>1934</v>
      </c>
      <c r="F133" s="1182" t="s">
        <v>2071</v>
      </c>
      <c r="G133" s="1182" t="s">
        <v>2071</v>
      </c>
      <c r="H133" s="1182" t="s">
        <v>1948</v>
      </c>
      <c r="I133" s="1182" t="s">
        <v>1937</v>
      </c>
      <c r="J133" s="1182" t="s">
        <v>2072</v>
      </c>
      <c r="K133" s="1182" t="s">
        <v>1811</v>
      </c>
      <c r="L133" s="1182" t="s">
        <v>1812</v>
      </c>
      <c r="M133" s="1182" t="s">
        <v>1803</v>
      </c>
      <c r="N133" s="1182" t="s">
        <v>1939</v>
      </c>
      <c r="O133" s="1182" t="s">
        <v>1554</v>
      </c>
      <c r="P133" s="1182" t="s">
        <v>1575</v>
      </c>
      <c r="Q133" s="1182" t="s">
        <v>1574</v>
      </c>
      <c r="R133" s="1182" t="s">
        <v>1573</v>
      </c>
      <c r="S133" s="1182" t="s">
        <v>1577</v>
      </c>
      <c r="T133" s="1182" t="s">
        <v>1814</v>
      </c>
      <c r="U133" s="1182" t="s">
        <v>1815</v>
      </c>
      <c r="V133" s="1182">
        <v>0</v>
      </c>
      <c r="W133" s="1182">
        <v>0</v>
      </c>
      <c r="X133" s="1182">
        <v>0</v>
      </c>
      <c r="Y133" s="1183">
        <v>300</v>
      </c>
      <c r="Z133" s="1182" t="s">
        <v>1940</v>
      </c>
      <c r="AA133" s="1182" t="s">
        <v>1941</v>
      </c>
      <c r="AB133" s="1182">
        <v>300</v>
      </c>
      <c r="AC133" s="1182" t="s">
        <v>1942</v>
      </c>
      <c r="AD133" s="1182" t="s">
        <v>1577</v>
      </c>
      <c r="AE133" s="1182">
        <v>300</v>
      </c>
      <c r="AF133" s="1182" t="s">
        <v>1943</v>
      </c>
      <c r="AG133" s="1182" t="s">
        <v>1944</v>
      </c>
      <c r="AH133" s="1182">
        <v>0</v>
      </c>
      <c r="AI133" s="1182">
        <v>300</v>
      </c>
      <c r="AJ133" s="1182" t="s">
        <v>2073</v>
      </c>
      <c r="AL133" s="1186" t="s">
        <v>2074</v>
      </c>
      <c r="AM133" s="1182">
        <v>1</v>
      </c>
      <c r="AN133" s="1182">
        <v>0</v>
      </c>
      <c r="AO133" s="1182">
        <v>0</v>
      </c>
      <c r="AP133" s="1182">
        <v>0</v>
      </c>
      <c r="AQ133" s="1182" t="s">
        <v>1639</v>
      </c>
      <c r="AS133" s="1186" t="s">
        <v>1943</v>
      </c>
      <c r="AT133" s="1186" t="s">
        <v>1944</v>
      </c>
      <c r="AV133" s="1183">
        <v>138</v>
      </c>
      <c r="AW133" s="1183">
        <v>0</v>
      </c>
      <c r="AX133" s="1183">
        <v>0</v>
      </c>
      <c r="AY133" s="1538">
        <v>138</v>
      </c>
      <c r="AZ133" s="1183">
        <v>0</v>
      </c>
      <c r="BA133" s="1183">
        <v>162</v>
      </c>
      <c r="BB133" s="1540">
        <v>162</v>
      </c>
      <c r="BC133" s="1540">
        <v>300</v>
      </c>
      <c r="BD133" s="1540">
        <v>0</v>
      </c>
      <c r="BF133" s="1539">
        <f t="shared" si="38"/>
        <v>138</v>
      </c>
      <c r="BG133" s="1539">
        <f t="shared" si="39"/>
        <v>0</v>
      </c>
      <c r="BH133" s="1539">
        <f t="shared" si="40"/>
        <v>0</v>
      </c>
      <c r="BI133" s="1539">
        <f t="shared" si="41"/>
        <v>138</v>
      </c>
      <c r="BJ133" s="1539">
        <f t="shared" si="42"/>
        <v>0</v>
      </c>
      <c r="BK133" s="1539">
        <f t="shared" si="47"/>
        <v>162</v>
      </c>
      <c r="BL133" s="1539">
        <f t="shared" si="43"/>
        <v>162</v>
      </c>
      <c r="BM133" s="1539">
        <f t="shared" si="44"/>
        <v>300</v>
      </c>
      <c r="BO133" s="1183"/>
      <c r="BQ133" s="1182">
        <f t="shared" si="45"/>
        <v>0</v>
      </c>
      <c r="BR133" s="1182">
        <f t="shared" si="46"/>
        <v>0</v>
      </c>
      <c r="BS133" s="1182">
        <f t="shared" si="48"/>
        <v>0</v>
      </c>
      <c r="BT133" s="1182">
        <f t="shared" si="48"/>
        <v>0</v>
      </c>
    </row>
    <row r="134" spans="1:72" ht="13.5" customHeight="1">
      <c r="A134" s="1182" t="s">
        <v>1803</v>
      </c>
      <c r="B134" s="1182" t="s">
        <v>1804</v>
      </c>
      <c r="C134" s="1182" t="s">
        <v>1639</v>
      </c>
      <c r="D134" s="1182" t="s">
        <v>2092</v>
      </c>
      <c r="E134" s="1182" t="s">
        <v>2093</v>
      </c>
      <c r="F134" s="1182" t="s">
        <v>1972</v>
      </c>
      <c r="G134" s="1182" t="s">
        <v>1972</v>
      </c>
      <c r="H134" s="1182" t="s">
        <v>2095</v>
      </c>
      <c r="I134" s="1182" t="s">
        <v>1937</v>
      </c>
      <c r="J134" s="1182" t="s">
        <v>2145</v>
      </c>
      <c r="K134" s="1182" t="s">
        <v>1811</v>
      </c>
      <c r="L134" s="1182" t="s">
        <v>1812</v>
      </c>
      <c r="M134" s="1182" t="s">
        <v>1803</v>
      </c>
      <c r="N134" s="1182" t="s">
        <v>1939</v>
      </c>
      <c r="O134" s="1182" t="s">
        <v>1554</v>
      </c>
      <c r="P134" s="1182" t="s">
        <v>1575</v>
      </c>
      <c r="Q134" s="1182" t="s">
        <v>1574</v>
      </c>
      <c r="R134" s="1182" t="s">
        <v>1573</v>
      </c>
      <c r="S134" s="1182" t="s">
        <v>1577</v>
      </c>
      <c r="T134" s="1182" t="s">
        <v>1814</v>
      </c>
      <c r="U134" s="1182" t="s">
        <v>1815</v>
      </c>
      <c r="V134" s="1182">
        <v>0</v>
      </c>
      <c r="W134" s="1182">
        <v>0</v>
      </c>
      <c r="X134" s="1182">
        <v>0</v>
      </c>
      <c r="Y134" s="1183">
        <v>300</v>
      </c>
      <c r="Z134" s="1182" t="s">
        <v>1940</v>
      </c>
      <c r="AA134" s="1182" t="s">
        <v>1941</v>
      </c>
      <c r="AB134" s="1182">
        <v>300</v>
      </c>
      <c r="AC134" s="1182" t="s">
        <v>1942</v>
      </c>
      <c r="AD134" s="1182" t="s">
        <v>1577</v>
      </c>
      <c r="AE134" s="1182">
        <v>300</v>
      </c>
      <c r="AF134" s="1182" t="s">
        <v>1943</v>
      </c>
      <c r="AG134" s="1182" t="s">
        <v>1944</v>
      </c>
      <c r="AH134" s="1182">
        <v>0</v>
      </c>
      <c r="AI134" s="1182">
        <v>300</v>
      </c>
      <c r="AJ134" s="1182" t="s">
        <v>2146</v>
      </c>
      <c r="AL134" s="1186" t="s">
        <v>2147</v>
      </c>
      <c r="AM134" s="1182">
        <v>1</v>
      </c>
      <c r="AN134" s="1182">
        <v>0</v>
      </c>
      <c r="AO134" s="1182">
        <v>0</v>
      </c>
      <c r="AP134" s="1182">
        <v>0</v>
      </c>
      <c r="AQ134" s="1182" t="s">
        <v>1639</v>
      </c>
      <c r="AS134" s="1186" t="s">
        <v>1943</v>
      </c>
      <c r="AT134" s="1186" t="s">
        <v>1944</v>
      </c>
      <c r="AV134" s="1183">
        <v>138</v>
      </c>
      <c r="AW134" s="1183">
        <v>0</v>
      </c>
      <c r="AX134" s="1183">
        <v>0</v>
      </c>
      <c r="AY134" s="1538">
        <v>138</v>
      </c>
      <c r="AZ134" s="1183">
        <v>0</v>
      </c>
      <c r="BA134" s="1183">
        <v>162</v>
      </c>
      <c r="BB134" s="1540">
        <v>162</v>
      </c>
      <c r="BC134" s="1540">
        <v>300</v>
      </c>
      <c r="BD134" s="1540">
        <v>0</v>
      </c>
      <c r="BF134" s="1539">
        <f t="shared" si="38"/>
        <v>138</v>
      </c>
      <c r="BG134" s="1539">
        <f t="shared" si="39"/>
        <v>0</v>
      </c>
      <c r="BH134" s="1539">
        <f t="shared" si="40"/>
        <v>0</v>
      </c>
      <c r="BI134" s="1539">
        <f t="shared" si="41"/>
        <v>138</v>
      </c>
      <c r="BJ134" s="1539">
        <f t="shared" si="42"/>
        <v>0</v>
      </c>
      <c r="BK134" s="1539">
        <f t="shared" si="47"/>
        <v>162</v>
      </c>
      <c r="BL134" s="1539">
        <f t="shared" si="43"/>
        <v>162</v>
      </c>
      <c r="BM134" s="1539">
        <f t="shared" si="44"/>
        <v>300</v>
      </c>
      <c r="BO134" s="1183"/>
      <c r="BQ134" s="1182">
        <f t="shared" si="45"/>
        <v>0</v>
      </c>
      <c r="BR134" s="1182">
        <f t="shared" si="46"/>
        <v>0</v>
      </c>
      <c r="BS134" s="1182">
        <f t="shared" si="48"/>
        <v>0</v>
      </c>
      <c r="BT134" s="1182">
        <f t="shared" si="48"/>
        <v>0</v>
      </c>
    </row>
    <row r="135" spans="1:72" ht="13.5" customHeight="1">
      <c r="A135" s="1182" t="s">
        <v>1803</v>
      </c>
      <c r="B135" s="1182" t="s">
        <v>1804</v>
      </c>
      <c r="C135" s="1182" t="s">
        <v>1639</v>
      </c>
      <c r="D135" s="1182" t="s">
        <v>2092</v>
      </c>
      <c r="E135" s="1182" t="s">
        <v>2093</v>
      </c>
      <c r="F135" s="1182" t="s">
        <v>2170</v>
      </c>
      <c r="G135" s="1182" t="s">
        <v>2170</v>
      </c>
      <c r="H135" s="1182" t="s">
        <v>2095</v>
      </c>
      <c r="I135" s="1182" t="s">
        <v>1937</v>
      </c>
      <c r="J135" s="1182" t="s">
        <v>2171</v>
      </c>
      <c r="K135" s="1182" t="s">
        <v>1811</v>
      </c>
      <c r="L135" s="1182" t="s">
        <v>1812</v>
      </c>
      <c r="M135" s="1182" t="s">
        <v>1803</v>
      </c>
      <c r="N135" s="1182" t="s">
        <v>1939</v>
      </c>
      <c r="O135" s="1182" t="s">
        <v>1554</v>
      </c>
      <c r="P135" s="1182" t="s">
        <v>1575</v>
      </c>
      <c r="Q135" s="1182" t="s">
        <v>1574</v>
      </c>
      <c r="R135" s="1182" t="s">
        <v>1573</v>
      </c>
      <c r="S135" s="1182" t="s">
        <v>1577</v>
      </c>
      <c r="T135" s="1182" t="s">
        <v>1814</v>
      </c>
      <c r="U135" s="1182" t="s">
        <v>1815</v>
      </c>
      <c r="V135" s="1182">
        <v>0</v>
      </c>
      <c r="W135" s="1182">
        <v>0</v>
      </c>
      <c r="X135" s="1182">
        <v>0</v>
      </c>
      <c r="Y135" s="1183">
        <v>300</v>
      </c>
      <c r="Z135" s="1182" t="s">
        <v>1940</v>
      </c>
      <c r="AA135" s="1182" t="s">
        <v>1941</v>
      </c>
      <c r="AB135" s="1182">
        <v>300</v>
      </c>
      <c r="AC135" s="1182" t="s">
        <v>1942</v>
      </c>
      <c r="AD135" s="1182" t="s">
        <v>1577</v>
      </c>
      <c r="AE135" s="1182">
        <v>300</v>
      </c>
      <c r="AF135" s="1182" t="s">
        <v>1943</v>
      </c>
      <c r="AG135" s="1182" t="s">
        <v>1944</v>
      </c>
      <c r="AH135" s="1182">
        <v>0</v>
      </c>
      <c r="AI135" s="1182">
        <v>300</v>
      </c>
      <c r="AJ135" s="1182" t="s">
        <v>2172</v>
      </c>
      <c r="AL135" s="1186" t="s">
        <v>2173</v>
      </c>
      <c r="AM135" s="1182">
        <v>1</v>
      </c>
      <c r="AN135" s="1182">
        <v>0</v>
      </c>
      <c r="AO135" s="1182">
        <v>0</v>
      </c>
      <c r="AP135" s="1182">
        <v>0</v>
      </c>
      <c r="AQ135" s="1182" t="s">
        <v>1639</v>
      </c>
      <c r="AS135" s="1186" t="s">
        <v>1943</v>
      </c>
      <c r="AT135" s="1186" t="s">
        <v>1944</v>
      </c>
      <c r="AV135" s="1183">
        <v>138</v>
      </c>
      <c r="AW135" s="1183">
        <v>0</v>
      </c>
      <c r="AX135" s="1183">
        <v>0</v>
      </c>
      <c r="AY135" s="1538">
        <v>138</v>
      </c>
      <c r="AZ135" s="1183">
        <v>0</v>
      </c>
      <c r="BA135" s="1183">
        <v>162</v>
      </c>
      <c r="BB135" s="1540">
        <v>162</v>
      </c>
      <c r="BC135" s="1540">
        <v>300</v>
      </c>
      <c r="BD135" s="1540">
        <v>0</v>
      </c>
      <c r="BF135" s="1539">
        <f t="shared" ref="BF135:BF198" si="49">+IFERROR(ROUND(AV135*100/(100+$AT135),0),AV135)</f>
        <v>138</v>
      </c>
      <c r="BG135" s="1539">
        <f t="shared" ref="BG135:BG198" si="50">+IFERROR(ROUND(AW135*100/(100+$AT135),0),AW135)</f>
        <v>0</v>
      </c>
      <c r="BH135" s="1539">
        <f t="shared" ref="BH135:BH198" si="51">+IFERROR(ROUND(AX135*100/(100+$AT135),0),AX135)</f>
        <v>0</v>
      </c>
      <c r="BI135" s="1539">
        <f t="shared" ref="BI135:BI198" si="52">SUM(BF135:BH135)</f>
        <v>138</v>
      </c>
      <c r="BJ135" s="1539">
        <f t="shared" ref="BJ135:BJ198" si="53">+IFERROR(ROUND(AZ135*100/(100+$AT135),0),AZ135)</f>
        <v>0</v>
      </c>
      <c r="BK135" s="1539">
        <f t="shared" ref="BK135:BK198" si="54">+IFERROR(ROUND(BA135*100/(100+$AT135),0),BA135)</f>
        <v>162</v>
      </c>
      <c r="BL135" s="1539">
        <f t="shared" ref="BL135:BL198" si="55">SUM(BJ135:BK135)</f>
        <v>162</v>
      </c>
      <c r="BM135" s="1539">
        <f t="shared" ref="BM135:BM198" si="56">+BI135+BL135</f>
        <v>300</v>
      </c>
      <c r="BO135" s="1183"/>
      <c r="BQ135" s="1182">
        <f t="shared" ref="BQ135:BQ198" si="57">AY135*100/(100+$AT135)-BI135</f>
        <v>0</v>
      </c>
      <c r="BR135" s="1182">
        <f t="shared" ref="BR135:BR198" si="58">BB135*100/(100+$AT135)-BL135</f>
        <v>0</v>
      </c>
      <c r="BS135" s="1182">
        <f t="shared" si="48"/>
        <v>0</v>
      </c>
      <c r="BT135" s="1182">
        <f t="shared" si="48"/>
        <v>0</v>
      </c>
    </row>
    <row r="136" spans="1:72" ht="13.5" customHeight="1">
      <c r="A136" s="1182" t="s">
        <v>1803</v>
      </c>
      <c r="B136" s="1182" t="s">
        <v>1804</v>
      </c>
      <c r="C136" s="1182" t="s">
        <v>1639</v>
      </c>
      <c r="D136" s="1182" t="s">
        <v>2092</v>
      </c>
      <c r="E136" s="1182" t="s">
        <v>2093</v>
      </c>
      <c r="F136" s="1182" t="s">
        <v>2148</v>
      </c>
      <c r="G136" s="1182" t="s">
        <v>2148</v>
      </c>
      <c r="H136" s="1182" t="s">
        <v>2095</v>
      </c>
      <c r="I136" s="1182" t="s">
        <v>1937</v>
      </c>
      <c r="J136" s="1182" t="s">
        <v>2149</v>
      </c>
      <c r="K136" s="1182" t="s">
        <v>1811</v>
      </c>
      <c r="L136" s="1182" t="s">
        <v>1812</v>
      </c>
      <c r="M136" s="1182" t="s">
        <v>1803</v>
      </c>
      <c r="N136" s="1182" t="s">
        <v>1939</v>
      </c>
      <c r="O136" s="1182" t="s">
        <v>1554</v>
      </c>
      <c r="P136" s="1182" t="s">
        <v>1575</v>
      </c>
      <c r="Q136" s="1182" t="s">
        <v>1574</v>
      </c>
      <c r="R136" s="1182" t="s">
        <v>1573</v>
      </c>
      <c r="S136" s="1182" t="s">
        <v>1577</v>
      </c>
      <c r="T136" s="1182" t="s">
        <v>1814</v>
      </c>
      <c r="U136" s="1182" t="s">
        <v>1815</v>
      </c>
      <c r="V136" s="1182">
        <v>0</v>
      </c>
      <c r="W136" s="1182">
        <v>0</v>
      </c>
      <c r="X136" s="1182">
        <v>0</v>
      </c>
      <c r="Y136" s="1183">
        <v>300</v>
      </c>
      <c r="Z136" s="1182" t="s">
        <v>1940</v>
      </c>
      <c r="AA136" s="1182" t="s">
        <v>1941</v>
      </c>
      <c r="AB136" s="1182">
        <v>300</v>
      </c>
      <c r="AC136" s="1182" t="s">
        <v>1942</v>
      </c>
      <c r="AD136" s="1182" t="s">
        <v>1577</v>
      </c>
      <c r="AE136" s="1182">
        <v>300</v>
      </c>
      <c r="AF136" s="1182" t="s">
        <v>1943</v>
      </c>
      <c r="AG136" s="1182" t="s">
        <v>1944</v>
      </c>
      <c r="AH136" s="1182">
        <v>0</v>
      </c>
      <c r="AI136" s="1182">
        <v>300</v>
      </c>
      <c r="AJ136" s="1182" t="s">
        <v>2150</v>
      </c>
      <c r="AL136" s="1186" t="s">
        <v>2151</v>
      </c>
      <c r="AM136" s="1182">
        <v>1</v>
      </c>
      <c r="AN136" s="1182">
        <v>0</v>
      </c>
      <c r="AO136" s="1182">
        <v>0</v>
      </c>
      <c r="AP136" s="1182">
        <v>0</v>
      </c>
      <c r="AQ136" s="1182" t="s">
        <v>1639</v>
      </c>
      <c r="AS136" s="1186" t="s">
        <v>1943</v>
      </c>
      <c r="AT136" s="1186" t="s">
        <v>1944</v>
      </c>
      <c r="AV136" s="1183">
        <v>138</v>
      </c>
      <c r="AW136" s="1183">
        <v>0</v>
      </c>
      <c r="AX136" s="1183">
        <v>0</v>
      </c>
      <c r="AY136" s="1538">
        <v>138</v>
      </c>
      <c r="AZ136" s="1183">
        <v>0</v>
      </c>
      <c r="BA136" s="1183">
        <v>162</v>
      </c>
      <c r="BB136" s="1540">
        <v>162</v>
      </c>
      <c r="BC136" s="1540">
        <v>300</v>
      </c>
      <c r="BD136" s="1540">
        <v>0</v>
      </c>
      <c r="BF136" s="1539">
        <f t="shared" si="49"/>
        <v>138</v>
      </c>
      <c r="BG136" s="1539">
        <f t="shared" si="50"/>
        <v>0</v>
      </c>
      <c r="BH136" s="1539">
        <f t="shared" si="51"/>
        <v>0</v>
      </c>
      <c r="BI136" s="1539">
        <f t="shared" si="52"/>
        <v>138</v>
      </c>
      <c r="BJ136" s="1539">
        <f t="shared" si="53"/>
        <v>0</v>
      </c>
      <c r="BK136" s="1539">
        <f t="shared" si="54"/>
        <v>162</v>
      </c>
      <c r="BL136" s="1539">
        <f t="shared" si="55"/>
        <v>162</v>
      </c>
      <c r="BM136" s="1539">
        <f t="shared" si="56"/>
        <v>300</v>
      </c>
      <c r="BO136" s="1183"/>
      <c r="BQ136" s="1182">
        <f t="shared" si="57"/>
        <v>0</v>
      </c>
      <c r="BR136" s="1182">
        <f t="shared" si="58"/>
        <v>0</v>
      </c>
      <c r="BS136" s="1182">
        <f t="shared" si="48"/>
        <v>0</v>
      </c>
      <c r="BT136" s="1182">
        <f t="shared" si="48"/>
        <v>0</v>
      </c>
    </row>
    <row r="137" spans="1:72" ht="13.5" customHeight="1">
      <c r="A137" s="1182" t="s">
        <v>1803</v>
      </c>
      <c r="B137" s="1182" t="s">
        <v>1804</v>
      </c>
      <c r="C137" s="1182" t="s">
        <v>1639</v>
      </c>
      <c r="D137" s="1182" t="s">
        <v>2092</v>
      </c>
      <c r="E137" s="1182" t="s">
        <v>2093</v>
      </c>
      <c r="F137" s="1182" t="s">
        <v>2201</v>
      </c>
      <c r="G137" s="1182" t="s">
        <v>2201</v>
      </c>
      <c r="H137" s="1182" t="s">
        <v>2076</v>
      </c>
      <c r="I137" s="1182" t="s">
        <v>1937</v>
      </c>
      <c r="J137" s="1182" t="s">
        <v>2202</v>
      </c>
      <c r="K137" s="1182" t="s">
        <v>1811</v>
      </c>
      <c r="L137" s="1182" t="s">
        <v>1812</v>
      </c>
      <c r="M137" s="1182" t="s">
        <v>1803</v>
      </c>
      <c r="N137" s="1182" t="s">
        <v>1939</v>
      </c>
      <c r="O137" s="1182" t="s">
        <v>1554</v>
      </c>
      <c r="P137" s="1182" t="s">
        <v>1575</v>
      </c>
      <c r="Q137" s="1182" t="s">
        <v>1574</v>
      </c>
      <c r="R137" s="1182" t="s">
        <v>1573</v>
      </c>
      <c r="S137" s="1182" t="s">
        <v>1577</v>
      </c>
      <c r="T137" s="1182" t="s">
        <v>1814</v>
      </c>
      <c r="U137" s="1182" t="s">
        <v>1815</v>
      </c>
      <c r="V137" s="1182">
        <v>0</v>
      </c>
      <c r="W137" s="1182">
        <v>0</v>
      </c>
      <c r="X137" s="1182">
        <v>0</v>
      </c>
      <c r="Y137" s="1183">
        <v>1200</v>
      </c>
      <c r="Z137" s="1182" t="s">
        <v>1940</v>
      </c>
      <c r="AA137" s="1182" t="s">
        <v>1941</v>
      </c>
      <c r="AB137" s="1182">
        <v>1200</v>
      </c>
      <c r="AC137" s="1182" t="s">
        <v>1942</v>
      </c>
      <c r="AD137" s="1182" t="s">
        <v>1577</v>
      </c>
      <c r="AE137" s="1182">
        <v>1200</v>
      </c>
      <c r="AF137" s="1182" t="s">
        <v>1943</v>
      </c>
      <c r="AG137" s="1182" t="s">
        <v>1944</v>
      </c>
      <c r="AH137" s="1182">
        <v>0</v>
      </c>
      <c r="AI137" s="1182">
        <v>1200</v>
      </c>
      <c r="AJ137" s="1182" t="s">
        <v>2203</v>
      </c>
      <c r="AL137" s="1186" t="s">
        <v>2204</v>
      </c>
      <c r="AM137" s="1182">
        <v>1</v>
      </c>
      <c r="AN137" s="1182">
        <v>0</v>
      </c>
      <c r="AO137" s="1182">
        <v>0</v>
      </c>
      <c r="AP137" s="1182">
        <v>0</v>
      </c>
      <c r="AQ137" s="1182" t="s">
        <v>1639</v>
      </c>
      <c r="AS137" s="1186" t="s">
        <v>1943</v>
      </c>
      <c r="AT137" s="1186" t="s">
        <v>1944</v>
      </c>
      <c r="AV137" s="1183">
        <v>552</v>
      </c>
      <c r="AW137" s="1183">
        <v>0</v>
      </c>
      <c r="AX137" s="1183">
        <v>0</v>
      </c>
      <c r="AY137" s="1538">
        <v>552</v>
      </c>
      <c r="AZ137" s="1183">
        <v>0</v>
      </c>
      <c r="BA137" s="1183">
        <v>648</v>
      </c>
      <c r="BB137" s="1540">
        <v>648</v>
      </c>
      <c r="BC137" s="1540">
        <v>1200</v>
      </c>
      <c r="BD137" s="1540">
        <v>0</v>
      </c>
      <c r="BF137" s="1539">
        <f t="shared" si="49"/>
        <v>552</v>
      </c>
      <c r="BG137" s="1539">
        <f t="shared" si="50"/>
        <v>0</v>
      </c>
      <c r="BH137" s="1539">
        <f t="shared" si="51"/>
        <v>0</v>
      </c>
      <c r="BI137" s="1539">
        <f t="shared" si="52"/>
        <v>552</v>
      </c>
      <c r="BJ137" s="1539">
        <f t="shared" si="53"/>
        <v>0</v>
      </c>
      <c r="BK137" s="1539">
        <f t="shared" si="54"/>
        <v>648</v>
      </c>
      <c r="BL137" s="1539">
        <f t="shared" si="55"/>
        <v>648</v>
      </c>
      <c r="BM137" s="1539">
        <f t="shared" si="56"/>
        <v>1200</v>
      </c>
      <c r="BO137" s="1183"/>
      <c r="BQ137" s="1182">
        <f t="shared" si="57"/>
        <v>0</v>
      </c>
      <c r="BR137" s="1182">
        <f t="shared" si="58"/>
        <v>0</v>
      </c>
      <c r="BS137" s="1182">
        <f t="shared" si="48"/>
        <v>0</v>
      </c>
      <c r="BT137" s="1182">
        <f t="shared" si="48"/>
        <v>0</v>
      </c>
    </row>
    <row r="138" spans="1:72" ht="13.5" customHeight="1">
      <c r="A138" s="1182" t="s">
        <v>1803</v>
      </c>
      <c r="B138" s="1182" t="s">
        <v>1804</v>
      </c>
      <c r="C138" s="1182" t="s">
        <v>1639</v>
      </c>
      <c r="D138" s="1182" t="s">
        <v>1915</v>
      </c>
      <c r="E138" s="1182" t="s">
        <v>1916</v>
      </c>
      <c r="F138" s="1182" t="s">
        <v>2166</v>
      </c>
      <c r="G138" s="1182" t="s">
        <v>2166</v>
      </c>
      <c r="H138" s="1182" t="s">
        <v>2076</v>
      </c>
      <c r="I138" s="1182" t="s">
        <v>1937</v>
      </c>
      <c r="J138" s="1182" t="s">
        <v>2167</v>
      </c>
      <c r="K138" s="1182" t="s">
        <v>1811</v>
      </c>
      <c r="L138" s="1182" t="s">
        <v>1812</v>
      </c>
      <c r="M138" s="1182" t="s">
        <v>1803</v>
      </c>
      <c r="N138" s="1182" t="s">
        <v>1939</v>
      </c>
      <c r="O138" s="1182" t="s">
        <v>1554</v>
      </c>
      <c r="P138" s="1182" t="s">
        <v>1575</v>
      </c>
      <c r="Q138" s="1182" t="s">
        <v>1574</v>
      </c>
      <c r="R138" s="1182" t="s">
        <v>1573</v>
      </c>
      <c r="S138" s="1182" t="s">
        <v>1577</v>
      </c>
      <c r="T138" s="1182" t="s">
        <v>1814</v>
      </c>
      <c r="U138" s="1182" t="s">
        <v>1815</v>
      </c>
      <c r="V138" s="1182">
        <v>0</v>
      </c>
      <c r="W138" s="1182">
        <v>0</v>
      </c>
      <c r="X138" s="1182">
        <v>0</v>
      </c>
      <c r="Y138" s="1183">
        <v>300</v>
      </c>
      <c r="Z138" s="1182" t="s">
        <v>1940</v>
      </c>
      <c r="AA138" s="1182" t="s">
        <v>1941</v>
      </c>
      <c r="AB138" s="1182">
        <v>300</v>
      </c>
      <c r="AC138" s="1182" t="s">
        <v>1942</v>
      </c>
      <c r="AD138" s="1182" t="s">
        <v>1577</v>
      </c>
      <c r="AE138" s="1182">
        <v>300</v>
      </c>
      <c r="AF138" s="1182" t="s">
        <v>1943</v>
      </c>
      <c r="AG138" s="1182" t="s">
        <v>1944</v>
      </c>
      <c r="AH138" s="1182">
        <v>0</v>
      </c>
      <c r="AI138" s="1182">
        <v>300</v>
      </c>
      <c r="AJ138" s="1182" t="s">
        <v>2168</v>
      </c>
      <c r="AL138" s="1186" t="s">
        <v>2169</v>
      </c>
      <c r="AM138" s="1182">
        <v>1</v>
      </c>
      <c r="AN138" s="1182">
        <v>0</v>
      </c>
      <c r="AO138" s="1182">
        <v>0</v>
      </c>
      <c r="AP138" s="1182">
        <v>0</v>
      </c>
      <c r="AQ138" s="1182" t="s">
        <v>1639</v>
      </c>
      <c r="AS138" s="1186" t="s">
        <v>1943</v>
      </c>
      <c r="AT138" s="1186" t="s">
        <v>1944</v>
      </c>
      <c r="AV138" s="1183">
        <v>138</v>
      </c>
      <c r="AW138" s="1183">
        <v>0</v>
      </c>
      <c r="AX138" s="1183">
        <v>0</v>
      </c>
      <c r="AY138" s="1538">
        <v>138</v>
      </c>
      <c r="AZ138" s="1183">
        <v>0</v>
      </c>
      <c r="BA138" s="1183">
        <v>162</v>
      </c>
      <c r="BB138" s="1540">
        <v>162</v>
      </c>
      <c r="BC138" s="1540">
        <v>300</v>
      </c>
      <c r="BD138" s="1540">
        <v>0</v>
      </c>
      <c r="BF138" s="1539">
        <f t="shared" si="49"/>
        <v>138</v>
      </c>
      <c r="BG138" s="1539">
        <f t="shared" si="50"/>
        <v>0</v>
      </c>
      <c r="BH138" s="1539">
        <f t="shared" si="51"/>
        <v>0</v>
      </c>
      <c r="BI138" s="1539">
        <f t="shared" si="52"/>
        <v>138</v>
      </c>
      <c r="BJ138" s="1539">
        <f t="shared" si="53"/>
        <v>0</v>
      </c>
      <c r="BK138" s="1539">
        <f t="shared" si="54"/>
        <v>162</v>
      </c>
      <c r="BL138" s="1539">
        <f t="shared" si="55"/>
        <v>162</v>
      </c>
      <c r="BM138" s="1539">
        <f t="shared" si="56"/>
        <v>300</v>
      </c>
      <c r="BO138" s="1183"/>
      <c r="BQ138" s="1182">
        <f t="shared" si="57"/>
        <v>0</v>
      </c>
      <c r="BR138" s="1182">
        <f t="shared" si="58"/>
        <v>0</v>
      </c>
      <c r="BS138" s="1182">
        <f t="shared" si="48"/>
        <v>0</v>
      </c>
      <c r="BT138" s="1182">
        <f t="shared" si="48"/>
        <v>0</v>
      </c>
    </row>
    <row r="139" spans="1:72" ht="13.5" customHeight="1">
      <c r="A139" s="1182" t="s">
        <v>1803</v>
      </c>
      <c r="B139" s="1182" t="s">
        <v>1804</v>
      </c>
      <c r="C139" s="1182" t="s">
        <v>1639</v>
      </c>
      <c r="D139" s="1182" t="s">
        <v>1915</v>
      </c>
      <c r="E139" s="1182" t="s">
        <v>1916</v>
      </c>
      <c r="F139" s="1182" t="s">
        <v>2141</v>
      </c>
      <c r="G139" s="1182" t="s">
        <v>2141</v>
      </c>
      <c r="H139" s="1182" t="s">
        <v>2076</v>
      </c>
      <c r="I139" s="1182" t="s">
        <v>1937</v>
      </c>
      <c r="J139" s="1182" t="s">
        <v>2142</v>
      </c>
      <c r="K139" s="1182" t="s">
        <v>1811</v>
      </c>
      <c r="L139" s="1182" t="s">
        <v>1812</v>
      </c>
      <c r="M139" s="1182" t="s">
        <v>1803</v>
      </c>
      <c r="N139" s="1182" t="s">
        <v>1939</v>
      </c>
      <c r="O139" s="1182" t="s">
        <v>1554</v>
      </c>
      <c r="P139" s="1182" t="s">
        <v>1575</v>
      </c>
      <c r="Q139" s="1182" t="s">
        <v>1574</v>
      </c>
      <c r="R139" s="1182" t="s">
        <v>1573</v>
      </c>
      <c r="S139" s="1182" t="s">
        <v>1577</v>
      </c>
      <c r="T139" s="1182" t="s">
        <v>1814</v>
      </c>
      <c r="U139" s="1182" t="s">
        <v>1815</v>
      </c>
      <c r="V139" s="1182">
        <v>0</v>
      </c>
      <c r="W139" s="1182">
        <v>0</v>
      </c>
      <c r="X139" s="1182">
        <v>0</v>
      </c>
      <c r="Y139" s="1183">
        <v>600</v>
      </c>
      <c r="Z139" s="1182" t="s">
        <v>1940</v>
      </c>
      <c r="AA139" s="1182" t="s">
        <v>1941</v>
      </c>
      <c r="AB139" s="1182">
        <v>600</v>
      </c>
      <c r="AC139" s="1182" t="s">
        <v>1942</v>
      </c>
      <c r="AD139" s="1182" t="s">
        <v>1577</v>
      </c>
      <c r="AE139" s="1182">
        <v>600</v>
      </c>
      <c r="AF139" s="1182" t="s">
        <v>1943</v>
      </c>
      <c r="AG139" s="1182" t="s">
        <v>1944</v>
      </c>
      <c r="AH139" s="1182">
        <v>0</v>
      </c>
      <c r="AI139" s="1182">
        <v>600</v>
      </c>
      <c r="AJ139" s="1182" t="s">
        <v>2143</v>
      </c>
      <c r="AL139" s="1186" t="s">
        <v>2144</v>
      </c>
      <c r="AM139" s="1182">
        <v>1</v>
      </c>
      <c r="AN139" s="1182">
        <v>0</v>
      </c>
      <c r="AO139" s="1182">
        <v>0</v>
      </c>
      <c r="AP139" s="1182">
        <v>0</v>
      </c>
      <c r="AQ139" s="1182" t="s">
        <v>1639</v>
      </c>
      <c r="AS139" s="1186" t="s">
        <v>1943</v>
      </c>
      <c r="AT139" s="1186" t="s">
        <v>1944</v>
      </c>
      <c r="AV139" s="1183">
        <v>276</v>
      </c>
      <c r="AW139" s="1183">
        <v>0</v>
      </c>
      <c r="AX139" s="1183">
        <v>0</v>
      </c>
      <c r="AY139" s="1538">
        <v>276</v>
      </c>
      <c r="AZ139" s="1183">
        <v>0</v>
      </c>
      <c r="BA139" s="1183">
        <v>324</v>
      </c>
      <c r="BB139" s="1540">
        <v>324</v>
      </c>
      <c r="BC139" s="1540">
        <v>600</v>
      </c>
      <c r="BD139" s="1540">
        <v>0</v>
      </c>
      <c r="BF139" s="1539">
        <f t="shared" si="49"/>
        <v>276</v>
      </c>
      <c r="BG139" s="1539">
        <f t="shared" si="50"/>
        <v>0</v>
      </c>
      <c r="BH139" s="1539">
        <f t="shared" si="51"/>
        <v>0</v>
      </c>
      <c r="BI139" s="1539">
        <f t="shared" si="52"/>
        <v>276</v>
      </c>
      <c r="BJ139" s="1539">
        <f t="shared" si="53"/>
        <v>0</v>
      </c>
      <c r="BK139" s="1539">
        <f t="shared" si="54"/>
        <v>324</v>
      </c>
      <c r="BL139" s="1539">
        <f t="shared" si="55"/>
        <v>324</v>
      </c>
      <c r="BM139" s="1539">
        <f t="shared" si="56"/>
        <v>600</v>
      </c>
      <c r="BO139" s="1183"/>
      <c r="BQ139" s="1182">
        <f t="shared" si="57"/>
        <v>0</v>
      </c>
      <c r="BR139" s="1182">
        <f t="shared" si="58"/>
        <v>0</v>
      </c>
      <c r="BS139" s="1182">
        <f t="shared" si="48"/>
        <v>0</v>
      </c>
      <c r="BT139" s="1182">
        <f t="shared" si="48"/>
        <v>0</v>
      </c>
    </row>
    <row r="140" spans="1:72" ht="13.5" customHeight="1">
      <c r="A140" s="1182" t="s">
        <v>1803</v>
      </c>
      <c r="B140" s="1182" t="s">
        <v>1804</v>
      </c>
      <c r="C140" s="1182" t="s">
        <v>1639</v>
      </c>
      <c r="D140" s="1182" t="s">
        <v>1915</v>
      </c>
      <c r="E140" s="1182" t="s">
        <v>1916</v>
      </c>
      <c r="F140" s="1182" t="s">
        <v>1840</v>
      </c>
      <c r="G140" s="1182" t="s">
        <v>1840</v>
      </c>
      <c r="H140" s="1182" t="s">
        <v>2076</v>
      </c>
      <c r="I140" s="1182" t="s">
        <v>1937</v>
      </c>
      <c r="J140" s="1182" t="s">
        <v>2205</v>
      </c>
      <c r="K140" s="1182" t="s">
        <v>1811</v>
      </c>
      <c r="L140" s="1182" t="s">
        <v>1812</v>
      </c>
      <c r="M140" s="1182" t="s">
        <v>1803</v>
      </c>
      <c r="N140" s="1182" t="s">
        <v>1939</v>
      </c>
      <c r="O140" s="1182" t="s">
        <v>1554</v>
      </c>
      <c r="P140" s="1182" t="s">
        <v>1575</v>
      </c>
      <c r="Q140" s="1182" t="s">
        <v>1574</v>
      </c>
      <c r="R140" s="1182" t="s">
        <v>1573</v>
      </c>
      <c r="S140" s="1182" t="s">
        <v>1577</v>
      </c>
      <c r="T140" s="1182" t="s">
        <v>1814</v>
      </c>
      <c r="U140" s="1182" t="s">
        <v>1815</v>
      </c>
      <c r="V140" s="1182">
        <v>0</v>
      </c>
      <c r="W140" s="1182">
        <v>0</v>
      </c>
      <c r="X140" s="1182">
        <v>0</v>
      </c>
      <c r="Y140" s="1183">
        <v>300</v>
      </c>
      <c r="Z140" s="1182" t="s">
        <v>1940</v>
      </c>
      <c r="AA140" s="1182" t="s">
        <v>1941</v>
      </c>
      <c r="AB140" s="1182">
        <v>300</v>
      </c>
      <c r="AC140" s="1182" t="s">
        <v>1942</v>
      </c>
      <c r="AD140" s="1182" t="s">
        <v>1577</v>
      </c>
      <c r="AE140" s="1182">
        <v>300</v>
      </c>
      <c r="AF140" s="1182" t="s">
        <v>1943</v>
      </c>
      <c r="AG140" s="1182" t="s">
        <v>1944</v>
      </c>
      <c r="AH140" s="1182">
        <v>0</v>
      </c>
      <c r="AI140" s="1182">
        <v>300</v>
      </c>
      <c r="AJ140" s="1182" t="s">
        <v>2206</v>
      </c>
      <c r="AL140" s="1186" t="s">
        <v>2207</v>
      </c>
      <c r="AM140" s="1182">
        <v>1</v>
      </c>
      <c r="AN140" s="1182">
        <v>0</v>
      </c>
      <c r="AO140" s="1182">
        <v>0</v>
      </c>
      <c r="AP140" s="1182">
        <v>0</v>
      </c>
      <c r="AQ140" s="1182" t="s">
        <v>1639</v>
      </c>
      <c r="AS140" s="1186" t="s">
        <v>1943</v>
      </c>
      <c r="AT140" s="1186" t="s">
        <v>1944</v>
      </c>
      <c r="AV140" s="1183">
        <v>138</v>
      </c>
      <c r="AW140" s="1183">
        <v>0</v>
      </c>
      <c r="AX140" s="1183">
        <v>0</v>
      </c>
      <c r="AY140" s="1538">
        <v>138</v>
      </c>
      <c r="AZ140" s="1183">
        <v>0</v>
      </c>
      <c r="BA140" s="1183">
        <v>162</v>
      </c>
      <c r="BB140" s="1540">
        <v>162</v>
      </c>
      <c r="BC140" s="1540">
        <v>300</v>
      </c>
      <c r="BD140" s="1540">
        <v>0</v>
      </c>
      <c r="BF140" s="1539">
        <f t="shared" si="49"/>
        <v>138</v>
      </c>
      <c r="BG140" s="1539">
        <f t="shared" si="50"/>
        <v>0</v>
      </c>
      <c r="BH140" s="1539">
        <f t="shared" si="51"/>
        <v>0</v>
      </c>
      <c r="BI140" s="1539">
        <f t="shared" si="52"/>
        <v>138</v>
      </c>
      <c r="BJ140" s="1539">
        <f t="shared" si="53"/>
        <v>0</v>
      </c>
      <c r="BK140" s="1539">
        <f t="shared" si="54"/>
        <v>162</v>
      </c>
      <c r="BL140" s="1539">
        <f t="shared" si="55"/>
        <v>162</v>
      </c>
      <c r="BM140" s="1539">
        <f t="shared" si="56"/>
        <v>300</v>
      </c>
      <c r="BO140" s="1183"/>
      <c r="BQ140" s="1182">
        <f t="shared" si="57"/>
        <v>0</v>
      </c>
      <c r="BR140" s="1182">
        <f t="shared" si="58"/>
        <v>0</v>
      </c>
      <c r="BS140" s="1182">
        <f t="shared" si="48"/>
        <v>0</v>
      </c>
      <c r="BT140" s="1182">
        <f t="shared" si="48"/>
        <v>0</v>
      </c>
    </row>
    <row r="141" spans="1:72" ht="13.5" customHeight="1">
      <c r="A141" s="1182" t="s">
        <v>1803</v>
      </c>
      <c r="B141" s="1182" t="s">
        <v>1804</v>
      </c>
      <c r="C141" s="1182" t="s">
        <v>1639</v>
      </c>
      <c r="D141" s="1182" t="s">
        <v>1915</v>
      </c>
      <c r="E141" s="1182" t="s">
        <v>1916</v>
      </c>
      <c r="F141" s="1182" t="s">
        <v>1840</v>
      </c>
      <c r="G141" s="1182" t="s">
        <v>1840</v>
      </c>
      <c r="H141" s="1182" t="s">
        <v>2076</v>
      </c>
      <c r="I141" s="1182" t="s">
        <v>1937</v>
      </c>
      <c r="J141" s="1182" t="s">
        <v>2208</v>
      </c>
      <c r="K141" s="1182" t="s">
        <v>1811</v>
      </c>
      <c r="L141" s="1182" t="s">
        <v>1812</v>
      </c>
      <c r="M141" s="1182" t="s">
        <v>1803</v>
      </c>
      <c r="N141" s="1182" t="s">
        <v>1939</v>
      </c>
      <c r="O141" s="1182" t="s">
        <v>1554</v>
      </c>
      <c r="P141" s="1182" t="s">
        <v>1575</v>
      </c>
      <c r="Q141" s="1182" t="s">
        <v>1574</v>
      </c>
      <c r="R141" s="1182" t="s">
        <v>1573</v>
      </c>
      <c r="S141" s="1182" t="s">
        <v>1577</v>
      </c>
      <c r="T141" s="1182" t="s">
        <v>1814</v>
      </c>
      <c r="U141" s="1182" t="s">
        <v>1815</v>
      </c>
      <c r="V141" s="1182">
        <v>0</v>
      </c>
      <c r="W141" s="1182">
        <v>0</v>
      </c>
      <c r="X141" s="1182">
        <v>0</v>
      </c>
      <c r="Y141" s="1183">
        <v>200</v>
      </c>
      <c r="Z141" s="1182" t="s">
        <v>1940</v>
      </c>
      <c r="AA141" s="1182" t="s">
        <v>1941</v>
      </c>
      <c r="AB141" s="1182">
        <v>200</v>
      </c>
      <c r="AC141" s="1182" t="s">
        <v>1942</v>
      </c>
      <c r="AD141" s="1182" t="s">
        <v>1577</v>
      </c>
      <c r="AE141" s="1182">
        <v>200</v>
      </c>
      <c r="AF141" s="1182" t="s">
        <v>1943</v>
      </c>
      <c r="AG141" s="1182" t="s">
        <v>1944</v>
      </c>
      <c r="AH141" s="1182">
        <v>0</v>
      </c>
      <c r="AI141" s="1182">
        <v>200</v>
      </c>
      <c r="AJ141" s="1182" t="s">
        <v>2209</v>
      </c>
      <c r="AL141" s="1186" t="s">
        <v>2210</v>
      </c>
      <c r="AM141" s="1182">
        <v>1</v>
      </c>
      <c r="AN141" s="1182">
        <v>0</v>
      </c>
      <c r="AO141" s="1182">
        <v>0</v>
      </c>
      <c r="AP141" s="1182">
        <v>0</v>
      </c>
      <c r="AQ141" s="1182" t="s">
        <v>1639</v>
      </c>
      <c r="AS141" s="1186" t="s">
        <v>1943</v>
      </c>
      <c r="AT141" s="1186" t="s">
        <v>1944</v>
      </c>
      <c r="AV141" s="1183">
        <v>92</v>
      </c>
      <c r="AW141" s="1183">
        <v>0</v>
      </c>
      <c r="AX141" s="1183">
        <v>0</v>
      </c>
      <c r="AY141" s="1538">
        <v>92</v>
      </c>
      <c r="AZ141" s="1183">
        <v>0</v>
      </c>
      <c r="BA141" s="1183">
        <v>108</v>
      </c>
      <c r="BB141" s="1540">
        <v>108</v>
      </c>
      <c r="BC141" s="1540">
        <v>200</v>
      </c>
      <c r="BD141" s="1540">
        <v>0</v>
      </c>
      <c r="BF141" s="1539">
        <f t="shared" si="49"/>
        <v>92</v>
      </c>
      <c r="BG141" s="1539">
        <f t="shared" si="50"/>
        <v>0</v>
      </c>
      <c r="BH141" s="1539">
        <f t="shared" si="51"/>
        <v>0</v>
      </c>
      <c r="BI141" s="1539">
        <f t="shared" si="52"/>
        <v>92</v>
      </c>
      <c r="BJ141" s="1539">
        <f t="shared" si="53"/>
        <v>0</v>
      </c>
      <c r="BK141" s="1539">
        <f t="shared" si="54"/>
        <v>108</v>
      </c>
      <c r="BL141" s="1539">
        <f t="shared" si="55"/>
        <v>108</v>
      </c>
      <c r="BM141" s="1539">
        <f t="shared" si="56"/>
        <v>200</v>
      </c>
      <c r="BO141" s="1183"/>
      <c r="BQ141" s="1182">
        <f t="shared" si="57"/>
        <v>0</v>
      </c>
      <c r="BR141" s="1182">
        <f t="shared" si="58"/>
        <v>0</v>
      </c>
      <c r="BS141" s="1182">
        <f t="shared" si="48"/>
        <v>0</v>
      </c>
      <c r="BT141" s="1182">
        <f t="shared" si="48"/>
        <v>0</v>
      </c>
    </row>
    <row r="142" spans="1:72" ht="13.5" customHeight="1">
      <c r="A142" s="1182" t="s">
        <v>1803</v>
      </c>
      <c r="B142" s="1182" t="s">
        <v>1804</v>
      </c>
      <c r="C142" s="1182" t="s">
        <v>1639</v>
      </c>
      <c r="D142" s="1182" t="s">
        <v>1915</v>
      </c>
      <c r="E142" s="1182" t="s">
        <v>1916</v>
      </c>
      <c r="F142" s="1182" t="s">
        <v>2308</v>
      </c>
      <c r="G142" s="1182" t="s">
        <v>2308</v>
      </c>
      <c r="H142" s="1182" t="s">
        <v>2076</v>
      </c>
      <c r="I142" s="1182" t="s">
        <v>1937</v>
      </c>
      <c r="J142" s="1182" t="s">
        <v>2309</v>
      </c>
      <c r="K142" s="1182" t="s">
        <v>1811</v>
      </c>
      <c r="L142" s="1182" t="s">
        <v>1812</v>
      </c>
      <c r="M142" s="1182" t="s">
        <v>1803</v>
      </c>
      <c r="N142" s="1182" t="s">
        <v>1939</v>
      </c>
      <c r="O142" s="1182" t="s">
        <v>1554</v>
      </c>
      <c r="P142" s="1182" t="s">
        <v>1575</v>
      </c>
      <c r="Q142" s="1182" t="s">
        <v>1574</v>
      </c>
      <c r="R142" s="1182" t="s">
        <v>1573</v>
      </c>
      <c r="S142" s="1182" t="s">
        <v>1577</v>
      </c>
      <c r="T142" s="1182" t="s">
        <v>1814</v>
      </c>
      <c r="U142" s="1182" t="s">
        <v>1815</v>
      </c>
      <c r="V142" s="1182">
        <v>0</v>
      </c>
      <c r="W142" s="1182">
        <v>0</v>
      </c>
      <c r="X142" s="1182">
        <v>0</v>
      </c>
      <c r="Y142" s="1183">
        <v>300</v>
      </c>
      <c r="Z142" s="1182" t="s">
        <v>1940</v>
      </c>
      <c r="AA142" s="1182" t="s">
        <v>1941</v>
      </c>
      <c r="AB142" s="1182">
        <v>300</v>
      </c>
      <c r="AC142" s="1182" t="s">
        <v>1942</v>
      </c>
      <c r="AD142" s="1182" t="s">
        <v>1577</v>
      </c>
      <c r="AE142" s="1182">
        <v>300</v>
      </c>
      <c r="AF142" s="1182" t="s">
        <v>1943</v>
      </c>
      <c r="AG142" s="1182" t="s">
        <v>1944</v>
      </c>
      <c r="AH142" s="1182">
        <v>0</v>
      </c>
      <c r="AI142" s="1182">
        <v>300</v>
      </c>
      <c r="AJ142" s="1182" t="s">
        <v>2310</v>
      </c>
      <c r="AL142" s="1186" t="s">
        <v>2311</v>
      </c>
      <c r="AM142" s="1182">
        <v>1</v>
      </c>
      <c r="AN142" s="1182">
        <v>0</v>
      </c>
      <c r="AO142" s="1182">
        <v>0</v>
      </c>
      <c r="AP142" s="1182">
        <v>0</v>
      </c>
      <c r="AQ142" s="1182" t="s">
        <v>1639</v>
      </c>
      <c r="AS142" s="1186" t="s">
        <v>1943</v>
      </c>
      <c r="AT142" s="1186" t="s">
        <v>1944</v>
      </c>
      <c r="AV142" s="1183">
        <v>138</v>
      </c>
      <c r="AW142" s="1183">
        <v>0</v>
      </c>
      <c r="AX142" s="1183">
        <v>0</v>
      </c>
      <c r="AY142" s="1538">
        <v>138</v>
      </c>
      <c r="AZ142" s="1183">
        <v>0</v>
      </c>
      <c r="BA142" s="1183">
        <v>162</v>
      </c>
      <c r="BB142" s="1540">
        <v>162</v>
      </c>
      <c r="BC142" s="1540">
        <v>300</v>
      </c>
      <c r="BD142" s="1540">
        <v>0</v>
      </c>
      <c r="BF142" s="1539">
        <f t="shared" si="49"/>
        <v>138</v>
      </c>
      <c r="BG142" s="1539">
        <f t="shared" si="50"/>
        <v>0</v>
      </c>
      <c r="BH142" s="1539">
        <f t="shared" si="51"/>
        <v>0</v>
      </c>
      <c r="BI142" s="1539">
        <f t="shared" si="52"/>
        <v>138</v>
      </c>
      <c r="BJ142" s="1539">
        <f t="shared" si="53"/>
        <v>0</v>
      </c>
      <c r="BK142" s="1539">
        <f t="shared" si="54"/>
        <v>162</v>
      </c>
      <c r="BL142" s="1539">
        <f t="shared" si="55"/>
        <v>162</v>
      </c>
      <c r="BM142" s="1539">
        <f t="shared" si="56"/>
        <v>300</v>
      </c>
      <c r="BO142" s="1183"/>
      <c r="BQ142" s="1182">
        <f t="shared" si="57"/>
        <v>0</v>
      </c>
      <c r="BR142" s="1182">
        <f t="shared" si="58"/>
        <v>0</v>
      </c>
      <c r="BS142" s="1182">
        <f t="shared" si="48"/>
        <v>0</v>
      </c>
      <c r="BT142" s="1182">
        <f t="shared" si="48"/>
        <v>0</v>
      </c>
    </row>
    <row r="143" spans="1:72" ht="13.5" customHeight="1">
      <c r="A143" s="1182" t="s">
        <v>1803</v>
      </c>
      <c r="B143" s="1182" t="s">
        <v>1804</v>
      </c>
      <c r="C143" s="1182" t="s">
        <v>1639</v>
      </c>
      <c r="D143" s="1182" t="s">
        <v>1915</v>
      </c>
      <c r="E143" s="1182" t="s">
        <v>1916</v>
      </c>
      <c r="F143" s="1182" t="s">
        <v>2308</v>
      </c>
      <c r="G143" s="1182" t="s">
        <v>2308</v>
      </c>
      <c r="H143" s="1182" t="s">
        <v>2076</v>
      </c>
      <c r="I143" s="1182" t="s">
        <v>1937</v>
      </c>
      <c r="J143" s="1182" t="s">
        <v>2312</v>
      </c>
      <c r="K143" s="1182" t="s">
        <v>1811</v>
      </c>
      <c r="L143" s="1182" t="s">
        <v>1812</v>
      </c>
      <c r="M143" s="1182" t="s">
        <v>1803</v>
      </c>
      <c r="N143" s="1182" t="s">
        <v>1939</v>
      </c>
      <c r="O143" s="1182" t="s">
        <v>1554</v>
      </c>
      <c r="P143" s="1182" t="s">
        <v>1575</v>
      </c>
      <c r="Q143" s="1182" t="s">
        <v>1574</v>
      </c>
      <c r="R143" s="1182" t="s">
        <v>1573</v>
      </c>
      <c r="S143" s="1182" t="s">
        <v>1577</v>
      </c>
      <c r="T143" s="1182" t="s">
        <v>1814</v>
      </c>
      <c r="U143" s="1182" t="s">
        <v>1815</v>
      </c>
      <c r="V143" s="1182">
        <v>0</v>
      </c>
      <c r="W143" s="1182">
        <v>0</v>
      </c>
      <c r="X143" s="1182">
        <v>0</v>
      </c>
      <c r="Y143" s="1183">
        <v>300</v>
      </c>
      <c r="Z143" s="1182" t="s">
        <v>1940</v>
      </c>
      <c r="AA143" s="1182" t="s">
        <v>1941</v>
      </c>
      <c r="AB143" s="1182">
        <v>300</v>
      </c>
      <c r="AC143" s="1182" t="s">
        <v>1942</v>
      </c>
      <c r="AD143" s="1182" t="s">
        <v>1577</v>
      </c>
      <c r="AE143" s="1182">
        <v>300</v>
      </c>
      <c r="AF143" s="1182" t="s">
        <v>1943</v>
      </c>
      <c r="AG143" s="1182" t="s">
        <v>1944</v>
      </c>
      <c r="AH143" s="1182">
        <v>0</v>
      </c>
      <c r="AI143" s="1182">
        <v>300</v>
      </c>
      <c r="AJ143" s="1182" t="s">
        <v>2313</v>
      </c>
      <c r="AL143" s="1186" t="s">
        <v>2314</v>
      </c>
      <c r="AM143" s="1182">
        <v>1</v>
      </c>
      <c r="AN143" s="1182">
        <v>0</v>
      </c>
      <c r="AO143" s="1182">
        <v>0</v>
      </c>
      <c r="AP143" s="1182">
        <v>0</v>
      </c>
      <c r="AQ143" s="1182" t="s">
        <v>1639</v>
      </c>
      <c r="AS143" s="1186" t="s">
        <v>1943</v>
      </c>
      <c r="AT143" s="1186" t="s">
        <v>1944</v>
      </c>
      <c r="AV143" s="1183">
        <v>138</v>
      </c>
      <c r="AW143" s="1183">
        <v>0</v>
      </c>
      <c r="AX143" s="1183">
        <v>0</v>
      </c>
      <c r="AY143" s="1538">
        <v>138</v>
      </c>
      <c r="AZ143" s="1183">
        <v>0</v>
      </c>
      <c r="BA143" s="1183">
        <v>162</v>
      </c>
      <c r="BB143" s="1540">
        <v>162</v>
      </c>
      <c r="BC143" s="1540">
        <v>300</v>
      </c>
      <c r="BD143" s="1540">
        <v>0</v>
      </c>
      <c r="BF143" s="1539">
        <f t="shared" si="49"/>
        <v>138</v>
      </c>
      <c r="BG143" s="1539">
        <f t="shared" si="50"/>
        <v>0</v>
      </c>
      <c r="BH143" s="1539">
        <f t="shared" si="51"/>
        <v>0</v>
      </c>
      <c r="BI143" s="1539">
        <f t="shared" si="52"/>
        <v>138</v>
      </c>
      <c r="BJ143" s="1539">
        <f t="shared" si="53"/>
        <v>0</v>
      </c>
      <c r="BK143" s="1539">
        <f t="shared" si="54"/>
        <v>162</v>
      </c>
      <c r="BL143" s="1539">
        <f t="shared" si="55"/>
        <v>162</v>
      </c>
      <c r="BM143" s="1539">
        <f t="shared" si="56"/>
        <v>300</v>
      </c>
      <c r="BO143" s="1183"/>
      <c r="BQ143" s="1182">
        <f t="shared" si="57"/>
        <v>0</v>
      </c>
      <c r="BR143" s="1182">
        <f t="shared" si="58"/>
        <v>0</v>
      </c>
      <c r="BS143" s="1182">
        <f t="shared" si="48"/>
        <v>0</v>
      </c>
      <c r="BT143" s="1182">
        <f t="shared" si="48"/>
        <v>0</v>
      </c>
    </row>
    <row r="144" spans="1:72" ht="13.5" customHeight="1">
      <c r="A144" s="1182" t="s">
        <v>1803</v>
      </c>
      <c r="B144" s="1182" t="s">
        <v>1804</v>
      </c>
      <c r="C144" s="1182" t="s">
        <v>1639</v>
      </c>
      <c r="D144" s="1182" t="s">
        <v>1915</v>
      </c>
      <c r="E144" s="1182" t="s">
        <v>1916</v>
      </c>
      <c r="F144" s="1182" t="s">
        <v>2211</v>
      </c>
      <c r="G144" s="1182" t="s">
        <v>2211</v>
      </c>
      <c r="H144" s="1182" t="s">
        <v>2076</v>
      </c>
      <c r="I144" s="1182" t="s">
        <v>1937</v>
      </c>
      <c r="J144" s="1182" t="s">
        <v>2212</v>
      </c>
      <c r="K144" s="1182" t="s">
        <v>1811</v>
      </c>
      <c r="L144" s="1182" t="s">
        <v>1812</v>
      </c>
      <c r="M144" s="1182" t="s">
        <v>1803</v>
      </c>
      <c r="N144" s="1182" t="s">
        <v>1939</v>
      </c>
      <c r="O144" s="1182" t="s">
        <v>1554</v>
      </c>
      <c r="P144" s="1182" t="s">
        <v>1575</v>
      </c>
      <c r="Q144" s="1182" t="s">
        <v>1574</v>
      </c>
      <c r="R144" s="1182" t="s">
        <v>1573</v>
      </c>
      <c r="S144" s="1182" t="s">
        <v>1577</v>
      </c>
      <c r="T144" s="1182" t="s">
        <v>1814</v>
      </c>
      <c r="U144" s="1182" t="s">
        <v>1815</v>
      </c>
      <c r="V144" s="1182">
        <v>0</v>
      </c>
      <c r="W144" s="1182">
        <v>0</v>
      </c>
      <c r="X144" s="1182">
        <v>0</v>
      </c>
      <c r="Y144" s="1183">
        <v>200</v>
      </c>
      <c r="Z144" s="1182" t="s">
        <v>1940</v>
      </c>
      <c r="AA144" s="1182" t="s">
        <v>1941</v>
      </c>
      <c r="AB144" s="1182">
        <v>200</v>
      </c>
      <c r="AC144" s="1182" t="s">
        <v>1942</v>
      </c>
      <c r="AD144" s="1182" t="s">
        <v>1577</v>
      </c>
      <c r="AE144" s="1182">
        <v>200</v>
      </c>
      <c r="AF144" s="1182" t="s">
        <v>1943</v>
      </c>
      <c r="AG144" s="1182" t="s">
        <v>1944</v>
      </c>
      <c r="AH144" s="1182">
        <v>0</v>
      </c>
      <c r="AI144" s="1182">
        <v>200</v>
      </c>
      <c r="AJ144" s="1182" t="s">
        <v>2213</v>
      </c>
      <c r="AL144" s="1186" t="s">
        <v>2214</v>
      </c>
      <c r="AM144" s="1182">
        <v>1</v>
      </c>
      <c r="AN144" s="1182">
        <v>0</v>
      </c>
      <c r="AO144" s="1182">
        <v>0</v>
      </c>
      <c r="AP144" s="1182">
        <v>0</v>
      </c>
      <c r="AQ144" s="1182" t="s">
        <v>1639</v>
      </c>
      <c r="AS144" s="1186" t="s">
        <v>1943</v>
      </c>
      <c r="AT144" s="1186" t="s">
        <v>1944</v>
      </c>
      <c r="AV144" s="1183">
        <v>92</v>
      </c>
      <c r="AW144" s="1183">
        <v>0</v>
      </c>
      <c r="AX144" s="1183">
        <v>0</v>
      </c>
      <c r="AY144" s="1538">
        <v>92</v>
      </c>
      <c r="AZ144" s="1183">
        <v>0</v>
      </c>
      <c r="BA144" s="1183">
        <v>108</v>
      </c>
      <c r="BB144" s="1540">
        <v>108</v>
      </c>
      <c r="BC144" s="1540">
        <v>200</v>
      </c>
      <c r="BD144" s="1540">
        <v>0</v>
      </c>
      <c r="BF144" s="1539">
        <f t="shared" si="49"/>
        <v>92</v>
      </c>
      <c r="BG144" s="1539">
        <f t="shared" si="50"/>
        <v>0</v>
      </c>
      <c r="BH144" s="1539">
        <f t="shared" si="51"/>
        <v>0</v>
      </c>
      <c r="BI144" s="1539">
        <f t="shared" si="52"/>
        <v>92</v>
      </c>
      <c r="BJ144" s="1539">
        <f t="shared" si="53"/>
        <v>0</v>
      </c>
      <c r="BK144" s="1539">
        <f t="shared" si="54"/>
        <v>108</v>
      </c>
      <c r="BL144" s="1539">
        <f t="shared" si="55"/>
        <v>108</v>
      </c>
      <c r="BM144" s="1539">
        <f t="shared" si="56"/>
        <v>200</v>
      </c>
      <c r="BO144" s="1183"/>
      <c r="BQ144" s="1182">
        <f t="shared" si="57"/>
        <v>0</v>
      </c>
      <c r="BR144" s="1182">
        <f t="shared" si="58"/>
        <v>0</v>
      </c>
      <c r="BS144" s="1182">
        <f t="shared" si="48"/>
        <v>0</v>
      </c>
      <c r="BT144" s="1182">
        <f t="shared" si="48"/>
        <v>0</v>
      </c>
    </row>
    <row r="145" spans="1:72" ht="13.5" customHeight="1">
      <c r="A145" s="1182" t="s">
        <v>1803</v>
      </c>
      <c r="B145" s="1182" t="s">
        <v>1804</v>
      </c>
      <c r="C145" s="1182" t="s">
        <v>1639</v>
      </c>
      <c r="D145" s="1182" t="s">
        <v>1915</v>
      </c>
      <c r="E145" s="1182" t="s">
        <v>1916</v>
      </c>
      <c r="F145" s="1182" t="s">
        <v>2215</v>
      </c>
      <c r="G145" s="1182" t="s">
        <v>2215</v>
      </c>
      <c r="H145" s="1182" t="s">
        <v>2076</v>
      </c>
      <c r="I145" s="1182" t="s">
        <v>1937</v>
      </c>
      <c r="J145" s="1182" t="s">
        <v>2216</v>
      </c>
      <c r="K145" s="1182" t="s">
        <v>1811</v>
      </c>
      <c r="L145" s="1182" t="s">
        <v>1812</v>
      </c>
      <c r="M145" s="1182" t="s">
        <v>1803</v>
      </c>
      <c r="N145" s="1182" t="s">
        <v>1939</v>
      </c>
      <c r="O145" s="1182" t="s">
        <v>1554</v>
      </c>
      <c r="P145" s="1182" t="s">
        <v>1575</v>
      </c>
      <c r="Q145" s="1182" t="s">
        <v>1574</v>
      </c>
      <c r="R145" s="1182" t="s">
        <v>1573</v>
      </c>
      <c r="S145" s="1182" t="s">
        <v>1577</v>
      </c>
      <c r="T145" s="1182" t="s">
        <v>1814</v>
      </c>
      <c r="U145" s="1182" t="s">
        <v>1815</v>
      </c>
      <c r="V145" s="1182">
        <v>0</v>
      </c>
      <c r="W145" s="1182">
        <v>0</v>
      </c>
      <c r="X145" s="1182">
        <v>0</v>
      </c>
      <c r="Y145" s="1183">
        <v>300</v>
      </c>
      <c r="Z145" s="1182" t="s">
        <v>1940</v>
      </c>
      <c r="AA145" s="1182" t="s">
        <v>1941</v>
      </c>
      <c r="AB145" s="1182">
        <v>300</v>
      </c>
      <c r="AC145" s="1182" t="s">
        <v>1942</v>
      </c>
      <c r="AD145" s="1182" t="s">
        <v>1577</v>
      </c>
      <c r="AE145" s="1182">
        <v>300</v>
      </c>
      <c r="AF145" s="1182" t="s">
        <v>1943</v>
      </c>
      <c r="AG145" s="1182" t="s">
        <v>1944</v>
      </c>
      <c r="AH145" s="1182">
        <v>0</v>
      </c>
      <c r="AI145" s="1182">
        <v>300</v>
      </c>
      <c r="AJ145" s="1182" t="s">
        <v>2217</v>
      </c>
      <c r="AL145" s="1186" t="s">
        <v>2218</v>
      </c>
      <c r="AM145" s="1182">
        <v>1</v>
      </c>
      <c r="AN145" s="1182">
        <v>0</v>
      </c>
      <c r="AO145" s="1182">
        <v>0</v>
      </c>
      <c r="AP145" s="1182">
        <v>0</v>
      </c>
      <c r="AQ145" s="1182" t="s">
        <v>1639</v>
      </c>
      <c r="AS145" s="1186" t="s">
        <v>1943</v>
      </c>
      <c r="AT145" s="1186" t="s">
        <v>1944</v>
      </c>
      <c r="AV145" s="1183">
        <v>138</v>
      </c>
      <c r="AW145" s="1183">
        <v>0</v>
      </c>
      <c r="AX145" s="1183">
        <v>0</v>
      </c>
      <c r="AY145" s="1538">
        <v>138</v>
      </c>
      <c r="AZ145" s="1183">
        <v>0</v>
      </c>
      <c r="BA145" s="1183">
        <v>162</v>
      </c>
      <c r="BB145" s="1540">
        <v>162</v>
      </c>
      <c r="BC145" s="1540">
        <v>300</v>
      </c>
      <c r="BD145" s="1540">
        <v>0</v>
      </c>
      <c r="BF145" s="1539">
        <f t="shared" si="49"/>
        <v>138</v>
      </c>
      <c r="BG145" s="1539">
        <f t="shared" si="50"/>
        <v>0</v>
      </c>
      <c r="BH145" s="1539">
        <f t="shared" si="51"/>
        <v>0</v>
      </c>
      <c r="BI145" s="1539">
        <f t="shared" si="52"/>
        <v>138</v>
      </c>
      <c r="BJ145" s="1539">
        <f t="shared" si="53"/>
        <v>0</v>
      </c>
      <c r="BK145" s="1539">
        <f t="shared" si="54"/>
        <v>162</v>
      </c>
      <c r="BL145" s="1539">
        <f t="shared" si="55"/>
        <v>162</v>
      </c>
      <c r="BM145" s="1539">
        <f t="shared" si="56"/>
        <v>300</v>
      </c>
      <c r="BO145" s="1183"/>
      <c r="BQ145" s="1182">
        <f t="shared" si="57"/>
        <v>0</v>
      </c>
      <c r="BR145" s="1182">
        <f t="shared" si="58"/>
        <v>0</v>
      </c>
      <c r="BS145" s="1182">
        <f t="shared" si="48"/>
        <v>0</v>
      </c>
      <c r="BT145" s="1182">
        <f t="shared" si="48"/>
        <v>0</v>
      </c>
    </row>
    <row r="146" spans="1:72" ht="13.5" customHeight="1">
      <c r="A146" s="1182" t="s">
        <v>1803</v>
      </c>
      <c r="B146" s="1182" t="s">
        <v>1804</v>
      </c>
      <c r="C146" s="1182" t="s">
        <v>1639</v>
      </c>
      <c r="D146" s="1182" t="s">
        <v>2092</v>
      </c>
      <c r="E146" s="1182" t="s">
        <v>2093</v>
      </c>
      <c r="F146" s="1182" t="s">
        <v>2219</v>
      </c>
      <c r="G146" s="1182" t="s">
        <v>2219</v>
      </c>
      <c r="H146" s="1182" t="s">
        <v>2076</v>
      </c>
      <c r="I146" s="1182" t="s">
        <v>1937</v>
      </c>
      <c r="J146" s="1182" t="s">
        <v>2220</v>
      </c>
      <c r="K146" s="1182" t="s">
        <v>1811</v>
      </c>
      <c r="L146" s="1182" t="s">
        <v>1812</v>
      </c>
      <c r="M146" s="1182" t="s">
        <v>1803</v>
      </c>
      <c r="N146" s="1182" t="s">
        <v>1939</v>
      </c>
      <c r="O146" s="1182" t="s">
        <v>1554</v>
      </c>
      <c r="P146" s="1182" t="s">
        <v>1575</v>
      </c>
      <c r="Q146" s="1182" t="s">
        <v>1574</v>
      </c>
      <c r="R146" s="1182" t="s">
        <v>1573</v>
      </c>
      <c r="S146" s="1182" t="s">
        <v>1577</v>
      </c>
      <c r="T146" s="1182" t="s">
        <v>1814</v>
      </c>
      <c r="U146" s="1182" t="s">
        <v>1815</v>
      </c>
      <c r="V146" s="1182">
        <v>0</v>
      </c>
      <c r="W146" s="1182">
        <v>0</v>
      </c>
      <c r="X146" s="1182">
        <v>0</v>
      </c>
      <c r="Y146" s="1183">
        <v>600</v>
      </c>
      <c r="Z146" s="1182" t="s">
        <v>1940</v>
      </c>
      <c r="AA146" s="1182" t="s">
        <v>1941</v>
      </c>
      <c r="AB146" s="1182">
        <v>600</v>
      </c>
      <c r="AC146" s="1182" t="s">
        <v>1942</v>
      </c>
      <c r="AD146" s="1182" t="s">
        <v>1577</v>
      </c>
      <c r="AE146" s="1182">
        <v>600</v>
      </c>
      <c r="AF146" s="1182" t="s">
        <v>1943</v>
      </c>
      <c r="AG146" s="1182" t="s">
        <v>1944</v>
      </c>
      <c r="AH146" s="1182">
        <v>0</v>
      </c>
      <c r="AI146" s="1182">
        <v>600</v>
      </c>
      <c r="AJ146" s="1182" t="s">
        <v>2221</v>
      </c>
      <c r="AL146" s="1186" t="s">
        <v>2222</v>
      </c>
      <c r="AM146" s="1182">
        <v>1</v>
      </c>
      <c r="AN146" s="1182">
        <v>0</v>
      </c>
      <c r="AO146" s="1182">
        <v>0</v>
      </c>
      <c r="AP146" s="1182">
        <v>0</v>
      </c>
      <c r="AQ146" s="1182" t="s">
        <v>1639</v>
      </c>
      <c r="AS146" s="1186" t="s">
        <v>1943</v>
      </c>
      <c r="AT146" s="1186" t="s">
        <v>1944</v>
      </c>
      <c r="AV146" s="1183">
        <v>276</v>
      </c>
      <c r="AW146" s="1183">
        <v>0</v>
      </c>
      <c r="AX146" s="1183">
        <v>0</v>
      </c>
      <c r="AY146" s="1538">
        <v>276</v>
      </c>
      <c r="AZ146" s="1183">
        <v>0</v>
      </c>
      <c r="BA146" s="1183">
        <v>324</v>
      </c>
      <c r="BB146" s="1540">
        <v>324</v>
      </c>
      <c r="BC146" s="1540">
        <v>600</v>
      </c>
      <c r="BD146" s="1540">
        <v>0</v>
      </c>
      <c r="BF146" s="1539">
        <f t="shared" si="49"/>
        <v>276</v>
      </c>
      <c r="BG146" s="1539">
        <f t="shared" si="50"/>
        <v>0</v>
      </c>
      <c r="BH146" s="1539">
        <f t="shared" si="51"/>
        <v>0</v>
      </c>
      <c r="BI146" s="1539">
        <f t="shared" si="52"/>
        <v>276</v>
      </c>
      <c r="BJ146" s="1539">
        <f t="shared" si="53"/>
        <v>0</v>
      </c>
      <c r="BK146" s="1539">
        <f t="shared" si="54"/>
        <v>324</v>
      </c>
      <c r="BL146" s="1539">
        <f t="shared" si="55"/>
        <v>324</v>
      </c>
      <c r="BM146" s="1539">
        <f t="shared" si="56"/>
        <v>600</v>
      </c>
      <c r="BO146" s="1183"/>
      <c r="BQ146" s="1182">
        <f t="shared" si="57"/>
        <v>0</v>
      </c>
      <c r="BR146" s="1182">
        <f t="shared" si="58"/>
        <v>0</v>
      </c>
      <c r="BS146" s="1182">
        <f t="shared" si="48"/>
        <v>0</v>
      </c>
      <c r="BT146" s="1182">
        <f t="shared" si="48"/>
        <v>0</v>
      </c>
    </row>
    <row r="147" spans="1:72" ht="13.5" customHeight="1">
      <c r="A147" s="1182" t="s">
        <v>1803</v>
      </c>
      <c r="B147" s="1182" t="s">
        <v>1804</v>
      </c>
      <c r="C147" s="1182" t="s">
        <v>1639</v>
      </c>
      <c r="D147" s="1182" t="s">
        <v>2092</v>
      </c>
      <c r="E147" s="1182" t="s">
        <v>2093</v>
      </c>
      <c r="F147" s="1182" t="s">
        <v>1992</v>
      </c>
      <c r="G147" s="1182" t="s">
        <v>1992</v>
      </c>
      <c r="H147" s="1182" t="s">
        <v>2076</v>
      </c>
      <c r="I147" s="1182" t="s">
        <v>1937</v>
      </c>
      <c r="J147" s="1182" t="s">
        <v>2223</v>
      </c>
      <c r="K147" s="1182" t="s">
        <v>1811</v>
      </c>
      <c r="L147" s="1182" t="s">
        <v>1812</v>
      </c>
      <c r="M147" s="1182" t="s">
        <v>1803</v>
      </c>
      <c r="N147" s="1182" t="s">
        <v>1939</v>
      </c>
      <c r="O147" s="1182" t="s">
        <v>1554</v>
      </c>
      <c r="P147" s="1182" t="s">
        <v>1575</v>
      </c>
      <c r="Q147" s="1182" t="s">
        <v>1574</v>
      </c>
      <c r="R147" s="1182" t="s">
        <v>1573</v>
      </c>
      <c r="S147" s="1182" t="s">
        <v>1577</v>
      </c>
      <c r="T147" s="1182" t="s">
        <v>1814</v>
      </c>
      <c r="U147" s="1182" t="s">
        <v>1815</v>
      </c>
      <c r="V147" s="1182">
        <v>0</v>
      </c>
      <c r="W147" s="1182">
        <v>0</v>
      </c>
      <c r="X147" s="1182">
        <v>0</v>
      </c>
      <c r="Y147" s="1183">
        <v>300</v>
      </c>
      <c r="Z147" s="1182" t="s">
        <v>1940</v>
      </c>
      <c r="AA147" s="1182" t="s">
        <v>1941</v>
      </c>
      <c r="AB147" s="1182">
        <v>300</v>
      </c>
      <c r="AC147" s="1182" t="s">
        <v>1942</v>
      </c>
      <c r="AD147" s="1182" t="s">
        <v>1577</v>
      </c>
      <c r="AE147" s="1182">
        <v>300</v>
      </c>
      <c r="AF147" s="1182" t="s">
        <v>1943</v>
      </c>
      <c r="AG147" s="1182" t="s">
        <v>1944</v>
      </c>
      <c r="AH147" s="1182">
        <v>0</v>
      </c>
      <c r="AI147" s="1182">
        <v>300</v>
      </c>
      <c r="AJ147" s="1182" t="s">
        <v>2224</v>
      </c>
      <c r="AL147" s="1186" t="s">
        <v>2225</v>
      </c>
      <c r="AM147" s="1182">
        <v>1</v>
      </c>
      <c r="AN147" s="1182">
        <v>0</v>
      </c>
      <c r="AO147" s="1182">
        <v>0</v>
      </c>
      <c r="AP147" s="1182">
        <v>0</v>
      </c>
      <c r="AQ147" s="1182" t="s">
        <v>1639</v>
      </c>
      <c r="AS147" s="1186" t="s">
        <v>1943</v>
      </c>
      <c r="AT147" s="1186" t="s">
        <v>1944</v>
      </c>
      <c r="AV147" s="1183">
        <v>138</v>
      </c>
      <c r="AW147" s="1183">
        <v>0</v>
      </c>
      <c r="AX147" s="1183">
        <v>0</v>
      </c>
      <c r="AY147" s="1538">
        <v>138</v>
      </c>
      <c r="AZ147" s="1183">
        <v>0</v>
      </c>
      <c r="BA147" s="1183">
        <v>162</v>
      </c>
      <c r="BB147" s="1540">
        <v>162</v>
      </c>
      <c r="BC147" s="1540">
        <v>300</v>
      </c>
      <c r="BD147" s="1540">
        <v>0</v>
      </c>
      <c r="BF147" s="1539">
        <f t="shared" si="49"/>
        <v>138</v>
      </c>
      <c r="BG147" s="1539">
        <f t="shared" si="50"/>
        <v>0</v>
      </c>
      <c r="BH147" s="1539">
        <f t="shared" si="51"/>
        <v>0</v>
      </c>
      <c r="BI147" s="1539">
        <f t="shared" si="52"/>
        <v>138</v>
      </c>
      <c r="BJ147" s="1539">
        <f t="shared" si="53"/>
        <v>0</v>
      </c>
      <c r="BK147" s="1539">
        <f t="shared" si="54"/>
        <v>162</v>
      </c>
      <c r="BL147" s="1539">
        <f t="shared" si="55"/>
        <v>162</v>
      </c>
      <c r="BM147" s="1539">
        <f t="shared" si="56"/>
        <v>300</v>
      </c>
      <c r="BO147" s="1183"/>
      <c r="BQ147" s="1182">
        <f t="shared" si="57"/>
        <v>0</v>
      </c>
      <c r="BR147" s="1182">
        <f t="shared" si="58"/>
        <v>0</v>
      </c>
      <c r="BS147" s="1182">
        <f t="shared" si="48"/>
        <v>0</v>
      </c>
      <c r="BT147" s="1182">
        <f t="shared" si="48"/>
        <v>0</v>
      </c>
    </row>
    <row r="148" spans="1:72" ht="13.5" customHeight="1">
      <c r="A148" s="1182" t="s">
        <v>1803</v>
      </c>
      <c r="B148" s="1182" t="s">
        <v>1804</v>
      </c>
      <c r="C148" s="1182" t="s">
        <v>1639</v>
      </c>
      <c r="D148" s="1182" t="s">
        <v>1915</v>
      </c>
      <c r="E148" s="1182" t="s">
        <v>1916</v>
      </c>
      <c r="F148" s="1182" t="s">
        <v>2152</v>
      </c>
      <c r="G148" s="1182" t="s">
        <v>2152</v>
      </c>
      <c r="H148" s="1182" t="s">
        <v>2095</v>
      </c>
      <c r="I148" s="1182" t="s">
        <v>1937</v>
      </c>
      <c r="J148" s="1182" t="s">
        <v>2153</v>
      </c>
      <c r="K148" s="1182" t="s">
        <v>1811</v>
      </c>
      <c r="L148" s="1182" t="s">
        <v>1812</v>
      </c>
      <c r="M148" s="1182" t="s">
        <v>1803</v>
      </c>
      <c r="N148" s="1182" t="s">
        <v>1939</v>
      </c>
      <c r="O148" s="1182" t="s">
        <v>1554</v>
      </c>
      <c r="P148" s="1182" t="s">
        <v>1575</v>
      </c>
      <c r="Q148" s="1182" t="s">
        <v>1574</v>
      </c>
      <c r="R148" s="1182" t="s">
        <v>1573</v>
      </c>
      <c r="S148" s="1182" t="s">
        <v>1577</v>
      </c>
      <c r="T148" s="1182" t="s">
        <v>1814</v>
      </c>
      <c r="U148" s="1182" t="s">
        <v>1815</v>
      </c>
      <c r="V148" s="1182">
        <v>0</v>
      </c>
      <c r="W148" s="1182">
        <v>0</v>
      </c>
      <c r="X148" s="1182">
        <v>0</v>
      </c>
      <c r="Y148" s="1183">
        <v>310</v>
      </c>
      <c r="Z148" s="1182" t="s">
        <v>1940</v>
      </c>
      <c r="AA148" s="1182" t="s">
        <v>1941</v>
      </c>
      <c r="AB148" s="1182">
        <v>310</v>
      </c>
      <c r="AC148" s="1182" t="s">
        <v>1942</v>
      </c>
      <c r="AD148" s="1182" t="s">
        <v>1577</v>
      </c>
      <c r="AE148" s="1182">
        <v>310</v>
      </c>
      <c r="AF148" s="1182" t="s">
        <v>1943</v>
      </c>
      <c r="AG148" s="1182" t="s">
        <v>1944</v>
      </c>
      <c r="AH148" s="1182">
        <v>0</v>
      </c>
      <c r="AI148" s="1182">
        <v>310</v>
      </c>
      <c r="AJ148" s="1182" t="s">
        <v>2154</v>
      </c>
      <c r="AL148" s="1186" t="s">
        <v>2155</v>
      </c>
      <c r="AM148" s="1182">
        <v>1</v>
      </c>
      <c r="AN148" s="1182">
        <v>0</v>
      </c>
      <c r="AO148" s="1182">
        <v>0</v>
      </c>
      <c r="AP148" s="1182">
        <v>0</v>
      </c>
      <c r="AQ148" s="1182" t="s">
        <v>1639</v>
      </c>
      <c r="AS148" s="1186" t="s">
        <v>1943</v>
      </c>
      <c r="AT148" s="1186" t="s">
        <v>1944</v>
      </c>
      <c r="AV148" s="1183">
        <v>143</v>
      </c>
      <c r="AW148" s="1183">
        <v>0</v>
      </c>
      <c r="AX148" s="1183">
        <v>0</v>
      </c>
      <c r="AY148" s="1538">
        <v>143</v>
      </c>
      <c r="AZ148" s="1183">
        <v>0</v>
      </c>
      <c r="BA148" s="1183">
        <v>167</v>
      </c>
      <c r="BB148" s="1540">
        <v>167</v>
      </c>
      <c r="BC148" s="1540">
        <v>310</v>
      </c>
      <c r="BD148" s="1540">
        <v>0</v>
      </c>
      <c r="BF148" s="1539">
        <f t="shared" si="49"/>
        <v>143</v>
      </c>
      <c r="BG148" s="1539">
        <f t="shared" si="50"/>
        <v>0</v>
      </c>
      <c r="BH148" s="1539">
        <f t="shared" si="51"/>
        <v>0</v>
      </c>
      <c r="BI148" s="1539">
        <f t="shared" si="52"/>
        <v>143</v>
      </c>
      <c r="BJ148" s="1539">
        <f t="shared" si="53"/>
        <v>0</v>
      </c>
      <c r="BK148" s="1539">
        <f t="shared" si="54"/>
        <v>167</v>
      </c>
      <c r="BL148" s="1539">
        <f t="shared" si="55"/>
        <v>167</v>
      </c>
      <c r="BM148" s="1539">
        <f t="shared" si="56"/>
        <v>310</v>
      </c>
      <c r="BO148" s="1183"/>
      <c r="BQ148" s="1182">
        <f t="shared" si="57"/>
        <v>0</v>
      </c>
      <c r="BR148" s="1182">
        <f t="shared" si="58"/>
        <v>0</v>
      </c>
      <c r="BS148" s="1182">
        <f t="shared" si="48"/>
        <v>0</v>
      </c>
      <c r="BT148" s="1182">
        <f t="shared" si="48"/>
        <v>0</v>
      </c>
    </row>
    <row r="149" spans="1:72" ht="13.5" customHeight="1">
      <c r="A149" s="1182" t="s">
        <v>1803</v>
      </c>
      <c r="B149" s="1182" t="s">
        <v>1804</v>
      </c>
      <c r="C149" s="1182" t="s">
        <v>1639</v>
      </c>
      <c r="D149" s="1182" t="s">
        <v>2092</v>
      </c>
      <c r="E149" s="1182" t="s">
        <v>2093</v>
      </c>
      <c r="F149" s="1182" t="s">
        <v>2156</v>
      </c>
      <c r="G149" s="1182" t="s">
        <v>2156</v>
      </c>
      <c r="H149" s="1182" t="s">
        <v>2095</v>
      </c>
      <c r="I149" s="1182" t="s">
        <v>1937</v>
      </c>
      <c r="J149" s="1182" t="s">
        <v>2157</v>
      </c>
      <c r="K149" s="1182" t="s">
        <v>1811</v>
      </c>
      <c r="L149" s="1182" t="s">
        <v>1812</v>
      </c>
      <c r="M149" s="1182" t="s">
        <v>1803</v>
      </c>
      <c r="N149" s="1182" t="s">
        <v>1939</v>
      </c>
      <c r="O149" s="1182" t="s">
        <v>1554</v>
      </c>
      <c r="P149" s="1182" t="s">
        <v>1575</v>
      </c>
      <c r="Q149" s="1182" t="s">
        <v>1574</v>
      </c>
      <c r="R149" s="1182" t="s">
        <v>1573</v>
      </c>
      <c r="S149" s="1182" t="s">
        <v>1577</v>
      </c>
      <c r="T149" s="1182" t="s">
        <v>1814</v>
      </c>
      <c r="U149" s="1182" t="s">
        <v>1815</v>
      </c>
      <c r="V149" s="1182">
        <v>0</v>
      </c>
      <c r="W149" s="1182">
        <v>0</v>
      </c>
      <c r="X149" s="1182">
        <v>0</v>
      </c>
      <c r="Y149" s="1183">
        <v>600</v>
      </c>
      <c r="Z149" s="1182" t="s">
        <v>1940</v>
      </c>
      <c r="AA149" s="1182" t="s">
        <v>1941</v>
      </c>
      <c r="AB149" s="1182">
        <v>600</v>
      </c>
      <c r="AC149" s="1182" t="s">
        <v>1942</v>
      </c>
      <c r="AD149" s="1182" t="s">
        <v>1577</v>
      </c>
      <c r="AE149" s="1182">
        <v>600</v>
      </c>
      <c r="AF149" s="1182" t="s">
        <v>1943</v>
      </c>
      <c r="AG149" s="1182" t="s">
        <v>1944</v>
      </c>
      <c r="AH149" s="1182">
        <v>0</v>
      </c>
      <c r="AI149" s="1182">
        <v>600</v>
      </c>
      <c r="AJ149" s="1182" t="s">
        <v>2158</v>
      </c>
      <c r="AL149" s="1186" t="s">
        <v>2159</v>
      </c>
      <c r="AM149" s="1182">
        <v>1</v>
      </c>
      <c r="AN149" s="1182">
        <v>0</v>
      </c>
      <c r="AO149" s="1182">
        <v>0</v>
      </c>
      <c r="AP149" s="1182">
        <v>0</v>
      </c>
      <c r="AQ149" s="1182" t="s">
        <v>1639</v>
      </c>
      <c r="AS149" s="1186" t="s">
        <v>1943</v>
      </c>
      <c r="AT149" s="1186" t="s">
        <v>1944</v>
      </c>
      <c r="AV149" s="1183">
        <v>276</v>
      </c>
      <c r="AW149" s="1183">
        <v>0</v>
      </c>
      <c r="AX149" s="1183">
        <v>0</v>
      </c>
      <c r="AY149" s="1538">
        <v>276</v>
      </c>
      <c r="AZ149" s="1183">
        <v>0</v>
      </c>
      <c r="BA149" s="1183">
        <v>324</v>
      </c>
      <c r="BB149" s="1540">
        <v>324</v>
      </c>
      <c r="BC149" s="1540">
        <v>600</v>
      </c>
      <c r="BD149" s="1540">
        <v>0</v>
      </c>
      <c r="BF149" s="1539">
        <f t="shared" si="49"/>
        <v>276</v>
      </c>
      <c r="BG149" s="1539">
        <f t="shared" si="50"/>
        <v>0</v>
      </c>
      <c r="BH149" s="1539">
        <f t="shared" si="51"/>
        <v>0</v>
      </c>
      <c r="BI149" s="1539">
        <f t="shared" si="52"/>
        <v>276</v>
      </c>
      <c r="BJ149" s="1539">
        <f t="shared" si="53"/>
        <v>0</v>
      </c>
      <c r="BK149" s="1539">
        <f t="shared" si="54"/>
        <v>324</v>
      </c>
      <c r="BL149" s="1539">
        <f t="shared" si="55"/>
        <v>324</v>
      </c>
      <c r="BM149" s="1539">
        <f t="shared" si="56"/>
        <v>600</v>
      </c>
      <c r="BO149" s="1183"/>
      <c r="BQ149" s="1182">
        <f t="shared" si="57"/>
        <v>0</v>
      </c>
      <c r="BR149" s="1182">
        <f t="shared" si="58"/>
        <v>0</v>
      </c>
      <c r="BS149" s="1182">
        <f t="shared" si="48"/>
        <v>0</v>
      </c>
      <c r="BT149" s="1182">
        <f t="shared" si="48"/>
        <v>0</v>
      </c>
    </row>
    <row r="150" spans="1:72" ht="13.5" customHeight="1">
      <c r="A150" s="1182" t="s">
        <v>1803</v>
      </c>
      <c r="B150" s="1182" t="s">
        <v>1804</v>
      </c>
      <c r="C150" s="1182" t="s">
        <v>1639</v>
      </c>
      <c r="D150" s="1182" t="s">
        <v>2092</v>
      </c>
      <c r="E150" s="1182" t="s">
        <v>2093</v>
      </c>
      <c r="F150" s="1182" t="s">
        <v>2156</v>
      </c>
      <c r="G150" s="1182" t="s">
        <v>2156</v>
      </c>
      <c r="H150" s="1182" t="s">
        <v>2095</v>
      </c>
      <c r="I150" s="1182" t="s">
        <v>1937</v>
      </c>
      <c r="J150" s="1182" t="s">
        <v>2160</v>
      </c>
      <c r="K150" s="1182" t="s">
        <v>1811</v>
      </c>
      <c r="L150" s="1182" t="s">
        <v>1812</v>
      </c>
      <c r="M150" s="1182" t="s">
        <v>1803</v>
      </c>
      <c r="N150" s="1182" t="s">
        <v>1939</v>
      </c>
      <c r="O150" s="1182" t="s">
        <v>1554</v>
      </c>
      <c r="P150" s="1182" t="s">
        <v>1575</v>
      </c>
      <c r="Q150" s="1182" t="s">
        <v>1574</v>
      </c>
      <c r="R150" s="1182" t="s">
        <v>1573</v>
      </c>
      <c r="S150" s="1182" t="s">
        <v>1577</v>
      </c>
      <c r="T150" s="1182" t="s">
        <v>1814</v>
      </c>
      <c r="U150" s="1182" t="s">
        <v>1815</v>
      </c>
      <c r="V150" s="1182">
        <v>0</v>
      </c>
      <c r="W150" s="1182">
        <v>0</v>
      </c>
      <c r="X150" s="1182">
        <v>0</v>
      </c>
      <c r="Y150" s="1183">
        <v>300</v>
      </c>
      <c r="Z150" s="1182" t="s">
        <v>1940</v>
      </c>
      <c r="AA150" s="1182" t="s">
        <v>1941</v>
      </c>
      <c r="AB150" s="1182">
        <v>300</v>
      </c>
      <c r="AC150" s="1182" t="s">
        <v>1942</v>
      </c>
      <c r="AD150" s="1182" t="s">
        <v>1577</v>
      </c>
      <c r="AE150" s="1182">
        <v>300</v>
      </c>
      <c r="AF150" s="1182" t="s">
        <v>1943</v>
      </c>
      <c r="AG150" s="1182" t="s">
        <v>1944</v>
      </c>
      <c r="AH150" s="1182">
        <v>0</v>
      </c>
      <c r="AI150" s="1182">
        <v>300</v>
      </c>
      <c r="AJ150" s="1182" t="s">
        <v>2161</v>
      </c>
      <c r="AL150" s="1186" t="s">
        <v>2162</v>
      </c>
      <c r="AM150" s="1182">
        <v>1</v>
      </c>
      <c r="AN150" s="1182">
        <v>0</v>
      </c>
      <c r="AO150" s="1182">
        <v>0</v>
      </c>
      <c r="AP150" s="1182">
        <v>0</v>
      </c>
      <c r="AQ150" s="1182" t="s">
        <v>1639</v>
      </c>
      <c r="AS150" s="1186" t="s">
        <v>1943</v>
      </c>
      <c r="AT150" s="1186" t="s">
        <v>1944</v>
      </c>
      <c r="AV150" s="1183">
        <v>138</v>
      </c>
      <c r="AW150" s="1183">
        <v>0</v>
      </c>
      <c r="AX150" s="1183">
        <v>0</v>
      </c>
      <c r="AY150" s="1538">
        <v>138</v>
      </c>
      <c r="AZ150" s="1183">
        <v>0</v>
      </c>
      <c r="BA150" s="1183">
        <v>162</v>
      </c>
      <c r="BB150" s="1540">
        <v>162</v>
      </c>
      <c r="BC150" s="1540">
        <v>300</v>
      </c>
      <c r="BD150" s="1540">
        <v>0</v>
      </c>
      <c r="BF150" s="1539">
        <f t="shared" si="49"/>
        <v>138</v>
      </c>
      <c r="BG150" s="1539">
        <f t="shared" si="50"/>
        <v>0</v>
      </c>
      <c r="BH150" s="1539">
        <f t="shared" si="51"/>
        <v>0</v>
      </c>
      <c r="BI150" s="1539">
        <f t="shared" si="52"/>
        <v>138</v>
      </c>
      <c r="BJ150" s="1539">
        <f t="shared" si="53"/>
        <v>0</v>
      </c>
      <c r="BK150" s="1539">
        <f t="shared" si="54"/>
        <v>162</v>
      </c>
      <c r="BL150" s="1539">
        <f t="shared" si="55"/>
        <v>162</v>
      </c>
      <c r="BM150" s="1539">
        <f t="shared" si="56"/>
        <v>300</v>
      </c>
      <c r="BO150" s="1183"/>
      <c r="BQ150" s="1182">
        <f t="shared" si="57"/>
        <v>0</v>
      </c>
      <c r="BR150" s="1182">
        <f t="shared" si="58"/>
        <v>0</v>
      </c>
      <c r="BS150" s="1182">
        <f t="shared" si="48"/>
        <v>0</v>
      </c>
      <c r="BT150" s="1182">
        <f t="shared" si="48"/>
        <v>0</v>
      </c>
    </row>
    <row r="151" spans="1:72" ht="13.5" customHeight="1">
      <c r="A151" s="1182" t="s">
        <v>1803</v>
      </c>
      <c r="B151" s="1182" t="s">
        <v>1804</v>
      </c>
      <c r="C151" s="1182" t="s">
        <v>1639</v>
      </c>
      <c r="D151" s="1182" t="s">
        <v>2092</v>
      </c>
      <c r="E151" s="1182" t="s">
        <v>2093</v>
      </c>
      <c r="F151" s="1182" t="s">
        <v>2156</v>
      </c>
      <c r="G151" s="1182" t="s">
        <v>2156</v>
      </c>
      <c r="H151" s="1182" t="s">
        <v>2095</v>
      </c>
      <c r="I151" s="1182" t="s">
        <v>1937</v>
      </c>
      <c r="J151" s="1182" t="s">
        <v>2163</v>
      </c>
      <c r="K151" s="1182" t="s">
        <v>1811</v>
      </c>
      <c r="L151" s="1182" t="s">
        <v>1812</v>
      </c>
      <c r="M151" s="1182" t="s">
        <v>1803</v>
      </c>
      <c r="N151" s="1182" t="s">
        <v>1939</v>
      </c>
      <c r="O151" s="1182" t="s">
        <v>1554</v>
      </c>
      <c r="P151" s="1182" t="s">
        <v>1575</v>
      </c>
      <c r="Q151" s="1182" t="s">
        <v>1574</v>
      </c>
      <c r="R151" s="1182" t="s">
        <v>1573</v>
      </c>
      <c r="S151" s="1182" t="s">
        <v>1577</v>
      </c>
      <c r="T151" s="1182" t="s">
        <v>1814</v>
      </c>
      <c r="U151" s="1182" t="s">
        <v>1815</v>
      </c>
      <c r="V151" s="1182">
        <v>0</v>
      </c>
      <c r="W151" s="1182">
        <v>0</v>
      </c>
      <c r="X151" s="1182">
        <v>0</v>
      </c>
      <c r="Y151" s="1183">
        <v>1800</v>
      </c>
      <c r="Z151" s="1182" t="s">
        <v>1940</v>
      </c>
      <c r="AA151" s="1182" t="s">
        <v>1941</v>
      </c>
      <c r="AB151" s="1182">
        <v>1800</v>
      </c>
      <c r="AC151" s="1182" t="s">
        <v>1942</v>
      </c>
      <c r="AD151" s="1182" t="s">
        <v>1577</v>
      </c>
      <c r="AE151" s="1182">
        <v>1800</v>
      </c>
      <c r="AF151" s="1182" t="s">
        <v>1943</v>
      </c>
      <c r="AG151" s="1182" t="s">
        <v>1944</v>
      </c>
      <c r="AH151" s="1182">
        <v>0</v>
      </c>
      <c r="AI151" s="1182">
        <v>1800</v>
      </c>
      <c r="AJ151" s="1182" t="s">
        <v>2164</v>
      </c>
      <c r="AL151" s="1186" t="s">
        <v>2165</v>
      </c>
      <c r="AM151" s="1182">
        <v>1</v>
      </c>
      <c r="AN151" s="1182">
        <v>0</v>
      </c>
      <c r="AO151" s="1182">
        <v>0</v>
      </c>
      <c r="AP151" s="1182">
        <v>0</v>
      </c>
      <c r="AQ151" s="1182" t="s">
        <v>1639</v>
      </c>
      <c r="AS151" s="1186" t="s">
        <v>1943</v>
      </c>
      <c r="AT151" s="1186" t="s">
        <v>1944</v>
      </c>
      <c r="AV151" s="1183">
        <v>828</v>
      </c>
      <c r="AW151" s="1183">
        <v>0</v>
      </c>
      <c r="AX151" s="1183">
        <v>0</v>
      </c>
      <c r="AY151" s="1538">
        <v>828</v>
      </c>
      <c r="AZ151" s="1183">
        <v>0</v>
      </c>
      <c r="BA151" s="1183">
        <v>972</v>
      </c>
      <c r="BB151" s="1540">
        <v>972</v>
      </c>
      <c r="BC151" s="1540">
        <v>1800</v>
      </c>
      <c r="BD151" s="1540">
        <v>0</v>
      </c>
      <c r="BF151" s="1539">
        <f t="shared" si="49"/>
        <v>828</v>
      </c>
      <c r="BG151" s="1539">
        <f t="shared" si="50"/>
        <v>0</v>
      </c>
      <c r="BH151" s="1539">
        <f t="shared" si="51"/>
        <v>0</v>
      </c>
      <c r="BI151" s="1539">
        <f t="shared" si="52"/>
        <v>828</v>
      </c>
      <c r="BJ151" s="1539">
        <f t="shared" si="53"/>
        <v>0</v>
      </c>
      <c r="BK151" s="1539">
        <f t="shared" si="54"/>
        <v>972</v>
      </c>
      <c r="BL151" s="1539">
        <f t="shared" si="55"/>
        <v>972</v>
      </c>
      <c r="BM151" s="1539">
        <f t="shared" si="56"/>
        <v>1800</v>
      </c>
      <c r="BO151" s="1183"/>
      <c r="BQ151" s="1182">
        <f t="shared" si="57"/>
        <v>0</v>
      </c>
      <c r="BR151" s="1182">
        <f t="shared" si="58"/>
        <v>0</v>
      </c>
      <c r="BS151" s="1182">
        <f t="shared" si="48"/>
        <v>0</v>
      </c>
      <c r="BT151" s="1182">
        <f t="shared" si="48"/>
        <v>0</v>
      </c>
    </row>
    <row r="152" spans="1:72" ht="13.5" customHeight="1">
      <c r="A152" s="1182" t="s">
        <v>1803</v>
      </c>
      <c r="B152" s="1182" t="s">
        <v>1804</v>
      </c>
      <c r="C152" s="1182" t="s">
        <v>1639</v>
      </c>
      <c r="D152" s="1182" t="s">
        <v>2092</v>
      </c>
      <c r="E152" s="1182" t="s">
        <v>2093</v>
      </c>
      <c r="F152" s="1182" t="s">
        <v>2174</v>
      </c>
      <c r="G152" s="1182" t="s">
        <v>2174</v>
      </c>
      <c r="H152" s="1182" t="s">
        <v>2076</v>
      </c>
      <c r="I152" s="1182" t="s">
        <v>1937</v>
      </c>
      <c r="J152" s="1182" t="s">
        <v>2175</v>
      </c>
      <c r="K152" s="1182" t="s">
        <v>1811</v>
      </c>
      <c r="L152" s="1182" t="s">
        <v>1812</v>
      </c>
      <c r="M152" s="1182" t="s">
        <v>1803</v>
      </c>
      <c r="N152" s="1182" t="s">
        <v>1939</v>
      </c>
      <c r="O152" s="1182" t="s">
        <v>1554</v>
      </c>
      <c r="P152" s="1182" t="s">
        <v>1575</v>
      </c>
      <c r="Q152" s="1182" t="s">
        <v>1574</v>
      </c>
      <c r="R152" s="1182" t="s">
        <v>1573</v>
      </c>
      <c r="S152" s="1182" t="s">
        <v>1577</v>
      </c>
      <c r="T152" s="1182" t="s">
        <v>1814</v>
      </c>
      <c r="U152" s="1182" t="s">
        <v>1815</v>
      </c>
      <c r="V152" s="1182">
        <v>0</v>
      </c>
      <c r="W152" s="1182">
        <v>0</v>
      </c>
      <c r="X152" s="1182">
        <v>0</v>
      </c>
      <c r="Y152" s="1183">
        <v>600</v>
      </c>
      <c r="Z152" s="1182" t="s">
        <v>1940</v>
      </c>
      <c r="AA152" s="1182" t="s">
        <v>1941</v>
      </c>
      <c r="AB152" s="1182">
        <v>600</v>
      </c>
      <c r="AC152" s="1182" t="s">
        <v>1942</v>
      </c>
      <c r="AD152" s="1182" t="s">
        <v>1577</v>
      </c>
      <c r="AE152" s="1182">
        <v>600</v>
      </c>
      <c r="AF152" s="1182" t="s">
        <v>1943</v>
      </c>
      <c r="AG152" s="1182" t="s">
        <v>1944</v>
      </c>
      <c r="AH152" s="1182">
        <v>0</v>
      </c>
      <c r="AI152" s="1182">
        <v>600</v>
      </c>
      <c r="AJ152" s="1182" t="s">
        <v>2176</v>
      </c>
      <c r="AL152" s="1186" t="s">
        <v>2177</v>
      </c>
      <c r="AM152" s="1182">
        <v>1</v>
      </c>
      <c r="AN152" s="1182">
        <v>0</v>
      </c>
      <c r="AO152" s="1182">
        <v>0</v>
      </c>
      <c r="AP152" s="1182">
        <v>0</v>
      </c>
      <c r="AQ152" s="1182" t="s">
        <v>1639</v>
      </c>
      <c r="AS152" s="1186" t="s">
        <v>1943</v>
      </c>
      <c r="AT152" s="1186" t="s">
        <v>1944</v>
      </c>
      <c r="AV152" s="1183">
        <v>276</v>
      </c>
      <c r="AW152" s="1183">
        <v>0</v>
      </c>
      <c r="AX152" s="1183">
        <v>0</v>
      </c>
      <c r="AY152" s="1538">
        <v>276</v>
      </c>
      <c r="AZ152" s="1183">
        <v>0</v>
      </c>
      <c r="BA152" s="1183">
        <v>324</v>
      </c>
      <c r="BB152" s="1540">
        <v>324</v>
      </c>
      <c r="BC152" s="1540">
        <v>600</v>
      </c>
      <c r="BD152" s="1540">
        <v>0</v>
      </c>
      <c r="BF152" s="1539">
        <f t="shared" si="49"/>
        <v>276</v>
      </c>
      <c r="BG152" s="1539">
        <f t="shared" si="50"/>
        <v>0</v>
      </c>
      <c r="BH152" s="1539">
        <f t="shared" si="51"/>
        <v>0</v>
      </c>
      <c r="BI152" s="1539">
        <f t="shared" si="52"/>
        <v>276</v>
      </c>
      <c r="BJ152" s="1539">
        <f t="shared" si="53"/>
        <v>0</v>
      </c>
      <c r="BK152" s="1539">
        <f t="shared" si="54"/>
        <v>324</v>
      </c>
      <c r="BL152" s="1539">
        <f t="shared" si="55"/>
        <v>324</v>
      </c>
      <c r="BM152" s="1539">
        <f t="shared" si="56"/>
        <v>600</v>
      </c>
      <c r="BO152" s="1183"/>
      <c r="BQ152" s="1182">
        <f t="shared" si="57"/>
        <v>0</v>
      </c>
      <c r="BR152" s="1182">
        <f t="shared" si="58"/>
        <v>0</v>
      </c>
      <c r="BS152" s="1182">
        <f t="shared" si="48"/>
        <v>0</v>
      </c>
      <c r="BT152" s="1182">
        <f t="shared" si="48"/>
        <v>0</v>
      </c>
    </row>
    <row r="153" spans="1:72" ht="13.5" customHeight="1">
      <c r="A153" s="1182" t="s">
        <v>1803</v>
      </c>
      <c r="B153" s="1182" t="s">
        <v>1804</v>
      </c>
      <c r="C153" s="1182" t="s">
        <v>1639</v>
      </c>
      <c r="D153" s="1182" t="s">
        <v>2092</v>
      </c>
      <c r="E153" s="1182" t="s">
        <v>2093</v>
      </c>
      <c r="F153" s="1182" t="s">
        <v>2174</v>
      </c>
      <c r="G153" s="1182" t="s">
        <v>2174</v>
      </c>
      <c r="H153" s="1182" t="s">
        <v>2076</v>
      </c>
      <c r="I153" s="1182" t="s">
        <v>1937</v>
      </c>
      <c r="J153" s="1182" t="s">
        <v>2175</v>
      </c>
      <c r="K153" s="1182" t="s">
        <v>1811</v>
      </c>
      <c r="L153" s="1182" t="s">
        <v>1956</v>
      </c>
      <c r="M153" s="1182" t="s">
        <v>1803</v>
      </c>
      <c r="N153" s="1182" t="s">
        <v>1939</v>
      </c>
      <c r="O153" s="1182" t="s">
        <v>1554</v>
      </c>
      <c r="P153" s="1182" t="s">
        <v>1575</v>
      </c>
      <c r="Q153" s="1182" t="s">
        <v>1574</v>
      </c>
      <c r="R153" s="1182" t="s">
        <v>1573</v>
      </c>
      <c r="S153" s="1182" t="s">
        <v>1577</v>
      </c>
      <c r="T153" s="1182" t="s">
        <v>1814</v>
      </c>
      <c r="U153" s="1182" t="s">
        <v>1815</v>
      </c>
      <c r="V153" s="1182">
        <v>0</v>
      </c>
      <c r="W153" s="1182">
        <v>0</v>
      </c>
      <c r="X153" s="1182">
        <v>0</v>
      </c>
      <c r="Y153" s="1183">
        <v>300</v>
      </c>
      <c r="Z153" s="1182" t="s">
        <v>1940</v>
      </c>
      <c r="AA153" s="1182" t="s">
        <v>1941</v>
      </c>
      <c r="AB153" s="1182">
        <v>300</v>
      </c>
      <c r="AC153" s="1182" t="s">
        <v>1942</v>
      </c>
      <c r="AD153" s="1182" t="s">
        <v>1577</v>
      </c>
      <c r="AE153" s="1182">
        <v>300</v>
      </c>
      <c r="AF153" s="1182" t="s">
        <v>1943</v>
      </c>
      <c r="AG153" s="1182" t="s">
        <v>1944</v>
      </c>
      <c r="AH153" s="1182">
        <v>0</v>
      </c>
      <c r="AI153" s="1182">
        <v>300</v>
      </c>
      <c r="AJ153" s="1182" t="s">
        <v>2178</v>
      </c>
      <c r="AL153" s="1186" t="s">
        <v>2179</v>
      </c>
      <c r="AM153" s="1182">
        <v>1</v>
      </c>
      <c r="AN153" s="1182">
        <v>0</v>
      </c>
      <c r="AO153" s="1182">
        <v>0</v>
      </c>
      <c r="AP153" s="1182">
        <v>0</v>
      </c>
      <c r="AQ153" s="1182" t="s">
        <v>1639</v>
      </c>
      <c r="AS153" s="1186" t="s">
        <v>1943</v>
      </c>
      <c r="AT153" s="1186" t="s">
        <v>1944</v>
      </c>
      <c r="AV153" s="1183">
        <v>138</v>
      </c>
      <c r="AW153" s="1183">
        <v>0</v>
      </c>
      <c r="AX153" s="1183">
        <v>0</v>
      </c>
      <c r="AY153" s="1538">
        <v>138</v>
      </c>
      <c r="AZ153" s="1183">
        <v>0</v>
      </c>
      <c r="BA153" s="1183">
        <v>162</v>
      </c>
      <c r="BB153" s="1540">
        <v>162</v>
      </c>
      <c r="BC153" s="1540">
        <v>300</v>
      </c>
      <c r="BD153" s="1540">
        <v>0</v>
      </c>
      <c r="BF153" s="1539">
        <f t="shared" si="49"/>
        <v>138</v>
      </c>
      <c r="BG153" s="1539">
        <f t="shared" si="50"/>
        <v>0</v>
      </c>
      <c r="BH153" s="1539">
        <f t="shared" si="51"/>
        <v>0</v>
      </c>
      <c r="BI153" s="1539">
        <f t="shared" si="52"/>
        <v>138</v>
      </c>
      <c r="BJ153" s="1539">
        <f t="shared" si="53"/>
        <v>0</v>
      </c>
      <c r="BK153" s="1539">
        <f t="shared" si="54"/>
        <v>162</v>
      </c>
      <c r="BL153" s="1539">
        <f t="shared" si="55"/>
        <v>162</v>
      </c>
      <c r="BM153" s="1539">
        <f t="shared" si="56"/>
        <v>300</v>
      </c>
      <c r="BO153" s="1183"/>
      <c r="BQ153" s="1182">
        <f t="shared" si="57"/>
        <v>0</v>
      </c>
      <c r="BR153" s="1182">
        <f t="shared" si="58"/>
        <v>0</v>
      </c>
      <c r="BS153" s="1182">
        <f t="shared" si="48"/>
        <v>0</v>
      </c>
      <c r="BT153" s="1182">
        <f t="shared" si="48"/>
        <v>0</v>
      </c>
    </row>
    <row r="154" spans="1:72" ht="13.5" customHeight="1">
      <c r="A154" s="1182" t="s">
        <v>1803</v>
      </c>
      <c r="B154" s="1182" t="s">
        <v>1804</v>
      </c>
      <c r="C154" s="1182" t="s">
        <v>1639</v>
      </c>
      <c r="D154" s="1182" t="s">
        <v>1915</v>
      </c>
      <c r="E154" s="1182" t="s">
        <v>1916</v>
      </c>
      <c r="F154" s="1182" t="s">
        <v>2180</v>
      </c>
      <c r="G154" s="1182" t="s">
        <v>2180</v>
      </c>
      <c r="H154" s="1182" t="s">
        <v>2076</v>
      </c>
      <c r="I154" s="1182" t="s">
        <v>1937</v>
      </c>
      <c r="J154" s="1182" t="s">
        <v>2181</v>
      </c>
      <c r="K154" s="1182" t="s">
        <v>1811</v>
      </c>
      <c r="L154" s="1182" t="s">
        <v>1812</v>
      </c>
      <c r="M154" s="1182" t="s">
        <v>1803</v>
      </c>
      <c r="N154" s="1182" t="s">
        <v>1939</v>
      </c>
      <c r="O154" s="1182" t="s">
        <v>1554</v>
      </c>
      <c r="P154" s="1182" t="s">
        <v>1575</v>
      </c>
      <c r="Q154" s="1182" t="s">
        <v>1574</v>
      </c>
      <c r="R154" s="1182" t="s">
        <v>1573</v>
      </c>
      <c r="S154" s="1182" t="s">
        <v>1577</v>
      </c>
      <c r="T154" s="1182" t="s">
        <v>1814</v>
      </c>
      <c r="U154" s="1182" t="s">
        <v>1815</v>
      </c>
      <c r="V154" s="1182">
        <v>0</v>
      </c>
      <c r="W154" s="1182">
        <v>0</v>
      </c>
      <c r="X154" s="1182">
        <v>0</v>
      </c>
      <c r="Y154" s="1183">
        <v>200</v>
      </c>
      <c r="Z154" s="1182" t="s">
        <v>1940</v>
      </c>
      <c r="AA154" s="1182" t="s">
        <v>1941</v>
      </c>
      <c r="AB154" s="1182">
        <v>200</v>
      </c>
      <c r="AC154" s="1182" t="s">
        <v>1942</v>
      </c>
      <c r="AD154" s="1182" t="s">
        <v>1577</v>
      </c>
      <c r="AE154" s="1182">
        <v>200</v>
      </c>
      <c r="AF154" s="1182" t="s">
        <v>1943</v>
      </c>
      <c r="AG154" s="1182" t="s">
        <v>1944</v>
      </c>
      <c r="AH154" s="1182">
        <v>0</v>
      </c>
      <c r="AI154" s="1182">
        <v>200</v>
      </c>
      <c r="AJ154" s="1182" t="s">
        <v>2182</v>
      </c>
      <c r="AL154" s="1186" t="s">
        <v>2183</v>
      </c>
      <c r="AM154" s="1182">
        <v>1</v>
      </c>
      <c r="AN154" s="1182">
        <v>0</v>
      </c>
      <c r="AO154" s="1182">
        <v>0</v>
      </c>
      <c r="AP154" s="1182">
        <v>0</v>
      </c>
      <c r="AQ154" s="1182" t="s">
        <v>1639</v>
      </c>
      <c r="AS154" s="1186" t="s">
        <v>1943</v>
      </c>
      <c r="AT154" s="1186" t="s">
        <v>1944</v>
      </c>
      <c r="AV154" s="1183">
        <v>92</v>
      </c>
      <c r="AW154" s="1183">
        <v>0</v>
      </c>
      <c r="AX154" s="1183">
        <v>0</v>
      </c>
      <c r="AY154" s="1538">
        <v>92</v>
      </c>
      <c r="AZ154" s="1183">
        <v>0</v>
      </c>
      <c r="BA154" s="1183">
        <v>108</v>
      </c>
      <c r="BB154" s="1540">
        <v>108</v>
      </c>
      <c r="BC154" s="1540">
        <v>200</v>
      </c>
      <c r="BD154" s="1540">
        <v>0</v>
      </c>
      <c r="BF154" s="1539">
        <f t="shared" si="49"/>
        <v>92</v>
      </c>
      <c r="BG154" s="1539">
        <f t="shared" si="50"/>
        <v>0</v>
      </c>
      <c r="BH154" s="1539">
        <f t="shared" si="51"/>
        <v>0</v>
      </c>
      <c r="BI154" s="1539">
        <f t="shared" si="52"/>
        <v>92</v>
      </c>
      <c r="BJ154" s="1539">
        <f t="shared" si="53"/>
        <v>0</v>
      </c>
      <c r="BK154" s="1539">
        <f t="shared" si="54"/>
        <v>108</v>
      </c>
      <c r="BL154" s="1539">
        <f t="shared" si="55"/>
        <v>108</v>
      </c>
      <c r="BM154" s="1539">
        <f t="shared" si="56"/>
        <v>200</v>
      </c>
      <c r="BO154" s="1183"/>
      <c r="BQ154" s="1182">
        <f t="shared" si="57"/>
        <v>0</v>
      </c>
      <c r="BR154" s="1182">
        <f t="shared" si="58"/>
        <v>0</v>
      </c>
      <c r="BS154" s="1182">
        <f t="shared" si="48"/>
        <v>0</v>
      </c>
      <c r="BT154" s="1182">
        <f t="shared" si="48"/>
        <v>0</v>
      </c>
    </row>
    <row r="155" spans="1:72" ht="13.5" customHeight="1">
      <c r="A155" s="1182" t="s">
        <v>1803</v>
      </c>
      <c r="B155" s="1182" t="s">
        <v>1804</v>
      </c>
      <c r="C155" s="1182" t="s">
        <v>1639</v>
      </c>
      <c r="D155" s="1182" t="s">
        <v>2092</v>
      </c>
      <c r="E155" s="1182" t="s">
        <v>2093</v>
      </c>
      <c r="F155" s="1182" t="s">
        <v>2184</v>
      </c>
      <c r="G155" s="1182" t="s">
        <v>2184</v>
      </c>
      <c r="H155" s="1182" t="s">
        <v>2076</v>
      </c>
      <c r="I155" s="1182" t="s">
        <v>1937</v>
      </c>
      <c r="J155" s="1182" t="s">
        <v>2185</v>
      </c>
      <c r="K155" s="1182" t="s">
        <v>1811</v>
      </c>
      <c r="L155" s="1182" t="s">
        <v>1812</v>
      </c>
      <c r="M155" s="1182" t="s">
        <v>1803</v>
      </c>
      <c r="N155" s="1182" t="s">
        <v>1939</v>
      </c>
      <c r="O155" s="1182" t="s">
        <v>1554</v>
      </c>
      <c r="P155" s="1182" t="s">
        <v>1575</v>
      </c>
      <c r="Q155" s="1182" t="s">
        <v>1574</v>
      </c>
      <c r="R155" s="1182" t="s">
        <v>1573</v>
      </c>
      <c r="S155" s="1182" t="s">
        <v>1577</v>
      </c>
      <c r="T155" s="1182" t="s">
        <v>1814</v>
      </c>
      <c r="U155" s="1182" t="s">
        <v>1815</v>
      </c>
      <c r="V155" s="1182">
        <v>0</v>
      </c>
      <c r="W155" s="1182">
        <v>0</v>
      </c>
      <c r="X155" s="1182">
        <v>0</v>
      </c>
      <c r="Y155" s="1183">
        <v>300</v>
      </c>
      <c r="Z155" s="1182" t="s">
        <v>1940</v>
      </c>
      <c r="AA155" s="1182" t="s">
        <v>1941</v>
      </c>
      <c r="AB155" s="1182">
        <v>300</v>
      </c>
      <c r="AC155" s="1182" t="s">
        <v>1942</v>
      </c>
      <c r="AD155" s="1182" t="s">
        <v>1577</v>
      </c>
      <c r="AE155" s="1182">
        <v>300</v>
      </c>
      <c r="AF155" s="1182" t="s">
        <v>1943</v>
      </c>
      <c r="AG155" s="1182" t="s">
        <v>1944</v>
      </c>
      <c r="AH155" s="1182">
        <v>0</v>
      </c>
      <c r="AI155" s="1182">
        <v>300</v>
      </c>
      <c r="AJ155" s="1182" t="s">
        <v>2186</v>
      </c>
      <c r="AL155" s="1186" t="s">
        <v>2187</v>
      </c>
      <c r="AM155" s="1182">
        <v>1</v>
      </c>
      <c r="AN155" s="1182">
        <v>0</v>
      </c>
      <c r="AO155" s="1182">
        <v>0</v>
      </c>
      <c r="AP155" s="1182">
        <v>0</v>
      </c>
      <c r="AQ155" s="1182" t="s">
        <v>1639</v>
      </c>
      <c r="AS155" s="1186" t="s">
        <v>1943</v>
      </c>
      <c r="AT155" s="1186" t="s">
        <v>1944</v>
      </c>
      <c r="AV155" s="1183">
        <v>138</v>
      </c>
      <c r="AW155" s="1183">
        <v>0</v>
      </c>
      <c r="AX155" s="1183">
        <v>0</v>
      </c>
      <c r="AY155" s="1538">
        <v>138</v>
      </c>
      <c r="AZ155" s="1183">
        <v>0</v>
      </c>
      <c r="BA155" s="1183">
        <v>162</v>
      </c>
      <c r="BB155" s="1540">
        <v>162</v>
      </c>
      <c r="BC155" s="1540">
        <v>300</v>
      </c>
      <c r="BD155" s="1540">
        <v>0</v>
      </c>
      <c r="BF155" s="1539">
        <f t="shared" si="49"/>
        <v>138</v>
      </c>
      <c r="BG155" s="1539">
        <f t="shared" si="50"/>
        <v>0</v>
      </c>
      <c r="BH155" s="1539">
        <f t="shared" si="51"/>
        <v>0</v>
      </c>
      <c r="BI155" s="1539">
        <f t="shared" si="52"/>
        <v>138</v>
      </c>
      <c r="BJ155" s="1539">
        <f t="shared" si="53"/>
        <v>0</v>
      </c>
      <c r="BK155" s="1539">
        <f t="shared" si="54"/>
        <v>162</v>
      </c>
      <c r="BL155" s="1539">
        <f t="shared" si="55"/>
        <v>162</v>
      </c>
      <c r="BM155" s="1539">
        <f t="shared" si="56"/>
        <v>300</v>
      </c>
      <c r="BO155" s="1183"/>
      <c r="BQ155" s="1182">
        <f t="shared" si="57"/>
        <v>0</v>
      </c>
      <c r="BR155" s="1182">
        <f t="shared" si="58"/>
        <v>0</v>
      </c>
      <c r="BS155" s="1182">
        <f t="shared" si="48"/>
        <v>0</v>
      </c>
      <c r="BT155" s="1182">
        <f t="shared" si="48"/>
        <v>0</v>
      </c>
    </row>
    <row r="156" spans="1:72" ht="13.5" customHeight="1">
      <c r="A156" s="1182" t="s">
        <v>1803</v>
      </c>
      <c r="B156" s="1182" t="s">
        <v>1804</v>
      </c>
      <c r="C156" s="1182" t="s">
        <v>1639</v>
      </c>
      <c r="D156" s="1182" t="s">
        <v>2092</v>
      </c>
      <c r="E156" s="1182" t="s">
        <v>2093</v>
      </c>
      <c r="F156" s="1182" t="s">
        <v>2230</v>
      </c>
      <c r="G156" s="1182" t="s">
        <v>2230</v>
      </c>
      <c r="H156" s="1182" t="s">
        <v>2076</v>
      </c>
      <c r="I156" s="1182" t="s">
        <v>1937</v>
      </c>
      <c r="J156" s="1182" t="s">
        <v>2231</v>
      </c>
      <c r="K156" s="1182" t="s">
        <v>1811</v>
      </c>
      <c r="L156" s="1182" t="s">
        <v>1812</v>
      </c>
      <c r="M156" s="1182" t="s">
        <v>1803</v>
      </c>
      <c r="N156" s="1182" t="s">
        <v>1939</v>
      </c>
      <c r="O156" s="1182" t="s">
        <v>1554</v>
      </c>
      <c r="P156" s="1182" t="s">
        <v>1575</v>
      </c>
      <c r="Q156" s="1182" t="s">
        <v>1574</v>
      </c>
      <c r="R156" s="1182" t="s">
        <v>1573</v>
      </c>
      <c r="S156" s="1182" t="s">
        <v>1577</v>
      </c>
      <c r="T156" s="1182" t="s">
        <v>1814</v>
      </c>
      <c r="U156" s="1182" t="s">
        <v>1815</v>
      </c>
      <c r="V156" s="1182">
        <v>0</v>
      </c>
      <c r="W156" s="1182">
        <v>0</v>
      </c>
      <c r="X156" s="1182">
        <v>0</v>
      </c>
      <c r="Y156" s="1183">
        <v>300</v>
      </c>
      <c r="Z156" s="1182" t="s">
        <v>1940</v>
      </c>
      <c r="AA156" s="1182" t="s">
        <v>1941</v>
      </c>
      <c r="AB156" s="1182">
        <v>300</v>
      </c>
      <c r="AC156" s="1182" t="s">
        <v>1942</v>
      </c>
      <c r="AD156" s="1182" t="s">
        <v>1577</v>
      </c>
      <c r="AE156" s="1182">
        <v>300</v>
      </c>
      <c r="AF156" s="1182" t="s">
        <v>1943</v>
      </c>
      <c r="AG156" s="1182" t="s">
        <v>1944</v>
      </c>
      <c r="AH156" s="1182">
        <v>0</v>
      </c>
      <c r="AI156" s="1182">
        <v>300</v>
      </c>
      <c r="AJ156" s="1182" t="s">
        <v>2232</v>
      </c>
      <c r="AL156" s="1186" t="s">
        <v>2233</v>
      </c>
      <c r="AM156" s="1182">
        <v>1</v>
      </c>
      <c r="AN156" s="1182">
        <v>0</v>
      </c>
      <c r="AO156" s="1182">
        <v>0</v>
      </c>
      <c r="AP156" s="1182">
        <v>0</v>
      </c>
      <c r="AQ156" s="1182" t="s">
        <v>1639</v>
      </c>
      <c r="AS156" s="1186" t="s">
        <v>1943</v>
      </c>
      <c r="AT156" s="1186" t="s">
        <v>1944</v>
      </c>
      <c r="AV156" s="1183">
        <v>138</v>
      </c>
      <c r="AW156" s="1183">
        <v>0</v>
      </c>
      <c r="AX156" s="1183">
        <v>0</v>
      </c>
      <c r="AY156" s="1538">
        <v>138</v>
      </c>
      <c r="AZ156" s="1183">
        <v>0</v>
      </c>
      <c r="BA156" s="1183">
        <v>162</v>
      </c>
      <c r="BB156" s="1540">
        <v>162</v>
      </c>
      <c r="BC156" s="1540">
        <v>300</v>
      </c>
      <c r="BD156" s="1540">
        <v>0</v>
      </c>
      <c r="BF156" s="1539">
        <f t="shared" si="49"/>
        <v>138</v>
      </c>
      <c r="BG156" s="1539">
        <f t="shared" si="50"/>
        <v>0</v>
      </c>
      <c r="BH156" s="1539">
        <f t="shared" si="51"/>
        <v>0</v>
      </c>
      <c r="BI156" s="1539">
        <f t="shared" si="52"/>
        <v>138</v>
      </c>
      <c r="BJ156" s="1539">
        <f t="shared" si="53"/>
        <v>0</v>
      </c>
      <c r="BK156" s="1539">
        <f t="shared" si="54"/>
        <v>162</v>
      </c>
      <c r="BL156" s="1539">
        <f t="shared" si="55"/>
        <v>162</v>
      </c>
      <c r="BM156" s="1539">
        <f t="shared" si="56"/>
        <v>300</v>
      </c>
      <c r="BO156" s="1183"/>
      <c r="BQ156" s="1182">
        <f t="shared" si="57"/>
        <v>0</v>
      </c>
      <c r="BR156" s="1182">
        <f t="shared" si="58"/>
        <v>0</v>
      </c>
      <c r="BS156" s="1182">
        <f t="shared" si="48"/>
        <v>0</v>
      </c>
      <c r="BT156" s="1182">
        <f t="shared" si="48"/>
        <v>0</v>
      </c>
    </row>
    <row r="157" spans="1:72" ht="13.5" customHeight="1">
      <c r="A157" s="1182" t="s">
        <v>1803</v>
      </c>
      <c r="B157" s="1182" t="s">
        <v>1804</v>
      </c>
      <c r="C157" s="1182" t="s">
        <v>1639</v>
      </c>
      <c r="D157" s="1182" t="s">
        <v>1915</v>
      </c>
      <c r="E157" s="1182" t="s">
        <v>1916</v>
      </c>
      <c r="F157" s="1182" t="s">
        <v>2226</v>
      </c>
      <c r="G157" s="1182" t="s">
        <v>2226</v>
      </c>
      <c r="H157" s="1182" t="s">
        <v>2076</v>
      </c>
      <c r="I157" s="1182" t="s">
        <v>1937</v>
      </c>
      <c r="J157" s="1182" t="s">
        <v>2227</v>
      </c>
      <c r="K157" s="1182" t="s">
        <v>1811</v>
      </c>
      <c r="L157" s="1182" t="s">
        <v>1812</v>
      </c>
      <c r="M157" s="1182" t="s">
        <v>1803</v>
      </c>
      <c r="N157" s="1182" t="s">
        <v>1939</v>
      </c>
      <c r="O157" s="1182" t="s">
        <v>1554</v>
      </c>
      <c r="P157" s="1182" t="s">
        <v>1575</v>
      </c>
      <c r="Q157" s="1182" t="s">
        <v>1574</v>
      </c>
      <c r="R157" s="1182" t="s">
        <v>1573</v>
      </c>
      <c r="S157" s="1182" t="s">
        <v>1577</v>
      </c>
      <c r="T157" s="1182" t="s">
        <v>1814</v>
      </c>
      <c r="U157" s="1182" t="s">
        <v>1815</v>
      </c>
      <c r="V157" s="1182">
        <v>0</v>
      </c>
      <c r="W157" s="1182">
        <v>0</v>
      </c>
      <c r="X157" s="1182">
        <v>0</v>
      </c>
      <c r="Y157" s="1183">
        <v>470</v>
      </c>
      <c r="Z157" s="1182" t="s">
        <v>1940</v>
      </c>
      <c r="AA157" s="1182" t="s">
        <v>1941</v>
      </c>
      <c r="AB157" s="1182">
        <v>470</v>
      </c>
      <c r="AC157" s="1182" t="s">
        <v>1942</v>
      </c>
      <c r="AD157" s="1182" t="s">
        <v>1577</v>
      </c>
      <c r="AE157" s="1182">
        <v>470</v>
      </c>
      <c r="AF157" s="1182" t="s">
        <v>1943</v>
      </c>
      <c r="AG157" s="1182" t="s">
        <v>1944</v>
      </c>
      <c r="AH157" s="1182">
        <v>0</v>
      </c>
      <c r="AI157" s="1182">
        <v>470</v>
      </c>
      <c r="AJ157" s="1182" t="s">
        <v>2228</v>
      </c>
      <c r="AL157" s="1186" t="s">
        <v>2229</v>
      </c>
      <c r="AM157" s="1182">
        <v>1</v>
      </c>
      <c r="AN157" s="1182">
        <v>0</v>
      </c>
      <c r="AO157" s="1182">
        <v>0</v>
      </c>
      <c r="AP157" s="1182">
        <v>0</v>
      </c>
      <c r="AQ157" s="1182" t="s">
        <v>1639</v>
      </c>
      <c r="AS157" s="1186" t="s">
        <v>1943</v>
      </c>
      <c r="AT157" s="1186" t="s">
        <v>1944</v>
      </c>
      <c r="AV157" s="1183">
        <v>216</v>
      </c>
      <c r="AW157" s="1183">
        <v>0</v>
      </c>
      <c r="AX157" s="1183">
        <v>0</v>
      </c>
      <c r="AY157" s="1538">
        <v>216</v>
      </c>
      <c r="AZ157" s="1183">
        <v>0</v>
      </c>
      <c r="BA157" s="1183">
        <v>254</v>
      </c>
      <c r="BB157" s="1540">
        <v>254</v>
      </c>
      <c r="BC157" s="1540">
        <v>470</v>
      </c>
      <c r="BD157" s="1540">
        <v>0</v>
      </c>
      <c r="BF157" s="1539">
        <f t="shared" si="49"/>
        <v>216</v>
      </c>
      <c r="BG157" s="1539">
        <f t="shared" si="50"/>
        <v>0</v>
      </c>
      <c r="BH157" s="1539">
        <f t="shared" si="51"/>
        <v>0</v>
      </c>
      <c r="BI157" s="1539">
        <f t="shared" si="52"/>
        <v>216</v>
      </c>
      <c r="BJ157" s="1539">
        <f t="shared" si="53"/>
        <v>0</v>
      </c>
      <c r="BK157" s="1539">
        <f t="shared" si="54"/>
        <v>254</v>
      </c>
      <c r="BL157" s="1539">
        <f t="shared" si="55"/>
        <v>254</v>
      </c>
      <c r="BM157" s="1539">
        <f t="shared" si="56"/>
        <v>470</v>
      </c>
      <c r="BO157" s="1183"/>
      <c r="BQ157" s="1182">
        <f t="shared" si="57"/>
        <v>0</v>
      </c>
      <c r="BR157" s="1182">
        <f t="shared" si="58"/>
        <v>0</v>
      </c>
      <c r="BS157" s="1182">
        <f t="shared" si="48"/>
        <v>0</v>
      </c>
      <c r="BT157" s="1182">
        <f t="shared" si="48"/>
        <v>0</v>
      </c>
    </row>
    <row r="158" spans="1:72" ht="13.5" customHeight="1">
      <c r="A158" s="1182" t="s">
        <v>1803</v>
      </c>
      <c r="B158" s="1182" t="s">
        <v>1804</v>
      </c>
      <c r="C158" s="1182" t="s">
        <v>1639</v>
      </c>
      <c r="D158" s="1182" t="s">
        <v>2092</v>
      </c>
      <c r="E158" s="1182" t="s">
        <v>2093</v>
      </c>
      <c r="F158" s="1182" t="s">
        <v>2280</v>
      </c>
      <c r="G158" s="1182" t="s">
        <v>2280</v>
      </c>
      <c r="H158" s="1182" t="s">
        <v>2076</v>
      </c>
      <c r="I158" s="1182" t="s">
        <v>1937</v>
      </c>
      <c r="J158" s="1182" t="s">
        <v>2281</v>
      </c>
      <c r="K158" s="1182" t="s">
        <v>1811</v>
      </c>
      <c r="L158" s="1182" t="s">
        <v>1812</v>
      </c>
      <c r="M158" s="1182" t="s">
        <v>1803</v>
      </c>
      <c r="N158" s="1182" t="s">
        <v>1939</v>
      </c>
      <c r="O158" s="1182" t="s">
        <v>1554</v>
      </c>
      <c r="P158" s="1182" t="s">
        <v>1575</v>
      </c>
      <c r="Q158" s="1182" t="s">
        <v>1574</v>
      </c>
      <c r="R158" s="1182" t="s">
        <v>1573</v>
      </c>
      <c r="S158" s="1182" t="s">
        <v>1577</v>
      </c>
      <c r="T158" s="1182" t="s">
        <v>1814</v>
      </c>
      <c r="U158" s="1182" t="s">
        <v>1815</v>
      </c>
      <c r="V158" s="1182">
        <v>0</v>
      </c>
      <c r="W158" s="1182">
        <v>0</v>
      </c>
      <c r="X158" s="1182">
        <v>0</v>
      </c>
      <c r="Y158" s="1183">
        <v>300</v>
      </c>
      <c r="Z158" s="1182" t="s">
        <v>1940</v>
      </c>
      <c r="AA158" s="1182" t="s">
        <v>1941</v>
      </c>
      <c r="AB158" s="1182">
        <v>300</v>
      </c>
      <c r="AC158" s="1182" t="s">
        <v>1942</v>
      </c>
      <c r="AD158" s="1182" t="s">
        <v>1577</v>
      </c>
      <c r="AE158" s="1182">
        <v>300</v>
      </c>
      <c r="AF158" s="1182" t="s">
        <v>1943</v>
      </c>
      <c r="AG158" s="1182" t="s">
        <v>1944</v>
      </c>
      <c r="AH158" s="1182">
        <v>0</v>
      </c>
      <c r="AI158" s="1182">
        <v>300</v>
      </c>
      <c r="AJ158" s="1182" t="s">
        <v>2282</v>
      </c>
      <c r="AL158" s="1186" t="s">
        <v>2283</v>
      </c>
      <c r="AM158" s="1182">
        <v>1</v>
      </c>
      <c r="AN158" s="1182">
        <v>0</v>
      </c>
      <c r="AO158" s="1182">
        <v>0</v>
      </c>
      <c r="AP158" s="1182">
        <v>0</v>
      </c>
      <c r="AQ158" s="1182" t="s">
        <v>1639</v>
      </c>
      <c r="AS158" s="1186" t="s">
        <v>1943</v>
      </c>
      <c r="AT158" s="1186" t="s">
        <v>1944</v>
      </c>
      <c r="AV158" s="1183">
        <v>138</v>
      </c>
      <c r="AW158" s="1183">
        <v>0</v>
      </c>
      <c r="AX158" s="1183">
        <v>0</v>
      </c>
      <c r="AY158" s="1538">
        <v>138</v>
      </c>
      <c r="AZ158" s="1183">
        <v>0</v>
      </c>
      <c r="BA158" s="1183">
        <v>162</v>
      </c>
      <c r="BB158" s="1540">
        <v>162</v>
      </c>
      <c r="BC158" s="1540">
        <v>300</v>
      </c>
      <c r="BD158" s="1540">
        <v>0</v>
      </c>
      <c r="BF158" s="1539">
        <f t="shared" si="49"/>
        <v>138</v>
      </c>
      <c r="BG158" s="1539">
        <f t="shared" si="50"/>
        <v>0</v>
      </c>
      <c r="BH158" s="1539">
        <f t="shared" si="51"/>
        <v>0</v>
      </c>
      <c r="BI158" s="1539">
        <f t="shared" si="52"/>
        <v>138</v>
      </c>
      <c r="BJ158" s="1539">
        <f t="shared" si="53"/>
        <v>0</v>
      </c>
      <c r="BK158" s="1539">
        <f t="shared" si="54"/>
        <v>162</v>
      </c>
      <c r="BL158" s="1539">
        <f t="shared" si="55"/>
        <v>162</v>
      </c>
      <c r="BM158" s="1539">
        <f t="shared" si="56"/>
        <v>300</v>
      </c>
      <c r="BO158" s="1183"/>
      <c r="BQ158" s="1182">
        <f t="shared" si="57"/>
        <v>0</v>
      </c>
      <c r="BR158" s="1182">
        <f t="shared" si="58"/>
        <v>0</v>
      </c>
      <c r="BS158" s="1182">
        <f t="shared" si="48"/>
        <v>0</v>
      </c>
      <c r="BT158" s="1182">
        <f t="shared" si="48"/>
        <v>0</v>
      </c>
    </row>
    <row r="159" spans="1:72" ht="13.5" customHeight="1">
      <c r="A159" s="1182" t="s">
        <v>1803</v>
      </c>
      <c r="B159" s="1182" t="s">
        <v>1804</v>
      </c>
      <c r="C159" s="1182" t="s">
        <v>1639</v>
      </c>
      <c r="D159" s="1182" t="s">
        <v>2092</v>
      </c>
      <c r="E159" s="1182" t="s">
        <v>2093</v>
      </c>
      <c r="F159" s="1182" t="s">
        <v>2280</v>
      </c>
      <c r="G159" s="1182" t="s">
        <v>2280</v>
      </c>
      <c r="H159" s="1182" t="s">
        <v>2076</v>
      </c>
      <c r="I159" s="1182" t="s">
        <v>1937</v>
      </c>
      <c r="J159" s="1182" t="s">
        <v>2281</v>
      </c>
      <c r="K159" s="1182" t="s">
        <v>1811</v>
      </c>
      <c r="L159" s="1182" t="s">
        <v>1956</v>
      </c>
      <c r="M159" s="1182" t="s">
        <v>1803</v>
      </c>
      <c r="N159" s="1182" t="s">
        <v>1939</v>
      </c>
      <c r="O159" s="1182" t="s">
        <v>1554</v>
      </c>
      <c r="P159" s="1182" t="s">
        <v>1575</v>
      </c>
      <c r="Q159" s="1182" t="s">
        <v>1574</v>
      </c>
      <c r="R159" s="1182" t="s">
        <v>1573</v>
      </c>
      <c r="S159" s="1182" t="s">
        <v>1577</v>
      </c>
      <c r="T159" s="1182" t="s">
        <v>1814</v>
      </c>
      <c r="U159" s="1182" t="s">
        <v>1815</v>
      </c>
      <c r="V159" s="1182">
        <v>0</v>
      </c>
      <c r="W159" s="1182">
        <v>0</v>
      </c>
      <c r="X159" s="1182">
        <v>0</v>
      </c>
      <c r="Y159" s="1183">
        <v>300</v>
      </c>
      <c r="Z159" s="1182" t="s">
        <v>1940</v>
      </c>
      <c r="AA159" s="1182" t="s">
        <v>1941</v>
      </c>
      <c r="AB159" s="1182">
        <v>300</v>
      </c>
      <c r="AC159" s="1182" t="s">
        <v>1942</v>
      </c>
      <c r="AD159" s="1182" t="s">
        <v>1577</v>
      </c>
      <c r="AE159" s="1182">
        <v>300</v>
      </c>
      <c r="AF159" s="1182" t="s">
        <v>1943</v>
      </c>
      <c r="AG159" s="1182" t="s">
        <v>1944</v>
      </c>
      <c r="AH159" s="1182">
        <v>0</v>
      </c>
      <c r="AI159" s="1182">
        <v>300</v>
      </c>
      <c r="AJ159" s="1182" t="s">
        <v>2284</v>
      </c>
      <c r="AL159" s="1186" t="s">
        <v>2285</v>
      </c>
      <c r="AM159" s="1182">
        <v>1</v>
      </c>
      <c r="AN159" s="1182">
        <v>0</v>
      </c>
      <c r="AO159" s="1182">
        <v>0</v>
      </c>
      <c r="AP159" s="1182">
        <v>0</v>
      </c>
      <c r="AQ159" s="1182" t="s">
        <v>1639</v>
      </c>
      <c r="AS159" s="1186" t="s">
        <v>1943</v>
      </c>
      <c r="AT159" s="1186" t="s">
        <v>1944</v>
      </c>
      <c r="AV159" s="1183">
        <v>138</v>
      </c>
      <c r="AW159" s="1183">
        <v>0</v>
      </c>
      <c r="AX159" s="1183">
        <v>0</v>
      </c>
      <c r="AY159" s="1538">
        <v>138</v>
      </c>
      <c r="AZ159" s="1183">
        <v>0</v>
      </c>
      <c r="BA159" s="1183">
        <v>162</v>
      </c>
      <c r="BB159" s="1540">
        <v>162</v>
      </c>
      <c r="BC159" s="1540">
        <v>300</v>
      </c>
      <c r="BD159" s="1540">
        <v>0</v>
      </c>
      <c r="BF159" s="1539">
        <f t="shared" si="49"/>
        <v>138</v>
      </c>
      <c r="BG159" s="1539">
        <f t="shared" si="50"/>
        <v>0</v>
      </c>
      <c r="BH159" s="1539">
        <f t="shared" si="51"/>
        <v>0</v>
      </c>
      <c r="BI159" s="1539">
        <f t="shared" si="52"/>
        <v>138</v>
      </c>
      <c r="BJ159" s="1539">
        <f t="shared" si="53"/>
        <v>0</v>
      </c>
      <c r="BK159" s="1539">
        <f t="shared" si="54"/>
        <v>162</v>
      </c>
      <c r="BL159" s="1539">
        <f t="shared" si="55"/>
        <v>162</v>
      </c>
      <c r="BM159" s="1539">
        <f t="shared" si="56"/>
        <v>300</v>
      </c>
      <c r="BO159" s="1183"/>
      <c r="BQ159" s="1182">
        <f t="shared" si="57"/>
        <v>0</v>
      </c>
      <c r="BR159" s="1182">
        <f t="shared" si="58"/>
        <v>0</v>
      </c>
      <c r="BS159" s="1182">
        <f t="shared" si="48"/>
        <v>0</v>
      </c>
      <c r="BT159" s="1182">
        <f t="shared" si="48"/>
        <v>0</v>
      </c>
    </row>
    <row r="160" spans="1:72" ht="13.5" customHeight="1">
      <c r="A160" s="1182" t="s">
        <v>1803</v>
      </c>
      <c r="B160" s="1182" t="s">
        <v>1804</v>
      </c>
      <c r="C160" s="1182" t="s">
        <v>1639</v>
      </c>
      <c r="D160" s="1182" t="s">
        <v>2092</v>
      </c>
      <c r="E160" s="1182" t="s">
        <v>2093</v>
      </c>
      <c r="F160" s="1182" t="s">
        <v>2270</v>
      </c>
      <c r="G160" s="1182" t="s">
        <v>2270</v>
      </c>
      <c r="H160" s="1182" t="s">
        <v>2076</v>
      </c>
      <c r="I160" s="1182" t="s">
        <v>1937</v>
      </c>
      <c r="J160" s="1182" t="s">
        <v>2303</v>
      </c>
      <c r="K160" s="1182" t="s">
        <v>1811</v>
      </c>
      <c r="L160" s="1182" t="s">
        <v>1812</v>
      </c>
      <c r="M160" s="1182" t="s">
        <v>1803</v>
      </c>
      <c r="N160" s="1182" t="s">
        <v>1939</v>
      </c>
      <c r="O160" s="1182" t="s">
        <v>1554</v>
      </c>
      <c r="P160" s="1182" t="s">
        <v>1575</v>
      </c>
      <c r="Q160" s="1182" t="s">
        <v>1574</v>
      </c>
      <c r="R160" s="1182" t="s">
        <v>1573</v>
      </c>
      <c r="S160" s="1182" t="s">
        <v>1577</v>
      </c>
      <c r="T160" s="1182" t="s">
        <v>1814</v>
      </c>
      <c r="U160" s="1182" t="s">
        <v>1815</v>
      </c>
      <c r="V160" s="1182">
        <v>0</v>
      </c>
      <c r="W160" s="1182">
        <v>0</v>
      </c>
      <c r="X160" s="1182">
        <v>0</v>
      </c>
      <c r="Y160" s="1183">
        <v>300</v>
      </c>
      <c r="Z160" s="1182" t="s">
        <v>1940</v>
      </c>
      <c r="AA160" s="1182" t="s">
        <v>1941</v>
      </c>
      <c r="AB160" s="1182">
        <v>300</v>
      </c>
      <c r="AC160" s="1182" t="s">
        <v>1942</v>
      </c>
      <c r="AD160" s="1182" t="s">
        <v>1577</v>
      </c>
      <c r="AE160" s="1182">
        <v>300</v>
      </c>
      <c r="AF160" s="1182" t="s">
        <v>1943</v>
      </c>
      <c r="AG160" s="1182" t="s">
        <v>1944</v>
      </c>
      <c r="AH160" s="1182">
        <v>0</v>
      </c>
      <c r="AI160" s="1182">
        <v>300</v>
      </c>
      <c r="AJ160" s="1182" t="s">
        <v>2304</v>
      </c>
      <c r="AL160" s="1186" t="s">
        <v>2305</v>
      </c>
      <c r="AM160" s="1182">
        <v>1</v>
      </c>
      <c r="AN160" s="1182">
        <v>0</v>
      </c>
      <c r="AO160" s="1182">
        <v>0</v>
      </c>
      <c r="AP160" s="1182">
        <v>0</v>
      </c>
      <c r="AQ160" s="1182" t="s">
        <v>1639</v>
      </c>
      <c r="AS160" s="1186" t="s">
        <v>1943</v>
      </c>
      <c r="AT160" s="1186" t="s">
        <v>1944</v>
      </c>
      <c r="AV160" s="1183">
        <v>138</v>
      </c>
      <c r="AW160" s="1183">
        <v>0</v>
      </c>
      <c r="AX160" s="1183">
        <v>0</v>
      </c>
      <c r="AY160" s="1538">
        <v>138</v>
      </c>
      <c r="AZ160" s="1183">
        <v>0</v>
      </c>
      <c r="BA160" s="1183">
        <v>162</v>
      </c>
      <c r="BB160" s="1540">
        <v>162</v>
      </c>
      <c r="BC160" s="1540">
        <v>300</v>
      </c>
      <c r="BD160" s="1540">
        <v>0</v>
      </c>
      <c r="BF160" s="1539">
        <f t="shared" si="49"/>
        <v>138</v>
      </c>
      <c r="BG160" s="1539">
        <f t="shared" si="50"/>
        <v>0</v>
      </c>
      <c r="BH160" s="1539">
        <f t="shared" si="51"/>
        <v>0</v>
      </c>
      <c r="BI160" s="1539">
        <f t="shared" si="52"/>
        <v>138</v>
      </c>
      <c r="BJ160" s="1539">
        <f t="shared" si="53"/>
        <v>0</v>
      </c>
      <c r="BK160" s="1539">
        <f t="shared" si="54"/>
        <v>162</v>
      </c>
      <c r="BL160" s="1539">
        <f t="shared" si="55"/>
        <v>162</v>
      </c>
      <c r="BM160" s="1539">
        <f t="shared" si="56"/>
        <v>300</v>
      </c>
      <c r="BO160" s="1183"/>
      <c r="BQ160" s="1182">
        <f t="shared" si="57"/>
        <v>0</v>
      </c>
      <c r="BR160" s="1182">
        <f t="shared" si="58"/>
        <v>0</v>
      </c>
      <c r="BS160" s="1182">
        <f t="shared" si="48"/>
        <v>0</v>
      </c>
      <c r="BT160" s="1182">
        <f t="shared" si="48"/>
        <v>0</v>
      </c>
    </row>
    <row r="161" spans="1:72" ht="13.5" customHeight="1">
      <c r="A161" s="1182" t="s">
        <v>1803</v>
      </c>
      <c r="B161" s="1182" t="s">
        <v>1804</v>
      </c>
      <c r="C161" s="1182" t="s">
        <v>1639</v>
      </c>
      <c r="D161" s="1182" t="s">
        <v>2092</v>
      </c>
      <c r="E161" s="1182" t="s">
        <v>2093</v>
      </c>
      <c r="F161" s="1182" t="s">
        <v>2270</v>
      </c>
      <c r="G161" s="1182" t="s">
        <v>2270</v>
      </c>
      <c r="H161" s="1182" t="s">
        <v>2076</v>
      </c>
      <c r="I161" s="1182" t="s">
        <v>1937</v>
      </c>
      <c r="J161" s="1182" t="s">
        <v>2303</v>
      </c>
      <c r="K161" s="1182" t="s">
        <v>1811</v>
      </c>
      <c r="L161" s="1182" t="s">
        <v>1956</v>
      </c>
      <c r="M161" s="1182" t="s">
        <v>1803</v>
      </c>
      <c r="N161" s="1182" t="s">
        <v>1939</v>
      </c>
      <c r="O161" s="1182" t="s">
        <v>1554</v>
      </c>
      <c r="P161" s="1182" t="s">
        <v>1575</v>
      </c>
      <c r="Q161" s="1182" t="s">
        <v>1574</v>
      </c>
      <c r="R161" s="1182" t="s">
        <v>1573</v>
      </c>
      <c r="S161" s="1182" t="s">
        <v>1577</v>
      </c>
      <c r="T161" s="1182" t="s">
        <v>1814</v>
      </c>
      <c r="U161" s="1182" t="s">
        <v>1815</v>
      </c>
      <c r="V161" s="1182">
        <v>0</v>
      </c>
      <c r="W161" s="1182">
        <v>0</v>
      </c>
      <c r="X161" s="1182">
        <v>0</v>
      </c>
      <c r="Y161" s="1183">
        <v>300</v>
      </c>
      <c r="Z161" s="1182" t="s">
        <v>1940</v>
      </c>
      <c r="AA161" s="1182" t="s">
        <v>1941</v>
      </c>
      <c r="AB161" s="1182">
        <v>300</v>
      </c>
      <c r="AC161" s="1182" t="s">
        <v>1942</v>
      </c>
      <c r="AD161" s="1182" t="s">
        <v>1577</v>
      </c>
      <c r="AE161" s="1182">
        <v>300</v>
      </c>
      <c r="AF161" s="1182" t="s">
        <v>1943</v>
      </c>
      <c r="AG161" s="1182" t="s">
        <v>1944</v>
      </c>
      <c r="AH161" s="1182">
        <v>0</v>
      </c>
      <c r="AI161" s="1182">
        <v>300</v>
      </c>
      <c r="AJ161" s="1182" t="s">
        <v>2306</v>
      </c>
      <c r="AL161" s="1186" t="s">
        <v>2307</v>
      </c>
      <c r="AM161" s="1182">
        <v>1</v>
      </c>
      <c r="AN161" s="1182">
        <v>0</v>
      </c>
      <c r="AO161" s="1182">
        <v>0</v>
      </c>
      <c r="AP161" s="1182">
        <v>0</v>
      </c>
      <c r="AQ161" s="1182" t="s">
        <v>1639</v>
      </c>
      <c r="AS161" s="1186" t="s">
        <v>1943</v>
      </c>
      <c r="AT161" s="1186" t="s">
        <v>1944</v>
      </c>
      <c r="AV161" s="1183">
        <v>138</v>
      </c>
      <c r="AW161" s="1183">
        <v>0</v>
      </c>
      <c r="AX161" s="1183">
        <v>0</v>
      </c>
      <c r="AY161" s="1538">
        <v>138</v>
      </c>
      <c r="AZ161" s="1183">
        <v>0</v>
      </c>
      <c r="BA161" s="1183">
        <v>162</v>
      </c>
      <c r="BB161" s="1540">
        <v>162</v>
      </c>
      <c r="BC161" s="1540">
        <v>300</v>
      </c>
      <c r="BD161" s="1540">
        <v>0</v>
      </c>
      <c r="BF161" s="1539">
        <f t="shared" si="49"/>
        <v>138</v>
      </c>
      <c r="BG161" s="1539">
        <f t="shared" si="50"/>
        <v>0</v>
      </c>
      <c r="BH161" s="1539">
        <f t="shared" si="51"/>
        <v>0</v>
      </c>
      <c r="BI161" s="1539">
        <f t="shared" si="52"/>
        <v>138</v>
      </c>
      <c r="BJ161" s="1539">
        <f t="shared" si="53"/>
        <v>0</v>
      </c>
      <c r="BK161" s="1539">
        <f t="shared" si="54"/>
        <v>162</v>
      </c>
      <c r="BL161" s="1539">
        <f t="shared" si="55"/>
        <v>162</v>
      </c>
      <c r="BM161" s="1539">
        <f t="shared" si="56"/>
        <v>300</v>
      </c>
      <c r="BO161" s="1183"/>
      <c r="BQ161" s="1182">
        <f t="shared" si="57"/>
        <v>0</v>
      </c>
      <c r="BR161" s="1182">
        <f t="shared" si="58"/>
        <v>0</v>
      </c>
      <c r="BS161" s="1182">
        <f t="shared" si="48"/>
        <v>0</v>
      </c>
      <c r="BT161" s="1182">
        <f t="shared" si="48"/>
        <v>0</v>
      </c>
    </row>
    <row r="162" spans="1:72" ht="13.5" customHeight="1">
      <c r="A162" s="1182" t="s">
        <v>1803</v>
      </c>
      <c r="B162" s="1182" t="s">
        <v>1804</v>
      </c>
      <c r="C162" s="1182" t="s">
        <v>1639</v>
      </c>
      <c r="D162" s="1182" t="s">
        <v>1915</v>
      </c>
      <c r="E162" s="1182" t="s">
        <v>1916</v>
      </c>
      <c r="F162" s="1182" t="s">
        <v>2270</v>
      </c>
      <c r="G162" s="1182" t="s">
        <v>2270</v>
      </c>
      <c r="H162" s="1182" t="s">
        <v>2076</v>
      </c>
      <c r="I162" s="1182" t="s">
        <v>1937</v>
      </c>
      <c r="J162" s="1182" t="s">
        <v>2271</v>
      </c>
      <c r="K162" s="1182" t="s">
        <v>1811</v>
      </c>
      <c r="L162" s="1182" t="s">
        <v>1812</v>
      </c>
      <c r="M162" s="1182" t="s">
        <v>1803</v>
      </c>
      <c r="N162" s="1182" t="s">
        <v>1939</v>
      </c>
      <c r="O162" s="1182" t="s">
        <v>1554</v>
      </c>
      <c r="P162" s="1182" t="s">
        <v>1575</v>
      </c>
      <c r="Q162" s="1182" t="s">
        <v>1574</v>
      </c>
      <c r="R162" s="1182" t="s">
        <v>1573</v>
      </c>
      <c r="S162" s="1182" t="s">
        <v>1577</v>
      </c>
      <c r="T162" s="1182" t="s">
        <v>1814</v>
      </c>
      <c r="U162" s="1182" t="s">
        <v>1815</v>
      </c>
      <c r="V162" s="1182">
        <v>0</v>
      </c>
      <c r="W162" s="1182">
        <v>0</v>
      </c>
      <c r="X162" s="1182">
        <v>0</v>
      </c>
      <c r="Y162" s="1183">
        <v>300</v>
      </c>
      <c r="Z162" s="1182" t="s">
        <v>1940</v>
      </c>
      <c r="AA162" s="1182" t="s">
        <v>1941</v>
      </c>
      <c r="AB162" s="1182">
        <v>300</v>
      </c>
      <c r="AC162" s="1182" t="s">
        <v>1942</v>
      </c>
      <c r="AD162" s="1182" t="s">
        <v>1577</v>
      </c>
      <c r="AE162" s="1182">
        <v>300</v>
      </c>
      <c r="AF162" s="1182" t="s">
        <v>1943</v>
      </c>
      <c r="AG162" s="1182" t="s">
        <v>1944</v>
      </c>
      <c r="AH162" s="1182">
        <v>0</v>
      </c>
      <c r="AI162" s="1182">
        <v>300</v>
      </c>
      <c r="AJ162" s="1182" t="s">
        <v>2272</v>
      </c>
      <c r="AL162" s="1186" t="s">
        <v>2273</v>
      </c>
      <c r="AM162" s="1182">
        <v>1</v>
      </c>
      <c r="AN162" s="1182">
        <v>0</v>
      </c>
      <c r="AO162" s="1182">
        <v>0</v>
      </c>
      <c r="AP162" s="1182">
        <v>0</v>
      </c>
      <c r="AQ162" s="1182" t="s">
        <v>1639</v>
      </c>
      <c r="AS162" s="1186" t="s">
        <v>1943</v>
      </c>
      <c r="AT162" s="1186" t="s">
        <v>1944</v>
      </c>
      <c r="AV162" s="1183">
        <v>138</v>
      </c>
      <c r="AW162" s="1183">
        <v>0</v>
      </c>
      <c r="AX162" s="1183">
        <v>0</v>
      </c>
      <c r="AY162" s="1538">
        <v>138</v>
      </c>
      <c r="AZ162" s="1183">
        <v>0</v>
      </c>
      <c r="BA162" s="1183">
        <v>162</v>
      </c>
      <c r="BB162" s="1540">
        <v>162</v>
      </c>
      <c r="BC162" s="1540">
        <v>300</v>
      </c>
      <c r="BD162" s="1540">
        <v>0</v>
      </c>
      <c r="BF162" s="1539">
        <f t="shared" si="49"/>
        <v>138</v>
      </c>
      <c r="BG162" s="1539">
        <f t="shared" si="50"/>
        <v>0</v>
      </c>
      <c r="BH162" s="1539">
        <f t="shared" si="51"/>
        <v>0</v>
      </c>
      <c r="BI162" s="1539">
        <f t="shared" si="52"/>
        <v>138</v>
      </c>
      <c r="BJ162" s="1539">
        <f t="shared" si="53"/>
        <v>0</v>
      </c>
      <c r="BK162" s="1539">
        <f t="shared" si="54"/>
        <v>162</v>
      </c>
      <c r="BL162" s="1539">
        <f t="shared" si="55"/>
        <v>162</v>
      </c>
      <c r="BM162" s="1539">
        <f t="shared" si="56"/>
        <v>300</v>
      </c>
      <c r="BO162" s="1183"/>
      <c r="BQ162" s="1182">
        <f t="shared" si="57"/>
        <v>0</v>
      </c>
      <c r="BR162" s="1182">
        <f t="shared" si="58"/>
        <v>0</v>
      </c>
      <c r="BS162" s="1182">
        <f t="shared" si="48"/>
        <v>0</v>
      </c>
      <c r="BT162" s="1182">
        <f t="shared" si="48"/>
        <v>0</v>
      </c>
    </row>
    <row r="163" spans="1:72" ht="13.5" customHeight="1">
      <c r="A163" s="1182" t="s">
        <v>1803</v>
      </c>
      <c r="B163" s="1182" t="s">
        <v>1804</v>
      </c>
      <c r="C163" s="1182" t="s">
        <v>1639</v>
      </c>
      <c r="D163" s="1182" t="s">
        <v>2092</v>
      </c>
      <c r="E163" s="1182" t="s">
        <v>2093</v>
      </c>
      <c r="F163" s="1182" t="s">
        <v>2008</v>
      </c>
      <c r="G163" s="1182" t="s">
        <v>2008</v>
      </c>
      <c r="H163" s="1182" t="s">
        <v>2076</v>
      </c>
      <c r="I163" s="1182" t="s">
        <v>1937</v>
      </c>
      <c r="J163" s="1182" t="s">
        <v>2256</v>
      </c>
      <c r="K163" s="1182" t="s">
        <v>1811</v>
      </c>
      <c r="L163" s="1182" t="s">
        <v>1812</v>
      </c>
      <c r="M163" s="1182" t="s">
        <v>1803</v>
      </c>
      <c r="N163" s="1182" t="s">
        <v>1939</v>
      </c>
      <c r="O163" s="1182" t="s">
        <v>1554</v>
      </c>
      <c r="P163" s="1182" t="s">
        <v>1575</v>
      </c>
      <c r="Q163" s="1182" t="s">
        <v>1574</v>
      </c>
      <c r="R163" s="1182" t="s">
        <v>1573</v>
      </c>
      <c r="S163" s="1182" t="s">
        <v>1577</v>
      </c>
      <c r="T163" s="1182" t="s">
        <v>1814</v>
      </c>
      <c r="U163" s="1182" t="s">
        <v>1815</v>
      </c>
      <c r="V163" s="1182">
        <v>0</v>
      </c>
      <c r="W163" s="1182">
        <v>0</v>
      </c>
      <c r="X163" s="1182">
        <v>0</v>
      </c>
      <c r="Y163" s="1183">
        <v>300</v>
      </c>
      <c r="Z163" s="1182" t="s">
        <v>1940</v>
      </c>
      <c r="AA163" s="1182" t="s">
        <v>1941</v>
      </c>
      <c r="AB163" s="1182">
        <v>300</v>
      </c>
      <c r="AC163" s="1182" t="s">
        <v>1942</v>
      </c>
      <c r="AD163" s="1182" t="s">
        <v>1577</v>
      </c>
      <c r="AE163" s="1182">
        <v>300</v>
      </c>
      <c r="AF163" s="1182" t="s">
        <v>1943</v>
      </c>
      <c r="AG163" s="1182" t="s">
        <v>1944</v>
      </c>
      <c r="AH163" s="1182">
        <v>0</v>
      </c>
      <c r="AI163" s="1182">
        <v>300</v>
      </c>
      <c r="AJ163" s="1182" t="s">
        <v>2257</v>
      </c>
      <c r="AL163" s="1186" t="s">
        <v>2258</v>
      </c>
      <c r="AM163" s="1182">
        <v>1</v>
      </c>
      <c r="AN163" s="1182">
        <v>0</v>
      </c>
      <c r="AO163" s="1182">
        <v>0</v>
      </c>
      <c r="AP163" s="1182">
        <v>0</v>
      </c>
      <c r="AQ163" s="1182" t="s">
        <v>1639</v>
      </c>
      <c r="AS163" s="1186" t="s">
        <v>1943</v>
      </c>
      <c r="AT163" s="1186" t="s">
        <v>1944</v>
      </c>
      <c r="AV163" s="1183">
        <v>138</v>
      </c>
      <c r="AW163" s="1183">
        <v>0</v>
      </c>
      <c r="AX163" s="1183">
        <v>0</v>
      </c>
      <c r="AY163" s="1538">
        <v>138</v>
      </c>
      <c r="AZ163" s="1183">
        <v>0</v>
      </c>
      <c r="BA163" s="1183">
        <v>162</v>
      </c>
      <c r="BB163" s="1540">
        <v>162</v>
      </c>
      <c r="BC163" s="1540">
        <v>300</v>
      </c>
      <c r="BD163" s="1540">
        <v>0</v>
      </c>
      <c r="BF163" s="1539">
        <f t="shared" si="49"/>
        <v>138</v>
      </c>
      <c r="BG163" s="1539">
        <f t="shared" si="50"/>
        <v>0</v>
      </c>
      <c r="BH163" s="1539">
        <f t="shared" si="51"/>
        <v>0</v>
      </c>
      <c r="BI163" s="1539">
        <f t="shared" si="52"/>
        <v>138</v>
      </c>
      <c r="BJ163" s="1539">
        <f t="shared" si="53"/>
        <v>0</v>
      </c>
      <c r="BK163" s="1539">
        <f t="shared" si="54"/>
        <v>162</v>
      </c>
      <c r="BL163" s="1539">
        <f t="shared" si="55"/>
        <v>162</v>
      </c>
      <c r="BM163" s="1539">
        <f t="shared" si="56"/>
        <v>300</v>
      </c>
      <c r="BO163" s="1183"/>
      <c r="BQ163" s="1182">
        <f t="shared" si="57"/>
        <v>0</v>
      </c>
      <c r="BR163" s="1182">
        <f t="shared" si="58"/>
        <v>0</v>
      </c>
      <c r="BS163" s="1182">
        <f t="shared" si="48"/>
        <v>0</v>
      </c>
      <c r="BT163" s="1182">
        <f t="shared" si="48"/>
        <v>0</v>
      </c>
    </row>
    <row r="164" spans="1:72" ht="13.5" customHeight="1">
      <c r="A164" s="1182" t="s">
        <v>1803</v>
      </c>
      <c r="B164" s="1182" t="s">
        <v>1804</v>
      </c>
      <c r="C164" s="1182" t="s">
        <v>1639</v>
      </c>
      <c r="D164" s="1182" t="s">
        <v>2092</v>
      </c>
      <c r="E164" s="1182" t="s">
        <v>2093</v>
      </c>
      <c r="F164" s="1182" t="s">
        <v>2259</v>
      </c>
      <c r="G164" s="1182" t="s">
        <v>2259</v>
      </c>
      <c r="H164" s="1182" t="s">
        <v>2076</v>
      </c>
      <c r="I164" s="1182" t="s">
        <v>1937</v>
      </c>
      <c r="J164" s="1182" t="s">
        <v>2260</v>
      </c>
      <c r="K164" s="1182" t="s">
        <v>1811</v>
      </c>
      <c r="L164" s="1182" t="s">
        <v>1812</v>
      </c>
      <c r="M164" s="1182" t="s">
        <v>1803</v>
      </c>
      <c r="N164" s="1182" t="s">
        <v>1939</v>
      </c>
      <c r="O164" s="1182" t="s">
        <v>1554</v>
      </c>
      <c r="P164" s="1182" t="s">
        <v>1575</v>
      </c>
      <c r="Q164" s="1182" t="s">
        <v>1574</v>
      </c>
      <c r="R164" s="1182" t="s">
        <v>1573</v>
      </c>
      <c r="S164" s="1182" t="s">
        <v>1577</v>
      </c>
      <c r="T164" s="1182" t="s">
        <v>1814</v>
      </c>
      <c r="U164" s="1182" t="s">
        <v>1815</v>
      </c>
      <c r="V164" s="1182">
        <v>0</v>
      </c>
      <c r="W164" s="1182">
        <v>0</v>
      </c>
      <c r="X164" s="1182">
        <v>0</v>
      </c>
      <c r="Y164" s="1183">
        <v>300</v>
      </c>
      <c r="Z164" s="1182" t="s">
        <v>1940</v>
      </c>
      <c r="AA164" s="1182" t="s">
        <v>1941</v>
      </c>
      <c r="AB164" s="1182">
        <v>300</v>
      </c>
      <c r="AC164" s="1182" t="s">
        <v>1942</v>
      </c>
      <c r="AD164" s="1182" t="s">
        <v>1577</v>
      </c>
      <c r="AE164" s="1182">
        <v>300</v>
      </c>
      <c r="AF164" s="1182" t="s">
        <v>1943</v>
      </c>
      <c r="AG164" s="1182" t="s">
        <v>1944</v>
      </c>
      <c r="AH164" s="1182">
        <v>0</v>
      </c>
      <c r="AI164" s="1182">
        <v>300</v>
      </c>
      <c r="AJ164" s="1182" t="s">
        <v>2261</v>
      </c>
      <c r="AL164" s="1186" t="s">
        <v>2262</v>
      </c>
      <c r="AM164" s="1182">
        <v>1</v>
      </c>
      <c r="AN164" s="1182">
        <v>0</v>
      </c>
      <c r="AO164" s="1182">
        <v>0</v>
      </c>
      <c r="AP164" s="1182">
        <v>0</v>
      </c>
      <c r="AQ164" s="1182" t="s">
        <v>1639</v>
      </c>
      <c r="AS164" s="1186" t="s">
        <v>1943</v>
      </c>
      <c r="AT164" s="1186" t="s">
        <v>1944</v>
      </c>
      <c r="AV164" s="1183">
        <v>138</v>
      </c>
      <c r="AW164" s="1183">
        <v>0</v>
      </c>
      <c r="AX164" s="1183">
        <v>0</v>
      </c>
      <c r="AY164" s="1538">
        <v>138</v>
      </c>
      <c r="AZ164" s="1183">
        <v>0</v>
      </c>
      <c r="BA164" s="1183">
        <v>162</v>
      </c>
      <c r="BB164" s="1540">
        <v>162</v>
      </c>
      <c r="BC164" s="1540">
        <v>300</v>
      </c>
      <c r="BD164" s="1540">
        <v>0</v>
      </c>
      <c r="BF164" s="1539">
        <f t="shared" si="49"/>
        <v>138</v>
      </c>
      <c r="BG164" s="1539">
        <f t="shared" si="50"/>
        <v>0</v>
      </c>
      <c r="BH164" s="1539">
        <f t="shared" si="51"/>
        <v>0</v>
      </c>
      <c r="BI164" s="1539">
        <f t="shared" si="52"/>
        <v>138</v>
      </c>
      <c r="BJ164" s="1539">
        <f t="shared" si="53"/>
        <v>0</v>
      </c>
      <c r="BK164" s="1539">
        <f t="shared" si="54"/>
        <v>162</v>
      </c>
      <c r="BL164" s="1539">
        <f t="shared" si="55"/>
        <v>162</v>
      </c>
      <c r="BM164" s="1539">
        <f t="shared" si="56"/>
        <v>300</v>
      </c>
      <c r="BO164" s="1183"/>
      <c r="BQ164" s="1182">
        <f t="shared" si="57"/>
        <v>0</v>
      </c>
      <c r="BR164" s="1182">
        <f t="shared" si="58"/>
        <v>0</v>
      </c>
      <c r="BS164" s="1182">
        <f t="shared" si="48"/>
        <v>0</v>
      </c>
      <c r="BT164" s="1182">
        <f t="shared" si="48"/>
        <v>0</v>
      </c>
    </row>
    <row r="165" spans="1:72" ht="13.5" customHeight="1">
      <c r="A165" s="1182" t="s">
        <v>1803</v>
      </c>
      <c r="B165" s="1182" t="s">
        <v>1804</v>
      </c>
      <c r="C165" s="1182" t="s">
        <v>1639</v>
      </c>
      <c r="D165" s="1182" t="s">
        <v>2092</v>
      </c>
      <c r="E165" s="1182" t="s">
        <v>2093</v>
      </c>
      <c r="F165" s="1182" t="s">
        <v>2004</v>
      </c>
      <c r="G165" s="1182" t="s">
        <v>2004</v>
      </c>
      <c r="H165" s="1182" t="s">
        <v>2076</v>
      </c>
      <c r="I165" s="1182" t="s">
        <v>1937</v>
      </c>
      <c r="J165" s="1182" t="s">
        <v>2263</v>
      </c>
      <c r="K165" s="1182" t="s">
        <v>1811</v>
      </c>
      <c r="L165" s="1182" t="s">
        <v>1812</v>
      </c>
      <c r="M165" s="1182" t="s">
        <v>1803</v>
      </c>
      <c r="N165" s="1182" t="s">
        <v>1939</v>
      </c>
      <c r="O165" s="1182" t="s">
        <v>1554</v>
      </c>
      <c r="P165" s="1182" t="s">
        <v>1575</v>
      </c>
      <c r="Q165" s="1182" t="s">
        <v>1574</v>
      </c>
      <c r="R165" s="1182" t="s">
        <v>1573</v>
      </c>
      <c r="S165" s="1182" t="s">
        <v>1577</v>
      </c>
      <c r="T165" s="1182" t="s">
        <v>1814</v>
      </c>
      <c r="U165" s="1182" t="s">
        <v>1815</v>
      </c>
      <c r="V165" s="1182">
        <v>0</v>
      </c>
      <c r="W165" s="1182">
        <v>0</v>
      </c>
      <c r="X165" s="1182">
        <v>0</v>
      </c>
      <c r="Y165" s="1183">
        <v>300</v>
      </c>
      <c r="Z165" s="1182" t="s">
        <v>1940</v>
      </c>
      <c r="AA165" s="1182" t="s">
        <v>1941</v>
      </c>
      <c r="AB165" s="1182">
        <v>300</v>
      </c>
      <c r="AC165" s="1182" t="s">
        <v>1942</v>
      </c>
      <c r="AD165" s="1182" t="s">
        <v>1577</v>
      </c>
      <c r="AE165" s="1182">
        <v>300</v>
      </c>
      <c r="AF165" s="1182" t="s">
        <v>1943</v>
      </c>
      <c r="AG165" s="1182" t="s">
        <v>1944</v>
      </c>
      <c r="AH165" s="1182">
        <v>0</v>
      </c>
      <c r="AI165" s="1182">
        <v>300</v>
      </c>
      <c r="AJ165" s="1182" t="s">
        <v>2264</v>
      </c>
      <c r="AL165" s="1186" t="s">
        <v>2265</v>
      </c>
      <c r="AM165" s="1182">
        <v>1</v>
      </c>
      <c r="AN165" s="1182">
        <v>0</v>
      </c>
      <c r="AO165" s="1182">
        <v>0</v>
      </c>
      <c r="AP165" s="1182">
        <v>0</v>
      </c>
      <c r="AQ165" s="1182" t="s">
        <v>1639</v>
      </c>
      <c r="AS165" s="1186" t="s">
        <v>1943</v>
      </c>
      <c r="AT165" s="1186" t="s">
        <v>1944</v>
      </c>
      <c r="AV165" s="1183">
        <v>138</v>
      </c>
      <c r="AW165" s="1183">
        <v>0</v>
      </c>
      <c r="AX165" s="1183">
        <v>0</v>
      </c>
      <c r="AY165" s="1538">
        <v>138</v>
      </c>
      <c r="AZ165" s="1183">
        <v>0</v>
      </c>
      <c r="BA165" s="1183">
        <v>162</v>
      </c>
      <c r="BB165" s="1540">
        <v>162</v>
      </c>
      <c r="BC165" s="1540">
        <v>300</v>
      </c>
      <c r="BD165" s="1540">
        <v>0</v>
      </c>
      <c r="BF165" s="1539">
        <f t="shared" si="49"/>
        <v>138</v>
      </c>
      <c r="BG165" s="1539">
        <f t="shared" si="50"/>
        <v>0</v>
      </c>
      <c r="BH165" s="1539">
        <f t="shared" si="51"/>
        <v>0</v>
      </c>
      <c r="BI165" s="1539">
        <f t="shared" si="52"/>
        <v>138</v>
      </c>
      <c r="BJ165" s="1539">
        <f t="shared" si="53"/>
        <v>0</v>
      </c>
      <c r="BK165" s="1539">
        <f t="shared" si="54"/>
        <v>162</v>
      </c>
      <c r="BL165" s="1539">
        <f t="shared" si="55"/>
        <v>162</v>
      </c>
      <c r="BM165" s="1539">
        <f t="shared" si="56"/>
        <v>300</v>
      </c>
      <c r="BO165" s="1183"/>
      <c r="BQ165" s="1182">
        <f t="shared" si="57"/>
        <v>0</v>
      </c>
      <c r="BR165" s="1182">
        <f t="shared" si="58"/>
        <v>0</v>
      </c>
      <c r="BS165" s="1182">
        <f t="shared" si="48"/>
        <v>0</v>
      </c>
      <c r="BT165" s="1182">
        <f t="shared" si="48"/>
        <v>0</v>
      </c>
    </row>
    <row r="166" spans="1:72" ht="13.5" customHeight="1">
      <c r="A166" s="1182" t="s">
        <v>1803</v>
      </c>
      <c r="B166" s="1182" t="s">
        <v>1804</v>
      </c>
      <c r="C166" s="1182" t="s">
        <v>1639</v>
      </c>
      <c r="D166" s="1182" t="s">
        <v>2092</v>
      </c>
      <c r="E166" s="1182" t="s">
        <v>2093</v>
      </c>
      <c r="F166" s="1182" t="s">
        <v>2266</v>
      </c>
      <c r="G166" s="1182" t="s">
        <v>2266</v>
      </c>
      <c r="H166" s="1182" t="s">
        <v>2076</v>
      </c>
      <c r="I166" s="1182" t="s">
        <v>1937</v>
      </c>
      <c r="J166" s="1182" t="s">
        <v>2267</v>
      </c>
      <c r="K166" s="1182" t="s">
        <v>1811</v>
      </c>
      <c r="L166" s="1182" t="s">
        <v>1812</v>
      </c>
      <c r="M166" s="1182" t="s">
        <v>1803</v>
      </c>
      <c r="N166" s="1182" t="s">
        <v>1939</v>
      </c>
      <c r="O166" s="1182" t="s">
        <v>1554</v>
      </c>
      <c r="P166" s="1182" t="s">
        <v>1575</v>
      </c>
      <c r="Q166" s="1182" t="s">
        <v>1574</v>
      </c>
      <c r="R166" s="1182" t="s">
        <v>1573</v>
      </c>
      <c r="S166" s="1182" t="s">
        <v>1577</v>
      </c>
      <c r="T166" s="1182" t="s">
        <v>1814</v>
      </c>
      <c r="U166" s="1182" t="s">
        <v>1815</v>
      </c>
      <c r="V166" s="1182">
        <v>0</v>
      </c>
      <c r="W166" s="1182">
        <v>0</v>
      </c>
      <c r="X166" s="1182">
        <v>0</v>
      </c>
      <c r="Y166" s="1183">
        <v>300</v>
      </c>
      <c r="Z166" s="1182" t="s">
        <v>1940</v>
      </c>
      <c r="AA166" s="1182" t="s">
        <v>1941</v>
      </c>
      <c r="AB166" s="1182">
        <v>300</v>
      </c>
      <c r="AC166" s="1182" t="s">
        <v>1942</v>
      </c>
      <c r="AD166" s="1182" t="s">
        <v>1577</v>
      </c>
      <c r="AE166" s="1182">
        <v>300</v>
      </c>
      <c r="AF166" s="1182" t="s">
        <v>1943</v>
      </c>
      <c r="AG166" s="1182" t="s">
        <v>1944</v>
      </c>
      <c r="AH166" s="1182">
        <v>0</v>
      </c>
      <c r="AI166" s="1182">
        <v>300</v>
      </c>
      <c r="AJ166" s="1182" t="s">
        <v>2268</v>
      </c>
      <c r="AL166" s="1186" t="s">
        <v>2269</v>
      </c>
      <c r="AM166" s="1182">
        <v>1</v>
      </c>
      <c r="AN166" s="1182">
        <v>0</v>
      </c>
      <c r="AO166" s="1182">
        <v>0</v>
      </c>
      <c r="AP166" s="1182">
        <v>0</v>
      </c>
      <c r="AQ166" s="1182" t="s">
        <v>1639</v>
      </c>
      <c r="AS166" s="1186" t="s">
        <v>1943</v>
      </c>
      <c r="AT166" s="1186" t="s">
        <v>1944</v>
      </c>
      <c r="AV166" s="1183">
        <v>138</v>
      </c>
      <c r="AW166" s="1183">
        <v>0</v>
      </c>
      <c r="AX166" s="1183">
        <v>0</v>
      </c>
      <c r="AY166" s="1538">
        <v>138</v>
      </c>
      <c r="AZ166" s="1183">
        <v>0</v>
      </c>
      <c r="BA166" s="1183">
        <v>162</v>
      </c>
      <c r="BB166" s="1540">
        <v>162</v>
      </c>
      <c r="BC166" s="1540">
        <v>300</v>
      </c>
      <c r="BD166" s="1540">
        <v>0</v>
      </c>
      <c r="BF166" s="1539">
        <f t="shared" si="49"/>
        <v>138</v>
      </c>
      <c r="BG166" s="1539">
        <f t="shared" si="50"/>
        <v>0</v>
      </c>
      <c r="BH166" s="1539">
        <f t="shared" si="51"/>
        <v>0</v>
      </c>
      <c r="BI166" s="1539">
        <f t="shared" si="52"/>
        <v>138</v>
      </c>
      <c r="BJ166" s="1539">
        <f t="shared" si="53"/>
        <v>0</v>
      </c>
      <c r="BK166" s="1539">
        <f t="shared" si="54"/>
        <v>162</v>
      </c>
      <c r="BL166" s="1539">
        <f t="shared" si="55"/>
        <v>162</v>
      </c>
      <c r="BM166" s="1539">
        <f t="shared" si="56"/>
        <v>300</v>
      </c>
      <c r="BO166" s="1183"/>
      <c r="BQ166" s="1182">
        <f t="shared" si="57"/>
        <v>0</v>
      </c>
      <c r="BR166" s="1182">
        <f t="shared" si="58"/>
        <v>0</v>
      </c>
      <c r="BS166" s="1182">
        <f t="shared" si="48"/>
        <v>0</v>
      </c>
      <c r="BT166" s="1182">
        <f t="shared" si="48"/>
        <v>0</v>
      </c>
    </row>
    <row r="167" spans="1:72" ht="13.5" customHeight="1">
      <c r="A167" s="1182" t="s">
        <v>1803</v>
      </c>
      <c r="B167" s="1182" t="s">
        <v>1804</v>
      </c>
      <c r="C167" s="1182" t="s">
        <v>1639</v>
      </c>
      <c r="D167" s="1182" t="s">
        <v>1915</v>
      </c>
      <c r="E167" s="1182" t="s">
        <v>1916</v>
      </c>
      <c r="F167" s="1182" t="s">
        <v>2004</v>
      </c>
      <c r="G167" s="1182" t="s">
        <v>2004</v>
      </c>
      <c r="H167" s="1182" t="s">
        <v>2076</v>
      </c>
      <c r="I167" s="1182" t="s">
        <v>1937</v>
      </c>
      <c r="J167" s="1182" t="s">
        <v>2274</v>
      </c>
      <c r="K167" s="1182" t="s">
        <v>1811</v>
      </c>
      <c r="L167" s="1182" t="s">
        <v>1812</v>
      </c>
      <c r="M167" s="1182" t="s">
        <v>1803</v>
      </c>
      <c r="N167" s="1182" t="s">
        <v>1939</v>
      </c>
      <c r="O167" s="1182" t="s">
        <v>1554</v>
      </c>
      <c r="P167" s="1182" t="s">
        <v>1575</v>
      </c>
      <c r="Q167" s="1182" t="s">
        <v>1574</v>
      </c>
      <c r="R167" s="1182" t="s">
        <v>1573</v>
      </c>
      <c r="S167" s="1182" t="s">
        <v>1577</v>
      </c>
      <c r="T167" s="1182" t="s">
        <v>1814</v>
      </c>
      <c r="U167" s="1182" t="s">
        <v>1815</v>
      </c>
      <c r="V167" s="1182">
        <v>0</v>
      </c>
      <c r="W167" s="1182">
        <v>0</v>
      </c>
      <c r="X167" s="1182">
        <v>0</v>
      </c>
      <c r="Y167" s="1183">
        <v>600</v>
      </c>
      <c r="Z167" s="1182" t="s">
        <v>1940</v>
      </c>
      <c r="AA167" s="1182" t="s">
        <v>1941</v>
      </c>
      <c r="AB167" s="1182">
        <v>600</v>
      </c>
      <c r="AC167" s="1182" t="s">
        <v>1942</v>
      </c>
      <c r="AD167" s="1182" t="s">
        <v>1577</v>
      </c>
      <c r="AE167" s="1182">
        <v>600</v>
      </c>
      <c r="AF167" s="1182" t="s">
        <v>1943</v>
      </c>
      <c r="AG167" s="1182" t="s">
        <v>1944</v>
      </c>
      <c r="AH167" s="1182">
        <v>0</v>
      </c>
      <c r="AI167" s="1182">
        <v>600</v>
      </c>
      <c r="AJ167" s="1182" t="s">
        <v>2275</v>
      </c>
      <c r="AL167" s="1186" t="s">
        <v>2276</v>
      </c>
      <c r="AM167" s="1182">
        <v>1</v>
      </c>
      <c r="AN167" s="1182">
        <v>0</v>
      </c>
      <c r="AO167" s="1182">
        <v>0</v>
      </c>
      <c r="AP167" s="1182">
        <v>0</v>
      </c>
      <c r="AQ167" s="1182" t="s">
        <v>1639</v>
      </c>
      <c r="AS167" s="1186" t="s">
        <v>1943</v>
      </c>
      <c r="AT167" s="1186" t="s">
        <v>1944</v>
      </c>
      <c r="AV167" s="1183">
        <v>276</v>
      </c>
      <c r="AW167" s="1183">
        <v>0</v>
      </c>
      <c r="AX167" s="1183">
        <v>0</v>
      </c>
      <c r="AY167" s="1538">
        <v>276</v>
      </c>
      <c r="AZ167" s="1183">
        <v>0</v>
      </c>
      <c r="BA167" s="1183">
        <v>324</v>
      </c>
      <c r="BB167" s="1540">
        <v>324</v>
      </c>
      <c r="BC167" s="1540">
        <v>600</v>
      </c>
      <c r="BD167" s="1540">
        <v>0</v>
      </c>
      <c r="BF167" s="1539">
        <f t="shared" si="49"/>
        <v>276</v>
      </c>
      <c r="BG167" s="1539">
        <f t="shared" si="50"/>
        <v>0</v>
      </c>
      <c r="BH167" s="1539">
        <f t="shared" si="51"/>
        <v>0</v>
      </c>
      <c r="BI167" s="1539">
        <f t="shared" si="52"/>
        <v>276</v>
      </c>
      <c r="BJ167" s="1539">
        <f t="shared" si="53"/>
        <v>0</v>
      </c>
      <c r="BK167" s="1539">
        <f t="shared" si="54"/>
        <v>324</v>
      </c>
      <c r="BL167" s="1539">
        <f t="shared" si="55"/>
        <v>324</v>
      </c>
      <c r="BM167" s="1539">
        <f t="shared" si="56"/>
        <v>600</v>
      </c>
      <c r="BO167" s="1183"/>
      <c r="BQ167" s="1182">
        <f t="shared" si="57"/>
        <v>0</v>
      </c>
      <c r="BR167" s="1182">
        <f t="shared" si="58"/>
        <v>0</v>
      </c>
      <c r="BS167" s="1182">
        <f t="shared" si="48"/>
        <v>0</v>
      </c>
      <c r="BT167" s="1182">
        <f t="shared" si="48"/>
        <v>0</v>
      </c>
    </row>
    <row r="168" spans="1:72" ht="13.5" customHeight="1">
      <c r="A168" s="1182" t="s">
        <v>1803</v>
      </c>
      <c r="B168" s="1182" t="s">
        <v>1804</v>
      </c>
      <c r="C168" s="1182" t="s">
        <v>1639</v>
      </c>
      <c r="D168" s="1182" t="s">
        <v>2092</v>
      </c>
      <c r="E168" s="1182" t="s">
        <v>2093</v>
      </c>
      <c r="F168" s="1182" t="s">
        <v>2022</v>
      </c>
      <c r="G168" s="1182" t="s">
        <v>2022</v>
      </c>
      <c r="H168" s="1182" t="s">
        <v>2076</v>
      </c>
      <c r="I168" s="1182" t="s">
        <v>1937</v>
      </c>
      <c r="J168" s="1182" t="s">
        <v>2277</v>
      </c>
      <c r="K168" s="1182" t="s">
        <v>1811</v>
      </c>
      <c r="L168" s="1182" t="s">
        <v>1812</v>
      </c>
      <c r="M168" s="1182" t="s">
        <v>1803</v>
      </c>
      <c r="N168" s="1182" t="s">
        <v>1939</v>
      </c>
      <c r="O168" s="1182" t="s">
        <v>1554</v>
      </c>
      <c r="P168" s="1182" t="s">
        <v>1575</v>
      </c>
      <c r="Q168" s="1182" t="s">
        <v>1574</v>
      </c>
      <c r="R168" s="1182" t="s">
        <v>1573</v>
      </c>
      <c r="S168" s="1182" t="s">
        <v>1577</v>
      </c>
      <c r="T168" s="1182" t="s">
        <v>1814</v>
      </c>
      <c r="U168" s="1182" t="s">
        <v>1815</v>
      </c>
      <c r="V168" s="1182">
        <v>0</v>
      </c>
      <c r="W168" s="1182">
        <v>0</v>
      </c>
      <c r="X168" s="1182">
        <v>0</v>
      </c>
      <c r="Y168" s="1183">
        <v>300</v>
      </c>
      <c r="Z168" s="1182" t="s">
        <v>1940</v>
      </c>
      <c r="AA168" s="1182" t="s">
        <v>1941</v>
      </c>
      <c r="AB168" s="1182">
        <v>300</v>
      </c>
      <c r="AC168" s="1182" t="s">
        <v>1942</v>
      </c>
      <c r="AD168" s="1182" t="s">
        <v>1577</v>
      </c>
      <c r="AE168" s="1182">
        <v>300</v>
      </c>
      <c r="AF168" s="1182" t="s">
        <v>1943</v>
      </c>
      <c r="AG168" s="1182" t="s">
        <v>1944</v>
      </c>
      <c r="AH168" s="1182">
        <v>0</v>
      </c>
      <c r="AI168" s="1182">
        <v>300</v>
      </c>
      <c r="AJ168" s="1182" t="s">
        <v>2278</v>
      </c>
      <c r="AL168" s="1186" t="s">
        <v>2279</v>
      </c>
      <c r="AM168" s="1182">
        <v>1</v>
      </c>
      <c r="AN168" s="1182">
        <v>0</v>
      </c>
      <c r="AO168" s="1182">
        <v>0</v>
      </c>
      <c r="AP168" s="1182">
        <v>0</v>
      </c>
      <c r="AQ168" s="1182" t="s">
        <v>1639</v>
      </c>
      <c r="AS168" s="1186" t="s">
        <v>1943</v>
      </c>
      <c r="AT168" s="1186" t="s">
        <v>1944</v>
      </c>
      <c r="AV168" s="1183">
        <v>138</v>
      </c>
      <c r="AW168" s="1183">
        <v>0</v>
      </c>
      <c r="AX168" s="1183">
        <v>0</v>
      </c>
      <c r="AY168" s="1538">
        <v>138</v>
      </c>
      <c r="AZ168" s="1183">
        <v>0</v>
      </c>
      <c r="BA168" s="1183">
        <v>162</v>
      </c>
      <c r="BB168" s="1540">
        <v>162</v>
      </c>
      <c r="BC168" s="1540">
        <v>300</v>
      </c>
      <c r="BD168" s="1540">
        <v>0</v>
      </c>
      <c r="BF168" s="1539">
        <f t="shared" si="49"/>
        <v>138</v>
      </c>
      <c r="BG168" s="1539">
        <f t="shared" si="50"/>
        <v>0</v>
      </c>
      <c r="BH168" s="1539">
        <f t="shared" si="51"/>
        <v>0</v>
      </c>
      <c r="BI168" s="1539">
        <f t="shared" si="52"/>
        <v>138</v>
      </c>
      <c r="BJ168" s="1539">
        <f t="shared" si="53"/>
        <v>0</v>
      </c>
      <c r="BK168" s="1539">
        <f t="shared" si="54"/>
        <v>162</v>
      </c>
      <c r="BL168" s="1539">
        <f t="shared" si="55"/>
        <v>162</v>
      </c>
      <c r="BM168" s="1539">
        <f t="shared" si="56"/>
        <v>300</v>
      </c>
      <c r="BO168" s="1183"/>
      <c r="BQ168" s="1182">
        <f t="shared" si="57"/>
        <v>0</v>
      </c>
      <c r="BR168" s="1182">
        <f t="shared" si="58"/>
        <v>0</v>
      </c>
      <c r="BS168" s="1182">
        <f t="shared" si="48"/>
        <v>0</v>
      </c>
      <c r="BT168" s="1182">
        <f t="shared" si="48"/>
        <v>0</v>
      </c>
    </row>
    <row r="169" spans="1:72" ht="13.5" customHeight="1">
      <c r="A169" s="1182" t="s">
        <v>1803</v>
      </c>
      <c r="B169" s="1182" t="s">
        <v>1804</v>
      </c>
      <c r="C169" s="1182" t="s">
        <v>1639</v>
      </c>
      <c r="D169" s="1182" t="s">
        <v>2092</v>
      </c>
      <c r="E169" s="1182" t="s">
        <v>2093</v>
      </c>
      <c r="F169" s="1182" t="s">
        <v>2286</v>
      </c>
      <c r="G169" s="1182" t="s">
        <v>2286</v>
      </c>
      <c r="H169" s="1182" t="s">
        <v>2076</v>
      </c>
      <c r="I169" s="1182" t="s">
        <v>1937</v>
      </c>
      <c r="J169" s="1182" t="s">
        <v>2287</v>
      </c>
      <c r="K169" s="1182" t="s">
        <v>1811</v>
      </c>
      <c r="L169" s="1182" t="s">
        <v>1812</v>
      </c>
      <c r="M169" s="1182" t="s">
        <v>1803</v>
      </c>
      <c r="N169" s="1182" t="s">
        <v>1939</v>
      </c>
      <c r="O169" s="1182" t="s">
        <v>1554</v>
      </c>
      <c r="P169" s="1182" t="s">
        <v>1575</v>
      </c>
      <c r="Q169" s="1182" t="s">
        <v>1574</v>
      </c>
      <c r="R169" s="1182" t="s">
        <v>1573</v>
      </c>
      <c r="S169" s="1182" t="s">
        <v>1577</v>
      </c>
      <c r="T169" s="1182" t="s">
        <v>1814</v>
      </c>
      <c r="U169" s="1182" t="s">
        <v>1815</v>
      </c>
      <c r="V169" s="1182">
        <v>0</v>
      </c>
      <c r="W169" s="1182">
        <v>0</v>
      </c>
      <c r="X169" s="1182">
        <v>0</v>
      </c>
      <c r="Y169" s="1183">
        <v>300</v>
      </c>
      <c r="Z169" s="1182" t="s">
        <v>1940</v>
      </c>
      <c r="AA169" s="1182" t="s">
        <v>1941</v>
      </c>
      <c r="AB169" s="1182">
        <v>300</v>
      </c>
      <c r="AC169" s="1182" t="s">
        <v>1942</v>
      </c>
      <c r="AD169" s="1182" t="s">
        <v>1577</v>
      </c>
      <c r="AE169" s="1182">
        <v>300</v>
      </c>
      <c r="AF169" s="1182" t="s">
        <v>1943</v>
      </c>
      <c r="AG169" s="1182" t="s">
        <v>1944</v>
      </c>
      <c r="AH169" s="1182">
        <v>0</v>
      </c>
      <c r="AI169" s="1182">
        <v>300</v>
      </c>
      <c r="AJ169" s="1182" t="s">
        <v>2288</v>
      </c>
      <c r="AL169" s="1186" t="s">
        <v>2289</v>
      </c>
      <c r="AM169" s="1182">
        <v>1</v>
      </c>
      <c r="AN169" s="1182">
        <v>0</v>
      </c>
      <c r="AO169" s="1182">
        <v>0</v>
      </c>
      <c r="AP169" s="1182">
        <v>0</v>
      </c>
      <c r="AQ169" s="1182" t="s">
        <v>1639</v>
      </c>
      <c r="AS169" s="1186" t="s">
        <v>1943</v>
      </c>
      <c r="AT169" s="1186" t="s">
        <v>1944</v>
      </c>
      <c r="AV169" s="1183">
        <v>138</v>
      </c>
      <c r="AW169" s="1183">
        <v>0</v>
      </c>
      <c r="AX169" s="1183">
        <v>0</v>
      </c>
      <c r="AY169" s="1538">
        <v>138</v>
      </c>
      <c r="AZ169" s="1183">
        <v>0</v>
      </c>
      <c r="BA169" s="1183">
        <v>162</v>
      </c>
      <c r="BB169" s="1540">
        <v>162</v>
      </c>
      <c r="BC169" s="1540">
        <v>300</v>
      </c>
      <c r="BD169" s="1540">
        <v>0</v>
      </c>
      <c r="BF169" s="1539">
        <f t="shared" si="49"/>
        <v>138</v>
      </c>
      <c r="BG169" s="1539">
        <f t="shared" si="50"/>
        <v>0</v>
      </c>
      <c r="BH169" s="1539">
        <f t="shared" si="51"/>
        <v>0</v>
      </c>
      <c r="BI169" s="1539">
        <f t="shared" si="52"/>
        <v>138</v>
      </c>
      <c r="BJ169" s="1539">
        <f t="shared" si="53"/>
        <v>0</v>
      </c>
      <c r="BK169" s="1539">
        <f t="shared" si="54"/>
        <v>162</v>
      </c>
      <c r="BL169" s="1539">
        <f t="shared" si="55"/>
        <v>162</v>
      </c>
      <c r="BM169" s="1539">
        <f t="shared" si="56"/>
        <v>300</v>
      </c>
      <c r="BO169" s="1183"/>
      <c r="BQ169" s="1182">
        <f t="shared" si="57"/>
        <v>0</v>
      </c>
      <c r="BR169" s="1182">
        <f t="shared" si="58"/>
        <v>0</v>
      </c>
      <c r="BS169" s="1182">
        <f t="shared" si="48"/>
        <v>0</v>
      </c>
      <c r="BT169" s="1182">
        <f t="shared" si="48"/>
        <v>0</v>
      </c>
    </row>
    <row r="170" spans="1:72" ht="13.5" customHeight="1">
      <c r="A170" s="1182" t="s">
        <v>1803</v>
      </c>
      <c r="B170" s="1182" t="s">
        <v>1804</v>
      </c>
      <c r="C170" s="1182" t="s">
        <v>1639</v>
      </c>
      <c r="D170" s="1182" t="s">
        <v>1915</v>
      </c>
      <c r="E170" s="1182" t="s">
        <v>1916</v>
      </c>
      <c r="F170" s="1182" t="s">
        <v>2290</v>
      </c>
      <c r="G170" s="1182" t="s">
        <v>2290</v>
      </c>
      <c r="H170" s="1182" t="s">
        <v>2076</v>
      </c>
      <c r="I170" s="1182" t="s">
        <v>1937</v>
      </c>
      <c r="J170" s="1182" t="s">
        <v>2291</v>
      </c>
      <c r="K170" s="1182" t="s">
        <v>1811</v>
      </c>
      <c r="L170" s="1182" t="s">
        <v>1812</v>
      </c>
      <c r="M170" s="1182" t="s">
        <v>1803</v>
      </c>
      <c r="N170" s="1182" t="s">
        <v>1939</v>
      </c>
      <c r="O170" s="1182" t="s">
        <v>1554</v>
      </c>
      <c r="P170" s="1182" t="s">
        <v>1575</v>
      </c>
      <c r="Q170" s="1182" t="s">
        <v>1574</v>
      </c>
      <c r="R170" s="1182" t="s">
        <v>1573</v>
      </c>
      <c r="S170" s="1182" t="s">
        <v>1577</v>
      </c>
      <c r="T170" s="1182" t="s">
        <v>1814</v>
      </c>
      <c r="U170" s="1182" t="s">
        <v>1815</v>
      </c>
      <c r="V170" s="1182">
        <v>0</v>
      </c>
      <c r="W170" s="1182">
        <v>0</v>
      </c>
      <c r="X170" s="1182">
        <v>0</v>
      </c>
      <c r="Y170" s="1183">
        <v>470</v>
      </c>
      <c r="Z170" s="1182" t="s">
        <v>1940</v>
      </c>
      <c r="AA170" s="1182" t="s">
        <v>1941</v>
      </c>
      <c r="AB170" s="1182">
        <v>470</v>
      </c>
      <c r="AC170" s="1182" t="s">
        <v>1942</v>
      </c>
      <c r="AD170" s="1182" t="s">
        <v>1577</v>
      </c>
      <c r="AE170" s="1182">
        <v>470</v>
      </c>
      <c r="AF170" s="1182" t="s">
        <v>1943</v>
      </c>
      <c r="AG170" s="1182" t="s">
        <v>1944</v>
      </c>
      <c r="AH170" s="1182">
        <v>0</v>
      </c>
      <c r="AI170" s="1182">
        <v>470</v>
      </c>
      <c r="AJ170" s="1182" t="s">
        <v>2292</v>
      </c>
      <c r="AL170" s="1186" t="s">
        <v>2293</v>
      </c>
      <c r="AM170" s="1182">
        <v>1</v>
      </c>
      <c r="AN170" s="1182">
        <v>0</v>
      </c>
      <c r="AO170" s="1182">
        <v>0</v>
      </c>
      <c r="AP170" s="1182">
        <v>0</v>
      </c>
      <c r="AQ170" s="1182" t="s">
        <v>1639</v>
      </c>
      <c r="AS170" s="1186" t="s">
        <v>1943</v>
      </c>
      <c r="AT170" s="1186" t="s">
        <v>1944</v>
      </c>
      <c r="AV170" s="1183">
        <v>216</v>
      </c>
      <c r="AW170" s="1183">
        <v>0</v>
      </c>
      <c r="AX170" s="1183">
        <v>0</v>
      </c>
      <c r="AY170" s="1538">
        <v>216</v>
      </c>
      <c r="AZ170" s="1183">
        <v>0</v>
      </c>
      <c r="BA170" s="1183">
        <v>254</v>
      </c>
      <c r="BB170" s="1540">
        <v>254</v>
      </c>
      <c r="BC170" s="1540">
        <v>470</v>
      </c>
      <c r="BD170" s="1540">
        <v>0</v>
      </c>
      <c r="BF170" s="1539">
        <f t="shared" si="49"/>
        <v>216</v>
      </c>
      <c r="BG170" s="1539">
        <f t="shared" si="50"/>
        <v>0</v>
      </c>
      <c r="BH170" s="1539">
        <f t="shared" si="51"/>
        <v>0</v>
      </c>
      <c r="BI170" s="1539">
        <f t="shared" si="52"/>
        <v>216</v>
      </c>
      <c r="BJ170" s="1539">
        <f t="shared" si="53"/>
        <v>0</v>
      </c>
      <c r="BK170" s="1539">
        <f t="shared" si="54"/>
        <v>254</v>
      </c>
      <c r="BL170" s="1539">
        <f t="shared" si="55"/>
        <v>254</v>
      </c>
      <c r="BM170" s="1539">
        <f t="shared" si="56"/>
        <v>470</v>
      </c>
      <c r="BO170" s="1183"/>
      <c r="BQ170" s="1182">
        <f t="shared" si="57"/>
        <v>0</v>
      </c>
      <c r="BR170" s="1182">
        <f t="shared" si="58"/>
        <v>0</v>
      </c>
      <c r="BS170" s="1182">
        <f t="shared" si="48"/>
        <v>0</v>
      </c>
      <c r="BT170" s="1182">
        <f t="shared" si="48"/>
        <v>0</v>
      </c>
    </row>
    <row r="171" spans="1:72" ht="13.5" customHeight="1">
      <c r="A171" s="1182" t="s">
        <v>1803</v>
      </c>
      <c r="B171" s="1182" t="s">
        <v>1804</v>
      </c>
      <c r="C171" s="1182" t="s">
        <v>1639</v>
      </c>
      <c r="D171" s="1182" t="s">
        <v>1915</v>
      </c>
      <c r="E171" s="1182" t="s">
        <v>1916</v>
      </c>
      <c r="F171" s="1182" t="s">
        <v>2290</v>
      </c>
      <c r="G171" s="1182" t="s">
        <v>2290</v>
      </c>
      <c r="H171" s="1182" t="s">
        <v>2076</v>
      </c>
      <c r="I171" s="1182" t="s">
        <v>1937</v>
      </c>
      <c r="J171" s="1182" t="s">
        <v>2294</v>
      </c>
      <c r="K171" s="1182" t="s">
        <v>1811</v>
      </c>
      <c r="L171" s="1182" t="s">
        <v>1812</v>
      </c>
      <c r="M171" s="1182" t="s">
        <v>1803</v>
      </c>
      <c r="N171" s="1182" t="s">
        <v>1939</v>
      </c>
      <c r="O171" s="1182" t="s">
        <v>1554</v>
      </c>
      <c r="P171" s="1182" t="s">
        <v>1575</v>
      </c>
      <c r="Q171" s="1182" t="s">
        <v>1574</v>
      </c>
      <c r="R171" s="1182" t="s">
        <v>1573</v>
      </c>
      <c r="S171" s="1182" t="s">
        <v>1577</v>
      </c>
      <c r="T171" s="1182" t="s">
        <v>1814</v>
      </c>
      <c r="U171" s="1182" t="s">
        <v>1815</v>
      </c>
      <c r="V171" s="1182">
        <v>0</v>
      </c>
      <c r="W171" s="1182">
        <v>0</v>
      </c>
      <c r="X171" s="1182">
        <v>0</v>
      </c>
      <c r="Y171" s="1183">
        <v>300</v>
      </c>
      <c r="Z171" s="1182" t="s">
        <v>1940</v>
      </c>
      <c r="AA171" s="1182" t="s">
        <v>1941</v>
      </c>
      <c r="AB171" s="1182">
        <v>300</v>
      </c>
      <c r="AC171" s="1182" t="s">
        <v>1942</v>
      </c>
      <c r="AD171" s="1182" t="s">
        <v>1577</v>
      </c>
      <c r="AE171" s="1182">
        <v>300</v>
      </c>
      <c r="AF171" s="1182" t="s">
        <v>1943</v>
      </c>
      <c r="AG171" s="1182" t="s">
        <v>1944</v>
      </c>
      <c r="AH171" s="1182">
        <v>0</v>
      </c>
      <c r="AI171" s="1182">
        <v>300</v>
      </c>
      <c r="AJ171" s="1182" t="s">
        <v>2295</v>
      </c>
      <c r="AL171" s="1186" t="s">
        <v>2296</v>
      </c>
      <c r="AM171" s="1182">
        <v>1</v>
      </c>
      <c r="AN171" s="1182">
        <v>0</v>
      </c>
      <c r="AO171" s="1182">
        <v>0</v>
      </c>
      <c r="AP171" s="1182">
        <v>0</v>
      </c>
      <c r="AQ171" s="1182" t="s">
        <v>1639</v>
      </c>
      <c r="AS171" s="1186" t="s">
        <v>1943</v>
      </c>
      <c r="AT171" s="1186" t="s">
        <v>1944</v>
      </c>
      <c r="AV171" s="1183">
        <v>138</v>
      </c>
      <c r="AW171" s="1183">
        <v>0</v>
      </c>
      <c r="AX171" s="1183">
        <v>0</v>
      </c>
      <c r="AY171" s="1538">
        <v>138</v>
      </c>
      <c r="AZ171" s="1183">
        <v>0</v>
      </c>
      <c r="BA171" s="1183">
        <v>162</v>
      </c>
      <c r="BB171" s="1540">
        <v>162</v>
      </c>
      <c r="BC171" s="1540">
        <v>300</v>
      </c>
      <c r="BD171" s="1540">
        <v>0</v>
      </c>
      <c r="BF171" s="1539">
        <f t="shared" si="49"/>
        <v>138</v>
      </c>
      <c r="BG171" s="1539">
        <f t="shared" si="50"/>
        <v>0</v>
      </c>
      <c r="BH171" s="1539">
        <f t="shared" si="51"/>
        <v>0</v>
      </c>
      <c r="BI171" s="1539">
        <f t="shared" si="52"/>
        <v>138</v>
      </c>
      <c r="BJ171" s="1539">
        <f t="shared" si="53"/>
        <v>0</v>
      </c>
      <c r="BK171" s="1539">
        <f t="shared" si="54"/>
        <v>162</v>
      </c>
      <c r="BL171" s="1539">
        <f t="shared" si="55"/>
        <v>162</v>
      </c>
      <c r="BM171" s="1539">
        <f t="shared" si="56"/>
        <v>300</v>
      </c>
      <c r="BO171" s="1183"/>
      <c r="BQ171" s="1182">
        <f t="shared" si="57"/>
        <v>0</v>
      </c>
      <c r="BR171" s="1182">
        <f t="shared" si="58"/>
        <v>0</v>
      </c>
      <c r="BS171" s="1182">
        <f t="shared" si="48"/>
        <v>0</v>
      </c>
      <c r="BT171" s="1182">
        <f t="shared" si="48"/>
        <v>0</v>
      </c>
    </row>
    <row r="172" spans="1:72" ht="13.5" customHeight="1">
      <c r="A172" s="1182" t="s">
        <v>1803</v>
      </c>
      <c r="B172" s="1182" t="s">
        <v>1804</v>
      </c>
      <c r="C172" s="1182" t="s">
        <v>1639</v>
      </c>
      <c r="D172" s="1182" t="s">
        <v>2092</v>
      </c>
      <c r="E172" s="1182" t="s">
        <v>2093</v>
      </c>
      <c r="F172" s="1182" t="s">
        <v>2297</v>
      </c>
      <c r="G172" s="1182" t="s">
        <v>2297</v>
      </c>
      <c r="H172" s="1182" t="s">
        <v>2076</v>
      </c>
      <c r="I172" s="1182" t="s">
        <v>1937</v>
      </c>
      <c r="J172" s="1182" t="s">
        <v>2298</v>
      </c>
      <c r="K172" s="1182" t="s">
        <v>1811</v>
      </c>
      <c r="L172" s="1182" t="s">
        <v>1812</v>
      </c>
      <c r="M172" s="1182" t="s">
        <v>1803</v>
      </c>
      <c r="N172" s="1182" t="s">
        <v>1939</v>
      </c>
      <c r="O172" s="1182" t="s">
        <v>1554</v>
      </c>
      <c r="P172" s="1182" t="s">
        <v>1575</v>
      </c>
      <c r="Q172" s="1182" t="s">
        <v>1574</v>
      </c>
      <c r="R172" s="1182" t="s">
        <v>1573</v>
      </c>
      <c r="S172" s="1182" t="s">
        <v>1577</v>
      </c>
      <c r="T172" s="1182" t="s">
        <v>1814</v>
      </c>
      <c r="U172" s="1182" t="s">
        <v>1815</v>
      </c>
      <c r="V172" s="1182">
        <v>0</v>
      </c>
      <c r="W172" s="1182">
        <v>0</v>
      </c>
      <c r="X172" s="1182">
        <v>0</v>
      </c>
      <c r="Y172" s="1183">
        <v>300</v>
      </c>
      <c r="Z172" s="1182" t="s">
        <v>1940</v>
      </c>
      <c r="AA172" s="1182" t="s">
        <v>1941</v>
      </c>
      <c r="AB172" s="1182">
        <v>300</v>
      </c>
      <c r="AC172" s="1182" t="s">
        <v>1942</v>
      </c>
      <c r="AD172" s="1182" t="s">
        <v>1577</v>
      </c>
      <c r="AE172" s="1182">
        <v>300</v>
      </c>
      <c r="AF172" s="1182" t="s">
        <v>1943</v>
      </c>
      <c r="AG172" s="1182" t="s">
        <v>1944</v>
      </c>
      <c r="AH172" s="1182">
        <v>0</v>
      </c>
      <c r="AI172" s="1182">
        <v>300</v>
      </c>
      <c r="AJ172" s="1182" t="s">
        <v>2299</v>
      </c>
      <c r="AL172" s="1186" t="s">
        <v>2300</v>
      </c>
      <c r="AM172" s="1182">
        <v>1</v>
      </c>
      <c r="AN172" s="1182">
        <v>0</v>
      </c>
      <c r="AO172" s="1182">
        <v>0</v>
      </c>
      <c r="AP172" s="1182">
        <v>0</v>
      </c>
      <c r="AQ172" s="1182" t="s">
        <v>1639</v>
      </c>
      <c r="AS172" s="1186" t="s">
        <v>1943</v>
      </c>
      <c r="AT172" s="1186" t="s">
        <v>1944</v>
      </c>
      <c r="AV172" s="1183">
        <v>138</v>
      </c>
      <c r="AW172" s="1183">
        <v>0</v>
      </c>
      <c r="AX172" s="1183">
        <v>0</v>
      </c>
      <c r="AY172" s="1538">
        <v>138</v>
      </c>
      <c r="AZ172" s="1183">
        <v>0</v>
      </c>
      <c r="BA172" s="1183">
        <v>162</v>
      </c>
      <c r="BB172" s="1540">
        <v>162</v>
      </c>
      <c r="BC172" s="1540">
        <v>300</v>
      </c>
      <c r="BD172" s="1540">
        <v>0</v>
      </c>
      <c r="BF172" s="1539">
        <f t="shared" si="49"/>
        <v>138</v>
      </c>
      <c r="BG172" s="1539">
        <f t="shared" si="50"/>
        <v>0</v>
      </c>
      <c r="BH172" s="1539">
        <f t="shared" si="51"/>
        <v>0</v>
      </c>
      <c r="BI172" s="1539">
        <f t="shared" si="52"/>
        <v>138</v>
      </c>
      <c r="BJ172" s="1539">
        <f t="shared" si="53"/>
        <v>0</v>
      </c>
      <c r="BK172" s="1539">
        <f t="shared" si="54"/>
        <v>162</v>
      </c>
      <c r="BL172" s="1539">
        <f t="shared" si="55"/>
        <v>162</v>
      </c>
      <c r="BM172" s="1539">
        <f t="shared" si="56"/>
        <v>300</v>
      </c>
      <c r="BO172" s="1183"/>
      <c r="BQ172" s="1182">
        <f t="shared" si="57"/>
        <v>0</v>
      </c>
      <c r="BR172" s="1182">
        <f t="shared" si="58"/>
        <v>0</v>
      </c>
      <c r="BS172" s="1182">
        <f t="shared" ref="BS172:BT222" si="59">AZ172*100/(100+$AT172)-BJ172</f>
        <v>0</v>
      </c>
      <c r="BT172" s="1182">
        <f t="shared" si="59"/>
        <v>0</v>
      </c>
    </row>
    <row r="173" spans="1:72" ht="13.5" customHeight="1">
      <c r="A173" s="1182" t="s">
        <v>1803</v>
      </c>
      <c r="B173" s="1182" t="s">
        <v>1804</v>
      </c>
      <c r="C173" s="1182" t="s">
        <v>1639</v>
      </c>
      <c r="D173" s="1182" t="s">
        <v>2092</v>
      </c>
      <c r="E173" s="1182" t="s">
        <v>2093</v>
      </c>
      <c r="F173" s="1182" t="s">
        <v>2297</v>
      </c>
      <c r="G173" s="1182" t="s">
        <v>2297</v>
      </c>
      <c r="H173" s="1182" t="s">
        <v>2076</v>
      </c>
      <c r="I173" s="1182" t="s">
        <v>1937</v>
      </c>
      <c r="J173" s="1182" t="s">
        <v>2298</v>
      </c>
      <c r="K173" s="1182" t="s">
        <v>1811</v>
      </c>
      <c r="L173" s="1182" t="s">
        <v>1956</v>
      </c>
      <c r="M173" s="1182" t="s">
        <v>1803</v>
      </c>
      <c r="N173" s="1182" t="s">
        <v>1939</v>
      </c>
      <c r="O173" s="1182" t="s">
        <v>1554</v>
      </c>
      <c r="P173" s="1182" t="s">
        <v>1575</v>
      </c>
      <c r="Q173" s="1182" t="s">
        <v>1574</v>
      </c>
      <c r="R173" s="1182" t="s">
        <v>1573</v>
      </c>
      <c r="S173" s="1182" t="s">
        <v>1577</v>
      </c>
      <c r="T173" s="1182" t="s">
        <v>1814</v>
      </c>
      <c r="U173" s="1182" t="s">
        <v>1815</v>
      </c>
      <c r="V173" s="1182">
        <v>0</v>
      </c>
      <c r="W173" s="1182">
        <v>0</v>
      </c>
      <c r="X173" s="1182">
        <v>0</v>
      </c>
      <c r="Y173" s="1183">
        <v>470</v>
      </c>
      <c r="Z173" s="1182" t="s">
        <v>1940</v>
      </c>
      <c r="AA173" s="1182" t="s">
        <v>1941</v>
      </c>
      <c r="AB173" s="1182">
        <v>470</v>
      </c>
      <c r="AC173" s="1182" t="s">
        <v>1942</v>
      </c>
      <c r="AD173" s="1182" t="s">
        <v>1577</v>
      </c>
      <c r="AE173" s="1182">
        <v>470</v>
      </c>
      <c r="AF173" s="1182" t="s">
        <v>1943</v>
      </c>
      <c r="AG173" s="1182" t="s">
        <v>1944</v>
      </c>
      <c r="AH173" s="1182">
        <v>0</v>
      </c>
      <c r="AI173" s="1182">
        <v>470</v>
      </c>
      <c r="AJ173" s="1182" t="s">
        <v>2301</v>
      </c>
      <c r="AL173" s="1186" t="s">
        <v>2302</v>
      </c>
      <c r="AM173" s="1182">
        <v>1</v>
      </c>
      <c r="AN173" s="1182">
        <v>0</v>
      </c>
      <c r="AO173" s="1182">
        <v>0</v>
      </c>
      <c r="AP173" s="1182">
        <v>0</v>
      </c>
      <c r="AQ173" s="1182" t="s">
        <v>1639</v>
      </c>
      <c r="AS173" s="1186" t="s">
        <v>1943</v>
      </c>
      <c r="AT173" s="1186" t="s">
        <v>1944</v>
      </c>
      <c r="AV173" s="1183">
        <v>216</v>
      </c>
      <c r="AW173" s="1183">
        <v>0</v>
      </c>
      <c r="AX173" s="1183">
        <v>0</v>
      </c>
      <c r="AY173" s="1538">
        <v>216</v>
      </c>
      <c r="AZ173" s="1183">
        <v>0</v>
      </c>
      <c r="BA173" s="1183">
        <v>254</v>
      </c>
      <c r="BB173" s="1540">
        <v>254</v>
      </c>
      <c r="BC173" s="1540">
        <v>470</v>
      </c>
      <c r="BD173" s="1540">
        <v>0</v>
      </c>
      <c r="BF173" s="1539">
        <f t="shared" si="49"/>
        <v>216</v>
      </c>
      <c r="BG173" s="1539">
        <f t="shared" si="50"/>
        <v>0</v>
      </c>
      <c r="BH173" s="1539">
        <f t="shared" si="51"/>
        <v>0</v>
      </c>
      <c r="BI173" s="1539">
        <f t="shared" si="52"/>
        <v>216</v>
      </c>
      <c r="BJ173" s="1539">
        <f t="shared" si="53"/>
        <v>0</v>
      </c>
      <c r="BK173" s="1539">
        <f t="shared" si="54"/>
        <v>254</v>
      </c>
      <c r="BL173" s="1539">
        <f t="shared" si="55"/>
        <v>254</v>
      </c>
      <c r="BM173" s="1539">
        <f t="shared" si="56"/>
        <v>470</v>
      </c>
      <c r="BO173" s="1183"/>
      <c r="BQ173" s="1182">
        <f t="shared" si="57"/>
        <v>0</v>
      </c>
      <c r="BR173" s="1182">
        <f t="shared" si="58"/>
        <v>0</v>
      </c>
      <c r="BS173" s="1182">
        <f t="shared" si="59"/>
        <v>0</v>
      </c>
      <c r="BT173" s="1182">
        <f t="shared" si="59"/>
        <v>0</v>
      </c>
    </row>
    <row r="174" spans="1:72" ht="13.5" customHeight="1">
      <c r="A174" s="1182" t="s">
        <v>1803</v>
      </c>
      <c r="B174" s="1182" t="s">
        <v>1804</v>
      </c>
      <c r="C174" s="1182" t="s">
        <v>1639</v>
      </c>
      <c r="D174" s="1182" t="s">
        <v>1967</v>
      </c>
      <c r="E174" s="1182" t="s">
        <v>1968</v>
      </c>
      <c r="F174" s="1182" t="s">
        <v>2088</v>
      </c>
      <c r="G174" s="1182" t="s">
        <v>2088</v>
      </c>
      <c r="H174" s="1182" t="s">
        <v>2076</v>
      </c>
      <c r="I174" s="1182" t="s">
        <v>1937</v>
      </c>
      <c r="J174" s="1182" t="s">
        <v>2089</v>
      </c>
      <c r="K174" s="1182" t="s">
        <v>1811</v>
      </c>
      <c r="L174" s="1182" t="s">
        <v>1812</v>
      </c>
      <c r="M174" s="1182" t="s">
        <v>1803</v>
      </c>
      <c r="N174" s="1182" t="s">
        <v>1939</v>
      </c>
      <c r="O174" s="1182" t="s">
        <v>1554</v>
      </c>
      <c r="P174" s="1182" t="s">
        <v>1575</v>
      </c>
      <c r="Q174" s="1182" t="s">
        <v>1574</v>
      </c>
      <c r="R174" s="1182" t="s">
        <v>1573</v>
      </c>
      <c r="S174" s="1182" t="s">
        <v>1577</v>
      </c>
      <c r="T174" s="1182" t="s">
        <v>1814</v>
      </c>
      <c r="U174" s="1182" t="s">
        <v>1815</v>
      </c>
      <c r="V174" s="1182">
        <v>0</v>
      </c>
      <c r="W174" s="1182">
        <v>0</v>
      </c>
      <c r="X174" s="1182">
        <v>0</v>
      </c>
      <c r="Y174" s="1183">
        <v>300</v>
      </c>
      <c r="Z174" s="1182" t="s">
        <v>1940</v>
      </c>
      <c r="AA174" s="1182" t="s">
        <v>1941</v>
      </c>
      <c r="AB174" s="1182">
        <v>300</v>
      </c>
      <c r="AC174" s="1182" t="s">
        <v>1942</v>
      </c>
      <c r="AD174" s="1182" t="s">
        <v>1577</v>
      </c>
      <c r="AE174" s="1182">
        <v>300</v>
      </c>
      <c r="AF174" s="1182" t="s">
        <v>1943</v>
      </c>
      <c r="AG174" s="1182" t="s">
        <v>1944</v>
      </c>
      <c r="AH174" s="1182">
        <v>0</v>
      </c>
      <c r="AI174" s="1182">
        <v>300</v>
      </c>
      <c r="AJ174" s="1182" t="s">
        <v>2090</v>
      </c>
      <c r="AL174" s="1186" t="s">
        <v>2091</v>
      </c>
      <c r="AM174" s="1182">
        <v>1</v>
      </c>
      <c r="AN174" s="1182">
        <v>0</v>
      </c>
      <c r="AO174" s="1182">
        <v>0</v>
      </c>
      <c r="AP174" s="1182">
        <v>0</v>
      </c>
      <c r="AQ174" s="1182" t="s">
        <v>1639</v>
      </c>
      <c r="AS174" s="1186" t="s">
        <v>1943</v>
      </c>
      <c r="AT174" s="1186" t="s">
        <v>1944</v>
      </c>
      <c r="AV174" s="1183">
        <v>138</v>
      </c>
      <c r="AW174" s="1183">
        <v>0</v>
      </c>
      <c r="AX174" s="1183">
        <v>0</v>
      </c>
      <c r="AY174" s="1538">
        <v>138</v>
      </c>
      <c r="AZ174" s="1183">
        <v>0</v>
      </c>
      <c r="BA174" s="1183">
        <v>162</v>
      </c>
      <c r="BB174" s="1540">
        <v>162</v>
      </c>
      <c r="BC174" s="1540">
        <v>300</v>
      </c>
      <c r="BD174" s="1540">
        <v>0</v>
      </c>
      <c r="BF174" s="1539">
        <f t="shared" si="49"/>
        <v>138</v>
      </c>
      <c r="BG174" s="1539">
        <f t="shared" si="50"/>
        <v>0</v>
      </c>
      <c r="BH174" s="1539">
        <f t="shared" si="51"/>
        <v>0</v>
      </c>
      <c r="BI174" s="1539">
        <f t="shared" si="52"/>
        <v>138</v>
      </c>
      <c r="BJ174" s="1539">
        <f t="shared" si="53"/>
        <v>0</v>
      </c>
      <c r="BK174" s="1539">
        <f t="shared" si="54"/>
        <v>162</v>
      </c>
      <c r="BL174" s="1539">
        <f t="shared" si="55"/>
        <v>162</v>
      </c>
      <c r="BM174" s="1539">
        <f t="shared" si="56"/>
        <v>300</v>
      </c>
      <c r="BO174" s="1183"/>
      <c r="BQ174" s="1182">
        <f t="shared" si="57"/>
        <v>0</v>
      </c>
      <c r="BR174" s="1182">
        <f t="shared" si="58"/>
        <v>0</v>
      </c>
      <c r="BS174" s="1182">
        <f t="shared" si="59"/>
        <v>0</v>
      </c>
      <c r="BT174" s="1182">
        <f t="shared" si="59"/>
        <v>0</v>
      </c>
    </row>
    <row r="175" spans="1:72" ht="13.5" customHeight="1">
      <c r="A175" s="1182" t="s">
        <v>1803</v>
      </c>
      <c r="B175" s="1182" t="s">
        <v>1804</v>
      </c>
      <c r="C175" s="1182" t="s">
        <v>1639</v>
      </c>
      <c r="D175" s="1182" t="s">
        <v>1915</v>
      </c>
      <c r="E175" s="1182" t="s">
        <v>1916</v>
      </c>
      <c r="F175" s="1182" t="s">
        <v>2080</v>
      </c>
      <c r="G175" s="1182" t="s">
        <v>2080</v>
      </c>
      <c r="H175" s="1182" t="s">
        <v>2076</v>
      </c>
      <c r="I175" s="1182" t="s">
        <v>1937</v>
      </c>
      <c r="J175" s="1182" t="s">
        <v>2081</v>
      </c>
      <c r="K175" s="1182" t="s">
        <v>1811</v>
      </c>
      <c r="L175" s="1182" t="s">
        <v>1812</v>
      </c>
      <c r="M175" s="1182" t="s">
        <v>1803</v>
      </c>
      <c r="N175" s="1182" t="s">
        <v>1939</v>
      </c>
      <c r="O175" s="1182" t="s">
        <v>1554</v>
      </c>
      <c r="P175" s="1182" t="s">
        <v>1575</v>
      </c>
      <c r="Q175" s="1182" t="s">
        <v>1574</v>
      </c>
      <c r="R175" s="1182" t="s">
        <v>1573</v>
      </c>
      <c r="S175" s="1182" t="s">
        <v>1577</v>
      </c>
      <c r="T175" s="1182" t="s">
        <v>1814</v>
      </c>
      <c r="U175" s="1182" t="s">
        <v>1815</v>
      </c>
      <c r="V175" s="1182">
        <v>0</v>
      </c>
      <c r="W175" s="1182">
        <v>0</v>
      </c>
      <c r="X175" s="1182">
        <v>0</v>
      </c>
      <c r="Y175" s="1183">
        <v>300</v>
      </c>
      <c r="Z175" s="1182" t="s">
        <v>1940</v>
      </c>
      <c r="AA175" s="1182" t="s">
        <v>1941</v>
      </c>
      <c r="AB175" s="1182">
        <v>300</v>
      </c>
      <c r="AC175" s="1182" t="s">
        <v>1942</v>
      </c>
      <c r="AD175" s="1182" t="s">
        <v>1577</v>
      </c>
      <c r="AE175" s="1182">
        <v>300</v>
      </c>
      <c r="AF175" s="1182" t="s">
        <v>1943</v>
      </c>
      <c r="AG175" s="1182" t="s">
        <v>1944</v>
      </c>
      <c r="AH175" s="1182">
        <v>0</v>
      </c>
      <c r="AI175" s="1182">
        <v>300</v>
      </c>
      <c r="AJ175" s="1182" t="s">
        <v>2082</v>
      </c>
      <c r="AL175" s="1186" t="s">
        <v>2083</v>
      </c>
      <c r="AM175" s="1182">
        <v>1</v>
      </c>
      <c r="AN175" s="1182">
        <v>0</v>
      </c>
      <c r="AO175" s="1182">
        <v>0</v>
      </c>
      <c r="AP175" s="1182">
        <v>0</v>
      </c>
      <c r="AQ175" s="1182" t="s">
        <v>1639</v>
      </c>
      <c r="AS175" s="1186" t="s">
        <v>1943</v>
      </c>
      <c r="AT175" s="1186" t="s">
        <v>1944</v>
      </c>
      <c r="AV175" s="1183">
        <v>138</v>
      </c>
      <c r="AW175" s="1183">
        <v>0</v>
      </c>
      <c r="AX175" s="1183">
        <v>0</v>
      </c>
      <c r="AY175" s="1538">
        <v>138</v>
      </c>
      <c r="AZ175" s="1183">
        <v>0</v>
      </c>
      <c r="BA175" s="1183">
        <v>162</v>
      </c>
      <c r="BB175" s="1540">
        <v>162</v>
      </c>
      <c r="BC175" s="1540">
        <v>300</v>
      </c>
      <c r="BD175" s="1540">
        <v>0</v>
      </c>
      <c r="BF175" s="1539">
        <f t="shared" si="49"/>
        <v>138</v>
      </c>
      <c r="BG175" s="1539">
        <f t="shared" si="50"/>
        <v>0</v>
      </c>
      <c r="BH175" s="1539">
        <f t="shared" si="51"/>
        <v>0</v>
      </c>
      <c r="BI175" s="1539">
        <f t="shared" si="52"/>
        <v>138</v>
      </c>
      <c r="BJ175" s="1539">
        <f t="shared" si="53"/>
        <v>0</v>
      </c>
      <c r="BK175" s="1539">
        <f t="shared" si="54"/>
        <v>162</v>
      </c>
      <c r="BL175" s="1539">
        <f t="shared" si="55"/>
        <v>162</v>
      </c>
      <c r="BM175" s="1539">
        <f t="shared" si="56"/>
        <v>300</v>
      </c>
      <c r="BO175" s="1183"/>
      <c r="BQ175" s="1182">
        <f t="shared" si="57"/>
        <v>0</v>
      </c>
      <c r="BR175" s="1182">
        <f t="shared" si="58"/>
        <v>0</v>
      </c>
      <c r="BS175" s="1182">
        <f t="shared" si="59"/>
        <v>0</v>
      </c>
      <c r="BT175" s="1182">
        <f t="shared" si="59"/>
        <v>0</v>
      </c>
    </row>
    <row r="176" spans="1:72" ht="13.5" customHeight="1">
      <c r="A176" s="1182" t="s">
        <v>1803</v>
      </c>
      <c r="B176" s="1182" t="s">
        <v>1804</v>
      </c>
      <c r="C176" s="1182" t="s">
        <v>1639</v>
      </c>
      <c r="D176" s="1182" t="s">
        <v>1915</v>
      </c>
      <c r="E176" s="1182" t="s">
        <v>1916</v>
      </c>
      <c r="F176" s="1182" t="s">
        <v>2107</v>
      </c>
      <c r="G176" s="1182" t="s">
        <v>2107</v>
      </c>
      <c r="H176" s="1182" t="s">
        <v>2076</v>
      </c>
      <c r="I176" s="1182" t="s">
        <v>1937</v>
      </c>
      <c r="J176" s="1182" t="s">
        <v>2108</v>
      </c>
      <c r="K176" s="1182" t="s">
        <v>1811</v>
      </c>
      <c r="L176" s="1182" t="s">
        <v>1812</v>
      </c>
      <c r="M176" s="1182" t="s">
        <v>1803</v>
      </c>
      <c r="N176" s="1182" t="s">
        <v>1939</v>
      </c>
      <c r="O176" s="1182" t="s">
        <v>1554</v>
      </c>
      <c r="P176" s="1182" t="s">
        <v>1575</v>
      </c>
      <c r="Q176" s="1182" t="s">
        <v>1574</v>
      </c>
      <c r="R176" s="1182" t="s">
        <v>1573</v>
      </c>
      <c r="S176" s="1182" t="s">
        <v>1577</v>
      </c>
      <c r="T176" s="1182" t="s">
        <v>1814</v>
      </c>
      <c r="U176" s="1182" t="s">
        <v>1815</v>
      </c>
      <c r="V176" s="1182">
        <v>0</v>
      </c>
      <c r="W176" s="1182">
        <v>0</v>
      </c>
      <c r="X176" s="1182">
        <v>0</v>
      </c>
      <c r="Y176" s="1183">
        <v>300</v>
      </c>
      <c r="Z176" s="1182" t="s">
        <v>1940</v>
      </c>
      <c r="AA176" s="1182" t="s">
        <v>1941</v>
      </c>
      <c r="AB176" s="1182">
        <v>300</v>
      </c>
      <c r="AC176" s="1182" t="s">
        <v>1942</v>
      </c>
      <c r="AD176" s="1182" t="s">
        <v>1577</v>
      </c>
      <c r="AE176" s="1182">
        <v>300</v>
      </c>
      <c r="AF176" s="1182" t="s">
        <v>1943</v>
      </c>
      <c r="AG176" s="1182" t="s">
        <v>1944</v>
      </c>
      <c r="AH176" s="1182">
        <v>0</v>
      </c>
      <c r="AI176" s="1182">
        <v>300</v>
      </c>
      <c r="AJ176" s="1182" t="s">
        <v>2109</v>
      </c>
      <c r="AL176" s="1186" t="s">
        <v>2110</v>
      </c>
      <c r="AM176" s="1182">
        <v>1</v>
      </c>
      <c r="AN176" s="1182">
        <v>0</v>
      </c>
      <c r="AO176" s="1182">
        <v>0</v>
      </c>
      <c r="AP176" s="1182">
        <v>0</v>
      </c>
      <c r="AQ176" s="1182" t="s">
        <v>1639</v>
      </c>
      <c r="AS176" s="1186" t="s">
        <v>1943</v>
      </c>
      <c r="AT176" s="1186" t="s">
        <v>1944</v>
      </c>
      <c r="AV176" s="1183">
        <v>138</v>
      </c>
      <c r="AW176" s="1183">
        <v>0</v>
      </c>
      <c r="AX176" s="1183">
        <v>0</v>
      </c>
      <c r="AY176" s="1538">
        <v>138</v>
      </c>
      <c r="AZ176" s="1183">
        <v>0</v>
      </c>
      <c r="BA176" s="1183">
        <v>162</v>
      </c>
      <c r="BB176" s="1540">
        <v>162</v>
      </c>
      <c r="BC176" s="1540">
        <v>300</v>
      </c>
      <c r="BD176" s="1540">
        <v>0</v>
      </c>
      <c r="BF176" s="1539">
        <f t="shared" si="49"/>
        <v>138</v>
      </c>
      <c r="BG176" s="1539">
        <f t="shared" si="50"/>
        <v>0</v>
      </c>
      <c r="BH176" s="1539">
        <f t="shared" si="51"/>
        <v>0</v>
      </c>
      <c r="BI176" s="1539">
        <f t="shared" si="52"/>
        <v>138</v>
      </c>
      <c r="BJ176" s="1539">
        <f t="shared" si="53"/>
        <v>0</v>
      </c>
      <c r="BK176" s="1539">
        <f t="shared" si="54"/>
        <v>162</v>
      </c>
      <c r="BL176" s="1539">
        <f t="shared" si="55"/>
        <v>162</v>
      </c>
      <c r="BM176" s="1539">
        <f t="shared" si="56"/>
        <v>300</v>
      </c>
      <c r="BO176" s="1183"/>
      <c r="BQ176" s="1182">
        <f t="shared" si="57"/>
        <v>0</v>
      </c>
      <c r="BR176" s="1182">
        <f t="shared" si="58"/>
        <v>0</v>
      </c>
      <c r="BS176" s="1182">
        <f t="shared" si="59"/>
        <v>0</v>
      </c>
      <c r="BT176" s="1182">
        <f t="shared" si="59"/>
        <v>0</v>
      </c>
    </row>
    <row r="177" spans="1:72" ht="13.5" customHeight="1">
      <c r="A177" s="1182" t="s">
        <v>1803</v>
      </c>
      <c r="B177" s="1182" t="s">
        <v>1804</v>
      </c>
      <c r="C177" s="1182" t="s">
        <v>1639</v>
      </c>
      <c r="D177" s="1182" t="s">
        <v>2092</v>
      </c>
      <c r="E177" s="1182" t="s">
        <v>2093</v>
      </c>
      <c r="F177" s="1182" t="s">
        <v>2111</v>
      </c>
      <c r="G177" s="1182" t="s">
        <v>2111</v>
      </c>
      <c r="H177" s="1182" t="s">
        <v>2076</v>
      </c>
      <c r="I177" s="1182" t="s">
        <v>1937</v>
      </c>
      <c r="J177" s="1182" t="s">
        <v>2112</v>
      </c>
      <c r="K177" s="1182" t="s">
        <v>1811</v>
      </c>
      <c r="L177" s="1182" t="s">
        <v>1812</v>
      </c>
      <c r="M177" s="1182" t="s">
        <v>1803</v>
      </c>
      <c r="N177" s="1182" t="s">
        <v>1939</v>
      </c>
      <c r="O177" s="1182" t="s">
        <v>1554</v>
      </c>
      <c r="P177" s="1182" t="s">
        <v>1575</v>
      </c>
      <c r="Q177" s="1182" t="s">
        <v>1574</v>
      </c>
      <c r="R177" s="1182" t="s">
        <v>1573</v>
      </c>
      <c r="S177" s="1182" t="s">
        <v>1577</v>
      </c>
      <c r="T177" s="1182" t="s">
        <v>1814</v>
      </c>
      <c r="U177" s="1182" t="s">
        <v>1815</v>
      </c>
      <c r="V177" s="1182">
        <v>0</v>
      </c>
      <c r="W177" s="1182">
        <v>0</v>
      </c>
      <c r="X177" s="1182">
        <v>0</v>
      </c>
      <c r="Y177" s="1183">
        <v>300</v>
      </c>
      <c r="Z177" s="1182" t="s">
        <v>1940</v>
      </c>
      <c r="AA177" s="1182" t="s">
        <v>1941</v>
      </c>
      <c r="AB177" s="1182">
        <v>300</v>
      </c>
      <c r="AC177" s="1182" t="s">
        <v>1942</v>
      </c>
      <c r="AD177" s="1182" t="s">
        <v>1577</v>
      </c>
      <c r="AE177" s="1182">
        <v>300</v>
      </c>
      <c r="AF177" s="1182" t="s">
        <v>1943</v>
      </c>
      <c r="AG177" s="1182" t="s">
        <v>1944</v>
      </c>
      <c r="AH177" s="1182">
        <v>0</v>
      </c>
      <c r="AI177" s="1182">
        <v>300</v>
      </c>
      <c r="AJ177" s="1182" t="s">
        <v>2113</v>
      </c>
      <c r="AL177" s="1186" t="s">
        <v>2114</v>
      </c>
      <c r="AM177" s="1182">
        <v>1</v>
      </c>
      <c r="AN177" s="1182">
        <v>0</v>
      </c>
      <c r="AO177" s="1182">
        <v>0</v>
      </c>
      <c r="AP177" s="1182">
        <v>0</v>
      </c>
      <c r="AQ177" s="1182" t="s">
        <v>1639</v>
      </c>
      <c r="AS177" s="1186" t="s">
        <v>1943</v>
      </c>
      <c r="AT177" s="1186" t="s">
        <v>1944</v>
      </c>
      <c r="AV177" s="1183">
        <v>138</v>
      </c>
      <c r="AW177" s="1183">
        <v>0</v>
      </c>
      <c r="AX177" s="1183">
        <v>0</v>
      </c>
      <c r="AY177" s="1538">
        <v>138</v>
      </c>
      <c r="AZ177" s="1183">
        <v>0</v>
      </c>
      <c r="BA177" s="1183">
        <v>162</v>
      </c>
      <c r="BB177" s="1540">
        <v>162</v>
      </c>
      <c r="BC177" s="1540">
        <v>300</v>
      </c>
      <c r="BD177" s="1540">
        <v>0</v>
      </c>
      <c r="BF177" s="1539">
        <f t="shared" si="49"/>
        <v>138</v>
      </c>
      <c r="BG177" s="1539">
        <f t="shared" si="50"/>
        <v>0</v>
      </c>
      <c r="BH177" s="1539">
        <f t="shared" si="51"/>
        <v>0</v>
      </c>
      <c r="BI177" s="1539">
        <f t="shared" si="52"/>
        <v>138</v>
      </c>
      <c r="BJ177" s="1539">
        <f t="shared" si="53"/>
        <v>0</v>
      </c>
      <c r="BK177" s="1539">
        <f t="shared" si="54"/>
        <v>162</v>
      </c>
      <c r="BL177" s="1539">
        <f t="shared" si="55"/>
        <v>162</v>
      </c>
      <c r="BM177" s="1539">
        <f t="shared" si="56"/>
        <v>300</v>
      </c>
      <c r="BO177" s="1183"/>
      <c r="BQ177" s="1182">
        <f t="shared" si="57"/>
        <v>0</v>
      </c>
      <c r="BR177" s="1182">
        <f t="shared" si="58"/>
        <v>0</v>
      </c>
      <c r="BS177" s="1182">
        <f t="shared" si="59"/>
        <v>0</v>
      </c>
      <c r="BT177" s="1182">
        <f t="shared" si="59"/>
        <v>0</v>
      </c>
    </row>
    <row r="178" spans="1:72" ht="13.5" customHeight="1">
      <c r="A178" s="1182" t="s">
        <v>1803</v>
      </c>
      <c r="B178" s="1182" t="s">
        <v>1804</v>
      </c>
      <c r="C178" s="1182" t="s">
        <v>1639</v>
      </c>
      <c r="D178" s="1182" t="s">
        <v>1915</v>
      </c>
      <c r="E178" s="1182" t="s">
        <v>1916</v>
      </c>
      <c r="F178" s="1182" t="s">
        <v>2084</v>
      </c>
      <c r="G178" s="1182" t="s">
        <v>2084</v>
      </c>
      <c r="H178" s="1182" t="s">
        <v>2076</v>
      </c>
      <c r="I178" s="1182" t="s">
        <v>1937</v>
      </c>
      <c r="J178" s="1182" t="s">
        <v>2085</v>
      </c>
      <c r="K178" s="1182" t="s">
        <v>1811</v>
      </c>
      <c r="L178" s="1182" t="s">
        <v>1812</v>
      </c>
      <c r="M178" s="1182" t="s">
        <v>1803</v>
      </c>
      <c r="N178" s="1182" t="s">
        <v>1939</v>
      </c>
      <c r="O178" s="1182" t="s">
        <v>1554</v>
      </c>
      <c r="P178" s="1182" t="s">
        <v>1575</v>
      </c>
      <c r="Q178" s="1182" t="s">
        <v>1574</v>
      </c>
      <c r="R178" s="1182" t="s">
        <v>1573</v>
      </c>
      <c r="S178" s="1182" t="s">
        <v>1577</v>
      </c>
      <c r="T178" s="1182" t="s">
        <v>1814</v>
      </c>
      <c r="U178" s="1182" t="s">
        <v>1815</v>
      </c>
      <c r="V178" s="1182">
        <v>0</v>
      </c>
      <c r="W178" s="1182">
        <v>0</v>
      </c>
      <c r="X178" s="1182">
        <v>0</v>
      </c>
      <c r="Y178" s="1183">
        <v>470</v>
      </c>
      <c r="Z178" s="1182" t="s">
        <v>1940</v>
      </c>
      <c r="AA178" s="1182" t="s">
        <v>1941</v>
      </c>
      <c r="AB178" s="1182">
        <v>470</v>
      </c>
      <c r="AC178" s="1182" t="s">
        <v>1942</v>
      </c>
      <c r="AD178" s="1182" t="s">
        <v>1577</v>
      </c>
      <c r="AE178" s="1182">
        <v>470</v>
      </c>
      <c r="AF178" s="1182" t="s">
        <v>1943</v>
      </c>
      <c r="AG178" s="1182" t="s">
        <v>1944</v>
      </c>
      <c r="AH178" s="1182">
        <v>0</v>
      </c>
      <c r="AI178" s="1182">
        <v>470</v>
      </c>
      <c r="AJ178" s="1182" t="s">
        <v>2086</v>
      </c>
      <c r="AL178" s="1186" t="s">
        <v>2087</v>
      </c>
      <c r="AM178" s="1182">
        <v>1</v>
      </c>
      <c r="AN178" s="1182">
        <v>0</v>
      </c>
      <c r="AO178" s="1182">
        <v>0</v>
      </c>
      <c r="AP178" s="1182">
        <v>0</v>
      </c>
      <c r="AQ178" s="1182" t="s">
        <v>1639</v>
      </c>
      <c r="AS178" s="1186" t="s">
        <v>1943</v>
      </c>
      <c r="AT178" s="1186" t="s">
        <v>1944</v>
      </c>
      <c r="AV178" s="1183">
        <v>216</v>
      </c>
      <c r="AW178" s="1183">
        <v>0</v>
      </c>
      <c r="AX178" s="1183">
        <v>0</v>
      </c>
      <c r="AY178" s="1538">
        <v>216</v>
      </c>
      <c r="AZ178" s="1183">
        <v>0</v>
      </c>
      <c r="BA178" s="1183">
        <v>254</v>
      </c>
      <c r="BB178" s="1540">
        <v>254</v>
      </c>
      <c r="BC178" s="1540">
        <v>470</v>
      </c>
      <c r="BD178" s="1540">
        <v>0</v>
      </c>
      <c r="BF178" s="1539">
        <f t="shared" si="49"/>
        <v>216</v>
      </c>
      <c r="BG178" s="1539">
        <f t="shared" si="50"/>
        <v>0</v>
      </c>
      <c r="BH178" s="1539">
        <f t="shared" si="51"/>
        <v>0</v>
      </c>
      <c r="BI178" s="1539">
        <f t="shared" si="52"/>
        <v>216</v>
      </c>
      <c r="BJ178" s="1539">
        <f t="shared" si="53"/>
        <v>0</v>
      </c>
      <c r="BK178" s="1539">
        <f t="shared" si="54"/>
        <v>254</v>
      </c>
      <c r="BL178" s="1539">
        <f t="shared" si="55"/>
        <v>254</v>
      </c>
      <c r="BM178" s="1539">
        <f t="shared" si="56"/>
        <v>470</v>
      </c>
      <c r="BO178" s="1183"/>
      <c r="BQ178" s="1182">
        <f t="shared" si="57"/>
        <v>0</v>
      </c>
      <c r="BR178" s="1182">
        <f t="shared" si="58"/>
        <v>0</v>
      </c>
      <c r="BS178" s="1182">
        <f t="shared" si="59"/>
        <v>0</v>
      </c>
      <c r="BT178" s="1182">
        <f t="shared" si="59"/>
        <v>0</v>
      </c>
    </row>
    <row r="179" spans="1:72" ht="13.5" customHeight="1">
      <c r="A179" s="1182" t="s">
        <v>1803</v>
      </c>
      <c r="B179" s="1182" t="s">
        <v>1804</v>
      </c>
      <c r="C179" s="1182" t="s">
        <v>1639</v>
      </c>
      <c r="D179" s="1182" t="s">
        <v>2092</v>
      </c>
      <c r="E179" s="1182" t="s">
        <v>2093</v>
      </c>
      <c r="F179" s="1182" t="s">
        <v>2191</v>
      </c>
      <c r="G179" s="1182" t="s">
        <v>2191</v>
      </c>
      <c r="H179" s="1182" t="s">
        <v>2095</v>
      </c>
      <c r="I179" s="1182" t="s">
        <v>1937</v>
      </c>
      <c r="J179" s="1182" t="s">
        <v>2192</v>
      </c>
      <c r="K179" s="1182" t="s">
        <v>1811</v>
      </c>
      <c r="L179" s="1182" t="s">
        <v>1812</v>
      </c>
      <c r="M179" s="1182" t="s">
        <v>1803</v>
      </c>
      <c r="N179" s="1182" t="s">
        <v>1939</v>
      </c>
      <c r="O179" s="1182" t="s">
        <v>1554</v>
      </c>
      <c r="P179" s="1182" t="s">
        <v>1575</v>
      </c>
      <c r="Q179" s="1182" t="s">
        <v>1574</v>
      </c>
      <c r="R179" s="1182" t="s">
        <v>1573</v>
      </c>
      <c r="S179" s="1182" t="s">
        <v>1577</v>
      </c>
      <c r="T179" s="1182" t="s">
        <v>1814</v>
      </c>
      <c r="U179" s="1182" t="s">
        <v>1815</v>
      </c>
      <c r="V179" s="1182">
        <v>0</v>
      </c>
      <c r="W179" s="1182">
        <v>0</v>
      </c>
      <c r="X179" s="1182">
        <v>0</v>
      </c>
      <c r="Y179" s="1183">
        <v>300</v>
      </c>
      <c r="Z179" s="1182" t="s">
        <v>1940</v>
      </c>
      <c r="AA179" s="1182" t="s">
        <v>1941</v>
      </c>
      <c r="AB179" s="1182">
        <v>300</v>
      </c>
      <c r="AC179" s="1182" t="s">
        <v>1942</v>
      </c>
      <c r="AD179" s="1182" t="s">
        <v>1577</v>
      </c>
      <c r="AE179" s="1182">
        <v>300</v>
      </c>
      <c r="AF179" s="1182" t="s">
        <v>1943</v>
      </c>
      <c r="AG179" s="1182" t="s">
        <v>1944</v>
      </c>
      <c r="AH179" s="1182">
        <v>0</v>
      </c>
      <c r="AI179" s="1182">
        <v>300</v>
      </c>
      <c r="AJ179" s="1182" t="s">
        <v>2193</v>
      </c>
      <c r="AL179" s="1186" t="s">
        <v>2194</v>
      </c>
      <c r="AM179" s="1182">
        <v>1</v>
      </c>
      <c r="AN179" s="1182">
        <v>0</v>
      </c>
      <c r="AO179" s="1182">
        <v>0</v>
      </c>
      <c r="AP179" s="1182">
        <v>0</v>
      </c>
      <c r="AQ179" s="1182" t="s">
        <v>1639</v>
      </c>
      <c r="AS179" s="1186" t="s">
        <v>1943</v>
      </c>
      <c r="AT179" s="1186" t="s">
        <v>1944</v>
      </c>
      <c r="AV179" s="1183">
        <v>138</v>
      </c>
      <c r="AW179" s="1183">
        <v>0</v>
      </c>
      <c r="AX179" s="1183">
        <v>0</v>
      </c>
      <c r="AY179" s="1538">
        <v>138</v>
      </c>
      <c r="AZ179" s="1183">
        <v>0</v>
      </c>
      <c r="BA179" s="1183">
        <v>162</v>
      </c>
      <c r="BB179" s="1540">
        <v>162</v>
      </c>
      <c r="BC179" s="1540">
        <v>300</v>
      </c>
      <c r="BD179" s="1540">
        <v>0</v>
      </c>
      <c r="BF179" s="1539">
        <f t="shared" si="49"/>
        <v>138</v>
      </c>
      <c r="BG179" s="1539">
        <f t="shared" si="50"/>
        <v>0</v>
      </c>
      <c r="BH179" s="1539">
        <f t="shared" si="51"/>
        <v>0</v>
      </c>
      <c r="BI179" s="1539">
        <f t="shared" si="52"/>
        <v>138</v>
      </c>
      <c r="BJ179" s="1539">
        <f t="shared" si="53"/>
        <v>0</v>
      </c>
      <c r="BK179" s="1539">
        <f t="shared" si="54"/>
        <v>162</v>
      </c>
      <c r="BL179" s="1539">
        <f t="shared" si="55"/>
        <v>162</v>
      </c>
      <c r="BM179" s="1539">
        <f t="shared" si="56"/>
        <v>300</v>
      </c>
      <c r="BO179" s="1183"/>
      <c r="BQ179" s="1182">
        <f t="shared" si="57"/>
        <v>0</v>
      </c>
      <c r="BR179" s="1182">
        <f t="shared" si="58"/>
        <v>0</v>
      </c>
      <c r="BS179" s="1182">
        <f t="shared" si="59"/>
        <v>0</v>
      </c>
      <c r="BT179" s="1182">
        <f t="shared" si="59"/>
        <v>0</v>
      </c>
    </row>
    <row r="180" spans="1:72" ht="13.5" customHeight="1">
      <c r="A180" s="1182" t="s">
        <v>1803</v>
      </c>
      <c r="B180" s="1182" t="s">
        <v>1804</v>
      </c>
      <c r="C180" s="1182" t="s">
        <v>1639</v>
      </c>
      <c r="D180" s="1182" t="s">
        <v>2092</v>
      </c>
      <c r="E180" s="1182" t="s">
        <v>2093</v>
      </c>
      <c r="F180" s="1182" t="s">
        <v>2191</v>
      </c>
      <c r="G180" s="1182" t="s">
        <v>2191</v>
      </c>
      <c r="H180" s="1182" t="s">
        <v>2095</v>
      </c>
      <c r="I180" s="1182" t="s">
        <v>1937</v>
      </c>
      <c r="J180" s="1182" t="s">
        <v>2192</v>
      </c>
      <c r="K180" s="1182" t="s">
        <v>1811</v>
      </c>
      <c r="L180" s="1182" t="s">
        <v>1956</v>
      </c>
      <c r="M180" s="1182" t="s">
        <v>1803</v>
      </c>
      <c r="N180" s="1182" t="s">
        <v>1939</v>
      </c>
      <c r="O180" s="1182" t="s">
        <v>1554</v>
      </c>
      <c r="P180" s="1182" t="s">
        <v>1575</v>
      </c>
      <c r="Q180" s="1182" t="s">
        <v>1574</v>
      </c>
      <c r="R180" s="1182" t="s">
        <v>1573</v>
      </c>
      <c r="S180" s="1182" t="s">
        <v>1577</v>
      </c>
      <c r="T180" s="1182" t="s">
        <v>1814</v>
      </c>
      <c r="U180" s="1182" t="s">
        <v>1815</v>
      </c>
      <c r="V180" s="1182">
        <v>0</v>
      </c>
      <c r="W180" s="1182">
        <v>0</v>
      </c>
      <c r="X180" s="1182">
        <v>0</v>
      </c>
      <c r="Y180" s="1183">
        <v>600</v>
      </c>
      <c r="Z180" s="1182" t="s">
        <v>1940</v>
      </c>
      <c r="AA180" s="1182" t="s">
        <v>1941</v>
      </c>
      <c r="AB180" s="1182">
        <v>600</v>
      </c>
      <c r="AC180" s="1182" t="s">
        <v>1942</v>
      </c>
      <c r="AD180" s="1182" t="s">
        <v>1577</v>
      </c>
      <c r="AE180" s="1182">
        <v>600</v>
      </c>
      <c r="AF180" s="1182" t="s">
        <v>1943</v>
      </c>
      <c r="AG180" s="1182" t="s">
        <v>1944</v>
      </c>
      <c r="AH180" s="1182">
        <v>0</v>
      </c>
      <c r="AI180" s="1182">
        <v>600</v>
      </c>
      <c r="AJ180" s="1182" t="s">
        <v>2195</v>
      </c>
      <c r="AL180" s="1186" t="s">
        <v>2196</v>
      </c>
      <c r="AM180" s="1182">
        <v>1</v>
      </c>
      <c r="AN180" s="1182">
        <v>0</v>
      </c>
      <c r="AO180" s="1182">
        <v>0</v>
      </c>
      <c r="AP180" s="1182">
        <v>0</v>
      </c>
      <c r="AQ180" s="1182" t="s">
        <v>1639</v>
      </c>
      <c r="AS180" s="1186" t="s">
        <v>1943</v>
      </c>
      <c r="AT180" s="1186" t="s">
        <v>1944</v>
      </c>
      <c r="AV180" s="1183">
        <v>276</v>
      </c>
      <c r="AW180" s="1183">
        <v>0</v>
      </c>
      <c r="AX180" s="1183">
        <v>0</v>
      </c>
      <c r="AY180" s="1538">
        <v>276</v>
      </c>
      <c r="AZ180" s="1183">
        <v>0</v>
      </c>
      <c r="BA180" s="1183">
        <v>324</v>
      </c>
      <c r="BB180" s="1540">
        <v>324</v>
      </c>
      <c r="BC180" s="1540">
        <v>600</v>
      </c>
      <c r="BD180" s="1540">
        <v>0</v>
      </c>
      <c r="BF180" s="1539">
        <f t="shared" si="49"/>
        <v>276</v>
      </c>
      <c r="BG180" s="1539">
        <f t="shared" si="50"/>
        <v>0</v>
      </c>
      <c r="BH180" s="1539">
        <f t="shared" si="51"/>
        <v>0</v>
      </c>
      <c r="BI180" s="1539">
        <f t="shared" si="52"/>
        <v>276</v>
      </c>
      <c r="BJ180" s="1539">
        <f t="shared" si="53"/>
        <v>0</v>
      </c>
      <c r="BK180" s="1539">
        <f t="shared" si="54"/>
        <v>324</v>
      </c>
      <c r="BL180" s="1539">
        <f t="shared" si="55"/>
        <v>324</v>
      </c>
      <c r="BM180" s="1539">
        <f t="shared" si="56"/>
        <v>600</v>
      </c>
      <c r="BO180" s="1183"/>
      <c r="BQ180" s="1182">
        <f t="shared" si="57"/>
        <v>0</v>
      </c>
      <c r="BR180" s="1182">
        <f t="shared" si="58"/>
        <v>0</v>
      </c>
      <c r="BS180" s="1182">
        <f t="shared" si="59"/>
        <v>0</v>
      </c>
      <c r="BT180" s="1182">
        <f t="shared" si="59"/>
        <v>0</v>
      </c>
    </row>
    <row r="181" spans="1:72" ht="13.5" customHeight="1">
      <c r="A181" s="1182" t="s">
        <v>1803</v>
      </c>
      <c r="B181" s="1182" t="s">
        <v>1804</v>
      </c>
      <c r="C181" s="1182" t="s">
        <v>1639</v>
      </c>
      <c r="D181" s="1182" t="s">
        <v>2092</v>
      </c>
      <c r="E181" s="1182" t="s">
        <v>2093</v>
      </c>
      <c r="F181" s="1182" t="s">
        <v>2197</v>
      </c>
      <c r="G181" s="1182" t="s">
        <v>2197</v>
      </c>
      <c r="H181" s="1182" t="s">
        <v>2095</v>
      </c>
      <c r="I181" s="1182" t="s">
        <v>1937</v>
      </c>
      <c r="J181" s="1182" t="s">
        <v>2198</v>
      </c>
      <c r="K181" s="1182" t="s">
        <v>1811</v>
      </c>
      <c r="L181" s="1182" t="s">
        <v>1812</v>
      </c>
      <c r="M181" s="1182" t="s">
        <v>1803</v>
      </c>
      <c r="N181" s="1182" t="s">
        <v>1939</v>
      </c>
      <c r="O181" s="1182" t="s">
        <v>1554</v>
      </c>
      <c r="P181" s="1182" t="s">
        <v>1575</v>
      </c>
      <c r="Q181" s="1182" t="s">
        <v>1574</v>
      </c>
      <c r="R181" s="1182" t="s">
        <v>1573</v>
      </c>
      <c r="S181" s="1182" t="s">
        <v>1577</v>
      </c>
      <c r="T181" s="1182" t="s">
        <v>1814</v>
      </c>
      <c r="U181" s="1182" t="s">
        <v>1815</v>
      </c>
      <c r="V181" s="1182">
        <v>0</v>
      </c>
      <c r="W181" s="1182">
        <v>0</v>
      </c>
      <c r="X181" s="1182">
        <v>0</v>
      </c>
      <c r="Y181" s="1183">
        <v>600</v>
      </c>
      <c r="Z181" s="1182" t="s">
        <v>1940</v>
      </c>
      <c r="AA181" s="1182" t="s">
        <v>1941</v>
      </c>
      <c r="AB181" s="1182">
        <v>600</v>
      </c>
      <c r="AC181" s="1182" t="s">
        <v>1942</v>
      </c>
      <c r="AD181" s="1182" t="s">
        <v>1577</v>
      </c>
      <c r="AE181" s="1182">
        <v>600</v>
      </c>
      <c r="AF181" s="1182" t="s">
        <v>1943</v>
      </c>
      <c r="AG181" s="1182" t="s">
        <v>1944</v>
      </c>
      <c r="AH181" s="1182">
        <v>0</v>
      </c>
      <c r="AI181" s="1182">
        <v>600</v>
      </c>
      <c r="AJ181" s="1182" t="s">
        <v>2199</v>
      </c>
      <c r="AL181" s="1186" t="s">
        <v>2200</v>
      </c>
      <c r="AM181" s="1182">
        <v>1</v>
      </c>
      <c r="AN181" s="1182">
        <v>0</v>
      </c>
      <c r="AO181" s="1182">
        <v>0</v>
      </c>
      <c r="AP181" s="1182">
        <v>0</v>
      </c>
      <c r="AQ181" s="1182" t="s">
        <v>1639</v>
      </c>
      <c r="AS181" s="1186" t="s">
        <v>1943</v>
      </c>
      <c r="AT181" s="1186" t="s">
        <v>1944</v>
      </c>
      <c r="AV181" s="1183">
        <v>276</v>
      </c>
      <c r="AW181" s="1183">
        <v>0</v>
      </c>
      <c r="AX181" s="1183">
        <v>0</v>
      </c>
      <c r="AY181" s="1538">
        <v>276</v>
      </c>
      <c r="AZ181" s="1183">
        <v>0</v>
      </c>
      <c r="BA181" s="1183">
        <v>324</v>
      </c>
      <c r="BB181" s="1540">
        <v>324</v>
      </c>
      <c r="BC181" s="1540">
        <v>600</v>
      </c>
      <c r="BD181" s="1540">
        <v>0</v>
      </c>
      <c r="BF181" s="1539">
        <f t="shared" si="49"/>
        <v>276</v>
      </c>
      <c r="BG181" s="1539">
        <f t="shared" si="50"/>
        <v>0</v>
      </c>
      <c r="BH181" s="1539">
        <f t="shared" si="51"/>
        <v>0</v>
      </c>
      <c r="BI181" s="1539">
        <f t="shared" si="52"/>
        <v>276</v>
      </c>
      <c r="BJ181" s="1539">
        <f t="shared" si="53"/>
        <v>0</v>
      </c>
      <c r="BK181" s="1539">
        <f t="shared" si="54"/>
        <v>324</v>
      </c>
      <c r="BL181" s="1539">
        <f t="shared" si="55"/>
        <v>324</v>
      </c>
      <c r="BM181" s="1539">
        <f t="shared" si="56"/>
        <v>600</v>
      </c>
      <c r="BO181" s="1183"/>
      <c r="BQ181" s="1182">
        <f t="shared" si="57"/>
        <v>0</v>
      </c>
      <c r="BR181" s="1182">
        <f t="shared" si="58"/>
        <v>0</v>
      </c>
      <c r="BS181" s="1182">
        <f t="shared" si="59"/>
        <v>0</v>
      </c>
      <c r="BT181" s="1182">
        <f t="shared" si="59"/>
        <v>0</v>
      </c>
    </row>
    <row r="182" spans="1:72" ht="13.5" customHeight="1">
      <c r="A182" s="1182" t="s">
        <v>1803</v>
      </c>
      <c r="B182" s="1182" t="s">
        <v>1804</v>
      </c>
      <c r="C182" s="1182" t="s">
        <v>1639</v>
      </c>
      <c r="D182" s="1182" t="s">
        <v>2092</v>
      </c>
      <c r="E182" s="1182" t="s">
        <v>2093</v>
      </c>
      <c r="F182" s="1182" t="s">
        <v>2152</v>
      </c>
      <c r="G182" s="1182" t="s">
        <v>2152</v>
      </c>
      <c r="H182" s="1182" t="s">
        <v>2095</v>
      </c>
      <c r="I182" s="1182" t="s">
        <v>1937</v>
      </c>
      <c r="J182" s="1182" t="s">
        <v>2188</v>
      </c>
      <c r="K182" s="1182" t="s">
        <v>1811</v>
      </c>
      <c r="L182" s="1182" t="s">
        <v>1812</v>
      </c>
      <c r="M182" s="1182" t="s">
        <v>1803</v>
      </c>
      <c r="N182" s="1182" t="s">
        <v>1939</v>
      </c>
      <c r="O182" s="1182" t="s">
        <v>1554</v>
      </c>
      <c r="P182" s="1182" t="s">
        <v>1575</v>
      </c>
      <c r="Q182" s="1182" t="s">
        <v>1574</v>
      </c>
      <c r="R182" s="1182" t="s">
        <v>1573</v>
      </c>
      <c r="S182" s="1182" t="s">
        <v>1577</v>
      </c>
      <c r="T182" s="1182" t="s">
        <v>1814</v>
      </c>
      <c r="U182" s="1182" t="s">
        <v>1815</v>
      </c>
      <c r="V182" s="1182">
        <v>0</v>
      </c>
      <c r="W182" s="1182">
        <v>0</v>
      </c>
      <c r="X182" s="1182">
        <v>0</v>
      </c>
      <c r="Y182" s="1183">
        <v>600</v>
      </c>
      <c r="Z182" s="1182" t="s">
        <v>1940</v>
      </c>
      <c r="AA182" s="1182" t="s">
        <v>1941</v>
      </c>
      <c r="AB182" s="1182">
        <v>600</v>
      </c>
      <c r="AC182" s="1182" t="s">
        <v>1942</v>
      </c>
      <c r="AD182" s="1182" t="s">
        <v>1577</v>
      </c>
      <c r="AE182" s="1182">
        <v>600</v>
      </c>
      <c r="AF182" s="1182" t="s">
        <v>1943</v>
      </c>
      <c r="AG182" s="1182" t="s">
        <v>1944</v>
      </c>
      <c r="AH182" s="1182">
        <v>0</v>
      </c>
      <c r="AI182" s="1182">
        <v>600</v>
      </c>
      <c r="AJ182" s="1182" t="s">
        <v>2189</v>
      </c>
      <c r="AL182" s="1186" t="s">
        <v>2190</v>
      </c>
      <c r="AM182" s="1182">
        <v>1</v>
      </c>
      <c r="AN182" s="1182">
        <v>0</v>
      </c>
      <c r="AO182" s="1182">
        <v>0</v>
      </c>
      <c r="AP182" s="1182">
        <v>0</v>
      </c>
      <c r="AQ182" s="1182" t="s">
        <v>1639</v>
      </c>
      <c r="AS182" s="1186" t="s">
        <v>1943</v>
      </c>
      <c r="AT182" s="1186" t="s">
        <v>1944</v>
      </c>
      <c r="AV182" s="1183">
        <v>276</v>
      </c>
      <c r="AW182" s="1183">
        <v>0</v>
      </c>
      <c r="AX182" s="1183">
        <v>0</v>
      </c>
      <c r="AY182" s="1538">
        <v>276</v>
      </c>
      <c r="AZ182" s="1183">
        <v>0</v>
      </c>
      <c r="BA182" s="1183">
        <v>324</v>
      </c>
      <c r="BB182" s="1540">
        <v>324</v>
      </c>
      <c r="BC182" s="1540">
        <v>600</v>
      </c>
      <c r="BD182" s="1540">
        <v>0</v>
      </c>
      <c r="BF182" s="1539">
        <f t="shared" si="49"/>
        <v>276</v>
      </c>
      <c r="BG182" s="1539">
        <f t="shared" si="50"/>
        <v>0</v>
      </c>
      <c r="BH182" s="1539">
        <f t="shared" si="51"/>
        <v>0</v>
      </c>
      <c r="BI182" s="1539">
        <f t="shared" si="52"/>
        <v>276</v>
      </c>
      <c r="BJ182" s="1539">
        <f t="shared" si="53"/>
        <v>0</v>
      </c>
      <c r="BK182" s="1539">
        <f t="shared" si="54"/>
        <v>324</v>
      </c>
      <c r="BL182" s="1539">
        <f t="shared" si="55"/>
        <v>324</v>
      </c>
      <c r="BM182" s="1539">
        <f t="shared" si="56"/>
        <v>600</v>
      </c>
      <c r="BO182" s="1183"/>
      <c r="BQ182" s="1182">
        <f t="shared" si="57"/>
        <v>0</v>
      </c>
      <c r="BR182" s="1182">
        <f t="shared" si="58"/>
        <v>0</v>
      </c>
      <c r="BS182" s="1182">
        <f t="shared" si="59"/>
        <v>0</v>
      </c>
      <c r="BT182" s="1182">
        <f t="shared" si="59"/>
        <v>0</v>
      </c>
    </row>
    <row r="183" spans="1:72" ht="13.5" customHeight="1">
      <c r="A183" s="1182" t="s">
        <v>1803</v>
      </c>
      <c r="B183" s="1182" t="s">
        <v>1804</v>
      </c>
      <c r="C183" s="1182" t="s">
        <v>1639</v>
      </c>
      <c r="D183" s="1182" t="s">
        <v>1915</v>
      </c>
      <c r="E183" s="1182" t="s">
        <v>1916</v>
      </c>
      <c r="F183" s="1182" t="s">
        <v>2075</v>
      </c>
      <c r="G183" s="1182" t="s">
        <v>2075</v>
      </c>
      <c r="H183" s="1182" t="s">
        <v>2076</v>
      </c>
      <c r="I183" s="1182" t="s">
        <v>1937</v>
      </c>
      <c r="J183" s="1182" t="s">
        <v>2077</v>
      </c>
      <c r="K183" s="1182" t="s">
        <v>1811</v>
      </c>
      <c r="L183" s="1182" t="s">
        <v>1812</v>
      </c>
      <c r="M183" s="1182" t="s">
        <v>1803</v>
      </c>
      <c r="N183" s="1182" t="s">
        <v>1939</v>
      </c>
      <c r="O183" s="1182" t="s">
        <v>1554</v>
      </c>
      <c r="P183" s="1182" t="s">
        <v>1575</v>
      </c>
      <c r="Q183" s="1182" t="s">
        <v>1574</v>
      </c>
      <c r="R183" s="1182" t="s">
        <v>1573</v>
      </c>
      <c r="S183" s="1182" t="s">
        <v>1577</v>
      </c>
      <c r="T183" s="1182" t="s">
        <v>1814</v>
      </c>
      <c r="U183" s="1182" t="s">
        <v>1815</v>
      </c>
      <c r="V183" s="1182">
        <v>0</v>
      </c>
      <c r="W183" s="1182">
        <v>0</v>
      </c>
      <c r="X183" s="1182">
        <v>0</v>
      </c>
      <c r="Y183" s="1183">
        <v>300</v>
      </c>
      <c r="Z183" s="1182" t="s">
        <v>1940</v>
      </c>
      <c r="AA183" s="1182" t="s">
        <v>1941</v>
      </c>
      <c r="AB183" s="1182">
        <v>300</v>
      </c>
      <c r="AC183" s="1182" t="s">
        <v>1942</v>
      </c>
      <c r="AD183" s="1182" t="s">
        <v>1577</v>
      </c>
      <c r="AE183" s="1182">
        <v>300</v>
      </c>
      <c r="AF183" s="1182" t="s">
        <v>1943</v>
      </c>
      <c r="AG183" s="1182" t="s">
        <v>1944</v>
      </c>
      <c r="AH183" s="1182">
        <v>0</v>
      </c>
      <c r="AI183" s="1182">
        <v>300</v>
      </c>
      <c r="AJ183" s="1182" t="s">
        <v>2078</v>
      </c>
      <c r="AL183" s="1186" t="s">
        <v>2079</v>
      </c>
      <c r="AM183" s="1182">
        <v>1</v>
      </c>
      <c r="AN183" s="1182">
        <v>0</v>
      </c>
      <c r="AO183" s="1182">
        <v>0</v>
      </c>
      <c r="AP183" s="1182">
        <v>0</v>
      </c>
      <c r="AQ183" s="1182" t="s">
        <v>1639</v>
      </c>
      <c r="AS183" s="1186" t="s">
        <v>1943</v>
      </c>
      <c r="AT183" s="1186" t="s">
        <v>1944</v>
      </c>
      <c r="AV183" s="1183">
        <v>138</v>
      </c>
      <c r="AW183" s="1183">
        <v>0</v>
      </c>
      <c r="AX183" s="1183">
        <v>0</v>
      </c>
      <c r="AY183" s="1538">
        <v>138</v>
      </c>
      <c r="AZ183" s="1183">
        <v>0</v>
      </c>
      <c r="BA183" s="1183">
        <v>162</v>
      </c>
      <c r="BB183" s="1540">
        <v>162</v>
      </c>
      <c r="BC183" s="1540">
        <v>300</v>
      </c>
      <c r="BD183" s="1540">
        <v>0</v>
      </c>
      <c r="BF183" s="1539">
        <f t="shared" si="49"/>
        <v>138</v>
      </c>
      <c r="BG183" s="1539">
        <f t="shared" si="50"/>
        <v>0</v>
      </c>
      <c r="BH183" s="1539">
        <f t="shared" si="51"/>
        <v>0</v>
      </c>
      <c r="BI183" s="1539">
        <f t="shared" si="52"/>
        <v>138</v>
      </c>
      <c r="BJ183" s="1539">
        <f t="shared" si="53"/>
        <v>0</v>
      </c>
      <c r="BK183" s="1539">
        <f t="shared" si="54"/>
        <v>162</v>
      </c>
      <c r="BL183" s="1539">
        <f t="shared" si="55"/>
        <v>162</v>
      </c>
      <c r="BM183" s="1539">
        <f t="shared" si="56"/>
        <v>300</v>
      </c>
      <c r="BO183" s="1183"/>
      <c r="BQ183" s="1182">
        <f t="shared" si="57"/>
        <v>0</v>
      </c>
      <c r="BR183" s="1182">
        <f t="shared" si="58"/>
        <v>0</v>
      </c>
      <c r="BS183" s="1182">
        <f t="shared" si="59"/>
        <v>0</v>
      </c>
      <c r="BT183" s="1182">
        <f t="shared" si="59"/>
        <v>0</v>
      </c>
    </row>
    <row r="184" spans="1:72" ht="13.5" customHeight="1">
      <c r="A184" s="1182" t="s">
        <v>1803</v>
      </c>
      <c r="B184" s="1182" t="s">
        <v>1804</v>
      </c>
      <c r="C184" s="1182" t="s">
        <v>1639</v>
      </c>
      <c r="D184" s="1182" t="s">
        <v>2092</v>
      </c>
      <c r="E184" s="1182" t="s">
        <v>2093</v>
      </c>
      <c r="F184" s="1182" t="s">
        <v>2094</v>
      </c>
      <c r="G184" s="1182" t="s">
        <v>2094</v>
      </c>
      <c r="H184" s="1182" t="s">
        <v>2095</v>
      </c>
      <c r="I184" s="1182" t="s">
        <v>1937</v>
      </c>
      <c r="J184" s="1182" t="s">
        <v>2096</v>
      </c>
      <c r="K184" s="1182" t="s">
        <v>1811</v>
      </c>
      <c r="L184" s="1182" t="s">
        <v>1812</v>
      </c>
      <c r="M184" s="1182" t="s">
        <v>1803</v>
      </c>
      <c r="N184" s="1182" t="s">
        <v>1939</v>
      </c>
      <c r="O184" s="1182" t="s">
        <v>1554</v>
      </c>
      <c r="P184" s="1182" t="s">
        <v>1575</v>
      </c>
      <c r="Q184" s="1182" t="s">
        <v>1574</v>
      </c>
      <c r="R184" s="1182" t="s">
        <v>1573</v>
      </c>
      <c r="S184" s="1182" t="s">
        <v>1577</v>
      </c>
      <c r="T184" s="1182" t="s">
        <v>1814</v>
      </c>
      <c r="U184" s="1182" t="s">
        <v>1815</v>
      </c>
      <c r="V184" s="1182">
        <v>0</v>
      </c>
      <c r="W184" s="1182">
        <v>0</v>
      </c>
      <c r="X184" s="1182">
        <v>0</v>
      </c>
      <c r="Y184" s="1183">
        <v>300</v>
      </c>
      <c r="Z184" s="1182" t="s">
        <v>1940</v>
      </c>
      <c r="AA184" s="1182" t="s">
        <v>1941</v>
      </c>
      <c r="AB184" s="1182">
        <v>300</v>
      </c>
      <c r="AC184" s="1182" t="s">
        <v>1942</v>
      </c>
      <c r="AD184" s="1182" t="s">
        <v>1577</v>
      </c>
      <c r="AE184" s="1182">
        <v>300</v>
      </c>
      <c r="AF184" s="1182" t="s">
        <v>1943</v>
      </c>
      <c r="AG184" s="1182" t="s">
        <v>1944</v>
      </c>
      <c r="AH184" s="1182">
        <v>0</v>
      </c>
      <c r="AI184" s="1182">
        <v>300</v>
      </c>
      <c r="AJ184" s="1182" t="s">
        <v>2097</v>
      </c>
      <c r="AL184" s="1186" t="s">
        <v>2098</v>
      </c>
      <c r="AM184" s="1182">
        <v>1</v>
      </c>
      <c r="AN184" s="1182">
        <v>0</v>
      </c>
      <c r="AO184" s="1182">
        <v>0</v>
      </c>
      <c r="AP184" s="1182">
        <v>0</v>
      </c>
      <c r="AQ184" s="1182" t="s">
        <v>1639</v>
      </c>
      <c r="AS184" s="1186" t="s">
        <v>1943</v>
      </c>
      <c r="AT184" s="1186" t="s">
        <v>1944</v>
      </c>
      <c r="AV184" s="1183">
        <v>138</v>
      </c>
      <c r="AW184" s="1183">
        <v>0</v>
      </c>
      <c r="AX184" s="1183">
        <v>0</v>
      </c>
      <c r="AY184" s="1538">
        <v>138</v>
      </c>
      <c r="AZ184" s="1183">
        <v>0</v>
      </c>
      <c r="BA184" s="1183">
        <v>162</v>
      </c>
      <c r="BB184" s="1540">
        <v>162</v>
      </c>
      <c r="BC184" s="1540">
        <v>300</v>
      </c>
      <c r="BD184" s="1540">
        <v>0</v>
      </c>
      <c r="BF184" s="1539">
        <f t="shared" si="49"/>
        <v>138</v>
      </c>
      <c r="BG184" s="1539">
        <f t="shared" si="50"/>
        <v>0</v>
      </c>
      <c r="BH184" s="1539">
        <f t="shared" si="51"/>
        <v>0</v>
      </c>
      <c r="BI184" s="1539">
        <f t="shared" si="52"/>
        <v>138</v>
      </c>
      <c r="BJ184" s="1539">
        <f t="shared" si="53"/>
        <v>0</v>
      </c>
      <c r="BK184" s="1539">
        <f t="shared" si="54"/>
        <v>162</v>
      </c>
      <c r="BL184" s="1539">
        <f t="shared" si="55"/>
        <v>162</v>
      </c>
      <c r="BM184" s="1539">
        <f t="shared" si="56"/>
        <v>300</v>
      </c>
      <c r="BO184" s="1183"/>
      <c r="BQ184" s="1182">
        <f t="shared" si="57"/>
        <v>0</v>
      </c>
      <c r="BR184" s="1182">
        <f t="shared" si="58"/>
        <v>0</v>
      </c>
      <c r="BS184" s="1182">
        <f t="shared" si="59"/>
        <v>0</v>
      </c>
      <c r="BT184" s="1182">
        <f t="shared" si="59"/>
        <v>0</v>
      </c>
    </row>
    <row r="185" spans="1:72" ht="13.5" customHeight="1">
      <c r="A185" s="1182" t="s">
        <v>1803</v>
      </c>
      <c r="B185" s="1182" t="s">
        <v>1804</v>
      </c>
      <c r="C185" s="1182" t="s">
        <v>1639</v>
      </c>
      <c r="D185" s="1182" t="s">
        <v>1915</v>
      </c>
      <c r="E185" s="1182" t="s">
        <v>1916</v>
      </c>
      <c r="F185" s="1182" t="s">
        <v>2115</v>
      </c>
      <c r="G185" s="1182" t="s">
        <v>2115</v>
      </c>
      <c r="H185" s="1182" t="s">
        <v>2095</v>
      </c>
      <c r="I185" s="1182" t="s">
        <v>1937</v>
      </c>
      <c r="J185" s="1182" t="s">
        <v>2116</v>
      </c>
      <c r="K185" s="1182" t="s">
        <v>1811</v>
      </c>
      <c r="L185" s="1182" t="s">
        <v>1812</v>
      </c>
      <c r="M185" s="1182" t="s">
        <v>1803</v>
      </c>
      <c r="N185" s="1182" t="s">
        <v>1939</v>
      </c>
      <c r="O185" s="1182" t="s">
        <v>1554</v>
      </c>
      <c r="P185" s="1182" t="s">
        <v>1575</v>
      </c>
      <c r="Q185" s="1182" t="s">
        <v>1574</v>
      </c>
      <c r="R185" s="1182" t="s">
        <v>1573</v>
      </c>
      <c r="S185" s="1182" t="s">
        <v>1577</v>
      </c>
      <c r="T185" s="1182" t="s">
        <v>1814</v>
      </c>
      <c r="U185" s="1182" t="s">
        <v>1815</v>
      </c>
      <c r="V185" s="1182">
        <v>0</v>
      </c>
      <c r="W185" s="1182">
        <v>0</v>
      </c>
      <c r="X185" s="1182">
        <v>0</v>
      </c>
      <c r="Y185" s="1183">
        <v>600</v>
      </c>
      <c r="Z185" s="1182" t="s">
        <v>1940</v>
      </c>
      <c r="AA185" s="1182" t="s">
        <v>1941</v>
      </c>
      <c r="AB185" s="1182">
        <v>600</v>
      </c>
      <c r="AC185" s="1182" t="s">
        <v>1942</v>
      </c>
      <c r="AD185" s="1182" t="s">
        <v>1577</v>
      </c>
      <c r="AE185" s="1182">
        <v>600</v>
      </c>
      <c r="AF185" s="1182" t="s">
        <v>1943</v>
      </c>
      <c r="AG185" s="1182" t="s">
        <v>1944</v>
      </c>
      <c r="AH185" s="1182">
        <v>0</v>
      </c>
      <c r="AI185" s="1182">
        <v>600</v>
      </c>
      <c r="AJ185" s="1182" t="s">
        <v>2117</v>
      </c>
      <c r="AL185" s="1186" t="s">
        <v>2118</v>
      </c>
      <c r="AM185" s="1182">
        <v>1</v>
      </c>
      <c r="AN185" s="1182">
        <v>0</v>
      </c>
      <c r="AO185" s="1182">
        <v>0</v>
      </c>
      <c r="AP185" s="1182">
        <v>0</v>
      </c>
      <c r="AQ185" s="1182" t="s">
        <v>1639</v>
      </c>
      <c r="AS185" s="1186" t="s">
        <v>1943</v>
      </c>
      <c r="AT185" s="1186" t="s">
        <v>1944</v>
      </c>
      <c r="AV185" s="1183">
        <v>276</v>
      </c>
      <c r="AW185" s="1183">
        <v>0</v>
      </c>
      <c r="AX185" s="1183">
        <v>0</v>
      </c>
      <c r="AY185" s="1538">
        <v>276</v>
      </c>
      <c r="AZ185" s="1183">
        <v>0</v>
      </c>
      <c r="BA185" s="1183">
        <v>324</v>
      </c>
      <c r="BB185" s="1540">
        <v>324</v>
      </c>
      <c r="BC185" s="1540">
        <v>600</v>
      </c>
      <c r="BD185" s="1540">
        <v>0</v>
      </c>
      <c r="BF185" s="1539">
        <f t="shared" si="49"/>
        <v>276</v>
      </c>
      <c r="BG185" s="1539">
        <f t="shared" si="50"/>
        <v>0</v>
      </c>
      <c r="BH185" s="1539">
        <f t="shared" si="51"/>
        <v>0</v>
      </c>
      <c r="BI185" s="1539">
        <f t="shared" si="52"/>
        <v>276</v>
      </c>
      <c r="BJ185" s="1539">
        <f t="shared" si="53"/>
        <v>0</v>
      </c>
      <c r="BK185" s="1539">
        <f t="shared" si="54"/>
        <v>324</v>
      </c>
      <c r="BL185" s="1539">
        <f t="shared" si="55"/>
        <v>324</v>
      </c>
      <c r="BM185" s="1539">
        <f t="shared" si="56"/>
        <v>600</v>
      </c>
      <c r="BO185" s="1183"/>
      <c r="BQ185" s="1182">
        <f t="shared" si="57"/>
        <v>0</v>
      </c>
      <c r="BR185" s="1182">
        <f t="shared" si="58"/>
        <v>0</v>
      </c>
      <c r="BS185" s="1182">
        <f t="shared" si="59"/>
        <v>0</v>
      </c>
      <c r="BT185" s="1182">
        <f t="shared" si="59"/>
        <v>0</v>
      </c>
    </row>
    <row r="186" spans="1:72" ht="13.5" customHeight="1">
      <c r="A186" s="1182" t="s">
        <v>1803</v>
      </c>
      <c r="B186" s="1182" t="s">
        <v>1804</v>
      </c>
      <c r="C186" s="1182" t="s">
        <v>1639</v>
      </c>
      <c r="D186" s="1182" t="s">
        <v>2092</v>
      </c>
      <c r="E186" s="1182" t="s">
        <v>2093</v>
      </c>
      <c r="F186" s="1182" t="s">
        <v>2119</v>
      </c>
      <c r="G186" s="1182" t="s">
        <v>2119</v>
      </c>
      <c r="H186" s="1182" t="s">
        <v>2095</v>
      </c>
      <c r="I186" s="1182" t="s">
        <v>1937</v>
      </c>
      <c r="J186" s="1182" t="s">
        <v>2120</v>
      </c>
      <c r="K186" s="1182" t="s">
        <v>1811</v>
      </c>
      <c r="L186" s="1182" t="s">
        <v>1812</v>
      </c>
      <c r="M186" s="1182" t="s">
        <v>1803</v>
      </c>
      <c r="N186" s="1182" t="s">
        <v>1939</v>
      </c>
      <c r="O186" s="1182" t="s">
        <v>1554</v>
      </c>
      <c r="P186" s="1182" t="s">
        <v>1575</v>
      </c>
      <c r="Q186" s="1182" t="s">
        <v>1574</v>
      </c>
      <c r="R186" s="1182" t="s">
        <v>1573</v>
      </c>
      <c r="S186" s="1182" t="s">
        <v>1577</v>
      </c>
      <c r="T186" s="1182" t="s">
        <v>1814</v>
      </c>
      <c r="U186" s="1182" t="s">
        <v>1815</v>
      </c>
      <c r="V186" s="1182">
        <v>0</v>
      </c>
      <c r="W186" s="1182">
        <v>0</v>
      </c>
      <c r="X186" s="1182">
        <v>0</v>
      </c>
      <c r="Y186" s="1183">
        <v>600</v>
      </c>
      <c r="Z186" s="1182" t="s">
        <v>1940</v>
      </c>
      <c r="AA186" s="1182" t="s">
        <v>1941</v>
      </c>
      <c r="AB186" s="1182">
        <v>600</v>
      </c>
      <c r="AC186" s="1182" t="s">
        <v>1942</v>
      </c>
      <c r="AD186" s="1182" t="s">
        <v>1577</v>
      </c>
      <c r="AE186" s="1182">
        <v>600</v>
      </c>
      <c r="AF186" s="1182" t="s">
        <v>1943</v>
      </c>
      <c r="AG186" s="1182" t="s">
        <v>1944</v>
      </c>
      <c r="AH186" s="1182">
        <v>0</v>
      </c>
      <c r="AI186" s="1182">
        <v>600</v>
      </c>
      <c r="AJ186" s="1182" t="s">
        <v>2121</v>
      </c>
      <c r="AL186" s="1186" t="s">
        <v>2122</v>
      </c>
      <c r="AM186" s="1182">
        <v>1</v>
      </c>
      <c r="AN186" s="1182">
        <v>0</v>
      </c>
      <c r="AO186" s="1182">
        <v>0</v>
      </c>
      <c r="AP186" s="1182">
        <v>0</v>
      </c>
      <c r="AQ186" s="1182" t="s">
        <v>1639</v>
      </c>
      <c r="AS186" s="1186" t="s">
        <v>1943</v>
      </c>
      <c r="AT186" s="1186" t="s">
        <v>1944</v>
      </c>
      <c r="AV186" s="1183">
        <v>276</v>
      </c>
      <c r="AW186" s="1183">
        <v>0</v>
      </c>
      <c r="AX186" s="1183">
        <v>0</v>
      </c>
      <c r="AY186" s="1538">
        <v>276</v>
      </c>
      <c r="AZ186" s="1183">
        <v>0</v>
      </c>
      <c r="BA186" s="1183">
        <v>324</v>
      </c>
      <c r="BB186" s="1540">
        <v>324</v>
      </c>
      <c r="BC186" s="1540">
        <v>600</v>
      </c>
      <c r="BD186" s="1540">
        <v>0</v>
      </c>
      <c r="BF186" s="1539">
        <f t="shared" si="49"/>
        <v>276</v>
      </c>
      <c r="BG186" s="1539">
        <f t="shared" si="50"/>
        <v>0</v>
      </c>
      <c r="BH186" s="1539">
        <f t="shared" si="51"/>
        <v>0</v>
      </c>
      <c r="BI186" s="1539">
        <f t="shared" si="52"/>
        <v>276</v>
      </c>
      <c r="BJ186" s="1539">
        <f t="shared" si="53"/>
        <v>0</v>
      </c>
      <c r="BK186" s="1539">
        <f t="shared" si="54"/>
        <v>324</v>
      </c>
      <c r="BL186" s="1539">
        <f t="shared" si="55"/>
        <v>324</v>
      </c>
      <c r="BM186" s="1539">
        <f t="shared" si="56"/>
        <v>600</v>
      </c>
      <c r="BO186" s="1183"/>
      <c r="BQ186" s="1182">
        <f t="shared" si="57"/>
        <v>0</v>
      </c>
      <c r="BR186" s="1182">
        <f t="shared" si="58"/>
        <v>0</v>
      </c>
      <c r="BS186" s="1182">
        <f t="shared" si="59"/>
        <v>0</v>
      </c>
      <c r="BT186" s="1182">
        <f t="shared" si="59"/>
        <v>0</v>
      </c>
    </row>
    <row r="187" spans="1:72" ht="13.5" customHeight="1">
      <c r="A187" s="1182" t="s">
        <v>1803</v>
      </c>
      <c r="B187" s="1182" t="s">
        <v>1804</v>
      </c>
      <c r="C187" s="1182" t="s">
        <v>1639</v>
      </c>
      <c r="D187" s="1182" t="s">
        <v>2092</v>
      </c>
      <c r="E187" s="1182" t="s">
        <v>2093</v>
      </c>
      <c r="F187" s="1182" t="s">
        <v>2123</v>
      </c>
      <c r="G187" s="1182" t="s">
        <v>2123</v>
      </c>
      <c r="H187" s="1182" t="s">
        <v>2095</v>
      </c>
      <c r="I187" s="1182" t="s">
        <v>1937</v>
      </c>
      <c r="J187" s="1182" t="s">
        <v>2124</v>
      </c>
      <c r="K187" s="1182" t="s">
        <v>1811</v>
      </c>
      <c r="L187" s="1182" t="s">
        <v>1812</v>
      </c>
      <c r="M187" s="1182" t="s">
        <v>1803</v>
      </c>
      <c r="N187" s="1182" t="s">
        <v>1939</v>
      </c>
      <c r="O187" s="1182" t="s">
        <v>1554</v>
      </c>
      <c r="P187" s="1182" t="s">
        <v>1575</v>
      </c>
      <c r="Q187" s="1182" t="s">
        <v>1574</v>
      </c>
      <c r="R187" s="1182" t="s">
        <v>1573</v>
      </c>
      <c r="S187" s="1182" t="s">
        <v>1577</v>
      </c>
      <c r="T187" s="1182" t="s">
        <v>1814</v>
      </c>
      <c r="U187" s="1182" t="s">
        <v>1815</v>
      </c>
      <c r="V187" s="1182">
        <v>0</v>
      </c>
      <c r="W187" s="1182">
        <v>0</v>
      </c>
      <c r="X187" s="1182">
        <v>0</v>
      </c>
      <c r="Y187" s="1183">
        <v>300</v>
      </c>
      <c r="Z187" s="1182" t="s">
        <v>1940</v>
      </c>
      <c r="AA187" s="1182" t="s">
        <v>1941</v>
      </c>
      <c r="AB187" s="1182">
        <v>300</v>
      </c>
      <c r="AC187" s="1182" t="s">
        <v>1942</v>
      </c>
      <c r="AD187" s="1182" t="s">
        <v>1577</v>
      </c>
      <c r="AE187" s="1182">
        <v>300</v>
      </c>
      <c r="AF187" s="1182" t="s">
        <v>1943</v>
      </c>
      <c r="AG187" s="1182" t="s">
        <v>1944</v>
      </c>
      <c r="AH187" s="1182">
        <v>0</v>
      </c>
      <c r="AI187" s="1182">
        <v>300</v>
      </c>
      <c r="AJ187" s="1182" t="s">
        <v>2125</v>
      </c>
      <c r="AL187" s="1186" t="s">
        <v>2126</v>
      </c>
      <c r="AM187" s="1182">
        <v>1</v>
      </c>
      <c r="AN187" s="1182">
        <v>0</v>
      </c>
      <c r="AO187" s="1182">
        <v>0</v>
      </c>
      <c r="AP187" s="1182">
        <v>0</v>
      </c>
      <c r="AQ187" s="1182" t="s">
        <v>1639</v>
      </c>
      <c r="AS187" s="1186" t="s">
        <v>1943</v>
      </c>
      <c r="AT187" s="1186" t="s">
        <v>1944</v>
      </c>
      <c r="AV187" s="1183">
        <v>138</v>
      </c>
      <c r="AW187" s="1183">
        <v>0</v>
      </c>
      <c r="AX187" s="1183">
        <v>0</v>
      </c>
      <c r="AY187" s="1538">
        <v>138</v>
      </c>
      <c r="AZ187" s="1183">
        <v>0</v>
      </c>
      <c r="BA187" s="1183">
        <v>162</v>
      </c>
      <c r="BB187" s="1540">
        <v>162</v>
      </c>
      <c r="BC187" s="1540">
        <v>300</v>
      </c>
      <c r="BD187" s="1540">
        <v>0</v>
      </c>
      <c r="BF187" s="1539">
        <f t="shared" si="49"/>
        <v>138</v>
      </c>
      <c r="BG187" s="1539">
        <f t="shared" si="50"/>
        <v>0</v>
      </c>
      <c r="BH187" s="1539">
        <f t="shared" si="51"/>
        <v>0</v>
      </c>
      <c r="BI187" s="1539">
        <f t="shared" si="52"/>
        <v>138</v>
      </c>
      <c r="BJ187" s="1539">
        <f t="shared" si="53"/>
        <v>0</v>
      </c>
      <c r="BK187" s="1539">
        <f t="shared" si="54"/>
        <v>162</v>
      </c>
      <c r="BL187" s="1539">
        <f t="shared" si="55"/>
        <v>162</v>
      </c>
      <c r="BM187" s="1539">
        <f t="shared" si="56"/>
        <v>300</v>
      </c>
      <c r="BO187" s="1183"/>
      <c r="BQ187" s="1182">
        <f t="shared" si="57"/>
        <v>0</v>
      </c>
      <c r="BR187" s="1182">
        <f t="shared" si="58"/>
        <v>0</v>
      </c>
      <c r="BS187" s="1182">
        <f t="shared" si="59"/>
        <v>0</v>
      </c>
      <c r="BT187" s="1182">
        <f t="shared" si="59"/>
        <v>0</v>
      </c>
    </row>
    <row r="188" spans="1:72" ht="13.5" customHeight="1">
      <c r="A188" s="1182" t="s">
        <v>1803</v>
      </c>
      <c r="B188" s="1182" t="s">
        <v>1804</v>
      </c>
      <c r="C188" s="1182" t="s">
        <v>1639</v>
      </c>
      <c r="D188" s="1182" t="s">
        <v>2092</v>
      </c>
      <c r="E188" s="1182" t="s">
        <v>2093</v>
      </c>
      <c r="F188" s="1182" t="s">
        <v>2127</v>
      </c>
      <c r="G188" s="1182" t="s">
        <v>2127</v>
      </c>
      <c r="H188" s="1182" t="s">
        <v>2095</v>
      </c>
      <c r="I188" s="1182" t="s">
        <v>1937</v>
      </c>
      <c r="J188" s="1182" t="s">
        <v>2128</v>
      </c>
      <c r="K188" s="1182" t="s">
        <v>1811</v>
      </c>
      <c r="L188" s="1182" t="s">
        <v>1812</v>
      </c>
      <c r="M188" s="1182" t="s">
        <v>1803</v>
      </c>
      <c r="N188" s="1182" t="s">
        <v>1939</v>
      </c>
      <c r="O188" s="1182" t="s">
        <v>1554</v>
      </c>
      <c r="P188" s="1182" t="s">
        <v>1575</v>
      </c>
      <c r="Q188" s="1182" t="s">
        <v>1574</v>
      </c>
      <c r="R188" s="1182" t="s">
        <v>1573</v>
      </c>
      <c r="S188" s="1182" t="s">
        <v>1577</v>
      </c>
      <c r="T188" s="1182" t="s">
        <v>1814</v>
      </c>
      <c r="U188" s="1182" t="s">
        <v>1815</v>
      </c>
      <c r="V188" s="1182">
        <v>0</v>
      </c>
      <c r="W188" s="1182">
        <v>0</v>
      </c>
      <c r="X188" s="1182">
        <v>0</v>
      </c>
      <c r="Y188" s="1183">
        <v>300</v>
      </c>
      <c r="Z188" s="1182" t="s">
        <v>1940</v>
      </c>
      <c r="AA188" s="1182" t="s">
        <v>1941</v>
      </c>
      <c r="AB188" s="1182">
        <v>300</v>
      </c>
      <c r="AC188" s="1182" t="s">
        <v>1942</v>
      </c>
      <c r="AD188" s="1182" t="s">
        <v>1577</v>
      </c>
      <c r="AE188" s="1182">
        <v>300</v>
      </c>
      <c r="AF188" s="1182" t="s">
        <v>1943</v>
      </c>
      <c r="AG188" s="1182" t="s">
        <v>1944</v>
      </c>
      <c r="AH188" s="1182">
        <v>0</v>
      </c>
      <c r="AI188" s="1182">
        <v>300</v>
      </c>
      <c r="AJ188" s="1182" t="s">
        <v>2129</v>
      </c>
      <c r="AL188" s="1186" t="s">
        <v>2130</v>
      </c>
      <c r="AM188" s="1182">
        <v>1</v>
      </c>
      <c r="AN188" s="1182">
        <v>0</v>
      </c>
      <c r="AO188" s="1182">
        <v>0</v>
      </c>
      <c r="AP188" s="1182">
        <v>0</v>
      </c>
      <c r="AQ188" s="1182" t="s">
        <v>1639</v>
      </c>
      <c r="AS188" s="1186" t="s">
        <v>1943</v>
      </c>
      <c r="AT188" s="1186" t="s">
        <v>1944</v>
      </c>
      <c r="AV188" s="1183">
        <v>138</v>
      </c>
      <c r="AW188" s="1183">
        <v>0</v>
      </c>
      <c r="AX188" s="1183">
        <v>0</v>
      </c>
      <c r="AY188" s="1538">
        <v>138</v>
      </c>
      <c r="AZ188" s="1183">
        <v>0</v>
      </c>
      <c r="BA188" s="1183">
        <v>162</v>
      </c>
      <c r="BB188" s="1540">
        <v>162</v>
      </c>
      <c r="BC188" s="1540">
        <v>300</v>
      </c>
      <c r="BD188" s="1540">
        <v>0</v>
      </c>
      <c r="BF188" s="1539">
        <f t="shared" si="49"/>
        <v>138</v>
      </c>
      <c r="BG188" s="1539">
        <f t="shared" si="50"/>
        <v>0</v>
      </c>
      <c r="BH188" s="1539">
        <f t="shared" si="51"/>
        <v>0</v>
      </c>
      <c r="BI188" s="1539">
        <f t="shared" si="52"/>
        <v>138</v>
      </c>
      <c r="BJ188" s="1539">
        <f t="shared" si="53"/>
        <v>0</v>
      </c>
      <c r="BK188" s="1539">
        <f t="shared" si="54"/>
        <v>162</v>
      </c>
      <c r="BL188" s="1539">
        <f t="shared" si="55"/>
        <v>162</v>
      </c>
      <c r="BM188" s="1539">
        <f t="shared" si="56"/>
        <v>300</v>
      </c>
      <c r="BO188" s="1183"/>
      <c r="BQ188" s="1182">
        <f t="shared" si="57"/>
        <v>0</v>
      </c>
      <c r="BR188" s="1182">
        <f t="shared" si="58"/>
        <v>0</v>
      </c>
      <c r="BS188" s="1182">
        <f t="shared" si="59"/>
        <v>0</v>
      </c>
      <c r="BT188" s="1182">
        <f t="shared" si="59"/>
        <v>0</v>
      </c>
    </row>
    <row r="189" spans="1:72" ht="13.5" customHeight="1">
      <c r="A189" s="1182" t="s">
        <v>1803</v>
      </c>
      <c r="B189" s="1182" t="s">
        <v>1804</v>
      </c>
      <c r="C189" s="1182" t="s">
        <v>1639</v>
      </c>
      <c r="D189" s="1182" t="s">
        <v>1915</v>
      </c>
      <c r="E189" s="1182" t="s">
        <v>1916</v>
      </c>
      <c r="F189" s="1182" t="s">
        <v>2131</v>
      </c>
      <c r="G189" s="1182" t="s">
        <v>2131</v>
      </c>
      <c r="H189" s="1182" t="s">
        <v>2095</v>
      </c>
      <c r="I189" s="1182" t="s">
        <v>1937</v>
      </c>
      <c r="J189" s="1182" t="s">
        <v>2132</v>
      </c>
      <c r="K189" s="1182" t="s">
        <v>1811</v>
      </c>
      <c r="L189" s="1182" t="s">
        <v>1812</v>
      </c>
      <c r="M189" s="1182" t="s">
        <v>1803</v>
      </c>
      <c r="N189" s="1182" t="s">
        <v>1939</v>
      </c>
      <c r="O189" s="1182" t="s">
        <v>1554</v>
      </c>
      <c r="P189" s="1182" t="s">
        <v>1575</v>
      </c>
      <c r="Q189" s="1182" t="s">
        <v>1574</v>
      </c>
      <c r="R189" s="1182" t="s">
        <v>1573</v>
      </c>
      <c r="S189" s="1182" t="s">
        <v>1577</v>
      </c>
      <c r="T189" s="1182" t="s">
        <v>1814</v>
      </c>
      <c r="U189" s="1182" t="s">
        <v>1815</v>
      </c>
      <c r="V189" s="1182">
        <v>0</v>
      </c>
      <c r="W189" s="1182">
        <v>0</v>
      </c>
      <c r="X189" s="1182">
        <v>0</v>
      </c>
      <c r="Y189" s="1183">
        <v>300</v>
      </c>
      <c r="Z189" s="1182" t="s">
        <v>1940</v>
      </c>
      <c r="AA189" s="1182" t="s">
        <v>1941</v>
      </c>
      <c r="AB189" s="1182">
        <v>300</v>
      </c>
      <c r="AC189" s="1182" t="s">
        <v>1942</v>
      </c>
      <c r="AD189" s="1182" t="s">
        <v>1577</v>
      </c>
      <c r="AE189" s="1182">
        <v>300</v>
      </c>
      <c r="AF189" s="1182" t="s">
        <v>1943</v>
      </c>
      <c r="AG189" s="1182" t="s">
        <v>1944</v>
      </c>
      <c r="AH189" s="1182">
        <v>0</v>
      </c>
      <c r="AI189" s="1182">
        <v>300</v>
      </c>
      <c r="AJ189" s="1182" t="s">
        <v>2133</v>
      </c>
      <c r="AL189" s="1186" t="s">
        <v>2134</v>
      </c>
      <c r="AM189" s="1182">
        <v>1</v>
      </c>
      <c r="AN189" s="1182">
        <v>0</v>
      </c>
      <c r="AO189" s="1182">
        <v>0</v>
      </c>
      <c r="AP189" s="1182">
        <v>0</v>
      </c>
      <c r="AQ189" s="1182" t="s">
        <v>1639</v>
      </c>
      <c r="AS189" s="1186" t="s">
        <v>1943</v>
      </c>
      <c r="AT189" s="1186" t="s">
        <v>1944</v>
      </c>
      <c r="AV189" s="1183">
        <v>138</v>
      </c>
      <c r="AW189" s="1183">
        <v>0</v>
      </c>
      <c r="AX189" s="1183">
        <v>0</v>
      </c>
      <c r="AY189" s="1538">
        <v>138</v>
      </c>
      <c r="AZ189" s="1183">
        <v>0</v>
      </c>
      <c r="BA189" s="1183">
        <v>162</v>
      </c>
      <c r="BB189" s="1540">
        <v>162</v>
      </c>
      <c r="BC189" s="1540">
        <v>300</v>
      </c>
      <c r="BD189" s="1540">
        <v>0</v>
      </c>
      <c r="BF189" s="1539">
        <f t="shared" si="49"/>
        <v>138</v>
      </c>
      <c r="BG189" s="1539">
        <f t="shared" si="50"/>
        <v>0</v>
      </c>
      <c r="BH189" s="1539">
        <f t="shared" si="51"/>
        <v>0</v>
      </c>
      <c r="BI189" s="1539">
        <f t="shared" si="52"/>
        <v>138</v>
      </c>
      <c r="BJ189" s="1539">
        <f t="shared" si="53"/>
        <v>0</v>
      </c>
      <c r="BK189" s="1539">
        <f t="shared" si="54"/>
        <v>162</v>
      </c>
      <c r="BL189" s="1539">
        <f t="shared" si="55"/>
        <v>162</v>
      </c>
      <c r="BM189" s="1539">
        <f t="shared" si="56"/>
        <v>300</v>
      </c>
      <c r="BO189" s="1183"/>
      <c r="BQ189" s="1182">
        <f t="shared" si="57"/>
        <v>0</v>
      </c>
      <c r="BR189" s="1182">
        <f t="shared" si="58"/>
        <v>0</v>
      </c>
      <c r="BS189" s="1182">
        <f t="shared" si="59"/>
        <v>0</v>
      </c>
      <c r="BT189" s="1182">
        <f t="shared" si="59"/>
        <v>0</v>
      </c>
    </row>
    <row r="190" spans="1:72" ht="13.5" customHeight="1">
      <c r="A190" s="1182" t="s">
        <v>1803</v>
      </c>
      <c r="B190" s="1182" t="s">
        <v>1804</v>
      </c>
      <c r="C190" s="1182" t="s">
        <v>1639</v>
      </c>
      <c r="D190" s="1182" t="s">
        <v>2092</v>
      </c>
      <c r="E190" s="1182" t="s">
        <v>2093</v>
      </c>
      <c r="F190" s="1182" t="s">
        <v>2135</v>
      </c>
      <c r="G190" s="1182" t="s">
        <v>2135</v>
      </c>
      <c r="H190" s="1182" t="s">
        <v>2076</v>
      </c>
      <c r="I190" s="1182" t="s">
        <v>1937</v>
      </c>
      <c r="J190" s="1182" t="s">
        <v>2136</v>
      </c>
      <c r="K190" s="1182" t="s">
        <v>1811</v>
      </c>
      <c r="L190" s="1182" t="s">
        <v>1812</v>
      </c>
      <c r="M190" s="1182" t="s">
        <v>1803</v>
      </c>
      <c r="N190" s="1182" t="s">
        <v>1939</v>
      </c>
      <c r="O190" s="1182" t="s">
        <v>1554</v>
      </c>
      <c r="P190" s="1182" t="s">
        <v>1575</v>
      </c>
      <c r="Q190" s="1182" t="s">
        <v>1574</v>
      </c>
      <c r="R190" s="1182" t="s">
        <v>1573</v>
      </c>
      <c r="S190" s="1182" t="s">
        <v>1577</v>
      </c>
      <c r="T190" s="1182" t="s">
        <v>1814</v>
      </c>
      <c r="U190" s="1182" t="s">
        <v>1815</v>
      </c>
      <c r="V190" s="1182">
        <v>0</v>
      </c>
      <c r="W190" s="1182">
        <v>0</v>
      </c>
      <c r="X190" s="1182">
        <v>0</v>
      </c>
      <c r="Y190" s="1183">
        <v>300</v>
      </c>
      <c r="Z190" s="1182" t="s">
        <v>1940</v>
      </c>
      <c r="AA190" s="1182" t="s">
        <v>1941</v>
      </c>
      <c r="AB190" s="1182">
        <v>300</v>
      </c>
      <c r="AC190" s="1182" t="s">
        <v>1942</v>
      </c>
      <c r="AD190" s="1182" t="s">
        <v>1577</v>
      </c>
      <c r="AE190" s="1182">
        <v>300</v>
      </c>
      <c r="AF190" s="1182" t="s">
        <v>1943</v>
      </c>
      <c r="AG190" s="1182" t="s">
        <v>1944</v>
      </c>
      <c r="AH190" s="1182">
        <v>0</v>
      </c>
      <c r="AI190" s="1182">
        <v>300</v>
      </c>
      <c r="AJ190" s="1182" t="s">
        <v>2137</v>
      </c>
      <c r="AL190" s="1186" t="s">
        <v>2138</v>
      </c>
      <c r="AM190" s="1182">
        <v>1</v>
      </c>
      <c r="AN190" s="1182">
        <v>0</v>
      </c>
      <c r="AO190" s="1182">
        <v>0</v>
      </c>
      <c r="AP190" s="1182">
        <v>0</v>
      </c>
      <c r="AQ190" s="1182" t="s">
        <v>1639</v>
      </c>
      <c r="AS190" s="1186" t="s">
        <v>1943</v>
      </c>
      <c r="AT190" s="1186" t="s">
        <v>1944</v>
      </c>
      <c r="AV190" s="1183">
        <v>138</v>
      </c>
      <c r="AW190" s="1183">
        <v>0</v>
      </c>
      <c r="AX190" s="1183">
        <v>0</v>
      </c>
      <c r="AY190" s="1538">
        <v>138</v>
      </c>
      <c r="AZ190" s="1183">
        <v>0</v>
      </c>
      <c r="BA190" s="1183">
        <v>162</v>
      </c>
      <c r="BB190" s="1540">
        <v>162</v>
      </c>
      <c r="BC190" s="1540">
        <v>300</v>
      </c>
      <c r="BD190" s="1540">
        <v>0</v>
      </c>
      <c r="BF190" s="1539">
        <f t="shared" si="49"/>
        <v>138</v>
      </c>
      <c r="BG190" s="1539">
        <f t="shared" si="50"/>
        <v>0</v>
      </c>
      <c r="BH190" s="1539">
        <f t="shared" si="51"/>
        <v>0</v>
      </c>
      <c r="BI190" s="1539">
        <f t="shared" si="52"/>
        <v>138</v>
      </c>
      <c r="BJ190" s="1539">
        <f t="shared" si="53"/>
        <v>0</v>
      </c>
      <c r="BK190" s="1539">
        <f t="shared" si="54"/>
        <v>162</v>
      </c>
      <c r="BL190" s="1539">
        <f t="shared" si="55"/>
        <v>162</v>
      </c>
      <c r="BM190" s="1539">
        <f t="shared" si="56"/>
        <v>300</v>
      </c>
      <c r="BO190" s="1183"/>
      <c r="BQ190" s="1182">
        <f t="shared" si="57"/>
        <v>0</v>
      </c>
      <c r="BR190" s="1182">
        <f t="shared" si="58"/>
        <v>0</v>
      </c>
      <c r="BS190" s="1182">
        <f t="shared" si="59"/>
        <v>0</v>
      </c>
      <c r="BT190" s="1182">
        <f t="shared" si="59"/>
        <v>0</v>
      </c>
    </row>
    <row r="191" spans="1:72" ht="13.5" customHeight="1">
      <c r="A191" s="1182" t="s">
        <v>1803</v>
      </c>
      <c r="B191" s="1182" t="s">
        <v>1804</v>
      </c>
      <c r="C191" s="1182" t="s">
        <v>1639</v>
      </c>
      <c r="D191" s="1182" t="s">
        <v>2092</v>
      </c>
      <c r="E191" s="1182" t="s">
        <v>2093</v>
      </c>
      <c r="F191" s="1182" t="s">
        <v>2135</v>
      </c>
      <c r="G191" s="1182" t="s">
        <v>2135</v>
      </c>
      <c r="H191" s="1182" t="s">
        <v>2076</v>
      </c>
      <c r="I191" s="1182" t="s">
        <v>1937</v>
      </c>
      <c r="J191" s="1182" t="s">
        <v>2136</v>
      </c>
      <c r="K191" s="1182" t="s">
        <v>1811</v>
      </c>
      <c r="L191" s="1182" t="s">
        <v>1956</v>
      </c>
      <c r="M191" s="1182" t="s">
        <v>1803</v>
      </c>
      <c r="N191" s="1182" t="s">
        <v>1939</v>
      </c>
      <c r="O191" s="1182" t="s">
        <v>1554</v>
      </c>
      <c r="P191" s="1182" t="s">
        <v>1575</v>
      </c>
      <c r="Q191" s="1182" t="s">
        <v>1574</v>
      </c>
      <c r="R191" s="1182" t="s">
        <v>1573</v>
      </c>
      <c r="S191" s="1182" t="s">
        <v>1577</v>
      </c>
      <c r="T191" s="1182" t="s">
        <v>1814</v>
      </c>
      <c r="U191" s="1182" t="s">
        <v>1815</v>
      </c>
      <c r="V191" s="1182">
        <v>0</v>
      </c>
      <c r="W191" s="1182">
        <v>0</v>
      </c>
      <c r="X191" s="1182">
        <v>0</v>
      </c>
      <c r="Y191" s="1183">
        <v>300</v>
      </c>
      <c r="Z191" s="1182" t="s">
        <v>1940</v>
      </c>
      <c r="AA191" s="1182" t="s">
        <v>1941</v>
      </c>
      <c r="AB191" s="1182">
        <v>300</v>
      </c>
      <c r="AC191" s="1182" t="s">
        <v>1942</v>
      </c>
      <c r="AD191" s="1182" t="s">
        <v>1577</v>
      </c>
      <c r="AE191" s="1182">
        <v>300</v>
      </c>
      <c r="AF191" s="1182" t="s">
        <v>1943</v>
      </c>
      <c r="AG191" s="1182" t="s">
        <v>1944</v>
      </c>
      <c r="AH191" s="1182">
        <v>0</v>
      </c>
      <c r="AI191" s="1182">
        <v>300</v>
      </c>
      <c r="AJ191" s="1182" t="s">
        <v>2139</v>
      </c>
      <c r="AL191" s="1186" t="s">
        <v>2140</v>
      </c>
      <c r="AM191" s="1182">
        <v>1</v>
      </c>
      <c r="AN191" s="1182">
        <v>0</v>
      </c>
      <c r="AO191" s="1182">
        <v>0</v>
      </c>
      <c r="AP191" s="1182">
        <v>0</v>
      </c>
      <c r="AQ191" s="1182" t="s">
        <v>1639</v>
      </c>
      <c r="AS191" s="1186" t="s">
        <v>1943</v>
      </c>
      <c r="AT191" s="1186" t="s">
        <v>1944</v>
      </c>
      <c r="AV191" s="1183">
        <v>138</v>
      </c>
      <c r="AW191" s="1183">
        <v>0</v>
      </c>
      <c r="AX191" s="1183">
        <v>0</v>
      </c>
      <c r="AY191" s="1538">
        <v>138</v>
      </c>
      <c r="AZ191" s="1183">
        <v>0</v>
      </c>
      <c r="BA191" s="1183">
        <v>162</v>
      </c>
      <c r="BB191" s="1540">
        <v>162</v>
      </c>
      <c r="BC191" s="1540">
        <v>300</v>
      </c>
      <c r="BD191" s="1540">
        <v>0</v>
      </c>
      <c r="BF191" s="1539">
        <f t="shared" si="49"/>
        <v>138</v>
      </c>
      <c r="BG191" s="1539">
        <f t="shared" si="50"/>
        <v>0</v>
      </c>
      <c r="BH191" s="1539">
        <f t="shared" si="51"/>
        <v>0</v>
      </c>
      <c r="BI191" s="1539">
        <f t="shared" si="52"/>
        <v>138</v>
      </c>
      <c r="BJ191" s="1539">
        <f t="shared" si="53"/>
        <v>0</v>
      </c>
      <c r="BK191" s="1539">
        <f t="shared" si="54"/>
        <v>162</v>
      </c>
      <c r="BL191" s="1539">
        <f t="shared" si="55"/>
        <v>162</v>
      </c>
      <c r="BM191" s="1539">
        <f t="shared" si="56"/>
        <v>300</v>
      </c>
      <c r="BO191" s="1183"/>
      <c r="BQ191" s="1182">
        <f t="shared" si="57"/>
        <v>0</v>
      </c>
      <c r="BR191" s="1182">
        <f t="shared" si="58"/>
        <v>0</v>
      </c>
      <c r="BS191" s="1182">
        <f t="shared" si="59"/>
        <v>0</v>
      </c>
      <c r="BT191" s="1182">
        <f t="shared" si="59"/>
        <v>0</v>
      </c>
    </row>
    <row r="192" spans="1:72" ht="13.5" customHeight="1">
      <c r="A192" s="1182" t="s">
        <v>1803</v>
      </c>
      <c r="B192" s="1182" t="s">
        <v>1804</v>
      </c>
      <c r="C192" s="1182" t="s">
        <v>1639</v>
      </c>
      <c r="D192" s="1182" t="s">
        <v>2092</v>
      </c>
      <c r="E192" s="1182" t="s">
        <v>2093</v>
      </c>
      <c r="F192" s="1182" t="s">
        <v>2099</v>
      </c>
      <c r="G192" s="1182" t="s">
        <v>2099</v>
      </c>
      <c r="H192" s="1182" t="s">
        <v>2076</v>
      </c>
      <c r="I192" s="1182" t="s">
        <v>1937</v>
      </c>
      <c r="J192" s="1182" t="s">
        <v>2100</v>
      </c>
      <c r="K192" s="1182" t="s">
        <v>1811</v>
      </c>
      <c r="L192" s="1182" t="s">
        <v>1812</v>
      </c>
      <c r="M192" s="1182" t="s">
        <v>1803</v>
      </c>
      <c r="N192" s="1182" t="s">
        <v>1939</v>
      </c>
      <c r="O192" s="1182" t="s">
        <v>1554</v>
      </c>
      <c r="P192" s="1182" t="s">
        <v>1575</v>
      </c>
      <c r="Q192" s="1182" t="s">
        <v>1574</v>
      </c>
      <c r="R192" s="1182" t="s">
        <v>1573</v>
      </c>
      <c r="S192" s="1182" t="s">
        <v>1577</v>
      </c>
      <c r="T192" s="1182" t="s">
        <v>1814</v>
      </c>
      <c r="U192" s="1182" t="s">
        <v>1815</v>
      </c>
      <c r="V192" s="1182">
        <v>0</v>
      </c>
      <c r="W192" s="1182">
        <v>0</v>
      </c>
      <c r="X192" s="1182">
        <v>0</v>
      </c>
      <c r="Y192" s="1183">
        <v>600</v>
      </c>
      <c r="Z192" s="1182" t="s">
        <v>1940</v>
      </c>
      <c r="AA192" s="1182" t="s">
        <v>1941</v>
      </c>
      <c r="AB192" s="1182">
        <v>600</v>
      </c>
      <c r="AC192" s="1182" t="s">
        <v>1942</v>
      </c>
      <c r="AD192" s="1182" t="s">
        <v>1577</v>
      </c>
      <c r="AE192" s="1182">
        <v>600</v>
      </c>
      <c r="AF192" s="1182" t="s">
        <v>1943</v>
      </c>
      <c r="AG192" s="1182" t="s">
        <v>1944</v>
      </c>
      <c r="AH192" s="1182">
        <v>0</v>
      </c>
      <c r="AI192" s="1182">
        <v>600</v>
      </c>
      <c r="AJ192" s="1182" t="s">
        <v>2101</v>
      </c>
      <c r="AL192" s="1186" t="s">
        <v>2102</v>
      </c>
      <c r="AM192" s="1182">
        <v>1</v>
      </c>
      <c r="AN192" s="1182">
        <v>0</v>
      </c>
      <c r="AO192" s="1182">
        <v>0</v>
      </c>
      <c r="AP192" s="1182">
        <v>0</v>
      </c>
      <c r="AQ192" s="1182" t="s">
        <v>1639</v>
      </c>
      <c r="AS192" s="1186" t="s">
        <v>1943</v>
      </c>
      <c r="AT192" s="1186" t="s">
        <v>1944</v>
      </c>
      <c r="AV192" s="1183">
        <v>276</v>
      </c>
      <c r="AW192" s="1183">
        <v>0</v>
      </c>
      <c r="AX192" s="1183">
        <v>0</v>
      </c>
      <c r="AY192" s="1538">
        <v>276</v>
      </c>
      <c r="AZ192" s="1183">
        <v>0</v>
      </c>
      <c r="BA192" s="1183">
        <v>324</v>
      </c>
      <c r="BB192" s="1540">
        <v>324</v>
      </c>
      <c r="BC192" s="1540">
        <v>600</v>
      </c>
      <c r="BD192" s="1540">
        <v>0</v>
      </c>
      <c r="BF192" s="1539">
        <f t="shared" si="49"/>
        <v>276</v>
      </c>
      <c r="BG192" s="1539">
        <f t="shared" si="50"/>
        <v>0</v>
      </c>
      <c r="BH192" s="1539">
        <f t="shared" si="51"/>
        <v>0</v>
      </c>
      <c r="BI192" s="1539">
        <f t="shared" si="52"/>
        <v>276</v>
      </c>
      <c r="BJ192" s="1539">
        <f t="shared" si="53"/>
        <v>0</v>
      </c>
      <c r="BK192" s="1539">
        <f t="shared" si="54"/>
        <v>324</v>
      </c>
      <c r="BL192" s="1539">
        <f t="shared" si="55"/>
        <v>324</v>
      </c>
      <c r="BM192" s="1539">
        <f t="shared" si="56"/>
        <v>600</v>
      </c>
      <c r="BO192" s="1183"/>
      <c r="BQ192" s="1182">
        <f t="shared" si="57"/>
        <v>0</v>
      </c>
      <c r="BR192" s="1182">
        <f t="shared" si="58"/>
        <v>0</v>
      </c>
      <c r="BS192" s="1182">
        <f t="shared" si="59"/>
        <v>0</v>
      </c>
      <c r="BT192" s="1182">
        <f t="shared" si="59"/>
        <v>0</v>
      </c>
    </row>
    <row r="193" spans="1:72" ht="13.5" customHeight="1">
      <c r="A193" s="1182" t="s">
        <v>1803</v>
      </c>
      <c r="B193" s="1182" t="s">
        <v>1804</v>
      </c>
      <c r="C193" s="1182" t="s">
        <v>1639</v>
      </c>
      <c r="D193" s="1182" t="s">
        <v>2092</v>
      </c>
      <c r="E193" s="1182" t="s">
        <v>2093</v>
      </c>
      <c r="F193" s="1182" t="s">
        <v>2103</v>
      </c>
      <c r="G193" s="1182" t="s">
        <v>2103</v>
      </c>
      <c r="H193" s="1182" t="s">
        <v>2076</v>
      </c>
      <c r="I193" s="1182" t="s">
        <v>1937</v>
      </c>
      <c r="J193" s="1182" t="s">
        <v>2104</v>
      </c>
      <c r="K193" s="1182" t="s">
        <v>1811</v>
      </c>
      <c r="L193" s="1182" t="s">
        <v>1812</v>
      </c>
      <c r="M193" s="1182" t="s">
        <v>1803</v>
      </c>
      <c r="N193" s="1182" t="s">
        <v>1939</v>
      </c>
      <c r="O193" s="1182" t="s">
        <v>1554</v>
      </c>
      <c r="P193" s="1182" t="s">
        <v>1575</v>
      </c>
      <c r="Q193" s="1182" t="s">
        <v>1574</v>
      </c>
      <c r="R193" s="1182" t="s">
        <v>1573</v>
      </c>
      <c r="S193" s="1182" t="s">
        <v>1577</v>
      </c>
      <c r="T193" s="1182" t="s">
        <v>1814</v>
      </c>
      <c r="U193" s="1182" t="s">
        <v>1815</v>
      </c>
      <c r="V193" s="1182">
        <v>0</v>
      </c>
      <c r="W193" s="1182">
        <v>0</v>
      </c>
      <c r="X193" s="1182">
        <v>0</v>
      </c>
      <c r="Y193" s="1183">
        <v>470</v>
      </c>
      <c r="Z193" s="1182" t="s">
        <v>1940</v>
      </c>
      <c r="AA193" s="1182" t="s">
        <v>1941</v>
      </c>
      <c r="AB193" s="1182">
        <v>470</v>
      </c>
      <c r="AC193" s="1182" t="s">
        <v>1942</v>
      </c>
      <c r="AD193" s="1182" t="s">
        <v>1577</v>
      </c>
      <c r="AE193" s="1182">
        <v>470</v>
      </c>
      <c r="AF193" s="1182" t="s">
        <v>1943</v>
      </c>
      <c r="AG193" s="1182" t="s">
        <v>1944</v>
      </c>
      <c r="AH193" s="1182">
        <v>0</v>
      </c>
      <c r="AI193" s="1182">
        <v>470</v>
      </c>
      <c r="AJ193" s="1182" t="s">
        <v>2105</v>
      </c>
      <c r="AL193" s="1186" t="s">
        <v>2106</v>
      </c>
      <c r="AM193" s="1182">
        <v>1</v>
      </c>
      <c r="AN193" s="1182">
        <v>0</v>
      </c>
      <c r="AO193" s="1182">
        <v>0</v>
      </c>
      <c r="AP193" s="1182">
        <v>0</v>
      </c>
      <c r="AQ193" s="1182" t="s">
        <v>1639</v>
      </c>
      <c r="AS193" s="1186" t="s">
        <v>1943</v>
      </c>
      <c r="AT193" s="1186" t="s">
        <v>1944</v>
      </c>
      <c r="AV193" s="1183">
        <v>216</v>
      </c>
      <c r="AW193" s="1183">
        <v>0</v>
      </c>
      <c r="AX193" s="1183">
        <v>0</v>
      </c>
      <c r="AY193" s="1538">
        <v>216</v>
      </c>
      <c r="AZ193" s="1183">
        <v>0</v>
      </c>
      <c r="BA193" s="1183">
        <v>254</v>
      </c>
      <c r="BB193" s="1540">
        <v>254</v>
      </c>
      <c r="BC193" s="1540">
        <v>470</v>
      </c>
      <c r="BD193" s="1540">
        <v>0</v>
      </c>
      <c r="BF193" s="1539">
        <f t="shared" si="49"/>
        <v>216</v>
      </c>
      <c r="BG193" s="1539">
        <f t="shared" si="50"/>
        <v>0</v>
      </c>
      <c r="BH193" s="1539">
        <f t="shared" si="51"/>
        <v>0</v>
      </c>
      <c r="BI193" s="1539">
        <f t="shared" si="52"/>
        <v>216</v>
      </c>
      <c r="BJ193" s="1539">
        <f t="shared" si="53"/>
        <v>0</v>
      </c>
      <c r="BK193" s="1539">
        <f t="shared" si="54"/>
        <v>254</v>
      </c>
      <c r="BL193" s="1539">
        <f t="shared" si="55"/>
        <v>254</v>
      </c>
      <c r="BM193" s="1539">
        <f t="shared" si="56"/>
        <v>470</v>
      </c>
      <c r="BO193" s="1183"/>
      <c r="BQ193" s="1182">
        <f t="shared" si="57"/>
        <v>0</v>
      </c>
      <c r="BR193" s="1182">
        <f t="shared" si="58"/>
        <v>0</v>
      </c>
      <c r="BS193" s="1182">
        <f t="shared" si="59"/>
        <v>0</v>
      </c>
      <c r="BT193" s="1182">
        <f t="shared" si="59"/>
        <v>0</v>
      </c>
    </row>
    <row r="194" spans="1:72" ht="13.5" customHeight="1">
      <c r="A194" s="1182" t="s">
        <v>1803</v>
      </c>
      <c r="B194" s="1182" t="s">
        <v>1804</v>
      </c>
      <c r="C194" s="1182" t="s">
        <v>1639</v>
      </c>
      <c r="D194" s="1182" t="s">
        <v>2092</v>
      </c>
      <c r="E194" s="1182" t="s">
        <v>2093</v>
      </c>
      <c r="F194" s="1182" t="s">
        <v>2362</v>
      </c>
      <c r="G194" s="1182" t="s">
        <v>2362</v>
      </c>
      <c r="H194" s="1182" t="s">
        <v>2076</v>
      </c>
      <c r="I194" s="1182" t="s">
        <v>1937</v>
      </c>
      <c r="J194" s="1182" t="s">
        <v>2363</v>
      </c>
      <c r="K194" s="1182" t="s">
        <v>1811</v>
      </c>
      <c r="L194" s="1182" t="s">
        <v>1812</v>
      </c>
      <c r="M194" s="1182" t="s">
        <v>1803</v>
      </c>
      <c r="N194" s="1182" t="s">
        <v>1939</v>
      </c>
      <c r="O194" s="1182" t="s">
        <v>1554</v>
      </c>
      <c r="P194" s="1182" t="s">
        <v>1575</v>
      </c>
      <c r="Q194" s="1182" t="s">
        <v>1574</v>
      </c>
      <c r="R194" s="1182" t="s">
        <v>1573</v>
      </c>
      <c r="S194" s="1182" t="s">
        <v>1577</v>
      </c>
      <c r="T194" s="1182" t="s">
        <v>1814</v>
      </c>
      <c r="U194" s="1182" t="s">
        <v>1815</v>
      </c>
      <c r="V194" s="1182">
        <v>0</v>
      </c>
      <c r="W194" s="1182">
        <v>0</v>
      </c>
      <c r="X194" s="1182">
        <v>0</v>
      </c>
      <c r="Y194" s="1183">
        <v>300</v>
      </c>
      <c r="Z194" s="1182" t="s">
        <v>1940</v>
      </c>
      <c r="AA194" s="1182" t="s">
        <v>1941</v>
      </c>
      <c r="AB194" s="1182">
        <v>300</v>
      </c>
      <c r="AC194" s="1182" t="s">
        <v>1942</v>
      </c>
      <c r="AD194" s="1182" t="s">
        <v>1577</v>
      </c>
      <c r="AE194" s="1182">
        <v>300</v>
      </c>
      <c r="AF194" s="1182" t="s">
        <v>1943</v>
      </c>
      <c r="AG194" s="1182" t="s">
        <v>1944</v>
      </c>
      <c r="AH194" s="1182">
        <v>0</v>
      </c>
      <c r="AI194" s="1182">
        <v>300</v>
      </c>
      <c r="AJ194" s="1182" t="s">
        <v>2364</v>
      </c>
      <c r="AL194" s="1186" t="s">
        <v>2365</v>
      </c>
      <c r="AM194" s="1182">
        <v>1</v>
      </c>
      <c r="AN194" s="1182">
        <v>0</v>
      </c>
      <c r="AO194" s="1182">
        <v>0</v>
      </c>
      <c r="AP194" s="1182">
        <v>0</v>
      </c>
      <c r="AQ194" s="1182" t="s">
        <v>1639</v>
      </c>
      <c r="AS194" s="1186" t="s">
        <v>1943</v>
      </c>
      <c r="AT194" s="1186" t="s">
        <v>1944</v>
      </c>
      <c r="AV194" s="1183">
        <v>138</v>
      </c>
      <c r="AW194" s="1183">
        <v>0</v>
      </c>
      <c r="AX194" s="1183">
        <v>0</v>
      </c>
      <c r="AY194" s="1538">
        <v>138</v>
      </c>
      <c r="AZ194" s="1183">
        <v>0</v>
      </c>
      <c r="BA194" s="1183">
        <v>162</v>
      </c>
      <c r="BB194" s="1540">
        <v>162</v>
      </c>
      <c r="BC194" s="1540">
        <v>300</v>
      </c>
      <c r="BD194" s="1540">
        <v>0</v>
      </c>
      <c r="BF194" s="1539">
        <f t="shared" si="49"/>
        <v>138</v>
      </c>
      <c r="BG194" s="1539">
        <f t="shared" si="50"/>
        <v>0</v>
      </c>
      <c r="BH194" s="1539">
        <f t="shared" si="51"/>
        <v>0</v>
      </c>
      <c r="BI194" s="1539">
        <f t="shared" si="52"/>
        <v>138</v>
      </c>
      <c r="BJ194" s="1539">
        <f t="shared" si="53"/>
        <v>0</v>
      </c>
      <c r="BK194" s="1539">
        <f t="shared" si="54"/>
        <v>162</v>
      </c>
      <c r="BL194" s="1539">
        <f t="shared" si="55"/>
        <v>162</v>
      </c>
      <c r="BM194" s="1539">
        <f t="shared" si="56"/>
        <v>300</v>
      </c>
      <c r="BO194" s="1183"/>
      <c r="BQ194" s="1182">
        <f t="shared" si="57"/>
        <v>0</v>
      </c>
      <c r="BR194" s="1182">
        <f t="shared" si="58"/>
        <v>0</v>
      </c>
      <c r="BS194" s="1182">
        <f t="shared" si="59"/>
        <v>0</v>
      </c>
      <c r="BT194" s="1182">
        <f t="shared" si="59"/>
        <v>0</v>
      </c>
    </row>
    <row r="195" spans="1:72" ht="13.5" customHeight="1">
      <c r="A195" s="1182" t="s">
        <v>1803</v>
      </c>
      <c r="B195" s="1182" t="s">
        <v>1804</v>
      </c>
      <c r="C195" s="1182" t="s">
        <v>1639</v>
      </c>
      <c r="D195" s="1182" t="s">
        <v>2092</v>
      </c>
      <c r="E195" s="1182" t="s">
        <v>2093</v>
      </c>
      <c r="F195" s="1182" t="s">
        <v>2344</v>
      </c>
      <c r="G195" s="1182" t="s">
        <v>2344</v>
      </c>
      <c r="H195" s="1182" t="s">
        <v>2076</v>
      </c>
      <c r="I195" s="1182" t="s">
        <v>1937</v>
      </c>
      <c r="J195" s="1182" t="s">
        <v>2345</v>
      </c>
      <c r="K195" s="1182" t="s">
        <v>1811</v>
      </c>
      <c r="L195" s="1182" t="s">
        <v>1812</v>
      </c>
      <c r="M195" s="1182" t="s">
        <v>1803</v>
      </c>
      <c r="N195" s="1182" t="s">
        <v>1939</v>
      </c>
      <c r="O195" s="1182" t="s">
        <v>1554</v>
      </c>
      <c r="P195" s="1182" t="s">
        <v>1575</v>
      </c>
      <c r="Q195" s="1182" t="s">
        <v>1574</v>
      </c>
      <c r="R195" s="1182" t="s">
        <v>1573</v>
      </c>
      <c r="S195" s="1182" t="s">
        <v>1577</v>
      </c>
      <c r="T195" s="1182" t="s">
        <v>1814</v>
      </c>
      <c r="U195" s="1182" t="s">
        <v>1815</v>
      </c>
      <c r="V195" s="1182">
        <v>0</v>
      </c>
      <c r="W195" s="1182">
        <v>0</v>
      </c>
      <c r="X195" s="1182">
        <v>0</v>
      </c>
      <c r="Y195" s="1183">
        <v>310</v>
      </c>
      <c r="Z195" s="1182" t="s">
        <v>1940</v>
      </c>
      <c r="AA195" s="1182" t="s">
        <v>1941</v>
      </c>
      <c r="AB195" s="1182">
        <v>310</v>
      </c>
      <c r="AC195" s="1182" t="s">
        <v>1942</v>
      </c>
      <c r="AD195" s="1182" t="s">
        <v>1577</v>
      </c>
      <c r="AE195" s="1182">
        <v>310</v>
      </c>
      <c r="AF195" s="1182" t="s">
        <v>1943</v>
      </c>
      <c r="AG195" s="1182" t="s">
        <v>1944</v>
      </c>
      <c r="AH195" s="1182">
        <v>0</v>
      </c>
      <c r="AI195" s="1182">
        <v>310</v>
      </c>
      <c r="AJ195" s="1182" t="s">
        <v>2346</v>
      </c>
      <c r="AL195" s="1186" t="s">
        <v>2347</v>
      </c>
      <c r="AM195" s="1182">
        <v>1</v>
      </c>
      <c r="AN195" s="1182">
        <v>0</v>
      </c>
      <c r="AO195" s="1182">
        <v>0</v>
      </c>
      <c r="AP195" s="1182">
        <v>0</v>
      </c>
      <c r="AQ195" s="1182" t="s">
        <v>1639</v>
      </c>
      <c r="AS195" s="1186" t="s">
        <v>1943</v>
      </c>
      <c r="AT195" s="1186" t="s">
        <v>1944</v>
      </c>
      <c r="AV195" s="1183">
        <v>143</v>
      </c>
      <c r="AW195" s="1183">
        <v>0</v>
      </c>
      <c r="AX195" s="1183">
        <v>0</v>
      </c>
      <c r="AY195" s="1538">
        <v>143</v>
      </c>
      <c r="AZ195" s="1183">
        <v>0</v>
      </c>
      <c r="BA195" s="1183">
        <v>167</v>
      </c>
      <c r="BB195" s="1540">
        <v>167</v>
      </c>
      <c r="BC195" s="1540">
        <v>310</v>
      </c>
      <c r="BD195" s="1540">
        <v>0</v>
      </c>
      <c r="BF195" s="1539">
        <f t="shared" si="49"/>
        <v>143</v>
      </c>
      <c r="BG195" s="1539">
        <f t="shared" si="50"/>
        <v>0</v>
      </c>
      <c r="BH195" s="1539">
        <f t="shared" si="51"/>
        <v>0</v>
      </c>
      <c r="BI195" s="1539">
        <f t="shared" si="52"/>
        <v>143</v>
      </c>
      <c r="BJ195" s="1539">
        <f t="shared" si="53"/>
        <v>0</v>
      </c>
      <c r="BK195" s="1539">
        <f t="shared" si="54"/>
        <v>167</v>
      </c>
      <c r="BL195" s="1539">
        <f t="shared" si="55"/>
        <v>167</v>
      </c>
      <c r="BM195" s="1539">
        <f t="shared" si="56"/>
        <v>310</v>
      </c>
      <c r="BO195" s="1183"/>
      <c r="BQ195" s="1182">
        <f t="shared" si="57"/>
        <v>0</v>
      </c>
      <c r="BR195" s="1182">
        <f t="shared" si="58"/>
        <v>0</v>
      </c>
      <c r="BS195" s="1182">
        <f t="shared" si="59"/>
        <v>0</v>
      </c>
      <c r="BT195" s="1182">
        <f t="shared" si="59"/>
        <v>0</v>
      </c>
    </row>
    <row r="196" spans="1:72" ht="13.5" customHeight="1">
      <c r="A196" s="1182" t="s">
        <v>1803</v>
      </c>
      <c r="B196" s="1182" t="s">
        <v>1804</v>
      </c>
      <c r="C196" s="1182" t="s">
        <v>1639</v>
      </c>
      <c r="D196" s="1182" t="s">
        <v>2092</v>
      </c>
      <c r="E196" s="1182" t="s">
        <v>2093</v>
      </c>
      <c r="F196" s="1182" t="s">
        <v>2348</v>
      </c>
      <c r="G196" s="1182" t="s">
        <v>2348</v>
      </c>
      <c r="H196" s="1182" t="s">
        <v>2076</v>
      </c>
      <c r="I196" s="1182" t="s">
        <v>1937</v>
      </c>
      <c r="J196" s="1182" t="s">
        <v>2349</v>
      </c>
      <c r="K196" s="1182" t="s">
        <v>1811</v>
      </c>
      <c r="L196" s="1182" t="s">
        <v>1812</v>
      </c>
      <c r="M196" s="1182" t="s">
        <v>1803</v>
      </c>
      <c r="N196" s="1182" t="s">
        <v>1939</v>
      </c>
      <c r="O196" s="1182" t="s">
        <v>1554</v>
      </c>
      <c r="P196" s="1182" t="s">
        <v>1575</v>
      </c>
      <c r="Q196" s="1182" t="s">
        <v>1574</v>
      </c>
      <c r="R196" s="1182" t="s">
        <v>1573</v>
      </c>
      <c r="S196" s="1182" t="s">
        <v>1577</v>
      </c>
      <c r="T196" s="1182" t="s">
        <v>1814</v>
      </c>
      <c r="U196" s="1182" t="s">
        <v>1815</v>
      </c>
      <c r="V196" s="1182">
        <v>0</v>
      </c>
      <c r="W196" s="1182">
        <v>0</v>
      </c>
      <c r="X196" s="1182">
        <v>0</v>
      </c>
      <c r="Y196" s="1183">
        <v>300</v>
      </c>
      <c r="Z196" s="1182" t="s">
        <v>1940</v>
      </c>
      <c r="AA196" s="1182" t="s">
        <v>1941</v>
      </c>
      <c r="AB196" s="1182">
        <v>300</v>
      </c>
      <c r="AC196" s="1182" t="s">
        <v>1942</v>
      </c>
      <c r="AD196" s="1182" t="s">
        <v>1577</v>
      </c>
      <c r="AE196" s="1182">
        <v>300</v>
      </c>
      <c r="AF196" s="1182" t="s">
        <v>1943</v>
      </c>
      <c r="AG196" s="1182" t="s">
        <v>1944</v>
      </c>
      <c r="AH196" s="1182">
        <v>0</v>
      </c>
      <c r="AI196" s="1182">
        <v>300</v>
      </c>
      <c r="AJ196" s="1182" t="s">
        <v>2350</v>
      </c>
      <c r="AL196" s="1186" t="s">
        <v>2351</v>
      </c>
      <c r="AM196" s="1182">
        <v>1</v>
      </c>
      <c r="AN196" s="1182">
        <v>0</v>
      </c>
      <c r="AO196" s="1182">
        <v>0</v>
      </c>
      <c r="AP196" s="1182">
        <v>0</v>
      </c>
      <c r="AQ196" s="1182" t="s">
        <v>1639</v>
      </c>
      <c r="AS196" s="1186" t="s">
        <v>1943</v>
      </c>
      <c r="AT196" s="1186" t="s">
        <v>1944</v>
      </c>
      <c r="AV196" s="1183">
        <v>138</v>
      </c>
      <c r="AW196" s="1183">
        <v>0</v>
      </c>
      <c r="AX196" s="1183">
        <v>0</v>
      </c>
      <c r="AY196" s="1538">
        <v>138</v>
      </c>
      <c r="AZ196" s="1183">
        <v>0</v>
      </c>
      <c r="BA196" s="1183">
        <v>162</v>
      </c>
      <c r="BB196" s="1540">
        <v>162</v>
      </c>
      <c r="BC196" s="1540">
        <v>300</v>
      </c>
      <c r="BD196" s="1540">
        <v>0</v>
      </c>
      <c r="BF196" s="1539">
        <f t="shared" si="49"/>
        <v>138</v>
      </c>
      <c r="BG196" s="1539">
        <f t="shared" si="50"/>
        <v>0</v>
      </c>
      <c r="BH196" s="1539">
        <f t="shared" si="51"/>
        <v>0</v>
      </c>
      <c r="BI196" s="1539">
        <f t="shared" si="52"/>
        <v>138</v>
      </c>
      <c r="BJ196" s="1539">
        <f t="shared" si="53"/>
        <v>0</v>
      </c>
      <c r="BK196" s="1539">
        <f t="shared" si="54"/>
        <v>162</v>
      </c>
      <c r="BL196" s="1539">
        <f t="shared" si="55"/>
        <v>162</v>
      </c>
      <c r="BM196" s="1539">
        <f t="shared" si="56"/>
        <v>300</v>
      </c>
      <c r="BO196" s="1183"/>
      <c r="BQ196" s="1182">
        <f t="shared" si="57"/>
        <v>0</v>
      </c>
      <c r="BR196" s="1182">
        <f t="shared" si="58"/>
        <v>0</v>
      </c>
      <c r="BS196" s="1182">
        <f t="shared" si="59"/>
        <v>0</v>
      </c>
      <c r="BT196" s="1182">
        <f t="shared" si="59"/>
        <v>0</v>
      </c>
    </row>
    <row r="197" spans="1:72" ht="13.5" customHeight="1">
      <c r="A197" s="1182" t="s">
        <v>1803</v>
      </c>
      <c r="B197" s="1182" t="s">
        <v>1804</v>
      </c>
      <c r="C197" s="1182" t="s">
        <v>1639</v>
      </c>
      <c r="D197" s="1182" t="s">
        <v>2092</v>
      </c>
      <c r="E197" s="1182" t="s">
        <v>2093</v>
      </c>
      <c r="F197" s="1182" t="s">
        <v>2352</v>
      </c>
      <c r="G197" s="1182" t="s">
        <v>2352</v>
      </c>
      <c r="H197" s="1182" t="s">
        <v>2076</v>
      </c>
      <c r="I197" s="1182" t="s">
        <v>1937</v>
      </c>
      <c r="J197" s="1182" t="s">
        <v>2353</v>
      </c>
      <c r="K197" s="1182" t="s">
        <v>1811</v>
      </c>
      <c r="L197" s="1182" t="s">
        <v>1812</v>
      </c>
      <c r="M197" s="1182" t="s">
        <v>1803</v>
      </c>
      <c r="N197" s="1182" t="s">
        <v>1939</v>
      </c>
      <c r="O197" s="1182" t="s">
        <v>1554</v>
      </c>
      <c r="P197" s="1182" t="s">
        <v>1575</v>
      </c>
      <c r="Q197" s="1182" t="s">
        <v>1574</v>
      </c>
      <c r="R197" s="1182" t="s">
        <v>1573</v>
      </c>
      <c r="S197" s="1182" t="s">
        <v>1577</v>
      </c>
      <c r="T197" s="1182" t="s">
        <v>1814</v>
      </c>
      <c r="U197" s="1182" t="s">
        <v>1815</v>
      </c>
      <c r="V197" s="1182">
        <v>0</v>
      </c>
      <c r="W197" s="1182">
        <v>0</v>
      </c>
      <c r="X197" s="1182">
        <v>0</v>
      </c>
      <c r="Y197" s="1183">
        <v>300</v>
      </c>
      <c r="Z197" s="1182" t="s">
        <v>1940</v>
      </c>
      <c r="AA197" s="1182" t="s">
        <v>1941</v>
      </c>
      <c r="AB197" s="1182">
        <v>300</v>
      </c>
      <c r="AC197" s="1182" t="s">
        <v>1942</v>
      </c>
      <c r="AD197" s="1182" t="s">
        <v>1577</v>
      </c>
      <c r="AE197" s="1182">
        <v>300</v>
      </c>
      <c r="AF197" s="1182" t="s">
        <v>1943</v>
      </c>
      <c r="AG197" s="1182" t="s">
        <v>1944</v>
      </c>
      <c r="AH197" s="1182">
        <v>0</v>
      </c>
      <c r="AI197" s="1182">
        <v>300</v>
      </c>
      <c r="AJ197" s="1182" t="s">
        <v>2354</v>
      </c>
      <c r="AL197" s="1186" t="s">
        <v>2355</v>
      </c>
      <c r="AM197" s="1182">
        <v>1</v>
      </c>
      <c r="AN197" s="1182">
        <v>0</v>
      </c>
      <c r="AO197" s="1182">
        <v>0</v>
      </c>
      <c r="AP197" s="1182">
        <v>0</v>
      </c>
      <c r="AQ197" s="1182" t="s">
        <v>1639</v>
      </c>
      <c r="AS197" s="1186" t="s">
        <v>1943</v>
      </c>
      <c r="AT197" s="1186" t="s">
        <v>1944</v>
      </c>
      <c r="AV197" s="1183">
        <v>138</v>
      </c>
      <c r="AW197" s="1183">
        <v>0</v>
      </c>
      <c r="AX197" s="1183">
        <v>0</v>
      </c>
      <c r="AY197" s="1538">
        <v>138</v>
      </c>
      <c r="AZ197" s="1183">
        <v>0</v>
      </c>
      <c r="BA197" s="1183">
        <v>162</v>
      </c>
      <c r="BB197" s="1540">
        <v>162</v>
      </c>
      <c r="BC197" s="1540">
        <v>300</v>
      </c>
      <c r="BD197" s="1540">
        <v>0</v>
      </c>
      <c r="BF197" s="1539">
        <f t="shared" si="49"/>
        <v>138</v>
      </c>
      <c r="BG197" s="1539">
        <f t="shared" si="50"/>
        <v>0</v>
      </c>
      <c r="BH197" s="1539">
        <f t="shared" si="51"/>
        <v>0</v>
      </c>
      <c r="BI197" s="1539">
        <f t="shared" si="52"/>
        <v>138</v>
      </c>
      <c r="BJ197" s="1539">
        <f t="shared" si="53"/>
        <v>0</v>
      </c>
      <c r="BK197" s="1539">
        <f t="shared" si="54"/>
        <v>162</v>
      </c>
      <c r="BL197" s="1539">
        <f t="shared" si="55"/>
        <v>162</v>
      </c>
      <c r="BM197" s="1539">
        <f t="shared" si="56"/>
        <v>300</v>
      </c>
      <c r="BO197" s="1183"/>
      <c r="BQ197" s="1182">
        <f t="shared" si="57"/>
        <v>0</v>
      </c>
      <c r="BR197" s="1182">
        <f t="shared" si="58"/>
        <v>0</v>
      </c>
      <c r="BS197" s="1182">
        <f t="shared" si="59"/>
        <v>0</v>
      </c>
      <c r="BT197" s="1182">
        <f t="shared" si="59"/>
        <v>0</v>
      </c>
    </row>
    <row r="198" spans="1:72" ht="13.5" customHeight="1">
      <c r="A198" s="1182" t="s">
        <v>1803</v>
      </c>
      <c r="B198" s="1182" t="s">
        <v>1804</v>
      </c>
      <c r="C198" s="1182" t="s">
        <v>1639</v>
      </c>
      <c r="D198" s="1182" t="s">
        <v>2092</v>
      </c>
      <c r="E198" s="1182" t="s">
        <v>2093</v>
      </c>
      <c r="F198" s="1182" t="s">
        <v>2352</v>
      </c>
      <c r="G198" s="1182" t="s">
        <v>2352</v>
      </c>
      <c r="H198" s="1182" t="s">
        <v>2076</v>
      </c>
      <c r="I198" s="1182" t="s">
        <v>1937</v>
      </c>
      <c r="J198" s="1182" t="s">
        <v>2353</v>
      </c>
      <c r="K198" s="1182" t="s">
        <v>1811</v>
      </c>
      <c r="L198" s="1182" t="s">
        <v>1956</v>
      </c>
      <c r="M198" s="1182" t="s">
        <v>1803</v>
      </c>
      <c r="N198" s="1182" t="s">
        <v>1939</v>
      </c>
      <c r="O198" s="1182" t="s">
        <v>1554</v>
      </c>
      <c r="P198" s="1182" t="s">
        <v>1575</v>
      </c>
      <c r="Q198" s="1182" t="s">
        <v>1574</v>
      </c>
      <c r="R198" s="1182" t="s">
        <v>1573</v>
      </c>
      <c r="S198" s="1182" t="s">
        <v>1577</v>
      </c>
      <c r="T198" s="1182" t="s">
        <v>1814</v>
      </c>
      <c r="U198" s="1182" t="s">
        <v>1815</v>
      </c>
      <c r="V198" s="1182">
        <v>0</v>
      </c>
      <c r="W198" s="1182">
        <v>0</v>
      </c>
      <c r="X198" s="1182">
        <v>0</v>
      </c>
      <c r="Y198" s="1183">
        <v>300</v>
      </c>
      <c r="Z198" s="1182" t="s">
        <v>1940</v>
      </c>
      <c r="AA198" s="1182" t="s">
        <v>1941</v>
      </c>
      <c r="AB198" s="1182">
        <v>300</v>
      </c>
      <c r="AC198" s="1182" t="s">
        <v>1942</v>
      </c>
      <c r="AD198" s="1182" t="s">
        <v>1577</v>
      </c>
      <c r="AE198" s="1182">
        <v>300</v>
      </c>
      <c r="AF198" s="1182" t="s">
        <v>1943</v>
      </c>
      <c r="AG198" s="1182" t="s">
        <v>1944</v>
      </c>
      <c r="AH198" s="1182">
        <v>0</v>
      </c>
      <c r="AI198" s="1182">
        <v>300</v>
      </c>
      <c r="AJ198" s="1182" t="s">
        <v>2356</v>
      </c>
      <c r="AL198" s="1186" t="s">
        <v>2357</v>
      </c>
      <c r="AM198" s="1182">
        <v>1</v>
      </c>
      <c r="AN198" s="1182">
        <v>0</v>
      </c>
      <c r="AO198" s="1182">
        <v>0</v>
      </c>
      <c r="AP198" s="1182">
        <v>0</v>
      </c>
      <c r="AQ198" s="1182" t="s">
        <v>1639</v>
      </c>
      <c r="AS198" s="1186" t="s">
        <v>1943</v>
      </c>
      <c r="AT198" s="1186" t="s">
        <v>1944</v>
      </c>
      <c r="AV198" s="1183">
        <v>138</v>
      </c>
      <c r="AW198" s="1183">
        <v>0</v>
      </c>
      <c r="AX198" s="1183">
        <v>0</v>
      </c>
      <c r="AY198" s="1538">
        <v>138</v>
      </c>
      <c r="AZ198" s="1183">
        <v>0</v>
      </c>
      <c r="BA198" s="1183">
        <v>162</v>
      </c>
      <c r="BB198" s="1540">
        <v>162</v>
      </c>
      <c r="BC198" s="1540">
        <v>300</v>
      </c>
      <c r="BD198" s="1540">
        <v>0</v>
      </c>
      <c r="BF198" s="1539">
        <f t="shared" si="49"/>
        <v>138</v>
      </c>
      <c r="BG198" s="1539">
        <f t="shared" si="50"/>
        <v>0</v>
      </c>
      <c r="BH198" s="1539">
        <f t="shared" si="51"/>
        <v>0</v>
      </c>
      <c r="BI198" s="1539">
        <f t="shared" si="52"/>
        <v>138</v>
      </c>
      <c r="BJ198" s="1539">
        <f t="shared" si="53"/>
        <v>0</v>
      </c>
      <c r="BK198" s="1539">
        <f t="shared" si="54"/>
        <v>162</v>
      </c>
      <c r="BL198" s="1539">
        <f t="shared" si="55"/>
        <v>162</v>
      </c>
      <c r="BM198" s="1539">
        <f t="shared" si="56"/>
        <v>300</v>
      </c>
      <c r="BO198" s="1183"/>
      <c r="BQ198" s="1182">
        <f t="shared" si="57"/>
        <v>0</v>
      </c>
      <c r="BR198" s="1182">
        <f t="shared" si="58"/>
        <v>0</v>
      </c>
      <c r="BS198" s="1182">
        <f t="shared" si="59"/>
        <v>0</v>
      </c>
      <c r="BT198" s="1182">
        <f t="shared" si="59"/>
        <v>0</v>
      </c>
    </row>
    <row r="199" spans="1:72" ht="13.5" customHeight="1">
      <c r="A199" s="1182" t="s">
        <v>1803</v>
      </c>
      <c r="B199" s="1182" t="s">
        <v>1804</v>
      </c>
      <c r="C199" s="1182" t="s">
        <v>1639</v>
      </c>
      <c r="D199" s="1182" t="s">
        <v>1967</v>
      </c>
      <c r="E199" s="1182" t="s">
        <v>1968</v>
      </c>
      <c r="F199" s="1182" t="s">
        <v>2366</v>
      </c>
      <c r="G199" s="1182" t="s">
        <v>2366</v>
      </c>
      <c r="H199" s="1182" t="s">
        <v>2076</v>
      </c>
      <c r="I199" s="1182" t="s">
        <v>1937</v>
      </c>
      <c r="J199" s="1182" t="s">
        <v>2367</v>
      </c>
      <c r="K199" s="1182" t="s">
        <v>1811</v>
      </c>
      <c r="L199" s="1182" t="s">
        <v>1812</v>
      </c>
      <c r="M199" s="1182" t="s">
        <v>1803</v>
      </c>
      <c r="N199" s="1182" t="s">
        <v>1939</v>
      </c>
      <c r="O199" s="1182" t="s">
        <v>1554</v>
      </c>
      <c r="P199" s="1182" t="s">
        <v>1575</v>
      </c>
      <c r="Q199" s="1182" t="s">
        <v>1574</v>
      </c>
      <c r="R199" s="1182" t="s">
        <v>1573</v>
      </c>
      <c r="S199" s="1182" t="s">
        <v>1577</v>
      </c>
      <c r="T199" s="1182" t="s">
        <v>1814</v>
      </c>
      <c r="U199" s="1182" t="s">
        <v>1815</v>
      </c>
      <c r="V199" s="1182">
        <v>0</v>
      </c>
      <c r="W199" s="1182">
        <v>0</v>
      </c>
      <c r="X199" s="1182">
        <v>0</v>
      </c>
      <c r="Y199" s="1183">
        <v>300</v>
      </c>
      <c r="Z199" s="1182" t="s">
        <v>1940</v>
      </c>
      <c r="AA199" s="1182" t="s">
        <v>1941</v>
      </c>
      <c r="AB199" s="1182">
        <v>300</v>
      </c>
      <c r="AC199" s="1182" t="s">
        <v>1942</v>
      </c>
      <c r="AD199" s="1182" t="s">
        <v>1577</v>
      </c>
      <c r="AE199" s="1182">
        <v>300</v>
      </c>
      <c r="AF199" s="1182" t="s">
        <v>1943</v>
      </c>
      <c r="AG199" s="1182" t="s">
        <v>1944</v>
      </c>
      <c r="AH199" s="1182">
        <v>0</v>
      </c>
      <c r="AI199" s="1182">
        <v>300</v>
      </c>
      <c r="AJ199" s="1182" t="s">
        <v>2368</v>
      </c>
      <c r="AL199" s="1186" t="s">
        <v>2369</v>
      </c>
      <c r="AM199" s="1182">
        <v>1</v>
      </c>
      <c r="AN199" s="1182">
        <v>0</v>
      </c>
      <c r="AO199" s="1182">
        <v>0</v>
      </c>
      <c r="AP199" s="1182">
        <v>0</v>
      </c>
      <c r="AQ199" s="1182" t="s">
        <v>1639</v>
      </c>
      <c r="AS199" s="1186" t="s">
        <v>1943</v>
      </c>
      <c r="AT199" s="1186" t="s">
        <v>1944</v>
      </c>
      <c r="AV199" s="1183">
        <v>138</v>
      </c>
      <c r="AW199" s="1183">
        <v>0</v>
      </c>
      <c r="AX199" s="1183">
        <v>0</v>
      </c>
      <c r="AY199" s="1538">
        <v>138</v>
      </c>
      <c r="AZ199" s="1183">
        <v>0</v>
      </c>
      <c r="BA199" s="1183">
        <v>162</v>
      </c>
      <c r="BB199" s="1540">
        <v>162</v>
      </c>
      <c r="BC199" s="1540">
        <v>300</v>
      </c>
      <c r="BD199" s="1540">
        <v>0</v>
      </c>
      <c r="BF199" s="1539">
        <f t="shared" ref="BF199:BF262" si="60">+IFERROR(ROUND(AV199*100/(100+$AT199),0),AV199)</f>
        <v>138</v>
      </c>
      <c r="BG199" s="1539">
        <f t="shared" ref="BG199:BG262" si="61">+IFERROR(ROUND(AW199*100/(100+$AT199),0),AW199)</f>
        <v>0</v>
      </c>
      <c r="BH199" s="1539">
        <f t="shared" ref="BH199:BH262" si="62">+IFERROR(ROUND(AX199*100/(100+$AT199),0),AX199)</f>
        <v>0</v>
      </c>
      <c r="BI199" s="1539">
        <f t="shared" ref="BI199:BI262" si="63">SUM(BF199:BH199)</f>
        <v>138</v>
      </c>
      <c r="BJ199" s="1539">
        <f t="shared" ref="BJ199:BJ262" si="64">+IFERROR(ROUND(AZ199*100/(100+$AT199),0),AZ199)</f>
        <v>0</v>
      </c>
      <c r="BK199" s="1539">
        <f t="shared" ref="BK199:BK262" si="65">+IFERROR(ROUND(BA199*100/(100+$AT199),0),BA199)</f>
        <v>162</v>
      </c>
      <c r="BL199" s="1539">
        <f t="shared" ref="BL199:BL262" si="66">SUM(BJ199:BK199)</f>
        <v>162</v>
      </c>
      <c r="BM199" s="1539">
        <f t="shared" ref="BM199:BM262" si="67">+BI199+BL199</f>
        <v>300</v>
      </c>
      <c r="BO199" s="1183"/>
      <c r="BQ199" s="1182">
        <f t="shared" ref="BQ199:BQ262" si="68">AY199*100/(100+$AT199)-BI199</f>
        <v>0</v>
      </c>
      <c r="BR199" s="1182">
        <f t="shared" ref="BR199:BR262" si="69">BB199*100/(100+$AT199)-BL199</f>
        <v>0</v>
      </c>
      <c r="BS199" s="1182">
        <f t="shared" si="59"/>
        <v>0</v>
      </c>
      <c r="BT199" s="1182">
        <f t="shared" si="59"/>
        <v>0</v>
      </c>
    </row>
    <row r="200" spans="1:72" ht="13.5" customHeight="1">
      <c r="A200" s="1182" t="s">
        <v>1803</v>
      </c>
      <c r="B200" s="1182" t="s">
        <v>1804</v>
      </c>
      <c r="C200" s="1182" t="s">
        <v>1639</v>
      </c>
      <c r="D200" s="1182" t="s">
        <v>2092</v>
      </c>
      <c r="E200" s="1182" t="s">
        <v>2093</v>
      </c>
      <c r="F200" s="1182" t="s">
        <v>1823</v>
      </c>
      <c r="G200" s="1182" t="s">
        <v>1823</v>
      </c>
      <c r="H200" s="1182" t="s">
        <v>2076</v>
      </c>
      <c r="I200" s="1182" t="s">
        <v>1937</v>
      </c>
      <c r="J200" s="1182" t="s">
        <v>2370</v>
      </c>
      <c r="K200" s="1182" t="s">
        <v>1811</v>
      </c>
      <c r="L200" s="1182" t="s">
        <v>1812</v>
      </c>
      <c r="M200" s="1182" t="s">
        <v>1803</v>
      </c>
      <c r="N200" s="1182" t="s">
        <v>1939</v>
      </c>
      <c r="O200" s="1182" t="s">
        <v>1554</v>
      </c>
      <c r="P200" s="1182" t="s">
        <v>1575</v>
      </c>
      <c r="Q200" s="1182" t="s">
        <v>1574</v>
      </c>
      <c r="R200" s="1182" t="s">
        <v>1573</v>
      </c>
      <c r="S200" s="1182" t="s">
        <v>1577</v>
      </c>
      <c r="T200" s="1182" t="s">
        <v>1814</v>
      </c>
      <c r="U200" s="1182" t="s">
        <v>1815</v>
      </c>
      <c r="V200" s="1182">
        <v>0</v>
      </c>
      <c r="W200" s="1182">
        <v>0</v>
      </c>
      <c r="X200" s="1182">
        <v>0</v>
      </c>
      <c r="Y200" s="1183">
        <v>200</v>
      </c>
      <c r="Z200" s="1182" t="s">
        <v>1940</v>
      </c>
      <c r="AA200" s="1182" t="s">
        <v>1941</v>
      </c>
      <c r="AB200" s="1182">
        <v>200</v>
      </c>
      <c r="AC200" s="1182" t="s">
        <v>1942</v>
      </c>
      <c r="AD200" s="1182" t="s">
        <v>1577</v>
      </c>
      <c r="AE200" s="1182">
        <v>200</v>
      </c>
      <c r="AF200" s="1182" t="s">
        <v>1943</v>
      </c>
      <c r="AG200" s="1182" t="s">
        <v>1944</v>
      </c>
      <c r="AH200" s="1182">
        <v>0</v>
      </c>
      <c r="AI200" s="1182">
        <v>200</v>
      </c>
      <c r="AJ200" s="1182" t="s">
        <v>2371</v>
      </c>
      <c r="AL200" s="1186" t="s">
        <v>2372</v>
      </c>
      <c r="AM200" s="1182">
        <v>1</v>
      </c>
      <c r="AN200" s="1182">
        <v>0</v>
      </c>
      <c r="AO200" s="1182">
        <v>0</v>
      </c>
      <c r="AP200" s="1182">
        <v>0</v>
      </c>
      <c r="AQ200" s="1182" t="s">
        <v>1639</v>
      </c>
      <c r="AS200" s="1186" t="s">
        <v>1943</v>
      </c>
      <c r="AT200" s="1186" t="s">
        <v>1944</v>
      </c>
      <c r="AV200" s="1183">
        <v>92</v>
      </c>
      <c r="AW200" s="1183">
        <v>0</v>
      </c>
      <c r="AX200" s="1183">
        <v>0</v>
      </c>
      <c r="AY200" s="1538">
        <v>92</v>
      </c>
      <c r="AZ200" s="1183">
        <v>0</v>
      </c>
      <c r="BA200" s="1183">
        <v>108</v>
      </c>
      <c r="BB200" s="1540">
        <v>108</v>
      </c>
      <c r="BC200" s="1540">
        <v>200</v>
      </c>
      <c r="BD200" s="1540">
        <v>0</v>
      </c>
      <c r="BF200" s="1539">
        <f t="shared" si="60"/>
        <v>92</v>
      </c>
      <c r="BG200" s="1539">
        <f t="shared" si="61"/>
        <v>0</v>
      </c>
      <c r="BH200" s="1539">
        <f t="shared" si="62"/>
        <v>0</v>
      </c>
      <c r="BI200" s="1539">
        <f t="shared" si="63"/>
        <v>92</v>
      </c>
      <c r="BJ200" s="1539">
        <f t="shared" si="64"/>
        <v>0</v>
      </c>
      <c r="BK200" s="1539">
        <f t="shared" si="65"/>
        <v>108</v>
      </c>
      <c r="BL200" s="1539">
        <f t="shared" si="66"/>
        <v>108</v>
      </c>
      <c r="BM200" s="1539">
        <f t="shared" si="67"/>
        <v>200</v>
      </c>
      <c r="BO200" s="1183"/>
      <c r="BQ200" s="1182">
        <f t="shared" si="68"/>
        <v>0</v>
      </c>
      <c r="BR200" s="1182">
        <f t="shared" si="69"/>
        <v>0</v>
      </c>
      <c r="BS200" s="1182">
        <f t="shared" si="59"/>
        <v>0</v>
      </c>
      <c r="BT200" s="1182">
        <f t="shared" si="59"/>
        <v>0</v>
      </c>
    </row>
    <row r="201" spans="1:72" ht="13.5" customHeight="1">
      <c r="A201" s="1182" t="s">
        <v>1803</v>
      </c>
      <c r="B201" s="1182" t="s">
        <v>1804</v>
      </c>
      <c r="C201" s="1182" t="s">
        <v>1639</v>
      </c>
      <c r="D201" s="1182" t="s">
        <v>1915</v>
      </c>
      <c r="E201" s="1182" t="s">
        <v>1916</v>
      </c>
      <c r="F201" s="1182" t="s">
        <v>2234</v>
      </c>
      <c r="G201" s="1182" t="s">
        <v>2234</v>
      </c>
      <c r="H201" s="1182" t="s">
        <v>2076</v>
      </c>
      <c r="I201" s="1182" t="s">
        <v>1937</v>
      </c>
      <c r="J201" s="1182" t="s">
        <v>2235</v>
      </c>
      <c r="K201" s="1182" t="s">
        <v>1811</v>
      </c>
      <c r="L201" s="1182" t="s">
        <v>1812</v>
      </c>
      <c r="M201" s="1182" t="s">
        <v>1803</v>
      </c>
      <c r="N201" s="1182" t="s">
        <v>1939</v>
      </c>
      <c r="O201" s="1182" t="s">
        <v>1554</v>
      </c>
      <c r="P201" s="1182" t="s">
        <v>1575</v>
      </c>
      <c r="Q201" s="1182" t="s">
        <v>1574</v>
      </c>
      <c r="R201" s="1182" t="s">
        <v>1573</v>
      </c>
      <c r="S201" s="1182" t="s">
        <v>1577</v>
      </c>
      <c r="T201" s="1182" t="s">
        <v>1814</v>
      </c>
      <c r="U201" s="1182" t="s">
        <v>1815</v>
      </c>
      <c r="V201" s="1182">
        <v>0</v>
      </c>
      <c r="W201" s="1182">
        <v>0</v>
      </c>
      <c r="X201" s="1182">
        <v>0</v>
      </c>
      <c r="Y201" s="1183">
        <v>300</v>
      </c>
      <c r="Z201" s="1182" t="s">
        <v>1940</v>
      </c>
      <c r="AA201" s="1182" t="s">
        <v>1941</v>
      </c>
      <c r="AB201" s="1182">
        <v>300</v>
      </c>
      <c r="AC201" s="1182" t="s">
        <v>1942</v>
      </c>
      <c r="AD201" s="1182" t="s">
        <v>1577</v>
      </c>
      <c r="AE201" s="1182">
        <v>300</v>
      </c>
      <c r="AF201" s="1182" t="s">
        <v>1943</v>
      </c>
      <c r="AG201" s="1182" t="s">
        <v>1944</v>
      </c>
      <c r="AH201" s="1182">
        <v>0</v>
      </c>
      <c r="AI201" s="1182">
        <v>300</v>
      </c>
      <c r="AJ201" s="1182" t="s">
        <v>2236</v>
      </c>
      <c r="AL201" s="1186" t="s">
        <v>2237</v>
      </c>
      <c r="AM201" s="1182">
        <v>1</v>
      </c>
      <c r="AN201" s="1182">
        <v>0</v>
      </c>
      <c r="AO201" s="1182">
        <v>0</v>
      </c>
      <c r="AP201" s="1182">
        <v>0</v>
      </c>
      <c r="AQ201" s="1182" t="s">
        <v>1639</v>
      </c>
      <c r="AS201" s="1186" t="s">
        <v>1943</v>
      </c>
      <c r="AT201" s="1186" t="s">
        <v>1944</v>
      </c>
      <c r="AV201" s="1183">
        <v>138</v>
      </c>
      <c r="AW201" s="1183">
        <v>0</v>
      </c>
      <c r="AX201" s="1183">
        <v>0</v>
      </c>
      <c r="AY201" s="1538">
        <v>138</v>
      </c>
      <c r="AZ201" s="1183">
        <v>0</v>
      </c>
      <c r="BA201" s="1183">
        <v>162</v>
      </c>
      <c r="BB201" s="1540">
        <v>162</v>
      </c>
      <c r="BC201" s="1540">
        <v>300</v>
      </c>
      <c r="BD201" s="1540">
        <v>0</v>
      </c>
      <c r="BF201" s="1539">
        <f t="shared" si="60"/>
        <v>138</v>
      </c>
      <c r="BG201" s="1539">
        <f t="shared" si="61"/>
        <v>0</v>
      </c>
      <c r="BH201" s="1539">
        <f t="shared" si="62"/>
        <v>0</v>
      </c>
      <c r="BI201" s="1539">
        <f t="shared" si="63"/>
        <v>138</v>
      </c>
      <c r="BJ201" s="1539">
        <f t="shared" si="64"/>
        <v>0</v>
      </c>
      <c r="BK201" s="1539">
        <f t="shared" si="65"/>
        <v>162</v>
      </c>
      <c r="BL201" s="1539">
        <f t="shared" si="66"/>
        <v>162</v>
      </c>
      <c r="BM201" s="1539">
        <f t="shared" si="67"/>
        <v>300</v>
      </c>
      <c r="BO201" s="1183"/>
      <c r="BQ201" s="1182">
        <f t="shared" si="68"/>
        <v>0</v>
      </c>
      <c r="BR201" s="1182">
        <f t="shared" si="69"/>
        <v>0</v>
      </c>
      <c r="BS201" s="1182">
        <f t="shared" si="59"/>
        <v>0</v>
      </c>
      <c r="BT201" s="1182">
        <f t="shared" si="59"/>
        <v>0</v>
      </c>
    </row>
    <row r="202" spans="1:72" ht="13.5" customHeight="1">
      <c r="A202" s="1182" t="s">
        <v>1803</v>
      </c>
      <c r="B202" s="1182" t="s">
        <v>1804</v>
      </c>
      <c r="C202" s="1182" t="s">
        <v>1639</v>
      </c>
      <c r="D202" s="1182" t="s">
        <v>1915</v>
      </c>
      <c r="E202" s="1182" t="s">
        <v>1916</v>
      </c>
      <c r="F202" s="1182" t="s">
        <v>2000</v>
      </c>
      <c r="G202" s="1182" t="s">
        <v>2000</v>
      </c>
      <c r="H202" s="1182" t="s">
        <v>2076</v>
      </c>
      <c r="I202" s="1182" t="s">
        <v>1937</v>
      </c>
      <c r="J202" s="1182" t="s">
        <v>2238</v>
      </c>
      <c r="K202" s="1182" t="s">
        <v>1811</v>
      </c>
      <c r="L202" s="1182" t="s">
        <v>1812</v>
      </c>
      <c r="M202" s="1182" t="s">
        <v>1803</v>
      </c>
      <c r="N202" s="1182" t="s">
        <v>1939</v>
      </c>
      <c r="O202" s="1182" t="s">
        <v>1554</v>
      </c>
      <c r="P202" s="1182" t="s">
        <v>1575</v>
      </c>
      <c r="Q202" s="1182" t="s">
        <v>1574</v>
      </c>
      <c r="R202" s="1182" t="s">
        <v>1573</v>
      </c>
      <c r="S202" s="1182" t="s">
        <v>1577</v>
      </c>
      <c r="T202" s="1182" t="s">
        <v>1814</v>
      </c>
      <c r="U202" s="1182" t="s">
        <v>1815</v>
      </c>
      <c r="V202" s="1182">
        <v>0</v>
      </c>
      <c r="W202" s="1182">
        <v>0</v>
      </c>
      <c r="X202" s="1182">
        <v>0</v>
      </c>
      <c r="Y202" s="1183">
        <v>300</v>
      </c>
      <c r="Z202" s="1182" t="s">
        <v>1940</v>
      </c>
      <c r="AA202" s="1182" t="s">
        <v>1941</v>
      </c>
      <c r="AB202" s="1182">
        <v>300</v>
      </c>
      <c r="AC202" s="1182" t="s">
        <v>1942</v>
      </c>
      <c r="AD202" s="1182" t="s">
        <v>1577</v>
      </c>
      <c r="AE202" s="1182">
        <v>300</v>
      </c>
      <c r="AF202" s="1182" t="s">
        <v>1943</v>
      </c>
      <c r="AG202" s="1182" t="s">
        <v>1944</v>
      </c>
      <c r="AH202" s="1182">
        <v>0</v>
      </c>
      <c r="AI202" s="1182">
        <v>300</v>
      </c>
      <c r="AJ202" s="1182" t="s">
        <v>2239</v>
      </c>
      <c r="AL202" s="1186" t="s">
        <v>2240</v>
      </c>
      <c r="AM202" s="1182">
        <v>1</v>
      </c>
      <c r="AN202" s="1182">
        <v>0</v>
      </c>
      <c r="AO202" s="1182">
        <v>0</v>
      </c>
      <c r="AP202" s="1182">
        <v>0</v>
      </c>
      <c r="AQ202" s="1182" t="s">
        <v>1639</v>
      </c>
      <c r="AS202" s="1186" t="s">
        <v>1943</v>
      </c>
      <c r="AT202" s="1186" t="s">
        <v>1944</v>
      </c>
      <c r="AV202" s="1183">
        <v>138</v>
      </c>
      <c r="AW202" s="1183">
        <v>0</v>
      </c>
      <c r="AX202" s="1183">
        <v>0</v>
      </c>
      <c r="AY202" s="1538">
        <v>138</v>
      </c>
      <c r="AZ202" s="1183">
        <v>0</v>
      </c>
      <c r="BA202" s="1183">
        <v>162</v>
      </c>
      <c r="BB202" s="1540">
        <v>162</v>
      </c>
      <c r="BC202" s="1540">
        <v>300</v>
      </c>
      <c r="BD202" s="1540">
        <v>0</v>
      </c>
      <c r="BF202" s="1539">
        <f t="shared" si="60"/>
        <v>138</v>
      </c>
      <c r="BG202" s="1539">
        <f t="shared" si="61"/>
        <v>0</v>
      </c>
      <c r="BH202" s="1539">
        <f t="shared" si="62"/>
        <v>0</v>
      </c>
      <c r="BI202" s="1539">
        <f t="shared" si="63"/>
        <v>138</v>
      </c>
      <c r="BJ202" s="1539">
        <f t="shared" si="64"/>
        <v>0</v>
      </c>
      <c r="BK202" s="1539">
        <f t="shared" si="65"/>
        <v>162</v>
      </c>
      <c r="BL202" s="1539">
        <f t="shared" si="66"/>
        <v>162</v>
      </c>
      <c r="BM202" s="1539">
        <f t="shared" si="67"/>
        <v>300</v>
      </c>
      <c r="BO202" s="1183"/>
      <c r="BQ202" s="1182">
        <f t="shared" si="68"/>
        <v>0</v>
      </c>
      <c r="BR202" s="1182">
        <f t="shared" si="69"/>
        <v>0</v>
      </c>
      <c r="BS202" s="1182">
        <f t="shared" si="59"/>
        <v>0</v>
      </c>
      <c r="BT202" s="1182">
        <f t="shared" si="59"/>
        <v>0</v>
      </c>
    </row>
    <row r="203" spans="1:72" ht="13.5" customHeight="1">
      <c r="A203" s="1182" t="s">
        <v>1803</v>
      </c>
      <c r="B203" s="1182" t="s">
        <v>1804</v>
      </c>
      <c r="C203" s="1182" t="s">
        <v>1639</v>
      </c>
      <c r="D203" s="1182" t="s">
        <v>2092</v>
      </c>
      <c r="E203" s="1182" t="s">
        <v>2093</v>
      </c>
      <c r="F203" s="1182" t="s">
        <v>2241</v>
      </c>
      <c r="G203" s="1182" t="s">
        <v>2241</v>
      </c>
      <c r="H203" s="1182" t="s">
        <v>2076</v>
      </c>
      <c r="I203" s="1182" t="s">
        <v>1937</v>
      </c>
      <c r="J203" s="1182" t="s">
        <v>2242</v>
      </c>
      <c r="K203" s="1182" t="s">
        <v>1811</v>
      </c>
      <c r="L203" s="1182" t="s">
        <v>1812</v>
      </c>
      <c r="M203" s="1182" t="s">
        <v>1803</v>
      </c>
      <c r="N203" s="1182" t="s">
        <v>1939</v>
      </c>
      <c r="O203" s="1182" t="s">
        <v>1554</v>
      </c>
      <c r="P203" s="1182" t="s">
        <v>1575</v>
      </c>
      <c r="Q203" s="1182" t="s">
        <v>1574</v>
      </c>
      <c r="R203" s="1182" t="s">
        <v>1573</v>
      </c>
      <c r="S203" s="1182" t="s">
        <v>1577</v>
      </c>
      <c r="T203" s="1182" t="s">
        <v>1814</v>
      </c>
      <c r="U203" s="1182" t="s">
        <v>1815</v>
      </c>
      <c r="V203" s="1182">
        <v>0</v>
      </c>
      <c r="W203" s="1182">
        <v>0</v>
      </c>
      <c r="X203" s="1182">
        <v>0</v>
      </c>
      <c r="Y203" s="1183">
        <v>300</v>
      </c>
      <c r="Z203" s="1182" t="s">
        <v>1940</v>
      </c>
      <c r="AA203" s="1182" t="s">
        <v>1941</v>
      </c>
      <c r="AB203" s="1182">
        <v>300</v>
      </c>
      <c r="AC203" s="1182" t="s">
        <v>1942</v>
      </c>
      <c r="AD203" s="1182" t="s">
        <v>1577</v>
      </c>
      <c r="AE203" s="1182">
        <v>300</v>
      </c>
      <c r="AF203" s="1182" t="s">
        <v>1943</v>
      </c>
      <c r="AG203" s="1182" t="s">
        <v>1944</v>
      </c>
      <c r="AH203" s="1182">
        <v>0</v>
      </c>
      <c r="AI203" s="1182">
        <v>300</v>
      </c>
      <c r="AJ203" s="1182" t="s">
        <v>2243</v>
      </c>
      <c r="AL203" s="1186" t="s">
        <v>2244</v>
      </c>
      <c r="AM203" s="1182">
        <v>1</v>
      </c>
      <c r="AN203" s="1182">
        <v>0</v>
      </c>
      <c r="AO203" s="1182">
        <v>0</v>
      </c>
      <c r="AP203" s="1182">
        <v>0</v>
      </c>
      <c r="AQ203" s="1182" t="s">
        <v>1639</v>
      </c>
      <c r="AS203" s="1186" t="s">
        <v>1943</v>
      </c>
      <c r="AT203" s="1186" t="s">
        <v>1944</v>
      </c>
      <c r="AV203" s="1183">
        <v>138</v>
      </c>
      <c r="AW203" s="1183">
        <v>0</v>
      </c>
      <c r="AX203" s="1183">
        <v>0</v>
      </c>
      <c r="AY203" s="1538">
        <v>138</v>
      </c>
      <c r="AZ203" s="1183">
        <v>0</v>
      </c>
      <c r="BA203" s="1183">
        <v>162</v>
      </c>
      <c r="BB203" s="1540">
        <v>162</v>
      </c>
      <c r="BC203" s="1540">
        <v>300</v>
      </c>
      <c r="BD203" s="1540">
        <v>0</v>
      </c>
      <c r="BF203" s="1539">
        <f t="shared" si="60"/>
        <v>138</v>
      </c>
      <c r="BG203" s="1539">
        <f t="shared" si="61"/>
        <v>0</v>
      </c>
      <c r="BH203" s="1539">
        <f t="shared" si="62"/>
        <v>0</v>
      </c>
      <c r="BI203" s="1539">
        <f t="shared" si="63"/>
        <v>138</v>
      </c>
      <c r="BJ203" s="1539">
        <f t="shared" si="64"/>
        <v>0</v>
      </c>
      <c r="BK203" s="1539">
        <f t="shared" si="65"/>
        <v>162</v>
      </c>
      <c r="BL203" s="1539">
        <f t="shared" si="66"/>
        <v>162</v>
      </c>
      <c r="BM203" s="1539">
        <f t="shared" si="67"/>
        <v>300</v>
      </c>
      <c r="BO203" s="1183"/>
      <c r="BQ203" s="1182">
        <f t="shared" si="68"/>
        <v>0</v>
      </c>
      <c r="BR203" s="1182">
        <f t="shared" si="69"/>
        <v>0</v>
      </c>
      <c r="BS203" s="1182">
        <f t="shared" si="59"/>
        <v>0</v>
      </c>
      <c r="BT203" s="1182">
        <f t="shared" si="59"/>
        <v>0</v>
      </c>
    </row>
    <row r="204" spans="1:72" ht="13.5" customHeight="1">
      <c r="A204" s="1182" t="s">
        <v>1803</v>
      </c>
      <c r="B204" s="1182" t="s">
        <v>1804</v>
      </c>
      <c r="C204" s="1182" t="s">
        <v>1639</v>
      </c>
      <c r="D204" s="1182" t="s">
        <v>2092</v>
      </c>
      <c r="E204" s="1182" t="s">
        <v>2093</v>
      </c>
      <c r="F204" s="1182" t="s">
        <v>2245</v>
      </c>
      <c r="G204" s="1182" t="s">
        <v>2245</v>
      </c>
      <c r="H204" s="1182" t="s">
        <v>2076</v>
      </c>
      <c r="I204" s="1182" t="s">
        <v>1937</v>
      </c>
      <c r="J204" s="1182" t="s">
        <v>2246</v>
      </c>
      <c r="K204" s="1182" t="s">
        <v>1811</v>
      </c>
      <c r="L204" s="1182" t="s">
        <v>1812</v>
      </c>
      <c r="M204" s="1182" t="s">
        <v>1803</v>
      </c>
      <c r="N204" s="1182" t="s">
        <v>1939</v>
      </c>
      <c r="O204" s="1182" t="s">
        <v>1554</v>
      </c>
      <c r="P204" s="1182" t="s">
        <v>1575</v>
      </c>
      <c r="Q204" s="1182" t="s">
        <v>1574</v>
      </c>
      <c r="R204" s="1182" t="s">
        <v>1573</v>
      </c>
      <c r="S204" s="1182" t="s">
        <v>1577</v>
      </c>
      <c r="T204" s="1182" t="s">
        <v>1814</v>
      </c>
      <c r="U204" s="1182" t="s">
        <v>1815</v>
      </c>
      <c r="V204" s="1182">
        <v>0</v>
      </c>
      <c r="W204" s="1182">
        <v>0</v>
      </c>
      <c r="X204" s="1182">
        <v>0</v>
      </c>
      <c r="Y204" s="1183">
        <v>600</v>
      </c>
      <c r="Z204" s="1182" t="s">
        <v>1940</v>
      </c>
      <c r="AA204" s="1182" t="s">
        <v>1941</v>
      </c>
      <c r="AB204" s="1182">
        <v>600</v>
      </c>
      <c r="AC204" s="1182" t="s">
        <v>1942</v>
      </c>
      <c r="AD204" s="1182" t="s">
        <v>1577</v>
      </c>
      <c r="AE204" s="1182">
        <v>600</v>
      </c>
      <c r="AF204" s="1182" t="s">
        <v>1943</v>
      </c>
      <c r="AG204" s="1182" t="s">
        <v>1944</v>
      </c>
      <c r="AH204" s="1182">
        <v>0</v>
      </c>
      <c r="AI204" s="1182">
        <v>600</v>
      </c>
      <c r="AJ204" s="1182" t="s">
        <v>2247</v>
      </c>
      <c r="AL204" s="1186" t="s">
        <v>2248</v>
      </c>
      <c r="AM204" s="1182">
        <v>1</v>
      </c>
      <c r="AN204" s="1182">
        <v>0</v>
      </c>
      <c r="AO204" s="1182">
        <v>0</v>
      </c>
      <c r="AP204" s="1182">
        <v>0</v>
      </c>
      <c r="AQ204" s="1182" t="s">
        <v>1639</v>
      </c>
      <c r="AS204" s="1186" t="s">
        <v>1943</v>
      </c>
      <c r="AT204" s="1186" t="s">
        <v>1944</v>
      </c>
      <c r="AV204" s="1183">
        <v>276</v>
      </c>
      <c r="AW204" s="1183">
        <v>0</v>
      </c>
      <c r="AX204" s="1183">
        <v>0</v>
      </c>
      <c r="AY204" s="1538">
        <v>276</v>
      </c>
      <c r="AZ204" s="1183">
        <v>0</v>
      </c>
      <c r="BA204" s="1183">
        <v>324</v>
      </c>
      <c r="BB204" s="1540">
        <v>324</v>
      </c>
      <c r="BC204" s="1540">
        <v>600</v>
      </c>
      <c r="BD204" s="1540">
        <v>0</v>
      </c>
      <c r="BF204" s="1539">
        <f t="shared" si="60"/>
        <v>276</v>
      </c>
      <c r="BG204" s="1539">
        <f t="shared" si="61"/>
        <v>0</v>
      </c>
      <c r="BH204" s="1539">
        <f t="shared" si="62"/>
        <v>0</v>
      </c>
      <c r="BI204" s="1539">
        <f t="shared" si="63"/>
        <v>276</v>
      </c>
      <c r="BJ204" s="1539">
        <f t="shared" si="64"/>
        <v>0</v>
      </c>
      <c r="BK204" s="1539">
        <f t="shared" si="65"/>
        <v>324</v>
      </c>
      <c r="BL204" s="1539">
        <f t="shared" si="66"/>
        <v>324</v>
      </c>
      <c r="BM204" s="1539">
        <f t="shared" si="67"/>
        <v>600</v>
      </c>
      <c r="BO204" s="1183"/>
      <c r="BQ204" s="1182">
        <f t="shared" si="68"/>
        <v>0</v>
      </c>
      <c r="BR204" s="1182">
        <f t="shared" si="69"/>
        <v>0</v>
      </c>
      <c r="BS204" s="1182">
        <f t="shared" si="59"/>
        <v>0</v>
      </c>
      <c r="BT204" s="1182">
        <f t="shared" si="59"/>
        <v>0</v>
      </c>
    </row>
    <row r="205" spans="1:72" ht="13.5" customHeight="1">
      <c r="A205" s="1182" t="s">
        <v>1803</v>
      </c>
      <c r="B205" s="1182" t="s">
        <v>1804</v>
      </c>
      <c r="C205" s="1182" t="s">
        <v>1639</v>
      </c>
      <c r="D205" s="1182" t="s">
        <v>2092</v>
      </c>
      <c r="E205" s="1182" t="s">
        <v>2093</v>
      </c>
      <c r="F205" s="1182" t="s">
        <v>2249</v>
      </c>
      <c r="G205" s="1182" t="s">
        <v>2249</v>
      </c>
      <c r="H205" s="1182" t="s">
        <v>2076</v>
      </c>
      <c r="I205" s="1182" t="s">
        <v>1937</v>
      </c>
      <c r="J205" s="1182" t="s">
        <v>2250</v>
      </c>
      <c r="K205" s="1182" t="s">
        <v>1811</v>
      </c>
      <c r="L205" s="1182" t="s">
        <v>1812</v>
      </c>
      <c r="M205" s="1182" t="s">
        <v>1803</v>
      </c>
      <c r="N205" s="1182" t="s">
        <v>1939</v>
      </c>
      <c r="O205" s="1182" t="s">
        <v>1554</v>
      </c>
      <c r="P205" s="1182" t="s">
        <v>1575</v>
      </c>
      <c r="Q205" s="1182" t="s">
        <v>1574</v>
      </c>
      <c r="R205" s="1182" t="s">
        <v>1573</v>
      </c>
      <c r="S205" s="1182" t="s">
        <v>1577</v>
      </c>
      <c r="T205" s="1182" t="s">
        <v>1814</v>
      </c>
      <c r="U205" s="1182" t="s">
        <v>1815</v>
      </c>
      <c r="V205" s="1182">
        <v>0</v>
      </c>
      <c r="W205" s="1182">
        <v>0</v>
      </c>
      <c r="X205" s="1182">
        <v>0</v>
      </c>
      <c r="Y205" s="1183">
        <v>300</v>
      </c>
      <c r="Z205" s="1182" t="s">
        <v>1940</v>
      </c>
      <c r="AA205" s="1182" t="s">
        <v>1941</v>
      </c>
      <c r="AB205" s="1182">
        <v>300</v>
      </c>
      <c r="AC205" s="1182" t="s">
        <v>1942</v>
      </c>
      <c r="AD205" s="1182" t="s">
        <v>1577</v>
      </c>
      <c r="AE205" s="1182">
        <v>300</v>
      </c>
      <c r="AF205" s="1182" t="s">
        <v>1943</v>
      </c>
      <c r="AG205" s="1182" t="s">
        <v>1944</v>
      </c>
      <c r="AH205" s="1182">
        <v>0</v>
      </c>
      <c r="AI205" s="1182">
        <v>300</v>
      </c>
      <c r="AJ205" s="1182" t="s">
        <v>2251</v>
      </c>
      <c r="AL205" s="1186" t="s">
        <v>2252</v>
      </c>
      <c r="AM205" s="1182">
        <v>1</v>
      </c>
      <c r="AN205" s="1182">
        <v>0</v>
      </c>
      <c r="AO205" s="1182">
        <v>0</v>
      </c>
      <c r="AP205" s="1182">
        <v>0</v>
      </c>
      <c r="AQ205" s="1182" t="s">
        <v>1639</v>
      </c>
      <c r="AS205" s="1186" t="s">
        <v>1943</v>
      </c>
      <c r="AT205" s="1186" t="s">
        <v>1944</v>
      </c>
      <c r="AV205" s="1183">
        <v>138</v>
      </c>
      <c r="AW205" s="1183">
        <v>0</v>
      </c>
      <c r="AX205" s="1183">
        <v>0</v>
      </c>
      <c r="AY205" s="1538">
        <v>138</v>
      </c>
      <c r="AZ205" s="1183">
        <v>0</v>
      </c>
      <c r="BA205" s="1183">
        <v>162</v>
      </c>
      <c r="BB205" s="1540">
        <v>162</v>
      </c>
      <c r="BC205" s="1540">
        <v>300</v>
      </c>
      <c r="BD205" s="1540">
        <v>0</v>
      </c>
      <c r="BF205" s="1539">
        <f t="shared" si="60"/>
        <v>138</v>
      </c>
      <c r="BG205" s="1539">
        <f t="shared" si="61"/>
        <v>0</v>
      </c>
      <c r="BH205" s="1539">
        <f t="shared" si="62"/>
        <v>0</v>
      </c>
      <c r="BI205" s="1539">
        <f t="shared" si="63"/>
        <v>138</v>
      </c>
      <c r="BJ205" s="1539">
        <f t="shared" si="64"/>
        <v>0</v>
      </c>
      <c r="BK205" s="1539">
        <f t="shared" si="65"/>
        <v>162</v>
      </c>
      <c r="BL205" s="1539">
        <f t="shared" si="66"/>
        <v>162</v>
      </c>
      <c r="BM205" s="1539">
        <f t="shared" si="67"/>
        <v>300</v>
      </c>
      <c r="BO205" s="1183"/>
      <c r="BQ205" s="1182">
        <f t="shared" si="68"/>
        <v>0</v>
      </c>
      <c r="BR205" s="1182">
        <f t="shared" si="69"/>
        <v>0</v>
      </c>
      <c r="BS205" s="1182">
        <f t="shared" si="59"/>
        <v>0</v>
      </c>
      <c r="BT205" s="1182">
        <f t="shared" si="59"/>
        <v>0</v>
      </c>
    </row>
    <row r="206" spans="1:72" ht="13.5" customHeight="1">
      <c r="A206" s="1182" t="s">
        <v>1803</v>
      </c>
      <c r="B206" s="1182" t="s">
        <v>1804</v>
      </c>
      <c r="C206" s="1182" t="s">
        <v>1639</v>
      </c>
      <c r="D206" s="1182" t="s">
        <v>2092</v>
      </c>
      <c r="E206" s="1182" t="s">
        <v>2093</v>
      </c>
      <c r="F206" s="1182" t="s">
        <v>2000</v>
      </c>
      <c r="G206" s="1182" t="s">
        <v>2000</v>
      </c>
      <c r="H206" s="1182" t="s">
        <v>2076</v>
      </c>
      <c r="I206" s="1182" t="s">
        <v>1937</v>
      </c>
      <c r="J206" s="1182" t="s">
        <v>2253</v>
      </c>
      <c r="K206" s="1182" t="s">
        <v>1811</v>
      </c>
      <c r="L206" s="1182" t="s">
        <v>1812</v>
      </c>
      <c r="M206" s="1182" t="s">
        <v>1803</v>
      </c>
      <c r="N206" s="1182" t="s">
        <v>1939</v>
      </c>
      <c r="O206" s="1182" t="s">
        <v>1554</v>
      </c>
      <c r="P206" s="1182" t="s">
        <v>1575</v>
      </c>
      <c r="Q206" s="1182" t="s">
        <v>1574</v>
      </c>
      <c r="R206" s="1182" t="s">
        <v>1573</v>
      </c>
      <c r="S206" s="1182" t="s">
        <v>1577</v>
      </c>
      <c r="T206" s="1182" t="s">
        <v>1814</v>
      </c>
      <c r="U206" s="1182" t="s">
        <v>1815</v>
      </c>
      <c r="V206" s="1182">
        <v>0</v>
      </c>
      <c r="W206" s="1182">
        <v>0</v>
      </c>
      <c r="X206" s="1182">
        <v>0</v>
      </c>
      <c r="Y206" s="1183">
        <v>950</v>
      </c>
      <c r="Z206" s="1182" t="s">
        <v>1940</v>
      </c>
      <c r="AA206" s="1182" t="s">
        <v>1941</v>
      </c>
      <c r="AB206" s="1182">
        <v>950</v>
      </c>
      <c r="AC206" s="1182" t="s">
        <v>1942</v>
      </c>
      <c r="AD206" s="1182" t="s">
        <v>1577</v>
      </c>
      <c r="AE206" s="1182">
        <v>950</v>
      </c>
      <c r="AF206" s="1182" t="s">
        <v>1943</v>
      </c>
      <c r="AG206" s="1182" t="s">
        <v>1944</v>
      </c>
      <c r="AH206" s="1182">
        <v>0</v>
      </c>
      <c r="AI206" s="1182">
        <v>950</v>
      </c>
      <c r="AJ206" s="1182" t="s">
        <v>2254</v>
      </c>
      <c r="AL206" s="1186" t="s">
        <v>2255</v>
      </c>
      <c r="AM206" s="1182">
        <v>1</v>
      </c>
      <c r="AN206" s="1182">
        <v>0</v>
      </c>
      <c r="AO206" s="1182">
        <v>0</v>
      </c>
      <c r="AP206" s="1182">
        <v>0</v>
      </c>
      <c r="AQ206" s="1182" t="s">
        <v>1639</v>
      </c>
      <c r="AS206" s="1186" t="s">
        <v>1943</v>
      </c>
      <c r="AT206" s="1186" t="s">
        <v>1944</v>
      </c>
      <c r="AV206" s="1183">
        <v>437</v>
      </c>
      <c r="AW206" s="1183">
        <v>0</v>
      </c>
      <c r="AX206" s="1183">
        <v>0</v>
      </c>
      <c r="AY206" s="1538">
        <v>437</v>
      </c>
      <c r="AZ206" s="1183">
        <v>0</v>
      </c>
      <c r="BA206" s="1183">
        <v>513</v>
      </c>
      <c r="BB206" s="1540">
        <v>513</v>
      </c>
      <c r="BC206" s="1540">
        <v>950</v>
      </c>
      <c r="BD206" s="1540">
        <v>0</v>
      </c>
      <c r="BF206" s="1539">
        <f t="shared" si="60"/>
        <v>437</v>
      </c>
      <c r="BG206" s="1539">
        <f t="shared" si="61"/>
        <v>0</v>
      </c>
      <c r="BH206" s="1539">
        <f t="shared" si="62"/>
        <v>0</v>
      </c>
      <c r="BI206" s="1539">
        <f t="shared" si="63"/>
        <v>437</v>
      </c>
      <c r="BJ206" s="1539">
        <f t="shared" si="64"/>
        <v>0</v>
      </c>
      <c r="BK206" s="1539">
        <f t="shared" si="65"/>
        <v>513</v>
      </c>
      <c r="BL206" s="1539">
        <f t="shared" si="66"/>
        <v>513</v>
      </c>
      <c r="BM206" s="1539">
        <f t="shared" si="67"/>
        <v>950</v>
      </c>
      <c r="BO206" s="1183"/>
      <c r="BQ206" s="1182">
        <f t="shared" si="68"/>
        <v>0</v>
      </c>
      <c r="BR206" s="1182">
        <f t="shared" si="69"/>
        <v>0</v>
      </c>
      <c r="BS206" s="1182">
        <f t="shared" si="59"/>
        <v>0</v>
      </c>
      <c r="BT206" s="1182">
        <f t="shared" si="59"/>
        <v>0</v>
      </c>
    </row>
    <row r="207" spans="1:72" ht="13.5" customHeight="1">
      <c r="A207" s="1182" t="s">
        <v>1803</v>
      </c>
      <c r="B207" s="1182" t="s">
        <v>1804</v>
      </c>
      <c r="C207" s="1182" t="s">
        <v>1639</v>
      </c>
      <c r="D207" s="1182" t="s">
        <v>2092</v>
      </c>
      <c r="E207" s="1182" t="s">
        <v>2093</v>
      </c>
      <c r="F207" s="1182" t="s">
        <v>2327</v>
      </c>
      <c r="G207" s="1182" t="s">
        <v>2327</v>
      </c>
      <c r="H207" s="1182" t="s">
        <v>2076</v>
      </c>
      <c r="I207" s="1182" t="s">
        <v>1937</v>
      </c>
      <c r="J207" s="1182" t="s">
        <v>2328</v>
      </c>
      <c r="K207" s="1182" t="s">
        <v>1811</v>
      </c>
      <c r="L207" s="1182" t="s">
        <v>1812</v>
      </c>
      <c r="M207" s="1182" t="s">
        <v>1803</v>
      </c>
      <c r="N207" s="1182" t="s">
        <v>1939</v>
      </c>
      <c r="O207" s="1182" t="s">
        <v>1554</v>
      </c>
      <c r="P207" s="1182" t="s">
        <v>1575</v>
      </c>
      <c r="Q207" s="1182" t="s">
        <v>1574</v>
      </c>
      <c r="R207" s="1182" t="s">
        <v>1573</v>
      </c>
      <c r="S207" s="1182" t="s">
        <v>1577</v>
      </c>
      <c r="T207" s="1182" t="s">
        <v>1814</v>
      </c>
      <c r="U207" s="1182" t="s">
        <v>1815</v>
      </c>
      <c r="V207" s="1182">
        <v>0</v>
      </c>
      <c r="W207" s="1182">
        <v>0</v>
      </c>
      <c r="X207" s="1182">
        <v>0</v>
      </c>
      <c r="Y207" s="1183">
        <v>470</v>
      </c>
      <c r="Z207" s="1182" t="s">
        <v>1940</v>
      </c>
      <c r="AA207" s="1182" t="s">
        <v>1941</v>
      </c>
      <c r="AB207" s="1182">
        <v>470</v>
      </c>
      <c r="AC207" s="1182" t="s">
        <v>1942</v>
      </c>
      <c r="AD207" s="1182" t="s">
        <v>1577</v>
      </c>
      <c r="AE207" s="1182">
        <v>470</v>
      </c>
      <c r="AF207" s="1182" t="s">
        <v>1943</v>
      </c>
      <c r="AG207" s="1182" t="s">
        <v>1944</v>
      </c>
      <c r="AH207" s="1182">
        <v>0</v>
      </c>
      <c r="AI207" s="1182">
        <v>470</v>
      </c>
      <c r="AJ207" s="1182" t="s">
        <v>2329</v>
      </c>
      <c r="AL207" s="1186" t="s">
        <v>2330</v>
      </c>
      <c r="AM207" s="1182">
        <v>1</v>
      </c>
      <c r="AN207" s="1182">
        <v>0</v>
      </c>
      <c r="AO207" s="1182">
        <v>0</v>
      </c>
      <c r="AP207" s="1182">
        <v>0</v>
      </c>
      <c r="AQ207" s="1182" t="s">
        <v>1639</v>
      </c>
      <c r="AS207" s="1186" t="s">
        <v>1943</v>
      </c>
      <c r="AT207" s="1186" t="s">
        <v>1944</v>
      </c>
      <c r="AV207" s="1183">
        <v>216</v>
      </c>
      <c r="AW207" s="1183">
        <v>0</v>
      </c>
      <c r="AX207" s="1183">
        <v>0</v>
      </c>
      <c r="AY207" s="1538">
        <v>216</v>
      </c>
      <c r="AZ207" s="1183">
        <v>0</v>
      </c>
      <c r="BA207" s="1183">
        <v>254</v>
      </c>
      <c r="BB207" s="1540">
        <v>254</v>
      </c>
      <c r="BC207" s="1540">
        <v>470</v>
      </c>
      <c r="BD207" s="1540">
        <v>0</v>
      </c>
      <c r="BF207" s="1539">
        <f t="shared" si="60"/>
        <v>216</v>
      </c>
      <c r="BG207" s="1539">
        <f t="shared" si="61"/>
        <v>0</v>
      </c>
      <c r="BH207" s="1539">
        <f t="shared" si="62"/>
        <v>0</v>
      </c>
      <c r="BI207" s="1539">
        <f t="shared" si="63"/>
        <v>216</v>
      </c>
      <c r="BJ207" s="1539">
        <f t="shared" si="64"/>
        <v>0</v>
      </c>
      <c r="BK207" s="1539">
        <f t="shared" si="65"/>
        <v>254</v>
      </c>
      <c r="BL207" s="1539">
        <f t="shared" si="66"/>
        <v>254</v>
      </c>
      <c r="BM207" s="1539">
        <f t="shared" si="67"/>
        <v>470</v>
      </c>
      <c r="BO207" s="1183"/>
      <c r="BQ207" s="1182">
        <f t="shared" si="68"/>
        <v>0</v>
      </c>
      <c r="BR207" s="1182">
        <f t="shared" si="69"/>
        <v>0</v>
      </c>
      <c r="BS207" s="1182">
        <f t="shared" si="59"/>
        <v>0</v>
      </c>
      <c r="BT207" s="1182">
        <f t="shared" si="59"/>
        <v>0</v>
      </c>
    </row>
    <row r="208" spans="1:72" ht="13.5" customHeight="1">
      <c r="A208" s="1182" t="s">
        <v>1803</v>
      </c>
      <c r="B208" s="1182" t="s">
        <v>1804</v>
      </c>
      <c r="C208" s="1182" t="s">
        <v>1639</v>
      </c>
      <c r="D208" s="1182" t="s">
        <v>2092</v>
      </c>
      <c r="E208" s="1182" t="s">
        <v>2093</v>
      </c>
      <c r="F208" s="1182" t="s">
        <v>2327</v>
      </c>
      <c r="G208" s="1182" t="s">
        <v>2327</v>
      </c>
      <c r="H208" s="1182" t="s">
        <v>2076</v>
      </c>
      <c r="I208" s="1182" t="s">
        <v>1937</v>
      </c>
      <c r="J208" s="1182" t="s">
        <v>2328</v>
      </c>
      <c r="K208" s="1182" t="s">
        <v>1811</v>
      </c>
      <c r="L208" s="1182" t="s">
        <v>1956</v>
      </c>
      <c r="M208" s="1182" t="s">
        <v>1803</v>
      </c>
      <c r="N208" s="1182" t="s">
        <v>1939</v>
      </c>
      <c r="O208" s="1182" t="s">
        <v>1554</v>
      </c>
      <c r="P208" s="1182" t="s">
        <v>1575</v>
      </c>
      <c r="Q208" s="1182" t="s">
        <v>1574</v>
      </c>
      <c r="R208" s="1182" t="s">
        <v>1573</v>
      </c>
      <c r="S208" s="1182" t="s">
        <v>1577</v>
      </c>
      <c r="T208" s="1182" t="s">
        <v>1814</v>
      </c>
      <c r="U208" s="1182" t="s">
        <v>1815</v>
      </c>
      <c r="V208" s="1182">
        <v>0</v>
      </c>
      <c r="W208" s="1182">
        <v>0</v>
      </c>
      <c r="X208" s="1182">
        <v>0</v>
      </c>
      <c r="Y208" s="1183">
        <v>600</v>
      </c>
      <c r="Z208" s="1182" t="s">
        <v>1940</v>
      </c>
      <c r="AA208" s="1182" t="s">
        <v>1941</v>
      </c>
      <c r="AB208" s="1182">
        <v>600</v>
      </c>
      <c r="AC208" s="1182" t="s">
        <v>1942</v>
      </c>
      <c r="AD208" s="1182" t="s">
        <v>1577</v>
      </c>
      <c r="AE208" s="1182">
        <v>600</v>
      </c>
      <c r="AF208" s="1182" t="s">
        <v>1943</v>
      </c>
      <c r="AG208" s="1182" t="s">
        <v>1944</v>
      </c>
      <c r="AH208" s="1182">
        <v>0</v>
      </c>
      <c r="AI208" s="1182">
        <v>600</v>
      </c>
      <c r="AJ208" s="1182" t="s">
        <v>2331</v>
      </c>
      <c r="AL208" s="1186" t="s">
        <v>2332</v>
      </c>
      <c r="AM208" s="1182">
        <v>1</v>
      </c>
      <c r="AN208" s="1182">
        <v>0</v>
      </c>
      <c r="AO208" s="1182">
        <v>0</v>
      </c>
      <c r="AP208" s="1182">
        <v>0</v>
      </c>
      <c r="AQ208" s="1182" t="s">
        <v>1639</v>
      </c>
      <c r="AS208" s="1186" t="s">
        <v>1943</v>
      </c>
      <c r="AT208" s="1186" t="s">
        <v>1944</v>
      </c>
      <c r="AV208" s="1183">
        <v>276</v>
      </c>
      <c r="AW208" s="1183">
        <v>0</v>
      </c>
      <c r="AX208" s="1183">
        <v>0</v>
      </c>
      <c r="AY208" s="1538">
        <v>276</v>
      </c>
      <c r="AZ208" s="1183">
        <v>0</v>
      </c>
      <c r="BA208" s="1183">
        <v>324</v>
      </c>
      <c r="BB208" s="1540">
        <v>324</v>
      </c>
      <c r="BC208" s="1540">
        <v>600</v>
      </c>
      <c r="BD208" s="1540">
        <v>0</v>
      </c>
      <c r="BF208" s="1539">
        <f t="shared" si="60"/>
        <v>276</v>
      </c>
      <c r="BG208" s="1539">
        <f t="shared" si="61"/>
        <v>0</v>
      </c>
      <c r="BH208" s="1539">
        <f t="shared" si="62"/>
        <v>0</v>
      </c>
      <c r="BI208" s="1539">
        <f t="shared" si="63"/>
        <v>276</v>
      </c>
      <c r="BJ208" s="1539">
        <f t="shared" si="64"/>
        <v>0</v>
      </c>
      <c r="BK208" s="1539">
        <f t="shared" si="65"/>
        <v>324</v>
      </c>
      <c r="BL208" s="1539">
        <f t="shared" si="66"/>
        <v>324</v>
      </c>
      <c r="BM208" s="1539">
        <f t="shared" si="67"/>
        <v>600</v>
      </c>
      <c r="BO208" s="1183"/>
      <c r="BQ208" s="1182">
        <f t="shared" si="68"/>
        <v>0</v>
      </c>
      <c r="BR208" s="1182">
        <f t="shared" si="69"/>
        <v>0</v>
      </c>
      <c r="BS208" s="1182">
        <f t="shared" si="59"/>
        <v>0</v>
      </c>
      <c r="BT208" s="1182">
        <f t="shared" si="59"/>
        <v>0</v>
      </c>
    </row>
    <row r="209" spans="1:72" ht="13.5" customHeight="1">
      <c r="A209" s="1182" t="s">
        <v>1803</v>
      </c>
      <c r="B209" s="1182" t="s">
        <v>1804</v>
      </c>
      <c r="C209" s="1182" t="s">
        <v>1639</v>
      </c>
      <c r="D209" s="1182" t="s">
        <v>2092</v>
      </c>
      <c r="E209" s="1182" t="s">
        <v>2093</v>
      </c>
      <c r="F209" s="1182" t="s">
        <v>2327</v>
      </c>
      <c r="G209" s="1182" t="s">
        <v>2327</v>
      </c>
      <c r="H209" s="1182" t="s">
        <v>2076</v>
      </c>
      <c r="I209" s="1182" t="s">
        <v>1937</v>
      </c>
      <c r="J209" s="1182" t="s">
        <v>2328</v>
      </c>
      <c r="K209" s="1182" t="s">
        <v>1811</v>
      </c>
      <c r="L209" s="1182" t="s">
        <v>1978</v>
      </c>
      <c r="M209" s="1182" t="s">
        <v>1803</v>
      </c>
      <c r="N209" s="1182" t="s">
        <v>1939</v>
      </c>
      <c r="O209" s="1182" t="s">
        <v>1554</v>
      </c>
      <c r="P209" s="1182" t="s">
        <v>1575</v>
      </c>
      <c r="Q209" s="1182" t="s">
        <v>1574</v>
      </c>
      <c r="R209" s="1182" t="s">
        <v>1573</v>
      </c>
      <c r="S209" s="1182" t="s">
        <v>1577</v>
      </c>
      <c r="T209" s="1182" t="s">
        <v>1814</v>
      </c>
      <c r="U209" s="1182" t="s">
        <v>1815</v>
      </c>
      <c r="V209" s="1182">
        <v>0</v>
      </c>
      <c r="W209" s="1182">
        <v>0</v>
      </c>
      <c r="X209" s="1182">
        <v>0</v>
      </c>
      <c r="Y209" s="1183">
        <v>300</v>
      </c>
      <c r="Z209" s="1182" t="s">
        <v>1940</v>
      </c>
      <c r="AA209" s="1182" t="s">
        <v>1941</v>
      </c>
      <c r="AB209" s="1182">
        <v>300</v>
      </c>
      <c r="AC209" s="1182" t="s">
        <v>1942</v>
      </c>
      <c r="AD209" s="1182" t="s">
        <v>1577</v>
      </c>
      <c r="AE209" s="1182">
        <v>300</v>
      </c>
      <c r="AF209" s="1182" t="s">
        <v>1943</v>
      </c>
      <c r="AG209" s="1182" t="s">
        <v>1944</v>
      </c>
      <c r="AH209" s="1182">
        <v>0</v>
      </c>
      <c r="AI209" s="1182">
        <v>300</v>
      </c>
      <c r="AJ209" s="1182" t="s">
        <v>2331</v>
      </c>
      <c r="AL209" s="1186" t="s">
        <v>2333</v>
      </c>
      <c r="AM209" s="1182">
        <v>1</v>
      </c>
      <c r="AN209" s="1182">
        <v>0</v>
      </c>
      <c r="AO209" s="1182">
        <v>0</v>
      </c>
      <c r="AP209" s="1182">
        <v>0</v>
      </c>
      <c r="AQ209" s="1182" t="s">
        <v>1639</v>
      </c>
      <c r="AS209" s="1186" t="s">
        <v>1943</v>
      </c>
      <c r="AT209" s="1186" t="s">
        <v>1944</v>
      </c>
      <c r="AV209" s="1183">
        <v>138</v>
      </c>
      <c r="AW209" s="1183">
        <v>0</v>
      </c>
      <c r="AX209" s="1183">
        <v>0</v>
      </c>
      <c r="AY209" s="1538">
        <v>138</v>
      </c>
      <c r="AZ209" s="1183">
        <v>0</v>
      </c>
      <c r="BA209" s="1183">
        <v>162</v>
      </c>
      <c r="BB209" s="1540">
        <v>162</v>
      </c>
      <c r="BC209" s="1540">
        <v>300</v>
      </c>
      <c r="BD209" s="1540">
        <v>0</v>
      </c>
      <c r="BF209" s="1539">
        <f t="shared" si="60"/>
        <v>138</v>
      </c>
      <c r="BG209" s="1539">
        <f t="shared" si="61"/>
        <v>0</v>
      </c>
      <c r="BH209" s="1539">
        <f t="shared" si="62"/>
        <v>0</v>
      </c>
      <c r="BI209" s="1539">
        <f t="shared" si="63"/>
        <v>138</v>
      </c>
      <c r="BJ209" s="1539">
        <f t="shared" si="64"/>
        <v>0</v>
      </c>
      <c r="BK209" s="1539">
        <f t="shared" si="65"/>
        <v>162</v>
      </c>
      <c r="BL209" s="1539">
        <f t="shared" si="66"/>
        <v>162</v>
      </c>
      <c r="BM209" s="1539">
        <f t="shared" si="67"/>
        <v>300</v>
      </c>
      <c r="BO209" s="1183"/>
      <c r="BQ209" s="1182">
        <f t="shared" si="68"/>
        <v>0</v>
      </c>
      <c r="BR209" s="1182">
        <f t="shared" si="69"/>
        <v>0</v>
      </c>
      <c r="BS209" s="1182">
        <f t="shared" si="59"/>
        <v>0</v>
      </c>
      <c r="BT209" s="1182">
        <f t="shared" si="59"/>
        <v>0</v>
      </c>
    </row>
    <row r="210" spans="1:72" ht="13.5" customHeight="1">
      <c r="A210" s="1182" t="s">
        <v>1803</v>
      </c>
      <c r="B210" s="1182" t="s">
        <v>1804</v>
      </c>
      <c r="C210" s="1182" t="s">
        <v>1639</v>
      </c>
      <c r="D210" s="1182" t="s">
        <v>2092</v>
      </c>
      <c r="E210" s="1182" t="s">
        <v>2093</v>
      </c>
      <c r="F210" s="1182" t="s">
        <v>2327</v>
      </c>
      <c r="G210" s="1182" t="s">
        <v>2327</v>
      </c>
      <c r="H210" s="1182" t="s">
        <v>2076</v>
      </c>
      <c r="I210" s="1182" t="s">
        <v>1937</v>
      </c>
      <c r="J210" s="1182" t="s">
        <v>2328</v>
      </c>
      <c r="K210" s="1182" t="s">
        <v>1811</v>
      </c>
      <c r="L210" s="1182" t="s">
        <v>1981</v>
      </c>
      <c r="M210" s="1182" t="s">
        <v>1803</v>
      </c>
      <c r="N210" s="1182" t="s">
        <v>1939</v>
      </c>
      <c r="O210" s="1182" t="s">
        <v>1554</v>
      </c>
      <c r="P210" s="1182" t="s">
        <v>1575</v>
      </c>
      <c r="Q210" s="1182" t="s">
        <v>1574</v>
      </c>
      <c r="R210" s="1182" t="s">
        <v>1573</v>
      </c>
      <c r="S210" s="1182" t="s">
        <v>1577</v>
      </c>
      <c r="T210" s="1182" t="s">
        <v>1814</v>
      </c>
      <c r="U210" s="1182" t="s">
        <v>1815</v>
      </c>
      <c r="V210" s="1182">
        <v>0</v>
      </c>
      <c r="W210" s="1182">
        <v>0</v>
      </c>
      <c r="X210" s="1182">
        <v>0</v>
      </c>
      <c r="Y210" s="1183">
        <v>300</v>
      </c>
      <c r="Z210" s="1182" t="s">
        <v>1940</v>
      </c>
      <c r="AA210" s="1182" t="s">
        <v>1941</v>
      </c>
      <c r="AB210" s="1182">
        <v>300</v>
      </c>
      <c r="AC210" s="1182" t="s">
        <v>1942</v>
      </c>
      <c r="AD210" s="1182" t="s">
        <v>1577</v>
      </c>
      <c r="AE210" s="1182">
        <v>300</v>
      </c>
      <c r="AF210" s="1182" t="s">
        <v>1943</v>
      </c>
      <c r="AG210" s="1182" t="s">
        <v>1944</v>
      </c>
      <c r="AH210" s="1182">
        <v>0</v>
      </c>
      <c r="AI210" s="1182">
        <v>300</v>
      </c>
      <c r="AJ210" s="1182" t="s">
        <v>2334</v>
      </c>
      <c r="AL210" s="1186" t="s">
        <v>2335</v>
      </c>
      <c r="AM210" s="1182">
        <v>1</v>
      </c>
      <c r="AN210" s="1182">
        <v>0</v>
      </c>
      <c r="AO210" s="1182">
        <v>0</v>
      </c>
      <c r="AP210" s="1182">
        <v>0</v>
      </c>
      <c r="AQ210" s="1182" t="s">
        <v>1639</v>
      </c>
      <c r="AS210" s="1186" t="s">
        <v>1943</v>
      </c>
      <c r="AT210" s="1186" t="s">
        <v>1944</v>
      </c>
      <c r="AV210" s="1183">
        <v>138</v>
      </c>
      <c r="AW210" s="1183">
        <v>0</v>
      </c>
      <c r="AX210" s="1183">
        <v>0</v>
      </c>
      <c r="AY210" s="1538">
        <v>138</v>
      </c>
      <c r="AZ210" s="1183">
        <v>0</v>
      </c>
      <c r="BA210" s="1183">
        <v>162</v>
      </c>
      <c r="BB210" s="1540">
        <v>162</v>
      </c>
      <c r="BC210" s="1540">
        <v>300</v>
      </c>
      <c r="BD210" s="1540">
        <v>0</v>
      </c>
      <c r="BF210" s="1539">
        <f t="shared" si="60"/>
        <v>138</v>
      </c>
      <c r="BG210" s="1539">
        <f t="shared" si="61"/>
        <v>0</v>
      </c>
      <c r="BH210" s="1539">
        <f t="shared" si="62"/>
        <v>0</v>
      </c>
      <c r="BI210" s="1539">
        <f t="shared" si="63"/>
        <v>138</v>
      </c>
      <c r="BJ210" s="1539">
        <f t="shared" si="64"/>
        <v>0</v>
      </c>
      <c r="BK210" s="1539">
        <f t="shared" si="65"/>
        <v>162</v>
      </c>
      <c r="BL210" s="1539">
        <f t="shared" si="66"/>
        <v>162</v>
      </c>
      <c r="BM210" s="1539">
        <f t="shared" si="67"/>
        <v>300</v>
      </c>
      <c r="BO210" s="1183"/>
      <c r="BQ210" s="1182">
        <f t="shared" si="68"/>
        <v>0</v>
      </c>
      <c r="BR210" s="1182">
        <f t="shared" si="69"/>
        <v>0</v>
      </c>
      <c r="BS210" s="1182">
        <f t="shared" si="59"/>
        <v>0</v>
      </c>
      <c r="BT210" s="1182">
        <f t="shared" si="59"/>
        <v>0</v>
      </c>
    </row>
    <row r="211" spans="1:72" ht="13.5" customHeight="1">
      <c r="A211" s="1182" t="s">
        <v>1803</v>
      </c>
      <c r="B211" s="1182" t="s">
        <v>1804</v>
      </c>
      <c r="C211" s="1182" t="s">
        <v>1639</v>
      </c>
      <c r="D211" s="1182" t="s">
        <v>2092</v>
      </c>
      <c r="E211" s="1182" t="s">
        <v>2093</v>
      </c>
      <c r="F211" s="1182" t="s">
        <v>2396</v>
      </c>
      <c r="G211" s="1182" t="s">
        <v>2396</v>
      </c>
      <c r="H211" s="1182" t="s">
        <v>2076</v>
      </c>
      <c r="I211" s="1182" t="s">
        <v>1937</v>
      </c>
      <c r="J211" s="1182" t="s">
        <v>2397</v>
      </c>
      <c r="K211" s="1182" t="s">
        <v>1811</v>
      </c>
      <c r="L211" s="1182" t="s">
        <v>1812</v>
      </c>
      <c r="M211" s="1182" t="s">
        <v>1803</v>
      </c>
      <c r="N211" s="1182" t="s">
        <v>1939</v>
      </c>
      <c r="O211" s="1182" t="s">
        <v>1554</v>
      </c>
      <c r="P211" s="1182" t="s">
        <v>1575</v>
      </c>
      <c r="Q211" s="1182" t="s">
        <v>1574</v>
      </c>
      <c r="R211" s="1182" t="s">
        <v>1573</v>
      </c>
      <c r="S211" s="1182" t="s">
        <v>1577</v>
      </c>
      <c r="T211" s="1182" t="s">
        <v>1814</v>
      </c>
      <c r="U211" s="1182" t="s">
        <v>1815</v>
      </c>
      <c r="V211" s="1182">
        <v>0</v>
      </c>
      <c r="W211" s="1182">
        <v>0</v>
      </c>
      <c r="X211" s="1182">
        <v>0</v>
      </c>
      <c r="Y211" s="1183">
        <v>300</v>
      </c>
      <c r="Z211" s="1182" t="s">
        <v>1940</v>
      </c>
      <c r="AA211" s="1182" t="s">
        <v>1941</v>
      </c>
      <c r="AB211" s="1182">
        <v>300</v>
      </c>
      <c r="AC211" s="1182" t="s">
        <v>1942</v>
      </c>
      <c r="AD211" s="1182" t="s">
        <v>1577</v>
      </c>
      <c r="AE211" s="1182">
        <v>300</v>
      </c>
      <c r="AF211" s="1182" t="s">
        <v>1943</v>
      </c>
      <c r="AG211" s="1182" t="s">
        <v>1944</v>
      </c>
      <c r="AH211" s="1182">
        <v>0</v>
      </c>
      <c r="AI211" s="1182">
        <v>300</v>
      </c>
      <c r="AJ211" s="1182" t="s">
        <v>2398</v>
      </c>
      <c r="AL211" s="1186" t="s">
        <v>2399</v>
      </c>
      <c r="AM211" s="1182">
        <v>1</v>
      </c>
      <c r="AN211" s="1182">
        <v>0</v>
      </c>
      <c r="AO211" s="1182">
        <v>0</v>
      </c>
      <c r="AP211" s="1182">
        <v>0</v>
      </c>
      <c r="AQ211" s="1182" t="s">
        <v>1639</v>
      </c>
      <c r="AS211" s="1186" t="s">
        <v>1943</v>
      </c>
      <c r="AT211" s="1186" t="s">
        <v>1944</v>
      </c>
      <c r="AV211" s="1183">
        <v>138</v>
      </c>
      <c r="AW211" s="1183">
        <v>0</v>
      </c>
      <c r="AX211" s="1183">
        <v>0</v>
      </c>
      <c r="AY211" s="1538">
        <v>138</v>
      </c>
      <c r="AZ211" s="1183">
        <v>0</v>
      </c>
      <c r="BA211" s="1183">
        <v>162</v>
      </c>
      <c r="BB211" s="1540">
        <v>162</v>
      </c>
      <c r="BC211" s="1540">
        <v>300</v>
      </c>
      <c r="BD211" s="1540">
        <v>0</v>
      </c>
      <c r="BF211" s="1539">
        <f t="shared" si="60"/>
        <v>138</v>
      </c>
      <c r="BG211" s="1539">
        <f t="shared" si="61"/>
        <v>0</v>
      </c>
      <c r="BH211" s="1539">
        <f t="shared" si="62"/>
        <v>0</v>
      </c>
      <c r="BI211" s="1539">
        <f t="shared" si="63"/>
        <v>138</v>
      </c>
      <c r="BJ211" s="1539">
        <f t="shared" si="64"/>
        <v>0</v>
      </c>
      <c r="BK211" s="1539">
        <f t="shared" si="65"/>
        <v>162</v>
      </c>
      <c r="BL211" s="1539">
        <f t="shared" si="66"/>
        <v>162</v>
      </c>
      <c r="BM211" s="1539">
        <f t="shared" si="67"/>
        <v>300</v>
      </c>
      <c r="BO211" s="1183"/>
      <c r="BQ211" s="1182">
        <f t="shared" si="68"/>
        <v>0</v>
      </c>
      <c r="BR211" s="1182">
        <f t="shared" si="69"/>
        <v>0</v>
      </c>
      <c r="BS211" s="1182">
        <f t="shared" si="59"/>
        <v>0</v>
      </c>
      <c r="BT211" s="1182">
        <f t="shared" si="59"/>
        <v>0</v>
      </c>
    </row>
    <row r="212" spans="1:72" ht="13.5" customHeight="1">
      <c r="A212" s="1182" t="s">
        <v>1803</v>
      </c>
      <c r="B212" s="1182" t="s">
        <v>1804</v>
      </c>
      <c r="C212" s="1182" t="s">
        <v>1639</v>
      </c>
      <c r="D212" s="1182" t="s">
        <v>2092</v>
      </c>
      <c r="E212" s="1182" t="s">
        <v>2093</v>
      </c>
      <c r="F212" s="1182" t="s">
        <v>2400</v>
      </c>
      <c r="G212" s="1182" t="s">
        <v>2400</v>
      </c>
      <c r="H212" s="1182" t="s">
        <v>2076</v>
      </c>
      <c r="I212" s="1182" t="s">
        <v>1937</v>
      </c>
      <c r="J212" s="1182" t="s">
        <v>2401</v>
      </c>
      <c r="K212" s="1182" t="s">
        <v>1811</v>
      </c>
      <c r="L212" s="1182" t="s">
        <v>1812</v>
      </c>
      <c r="M212" s="1182" t="s">
        <v>1803</v>
      </c>
      <c r="N212" s="1182" t="s">
        <v>1939</v>
      </c>
      <c r="O212" s="1182" t="s">
        <v>1554</v>
      </c>
      <c r="P212" s="1182" t="s">
        <v>1575</v>
      </c>
      <c r="Q212" s="1182" t="s">
        <v>1574</v>
      </c>
      <c r="R212" s="1182" t="s">
        <v>1573</v>
      </c>
      <c r="S212" s="1182" t="s">
        <v>1577</v>
      </c>
      <c r="T212" s="1182" t="s">
        <v>1814</v>
      </c>
      <c r="U212" s="1182" t="s">
        <v>1815</v>
      </c>
      <c r="V212" s="1182">
        <v>0</v>
      </c>
      <c r="W212" s="1182">
        <v>0</v>
      </c>
      <c r="X212" s="1182">
        <v>0</v>
      </c>
      <c r="Y212" s="1183">
        <v>300</v>
      </c>
      <c r="Z212" s="1182" t="s">
        <v>1940</v>
      </c>
      <c r="AA212" s="1182" t="s">
        <v>1941</v>
      </c>
      <c r="AB212" s="1182">
        <v>300</v>
      </c>
      <c r="AC212" s="1182" t="s">
        <v>1942</v>
      </c>
      <c r="AD212" s="1182" t="s">
        <v>1577</v>
      </c>
      <c r="AE212" s="1182">
        <v>300</v>
      </c>
      <c r="AF212" s="1182" t="s">
        <v>1943</v>
      </c>
      <c r="AG212" s="1182" t="s">
        <v>1944</v>
      </c>
      <c r="AH212" s="1182">
        <v>0</v>
      </c>
      <c r="AI212" s="1182">
        <v>300</v>
      </c>
      <c r="AJ212" s="1182" t="s">
        <v>2402</v>
      </c>
      <c r="AL212" s="1186" t="s">
        <v>2403</v>
      </c>
      <c r="AM212" s="1182">
        <v>1</v>
      </c>
      <c r="AN212" s="1182">
        <v>0</v>
      </c>
      <c r="AO212" s="1182">
        <v>0</v>
      </c>
      <c r="AP212" s="1182">
        <v>0</v>
      </c>
      <c r="AQ212" s="1182" t="s">
        <v>1639</v>
      </c>
      <c r="AS212" s="1186" t="s">
        <v>1943</v>
      </c>
      <c r="AT212" s="1186" t="s">
        <v>1944</v>
      </c>
      <c r="AV212" s="1183">
        <v>138</v>
      </c>
      <c r="AW212" s="1183">
        <v>0</v>
      </c>
      <c r="AX212" s="1183">
        <v>0</v>
      </c>
      <c r="AY212" s="1538">
        <v>138</v>
      </c>
      <c r="AZ212" s="1183">
        <v>0</v>
      </c>
      <c r="BA212" s="1183">
        <v>162</v>
      </c>
      <c r="BB212" s="1540">
        <v>162</v>
      </c>
      <c r="BC212" s="1540">
        <v>300</v>
      </c>
      <c r="BD212" s="1540">
        <v>0</v>
      </c>
      <c r="BF212" s="1539">
        <f t="shared" si="60"/>
        <v>138</v>
      </c>
      <c r="BG212" s="1539">
        <f t="shared" si="61"/>
        <v>0</v>
      </c>
      <c r="BH212" s="1539">
        <f t="shared" si="62"/>
        <v>0</v>
      </c>
      <c r="BI212" s="1539">
        <f t="shared" si="63"/>
        <v>138</v>
      </c>
      <c r="BJ212" s="1539">
        <f t="shared" si="64"/>
        <v>0</v>
      </c>
      <c r="BK212" s="1539">
        <f t="shared" si="65"/>
        <v>162</v>
      </c>
      <c r="BL212" s="1539">
        <f t="shared" si="66"/>
        <v>162</v>
      </c>
      <c r="BM212" s="1539">
        <f t="shared" si="67"/>
        <v>300</v>
      </c>
      <c r="BO212" s="1183"/>
      <c r="BQ212" s="1182">
        <f t="shared" si="68"/>
        <v>0</v>
      </c>
      <c r="BR212" s="1182">
        <f t="shared" si="69"/>
        <v>0</v>
      </c>
      <c r="BS212" s="1182">
        <f t="shared" si="59"/>
        <v>0</v>
      </c>
      <c r="BT212" s="1182">
        <f t="shared" si="59"/>
        <v>0</v>
      </c>
    </row>
    <row r="213" spans="1:72" ht="13.5" customHeight="1">
      <c r="A213" s="1182" t="s">
        <v>1803</v>
      </c>
      <c r="B213" s="1182" t="s">
        <v>1804</v>
      </c>
      <c r="C213" s="1182" t="s">
        <v>1639</v>
      </c>
      <c r="D213" s="1182" t="s">
        <v>2092</v>
      </c>
      <c r="E213" s="1182" t="s">
        <v>2093</v>
      </c>
      <c r="F213" s="1182" t="s">
        <v>2336</v>
      </c>
      <c r="G213" s="1182" t="s">
        <v>2336</v>
      </c>
      <c r="H213" s="1182" t="s">
        <v>2076</v>
      </c>
      <c r="I213" s="1182" t="s">
        <v>1937</v>
      </c>
      <c r="J213" s="1182" t="s">
        <v>2337</v>
      </c>
      <c r="K213" s="1182" t="s">
        <v>1811</v>
      </c>
      <c r="L213" s="1182" t="s">
        <v>1812</v>
      </c>
      <c r="M213" s="1182" t="s">
        <v>1803</v>
      </c>
      <c r="N213" s="1182" t="s">
        <v>1939</v>
      </c>
      <c r="O213" s="1182" t="s">
        <v>1554</v>
      </c>
      <c r="P213" s="1182" t="s">
        <v>1575</v>
      </c>
      <c r="Q213" s="1182" t="s">
        <v>1574</v>
      </c>
      <c r="R213" s="1182" t="s">
        <v>1573</v>
      </c>
      <c r="S213" s="1182" t="s">
        <v>1577</v>
      </c>
      <c r="T213" s="1182" t="s">
        <v>1814</v>
      </c>
      <c r="U213" s="1182" t="s">
        <v>1815</v>
      </c>
      <c r="V213" s="1182">
        <v>0</v>
      </c>
      <c r="W213" s="1182">
        <v>0</v>
      </c>
      <c r="X213" s="1182">
        <v>0</v>
      </c>
      <c r="Y213" s="1183">
        <v>1420</v>
      </c>
      <c r="Z213" s="1182" t="s">
        <v>1940</v>
      </c>
      <c r="AA213" s="1182" t="s">
        <v>1941</v>
      </c>
      <c r="AB213" s="1182">
        <v>1420</v>
      </c>
      <c r="AC213" s="1182" t="s">
        <v>1942</v>
      </c>
      <c r="AD213" s="1182" t="s">
        <v>1577</v>
      </c>
      <c r="AE213" s="1182">
        <v>1420</v>
      </c>
      <c r="AF213" s="1182" t="s">
        <v>1943</v>
      </c>
      <c r="AG213" s="1182" t="s">
        <v>1944</v>
      </c>
      <c r="AH213" s="1182">
        <v>0</v>
      </c>
      <c r="AI213" s="1182">
        <v>1420</v>
      </c>
      <c r="AJ213" s="1182" t="s">
        <v>2338</v>
      </c>
      <c r="AL213" s="1186" t="s">
        <v>2339</v>
      </c>
      <c r="AM213" s="1182">
        <v>1</v>
      </c>
      <c r="AN213" s="1182">
        <v>0</v>
      </c>
      <c r="AO213" s="1182">
        <v>0</v>
      </c>
      <c r="AP213" s="1182">
        <v>0</v>
      </c>
      <c r="AQ213" s="1182" t="s">
        <v>1639</v>
      </c>
      <c r="AS213" s="1186" t="s">
        <v>1943</v>
      </c>
      <c r="AT213" s="1186" t="s">
        <v>1944</v>
      </c>
      <c r="AV213" s="1183">
        <v>653</v>
      </c>
      <c r="AW213" s="1183">
        <v>0</v>
      </c>
      <c r="AX213" s="1183">
        <v>0</v>
      </c>
      <c r="AY213" s="1538">
        <v>653</v>
      </c>
      <c r="AZ213" s="1183">
        <v>0</v>
      </c>
      <c r="BA213" s="1183">
        <v>767</v>
      </c>
      <c r="BB213" s="1540">
        <v>767</v>
      </c>
      <c r="BC213" s="1540">
        <v>1420</v>
      </c>
      <c r="BD213" s="1540">
        <v>0</v>
      </c>
      <c r="BF213" s="1539">
        <f t="shared" si="60"/>
        <v>653</v>
      </c>
      <c r="BG213" s="1539">
        <f t="shared" si="61"/>
        <v>0</v>
      </c>
      <c r="BH213" s="1539">
        <f t="shared" si="62"/>
        <v>0</v>
      </c>
      <c r="BI213" s="1539">
        <f t="shared" si="63"/>
        <v>653</v>
      </c>
      <c r="BJ213" s="1539">
        <f t="shared" si="64"/>
        <v>0</v>
      </c>
      <c r="BK213" s="1539">
        <f t="shared" si="65"/>
        <v>767</v>
      </c>
      <c r="BL213" s="1539">
        <f t="shared" si="66"/>
        <v>767</v>
      </c>
      <c r="BM213" s="1539">
        <f t="shared" si="67"/>
        <v>1420</v>
      </c>
      <c r="BO213" s="1183"/>
      <c r="BQ213" s="1182">
        <f t="shared" si="68"/>
        <v>0</v>
      </c>
      <c r="BR213" s="1182">
        <f t="shared" si="69"/>
        <v>0</v>
      </c>
      <c r="BS213" s="1182">
        <f t="shared" si="59"/>
        <v>0</v>
      </c>
      <c r="BT213" s="1182">
        <f t="shared" si="59"/>
        <v>0</v>
      </c>
    </row>
    <row r="214" spans="1:72" ht="13.5" customHeight="1">
      <c r="A214" s="1182" t="s">
        <v>1803</v>
      </c>
      <c r="B214" s="1182" t="s">
        <v>1804</v>
      </c>
      <c r="C214" s="1182" t="s">
        <v>1639</v>
      </c>
      <c r="D214" s="1182" t="s">
        <v>2092</v>
      </c>
      <c r="E214" s="1182" t="s">
        <v>2093</v>
      </c>
      <c r="F214" s="1182" t="s">
        <v>2340</v>
      </c>
      <c r="G214" s="1182" t="s">
        <v>2340</v>
      </c>
      <c r="H214" s="1182" t="s">
        <v>2076</v>
      </c>
      <c r="I214" s="1182" t="s">
        <v>1937</v>
      </c>
      <c r="J214" s="1182" t="s">
        <v>2341</v>
      </c>
      <c r="K214" s="1182" t="s">
        <v>1811</v>
      </c>
      <c r="L214" s="1182" t="s">
        <v>1812</v>
      </c>
      <c r="M214" s="1182" t="s">
        <v>1803</v>
      </c>
      <c r="N214" s="1182" t="s">
        <v>1939</v>
      </c>
      <c r="O214" s="1182" t="s">
        <v>1554</v>
      </c>
      <c r="P214" s="1182" t="s">
        <v>1575</v>
      </c>
      <c r="Q214" s="1182" t="s">
        <v>1574</v>
      </c>
      <c r="R214" s="1182" t="s">
        <v>1573</v>
      </c>
      <c r="S214" s="1182" t="s">
        <v>1577</v>
      </c>
      <c r="T214" s="1182" t="s">
        <v>1814</v>
      </c>
      <c r="U214" s="1182" t="s">
        <v>1815</v>
      </c>
      <c r="V214" s="1182">
        <v>0</v>
      </c>
      <c r="W214" s="1182">
        <v>0</v>
      </c>
      <c r="X214" s="1182">
        <v>0</v>
      </c>
      <c r="Y214" s="1183">
        <v>300</v>
      </c>
      <c r="Z214" s="1182" t="s">
        <v>1940</v>
      </c>
      <c r="AA214" s="1182" t="s">
        <v>1941</v>
      </c>
      <c r="AB214" s="1182">
        <v>300</v>
      </c>
      <c r="AC214" s="1182" t="s">
        <v>1942</v>
      </c>
      <c r="AD214" s="1182" t="s">
        <v>1577</v>
      </c>
      <c r="AE214" s="1182">
        <v>300</v>
      </c>
      <c r="AF214" s="1182" t="s">
        <v>1943</v>
      </c>
      <c r="AG214" s="1182" t="s">
        <v>1944</v>
      </c>
      <c r="AH214" s="1182">
        <v>0</v>
      </c>
      <c r="AI214" s="1182">
        <v>300</v>
      </c>
      <c r="AJ214" s="1182" t="s">
        <v>2342</v>
      </c>
      <c r="AL214" s="1186" t="s">
        <v>2343</v>
      </c>
      <c r="AM214" s="1182">
        <v>1</v>
      </c>
      <c r="AN214" s="1182">
        <v>0</v>
      </c>
      <c r="AO214" s="1182">
        <v>0</v>
      </c>
      <c r="AP214" s="1182">
        <v>0</v>
      </c>
      <c r="AQ214" s="1182" t="s">
        <v>1639</v>
      </c>
      <c r="AS214" s="1186" t="s">
        <v>1943</v>
      </c>
      <c r="AT214" s="1186" t="s">
        <v>1944</v>
      </c>
      <c r="AV214" s="1183">
        <v>138</v>
      </c>
      <c r="AW214" s="1183">
        <v>0</v>
      </c>
      <c r="AX214" s="1183">
        <v>0</v>
      </c>
      <c r="AY214" s="1538">
        <v>138</v>
      </c>
      <c r="AZ214" s="1183">
        <v>0</v>
      </c>
      <c r="BA214" s="1183">
        <v>162</v>
      </c>
      <c r="BB214" s="1540">
        <v>162</v>
      </c>
      <c r="BC214" s="1540">
        <v>300</v>
      </c>
      <c r="BD214" s="1540">
        <v>0</v>
      </c>
      <c r="BF214" s="1539">
        <f t="shared" si="60"/>
        <v>138</v>
      </c>
      <c r="BG214" s="1539">
        <f t="shared" si="61"/>
        <v>0</v>
      </c>
      <c r="BH214" s="1539">
        <f t="shared" si="62"/>
        <v>0</v>
      </c>
      <c r="BI214" s="1539">
        <f t="shared" si="63"/>
        <v>138</v>
      </c>
      <c r="BJ214" s="1539">
        <f t="shared" si="64"/>
        <v>0</v>
      </c>
      <c r="BK214" s="1539">
        <f t="shared" si="65"/>
        <v>162</v>
      </c>
      <c r="BL214" s="1539">
        <f t="shared" si="66"/>
        <v>162</v>
      </c>
      <c r="BM214" s="1539">
        <f t="shared" si="67"/>
        <v>300</v>
      </c>
      <c r="BO214" s="1183"/>
      <c r="BQ214" s="1182">
        <f t="shared" si="68"/>
        <v>0</v>
      </c>
      <c r="BR214" s="1182">
        <f t="shared" si="69"/>
        <v>0</v>
      </c>
      <c r="BS214" s="1182">
        <f t="shared" si="59"/>
        <v>0</v>
      </c>
      <c r="BT214" s="1182">
        <f t="shared" si="59"/>
        <v>0</v>
      </c>
    </row>
    <row r="215" spans="1:72" ht="13.5" customHeight="1">
      <c r="A215" s="1182" t="s">
        <v>1803</v>
      </c>
      <c r="B215" s="1182" t="s">
        <v>1804</v>
      </c>
      <c r="C215" s="1182" t="s">
        <v>1639</v>
      </c>
      <c r="D215" s="1182" t="s">
        <v>2092</v>
      </c>
      <c r="E215" s="1182" t="s">
        <v>2093</v>
      </c>
      <c r="F215" s="1182" t="s">
        <v>2315</v>
      </c>
      <c r="G215" s="1182" t="s">
        <v>2315</v>
      </c>
      <c r="H215" s="1182" t="s">
        <v>2076</v>
      </c>
      <c r="I215" s="1182" t="s">
        <v>1937</v>
      </c>
      <c r="J215" s="1182" t="s">
        <v>2316</v>
      </c>
      <c r="K215" s="1182" t="s">
        <v>1811</v>
      </c>
      <c r="L215" s="1182" t="s">
        <v>1812</v>
      </c>
      <c r="M215" s="1182" t="s">
        <v>1803</v>
      </c>
      <c r="N215" s="1182" t="s">
        <v>1939</v>
      </c>
      <c r="O215" s="1182" t="s">
        <v>1554</v>
      </c>
      <c r="P215" s="1182" t="s">
        <v>1575</v>
      </c>
      <c r="Q215" s="1182" t="s">
        <v>1574</v>
      </c>
      <c r="R215" s="1182" t="s">
        <v>1573</v>
      </c>
      <c r="S215" s="1182" t="s">
        <v>1577</v>
      </c>
      <c r="T215" s="1182" t="s">
        <v>1814</v>
      </c>
      <c r="U215" s="1182" t="s">
        <v>1815</v>
      </c>
      <c r="V215" s="1182">
        <v>0</v>
      </c>
      <c r="W215" s="1182">
        <v>0</v>
      </c>
      <c r="X215" s="1182">
        <v>0</v>
      </c>
      <c r="Y215" s="1183">
        <v>300</v>
      </c>
      <c r="Z215" s="1182" t="s">
        <v>1940</v>
      </c>
      <c r="AA215" s="1182" t="s">
        <v>1941</v>
      </c>
      <c r="AB215" s="1182">
        <v>300</v>
      </c>
      <c r="AC215" s="1182" t="s">
        <v>1942</v>
      </c>
      <c r="AD215" s="1182" t="s">
        <v>1577</v>
      </c>
      <c r="AE215" s="1182">
        <v>300</v>
      </c>
      <c r="AF215" s="1182" t="s">
        <v>1943</v>
      </c>
      <c r="AG215" s="1182" t="s">
        <v>1944</v>
      </c>
      <c r="AH215" s="1182">
        <v>0</v>
      </c>
      <c r="AI215" s="1182">
        <v>300</v>
      </c>
      <c r="AJ215" s="1182" t="s">
        <v>2317</v>
      </c>
      <c r="AL215" s="1186" t="s">
        <v>2318</v>
      </c>
      <c r="AM215" s="1182">
        <v>1</v>
      </c>
      <c r="AN215" s="1182">
        <v>0</v>
      </c>
      <c r="AO215" s="1182">
        <v>0</v>
      </c>
      <c r="AP215" s="1182">
        <v>0</v>
      </c>
      <c r="AQ215" s="1182" t="s">
        <v>1639</v>
      </c>
      <c r="AS215" s="1186" t="s">
        <v>1943</v>
      </c>
      <c r="AT215" s="1186" t="s">
        <v>1944</v>
      </c>
      <c r="AV215" s="1183">
        <v>138</v>
      </c>
      <c r="AW215" s="1183">
        <v>0</v>
      </c>
      <c r="AX215" s="1183">
        <v>0</v>
      </c>
      <c r="AY215" s="1538">
        <v>138</v>
      </c>
      <c r="AZ215" s="1183">
        <v>0</v>
      </c>
      <c r="BA215" s="1183">
        <v>162</v>
      </c>
      <c r="BB215" s="1540">
        <v>162</v>
      </c>
      <c r="BC215" s="1540">
        <v>300</v>
      </c>
      <c r="BD215" s="1540">
        <v>0</v>
      </c>
      <c r="BF215" s="1539">
        <f t="shared" si="60"/>
        <v>138</v>
      </c>
      <c r="BG215" s="1539">
        <f t="shared" si="61"/>
        <v>0</v>
      </c>
      <c r="BH215" s="1539">
        <f t="shared" si="62"/>
        <v>0</v>
      </c>
      <c r="BI215" s="1539">
        <f t="shared" si="63"/>
        <v>138</v>
      </c>
      <c r="BJ215" s="1539">
        <f t="shared" si="64"/>
        <v>0</v>
      </c>
      <c r="BK215" s="1539">
        <f t="shared" si="65"/>
        <v>162</v>
      </c>
      <c r="BL215" s="1539">
        <f t="shared" si="66"/>
        <v>162</v>
      </c>
      <c r="BM215" s="1539">
        <f t="shared" si="67"/>
        <v>300</v>
      </c>
      <c r="BO215" s="1183"/>
      <c r="BQ215" s="1182">
        <f t="shared" si="68"/>
        <v>0</v>
      </c>
      <c r="BR215" s="1182">
        <f t="shared" si="69"/>
        <v>0</v>
      </c>
      <c r="BS215" s="1182">
        <f t="shared" si="59"/>
        <v>0</v>
      </c>
      <c r="BT215" s="1182">
        <f t="shared" si="59"/>
        <v>0</v>
      </c>
    </row>
    <row r="216" spans="1:72" ht="13.5" customHeight="1">
      <c r="A216" s="1182" t="s">
        <v>1803</v>
      </c>
      <c r="B216" s="1182" t="s">
        <v>1804</v>
      </c>
      <c r="C216" s="1182" t="s">
        <v>1639</v>
      </c>
      <c r="D216" s="1182" t="s">
        <v>1967</v>
      </c>
      <c r="E216" s="1182" t="s">
        <v>1968</v>
      </c>
      <c r="F216" s="1182" t="s">
        <v>2319</v>
      </c>
      <c r="G216" s="1182" t="s">
        <v>2319</v>
      </c>
      <c r="H216" s="1182" t="s">
        <v>2076</v>
      </c>
      <c r="I216" s="1182" t="s">
        <v>1937</v>
      </c>
      <c r="J216" s="1182" t="s">
        <v>2320</v>
      </c>
      <c r="K216" s="1182" t="s">
        <v>1811</v>
      </c>
      <c r="L216" s="1182" t="s">
        <v>1812</v>
      </c>
      <c r="M216" s="1182" t="s">
        <v>1803</v>
      </c>
      <c r="N216" s="1182" t="s">
        <v>1939</v>
      </c>
      <c r="O216" s="1182" t="s">
        <v>1554</v>
      </c>
      <c r="P216" s="1182" t="s">
        <v>1575</v>
      </c>
      <c r="Q216" s="1182" t="s">
        <v>1574</v>
      </c>
      <c r="R216" s="1182" t="s">
        <v>1573</v>
      </c>
      <c r="S216" s="1182" t="s">
        <v>1577</v>
      </c>
      <c r="T216" s="1182" t="s">
        <v>1814</v>
      </c>
      <c r="U216" s="1182" t="s">
        <v>1815</v>
      </c>
      <c r="V216" s="1182">
        <v>0</v>
      </c>
      <c r="W216" s="1182">
        <v>0</v>
      </c>
      <c r="X216" s="1182">
        <v>0</v>
      </c>
      <c r="Y216" s="1183">
        <v>300</v>
      </c>
      <c r="Z216" s="1182" t="s">
        <v>1940</v>
      </c>
      <c r="AA216" s="1182" t="s">
        <v>1941</v>
      </c>
      <c r="AB216" s="1182">
        <v>300</v>
      </c>
      <c r="AC216" s="1182" t="s">
        <v>1942</v>
      </c>
      <c r="AD216" s="1182" t="s">
        <v>1577</v>
      </c>
      <c r="AE216" s="1182">
        <v>300</v>
      </c>
      <c r="AF216" s="1182" t="s">
        <v>1943</v>
      </c>
      <c r="AG216" s="1182" t="s">
        <v>1944</v>
      </c>
      <c r="AH216" s="1182">
        <v>0</v>
      </c>
      <c r="AI216" s="1182">
        <v>300</v>
      </c>
      <c r="AJ216" s="1182" t="s">
        <v>2321</v>
      </c>
      <c r="AL216" s="1186" t="s">
        <v>2322</v>
      </c>
      <c r="AM216" s="1182">
        <v>1</v>
      </c>
      <c r="AN216" s="1182">
        <v>0</v>
      </c>
      <c r="AO216" s="1182">
        <v>0</v>
      </c>
      <c r="AP216" s="1182">
        <v>0</v>
      </c>
      <c r="AQ216" s="1182" t="s">
        <v>1639</v>
      </c>
      <c r="AS216" s="1186" t="s">
        <v>1943</v>
      </c>
      <c r="AT216" s="1186" t="s">
        <v>1944</v>
      </c>
      <c r="AV216" s="1183">
        <v>138</v>
      </c>
      <c r="AW216" s="1183">
        <v>0</v>
      </c>
      <c r="AX216" s="1183">
        <v>0</v>
      </c>
      <c r="AY216" s="1538">
        <v>138</v>
      </c>
      <c r="AZ216" s="1183">
        <v>0</v>
      </c>
      <c r="BA216" s="1183">
        <v>162</v>
      </c>
      <c r="BB216" s="1540">
        <v>162</v>
      </c>
      <c r="BC216" s="1540">
        <v>300</v>
      </c>
      <c r="BD216" s="1540">
        <v>0</v>
      </c>
      <c r="BF216" s="1539">
        <f t="shared" si="60"/>
        <v>138</v>
      </c>
      <c r="BG216" s="1539">
        <f t="shared" si="61"/>
        <v>0</v>
      </c>
      <c r="BH216" s="1539">
        <f t="shared" si="62"/>
        <v>0</v>
      </c>
      <c r="BI216" s="1539">
        <f t="shared" si="63"/>
        <v>138</v>
      </c>
      <c r="BJ216" s="1539">
        <f t="shared" si="64"/>
        <v>0</v>
      </c>
      <c r="BK216" s="1539">
        <f t="shared" si="65"/>
        <v>162</v>
      </c>
      <c r="BL216" s="1539">
        <f t="shared" si="66"/>
        <v>162</v>
      </c>
      <c r="BM216" s="1539">
        <f t="shared" si="67"/>
        <v>300</v>
      </c>
      <c r="BO216" s="1183"/>
      <c r="BQ216" s="1182">
        <f t="shared" si="68"/>
        <v>0</v>
      </c>
      <c r="BR216" s="1182">
        <f t="shared" si="69"/>
        <v>0</v>
      </c>
      <c r="BS216" s="1182">
        <f t="shared" si="59"/>
        <v>0</v>
      </c>
      <c r="BT216" s="1182">
        <f t="shared" si="59"/>
        <v>0</v>
      </c>
    </row>
    <row r="217" spans="1:72" ht="13.5" customHeight="1">
      <c r="A217" s="1182" t="s">
        <v>1803</v>
      </c>
      <c r="B217" s="1182" t="s">
        <v>1804</v>
      </c>
      <c r="C217" s="1182" t="s">
        <v>1639</v>
      </c>
      <c r="D217" s="1182" t="s">
        <v>2092</v>
      </c>
      <c r="E217" s="1182" t="s">
        <v>2093</v>
      </c>
      <c r="F217" s="1182" t="s">
        <v>2388</v>
      </c>
      <c r="G217" s="1182" t="s">
        <v>2388</v>
      </c>
      <c r="H217" s="1182" t="s">
        <v>2076</v>
      </c>
      <c r="I217" s="1182" t="s">
        <v>1937</v>
      </c>
      <c r="J217" s="1182" t="s">
        <v>2389</v>
      </c>
      <c r="K217" s="1182" t="s">
        <v>1811</v>
      </c>
      <c r="L217" s="1182" t="s">
        <v>1812</v>
      </c>
      <c r="M217" s="1182" t="s">
        <v>1803</v>
      </c>
      <c r="N217" s="1182" t="s">
        <v>1939</v>
      </c>
      <c r="O217" s="1182" t="s">
        <v>1554</v>
      </c>
      <c r="P217" s="1182" t="s">
        <v>1575</v>
      </c>
      <c r="Q217" s="1182" t="s">
        <v>1574</v>
      </c>
      <c r="R217" s="1182" t="s">
        <v>1573</v>
      </c>
      <c r="S217" s="1182" t="s">
        <v>1577</v>
      </c>
      <c r="T217" s="1182" t="s">
        <v>1814</v>
      </c>
      <c r="U217" s="1182" t="s">
        <v>1815</v>
      </c>
      <c r="V217" s="1182">
        <v>0</v>
      </c>
      <c r="W217" s="1182">
        <v>0</v>
      </c>
      <c r="X217" s="1182">
        <v>0</v>
      </c>
      <c r="Y217" s="1183">
        <v>300</v>
      </c>
      <c r="Z217" s="1182" t="s">
        <v>1940</v>
      </c>
      <c r="AA217" s="1182" t="s">
        <v>1941</v>
      </c>
      <c r="AB217" s="1182">
        <v>300</v>
      </c>
      <c r="AC217" s="1182" t="s">
        <v>1942</v>
      </c>
      <c r="AD217" s="1182" t="s">
        <v>1577</v>
      </c>
      <c r="AE217" s="1182">
        <v>300</v>
      </c>
      <c r="AF217" s="1182" t="s">
        <v>1943</v>
      </c>
      <c r="AG217" s="1182" t="s">
        <v>1944</v>
      </c>
      <c r="AH217" s="1182">
        <v>0</v>
      </c>
      <c r="AI217" s="1182">
        <v>300</v>
      </c>
      <c r="AJ217" s="1182" t="s">
        <v>2390</v>
      </c>
      <c r="AL217" s="1186" t="s">
        <v>2391</v>
      </c>
      <c r="AM217" s="1182">
        <v>1</v>
      </c>
      <c r="AN217" s="1182">
        <v>0</v>
      </c>
      <c r="AO217" s="1182">
        <v>0</v>
      </c>
      <c r="AP217" s="1182">
        <v>0</v>
      </c>
      <c r="AQ217" s="1182" t="s">
        <v>1639</v>
      </c>
      <c r="AS217" s="1186" t="s">
        <v>1943</v>
      </c>
      <c r="AT217" s="1186" t="s">
        <v>1944</v>
      </c>
      <c r="AV217" s="1183">
        <v>138</v>
      </c>
      <c r="AW217" s="1183">
        <v>0</v>
      </c>
      <c r="AX217" s="1183">
        <v>0</v>
      </c>
      <c r="AY217" s="1538">
        <v>138</v>
      </c>
      <c r="AZ217" s="1183">
        <v>0</v>
      </c>
      <c r="BA217" s="1183">
        <v>162</v>
      </c>
      <c r="BB217" s="1540">
        <v>162</v>
      </c>
      <c r="BC217" s="1540">
        <v>300</v>
      </c>
      <c r="BD217" s="1540">
        <v>0</v>
      </c>
      <c r="BF217" s="1539">
        <f t="shared" si="60"/>
        <v>138</v>
      </c>
      <c r="BG217" s="1539">
        <f t="shared" si="61"/>
        <v>0</v>
      </c>
      <c r="BH217" s="1539">
        <f t="shared" si="62"/>
        <v>0</v>
      </c>
      <c r="BI217" s="1539">
        <f t="shared" si="63"/>
        <v>138</v>
      </c>
      <c r="BJ217" s="1539">
        <f t="shared" si="64"/>
        <v>0</v>
      </c>
      <c r="BK217" s="1539">
        <f t="shared" si="65"/>
        <v>162</v>
      </c>
      <c r="BL217" s="1539">
        <f t="shared" si="66"/>
        <v>162</v>
      </c>
      <c r="BM217" s="1539">
        <f t="shared" si="67"/>
        <v>300</v>
      </c>
      <c r="BO217" s="1183"/>
      <c r="BQ217" s="1182">
        <f t="shared" si="68"/>
        <v>0</v>
      </c>
      <c r="BR217" s="1182">
        <f t="shared" si="69"/>
        <v>0</v>
      </c>
      <c r="BS217" s="1182">
        <f t="shared" si="59"/>
        <v>0</v>
      </c>
      <c r="BT217" s="1182">
        <f t="shared" si="59"/>
        <v>0</v>
      </c>
    </row>
    <row r="218" spans="1:72" ht="13.5" customHeight="1">
      <c r="A218" s="1182" t="s">
        <v>1803</v>
      </c>
      <c r="B218" s="1182" t="s">
        <v>1804</v>
      </c>
      <c r="C218" s="1182" t="s">
        <v>1639</v>
      </c>
      <c r="D218" s="1182" t="s">
        <v>2092</v>
      </c>
      <c r="E218" s="1182" t="s">
        <v>2093</v>
      </c>
      <c r="F218" s="1182" t="s">
        <v>2388</v>
      </c>
      <c r="G218" s="1182" t="s">
        <v>2388</v>
      </c>
      <c r="H218" s="1182" t="s">
        <v>2076</v>
      </c>
      <c r="I218" s="1182" t="s">
        <v>1937</v>
      </c>
      <c r="J218" s="1182" t="s">
        <v>2389</v>
      </c>
      <c r="K218" s="1182" t="s">
        <v>1811</v>
      </c>
      <c r="L218" s="1182" t="s">
        <v>1956</v>
      </c>
      <c r="M218" s="1182" t="s">
        <v>1803</v>
      </c>
      <c r="N218" s="1182" t="s">
        <v>1939</v>
      </c>
      <c r="O218" s="1182" t="s">
        <v>1554</v>
      </c>
      <c r="P218" s="1182" t="s">
        <v>1575</v>
      </c>
      <c r="Q218" s="1182" t="s">
        <v>1574</v>
      </c>
      <c r="R218" s="1182" t="s">
        <v>1573</v>
      </c>
      <c r="S218" s="1182" t="s">
        <v>1577</v>
      </c>
      <c r="T218" s="1182" t="s">
        <v>1814</v>
      </c>
      <c r="U218" s="1182" t="s">
        <v>1815</v>
      </c>
      <c r="V218" s="1182">
        <v>0</v>
      </c>
      <c r="W218" s="1182">
        <v>0</v>
      </c>
      <c r="X218" s="1182">
        <v>0</v>
      </c>
      <c r="Y218" s="1183">
        <v>300</v>
      </c>
      <c r="Z218" s="1182" t="s">
        <v>1940</v>
      </c>
      <c r="AA218" s="1182" t="s">
        <v>1941</v>
      </c>
      <c r="AB218" s="1182">
        <v>300</v>
      </c>
      <c r="AC218" s="1182" t="s">
        <v>1942</v>
      </c>
      <c r="AD218" s="1182" t="s">
        <v>1577</v>
      </c>
      <c r="AE218" s="1182">
        <v>300</v>
      </c>
      <c r="AF218" s="1182" t="s">
        <v>1943</v>
      </c>
      <c r="AG218" s="1182" t="s">
        <v>1944</v>
      </c>
      <c r="AH218" s="1182">
        <v>0</v>
      </c>
      <c r="AI218" s="1182">
        <v>300</v>
      </c>
      <c r="AJ218" s="1182" t="s">
        <v>2392</v>
      </c>
      <c r="AL218" s="1186" t="s">
        <v>2393</v>
      </c>
      <c r="AM218" s="1182">
        <v>1</v>
      </c>
      <c r="AN218" s="1182">
        <v>0</v>
      </c>
      <c r="AO218" s="1182">
        <v>0</v>
      </c>
      <c r="AP218" s="1182">
        <v>0</v>
      </c>
      <c r="AQ218" s="1182" t="s">
        <v>1639</v>
      </c>
      <c r="AS218" s="1186" t="s">
        <v>1943</v>
      </c>
      <c r="AT218" s="1186" t="s">
        <v>1944</v>
      </c>
      <c r="AV218" s="1183">
        <v>138</v>
      </c>
      <c r="AW218" s="1183">
        <v>0</v>
      </c>
      <c r="AX218" s="1183">
        <v>0</v>
      </c>
      <c r="AY218" s="1538">
        <v>138</v>
      </c>
      <c r="AZ218" s="1183">
        <v>0</v>
      </c>
      <c r="BA218" s="1183">
        <v>162</v>
      </c>
      <c r="BB218" s="1540">
        <v>162</v>
      </c>
      <c r="BC218" s="1540">
        <v>300</v>
      </c>
      <c r="BD218" s="1540">
        <v>0</v>
      </c>
      <c r="BF218" s="1539">
        <f t="shared" si="60"/>
        <v>138</v>
      </c>
      <c r="BG218" s="1539">
        <f t="shared" si="61"/>
        <v>0</v>
      </c>
      <c r="BH218" s="1539">
        <f t="shared" si="62"/>
        <v>0</v>
      </c>
      <c r="BI218" s="1539">
        <f t="shared" si="63"/>
        <v>138</v>
      </c>
      <c r="BJ218" s="1539">
        <f t="shared" si="64"/>
        <v>0</v>
      </c>
      <c r="BK218" s="1539">
        <f t="shared" si="65"/>
        <v>162</v>
      </c>
      <c r="BL218" s="1539">
        <f t="shared" si="66"/>
        <v>162</v>
      </c>
      <c r="BM218" s="1539">
        <f t="shared" si="67"/>
        <v>300</v>
      </c>
      <c r="BO218" s="1183"/>
      <c r="BQ218" s="1182">
        <f t="shared" si="68"/>
        <v>0</v>
      </c>
      <c r="BR218" s="1182">
        <f t="shared" si="69"/>
        <v>0</v>
      </c>
      <c r="BS218" s="1182">
        <f t="shared" si="59"/>
        <v>0</v>
      </c>
      <c r="BT218" s="1182">
        <f t="shared" si="59"/>
        <v>0</v>
      </c>
    </row>
    <row r="219" spans="1:72" ht="13.5" customHeight="1">
      <c r="A219" s="1182" t="s">
        <v>1803</v>
      </c>
      <c r="B219" s="1182" t="s">
        <v>1804</v>
      </c>
      <c r="C219" s="1182" t="s">
        <v>1639</v>
      </c>
      <c r="D219" s="1182" t="s">
        <v>2092</v>
      </c>
      <c r="E219" s="1182" t="s">
        <v>2093</v>
      </c>
      <c r="F219" s="1182" t="s">
        <v>2388</v>
      </c>
      <c r="G219" s="1182" t="s">
        <v>2388</v>
      </c>
      <c r="H219" s="1182" t="s">
        <v>2076</v>
      </c>
      <c r="I219" s="1182" t="s">
        <v>1937</v>
      </c>
      <c r="J219" s="1182" t="s">
        <v>2389</v>
      </c>
      <c r="K219" s="1182" t="s">
        <v>1811</v>
      </c>
      <c r="L219" s="1182" t="s">
        <v>1978</v>
      </c>
      <c r="M219" s="1182" t="s">
        <v>1803</v>
      </c>
      <c r="N219" s="1182" t="s">
        <v>1939</v>
      </c>
      <c r="O219" s="1182" t="s">
        <v>1554</v>
      </c>
      <c r="P219" s="1182" t="s">
        <v>1575</v>
      </c>
      <c r="Q219" s="1182" t="s">
        <v>1574</v>
      </c>
      <c r="R219" s="1182" t="s">
        <v>1573</v>
      </c>
      <c r="S219" s="1182" t="s">
        <v>1577</v>
      </c>
      <c r="T219" s="1182" t="s">
        <v>1814</v>
      </c>
      <c r="U219" s="1182" t="s">
        <v>1815</v>
      </c>
      <c r="V219" s="1182">
        <v>0</v>
      </c>
      <c r="W219" s="1182">
        <v>0</v>
      </c>
      <c r="X219" s="1182">
        <v>0</v>
      </c>
      <c r="Y219" s="1183">
        <v>300</v>
      </c>
      <c r="Z219" s="1182" t="s">
        <v>1940</v>
      </c>
      <c r="AA219" s="1182" t="s">
        <v>1941</v>
      </c>
      <c r="AB219" s="1182">
        <v>300</v>
      </c>
      <c r="AC219" s="1182" t="s">
        <v>1942</v>
      </c>
      <c r="AD219" s="1182" t="s">
        <v>1577</v>
      </c>
      <c r="AE219" s="1182">
        <v>300</v>
      </c>
      <c r="AF219" s="1182" t="s">
        <v>1943</v>
      </c>
      <c r="AG219" s="1182" t="s">
        <v>1944</v>
      </c>
      <c r="AH219" s="1182">
        <v>0</v>
      </c>
      <c r="AI219" s="1182">
        <v>300</v>
      </c>
      <c r="AJ219" s="1182" t="s">
        <v>2394</v>
      </c>
      <c r="AL219" s="1186" t="s">
        <v>2395</v>
      </c>
      <c r="AM219" s="1182">
        <v>1</v>
      </c>
      <c r="AN219" s="1182">
        <v>0</v>
      </c>
      <c r="AO219" s="1182">
        <v>0</v>
      </c>
      <c r="AP219" s="1182">
        <v>0</v>
      </c>
      <c r="AQ219" s="1182" t="s">
        <v>1639</v>
      </c>
      <c r="AS219" s="1186" t="s">
        <v>1943</v>
      </c>
      <c r="AT219" s="1186" t="s">
        <v>1944</v>
      </c>
      <c r="AV219" s="1183">
        <v>138</v>
      </c>
      <c r="AW219" s="1183">
        <v>0</v>
      </c>
      <c r="AX219" s="1183">
        <v>0</v>
      </c>
      <c r="AY219" s="1538">
        <v>138</v>
      </c>
      <c r="AZ219" s="1183">
        <v>0</v>
      </c>
      <c r="BA219" s="1183">
        <v>162</v>
      </c>
      <c r="BB219" s="1540">
        <v>162</v>
      </c>
      <c r="BC219" s="1540">
        <v>300</v>
      </c>
      <c r="BD219" s="1540">
        <v>0</v>
      </c>
      <c r="BF219" s="1539">
        <f t="shared" si="60"/>
        <v>138</v>
      </c>
      <c r="BG219" s="1539">
        <f t="shared" si="61"/>
        <v>0</v>
      </c>
      <c r="BH219" s="1539">
        <f t="shared" si="62"/>
        <v>0</v>
      </c>
      <c r="BI219" s="1539">
        <f t="shared" si="63"/>
        <v>138</v>
      </c>
      <c r="BJ219" s="1539">
        <f t="shared" si="64"/>
        <v>0</v>
      </c>
      <c r="BK219" s="1539">
        <f t="shared" si="65"/>
        <v>162</v>
      </c>
      <c r="BL219" s="1539">
        <f t="shared" si="66"/>
        <v>162</v>
      </c>
      <c r="BM219" s="1539">
        <f t="shared" si="67"/>
        <v>300</v>
      </c>
      <c r="BO219" s="1183"/>
      <c r="BQ219" s="1182">
        <f t="shared" si="68"/>
        <v>0</v>
      </c>
      <c r="BR219" s="1182">
        <f t="shared" si="69"/>
        <v>0</v>
      </c>
      <c r="BS219" s="1182">
        <f t="shared" si="59"/>
        <v>0</v>
      </c>
      <c r="BT219" s="1182">
        <f t="shared" si="59"/>
        <v>0</v>
      </c>
    </row>
    <row r="220" spans="1:72" ht="13.5" customHeight="1">
      <c r="A220" s="1182" t="s">
        <v>1803</v>
      </c>
      <c r="B220" s="1182" t="s">
        <v>1804</v>
      </c>
      <c r="C220" s="1182" t="s">
        <v>1639</v>
      </c>
      <c r="D220" s="1182" t="s">
        <v>2092</v>
      </c>
      <c r="E220" s="1182" t="s">
        <v>2093</v>
      </c>
      <c r="F220" s="1182" t="s">
        <v>2323</v>
      </c>
      <c r="G220" s="1182" t="s">
        <v>2323</v>
      </c>
      <c r="H220" s="1182" t="s">
        <v>2076</v>
      </c>
      <c r="I220" s="1182" t="s">
        <v>1937</v>
      </c>
      <c r="J220" s="1182" t="s">
        <v>2324</v>
      </c>
      <c r="K220" s="1182" t="s">
        <v>1811</v>
      </c>
      <c r="L220" s="1182" t="s">
        <v>1812</v>
      </c>
      <c r="M220" s="1182" t="s">
        <v>1803</v>
      </c>
      <c r="N220" s="1182" t="s">
        <v>1939</v>
      </c>
      <c r="O220" s="1182" t="s">
        <v>1554</v>
      </c>
      <c r="P220" s="1182" t="s">
        <v>1575</v>
      </c>
      <c r="Q220" s="1182" t="s">
        <v>1574</v>
      </c>
      <c r="R220" s="1182" t="s">
        <v>1573</v>
      </c>
      <c r="S220" s="1182" t="s">
        <v>1577</v>
      </c>
      <c r="T220" s="1182" t="s">
        <v>1814</v>
      </c>
      <c r="U220" s="1182" t="s">
        <v>1815</v>
      </c>
      <c r="V220" s="1182">
        <v>0</v>
      </c>
      <c r="W220" s="1182">
        <v>0</v>
      </c>
      <c r="X220" s="1182">
        <v>0</v>
      </c>
      <c r="Y220" s="1183">
        <v>300</v>
      </c>
      <c r="Z220" s="1182" t="s">
        <v>1940</v>
      </c>
      <c r="AA220" s="1182" t="s">
        <v>1941</v>
      </c>
      <c r="AB220" s="1182">
        <v>300</v>
      </c>
      <c r="AC220" s="1182" t="s">
        <v>1942</v>
      </c>
      <c r="AD220" s="1182" t="s">
        <v>1577</v>
      </c>
      <c r="AE220" s="1182">
        <v>300</v>
      </c>
      <c r="AF220" s="1182" t="s">
        <v>1943</v>
      </c>
      <c r="AG220" s="1182" t="s">
        <v>1944</v>
      </c>
      <c r="AH220" s="1182">
        <v>0</v>
      </c>
      <c r="AI220" s="1182">
        <v>300</v>
      </c>
      <c r="AJ220" s="1182" t="s">
        <v>2325</v>
      </c>
      <c r="AL220" s="1186" t="s">
        <v>2326</v>
      </c>
      <c r="AM220" s="1182">
        <v>1</v>
      </c>
      <c r="AN220" s="1182">
        <v>0</v>
      </c>
      <c r="AO220" s="1182">
        <v>0</v>
      </c>
      <c r="AP220" s="1182">
        <v>0</v>
      </c>
      <c r="AQ220" s="1182" t="s">
        <v>1639</v>
      </c>
      <c r="AS220" s="1186" t="s">
        <v>1943</v>
      </c>
      <c r="AT220" s="1186" t="s">
        <v>1944</v>
      </c>
      <c r="AV220" s="1183">
        <v>138</v>
      </c>
      <c r="AW220" s="1183">
        <v>0</v>
      </c>
      <c r="AX220" s="1183">
        <v>0</v>
      </c>
      <c r="AY220" s="1538">
        <v>138</v>
      </c>
      <c r="AZ220" s="1183">
        <v>0</v>
      </c>
      <c r="BA220" s="1183">
        <v>162</v>
      </c>
      <c r="BB220" s="1540">
        <v>162</v>
      </c>
      <c r="BC220" s="1540">
        <v>300</v>
      </c>
      <c r="BD220" s="1540">
        <v>0</v>
      </c>
      <c r="BF220" s="1539">
        <f t="shared" si="60"/>
        <v>138</v>
      </c>
      <c r="BG220" s="1539">
        <f t="shared" si="61"/>
        <v>0</v>
      </c>
      <c r="BH220" s="1539">
        <f t="shared" si="62"/>
        <v>0</v>
      </c>
      <c r="BI220" s="1539">
        <f t="shared" si="63"/>
        <v>138</v>
      </c>
      <c r="BJ220" s="1539">
        <f t="shared" si="64"/>
        <v>0</v>
      </c>
      <c r="BK220" s="1539">
        <f t="shared" si="65"/>
        <v>162</v>
      </c>
      <c r="BL220" s="1539">
        <f t="shared" si="66"/>
        <v>162</v>
      </c>
      <c r="BM220" s="1539">
        <f t="shared" si="67"/>
        <v>300</v>
      </c>
      <c r="BO220" s="1183"/>
      <c r="BQ220" s="1182">
        <f t="shared" si="68"/>
        <v>0</v>
      </c>
      <c r="BR220" s="1182">
        <f t="shared" si="69"/>
        <v>0</v>
      </c>
      <c r="BS220" s="1182">
        <f t="shared" si="59"/>
        <v>0</v>
      </c>
      <c r="BT220" s="1182">
        <f t="shared" si="59"/>
        <v>0</v>
      </c>
    </row>
    <row r="221" spans="1:72" ht="13.5" customHeight="1">
      <c r="A221" s="1182" t="s">
        <v>1803</v>
      </c>
      <c r="B221" s="1182" t="s">
        <v>1804</v>
      </c>
      <c r="C221" s="1182" t="s">
        <v>1639</v>
      </c>
      <c r="D221" s="1182" t="s">
        <v>2092</v>
      </c>
      <c r="E221" s="1182" t="s">
        <v>2093</v>
      </c>
      <c r="F221" s="1182" t="s">
        <v>2358</v>
      </c>
      <c r="G221" s="1182" t="s">
        <v>2358</v>
      </c>
      <c r="H221" s="1182" t="s">
        <v>2076</v>
      </c>
      <c r="I221" s="1182" t="s">
        <v>1937</v>
      </c>
      <c r="J221" s="1182" t="s">
        <v>2385</v>
      </c>
      <c r="K221" s="1182" t="s">
        <v>1811</v>
      </c>
      <c r="L221" s="1182" t="s">
        <v>1812</v>
      </c>
      <c r="M221" s="1182" t="s">
        <v>1803</v>
      </c>
      <c r="N221" s="1182" t="s">
        <v>1939</v>
      </c>
      <c r="O221" s="1182" t="s">
        <v>1554</v>
      </c>
      <c r="P221" s="1182" t="s">
        <v>1575</v>
      </c>
      <c r="Q221" s="1182" t="s">
        <v>1574</v>
      </c>
      <c r="R221" s="1182" t="s">
        <v>1573</v>
      </c>
      <c r="S221" s="1182" t="s">
        <v>1577</v>
      </c>
      <c r="T221" s="1182" t="s">
        <v>1814</v>
      </c>
      <c r="U221" s="1182" t="s">
        <v>1815</v>
      </c>
      <c r="V221" s="1182">
        <v>0</v>
      </c>
      <c r="W221" s="1182">
        <v>0</v>
      </c>
      <c r="X221" s="1182">
        <v>0</v>
      </c>
      <c r="Y221" s="1183">
        <v>200</v>
      </c>
      <c r="Z221" s="1182" t="s">
        <v>1940</v>
      </c>
      <c r="AA221" s="1182" t="s">
        <v>1941</v>
      </c>
      <c r="AB221" s="1182">
        <v>200</v>
      </c>
      <c r="AC221" s="1182" t="s">
        <v>1942</v>
      </c>
      <c r="AD221" s="1182" t="s">
        <v>1577</v>
      </c>
      <c r="AE221" s="1182">
        <v>200</v>
      </c>
      <c r="AF221" s="1182" t="s">
        <v>1943</v>
      </c>
      <c r="AG221" s="1182" t="s">
        <v>1944</v>
      </c>
      <c r="AH221" s="1182">
        <v>0</v>
      </c>
      <c r="AI221" s="1182">
        <v>200</v>
      </c>
      <c r="AJ221" s="1182" t="s">
        <v>2386</v>
      </c>
      <c r="AL221" s="1186" t="s">
        <v>2387</v>
      </c>
      <c r="AM221" s="1182">
        <v>1</v>
      </c>
      <c r="AN221" s="1182">
        <v>0</v>
      </c>
      <c r="AO221" s="1182">
        <v>0</v>
      </c>
      <c r="AP221" s="1182">
        <v>0</v>
      </c>
      <c r="AQ221" s="1182" t="s">
        <v>1639</v>
      </c>
      <c r="AS221" s="1186" t="s">
        <v>1943</v>
      </c>
      <c r="AT221" s="1186" t="s">
        <v>1944</v>
      </c>
      <c r="AV221" s="1183">
        <v>92</v>
      </c>
      <c r="AW221" s="1183">
        <v>0</v>
      </c>
      <c r="AX221" s="1183">
        <v>0</v>
      </c>
      <c r="AY221" s="1538">
        <v>92</v>
      </c>
      <c r="AZ221" s="1183">
        <v>0</v>
      </c>
      <c r="BA221" s="1183">
        <v>108</v>
      </c>
      <c r="BB221" s="1540">
        <v>108</v>
      </c>
      <c r="BC221" s="1540">
        <v>200</v>
      </c>
      <c r="BD221" s="1540">
        <v>0</v>
      </c>
      <c r="BF221" s="1539">
        <f t="shared" si="60"/>
        <v>92</v>
      </c>
      <c r="BG221" s="1539">
        <f t="shared" si="61"/>
        <v>0</v>
      </c>
      <c r="BH221" s="1539">
        <f t="shared" si="62"/>
        <v>0</v>
      </c>
      <c r="BI221" s="1539">
        <f t="shared" si="63"/>
        <v>92</v>
      </c>
      <c r="BJ221" s="1539">
        <f t="shared" si="64"/>
        <v>0</v>
      </c>
      <c r="BK221" s="1539">
        <f t="shared" si="65"/>
        <v>108</v>
      </c>
      <c r="BL221" s="1539">
        <f t="shared" si="66"/>
        <v>108</v>
      </c>
      <c r="BM221" s="1539">
        <f t="shared" si="67"/>
        <v>200</v>
      </c>
      <c r="BO221" s="1183"/>
      <c r="BQ221" s="1182">
        <f t="shared" si="68"/>
        <v>0</v>
      </c>
      <c r="BR221" s="1182">
        <f t="shared" si="69"/>
        <v>0</v>
      </c>
      <c r="BS221" s="1182">
        <f t="shared" si="59"/>
        <v>0</v>
      </c>
      <c r="BT221" s="1182">
        <f t="shared" si="59"/>
        <v>0</v>
      </c>
    </row>
    <row r="222" spans="1:72" ht="13.5" customHeight="1">
      <c r="A222" s="1182" t="s">
        <v>1803</v>
      </c>
      <c r="B222" s="1182" t="s">
        <v>1804</v>
      </c>
      <c r="C222" s="1182" t="s">
        <v>1639</v>
      </c>
      <c r="D222" s="1182" t="s">
        <v>1967</v>
      </c>
      <c r="E222" s="1182" t="s">
        <v>1968</v>
      </c>
      <c r="F222" s="1182" t="s">
        <v>2358</v>
      </c>
      <c r="G222" s="1182" t="s">
        <v>2358</v>
      </c>
      <c r="H222" s="1182" t="s">
        <v>2076</v>
      </c>
      <c r="I222" s="1182" t="s">
        <v>1937</v>
      </c>
      <c r="J222" s="1182" t="s">
        <v>2359</v>
      </c>
      <c r="K222" s="1182" t="s">
        <v>1811</v>
      </c>
      <c r="L222" s="1182" t="s">
        <v>1812</v>
      </c>
      <c r="M222" s="1182" t="s">
        <v>1803</v>
      </c>
      <c r="N222" s="1182" t="s">
        <v>1939</v>
      </c>
      <c r="O222" s="1182" t="s">
        <v>1554</v>
      </c>
      <c r="P222" s="1182" t="s">
        <v>1575</v>
      </c>
      <c r="Q222" s="1182" t="s">
        <v>1574</v>
      </c>
      <c r="R222" s="1182" t="s">
        <v>1573</v>
      </c>
      <c r="S222" s="1182" t="s">
        <v>1577</v>
      </c>
      <c r="T222" s="1182" t="s">
        <v>1814</v>
      </c>
      <c r="U222" s="1182" t="s">
        <v>1815</v>
      </c>
      <c r="V222" s="1182">
        <v>0</v>
      </c>
      <c r="W222" s="1182">
        <v>0</v>
      </c>
      <c r="X222" s="1182">
        <v>0</v>
      </c>
      <c r="Y222" s="1183">
        <v>600</v>
      </c>
      <c r="Z222" s="1182" t="s">
        <v>1940</v>
      </c>
      <c r="AA222" s="1182" t="s">
        <v>1941</v>
      </c>
      <c r="AB222" s="1182">
        <v>600</v>
      </c>
      <c r="AC222" s="1182" t="s">
        <v>1942</v>
      </c>
      <c r="AD222" s="1182" t="s">
        <v>1577</v>
      </c>
      <c r="AE222" s="1182">
        <v>600</v>
      </c>
      <c r="AF222" s="1182" t="s">
        <v>1943</v>
      </c>
      <c r="AG222" s="1182" t="s">
        <v>1944</v>
      </c>
      <c r="AH222" s="1182">
        <v>0</v>
      </c>
      <c r="AI222" s="1182">
        <v>600</v>
      </c>
      <c r="AJ222" s="1182" t="s">
        <v>2360</v>
      </c>
      <c r="AL222" s="1186" t="s">
        <v>2361</v>
      </c>
      <c r="AM222" s="1182">
        <v>1</v>
      </c>
      <c r="AN222" s="1182">
        <v>0</v>
      </c>
      <c r="AO222" s="1182">
        <v>0</v>
      </c>
      <c r="AP222" s="1182">
        <v>0</v>
      </c>
      <c r="AQ222" s="1182" t="s">
        <v>1639</v>
      </c>
      <c r="AS222" s="1186" t="s">
        <v>1943</v>
      </c>
      <c r="AT222" s="1186" t="s">
        <v>1944</v>
      </c>
      <c r="AV222" s="1183">
        <v>276</v>
      </c>
      <c r="AW222" s="1183">
        <v>0</v>
      </c>
      <c r="AX222" s="1183">
        <v>0</v>
      </c>
      <c r="AY222" s="1538">
        <v>276</v>
      </c>
      <c r="AZ222" s="1183">
        <v>0</v>
      </c>
      <c r="BA222" s="1183">
        <v>324</v>
      </c>
      <c r="BB222" s="1540">
        <v>324</v>
      </c>
      <c r="BC222" s="1540">
        <v>600</v>
      </c>
      <c r="BD222" s="1540">
        <v>0</v>
      </c>
      <c r="BF222" s="1539">
        <f t="shared" si="60"/>
        <v>276</v>
      </c>
      <c r="BG222" s="1539">
        <f t="shared" si="61"/>
        <v>0</v>
      </c>
      <c r="BH222" s="1539">
        <f t="shared" si="62"/>
        <v>0</v>
      </c>
      <c r="BI222" s="1539">
        <f t="shared" si="63"/>
        <v>276</v>
      </c>
      <c r="BJ222" s="1539">
        <f t="shared" si="64"/>
        <v>0</v>
      </c>
      <c r="BK222" s="1539">
        <f t="shared" si="65"/>
        <v>324</v>
      </c>
      <c r="BL222" s="1539">
        <f t="shared" si="66"/>
        <v>324</v>
      </c>
      <c r="BM222" s="1539">
        <f t="shared" si="67"/>
        <v>600</v>
      </c>
      <c r="BO222" s="1183"/>
      <c r="BQ222" s="1182">
        <f t="shared" si="68"/>
        <v>0</v>
      </c>
      <c r="BR222" s="1182">
        <f t="shared" si="69"/>
        <v>0</v>
      </c>
      <c r="BS222" s="1182">
        <f t="shared" si="59"/>
        <v>0</v>
      </c>
      <c r="BT222" s="1182">
        <f t="shared" si="59"/>
        <v>0</v>
      </c>
    </row>
    <row r="223" spans="1:72" ht="13.5" customHeight="1">
      <c r="A223" s="1182" t="s">
        <v>1803</v>
      </c>
      <c r="B223" s="1182" t="s">
        <v>1804</v>
      </c>
      <c r="C223" s="1182" t="s">
        <v>1639</v>
      </c>
      <c r="D223" s="1182" t="s">
        <v>1915</v>
      </c>
      <c r="E223" s="1182" t="s">
        <v>1916</v>
      </c>
      <c r="F223" s="1182" t="s">
        <v>2373</v>
      </c>
      <c r="G223" s="1182" t="s">
        <v>2373</v>
      </c>
      <c r="H223" s="1182" t="s">
        <v>2076</v>
      </c>
      <c r="I223" s="1182" t="s">
        <v>1937</v>
      </c>
      <c r="J223" s="1182" t="s">
        <v>2374</v>
      </c>
      <c r="K223" s="1182" t="s">
        <v>1811</v>
      </c>
      <c r="L223" s="1182" t="s">
        <v>1812</v>
      </c>
      <c r="M223" s="1182" t="s">
        <v>1803</v>
      </c>
      <c r="N223" s="1182" t="s">
        <v>1939</v>
      </c>
      <c r="O223" s="1182" t="s">
        <v>1554</v>
      </c>
      <c r="P223" s="1182" t="s">
        <v>1575</v>
      </c>
      <c r="Q223" s="1182" t="s">
        <v>1574</v>
      </c>
      <c r="R223" s="1182" t="s">
        <v>1573</v>
      </c>
      <c r="S223" s="1182" t="s">
        <v>1577</v>
      </c>
      <c r="T223" s="1182" t="s">
        <v>1814</v>
      </c>
      <c r="U223" s="1182" t="s">
        <v>1815</v>
      </c>
      <c r="V223" s="1182">
        <v>0</v>
      </c>
      <c r="W223" s="1182">
        <v>0</v>
      </c>
      <c r="X223" s="1182">
        <v>0</v>
      </c>
      <c r="Y223" s="1183">
        <v>300</v>
      </c>
      <c r="Z223" s="1182" t="s">
        <v>1940</v>
      </c>
      <c r="AA223" s="1182" t="s">
        <v>1941</v>
      </c>
      <c r="AB223" s="1182">
        <v>300</v>
      </c>
      <c r="AC223" s="1182" t="s">
        <v>1942</v>
      </c>
      <c r="AD223" s="1182" t="s">
        <v>1577</v>
      </c>
      <c r="AE223" s="1182">
        <v>300</v>
      </c>
      <c r="AF223" s="1182" t="s">
        <v>1943</v>
      </c>
      <c r="AG223" s="1182" t="s">
        <v>1944</v>
      </c>
      <c r="AH223" s="1182">
        <v>0</v>
      </c>
      <c r="AI223" s="1182">
        <v>300</v>
      </c>
      <c r="AJ223" s="1182" t="s">
        <v>2375</v>
      </c>
      <c r="AL223" s="1186" t="s">
        <v>2376</v>
      </c>
      <c r="AM223" s="1182">
        <v>1</v>
      </c>
      <c r="AN223" s="1182">
        <v>0</v>
      </c>
      <c r="AO223" s="1182">
        <v>0</v>
      </c>
      <c r="AP223" s="1182">
        <v>0</v>
      </c>
      <c r="AQ223" s="1182" t="s">
        <v>1639</v>
      </c>
      <c r="AS223" s="1186" t="s">
        <v>1943</v>
      </c>
      <c r="AT223" s="1186" t="s">
        <v>1944</v>
      </c>
      <c r="AV223" s="1183">
        <v>138</v>
      </c>
      <c r="AW223" s="1183">
        <v>0</v>
      </c>
      <c r="AX223" s="1183">
        <v>0</v>
      </c>
      <c r="AY223" s="1538">
        <v>138</v>
      </c>
      <c r="AZ223" s="1183">
        <v>0</v>
      </c>
      <c r="BA223" s="1183">
        <v>162</v>
      </c>
      <c r="BB223" s="1540">
        <v>162</v>
      </c>
      <c r="BC223" s="1540">
        <v>300</v>
      </c>
      <c r="BD223" s="1540">
        <v>0</v>
      </c>
      <c r="BF223" s="1539">
        <f t="shared" si="60"/>
        <v>138</v>
      </c>
      <c r="BG223" s="1539">
        <f t="shared" si="61"/>
        <v>0</v>
      </c>
      <c r="BH223" s="1539">
        <f t="shared" si="62"/>
        <v>0</v>
      </c>
      <c r="BI223" s="1539">
        <f t="shared" si="63"/>
        <v>138</v>
      </c>
      <c r="BJ223" s="1539">
        <f t="shared" si="64"/>
        <v>0</v>
      </c>
      <c r="BK223" s="1539">
        <f t="shared" si="65"/>
        <v>162</v>
      </c>
      <c r="BL223" s="1539">
        <f t="shared" si="66"/>
        <v>162</v>
      </c>
      <c r="BM223" s="1539">
        <f t="shared" si="67"/>
        <v>300</v>
      </c>
      <c r="BO223" s="1183"/>
      <c r="BQ223" s="1182">
        <f t="shared" si="68"/>
        <v>0</v>
      </c>
      <c r="BR223" s="1182">
        <f t="shared" si="69"/>
        <v>0</v>
      </c>
      <c r="BS223" s="1182">
        <f t="shared" ref="BS223:BT273" si="70">AZ223*100/(100+$AT223)-BJ223</f>
        <v>0</v>
      </c>
      <c r="BT223" s="1182">
        <f t="shared" si="70"/>
        <v>0</v>
      </c>
    </row>
    <row r="224" spans="1:72" ht="13.5" customHeight="1">
      <c r="A224" s="1182" t="s">
        <v>1803</v>
      </c>
      <c r="B224" s="1182" t="s">
        <v>1804</v>
      </c>
      <c r="C224" s="1182" t="s">
        <v>1639</v>
      </c>
      <c r="D224" s="1182" t="s">
        <v>2092</v>
      </c>
      <c r="E224" s="1182" t="s">
        <v>2093</v>
      </c>
      <c r="F224" s="1182" t="s">
        <v>2377</v>
      </c>
      <c r="G224" s="1182" t="s">
        <v>2377</v>
      </c>
      <c r="H224" s="1182" t="s">
        <v>2076</v>
      </c>
      <c r="I224" s="1182" t="s">
        <v>1937</v>
      </c>
      <c r="J224" s="1182" t="s">
        <v>2378</v>
      </c>
      <c r="K224" s="1182" t="s">
        <v>1811</v>
      </c>
      <c r="L224" s="1182" t="s">
        <v>1812</v>
      </c>
      <c r="M224" s="1182" t="s">
        <v>1803</v>
      </c>
      <c r="N224" s="1182" t="s">
        <v>1939</v>
      </c>
      <c r="O224" s="1182" t="s">
        <v>1554</v>
      </c>
      <c r="P224" s="1182" t="s">
        <v>1575</v>
      </c>
      <c r="Q224" s="1182" t="s">
        <v>1574</v>
      </c>
      <c r="R224" s="1182" t="s">
        <v>1573</v>
      </c>
      <c r="S224" s="1182" t="s">
        <v>1577</v>
      </c>
      <c r="T224" s="1182" t="s">
        <v>1814</v>
      </c>
      <c r="U224" s="1182" t="s">
        <v>1815</v>
      </c>
      <c r="V224" s="1182">
        <v>0</v>
      </c>
      <c r="W224" s="1182">
        <v>0</v>
      </c>
      <c r="X224" s="1182">
        <v>0</v>
      </c>
      <c r="Y224" s="1183">
        <v>300</v>
      </c>
      <c r="Z224" s="1182" t="s">
        <v>1940</v>
      </c>
      <c r="AA224" s="1182" t="s">
        <v>1941</v>
      </c>
      <c r="AB224" s="1182">
        <v>300</v>
      </c>
      <c r="AC224" s="1182" t="s">
        <v>1942</v>
      </c>
      <c r="AD224" s="1182" t="s">
        <v>1577</v>
      </c>
      <c r="AE224" s="1182">
        <v>300</v>
      </c>
      <c r="AF224" s="1182" t="s">
        <v>1943</v>
      </c>
      <c r="AG224" s="1182" t="s">
        <v>1944</v>
      </c>
      <c r="AH224" s="1182">
        <v>0</v>
      </c>
      <c r="AI224" s="1182">
        <v>300</v>
      </c>
      <c r="AJ224" s="1182" t="s">
        <v>2379</v>
      </c>
      <c r="AL224" s="1186" t="s">
        <v>2380</v>
      </c>
      <c r="AM224" s="1182">
        <v>1</v>
      </c>
      <c r="AN224" s="1182">
        <v>0</v>
      </c>
      <c r="AO224" s="1182">
        <v>0</v>
      </c>
      <c r="AP224" s="1182">
        <v>0</v>
      </c>
      <c r="AQ224" s="1182" t="s">
        <v>1639</v>
      </c>
      <c r="AS224" s="1186" t="s">
        <v>1943</v>
      </c>
      <c r="AT224" s="1186" t="s">
        <v>1944</v>
      </c>
      <c r="AV224" s="1183">
        <v>138</v>
      </c>
      <c r="AW224" s="1183">
        <v>0</v>
      </c>
      <c r="AX224" s="1183">
        <v>0</v>
      </c>
      <c r="AY224" s="1538">
        <v>138</v>
      </c>
      <c r="AZ224" s="1183">
        <v>0</v>
      </c>
      <c r="BA224" s="1183">
        <v>162</v>
      </c>
      <c r="BB224" s="1540">
        <v>162</v>
      </c>
      <c r="BC224" s="1540">
        <v>300</v>
      </c>
      <c r="BD224" s="1540">
        <v>0</v>
      </c>
      <c r="BF224" s="1539">
        <f t="shared" si="60"/>
        <v>138</v>
      </c>
      <c r="BG224" s="1539">
        <f t="shared" si="61"/>
        <v>0</v>
      </c>
      <c r="BH224" s="1539">
        <f t="shared" si="62"/>
        <v>0</v>
      </c>
      <c r="BI224" s="1539">
        <f t="shared" si="63"/>
        <v>138</v>
      </c>
      <c r="BJ224" s="1539">
        <f t="shared" si="64"/>
        <v>0</v>
      </c>
      <c r="BK224" s="1539">
        <f t="shared" si="65"/>
        <v>162</v>
      </c>
      <c r="BL224" s="1539">
        <f t="shared" si="66"/>
        <v>162</v>
      </c>
      <c r="BM224" s="1539">
        <f t="shared" si="67"/>
        <v>300</v>
      </c>
      <c r="BO224" s="1183"/>
      <c r="BQ224" s="1182">
        <f t="shared" si="68"/>
        <v>0</v>
      </c>
      <c r="BR224" s="1182">
        <f t="shared" si="69"/>
        <v>0</v>
      </c>
      <c r="BS224" s="1182">
        <f t="shared" si="70"/>
        <v>0</v>
      </c>
      <c r="BT224" s="1182">
        <f t="shared" si="70"/>
        <v>0</v>
      </c>
    </row>
    <row r="225" spans="1:72" ht="13.5" customHeight="1">
      <c r="A225" s="1182" t="s">
        <v>1803</v>
      </c>
      <c r="B225" s="1182" t="s">
        <v>1804</v>
      </c>
      <c r="C225" s="1182" t="s">
        <v>1639</v>
      </c>
      <c r="D225" s="1182" t="s">
        <v>2092</v>
      </c>
      <c r="E225" s="1182" t="s">
        <v>2093</v>
      </c>
      <c r="F225" s="1182" t="s">
        <v>2381</v>
      </c>
      <c r="G225" s="1182" t="s">
        <v>2381</v>
      </c>
      <c r="H225" s="1182" t="s">
        <v>2076</v>
      </c>
      <c r="I225" s="1182" t="s">
        <v>1937</v>
      </c>
      <c r="J225" s="1182" t="s">
        <v>2382</v>
      </c>
      <c r="K225" s="1182" t="s">
        <v>1811</v>
      </c>
      <c r="L225" s="1182" t="s">
        <v>1812</v>
      </c>
      <c r="M225" s="1182" t="s">
        <v>1803</v>
      </c>
      <c r="N225" s="1182" t="s">
        <v>1939</v>
      </c>
      <c r="O225" s="1182" t="s">
        <v>1554</v>
      </c>
      <c r="P225" s="1182" t="s">
        <v>1575</v>
      </c>
      <c r="Q225" s="1182" t="s">
        <v>1574</v>
      </c>
      <c r="R225" s="1182" t="s">
        <v>1573</v>
      </c>
      <c r="S225" s="1182" t="s">
        <v>1577</v>
      </c>
      <c r="T225" s="1182" t="s">
        <v>1814</v>
      </c>
      <c r="U225" s="1182" t="s">
        <v>1815</v>
      </c>
      <c r="V225" s="1182">
        <v>0</v>
      </c>
      <c r="W225" s="1182">
        <v>0</v>
      </c>
      <c r="X225" s="1182">
        <v>0</v>
      </c>
      <c r="Y225" s="1183">
        <v>300</v>
      </c>
      <c r="Z225" s="1182" t="s">
        <v>1940</v>
      </c>
      <c r="AA225" s="1182" t="s">
        <v>1941</v>
      </c>
      <c r="AB225" s="1182">
        <v>300</v>
      </c>
      <c r="AC225" s="1182" t="s">
        <v>1942</v>
      </c>
      <c r="AD225" s="1182" t="s">
        <v>1577</v>
      </c>
      <c r="AE225" s="1182">
        <v>300</v>
      </c>
      <c r="AF225" s="1182" t="s">
        <v>1943</v>
      </c>
      <c r="AG225" s="1182" t="s">
        <v>1944</v>
      </c>
      <c r="AH225" s="1182">
        <v>0</v>
      </c>
      <c r="AI225" s="1182">
        <v>300</v>
      </c>
      <c r="AJ225" s="1182" t="s">
        <v>2383</v>
      </c>
      <c r="AL225" s="1186" t="s">
        <v>2384</v>
      </c>
      <c r="AM225" s="1182">
        <v>1</v>
      </c>
      <c r="AN225" s="1182">
        <v>0</v>
      </c>
      <c r="AO225" s="1182">
        <v>0</v>
      </c>
      <c r="AP225" s="1182">
        <v>0</v>
      </c>
      <c r="AQ225" s="1182" t="s">
        <v>1639</v>
      </c>
      <c r="AS225" s="1186" t="s">
        <v>1943</v>
      </c>
      <c r="AT225" s="1186" t="s">
        <v>1944</v>
      </c>
      <c r="AV225" s="1183">
        <v>138</v>
      </c>
      <c r="AW225" s="1183">
        <v>0</v>
      </c>
      <c r="AX225" s="1183">
        <v>0</v>
      </c>
      <c r="AY225" s="1538">
        <v>138</v>
      </c>
      <c r="AZ225" s="1183">
        <v>0</v>
      </c>
      <c r="BA225" s="1183">
        <v>162</v>
      </c>
      <c r="BB225" s="1540">
        <v>162</v>
      </c>
      <c r="BC225" s="1540">
        <v>300</v>
      </c>
      <c r="BD225" s="1540">
        <v>0</v>
      </c>
      <c r="BF225" s="1539">
        <f t="shared" si="60"/>
        <v>138</v>
      </c>
      <c r="BG225" s="1539">
        <f t="shared" si="61"/>
        <v>0</v>
      </c>
      <c r="BH225" s="1539">
        <f t="shared" si="62"/>
        <v>0</v>
      </c>
      <c r="BI225" s="1539">
        <f t="shared" si="63"/>
        <v>138</v>
      </c>
      <c r="BJ225" s="1539">
        <f t="shared" si="64"/>
        <v>0</v>
      </c>
      <c r="BK225" s="1539">
        <f t="shared" si="65"/>
        <v>162</v>
      </c>
      <c r="BL225" s="1539">
        <f t="shared" si="66"/>
        <v>162</v>
      </c>
      <c r="BM225" s="1539">
        <f t="shared" si="67"/>
        <v>300</v>
      </c>
      <c r="BO225" s="1183"/>
      <c r="BQ225" s="1182">
        <f t="shared" si="68"/>
        <v>0</v>
      </c>
      <c r="BR225" s="1182">
        <f t="shared" si="69"/>
        <v>0</v>
      </c>
      <c r="BS225" s="1182">
        <f t="shared" si="70"/>
        <v>0</v>
      </c>
      <c r="BT225" s="1182">
        <f t="shared" si="70"/>
        <v>0</v>
      </c>
    </row>
    <row r="226" spans="1:72" ht="13.5" customHeight="1">
      <c r="A226" s="1182" t="s">
        <v>1803</v>
      </c>
      <c r="B226" s="1182" t="s">
        <v>1804</v>
      </c>
      <c r="C226" s="1182" t="s">
        <v>1639</v>
      </c>
      <c r="D226" s="1182" t="s">
        <v>2092</v>
      </c>
      <c r="E226" s="1182" t="s">
        <v>2093</v>
      </c>
      <c r="F226" s="1182" t="s">
        <v>2067</v>
      </c>
      <c r="G226" s="1182" t="s">
        <v>2067</v>
      </c>
      <c r="H226" s="1182" t="s">
        <v>2076</v>
      </c>
      <c r="I226" s="1182" t="s">
        <v>1937</v>
      </c>
      <c r="J226" s="1182" t="s">
        <v>2404</v>
      </c>
      <c r="K226" s="1182" t="s">
        <v>1811</v>
      </c>
      <c r="L226" s="1182" t="s">
        <v>1812</v>
      </c>
      <c r="M226" s="1182" t="s">
        <v>1803</v>
      </c>
      <c r="N226" s="1182" t="s">
        <v>1939</v>
      </c>
      <c r="O226" s="1182" t="s">
        <v>1554</v>
      </c>
      <c r="P226" s="1182" t="s">
        <v>1575</v>
      </c>
      <c r="Q226" s="1182" t="s">
        <v>1574</v>
      </c>
      <c r="R226" s="1182" t="s">
        <v>1573</v>
      </c>
      <c r="S226" s="1182" t="s">
        <v>1577</v>
      </c>
      <c r="T226" s="1182" t="s">
        <v>1814</v>
      </c>
      <c r="U226" s="1182" t="s">
        <v>1815</v>
      </c>
      <c r="V226" s="1182">
        <v>0</v>
      </c>
      <c r="W226" s="1182">
        <v>0</v>
      </c>
      <c r="X226" s="1182">
        <v>0</v>
      </c>
      <c r="Y226" s="1183">
        <v>300</v>
      </c>
      <c r="Z226" s="1182" t="s">
        <v>1940</v>
      </c>
      <c r="AA226" s="1182" t="s">
        <v>1941</v>
      </c>
      <c r="AB226" s="1182">
        <v>300</v>
      </c>
      <c r="AC226" s="1182" t="s">
        <v>1942</v>
      </c>
      <c r="AD226" s="1182" t="s">
        <v>1577</v>
      </c>
      <c r="AE226" s="1182">
        <v>300</v>
      </c>
      <c r="AF226" s="1182" t="s">
        <v>1943</v>
      </c>
      <c r="AG226" s="1182" t="s">
        <v>1944</v>
      </c>
      <c r="AH226" s="1182">
        <v>0</v>
      </c>
      <c r="AI226" s="1182">
        <v>300</v>
      </c>
      <c r="AJ226" s="1182" t="s">
        <v>2405</v>
      </c>
      <c r="AL226" s="1186" t="s">
        <v>2406</v>
      </c>
      <c r="AM226" s="1182">
        <v>1</v>
      </c>
      <c r="AN226" s="1182">
        <v>0</v>
      </c>
      <c r="AO226" s="1182">
        <v>0</v>
      </c>
      <c r="AP226" s="1182">
        <v>0</v>
      </c>
      <c r="AQ226" s="1182" t="s">
        <v>1639</v>
      </c>
      <c r="AS226" s="1186" t="s">
        <v>1943</v>
      </c>
      <c r="AT226" s="1186" t="s">
        <v>1944</v>
      </c>
      <c r="AV226" s="1183">
        <v>138</v>
      </c>
      <c r="AW226" s="1183">
        <v>0</v>
      </c>
      <c r="AX226" s="1183">
        <v>0</v>
      </c>
      <c r="AY226" s="1538">
        <v>138</v>
      </c>
      <c r="AZ226" s="1183">
        <v>0</v>
      </c>
      <c r="BA226" s="1183">
        <v>162</v>
      </c>
      <c r="BB226" s="1540">
        <v>162</v>
      </c>
      <c r="BC226" s="1540">
        <v>300</v>
      </c>
      <c r="BD226" s="1540">
        <v>0</v>
      </c>
      <c r="BF226" s="1539">
        <f t="shared" si="60"/>
        <v>138</v>
      </c>
      <c r="BG226" s="1539">
        <f t="shared" si="61"/>
        <v>0</v>
      </c>
      <c r="BH226" s="1539">
        <f t="shared" si="62"/>
        <v>0</v>
      </c>
      <c r="BI226" s="1539">
        <f t="shared" si="63"/>
        <v>138</v>
      </c>
      <c r="BJ226" s="1539">
        <f t="shared" si="64"/>
        <v>0</v>
      </c>
      <c r="BK226" s="1539">
        <f t="shared" si="65"/>
        <v>162</v>
      </c>
      <c r="BL226" s="1539">
        <f t="shared" si="66"/>
        <v>162</v>
      </c>
      <c r="BM226" s="1539">
        <f t="shared" si="67"/>
        <v>300</v>
      </c>
      <c r="BO226" s="1183"/>
      <c r="BQ226" s="1182">
        <f t="shared" si="68"/>
        <v>0</v>
      </c>
      <c r="BR226" s="1182">
        <f t="shared" si="69"/>
        <v>0</v>
      </c>
      <c r="BS226" s="1182">
        <f t="shared" si="70"/>
        <v>0</v>
      </c>
      <c r="BT226" s="1182">
        <f t="shared" si="70"/>
        <v>0</v>
      </c>
    </row>
    <row r="227" spans="1:72" ht="13.5" customHeight="1">
      <c r="A227" s="1182" t="s">
        <v>1803</v>
      </c>
      <c r="B227" s="1182" t="s">
        <v>1804</v>
      </c>
      <c r="C227" s="1182" t="s">
        <v>1639</v>
      </c>
      <c r="D227" s="1182" t="s">
        <v>2092</v>
      </c>
      <c r="E227" s="1182" t="s">
        <v>2093</v>
      </c>
      <c r="F227" s="1182" t="s">
        <v>2067</v>
      </c>
      <c r="G227" s="1182" t="s">
        <v>2067</v>
      </c>
      <c r="H227" s="1182" t="s">
        <v>2076</v>
      </c>
      <c r="I227" s="1182" t="s">
        <v>1937</v>
      </c>
      <c r="J227" s="1182" t="s">
        <v>2404</v>
      </c>
      <c r="K227" s="1182" t="s">
        <v>1811</v>
      </c>
      <c r="L227" s="1182" t="s">
        <v>1956</v>
      </c>
      <c r="M227" s="1182" t="s">
        <v>1803</v>
      </c>
      <c r="N227" s="1182" t="s">
        <v>1939</v>
      </c>
      <c r="O227" s="1182" t="s">
        <v>1554</v>
      </c>
      <c r="P227" s="1182" t="s">
        <v>1575</v>
      </c>
      <c r="Q227" s="1182" t="s">
        <v>1574</v>
      </c>
      <c r="R227" s="1182" t="s">
        <v>1573</v>
      </c>
      <c r="S227" s="1182" t="s">
        <v>1577</v>
      </c>
      <c r="T227" s="1182" t="s">
        <v>1814</v>
      </c>
      <c r="U227" s="1182" t="s">
        <v>1815</v>
      </c>
      <c r="V227" s="1182">
        <v>0</v>
      </c>
      <c r="W227" s="1182">
        <v>0</v>
      </c>
      <c r="X227" s="1182">
        <v>0</v>
      </c>
      <c r="Y227" s="1183">
        <v>600</v>
      </c>
      <c r="Z227" s="1182" t="s">
        <v>1940</v>
      </c>
      <c r="AA227" s="1182" t="s">
        <v>1941</v>
      </c>
      <c r="AB227" s="1182">
        <v>600</v>
      </c>
      <c r="AC227" s="1182" t="s">
        <v>1942</v>
      </c>
      <c r="AD227" s="1182" t="s">
        <v>1577</v>
      </c>
      <c r="AE227" s="1182">
        <v>600</v>
      </c>
      <c r="AF227" s="1182" t="s">
        <v>1943</v>
      </c>
      <c r="AG227" s="1182" t="s">
        <v>1944</v>
      </c>
      <c r="AH227" s="1182">
        <v>0</v>
      </c>
      <c r="AI227" s="1182">
        <v>600</v>
      </c>
      <c r="AJ227" s="1182" t="s">
        <v>2407</v>
      </c>
      <c r="AL227" s="1186" t="s">
        <v>2408</v>
      </c>
      <c r="AM227" s="1182">
        <v>1</v>
      </c>
      <c r="AN227" s="1182">
        <v>0</v>
      </c>
      <c r="AO227" s="1182">
        <v>0</v>
      </c>
      <c r="AP227" s="1182">
        <v>0</v>
      </c>
      <c r="AQ227" s="1182" t="s">
        <v>1639</v>
      </c>
      <c r="AS227" s="1186" t="s">
        <v>1943</v>
      </c>
      <c r="AT227" s="1186" t="s">
        <v>1944</v>
      </c>
      <c r="AV227" s="1183">
        <v>276</v>
      </c>
      <c r="AW227" s="1183">
        <v>0</v>
      </c>
      <c r="AX227" s="1183">
        <v>0</v>
      </c>
      <c r="AY227" s="1538">
        <v>276</v>
      </c>
      <c r="AZ227" s="1183">
        <v>0</v>
      </c>
      <c r="BA227" s="1183">
        <v>324</v>
      </c>
      <c r="BB227" s="1540">
        <v>324</v>
      </c>
      <c r="BC227" s="1540">
        <v>600</v>
      </c>
      <c r="BD227" s="1540">
        <v>0</v>
      </c>
      <c r="BF227" s="1539">
        <f t="shared" si="60"/>
        <v>276</v>
      </c>
      <c r="BG227" s="1539">
        <f t="shared" si="61"/>
        <v>0</v>
      </c>
      <c r="BH227" s="1539">
        <f t="shared" si="62"/>
        <v>0</v>
      </c>
      <c r="BI227" s="1539">
        <f t="shared" si="63"/>
        <v>276</v>
      </c>
      <c r="BJ227" s="1539">
        <f t="shared" si="64"/>
        <v>0</v>
      </c>
      <c r="BK227" s="1539">
        <f t="shared" si="65"/>
        <v>324</v>
      </c>
      <c r="BL227" s="1539">
        <f t="shared" si="66"/>
        <v>324</v>
      </c>
      <c r="BM227" s="1539">
        <f t="shared" si="67"/>
        <v>600</v>
      </c>
      <c r="BO227" s="1183"/>
      <c r="BQ227" s="1182">
        <f t="shared" si="68"/>
        <v>0</v>
      </c>
      <c r="BR227" s="1182">
        <f t="shared" si="69"/>
        <v>0</v>
      </c>
      <c r="BS227" s="1182">
        <f t="shared" si="70"/>
        <v>0</v>
      </c>
      <c r="BT227" s="1182">
        <f t="shared" si="70"/>
        <v>0</v>
      </c>
    </row>
    <row r="228" spans="1:72" ht="13.5" customHeight="1">
      <c r="A228" s="1182" t="s">
        <v>1803</v>
      </c>
      <c r="B228" s="1182" t="s">
        <v>1804</v>
      </c>
      <c r="C228" s="1182" t="s">
        <v>1639</v>
      </c>
      <c r="D228" s="1182" t="s">
        <v>2092</v>
      </c>
      <c r="E228" s="1182" t="s">
        <v>2093</v>
      </c>
      <c r="F228" s="1182" t="s">
        <v>2409</v>
      </c>
      <c r="G228" s="1182" t="s">
        <v>2409</v>
      </c>
      <c r="H228" s="1182" t="s">
        <v>2076</v>
      </c>
      <c r="I228" s="1182" t="s">
        <v>1937</v>
      </c>
      <c r="J228" s="1182" t="s">
        <v>2410</v>
      </c>
      <c r="K228" s="1182" t="s">
        <v>1811</v>
      </c>
      <c r="L228" s="1182" t="s">
        <v>1812</v>
      </c>
      <c r="M228" s="1182" t="s">
        <v>1803</v>
      </c>
      <c r="N228" s="1182" t="s">
        <v>1939</v>
      </c>
      <c r="O228" s="1182" t="s">
        <v>1554</v>
      </c>
      <c r="P228" s="1182" t="s">
        <v>1575</v>
      </c>
      <c r="Q228" s="1182" t="s">
        <v>1574</v>
      </c>
      <c r="R228" s="1182" t="s">
        <v>1573</v>
      </c>
      <c r="S228" s="1182" t="s">
        <v>1577</v>
      </c>
      <c r="T228" s="1182" t="s">
        <v>1814</v>
      </c>
      <c r="U228" s="1182" t="s">
        <v>1815</v>
      </c>
      <c r="V228" s="1182">
        <v>0</v>
      </c>
      <c r="W228" s="1182">
        <v>0</v>
      </c>
      <c r="X228" s="1182">
        <v>0</v>
      </c>
      <c r="Y228" s="1183">
        <v>300</v>
      </c>
      <c r="Z228" s="1182" t="s">
        <v>1940</v>
      </c>
      <c r="AA228" s="1182" t="s">
        <v>1941</v>
      </c>
      <c r="AB228" s="1182">
        <v>300</v>
      </c>
      <c r="AC228" s="1182" t="s">
        <v>1942</v>
      </c>
      <c r="AD228" s="1182" t="s">
        <v>1577</v>
      </c>
      <c r="AE228" s="1182">
        <v>300</v>
      </c>
      <c r="AF228" s="1182" t="s">
        <v>1943</v>
      </c>
      <c r="AG228" s="1182" t="s">
        <v>1944</v>
      </c>
      <c r="AH228" s="1182">
        <v>0</v>
      </c>
      <c r="AI228" s="1182">
        <v>300</v>
      </c>
      <c r="AJ228" s="1182" t="s">
        <v>2411</v>
      </c>
      <c r="AL228" s="1186" t="s">
        <v>2412</v>
      </c>
      <c r="AM228" s="1182">
        <v>1</v>
      </c>
      <c r="AN228" s="1182">
        <v>0</v>
      </c>
      <c r="AO228" s="1182">
        <v>0</v>
      </c>
      <c r="AP228" s="1182">
        <v>0</v>
      </c>
      <c r="AQ228" s="1182" t="s">
        <v>1639</v>
      </c>
      <c r="AS228" s="1186" t="s">
        <v>1943</v>
      </c>
      <c r="AT228" s="1186" t="s">
        <v>1944</v>
      </c>
      <c r="AV228" s="1183">
        <v>138</v>
      </c>
      <c r="AW228" s="1183">
        <v>0</v>
      </c>
      <c r="AX228" s="1183">
        <v>0</v>
      </c>
      <c r="AY228" s="1538">
        <v>138</v>
      </c>
      <c r="AZ228" s="1183">
        <v>0</v>
      </c>
      <c r="BA228" s="1183">
        <v>162</v>
      </c>
      <c r="BB228" s="1540">
        <v>162</v>
      </c>
      <c r="BC228" s="1540">
        <v>300</v>
      </c>
      <c r="BD228" s="1540">
        <v>0</v>
      </c>
      <c r="BF228" s="1539">
        <f t="shared" si="60"/>
        <v>138</v>
      </c>
      <c r="BG228" s="1539">
        <f t="shared" si="61"/>
        <v>0</v>
      </c>
      <c r="BH228" s="1539">
        <f t="shared" si="62"/>
        <v>0</v>
      </c>
      <c r="BI228" s="1539">
        <f t="shared" si="63"/>
        <v>138</v>
      </c>
      <c r="BJ228" s="1539">
        <f t="shared" si="64"/>
        <v>0</v>
      </c>
      <c r="BK228" s="1539">
        <f t="shared" si="65"/>
        <v>162</v>
      </c>
      <c r="BL228" s="1539">
        <f t="shared" si="66"/>
        <v>162</v>
      </c>
      <c r="BM228" s="1539">
        <f t="shared" si="67"/>
        <v>300</v>
      </c>
      <c r="BO228" s="1183"/>
      <c r="BQ228" s="1182">
        <f t="shared" si="68"/>
        <v>0</v>
      </c>
      <c r="BR228" s="1182">
        <f t="shared" si="69"/>
        <v>0</v>
      </c>
      <c r="BS228" s="1182">
        <f t="shared" si="70"/>
        <v>0</v>
      </c>
      <c r="BT228" s="1182">
        <f t="shared" si="70"/>
        <v>0</v>
      </c>
    </row>
    <row r="229" spans="1:72" ht="13.5" customHeight="1">
      <c r="A229" s="1182" t="s">
        <v>1803</v>
      </c>
      <c r="B229" s="1182" t="s">
        <v>1804</v>
      </c>
      <c r="C229" s="1182" t="s">
        <v>1639</v>
      </c>
      <c r="D229" s="1182" t="s">
        <v>2092</v>
      </c>
      <c r="E229" s="1182" t="s">
        <v>2093</v>
      </c>
      <c r="F229" s="1182" t="s">
        <v>2063</v>
      </c>
      <c r="G229" s="1182" t="s">
        <v>2063</v>
      </c>
      <c r="H229" s="1182" t="s">
        <v>2076</v>
      </c>
      <c r="I229" s="1182" t="s">
        <v>1937</v>
      </c>
      <c r="J229" s="1182" t="s">
        <v>2413</v>
      </c>
      <c r="K229" s="1182" t="s">
        <v>1811</v>
      </c>
      <c r="L229" s="1182" t="s">
        <v>1812</v>
      </c>
      <c r="M229" s="1182" t="s">
        <v>1803</v>
      </c>
      <c r="N229" s="1182" t="s">
        <v>1939</v>
      </c>
      <c r="O229" s="1182" t="s">
        <v>1554</v>
      </c>
      <c r="P229" s="1182" t="s">
        <v>1575</v>
      </c>
      <c r="Q229" s="1182" t="s">
        <v>1574</v>
      </c>
      <c r="R229" s="1182" t="s">
        <v>1573</v>
      </c>
      <c r="S229" s="1182" t="s">
        <v>1577</v>
      </c>
      <c r="T229" s="1182" t="s">
        <v>1814</v>
      </c>
      <c r="U229" s="1182" t="s">
        <v>1815</v>
      </c>
      <c r="V229" s="1182">
        <v>0</v>
      </c>
      <c r="W229" s="1182">
        <v>0</v>
      </c>
      <c r="X229" s="1182">
        <v>0</v>
      </c>
      <c r="Y229" s="1183">
        <v>600</v>
      </c>
      <c r="Z229" s="1182" t="s">
        <v>1940</v>
      </c>
      <c r="AA229" s="1182" t="s">
        <v>1941</v>
      </c>
      <c r="AB229" s="1182">
        <v>600</v>
      </c>
      <c r="AC229" s="1182" t="s">
        <v>1942</v>
      </c>
      <c r="AD229" s="1182" t="s">
        <v>1577</v>
      </c>
      <c r="AE229" s="1182">
        <v>600</v>
      </c>
      <c r="AF229" s="1182" t="s">
        <v>1943</v>
      </c>
      <c r="AG229" s="1182" t="s">
        <v>1944</v>
      </c>
      <c r="AH229" s="1182">
        <v>0</v>
      </c>
      <c r="AI229" s="1182">
        <v>600</v>
      </c>
      <c r="AJ229" s="1182" t="s">
        <v>2414</v>
      </c>
      <c r="AL229" s="1186" t="s">
        <v>2415</v>
      </c>
      <c r="AM229" s="1182">
        <v>1</v>
      </c>
      <c r="AN229" s="1182">
        <v>0</v>
      </c>
      <c r="AO229" s="1182">
        <v>0</v>
      </c>
      <c r="AP229" s="1182">
        <v>0</v>
      </c>
      <c r="AQ229" s="1182" t="s">
        <v>1639</v>
      </c>
      <c r="AS229" s="1186" t="s">
        <v>1943</v>
      </c>
      <c r="AT229" s="1186" t="s">
        <v>1944</v>
      </c>
      <c r="AV229" s="1183">
        <v>276</v>
      </c>
      <c r="AW229" s="1183">
        <v>0</v>
      </c>
      <c r="AX229" s="1183">
        <v>0</v>
      </c>
      <c r="AY229" s="1538">
        <v>276</v>
      </c>
      <c r="AZ229" s="1183">
        <v>0</v>
      </c>
      <c r="BA229" s="1183">
        <v>324</v>
      </c>
      <c r="BB229" s="1540">
        <v>324</v>
      </c>
      <c r="BC229" s="1540">
        <v>600</v>
      </c>
      <c r="BD229" s="1540">
        <v>0</v>
      </c>
      <c r="BF229" s="1539">
        <f t="shared" si="60"/>
        <v>276</v>
      </c>
      <c r="BG229" s="1539">
        <f t="shared" si="61"/>
        <v>0</v>
      </c>
      <c r="BH229" s="1539">
        <f t="shared" si="62"/>
        <v>0</v>
      </c>
      <c r="BI229" s="1539">
        <f t="shared" si="63"/>
        <v>276</v>
      </c>
      <c r="BJ229" s="1539">
        <f t="shared" si="64"/>
        <v>0</v>
      </c>
      <c r="BK229" s="1539">
        <f t="shared" si="65"/>
        <v>324</v>
      </c>
      <c r="BL229" s="1539">
        <f t="shared" si="66"/>
        <v>324</v>
      </c>
      <c r="BM229" s="1539">
        <f t="shared" si="67"/>
        <v>600</v>
      </c>
      <c r="BO229" s="1183"/>
      <c r="BQ229" s="1182">
        <f t="shared" si="68"/>
        <v>0</v>
      </c>
      <c r="BR229" s="1182">
        <f t="shared" si="69"/>
        <v>0</v>
      </c>
      <c r="BS229" s="1182">
        <f t="shared" si="70"/>
        <v>0</v>
      </c>
      <c r="BT229" s="1182">
        <f t="shared" si="70"/>
        <v>0</v>
      </c>
    </row>
    <row r="230" spans="1:72" ht="13.5" customHeight="1">
      <c r="A230" s="1182" t="s">
        <v>1803</v>
      </c>
      <c r="B230" s="1182" t="s">
        <v>1804</v>
      </c>
      <c r="C230" s="1182" t="s">
        <v>1639</v>
      </c>
      <c r="D230" s="1182" t="s">
        <v>2092</v>
      </c>
      <c r="E230" s="1182" t="s">
        <v>2093</v>
      </c>
      <c r="F230" s="1182" t="s">
        <v>2416</v>
      </c>
      <c r="G230" s="1182" t="s">
        <v>2416</v>
      </c>
      <c r="H230" s="1182" t="s">
        <v>2076</v>
      </c>
      <c r="I230" s="1182" t="s">
        <v>1937</v>
      </c>
      <c r="J230" s="1182" t="s">
        <v>2417</v>
      </c>
      <c r="K230" s="1182" t="s">
        <v>1811</v>
      </c>
      <c r="L230" s="1182" t="s">
        <v>1812</v>
      </c>
      <c r="M230" s="1182" t="s">
        <v>1803</v>
      </c>
      <c r="N230" s="1182" t="s">
        <v>1939</v>
      </c>
      <c r="O230" s="1182" t="s">
        <v>1554</v>
      </c>
      <c r="P230" s="1182" t="s">
        <v>1575</v>
      </c>
      <c r="Q230" s="1182" t="s">
        <v>1574</v>
      </c>
      <c r="R230" s="1182" t="s">
        <v>1573</v>
      </c>
      <c r="S230" s="1182" t="s">
        <v>1577</v>
      </c>
      <c r="T230" s="1182" t="s">
        <v>1814</v>
      </c>
      <c r="U230" s="1182" t="s">
        <v>1815</v>
      </c>
      <c r="V230" s="1182">
        <v>0</v>
      </c>
      <c r="W230" s="1182">
        <v>0</v>
      </c>
      <c r="X230" s="1182">
        <v>0</v>
      </c>
      <c r="Y230" s="1183">
        <v>300</v>
      </c>
      <c r="Z230" s="1182" t="s">
        <v>1940</v>
      </c>
      <c r="AA230" s="1182" t="s">
        <v>1941</v>
      </c>
      <c r="AB230" s="1182">
        <v>300</v>
      </c>
      <c r="AC230" s="1182" t="s">
        <v>1942</v>
      </c>
      <c r="AD230" s="1182" t="s">
        <v>1577</v>
      </c>
      <c r="AE230" s="1182">
        <v>300</v>
      </c>
      <c r="AF230" s="1182" t="s">
        <v>1943</v>
      </c>
      <c r="AG230" s="1182" t="s">
        <v>1944</v>
      </c>
      <c r="AH230" s="1182">
        <v>0</v>
      </c>
      <c r="AI230" s="1182">
        <v>300</v>
      </c>
      <c r="AJ230" s="1182" t="s">
        <v>2418</v>
      </c>
      <c r="AL230" s="1186" t="s">
        <v>2419</v>
      </c>
      <c r="AM230" s="1182">
        <v>1</v>
      </c>
      <c r="AN230" s="1182">
        <v>0</v>
      </c>
      <c r="AO230" s="1182">
        <v>0</v>
      </c>
      <c r="AP230" s="1182">
        <v>0</v>
      </c>
      <c r="AQ230" s="1182" t="s">
        <v>1639</v>
      </c>
      <c r="AS230" s="1186" t="s">
        <v>1943</v>
      </c>
      <c r="AT230" s="1186" t="s">
        <v>1944</v>
      </c>
      <c r="AV230" s="1183">
        <v>138</v>
      </c>
      <c r="AW230" s="1183">
        <v>0</v>
      </c>
      <c r="AX230" s="1183">
        <v>0</v>
      </c>
      <c r="AY230" s="1538">
        <v>138</v>
      </c>
      <c r="AZ230" s="1183">
        <v>0</v>
      </c>
      <c r="BA230" s="1183">
        <v>162</v>
      </c>
      <c r="BB230" s="1540">
        <v>162</v>
      </c>
      <c r="BC230" s="1540">
        <v>300</v>
      </c>
      <c r="BD230" s="1540">
        <v>0</v>
      </c>
      <c r="BF230" s="1539">
        <f t="shared" si="60"/>
        <v>138</v>
      </c>
      <c r="BG230" s="1539">
        <f t="shared" si="61"/>
        <v>0</v>
      </c>
      <c r="BH230" s="1539">
        <f t="shared" si="62"/>
        <v>0</v>
      </c>
      <c r="BI230" s="1539">
        <f t="shared" si="63"/>
        <v>138</v>
      </c>
      <c r="BJ230" s="1539">
        <f t="shared" si="64"/>
        <v>0</v>
      </c>
      <c r="BK230" s="1539">
        <f t="shared" si="65"/>
        <v>162</v>
      </c>
      <c r="BL230" s="1539">
        <f t="shared" si="66"/>
        <v>162</v>
      </c>
      <c r="BM230" s="1539">
        <f t="shared" si="67"/>
        <v>300</v>
      </c>
      <c r="BO230" s="1183"/>
      <c r="BQ230" s="1182">
        <f t="shared" si="68"/>
        <v>0</v>
      </c>
      <c r="BR230" s="1182">
        <f t="shared" si="69"/>
        <v>0</v>
      </c>
      <c r="BS230" s="1182">
        <f t="shared" si="70"/>
        <v>0</v>
      </c>
      <c r="BT230" s="1182">
        <f t="shared" si="70"/>
        <v>0</v>
      </c>
    </row>
    <row r="231" spans="1:72" ht="13.5" customHeight="1">
      <c r="A231" s="1182" t="s">
        <v>1803</v>
      </c>
      <c r="B231" s="1182" t="s">
        <v>1804</v>
      </c>
      <c r="C231" s="1182" t="s">
        <v>1639</v>
      </c>
      <c r="D231" s="1182" t="s">
        <v>2092</v>
      </c>
      <c r="E231" s="1182" t="s">
        <v>2093</v>
      </c>
      <c r="F231" s="1182" t="s">
        <v>2416</v>
      </c>
      <c r="G231" s="1182" t="s">
        <v>2416</v>
      </c>
      <c r="H231" s="1182" t="s">
        <v>2076</v>
      </c>
      <c r="I231" s="1182" t="s">
        <v>1937</v>
      </c>
      <c r="J231" s="1182" t="s">
        <v>2417</v>
      </c>
      <c r="K231" s="1182" t="s">
        <v>1811</v>
      </c>
      <c r="L231" s="1182" t="s">
        <v>1956</v>
      </c>
      <c r="M231" s="1182" t="s">
        <v>1803</v>
      </c>
      <c r="N231" s="1182" t="s">
        <v>1939</v>
      </c>
      <c r="O231" s="1182" t="s">
        <v>1554</v>
      </c>
      <c r="P231" s="1182" t="s">
        <v>1575</v>
      </c>
      <c r="Q231" s="1182" t="s">
        <v>1574</v>
      </c>
      <c r="R231" s="1182" t="s">
        <v>1573</v>
      </c>
      <c r="S231" s="1182" t="s">
        <v>1577</v>
      </c>
      <c r="T231" s="1182" t="s">
        <v>1814</v>
      </c>
      <c r="U231" s="1182" t="s">
        <v>1815</v>
      </c>
      <c r="V231" s="1182">
        <v>0</v>
      </c>
      <c r="W231" s="1182">
        <v>0</v>
      </c>
      <c r="X231" s="1182">
        <v>0</v>
      </c>
      <c r="Y231" s="1183">
        <v>300</v>
      </c>
      <c r="Z231" s="1182" t="s">
        <v>1940</v>
      </c>
      <c r="AA231" s="1182" t="s">
        <v>1941</v>
      </c>
      <c r="AB231" s="1182">
        <v>300</v>
      </c>
      <c r="AC231" s="1182" t="s">
        <v>1942</v>
      </c>
      <c r="AD231" s="1182" t="s">
        <v>1577</v>
      </c>
      <c r="AE231" s="1182">
        <v>300</v>
      </c>
      <c r="AF231" s="1182" t="s">
        <v>1943</v>
      </c>
      <c r="AG231" s="1182" t="s">
        <v>1944</v>
      </c>
      <c r="AH231" s="1182">
        <v>0</v>
      </c>
      <c r="AI231" s="1182">
        <v>300</v>
      </c>
      <c r="AJ231" s="1182" t="s">
        <v>2420</v>
      </c>
      <c r="AL231" s="1186" t="s">
        <v>2421</v>
      </c>
      <c r="AM231" s="1182">
        <v>1</v>
      </c>
      <c r="AN231" s="1182">
        <v>0</v>
      </c>
      <c r="AO231" s="1182">
        <v>0</v>
      </c>
      <c r="AP231" s="1182">
        <v>0</v>
      </c>
      <c r="AQ231" s="1182" t="s">
        <v>1639</v>
      </c>
      <c r="AS231" s="1186" t="s">
        <v>1943</v>
      </c>
      <c r="AT231" s="1186" t="s">
        <v>1944</v>
      </c>
      <c r="AV231" s="1183">
        <v>138</v>
      </c>
      <c r="AW231" s="1183">
        <v>0</v>
      </c>
      <c r="AX231" s="1183">
        <v>0</v>
      </c>
      <c r="AY231" s="1538">
        <v>138</v>
      </c>
      <c r="AZ231" s="1183">
        <v>0</v>
      </c>
      <c r="BA231" s="1183">
        <v>162</v>
      </c>
      <c r="BB231" s="1540">
        <v>162</v>
      </c>
      <c r="BC231" s="1540">
        <v>300</v>
      </c>
      <c r="BD231" s="1540">
        <v>0</v>
      </c>
      <c r="BF231" s="1539">
        <f t="shared" si="60"/>
        <v>138</v>
      </c>
      <c r="BG231" s="1539">
        <f t="shared" si="61"/>
        <v>0</v>
      </c>
      <c r="BH231" s="1539">
        <f t="shared" si="62"/>
        <v>0</v>
      </c>
      <c r="BI231" s="1539">
        <f t="shared" si="63"/>
        <v>138</v>
      </c>
      <c r="BJ231" s="1539">
        <f t="shared" si="64"/>
        <v>0</v>
      </c>
      <c r="BK231" s="1539">
        <f t="shared" si="65"/>
        <v>162</v>
      </c>
      <c r="BL231" s="1539">
        <f t="shared" si="66"/>
        <v>162</v>
      </c>
      <c r="BM231" s="1539">
        <f t="shared" si="67"/>
        <v>300</v>
      </c>
      <c r="BO231" s="1183"/>
      <c r="BQ231" s="1182">
        <f t="shared" si="68"/>
        <v>0</v>
      </c>
      <c r="BR231" s="1182">
        <f t="shared" si="69"/>
        <v>0</v>
      </c>
      <c r="BS231" s="1182">
        <f t="shared" si="70"/>
        <v>0</v>
      </c>
      <c r="BT231" s="1182">
        <f t="shared" si="70"/>
        <v>0</v>
      </c>
    </row>
    <row r="232" spans="1:72" ht="13.5" customHeight="1">
      <c r="A232" s="1182" t="s">
        <v>1803</v>
      </c>
      <c r="B232" s="1182" t="s">
        <v>1804</v>
      </c>
      <c r="C232" s="1182" t="s">
        <v>1639</v>
      </c>
      <c r="D232" s="1182" t="s">
        <v>2422</v>
      </c>
      <c r="E232" s="1182" t="s">
        <v>2423</v>
      </c>
      <c r="F232" s="1182" t="s">
        <v>2115</v>
      </c>
      <c r="G232" s="1182" t="s">
        <v>2115</v>
      </c>
      <c r="H232" s="1182" t="s">
        <v>2428</v>
      </c>
      <c r="I232" s="1182" t="s">
        <v>1937</v>
      </c>
      <c r="J232" s="1182" t="s">
        <v>2429</v>
      </c>
      <c r="K232" s="1182" t="s">
        <v>1811</v>
      </c>
      <c r="L232" s="1182" t="s">
        <v>1812</v>
      </c>
      <c r="M232" s="1182" t="s">
        <v>1803</v>
      </c>
      <c r="N232" s="1182" t="s">
        <v>1939</v>
      </c>
      <c r="O232" s="1182" t="s">
        <v>1554</v>
      </c>
      <c r="P232" s="1182" t="s">
        <v>1575</v>
      </c>
      <c r="Q232" s="1182" t="s">
        <v>1574</v>
      </c>
      <c r="R232" s="1182" t="s">
        <v>1573</v>
      </c>
      <c r="S232" s="1182" t="s">
        <v>1577</v>
      </c>
      <c r="T232" s="1182" t="s">
        <v>1814</v>
      </c>
      <c r="U232" s="1182" t="s">
        <v>1815</v>
      </c>
      <c r="V232" s="1182">
        <v>0</v>
      </c>
      <c r="W232" s="1182">
        <v>0</v>
      </c>
      <c r="X232" s="1182">
        <v>0</v>
      </c>
      <c r="Y232" s="1183">
        <v>300</v>
      </c>
      <c r="Z232" s="1182" t="s">
        <v>1940</v>
      </c>
      <c r="AA232" s="1182" t="s">
        <v>1941</v>
      </c>
      <c r="AB232" s="1182">
        <v>300</v>
      </c>
      <c r="AC232" s="1182" t="s">
        <v>1942</v>
      </c>
      <c r="AD232" s="1182" t="s">
        <v>1577</v>
      </c>
      <c r="AE232" s="1182">
        <v>300</v>
      </c>
      <c r="AF232" s="1182" t="s">
        <v>1943</v>
      </c>
      <c r="AG232" s="1182" t="s">
        <v>1944</v>
      </c>
      <c r="AH232" s="1182">
        <v>0</v>
      </c>
      <c r="AI232" s="1182">
        <v>300</v>
      </c>
      <c r="AJ232" s="1182" t="s">
        <v>2430</v>
      </c>
      <c r="AL232" s="1186" t="s">
        <v>2431</v>
      </c>
      <c r="AM232" s="1182">
        <v>1</v>
      </c>
      <c r="AN232" s="1182">
        <v>0</v>
      </c>
      <c r="AO232" s="1182">
        <v>0</v>
      </c>
      <c r="AP232" s="1182">
        <v>0</v>
      </c>
      <c r="AQ232" s="1182" t="s">
        <v>1639</v>
      </c>
      <c r="AS232" s="1186" t="s">
        <v>1943</v>
      </c>
      <c r="AT232" s="1186" t="s">
        <v>1944</v>
      </c>
      <c r="AV232" s="1183">
        <v>138</v>
      </c>
      <c r="AW232" s="1183">
        <v>0</v>
      </c>
      <c r="AX232" s="1183">
        <v>0</v>
      </c>
      <c r="AY232" s="1538">
        <v>138</v>
      </c>
      <c r="AZ232" s="1183">
        <v>0</v>
      </c>
      <c r="BA232" s="1183">
        <v>162</v>
      </c>
      <c r="BB232" s="1540">
        <v>162</v>
      </c>
      <c r="BC232" s="1540">
        <v>300</v>
      </c>
      <c r="BD232" s="1540">
        <v>0</v>
      </c>
      <c r="BF232" s="1539">
        <f t="shared" si="60"/>
        <v>138</v>
      </c>
      <c r="BG232" s="1539">
        <f t="shared" si="61"/>
        <v>0</v>
      </c>
      <c r="BH232" s="1539">
        <f t="shared" si="62"/>
        <v>0</v>
      </c>
      <c r="BI232" s="1539">
        <f t="shared" si="63"/>
        <v>138</v>
      </c>
      <c r="BJ232" s="1539">
        <f t="shared" si="64"/>
        <v>0</v>
      </c>
      <c r="BK232" s="1539">
        <f t="shared" si="65"/>
        <v>162</v>
      </c>
      <c r="BL232" s="1539">
        <f t="shared" si="66"/>
        <v>162</v>
      </c>
      <c r="BM232" s="1539">
        <f t="shared" si="67"/>
        <v>300</v>
      </c>
      <c r="BO232" s="1183"/>
      <c r="BQ232" s="1182">
        <f t="shared" si="68"/>
        <v>0</v>
      </c>
      <c r="BR232" s="1182">
        <f t="shared" si="69"/>
        <v>0</v>
      </c>
      <c r="BS232" s="1182">
        <f t="shared" si="70"/>
        <v>0</v>
      </c>
      <c r="BT232" s="1182">
        <f t="shared" si="70"/>
        <v>0</v>
      </c>
    </row>
    <row r="233" spans="1:72" ht="13.5" customHeight="1">
      <c r="A233" s="1182" t="s">
        <v>1803</v>
      </c>
      <c r="B233" s="1182" t="s">
        <v>1804</v>
      </c>
      <c r="C233" s="1182" t="s">
        <v>1639</v>
      </c>
      <c r="D233" s="1182" t="s">
        <v>2422</v>
      </c>
      <c r="E233" s="1182" t="s">
        <v>2423</v>
      </c>
      <c r="F233" s="1182" t="s">
        <v>2432</v>
      </c>
      <c r="G233" s="1182" t="s">
        <v>2432</v>
      </c>
      <c r="H233" s="1182" t="s">
        <v>2428</v>
      </c>
      <c r="I233" s="1182" t="s">
        <v>1937</v>
      </c>
      <c r="J233" s="1182" t="s">
        <v>2433</v>
      </c>
      <c r="K233" s="1182" t="s">
        <v>1811</v>
      </c>
      <c r="L233" s="1182" t="s">
        <v>1812</v>
      </c>
      <c r="M233" s="1182" t="s">
        <v>1803</v>
      </c>
      <c r="N233" s="1182" t="s">
        <v>1939</v>
      </c>
      <c r="O233" s="1182" t="s">
        <v>1554</v>
      </c>
      <c r="P233" s="1182" t="s">
        <v>1575</v>
      </c>
      <c r="Q233" s="1182" t="s">
        <v>1574</v>
      </c>
      <c r="R233" s="1182" t="s">
        <v>1573</v>
      </c>
      <c r="S233" s="1182" t="s">
        <v>1577</v>
      </c>
      <c r="T233" s="1182" t="s">
        <v>1814</v>
      </c>
      <c r="U233" s="1182" t="s">
        <v>1815</v>
      </c>
      <c r="V233" s="1182">
        <v>0</v>
      </c>
      <c r="W233" s="1182">
        <v>0</v>
      </c>
      <c r="X233" s="1182">
        <v>0</v>
      </c>
      <c r="Y233" s="1183">
        <v>300</v>
      </c>
      <c r="Z233" s="1182" t="s">
        <v>1940</v>
      </c>
      <c r="AA233" s="1182" t="s">
        <v>1941</v>
      </c>
      <c r="AB233" s="1182">
        <v>300</v>
      </c>
      <c r="AC233" s="1182" t="s">
        <v>1942</v>
      </c>
      <c r="AD233" s="1182" t="s">
        <v>1577</v>
      </c>
      <c r="AE233" s="1182">
        <v>300</v>
      </c>
      <c r="AF233" s="1182" t="s">
        <v>1943</v>
      </c>
      <c r="AG233" s="1182" t="s">
        <v>1944</v>
      </c>
      <c r="AH233" s="1182">
        <v>0</v>
      </c>
      <c r="AI233" s="1182">
        <v>300</v>
      </c>
      <c r="AJ233" s="1182" t="s">
        <v>2434</v>
      </c>
      <c r="AL233" s="1186" t="s">
        <v>2435</v>
      </c>
      <c r="AM233" s="1182">
        <v>1</v>
      </c>
      <c r="AN233" s="1182">
        <v>0</v>
      </c>
      <c r="AO233" s="1182">
        <v>0</v>
      </c>
      <c r="AP233" s="1182">
        <v>0</v>
      </c>
      <c r="AQ233" s="1182" t="s">
        <v>1639</v>
      </c>
      <c r="AS233" s="1186" t="s">
        <v>1943</v>
      </c>
      <c r="AT233" s="1186" t="s">
        <v>1944</v>
      </c>
      <c r="AV233" s="1183">
        <v>138</v>
      </c>
      <c r="AW233" s="1183">
        <v>0</v>
      </c>
      <c r="AX233" s="1183">
        <v>0</v>
      </c>
      <c r="AY233" s="1538">
        <v>138</v>
      </c>
      <c r="AZ233" s="1183">
        <v>0</v>
      </c>
      <c r="BA233" s="1183">
        <v>162</v>
      </c>
      <c r="BB233" s="1540">
        <v>162</v>
      </c>
      <c r="BC233" s="1540">
        <v>300</v>
      </c>
      <c r="BD233" s="1540">
        <v>0</v>
      </c>
      <c r="BF233" s="1539">
        <f t="shared" si="60"/>
        <v>138</v>
      </c>
      <c r="BG233" s="1539">
        <f t="shared" si="61"/>
        <v>0</v>
      </c>
      <c r="BH233" s="1539">
        <f t="shared" si="62"/>
        <v>0</v>
      </c>
      <c r="BI233" s="1539">
        <f t="shared" si="63"/>
        <v>138</v>
      </c>
      <c r="BJ233" s="1539">
        <f t="shared" si="64"/>
        <v>0</v>
      </c>
      <c r="BK233" s="1539">
        <f t="shared" si="65"/>
        <v>162</v>
      </c>
      <c r="BL233" s="1539">
        <f t="shared" si="66"/>
        <v>162</v>
      </c>
      <c r="BM233" s="1539">
        <f t="shared" si="67"/>
        <v>300</v>
      </c>
      <c r="BO233" s="1183"/>
      <c r="BQ233" s="1182">
        <f t="shared" si="68"/>
        <v>0</v>
      </c>
      <c r="BR233" s="1182">
        <f t="shared" si="69"/>
        <v>0</v>
      </c>
      <c r="BS233" s="1182">
        <f t="shared" si="70"/>
        <v>0</v>
      </c>
      <c r="BT233" s="1182">
        <f t="shared" si="70"/>
        <v>0</v>
      </c>
    </row>
    <row r="234" spans="1:72" ht="13.5" customHeight="1">
      <c r="A234" s="1182" t="s">
        <v>1803</v>
      </c>
      <c r="B234" s="1182" t="s">
        <v>1804</v>
      </c>
      <c r="C234" s="1182" t="s">
        <v>1639</v>
      </c>
      <c r="D234" s="1182" t="s">
        <v>2422</v>
      </c>
      <c r="E234" s="1182" t="s">
        <v>2423</v>
      </c>
      <c r="F234" s="1182" t="s">
        <v>2432</v>
      </c>
      <c r="G234" s="1182" t="s">
        <v>2432</v>
      </c>
      <c r="H234" s="1182" t="s">
        <v>2428</v>
      </c>
      <c r="I234" s="1182" t="s">
        <v>1937</v>
      </c>
      <c r="J234" s="1182" t="s">
        <v>2433</v>
      </c>
      <c r="K234" s="1182" t="s">
        <v>1811</v>
      </c>
      <c r="L234" s="1182" t="s">
        <v>1956</v>
      </c>
      <c r="M234" s="1182" t="s">
        <v>1803</v>
      </c>
      <c r="N234" s="1182" t="s">
        <v>1939</v>
      </c>
      <c r="O234" s="1182" t="s">
        <v>1554</v>
      </c>
      <c r="P234" s="1182" t="s">
        <v>1575</v>
      </c>
      <c r="Q234" s="1182" t="s">
        <v>1574</v>
      </c>
      <c r="R234" s="1182" t="s">
        <v>1573</v>
      </c>
      <c r="S234" s="1182" t="s">
        <v>1577</v>
      </c>
      <c r="T234" s="1182" t="s">
        <v>1814</v>
      </c>
      <c r="U234" s="1182" t="s">
        <v>1815</v>
      </c>
      <c r="V234" s="1182">
        <v>0</v>
      </c>
      <c r="W234" s="1182">
        <v>0</v>
      </c>
      <c r="X234" s="1182">
        <v>0</v>
      </c>
      <c r="Y234" s="1183">
        <v>300</v>
      </c>
      <c r="Z234" s="1182" t="s">
        <v>1940</v>
      </c>
      <c r="AA234" s="1182" t="s">
        <v>1941</v>
      </c>
      <c r="AB234" s="1182">
        <v>300</v>
      </c>
      <c r="AC234" s="1182" t="s">
        <v>1942</v>
      </c>
      <c r="AD234" s="1182" t="s">
        <v>1577</v>
      </c>
      <c r="AE234" s="1182">
        <v>300</v>
      </c>
      <c r="AF234" s="1182" t="s">
        <v>1943</v>
      </c>
      <c r="AG234" s="1182" t="s">
        <v>1944</v>
      </c>
      <c r="AH234" s="1182">
        <v>0</v>
      </c>
      <c r="AI234" s="1182">
        <v>300</v>
      </c>
      <c r="AJ234" s="1182" t="s">
        <v>2436</v>
      </c>
      <c r="AL234" s="1186" t="s">
        <v>2437</v>
      </c>
      <c r="AM234" s="1182">
        <v>1</v>
      </c>
      <c r="AN234" s="1182">
        <v>0</v>
      </c>
      <c r="AO234" s="1182">
        <v>0</v>
      </c>
      <c r="AP234" s="1182">
        <v>0</v>
      </c>
      <c r="AQ234" s="1182" t="s">
        <v>1639</v>
      </c>
      <c r="AS234" s="1186" t="s">
        <v>1943</v>
      </c>
      <c r="AT234" s="1186" t="s">
        <v>1944</v>
      </c>
      <c r="AV234" s="1183">
        <v>138</v>
      </c>
      <c r="AW234" s="1183">
        <v>0</v>
      </c>
      <c r="AX234" s="1183">
        <v>0</v>
      </c>
      <c r="AY234" s="1538">
        <v>138</v>
      </c>
      <c r="AZ234" s="1183">
        <v>0</v>
      </c>
      <c r="BA234" s="1183">
        <v>162</v>
      </c>
      <c r="BB234" s="1540">
        <v>162</v>
      </c>
      <c r="BC234" s="1540">
        <v>300</v>
      </c>
      <c r="BD234" s="1540">
        <v>0</v>
      </c>
      <c r="BF234" s="1539">
        <f t="shared" si="60"/>
        <v>138</v>
      </c>
      <c r="BG234" s="1539">
        <f t="shared" si="61"/>
        <v>0</v>
      </c>
      <c r="BH234" s="1539">
        <f t="shared" si="62"/>
        <v>0</v>
      </c>
      <c r="BI234" s="1539">
        <f t="shared" si="63"/>
        <v>138</v>
      </c>
      <c r="BJ234" s="1539">
        <f t="shared" si="64"/>
        <v>0</v>
      </c>
      <c r="BK234" s="1539">
        <f t="shared" si="65"/>
        <v>162</v>
      </c>
      <c r="BL234" s="1539">
        <f t="shared" si="66"/>
        <v>162</v>
      </c>
      <c r="BM234" s="1539">
        <f t="shared" si="67"/>
        <v>300</v>
      </c>
      <c r="BO234" s="1183"/>
      <c r="BQ234" s="1182">
        <f t="shared" si="68"/>
        <v>0</v>
      </c>
      <c r="BR234" s="1182">
        <f t="shared" si="69"/>
        <v>0</v>
      </c>
      <c r="BS234" s="1182">
        <f t="shared" si="70"/>
        <v>0</v>
      </c>
      <c r="BT234" s="1182">
        <f t="shared" si="70"/>
        <v>0</v>
      </c>
    </row>
    <row r="235" spans="1:72" ht="13.5" customHeight="1">
      <c r="A235" s="1182" t="s">
        <v>1803</v>
      </c>
      <c r="B235" s="1182" t="s">
        <v>1804</v>
      </c>
      <c r="C235" s="1182" t="s">
        <v>1639</v>
      </c>
      <c r="D235" s="1182" t="s">
        <v>2422</v>
      </c>
      <c r="E235" s="1182" t="s">
        <v>2423</v>
      </c>
      <c r="F235" s="1182" t="s">
        <v>2141</v>
      </c>
      <c r="G235" s="1182" t="s">
        <v>2141</v>
      </c>
      <c r="H235" s="1182" t="s">
        <v>2424</v>
      </c>
      <c r="I235" s="1182" t="s">
        <v>1937</v>
      </c>
      <c r="J235" s="1182" t="s">
        <v>2442</v>
      </c>
      <c r="K235" s="1182" t="s">
        <v>1811</v>
      </c>
      <c r="L235" s="1182" t="s">
        <v>1812</v>
      </c>
      <c r="M235" s="1182" t="s">
        <v>1803</v>
      </c>
      <c r="N235" s="1182" t="s">
        <v>1939</v>
      </c>
      <c r="O235" s="1182" t="s">
        <v>1554</v>
      </c>
      <c r="P235" s="1182" t="s">
        <v>1575</v>
      </c>
      <c r="Q235" s="1182" t="s">
        <v>1574</v>
      </c>
      <c r="R235" s="1182" t="s">
        <v>1573</v>
      </c>
      <c r="S235" s="1182" t="s">
        <v>1577</v>
      </c>
      <c r="T235" s="1182" t="s">
        <v>1814</v>
      </c>
      <c r="U235" s="1182" t="s">
        <v>1815</v>
      </c>
      <c r="V235" s="1182">
        <v>0</v>
      </c>
      <c r="W235" s="1182">
        <v>0</v>
      </c>
      <c r="X235" s="1182">
        <v>0</v>
      </c>
      <c r="Y235" s="1183">
        <v>600</v>
      </c>
      <c r="Z235" s="1182" t="s">
        <v>1940</v>
      </c>
      <c r="AA235" s="1182" t="s">
        <v>1941</v>
      </c>
      <c r="AB235" s="1182">
        <v>600</v>
      </c>
      <c r="AC235" s="1182" t="s">
        <v>1942</v>
      </c>
      <c r="AD235" s="1182" t="s">
        <v>1577</v>
      </c>
      <c r="AE235" s="1182">
        <v>600</v>
      </c>
      <c r="AF235" s="1182" t="s">
        <v>1943</v>
      </c>
      <c r="AG235" s="1182" t="s">
        <v>1944</v>
      </c>
      <c r="AH235" s="1182">
        <v>0</v>
      </c>
      <c r="AI235" s="1182">
        <v>600</v>
      </c>
      <c r="AJ235" s="1182" t="s">
        <v>2443</v>
      </c>
      <c r="AL235" s="1186" t="s">
        <v>2444</v>
      </c>
      <c r="AM235" s="1182">
        <v>1</v>
      </c>
      <c r="AN235" s="1182">
        <v>0</v>
      </c>
      <c r="AO235" s="1182">
        <v>0</v>
      </c>
      <c r="AP235" s="1182">
        <v>0</v>
      </c>
      <c r="AQ235" s="1182" t="s">
        <v>1639</v>
      </c>
      <c r="AS235" s="1186" t="s">
        <v>1943</v>
      </c>
      <c r="AT235" s="1186" t="s">
        <v>1944</v>
      </c>
      <c r="AV235" s="1183">
        <v>276</v>
      </c>
      <c r="AW235" s="1183">
        <v>0</v>
      </c>
      <c r="AX235" s="1183">
        <v>0</v>
      </c>
      <c r="AY235" s="1538">
        <v>276</v>
      </c>
      <c r="AZ235" s="1183">
        <v>0</v>
      </c>
      <c r="BA235" s="1183">
        <v>324</v>
      </c>
      <c r="BB235" s="1540">
        <v>324</v>
      </c>
      <c r="BC235" s="1540">
        <v>600</v>
      </c>
      <c r="BD235" s="1540">
        <v>0</v>
      </c>
      <c r="BF235" s="1539">
        <f t="shared" si="60"/>
        <v>276</v>
      </c>
      <c r="BG235" s="1539">
        <f t="shared" si="61"/>
        <v>0</v>
      </c>
      <c r="BH235" s="1539">
        <f t="shared" si="62"/>
        <v>0</v>
      </c>
      <c r="BI235" s="1539">
        <f t="shared" si="63"/>
        <v>276</v>
      </c>
      <c r="BJ235" s="1539">
        <f t="shared" si="64"/>
        <v>0</v>
      </c>
      <c r="BK235" s="1539">
        <f t="shared" si="65"/>
        <v>324</v>
      </c>
      <c r="BL235" s="1539">
        <f t="shared" si="66"/>
        <v>324</v>
      </c>
      <c r="BM235" s="1539">
        <f t="shared" si="67"/>
        <v>600</v>
      </c>
      <c r="BO235" s="1183"/>
      <c r="BQ235" s="1182">
        <f t="shared" si="68"/>
        <v>0</v>
      </c>
      <c r="BR235" s="1182">
        <f t="shared" si="69"/>
        <v>0</v>
      </c>
      <c r="BS235" s="1182">
        <f t="shared" si="70"/>
        <v>0</v>
      </c>
      <c r="BT235" s="1182">
        <f t="shared" si="70"/>
        <v>0</v>
      </c>
    </row>
    <row r="236" spans="1:72" ht="13.5" customHeight="1">
      <c r="A236" s="1182" t="s">
        <v>1803</v>
      </c>
      <c r="B236" s="1182" t="s">
        <v>1804</v>
      </c>
      <c r="C236" s="1182" t="s">
        <v>1639</v>
      </c>
      <c r="D236" s="1182" t="s">
        <v>2422</v>
      </c>
      <c r="E236" s="1182" t="s">
        <v>2423</v>
      </c>
      <c r="F236" s="1182" t="s">
        <v>2452</v>
      </c>
      <c r="G236" s="1182" t="s">
        <v>2452</v>
      </c>
      <c r="H236" s="1182" t="s">
        <v>2424</v>
      </c>
      <c r="I236" s="1182" t="s">
        <v>1937</v>
      </c>
      <c r="J236" s="1182" t="s">
        <v>2453</v>
      </c>
      <c r="K236" s="1182" t="s">
        <v>1811</v>
      </c>
      <c r="L236" s="1182" t="s">
        <v>1812</v>
      </c>
      <c r="M236" s="1182" t="s">
        <v>1803</v>
      </c>
      <c r="N236" s="1182" t="s">
        <v>1939</v>
      </c>
      <c r="O236" s="1182" t="s">
        <v>1554</v>
      </c>
      <c r="P236" s="1182" t="s">
        <v>1575</v>
      </c>
      <c r="Q236" s="1182" t="s">
        <v>1574</v>
      </c>
      <c r="R236" s="1182" t="s">
        <v>1573</v>
      </c>
      <c r="S236" s="1182" t="s">
        <v>1577</v>
      </c>
      <c r="T236" s="1182" t="s">
        <v>1814</v>
      </c>
      <c r="U236" s="1182" t="s">
        <v>1815</v>
      </c>
      <c r="V236" s="1182">
        <v>0</v>
      </c>
      <c r="W236" s="1182">
        <v>0</v>
      </c>
      <c r="X236" s="1182">
        <v>0</v>
      </c>
      <c r="Y236" s="1183">
        <v>300</v>
      </c>
      <c r="Z236" s="1182" t="s">
        <v>1940</v>
      </c>
      <c r="AA236" s="1182" t="s">
        <v>1941</v>
      </c>
      <c r="AB236" s="1182">
        <v>300</v>
      </c>
      <c r="AC236" s="1182" t="s">
        <v>1942</v>
      </c>
      <c r="AD236" s="1182" t="s">
        <v>1577</v>
      </c>
      <c r="AE236" s="1182">
        <v>300</v>
      </c>
      <c r="AF236" s="1182" t="s">
        <v>1943</v>
      </c>
      <c r="AG236" s="1182" t="s">
        <v>1944</v>
      </c>
      <c r="AH236" s="1182">
        <v>0</v>
      </c>
      <c r="AI236" s="1182">
        <v>300</v>
      </c>
      <c r="AJ236" s="1182" t="s">
        <v>2454</v>
      </c>
      <c r="AL236" s="1186" t="s">
        <v>2455</v>
      </c>
      <c r="AM236" s="1182">
        <v>1</v>
      </c>
      <c r="AN236" s="1182">
        <v>0</v>
      </c>
      <c r="AO236" s="1182">
        <v>0</v>
      </c>
      <c r="AP236" s="1182">
        <v>0</v>
      </c>
      <c r="AQ236" s="1182" t="s">
        <v>1639</v>
      </c>
      <c r="AS236" s="1186" t="s">
        <v>1943</v>
      </c>
      <c r="AT236" s="1186" t="s">
        <v>1944</v>
      </c>
      <c r="AV236" s="1183">
        <v>138</v>
      </c>
      <c r="AW236" s="1183">
        <v>0</v>
      </c>
      <c r="AX236" s="1183">
        <v>0</v>
      </c>
      <c r="AY236" s="1538">
        <v>138</v>
      </c>
      <c r="AZ236" s="1183">
        <v>0</v>
      </c>
      <c r="BA236" s="1183">
        <v>162</v>
      </c>
      <c r="BB236" s="1540">
        <v>162</v>
      </c>
      <c r="BC236" s="1540">
        <v>300</v>
      </c>
      <c r="BD236" s="1540">
        <v>0</v>
      </c>
      <c r="BF236" s="1539">
        <f t="shared" si="60"/>
        <v>138</v>
      </c>
      <c r="BG236" s="1539">
        <f t="shared" si="61"/>
        <v>0</v>
      </c>
      <c r="BH236" s="1539">
        <f t="shared" si="62"/>
        <v>0</v>
      </c>
      <c r="BI236" s="1539">
        <f t="shared" si="63"/>
        <v>138</v>
      </c>
      <c r="BJ236" s="1539">
        <f t="shared" si="64"/>
        <v>0</v>
      </c>
      <c r="BK236" s="1539">
        <f t="shared" si="65"/>
        <v>162</v>
      </c>
      <c r="BL236" s="1539">
        <f t="shared" si="66"/>
        <v>162</v>
      </c>
      <c r="BM236" s="1539">
        <f t="shared" si="67"/>
        <v>300</v>
      </c>
      <c r="BO236" s="1183"/>
      <c r="BQ236" s="1182">
        <f t="shared" si="68"/>
        <v>0</v>
      </c>
      <c r="BR236" s="1182">
        <f t="shared" si="69"/>
        <v>0</v>
      </c>
      <c r="BS236" s="1182">
        <f t="shared" si="70"/>
        <v>0</v>
      </c>
      <c r="BT236" s="1182">
        <f t="shared" si="70"/>
        <v>0</v>
      </c>
    </row>
    <row r="237" spans="1:72" ht="13.5" customHeight="1">
      <c r="A237" s="1182" t="s">
        <v>1803</v>
      </c>
      <c r="B237" s="1182" t="s">
        <v>1804</v>
      </c>
      <c r="C237" s="1182" t="s">
        <v>1639</v>
      </c>
      <c r="D237" s="1182" t="s">
        <v>2422</v>
      </c>
      <c r="E237" s="1182" t="s">
        <v>2423</v>
      </c>
      <c r="F237" s="1182" t="s">
        <v>2456</v>
      </c>
      <c r="G237" s="1182" t="s">
        <v>2456</v>
      </c>
      <c r="H237" s="1182" t="s">
        <v>2424</v>
      </c>
      <c r="I237" s="1182" t="s">
        <v>1937</v>
      </c>
      <c r="J237" s="1182" t="s">
        <v>2457</v>
      </c>
      <c r="K237" s="1182" t="s">
        <v>1811</v>
      </c>
      <c r="L237" s="1182" t="s">
        <v>1812</v>
      </c>
      <c r="M237" s="1182" t="s">
        <v>1803</v>
      </c>
      <c r="N237" s="1182" t="s">
        <v>1939</v>
      </c>
      <c r="O237" s="1182" t="s">
        <v>1554</v>
      </c>
      <c r="P237" s="1182" t="s">
        <v>1575</v>
      </c>
      <c r="Q237" s="1182" t="s">
        <v>1574</v>
      </c>
      <c r="R237" s="1182" t="s">
        <v>1573</v>
      </c>
      <c r="S237" s="1182" t="s">
        <v>1577</v>
      </c>
      <c r="T237" s="1182" t="s">
        <v>1814</v>
      </c>
      <c r="U237" s="1182" t="s">
        <v>1815</v>
      </c>
      <c r="V237" s="1182">
        <v>0</v>
      </c>
      <c r="W237" s="1182">
        <v>0</v>
      </c>
      <c r="X237" s="1182">
        <v>0</v>
      </c>
      <c r="Y237" s="1183">
        <v>470</v>
      </c>
      <c r="Z237" s="1182" t="s">
        <v>1940</v>
      </c>
      <c r="AA237" s="1182" t="s">
        <v>1941</v>
      </c>
      <c r="AB237" s="1182">
        <v>470</v>
      </c>
      <c r="AC237" s="1182" t="s">
        <v>1942</v>
      </c>
      <c r="AD237" s="1182" t="s">
        <v>1577</v>
      </c>
      <c r="AE237" s="1182">
        <v>470</v>
      </c>
      <c r="AF237" s="1182" t="s">
        <v>1943</v>
      </c>
      <c r="AG237" s="1182" t="s">
        <v>1944</v>
      </c>
      <c r="AH237" s="1182">
        <v>0</v>
      </c>
      <c r="AI237" s="1182">
        <v>470</v>
      </c>
      <c r="AJ237" s="1182" t="s">
        <v>2458</v>
      </c>
      <c r="AL237" s="1186" t="s">
        <v>2459</v>
      </c>
      <c r="AM237" s="1182">
        <v>1</v>
      </c>
      <c r="AN237" s="1182">
        <v>0</v>
      </c>
      <c r="AO237" s="1182">
        <v>0</v>
      </c>
      <c r="AP237" s="1182">
        <v>0</v>
      </c>
      <c r="AQ237" s="1182" t="s">
        <v>1639</v>
      </c>
      <c r="AS237" s="1186" t="s">
        <v>1943</v>
      </c>
      <c r="AT237" s="1186" t="s">
        <v>1944</v>
      </c>
      <c r="AV237" s="1183">
        <v>216</v>
      </c>
      <c r="AW237" s="1183">
        <v>0</v>
      </c>
      <c r="AX237" s="1183">
        <v>0</v>
      </c>
      <c r="AY237" s="1538">
        <v>216</v>
      </c>
      <c r="AZ237" s="1183">
        <v>0</v>
      </c>
      <c r="BA237" s="1183">
        <v>254</v>
      </c>
      <c r="BB237" s="1540">
        <v>254</v>
      </c>
      <c r="BC237" s="1540">
        <v>470</v>
      </c>
      <c r="BD237" s="1540">
        <v>0</v>
      </c>
      <c r="BF237" s="1539">
        <f t="shared" si="60"/>
        <v>216</v>
      </c>
      <c r="BG237" s="1539">
        <f t="shared" si="61"/>
        <v>0</v>
      </c>
      <c r="BH237" s="1539">
        <f t="shared" si="62"/>
        <v>0</v>
      </c>
      <c r="BI237" s="1539">
        <f t="shared" si="63"/>
        <v>216</v>
      </c>
      <c r="BJ237" s="1539">
        <f t="shared" si="64"/>
        <v>0</v>
      </c>
      <c r="BK237" s="1539">
        <f t="shared" si="65"/>
        <v>254</v>
      </c>
      <c r="BL237" s="1539">
        <f t="shared" si="66"/>
        <v>254</v>
      </c>
      <c r="BM237" s="1539">
        <f t="shared" si="67"/>
        <v>470</v>
      </c>
      <c r="BO237" s="1183"/>
      <c r="BQ237" s="1182">
        <f t="shared" si="68"/>
        <v>0</v>
      </c>
      <c r="BR237" s="1182">
        <f t="shared" si="69"/>
        <v>0</v>
      </c>
      <c r="BS237" s="1182">
        <f t="shared" si="70"/>
        <v>0</v>
      </c>
      <c r="BT237" s="1182">
        <f t="shared" si="70"/>
        <v>0</v>
      </c>
    </row>
    <row r="238" spans="1:72" ht="13.5" customHeight="1">
      <c r="A238" s="1182" t="s">
        <v>1803</v>
      </c>
      <c r="B238" s="1182" t="s">
        <v>1804</v>
      </c>
      <c r="C238" s="1182" t="s">
        <v>1639</v>
      </c>
      <c r="D238" s="1182" t="s">
        <v>2422</v>
      </c>
      <c r="E238" s="1182" t="s">
        <v>2423</v>
      </c>
      <c r="F238" s="1182" t="s">
        <v>2008</v>
      </c>
      <c r="G238" s="1182" t="s">
        <v>2008</v>
      </c>
      <c r="H238" s="1182" t="s">
        <v>2424</v>
      </c>
      <c r="I238" s="1182" t="s">
        <v>1937</v>
      </c>
      <c r="J238" s="1182" t="s">
        <v>2460</v>
      </c>
      <c r="K238" s="1182" t="s">
        <v>1811</v>
      </c>
      <c r="L238" s="1182" t="s">
        <v>1812</v>
      </c>
      <c r="M238" s="1182" t="s">
        <v>1803</v>
      </c>
      <c r="N238" s="1182" t="s">
        <v>1939</v>
      </c>
      <c r="O238" s="1182" t="s">
        <v>1554</v>
      </c>
      <c r="P238" s="1182" t="s">
        <v>1575</v>
      </c>
      <c r="Q238" s="1182" t="s">
        <v>1574</v>
      </c>
      <c r="R238" s="1182" t="s">
        <v>1573</v>
      </c>
      <c r="S238" s="1182" t="s">
        <v>1577</v>
      </c>
      <c r="T238" s="1182" t="s">
        <v>1814</v>
      </c>
      <c r="U238" s="1182" t="s">
        <v>1815</v>
      </c>
      <c r="V238" s="1182">
        <v>0</v>
      </c>
      <c r="W238" s="1182">
        <v>0</v>
      </c>
      <c r="X238" s="1182">
        <v>0</v>
      </c>
      <c r="Y238" s="1183">
        <v>300</v>
      </c>
      <c r="Z238" s="1182" t="s">
        <v>1940</v>
      </c>
      <c r="AA238" s="1182" t="s">
        <v>1941</v>
      </c>
      <c r="AB238" s="1182">
        <v>300</v>
      </c>
      <c r="AC238" s="1182" t="s">
        <v>1942</v>
      </c>
      <c r="AD238" s="1182" t="s">
        <v>1577</v>
      </c>
      <c r="AE238" s="1182">
        <v>300</v>
      </c>
      <c r="AF238" s="1182" t="s">
        <v>1943</v>
      </c>
      <c r="AG238" s="1182" t="s">
        <v>1944</v>
      </c>
      <c r="AH238" s="1182">
        <v>0</v>
      </c>
      <c r="AI238" s="1182">
        <v>300</v>
      </c>
      <c r="AJ238" s="1182" t="s">
        <v>2461</v>
      </c>
      <c r="AL238" s="1186" t="s">
        <v>2462</v>
      </c>
      <c r="AM238" s="1182">
        <v>1</v>
      </c>
      <c r="AN238" s="1182">
        <v>0</v>
      </c>
      <c r="AO238" s="1182">
        <v>0</v>
      </c>
      <c r="AP238" s="1182">
        <v>0</v>
      </c>
      <c r="AQ238" s="1182" t="s">
        <v>1639</v>
      </c>
      <c r="AS238" s="1186" t="s">
        <v>1943</v>
      </c>
      <c r="AT238" s="1186" t="s">
        <v>1944</v>
      </c>
      <c r="AV238" s="1183">
        <v>138</v>
      </c>
      <c r="AW238" s="1183">
        <v>0</v>
      </c>
      <c r="AX238" s="1183">
        <v>0</v>
      </c>
      <c r="AY238" s="1538">
        <v>138</v>
      </c>
      <c r="AZ238" s="1183">
        <v>0</v>
      </c>
      <c r="BA238" s="1183">
        <v>162</v>
      </c>
      <c r="BB238" s="1540">
        <v>162</v>
      </c>
      <c r="BC238" s="1540">
        <v>300</v>
      </c>
      <c r="BD238" s="1540">
        <v>0</v>
      </c>
      <c r="BF238" s="1539">
        <f t="shared" si="60"/>
        <v>138</v>
      </c>
      <c r="BG238" s="1539">
        <f t="shared" si="61"/>
        <v>0</v>
      </c>
      <c r="BH238" s="1539">
        <f t="shared" si="62"/>
        <v>0</v>
      </c>
      <c r="BI238" s="1539">
        <f t="shared" si="63"/>
        <v>138</v>
      </c>
      <c r="BJ238" s="1539">
        <f t="shared" si="64"/>
        <v>0</v>
      </c>
      <c r="BK238" s="1539">
        <f t="shared" si="65"/>
        <v>162</v>
      </c>
      <c r="BL238" s="1539">
        <f t="shared" si="66"/>
        <v>162</v>
      </c>
      <c r="BM238" s="1539">
        <f t="shared" si="67"/>
        <v>300</v>
      </c>
      <c r="BO238" s="1183"/>
      <c r="BQ238" s="1182">
        <f t="shared" si="68"/>
        <v>0</v>
      </c>
      <c r="BR238" s="1182">
        <f t="shared" si="69"/>
        <v>0</v>
      </c>
      <c r="BS238" s="1182">
        <f t="shared" si="70"/>
        <v>0</v>
      </c>
      <c r="BT238" s="1182">
        <f t="shared" si="70"/>
        <v>0</v>
      </c>
    </row>
    <row r="239" spans="1:72" ht="13.5" customHeight="1">
      <c r="A239" s="1182" t="s">
        <v>1803</v>
      </c>
      <c r="B239" s="1182" t="s">
        <v>1804</v>
      </c>
      <c r="C239" s="1182" t="s">
        <v>1639</v>
      </c>
      <c r="D239" s="1182" t="s">
        <v>2422</v>
      </c>
      <c r="E239" s="1182" t="s">
        <v>2423</v>
      </c>
      <c r="F239" s="1182" t="s">
        <v>2032</v>
      </c>
      <c r="G239" s="1182" t="s">
        <v>2032</v>
      </c>
      <c r="H239" s="1182" t="s">
        <v>2424</v>
      </c>
      <c r="I239" s="1182" t="s">
        <v>1937</v>
      </c>
      <c r="J239" s="1182" t="s">
        <v>2463</v>
      </c>
      <c r="K239" s="1182" t="s">
        <v>1811</v>
      </c>
      <c r="L239" s="1182" t="s">
        <v>1812</v>
      </c>
      <c r="M239" s="1182" t="s">
        <v>1803</v>
      </c>
      <c r="N239" s="1182" t="s">
        <v>1939</v>
      </c>
      <c r="O239" s="1182" t="s">
        <v>1554</v>
      </c>
      <c r="P239" s="1182" t="s">
        <v>1575</v>
      </c>
      <c r="Q239" s="1182" t="s">
        <v>1574</v>
      </c>
      <c r="R239" s="1182" t="s">
        <v>1573</v>
      </c>
      <c r="S239" s="1182" t="s">
        <v>1577</v>
      </c>
      <c r="T239" s="1182" t="s">
        <v>1814</v>
      </c>
      <c r="U239" s="1182" t="s">
        <v>1815</v>
      </c>
      <c r="V239" s="1182">
        <v>0</v>
      </c>
      <c r="W239" s="1182">
        <v>0</v>
      </c>
      <c r="X239" s="1182">
        <v>0</v>
      </c>
      <c r="Y239" s="1183">
        <v>300</v>
      </c>
      <c r="Z239" s="1182" t="s">
        <v>1940</v>
      </c>
      <c r="AA239" s="1182" t="s">
        <v>1941</v>
      </c>
      <c r="AB239" s="1182">
        <v>300</v>
      </c>
      <c r="AC239" s="1182" t="s">
        <v>1942</v>
      </c>
      <c r="AD239" s="1182" t="s">
        <v>1577</v>
      </c>
      <c r="AE239" s="1182">
        <v>300</v>
      </c>
      <c r="AF239" s="1182" t="s">
        <v>1943</v>
      </c>
      <c r="AG239" s="1182" t="s">
        <v>1944</v>
      </c>
      <c r="AH239" s="1182">
        <v>0</v>
      </c>
      <c r="AI239" s="1182">
        <v>300</v>
      </c>
      <c r="AJ239" s="1182" t="s">
        <v>2464</v>
      </c>
      <c r="AL239" s="1186" t="s">
        <v>2465</v>
      </c>
      <c r="AM239" s="1182">
        <v>1</v>
      </c>
      <c r="AN239" s="1182">
        <v>0</v>
      </c>
      <c r="AO239" s="1182">
        <v>0</v>
      </c>
      <c r="AP239" s="1182">
        <v>0</v>
      </c>
      <c r="AQ239" s="1182" t="s">
        <v>1639</v>
      </c>
      <c r="AS239" s="1186" t="s">
        <v>1943</v>
      </c>
      <c r="AT239" s="1186" t="s">
        <v>1944</v>
      </c>
      <c r="AV239" s="1183">
        <v>138</v>
      </c>
      <c r="AW239" s="1183">
        <v>0</v>
      </c>
      <c r="AX239" s="1183">
        <v>0</v>
      </c>
      <c r="AY239" s="1538">
        <v>138</v>
      </c>
      <c r="AZ239" s="1183">
        <v>0</v>
      </c>
      <c r="BA239" s="1183">
        <v>162</v>
      </c>
      <c r="BB239" s="1540">
        <v>162</v>
      </c>
      <c r="BC239" s="1540">
        <v>300</v>
      </c>
      <c r="BD239" s="1540">
        <v>0</v>
      </c>
      <c r="BF239" s="1539">
        <f t="shared" si="60"/>
        <v>138</v>
      </c>
      <c r="BG239" s="1539">
        <f t="shared" si="61"/>
        <v>0</v>
      </c>
      <c r="BH239" s="1539">
        <f t="shared" si="62"/>
        <v>0</v>
      </c>
      <c r="BI239" s="1539">
        <f t="shared" si="63"/>
        <v>138</v>
      </c>
      <c r="BJ239" s="1539">
        <f t="shared" si="64"/>
        <v>0</v>
      </c>
      <c r="BK239" s="1539">
        <f t="shared" si="65"/>
        <v>162</v>
      </c>
      <c r="BL239" s="1539">
        <f t="shared" si="66"/>
        <v>162</v>
      </c>
      <c r="BM239" s="1539">
        <f t="shared" si="67"/>
        <v>300</v>
      </c>
      <c r="BO239" s="1183"/>
      <c r="BQ239" s="1182">
        <f t="shared" si="68"/>
        <v>0</v>
      </c>
      <c r="BR239" s="1182">
        <f t="shared" si="69"/>
        <v>0</v>
      </c>
      <c r="BS239" s="1182">
        <f t="shared" si="70"/>
        <v>0</v>
      </c>
      <c r="BT239" s="1182">
        <f t="shared" si="70"/>
        <v>0</v>
      </c>
    </row>
    <row r="240" spans="1:72" ht="13.5" customHeight="1">
      <c r="A240" s="1182" t="s">
        <v>1803</v>
      </c>
      <c r="B240" s="1182" t="s">
        <v>1804</v>
      </c>
      <c r="C240" s="1182" t="s">
        <v>1639</v>
      </c>
      <c r="D240" s="1182" t="s">
        <v>2422</v>
      </c>
      <c r="E240" s="1182" t="s">
        <v>2423</v>
      </c>
      <c r="F240" s="1182" t="s">
        <v>2032</v>
      </c>
      <c r="G240" s="1182" t="s">
        <v>2032</v>
      </c>
      <c r="H240" s="1182" t="s">
        <v>2424</v>
      </c>
      <c r="I240" s="1182" t="s">
        <v>1937</v>
      </c>
      <c r="J240" s="1182" t="s">
        <v>2463</v>
      </c>
      <c r="K240" s="1182" t="s">
        <v>1811</v>
      </c>
      <c r="L240" s="1182" t="s">
        <v>1956</v>
      </c>
      <c r="M240" s="1182" t="s">
        <v>1803</v>
      </c>
      <c r="N240" s="1182" t="s">
        <v>1939</v>
      </c>
      <c r="O240" s="1182" t="s">
        <v>1554</v>
      </c>
      <c r="P240" s="1182" t="s">
        <v>1575</v>
      </c>
      <c r="Q240" s="1182" t="s">
        <v>1574</v>
      </c>
      <c r="R240" s="1182" t="s">
        <v>1573</v>
      </c>
      <c r="S240" s="1182" t="s">
        <v>1577</v>
      </c>
      <c r="T240" s="1182" t="s">
        <v>1814</v>
      </c>
      <c r="U240" s="1182" t="s">
        <v>1815</v>
      </c>
      <c r="V240" s="1182">
        <v>0</v>
      </c>
      <c r="W240" s="1182">
        <v>0</v>
      </c>
      <c r="X240" s="1182">
        <v>0</v>
      </c>
      <c r="Y240" s="1183">
        <v>900</v>
      </c>
      <c r="Z240" s="1182" t="s">
        <v>1940</v>
      </c>
      <c r="AA240" s="1182" t="s">
        <v>1941</v>
      </c>
      <c r="AB240" s="1182">
        <v>900</v>
      </c>
      <c r="AC240" s="1182" t="s">
        <v>1942</v>
      </c>
      <c r="AD240" s="1182" t="s">
        <v>1577</v>
      </c>
      <c r="AE240" s="1182">
        <v>900</v>
      </c>
      <c r="AF240" s="1182" t="s">
        <v>1943</v>
      </c>
      <c r="AG240" s="1182" t="s">
        <v>1944</v>
      </c>
      <c r="AH240" s="1182">
        <v>0</v>
      </c>
      <c r="AI240" s="1182">
        <v>900</v>
      </c>
      <c r="AJ240" s="1182" t="s">
        <v>2466</v>
      </c>
      <c r="AL240" s="1186" t="s">
        <v>2467</v>
      </c>
      <c r="AM240" s="1182">
        <v>1</v>
      </c>
      <c r="AN240" s="1182">
        <v>0</v>
      </c>
      <c r="AO240" s="1182">
        <v>0</v>
      </c>
      <c r="AP240" s="1182">
        <v>0</v>
      </c>
      <c r="AQ240" s="1182" t="s">
        <v>1639</v>
      </c>
      <c r="AS240" s="1186" t="s">
        <v>1943</v>
      </c>
      <c r="AT240" s="1186" t="s">
        <v>1944</v>
      </c>
      <c r="AV240" s="1183">
        <v>414</v>
      </c>
      <c r="AW240" s="1183">
        <v>0</v>
      </c>
      <c r="AX240" s="1183">
        <v>0</v>
      </c>
      <c r="AY240" s="1538">
        <v>414</v>
      </c>
      <c r="AZ240" s="1183">
        <v>0</v>
      </c>
      <c r="BA240" s="1183">
        <v>486</v>
      </c>
      <c r="BB240" s="1540">
        <v>486</v>
      </c>
      <c r="BC240" s="1540">
        <v>900</v>
      </c>
      <c r="BD240" s="1540">
        <v>0</v>
      </c>
      <c r="BF240" s="1539">
        <f t="shared" si="60"/>
        <v>414</v>
      </c>
      <c r="BG240" s="1539">
        <f t="shared" si="61"/>
        <v>0</v>
      </c>
      <c r="BH240" s="1539">
        <f t="shared" si="62"/>
        <v>0</v>
      </c>
      <c r="BI240" s="1539">
        <f t="shared" si="63"/>
        <v>414</v>
      </c>
      <c r="BJ240" s="1539">
        <f t="shared" si="64"/>
        <v>0</v>
      </c>
      <c r="BK240" s="1539">
        <f t="shared" si="65"/>
        <v>486</v>
      </c>
      <c r="BL240" s="1539">
        <f t="shared" si="66"/>
        <v>486</v>
      </c>
      <c r="BM240" s="1539">
        <f t="shared" si="67"/>
        <v>900</v>
      </c>
      <c r="BO240" s="1183"/>
      <c r="BQ240" s="1182">
        <f t="shared" si="68"/>
        <v>0</v>
      </c>
      <c r="BR240" s="1182">
        <f t="shared" si="69"/>
        <v>0</v>
      </c>
      <c r="BS240" s="1182">
        <f t="shared" si="70"/>
        <v>0</v>
      </c>
      <c r="BT240" s="1182">
        <f t="shared" si="70"/>
        <v>0</v>
      </c>
    </row>
    <row r="241" spans="1:72" ht="13.5" customHeight="1">
      <c r="A241" s="1182" t="s">
        <v>1803</v>
      </c>
      <c r="B241" s="1182" t="s">
        <v>1804</v>
      </c>
      <c r="C241" s="1182" t="s">
        <v>1639</v>
      </c>
      <c r="D241" s="1182" t="s">
        <v>2422</v>
      </c>
      <c r="E241" s="1182" t="s">
        <v>2423</v>
      </c>
      <c r="F241" s="1182" t="s">
        <v>2270</v>
      </c>
      <c r="G241" s="1182" t="s">
        <v>2270</v>
      </c>
      <c r="H241" s="1182" t="s">
        <v>2424</v>
      </c>
      <c r="I241" s="1182" t="s">
        <v>1937</v>
      </c>
      <c r="J241" s="1182" t="s">
        <v>2468</v>
      </c>
      <c r="K241" s="1182" t="s">
        <v>1811</v>
      </c>
      <c r="L241" s="1182" t="s">
        <v>1812</v>
      </c>
      <c r="M241" s="1182" t="s">
        <v>1803</v>
      </c>
      <c r="N241" s="1182" t="s">
        <v>1939</v>
      </c>
      <c r="O241" s="1182" t="s">
        <v>1554</v>
      </c>
      <c r="P241" s="1182" t="s">
        <v>1575</v>
      </c>
      <c r="Q241" s="1182" t="s">
        <v>1574</v>
      </c>
      <c r="R241" s="1182" t="s">
        <v>1573</v>
      </c>
      <c r="S241" s="1182" t="s">
        <v>1577</v>
      </c>
      <c r="T241" s="1182" t="s">
        <v>1814</v>
      </c>
      <c r="U241" s="1182" t="s">
        <v>1815</v>
      </c>
      <c r="V241" s="1182">
        <v>0</v>
      </c>
      <c r="W241" s="1182">
        <v>0</v>
      </c>
      <c r="X241" s="1182">
        <v>0</v>
      </c>
      <c r="Y241" s="1183">
        <v>300</v>
      </c>
      <c r="Z241" s="1182" t="s">
        <v>1940</v>
      </c>
      <c r="AA241" s="1182" t="s">
        <v>1941</v>
      </c>
      <c r="AB241" s="1182">
        <v>300</v>
      </c>
      <c r="AC241" s="1182" t="s">
        <v>1942</v>
      </c>
      <c r="AD241" s="1182" t="s">
        <v>1577</v>
      </c>
      <c r="AE241" s="1182">
        <v>300</v>
      </c>
      <c r="AF241" s="1182" t="s">
        <v>1943</v>
      </c>
      <c r="AG241" s="1182" t="s">
        <v>1944</v>
      </c>
      <c r="AH241" s="1182">
        <v>0</v>
      </c>
      <c r="AI241" s="1182">
        <v>300</v>
      </c>
      <c r="AJ241" s="1182" t="s">
        <v>2469</v>
      </c>
      <c r="AL241" s="1186" t="s">
        <v>2470</v>
      </c>
      <c r="AM241" s="1182">
        <v>1</v>
      </c>
      <c r="AN241" s="1182">
        <v>0</v>
      </c>
      <c r="AO241" s="1182">
        <v>0</v>
      </c>
      <c r="AP241" s="1182">
        <v>0</v>
      </c>
      <c r="AQ241" s="1182" t="s">
        <v>1639</v>
      </c>
      <c r="AS241" s="1186" t="s">
        <v>1943</v>
      </c>
      <c r="AT241" s="1186" t="s">
        <v>1944</v>
      </c>
      <c r="AV241" s="1183">
        <v>138</v>
      </c>
      <c r="AW241" s="1183">
        <v>0</v>
      </c>
      <c r="AX241" s="1183">
        <v>0</v>
      </c>
      <c r="AY241" s="1538">
        <v>138</v>
      </c>
      <c r="AZ241" s="1183">
        <v>0</v>
      </c>
      <c r="BA241" s="1183">
        <v>162</v>
      </c>
      <c r="BB241" s="1540">
        <v>162</v>
      </c>
      <c r="BC241" s="1540">
        <v>300</v>
      </c>
      <c r="BD241" s="1540">
        <v>0</v>
      </c>
      <c r="BF241" s="1539">
        <f t="shared" si="60"/>
        <v>138</v>
      </c>
      <c r="BG241" s="1539">
        <f t="shared" si="61"/>
        <v>0</v>
      </c>
      <c r="BH241" s="1539">
        <f t="shared" si="62"/>
        <v>0</v>
      </c>
      <c r="BI241" s="1539">
        <f t="shared" si="63"/>
        <v>138</v>
      </c>
      <c r="BJ241" s="1539">
        <f t="shared" si="64"/>
        <v>0</v>
      </c>
      <c r="BK241" s="1539">
        <f t="shared" si="65"/>
        <v>162</v>
      </c>
      <c r="BL241" s="1539">
        <f t="shared" si="66"/>
        <v>162</v>
      </c>
      <c r="BM241" s="1539">
        <f t="shared" si="67"/>
        <v>300</v>
      </c>
      <c r="BO241" s="1183"/>
      <c r="BQ241" s="1182">
        <f t="shared" si="68"/>
        <v>0</v>
      </c>
      <c r="BR241" s="1182">
        <f t="shared" si="69"/>
        <v>0</v>
      </c>
      <c r="BS241" s="1182">
        <f t="shared" si="70"/>
        <v>0</v>
      </c>
      <c r="BT241" s="1182">
        <f t="shared" si="70"/>
        <v>0</v>
      </c>
    </row>
    <row r="242" spans="1:72" ht="13.5" customHeight="1">
      <c r="A242" s="1182" t="s">
        <v>1803</v>
      </c>
      <c r="B242" s="1182" t="s">
        <v>1804</v>
      </c>
      <c r="C242" s="1182" t="s">
        <v>1639</v>
      </c>
      <c r="D242" s="1182" t="s">
        <v>2422</v>
      </c>
      <c r="E242" s="1182" t="s">
        <v>2423</v>
      </c>
      <c r="F242" s="1182" t="s">
        <v>2270</v>
      </c>
      <c r="G242" s="1182" t="s">
        <v>2270</v>
      </c>
      <c r="H242" s="1182" t="s">
        <v>2424</v>
      </c>
      <c r="I242" s="1182" t="s">
        <v>1937</v>
      </c>
      <c r="J242" s="1182" t="s">
        <v>2468</v>
      </c>
      <c r="K242" s="1182" t="s">
        <v>1811</v>
      </c>
      <c r="L242" s="1182" t="s">
        <v>1956</v>
      </c>
      <c r="M242" s="1182" t="s">
        <v>1803</v>
      </c>
      <c r="N242" s="1182" t="s">
        <v>1939</v>
      </c>
      <c r="O242" s="1182" t="s">
        <v>1554</v>
      </c>
      <c r="P242" s="1182" t="s">
        <v>1575</v>
      </c>
      <c r="Q242" s="1182" t="s">
        <v>1574</v>
      </c>
      <c r="R242" s="1182" t="s">
        <v>1573</v>
      </c>
      <c r="S242" s="1182" t="s">
        <v>1577</v>
      </c>
      <c r="T242" s="1182" t="s">
        <v>1814</v>
      </c>
      <c r="U242" s="1182" t="s">
        <v>1815</v>
      </c>
      <c r="V242" s="1182">
        <v>0</v>
      </c>
      <c r="W242" s="1182">
        <v>0</v>
      </c>
      <c r="X242" s="1182">
        <v>0</v>
      </c>
      <c r="Y242" s="1183">
        <v>300</v>
      </c>
      <c r="Z242" s="1182" t="s">
        <v>1940</v>
      </c>
      <c r="AA242" s="1182" t="s">
        <v>1941</v>
      </c>
      <c r="AB242" s="1182">
        <v>300</v>
      </c>
      <c r="AC242" s="1182" t="s">
        <v>1942</v>
      </c>
      <c r="AD242" s="1182" t="s">
        <v>1577</v>
      </c>
      <c r="AE242" s="1182">
        <v>300</v>
      </c>
      <c r="AF242" s="1182" t="s">
        <v>1943</v>
      </c>
      <c r="AG242" s="1182" t="s">
        <v>1944</v>
      </c>
      <c r="AH242" s="1182">
        <v>0</v>
      </c>
      <c r="AI242" s="1182">
        <v>300</v>
      </c>
      <c r="AJ242" s="1182" t="s">
        <v>2471</v>
      </c>
      <c r="AL242" s="1186" t="s">
        <v>2472</v>
      </c>
      <c r="AM242" s="1182">
        <v>1</v>
      </c>
      <c r="AN242" s="1182">
        <v>0</v>
      </c>
      <c r="AO242" s="1182">
        <v>0</v>
      </c>
      <c r="AP242" s="1182">
        <v>0</v>
      </c>
      <c r="AQ242" s="1182" t="s">
        <v>1639</v>
      </c>
      <c r="AS242" s="1186" t="s">
        <v>1943</v>
      </c>
      <c r="AT242" s="1186" t="s">
        <v>1944</v>
      </c>
      <c r="AV242" s="1183">
        <v>138</v>
      </c>
      <c r="AW242" s="1183">
        <v>0</v>
      </c>
      <c r="AX242" s="1183">
        <v>0</v>
      </c>
      <c r="AY242" s="1538">
        <v>138</v>
      </c>
      <c r="AZ242" s="1183">
        <v>0</v>
      </c>
      <c r="BA242" s="1183">
        <v>162</v>
      </c>
      <c r="BB242" s="1540">
        <v>162</v>
      </c>
      <c r="BC242" s="1540">
        <v>300</v>
      </c>
      <c r="BD242" s="1540">
        <v>0</v>
      </c>
      <c r="BF242" s="1539">
        <f t="shared" si="60"/>
        <v>138</v>
      </c>
      <c r="BG242" s="1539">
        <f t="shared" si="61"/>
        <v>0</v>
      </c>
      <c r="BH242" s="1539">
        <f t="shared" si="62"/>
        <v>0</v>
      </c>
      <c r="BI242" s="1539">
        <f t="shared" si="63"/>
        <v>138</v>
      </c>
      <c r="BJ242" s="1539">
        <f t="shared" si="64"/>
        <v>0</v>
      </c>
      <c r="BK242" s="1539">
        <f t="shared" si="65"/>
        <v>162</v>
      </c>
      <c r="BL242" s="1539">
        <f t="shared" si="66"/>
        <v>162</v>
      </c>
      <c r="BM242" s="1539">
        <f t="shared" si="67"/>
        <v>300</v>
      </c>
      <c r="BO242" s="1183"/>
      <c r="BQ242" s="1182">
        <f t="shared" si="68"/>
        <v>0</v>
      </c>
      <c r="BR242" s="1182">
        <f t="shared" si="69"/>
        <v>0</v>
      </c>
      <c r="BS242" s="1182">
        <f t="shared" si="70"/>
        <v>0</v>
      </c>
      <c r="BT242" s="1182">
        <f t="shared" si="70"/>
        <v>0</v>
      </c>
    </row>
    <row r="243" spans="1:72" ht="13.5" customHeight="1">
      <c r="A243" s="1182" t="s">
        <v>1803</v>
      </c>
      <c r="B243" s="1182" t="s">
        <v>1804</v>
      </c>
      <c r="C243" s="1182" t="s">
        <v>1639</v>
      </c>
      <c r="D243" s="1182" t="s">
        <v>2422</v>
      </c>
      <c r="E243" s="1182" t="s">
        <v>2423</v>
      </c>
      <c r="F243" s="1182" t="s">
        <v>2473</v>
      </c>
      <c r="G243" s="1182" t="s">
        <v>2473</v>
      </c>
      <c r="H243" s="1182" t="s">
        <v>2424</v>
      </c>
      <c r="I243" s="1182" t="s">
        <v>1937</v>
      </c>
      <c r="J243" s="1182" t="s">
        <v>2474</v>
      </c>
      <c r="K243" s="1182" t="s">
        <v>1811</v>
      </c>
      <c r="L243" s="1182" t="s">
        <v>1812</v>
      </c>
      <c r="M243" s="1182" t="s">
        <v>1803</v>
      </c>
      <c r="N243" s="1182" t="s">
        <v>1939</v>
      </c>
      <c r="O243" s="1182" t="s">
        <v>1554</v>
      </c>
      <c r="P243" s="1182" t="s">
        <v>1575</v>
      </c>
      <c r="Q243" s="1182" t="s">
        <v>1574</v>
      </c>
      <c r="R243" s="1182" t="s">
        <v>1573</v>
      </c>
      <c r="S243" s="1182" t="s">
        <v>1577</v>
      </c>
      <c r="T243" s="1182" t="s">
        <v>1814</v>
      </c>
      <c r="U243" s="1182" t="s">
        <v>1815</v>
      </c>
      <c r="V243" s="1182">
        <v>0</v>
      </c>
      <c r="W243" s="1182">
        <v>0</v>
      </c>
      <c r="X243" s="1182">
        <v>0</v>
      </c>
      <c r="Y243" s="1183">
        <v>470</v>
      </c>
      <c r="Z243" s="1182" t="s">
        <v>1940</v>
      </c>
      <c r="AA243" s="1182" t="s">
        <v>1941</v>
      </c>
      <c r="AB243" s="1182">
        <v>470</v>
      </c>
      <c r="AC243" s="1182" t="s">
        <v>1942</v>
      </c>
      <c r="AD243" s="1182" t="s">
        <v>1577</v>
      </c>
      <c r="AE243" s="1182">
        <v>470</v>
      </c>
      <c r="AF243" s="1182" t="s">
        <v>1943</v>
      </c>
      <c r="AG243" s="1182" t="s">
        <v>1944</v>
      </c>
      <c r="AH243" s="1182">
        <v>0</v>
      </c>
      <c r="AI243" s="1182">
        <v>470</v>
      </c>
      <c r="AJ243" s="1182" t="s">
        <v>2475</v>
      </c>
      <c r="AL243" s="1186" t="s">
        <v>2476</v>
      </c>
      <c r="AM243" s="1182">
        <v>1</v>
      </c>
      <c r="AN243" s="1182">
        <v>0</v>
      </c>
      <c r="AO243" s="1182">
        <v>0</v>
      </c>
      <c r="AP243" s="1182">
        <v>0</v>
      </c>
      <c r="AQ243" s="1182" t="s">
        <v>1639</v>
      </c>
      <c r="AS243" s="1186" t="s">
        <v>1943</v>
      </c>
      <c r="AT243" s="1186" t="s">
        <v>1944</v>
      </c>
      <c r="AV243" s="1183">
        <v>216</v>
      </c>
      <c r="AW243" s="1183">
        <v>0</v>
      </c>
      <c r="AX243" s="1183">
        <v>0</v>
      </c>
      <c r="AY243" s="1538">
        <v>216</v>
      </c>
      <c r="AZ243" s="1183">
        <v>0</v>
      </c>
      <c r="BA243" s="1183">
        <v>254</v>
      </c>
      <c r="BB243" s="1540">
        <v>254</v>
      </c>
      <c r="BC243" s="1540">
        <v>470</v>
      </c>
      <c r="BD243" s="1540">
        <v>0</v>
      </c>
      <c r="BF243" s="1539">
        <f t="shared" si="60"/>
        <v>216</v>
      </c>
      <c r="BG243" s="1539">
        <f t="shared" si="61"/>
        <v>0</v>
      </c>
      <c r="BH243" s="1539">
        <f t="shared" si="62"/>
        <v>0</v>
      </c>
      <c r="BI243" s="1539">
        <f t="shared" si="63"/>
        <v>216</v>
      </c>
      <c r="BJ243" s="1539">
        <f t="shared" si="64"/>
        <v>0</v>
      </c>
      <c r="BK243" s="1539">
        <f t="shared" si="65"/>
        <v>254</v>
      </c>
      <c r="BL243" s="1539">
        <f t="shared" si="66"/>
        <v>254</v>
      </c>
      <c r="BM243" s="1539">
        <f t="shared" si="67"/>
        <v>470</v>
      </c>
      <c r="BO243" s="1183"/>
      <c r="BQ243" s="1182">
        <f t="shared" si="68"/>
        <v>0</v>
      </c>
      <c r="BR243" s="1182">
        <f t="shared" si="69"/>
        <v>0</v>
      </c>
      <c r="BS243" s="1182">
        <f t="shared" si="70"/>
        <v>0</v>
      </c>
      <c r="BT243" s="1182">
        <f t="shared" si="70"/>
        <v>0</v>
      </c>
    </row>
    <row r="244" spans="1:72" ht="13.5" customHeight="1">
      <c r="A244" s="1182" t="s">
        <v>1803</v>
      </c>
      <c r="B244" s="1182" t="s">
        <v>1804</v>
      </c>
      <c r="C244" s="1182" t="s">
        <v>1639</v>
      </c>
      <c r="D244" s="1182" t="s">
        <v>2422</v>
      </c>
      <c r="E244" s="1182" t="s">
        <v>2423</v>
      </c>
      <c r="F244" s="1182" t="s">
        <v>2026</v>
      </c>
      <c r="G244" s="1182" t="s">
        <v>2026</v>
      </c>
      <c r="H244" s="1182" t="s">
        <v>2424</v>
      </c>
      <c r="I244" s="1182" t="s">
        <v>1937</v>
      </c>
      <c r="J244" s="1182" t="s">
        <v>2477</v>
      </c>
      <c r="K244" s="1182" t="s">
        <v>1811</v>
      </c>
      <c r="L244" s="1182" t="s">
        <v>1812</v>
      </c>
      <c r="M244" s="1182" t="s">
        <v>1803</v>
      </c>
      <c r="N244" s="1182" t="s">
        <v>1939</v>
      </c>
      <c r="O244" s="1182" t="s">
        <v>1554</v>
      </c>
      <c r="P244" s="1182" t="s">
        <v>1575</v>
      </c>
      <c r="Q244" s="1182" t="s">
        <v>1574</v>
      </c>
      <c r="R244" s="1182" t="s">
        <v>1573</v>
      </c>
      <c r="S244" s="1182" t="s">
        <v>1577</v>
      </c>
      <c r="T244" s="1182" t="s">
        <v>1814</v>
      </c>
      <c r="U244" s="1182" t="s">
        <v>1815</v>
      </c>
      <c r="V244" s="1182">
        <v>0</v>
      </c>
      <c r="W244" s="1182">
        <v>0</v>
      </c>
      <c r="X244" s="1182">
        <v>0</v>
      </c>
      <c r="Y244" s="1183">
        <v>300</v>
      </c>
      <c r="Z244" s="1182" t="s">
        <v>1940</v>
      </c>
      <c r="AA244" s="1182" t="s">
        <v>1941</v>
      </c>
      <c r="AB244" s="1182">
        <v>300</v>
      </c>
      <c r="AC244" s="1182" t="s">
        <v>1942</v>
      </c>
      <c r="AD244" s="1182" t="s">
        <v>1577</v>
      </c>
      <c r="AE244" s="1182">
        <v>300</v>
      </c>
      <c r="AF244" s="1182" t="s">
        <v>1943</v>
      </c>
      <c r="AG244" s="1182" t="s">
        <v>1944</v>
      </c>
      <c r="AH244" s="1182">
        <v>0</v>
      </c>
      <c r="AI244" s="1182">
        <v>300</v>
      </c>
      <c r="AJ244" s="1182" t="s">
        <v>2478</v>
      </c>
      <c r="AL244" s="1186" t="s">
        <v>2479</v>
      </c>
      <c r="AM244" s="1182">
        <v>1</v>
      </c>
      <c r="AN244" s="1182">
        <v>0</v>
      </c>
      <c r="AO244" s="1182">
        <v>0</v>
      </c>
      <c r="AP244" s="1182">
        <v>0</v>
      </c>
      <c r="AQ244" s="1182" t="s">
        <v>1639</v>
      </c>
      <c r="AS244" s="1186" t="s">
        <v>1943</v>
      </c>
      <c r="AT244" s="1186" t="s">
        <v>1944</v>
      </c>
      <c r="AV244" s="1183">
        <v>138</v>
      </c>
      <c r="AW244" s="1183">
        <v>0</v>
      </c>
      <c r="AX244" s="1183">
        <v>0</v>
      </c>
      <c r="AY244" s="1538">
        <v>138</v>
      </c>
      <c r="AZ244" s="1183">
        <v>0</v>
      </c>
      <c r="BA244" s="1183">
        <v>162</v>
      </c>
      <c r="BB244" s="1540">
        <v>162</v>
      </c>
      <c r="BC244" s="1540">
        <v>300</v>
      </c>
      <c r="BD244" s="1540">
        <v>0</v>
      </c>
      <c r="BF244" s="1539">
        <f t="shared" si="60"/>
        <v>138</v>
      </c>
      <c r="BG244" s="1539">
        <f t="shared" si="61"/>
        <v>0</v>
      </c>
      <c r="BH244" s="1539">
        <f t="shared" si="62"/>
        <v>0</v>
      </c>
      <c r="BI244" s="1539">
        <f t="shared" si="63"/>
        <v>138</v>
      </c>
      <c r="BJ244" s="1539">
        <f t="shared" si="64"/>
        <v>0</v>
      </c>
      <c r="BK244" s="1539">
        <f t="shared" si="65"/>
        <v>162</v>
      </c>
      <c r="BL244" s="1539">
        <f t="shared" si="66"/>
        <v>162</v>
      </c>
      <c r="BM244" s="1539">
        <f t="shared" si="67"/>
        <v>300</v>
      </c>
      <c r="BO244" s="1183"/>
      <c r="BQ244" s="1182">
        <f t="shared" si="68"/>
        <v>0</v>
      </c>
      <c r="BR244" s="1182">
        <f t="shared" si="69"/>
        <v>0</v>
      </c>
      <c r="BS244" s="1182">
        <f t="shared" si="70"/>
        <v>0</v>
      </c>
      <c r="BT244" s="1182">
        <f t="shared" si="70"/>
        <v>0</v>
      </c>
    </row>
    <row r="245" spans="1:72" ht="13.5" customHeight="1">
      <c r="A245" s="1182" t="s">
        <v>1803</v>
      </c>
      <c r="B245" s="1182" t="s">
        <v>1804</v>
      </c>
      <c r="C245" s="1182" t="s">
        <v>1639</v>
      </c>
      <c r="D245" s="1182" t="s">
        <v>2422</v>
      </c>
      <c r="E245" s="1182" t="s">
        <v>2423</v>
      </c>
      <c r="F245" s="1182" t="s">
        <v>2438</v>
      </c>
      <c r="G245" s="1182" t="s">
        <v>2438</v>
      </c>
      <c r="H245" s="1182" t="s">
        <v>2424</v>
      </c>
      <c r="I245" s="1182" t="s">
        <v>1937</v>
      </c>
      <c r="J245" s="1182" t="s">
        <v>2439</v>
      </c>
      <c r="K245" s="1182" t="s">
        <v>1811</v>
      </c>
      <c r="L245" s="1182" t="s">
        <v>1812</v>
      </c>
      <c r="M245" s="1182" t="s">
        <v>1803</v>
      </c>
      <c r="N245" s="1182" t="s">
        <v>1939</v>
      </c>
      <c r="O245" s="1182" t="s">
        <v>1554</v>
      </c>
      <c r="P245" s="1182" t="s">
        <v>1575</v>
      </c>
      <c r="Q245" s="1182" t="s">
        <v>1574</v>
      </c>
      <c r="R245" s="1182" t="s">
        <v>1573</v>
      </c>
      <c r="S245" s="1182" t="s">
        <v>1577</v>
      </c>
      <c r="T245" s="1182" t="s">
        <v>1814</v>
      </c>
      <c r="U245" s="1182" t="s">
        <v>1815</v>
      </c>
      <c r="V245" s="1182">
        <v>0</v>
      </c>
      <c r="W245" s="1182">
        <v>0</v>
      </c>
      <c r="X245" s="1182">
        <v>0</v>
      </c>
      <c r="Y245" s="1183">
        <v>300</v>
      </c>
      <c r="Z245" s="1182" t="s">
        <v>1940</v>
      </c>
      <c r="AA245" s="1182" t="s">
        <v>1941</v>
      </c>
      <c r="AB245" s="1182">
        <v>300</v>
      </c>
      <c r="AC245" s="1182" t="s">
        <v>1942</v>
      </c>
      <c r="AD245" s="1182" t="s">
        <v>1577</v>
      </c>
      <c r="AE245" s="1182">
        <v>300</v>
      </c>
      <c r="AF245" s="1182" t="s">
        <v>1943</v>
      </c>
      <c r="AG245" s="1182" t="s">
        <v>1944</v>
      </c>
      <c r="AH245" s="1182">
        <v>0</v>
      </c>
      <c r="AI245" s="1182">
        <v>300</v>
      </c>
      <c r="AJ245" s="1182" t="s">
        <v>2440</v>
      </c>
      <c r="AL245" s="1186" t="s">
        <v>2441</v>
      </c>
      <c r="AM245" s="1182">
        <v>1</v>
      </c>
      <c r="AN245" s="1182">
        <v>0</v>
      </c>
      <c r="AO245" s="1182">
        <v>0</v>
      </c>
      <c r="AP245" s="1182">
        <v>0</v>
      </c>
      <c r="AQ245" s="1182" t="s">
        <v>1639</v>
      </c>
      <c r="AS245" s="1186" t="s">
        <v>1943</v>
      </c>
      <c r="AT245" s="1186" t="s">
        <v>1944</v>
      </c>
      <c r="AV245" s="1183">
        <v>138</v>
      </c>
      <c r="AW245" s="1183">
        <v>0</v>
      </c>
      <c r="AX245" s="1183">
        <v>0</v>
      </c>
      <c r="AY245" s="1538">
        <v>138</v>
      </c>
      <c r="AZ245" s="1183">
        <v>0</v>
      </c>
      <c r="BA245" s="1183">
        <v>162</v>
      </c>
      <c r="BB245" s="1540">
        <v>162</v>
      </c>
      <c r="BC245" s="1540">
        <v>300</v>
      </c>
      <c r="BD245" s="1540">
        <v>0</v>
      </c>
      <c r="BF245" s="1539">
        <f t="shared" si="60"/>
        <v>138</v>
      </c>
      <c r="BG245" s="1539">
        <f t="shared" si="61"/>
        <v>0</v>
      </c>
      <c r="BH245" s="1539">
        <f t="shared" si="62"/>
        <v>0</v>
      </c>
      <c r="BI245" s="1539">
        <f t="shared" si="63"/>
        <v>138</v>
      </c>
      <c r="BJ245" s="1539">
        <f t="shared" si="64"/>
        <v>0</v>
      </c>
      <c r="BK245" s="1539">
        <f t="shared" si="65"/>
        <v>162</v>
      </c>
      <c r="BL245" s="1539">
        <f t="shared" si="66"/>
        <v>162</v>
      </c>
      <c r="BM245" s="1539">
        <f t="shared" si="67"/>
        <v>300</v>
      </c>
      <c r="BO245" s="1183"/>
      <c r="BQ245" s="1182">
        <f t="shared" si="68"/>
        <v>0</v>
      </c>
      <c r="BR245" s="1182">
        <f t="shared" si="69"/>
        <v>0</v>
      </c>
      <c r="BS245" s="1182">
        <f t="shared" si="70"/>
        <v>0</v>
      </c>
      <c r="BT245" s="1182">
        <f t="shared" si="70"/>
        <v>0</v>
      </c>
    </row>
    <row r="246" spans="1:72" ht="13.5" customHeight="1">
      <c r="A246" s="1182" t="s">
        <v>1803</v>
      </c>
      <c r="B246" s="1182" t="s">
        <v>1804</v>
      </c>
      <c r="C246" s="1182" t="s">
        <v>1639</v>
      </c>
      <c r="D246" s="1182" t="s">
        <v>2422</v>
      </c>
      <c r="E246" s="1182" t="s">
        <v>2423</v>
      </c>
      <c r="F246" s="1182" t="s">
        <v>2075</v>
      </c>
      <c r="G246" s="1182" t="s">
        <v>2075</v>
      </c>
      <c r="H246" s="1182" t="s">
        <v>2424</v>
      </c>
      <c r="I246" s="1182" t="s">
        <v>1937</v>
      </c>
      <c r="J246" s="1182" t="s">
        <v>2425</v>
      </c>
      <c r="K246" s="1182" t="s">
        <v>1811</v>
      </c>
      <c r="L246" s="1182" t="s">
        <v>1812</v>
      </c>
      <c r="M246" s="1182" t="s">
        <v>1803</v>
      </c>
      <c r="N246" s="1182" t="s">
        <v>1939</v>
      </c>
      <c r="O246" s="1182" t="s">
        <v>1554</v>
      </c>
      <c r="P246" s="1182" t="s">
        <v>1575</v>
      </c>
      <c r="Q246" s="1182" t="s">
        <v>1574</v>
      </c>
      <c r="R246" s="1182" t="s">
        <v>1573</v>
      </c>
      <c r="S246" s="1182" t="s">
        <v>1577</v>
      </c>
      <c r="T246" s="1182" t="s">
        <v>1814</v>
      </c>
      <c r="U246" s="1182" t="s">
        <v>1815</v>
      </c>
      <c r="V246" s="1182">
        <v>0</v>
      </c>
      <c r="W246" s="1182">
        <v>0</v>
      </c>
      <c r="X246" s="1182">
        <v>0</v>
      </c>
      <c r="Y246" s="1183">
        <v>300</v>
      </c>
      <c r="Z246" s="1182" t="s">
        <v>1940</v>
      </c>
      <c r="AA246" s="1182" t="s">
        <v>1941</v>
      </c>
      <c r="AB246" s="1182">
        <v>300</v>
      </c>
      <c r="AC246" s="1182" t="s">
        <v>1942</v>
      </c>
      <c r="AD246" s="1182" t="s">
        <v>1577</v>
      </c>
      <c r="AE246" s="1182">
        <v>300</v>
      </c>
      <c r="AF246" s="1182" t="s">
        <v>1943</v>
      </c>
      <c r="AG246" s="1182" t="s">
        <v>1944</v>
      </c>
      <c r="AH246" s="1182">
        <v>0</v>
      </c>
      <c r="AI246" s="1182">
        <v>300</v>
      </c>
      <c r="AJ246" s="1182" t="s">
        <v>2426</v>
      </c>
      <c r="AL246" s="1186" t="s">
        <v>2427</v>
      </c>
      <c r="AM246" s="1182">
        <v>1</v>
      </c>
      <c r="AN246" s="1182">
        <v>0</v>
      </c>
      <c r="AO246" s="1182">
        <v>0</v>
      </c>
      <c r="AP246" s="1182">
        <v>0</v>
      </c>
      <c r="AQ246" s="1182" t="s">
        <v>1639</v>
      </c>
      <c r="AS246" s="1186" t="s">
        <v>1943</v>
      </c>
      <c r="AT246" s="1186" t="s">
        <v>1944</v>
      </c>
      <c r="AV246" s="1183">
        <v>138</v>
      </c>
      <c r="AW246" s="1183">
        <v>0</v>
      </c>
      <c r="AX246" s="1183">
        <v>0</v>
      </c>
      <c r="AY246" s="1538">
        <v>138</v>
      </c>
      <c r="AZ246" s="1183">
        <v>0</v>
      </c>
      <c r="BA246" s="1183">
        <v>162</v>
      </c>
      <c r="BB246" s="1540">
        <v>162</v>
      </c>
      <c r="BC246" s="1540">
        <v>300</v>
      </c>
      <c r="BD246" s="1540">
        <v>0</v>
      </c>
      <c r="BF246" s="1539">
        <f t="shared" si="60"/>
        <v>138</v>
      </c>
      <c r="BG246" s="1539">
        <f t="shared" si="61"/>
        <v>0</v>
      </c>
      <c r="BH246" s="1539">
        <f t="shared" si="62"/>
        <v>0</v>
      </c>
      <c r="BI246" s="1539">
        <f t="shared" si="63"/>
        <v>138</v>
      </c>
      <c r="BJ246" s="1539">
        <f t="shared" si="64"/>
        <v>0</v>
      </c>
      <c r="BK246" s="1539">
        <f t="shared" si="65"/>
        <v>162</v>
      </c>
      <c r="BL246" s="1539">
        <f t="shared" si="66"/>
        <v>162</v>
      </c>
      <c r="BM246" s="1539">
        <f t="shared" si="67"/>
        <v>300</v>
      </c>
      <c r="BO246" s="1183"/>
      <c r="BQ246" s="1182">
        <f t="shared" si="68"/>
        <v>0</v>
      </c>
      <c r="BR246" s="1182">
        <f t="shared" si="69"/>
        <v>0</v>
      </c>
      <c r="BS246" s="1182">
        <f t="shared" si="70"/>
        <v>0</v>
      </c>
      <c r="BT246" s="1182">
        <f t="shared" si="70"/>
        <v>0</v>
      </c>
    </row>
    <row r="247" spans="1:72" ht="13.5" customHeight="1">
      <c r="A247" s="1182" t="s">
        <v>1803</v>
      </c>
      <c r="B247" s="1182" t="s">
        <v>1804</v>
      </c>
      <c r="C247" s="1182" t="s">
        <v>1639</v>
      </c>
      <c r="D247" s="1182" t="s">
        <v>2422</v>
      </c>
      <c r="E247" s="1182" t="s">
        <v>2423</v>
      </c>
      <c r="F247" s="1182" t="s">
        <v>2502</v>
      </c>
      <c r="G247" s="1182" t="s">
        <v>2502</v>
      </c>
      <c r="H247" s="1182" t="s">
        <v>2424</v>
      </c>
      <c r="I247" s="1182" t="s">
        <v>1937</v>
      </c>
      <c r="J247" s="1182" t="s">
        <v>2503</v>
      </c>
      <c r="K247" s="1182" t="s">
        <v>1811</v>
      </c>
      <c r="L247" s="1182" t="s">
        <v>1812</v>
      </c>
      <c r="M247" s="1182" t="s">
        <v>1803</v>
      </c>
      <c r="N247" s="1182" t="s">
        <v>1939</v>
      </c>
      <c r="O247" s="1182" t="s">
        <v>1554</v>
      </c>
      <c r="P247" s="1182" t="s">
        <v>1575</v>
      </c>
      <c r="Q247" s="1182" t="s">
        <v>1574</v>
      </c>
      <c r="R247" s="1182" t="s">
        <v>1573</v>
      </c>
      <c r="S247" s="1182" t="s">
        <v>1577</v>
      </c>
      <c r="T247" s="1182" t="s">
        <v>1814</v>
      </c>
      <c r="U247" s="1182" t="s">
        <v>1815</v>
      </c>
      <c r="V247" s="1182">
        <v>0</v>
      </c>
      <c r="W247" s="1182">
        <v>0</v>
      </c>
      <c r="X247" s="1182">
        <v>0</v>
      </c>
      <c r="Y247" s="1183">
        <v>200</v>
      </c>
      <c r="Z247" s="1182" t="s">
        <v>1940</v>
      </c>
      <c r="AA247" s="1182" t="s">
        <v>1941</v>
      </c>
      <c r="AB247" s="1182">
        <v>200</v>
      </c>
      <c r="AC247" s="1182" t="s">
        <v>1942</v>
      </c>
      <c r="AD247" s="1182" t="s">
        <v>1577</v>
      </c>
      <c r="AE247" s="1182">
        <v>200</v>
      </c>
      <c r="AF247" s="1182" t="s">
        <v>1943</v>
      </c>
      <c r="AG247" s="1182" t="s">
        <v>1944</v>
      </c>
      <c r="AH247" s="1182">
        <v>0</v>
      </c>
      <c r="AI247" s="1182">
        <v>200</v>
      </c>
      <c r="AJ247" s="1182" t="s">
        <v>2504</v>
      </c>
      <c r="AL247" s="1186" t="s">
        <v>2505</v>
      </c>
      <c r="AM247" s="1182">
        <v>1</v>
      </c>
      <c r="AN247" s="1182">
        <v>0</v>
      </c>
      <c r="AO247" s="1182">
        <v>0</v>
      </c>
      <c r="AP247" s="1182">
        <v>0</v>
      </c>
      <c r="AQ247" s="1182" t="s">
        <v>1639</v>
      </c>
      <c r="AS247" s="1186" t="s">
        <v>1943</v>
      </c>
      <c r="AT247" s="1186" t="s">
        <v>1944</v>
      </c>
      <c r="AV247" s="1183">
        <v>92</v>
      </c>
      <c r="AW247" s="1183">
        <v>0</v>
      </c>
      <c r="AX247" s="1183">
        <v>0</v>
      </c>
      <c r="AY247" s="1538">
        <v>92</v>
      </c>
      <c r="AZ247" s="1183">
        <v>0</v>
      </c>
      <c r="BA247" s="1183">
        <v>108</v>
      </c>
      <c r="BB247" s="1540">
        <v>108</v>
      </c>
      <c r="BC247" s="1540">
        <v>200</v>
      </c>
      <c r="BD247" s="1540">
        <v>0</v>
      </c>
      <c r="BF247" s="1539">
        <f t="shared" si="60"/>
        <v>92</v>
      </c>
      <c r="BG247" s="1539">
        <f t="shared" si="61"/>
        <v>0</v>
      </c>
      <c r="BH247" s="1539">
        <f t="shared" si="62"/>
        <v>0</v>
      </c>
      <c r="BI247" s="1539">
        <f t="shared" si="63"/>
        <v>92</v>
      </c>
      <c r="BJ247" s="1539">
        <f t="shared" si="64"/>
        <v>0</v>
      </c>
      <c r="BK247" s="1539">
        <f t="shared" si="65"/>
        <v>108</v>
      </c>
      <c r="BL247" s="1539">
        <f t="shared" si="66"/>
        <v>108</v>
      </c>
      <c r="BM247" s="1539">
        <f t="shared" si="67"/>
        <v>200</v>
      </c>
      <c r="BO247" s="1183"/>
      <c r="BQ247" s="1182">
        <f t="shared" si="68"/>
        <v>0</v>
      </c>
      <c r="BR247" s="1182">
        <f t="shared" si="69"/>
        <v>0</v>
      </c>
      <c r="BS247" s="1182">
        <f t="shared" si="70"/>
        <v>0</v>
      </c>
      <c r="BT247" s="1182">
        <f t="shared" si="70"/>
        <v>0</v>
      </c>
    </row>
    <row r="248" spans="1:72" ht="13.5" customHeight="1">
      <c r="A248" s="1182" t="s">
        <v>1803</v>
      </c>
      <c r="B248" s="1182" t="s">
        <v>1804</v>
      </c>
      <c r="C248" s="1182" t="s">
        <v>1639</v>
      </c>
      <c r="D248" s="1182" t="s">
        <v>2422</v>
      </c>
      <c r="E248" s="1182" t="s">
        <v>2423</v>
      </c>
      <c r="F248" s="1182" t="s">
        <v>1927</v>
      </c>
      <c r="G248" s="1182" t="s">
        <v>1927</v>
      </c>
      <c r="H248" s="1182" t="s">
        <v>2424</v>
      </c>
      <c r="I248" s="1182" t="s">
        <v>1937</v>
      </c>
      <c r="J248" s="1182" t="s">
        <v>2506</v>
      </c>
      <c r="K248" s="1182" t="s">
        <v>1811</v>
      </c>
      <c r="L248" s="1182" t="s">
        <v>1812</v>
      </c>
      <c r="M248" s="1182" t="s">
        <v>1803</v>
      </c>
      <c r="N248" s="1182" t="s">
        <v>1939</v>
      </c>
      <c r="O248" s="1182" t="s">
        <v>1554</v>
      </c>
      <c r="P248" s="1182" t="s">
        <v>1575</v>
      </c>
      <c r="Q248" s="1182" t="s">
        <v>1574</v>
      </c>
      <c r="R248" s="1182" t="s">
        <v>1573</v>
      </c>
      <c r="S248" s="1182" t="s">
        <v>1577</v>
      </c>
      <c r="T248" s="1182" t="s">
        <v>1814</v>
      </c>
      <c r="U248" s="1182" t="s">
        <v>1815</v>
      </c>
      <c r="V248" s="1182">
        <v>0</v>
      </c>
      <c r="W248" s="1182">
        <v>0</v>
      </c>
      <c r="X248" s="1182">
        <v>0</v>
      </c>
      <c r="Y248" s="1183">
        <v>300</v>
      </c>
      <c r="Z248" s="1182" t="s">
        <v>1940</v>
      </c>
      <c r="AA248" s="1182" t="s">
        <v>1941</v>
      </c>
      <c r="AB248" s="1182">
        <v>300</v>
      </c>
      <c r="AC248" s="1182" t="s">
        <v>1942</v>
      </c>
      <c r="AD248" s="1182" t="s">
        <v>1577</v>
      </c>
      <c r="AE248" s="1182">
        <v>300</v>
      </c>
      <c r="AF248" s="1182" t="s">
        <v>1943</v>
      </c>
      <c r="AG248" s="1182" t="s">
        <v>1944</v>
      </c>
      <c r="AH248" s="1182">
        <v>0</v>
      </c>
      <c r="AI248" s="1182">
        <v>300</v>
      </c>
      <c r="AJ248" s="1182" t="s">
        <v>2507</v>
      </c>
      <c r="AL248" s="1186" t="s">
        <v>2508</v>
      </c>
      <c r="AM248" s="1182">
        <v>1</v>
      </c>
      <c r="AN248" s="1182">
        <v>0</v>
      </c>
      <c r="AO248" s="1182">
        <v>0</v>
      </c>
      <c r="AP248" s="1182">
        <v>0</v>
      </c>
      <c r="AQ248" s="1182" t="s">
        <v>1639</v>
      </c>
      <c r="AS248" s="1186" t="s">
        <v>1943</v>
      </c>
      <c r="AT248" s="1186" t="s">
        <v>1944</v>
      </c>
      <c r="AV248" s="1183">
        <v>138</v>
      </c>
      <c r="AW248" s="1183">
        <v>0</v>
      </c>
      <c r="AX248" s="1183">
        <v>0</v>
      </c>
      <c r="AY248" s="1538">
        <v>138</v>
      </c>
      <c r="AZ248" s="1183">
        <v>0</v>
      </c>
      <c r="BA248" s="1183">
        <v>162</v>
      </c>
      <c r="BB248" s="1540">
        <v>162</v>
      </c>
      <c r="BC248" s="1540">
        <v>300</v>
      </c>
      <c r="BD248" s="1540">
        <v>0</v>
      </c>
      <c r="BF248" s="1539">
        <f t="shared" si="60"/>
        <v>138</v>
      </c>
      <c r="BG248" s="1539">
        <f t="shared" si="61"/>
        <v>0</v>
      </c>
      <c r="BH248" s="1539">
        <f t="shared" si="62"/>
        <v>0</v>
      </c>
      <c r="BI248" s="1539">
        <f t="shared" si="63"/>
        <v>138</v>
      </c>
      <c r="BJ248" s="1539">
        <f t="shared" si="64"/>
        <v>0</v>
      </c>
      <c r="BK248" s="1539">
        <f t="shared" si="65"/>
        <v>162</v>
      </c>
      <c r="BL248" s="1539">
        <f t="shared" si="66"/>
        <v>162</v>
      </c>
      <c r="BM248" s="1539">
        <f t="shared" si="67"/>
        <v>300</v>
      </c>
      <c r="BO248" s="1183"/>
      <c r="BQ248" s="1182">
        <f t="shared" si="68"/>
        <v>0</v>
      </c>
      <c r="BR248" s="1182">
        <f t="shared" si="69"/>
        <v>0</v>
      </c>
      <c r="BS248" s="1182">
        <f t="shared" si="70"/>
        <v>0</v>
      </c>
      <c r="BT248" s="1182">
        <f t="shared" si="70"/>
        <v>0</v>
      </c>
    </row>
    <row r="249" spans="1:72" ht="13.5" customHeight="1">
      <c r="A249" s="1182" t="s">
        <v>1803</v>
      </c>
      <c r="B249" s="1182" t="s">
        <v>1804</v>
      </c>
      <c r="C249" s="1182" t="s">
        <v>1639</v>
      </c>
      <c r="D249" s="1182" t="s">
        <v>2422</v>
      </c>
      <c r="E249" s="1182" t="s">
        <v>2423</v>
      </c>
      <c r="F249" s="1182" t="s">
        <v>2344</v>
      </c>
      <c r="G249" s="1182" t="s">
        <v>2344</v>
      </c>
      <c r="H249" s="1182" t="s">
        <v>2424</v>
      </c>
      <c r="I249" s="1182" t="s">
        <v>1937</v>
      </c>
      <c r="J249" s="1182" t="s">
        <v>2480</v>
      </c>
      <c r="K249" s="1182" t="s">
        <v>1811</v>
      </c>
      <c r="L249" s="1182" t="s">
        <v>1812</v>
      </c>
      <c r="M249" s="1182" t="s">
        <v>1803</v>
      </c>
      <c r="N249" s="1182" t="s">
        <v>1939</v>
      </c>
      <c r="O249" s="1182" t="s">
        <v>1554</v>
      </c>
      <c r="P249" s="1182" t="s">
        <v>1575</v>
      </c>
      <c r="Q249" s="1182" t="s">
        <v>1574</v>
      </c>
      <c r="R249" s="1182" t="s">
        <v>1573</v>
      </c>
      <c r="S249" s="1182" t="s">
        <v>1577</v>
      </c>
      <c r="T249" s="1182" t="s">
        <v>1814</v>
      </c>
      <c r="U249" s="1182" t="s">
        <v>1815</v>
      </c>
      <c r="V249" s="1182">
        <v>0</v>
      </c>
      <c r="W249" s="1182">
        <v>0</v>
      </c>
      <c r="X249" s="1182">
        <v>0</v>
      </c>
      <c r="Y249" s="1183">
        <v>300</v>
      </c>
      <c r="Z249" s="1182" t="s">
        <v>1940</v>
      </c>
      <c r="AA249" s="1182" t="s">
        <v>1941</v>
      </c>
      <c r="AB249" s="1182">
        <v>300</v>
      </c>
      <c r="AC249" s="1182" t="s">
        <v>1942</v>
      </c>
      <c r="AD249" s="1182" t="s">
        <v>1577</v>
      </c>
      <c r="AE249" s="1182">
        <v>300</v>
      </c>
      <c r="AF249" s="1182" t="s">
        <v>1943</v>
      </c>
      <c r="AG249" s="1182" t="s">
        <v>1944</v>
      </c>
      <c r="AH249" s="1182">
        <v>0</v>
      </c>
      <c r="AI249" s="1182">
        <v>300</v>
      </c>
      <c r="AJ249" s="1182" t="s">
        <v>2481</v>
      </c>
      <c r="AL249" s="1186" t="s">
        <v>2482</v>
      </c>
      <c r="AM249" s="1182">
        <v>1</v>
      </c>
      <c r="AN249" s="1182">
        <v>0</v>
      </c>
      <c r="AO249" s="1182">
        <v>0</v>
      </c>
      <c r="AP249" s="1182">
        <v>0</v>
      </c>
      <c r="AQ249" s="1182" t="s">
        <v>1639</v>
      </c>
      <c r="AS249" s="1186" t="s">
        <v>1943</v>
      </c>
      <c r="AT249" s="1186" t="s">
        <v>1944</v>
      </c>
      <c r="AV249" s="1183">
        <v>138</v>
      </c>
      <c r="AW249" s="1183">
        <v>0</v>
      </c>
      <c r="AX249" s="1183">
        <v>0</v>
      </c>
      <c r="AY249" s="1538">
        <v>138</v>
      </c>
      <c r="AZ249" s="1183">
        <v>0</v>
      </c>
      <c r="BA249" s="1183">
        <v>162</v>
      </c>
      <c r="BB249" s="1540">
        <v>162</v>
      </c>
      <c r="BC249" s="1540">
        <v>300</v>
      </c>
      <c r="BD249" s="1540">
        <v>0</v>
      </c>
      <c r="BF249" s="1539">
        <f t="shared" si="60"/>
        <v>138</v>
      </c>
      <c r="BG249" s="1539">
        <f t="shared" si="61"/>
        <v>0</v>
      </c>
      <c r="BH249" s="1539">
        <f t="shared" si="62"/>
        <v>0</v>
      </c>
      <c r="BI249" s="1539">
        <f t="shared" si="63"/>
        <v>138</v>
      </c>
      <c r="BJ249" s="1539">
        <f t="shared" si="64"/>
        <v>0</v>
      </c>
      <c r="BK249" s="1539">
        <f t="shared" si="65"/>
        <v>162</v>
      </c>
      <c r="BL249" s="1539">
        <f t="shared" si="66"/>
        <v>162</v>
      </c>
      <c r="BM249" s="1539">
        <f t="shared" si="67"/>
        <v>300</v>
      </c>
      <c r="BO249" s="1183"/>
      <c r="BQ249" s="1182">
        <f t="shared" si="68"/>
        <v>0</v>
      </c>
      <c r="BR249" s="1182">
        <f t="shared" si="69"/>
        <v>0</v>
      </c>
      <c r="BS249" s="1182">
        <f t="shared" si="70"/>
        <v>0</v>
      </c>
      <c r="BT249" s="1182">
        <f t="shared" si="70"/>
        <v>0</v>
      </c>
    </row>
    <row r="250" spans="1:72" ht="13.5" customHeight="1">
      <c r="A250" s="1182" t="s">
        <v>1803</v>
      </c>
      <c r="B250" s="1182" t="s">
        <v>1804</v>
      </c>
      <c r="C250" s="1182" t="s">
        <v>1639</v>
      </c>
      <c r="D250" s="1182" t="s">
        <v>2422</v>
      </c>
      <c r="E250" s="1182" t="s">
        <v>2423</v>
      </c>
      <c r="F250" s="1182" t="s">
        <v>2366</v>
      </c>
      <c r="G250" s="1182" t="s">
        <v>2366</v>
      </c>
      <c r="H250" s="1182" t="s">
        <v>2424</v>
      </c>
      <c r="I250" s="1182" t="s">
        <v>1937</v>
      </c>
      <c r="J250" s="1182" t="s">
        <v>2493</v>
      </c>
      <c r="K250" s="1182" t="s">
        <v>1811</v>
      </c>
      <c r="L250" s="1182" t="s">
        <v>1812</v>
      </c>
      <c r="M250" s="1182" t="s">
        <v>1803</v>
      </c>
      <c r="N250" s="1182" t="s">
        <v>1939</v>
      </c>
      <c r="O250" s="1182" t="s">
        <v>1554</v>
      </c>
      <c r="P250" s="1182" t="s">
        <v>1575</v>
      </c>
      <c r="Q250" s="1182" t="s">
        <v>1574</v>
      </c>
      <c r="R250" s="1182" t="s">
        <v>1573</v>
      </c>
      <c r="S250" s="1182" t="s">
        <v>1577</v>
      </c>
      <c r="T250" s="1182" t="s">
        <v>1814</v>
      </c>
      <c r="U250" s="1182" t="s">
        <v>1815</v>
      </c>
      <c r="V250" s="1182">
        <v>0</v>
      </c>
      <c r="W250" s="1182">
        <v>0</v>
      </c>
      <c r="X250" s="1182">
        <v>0</v>
      </c>
      <c r="Y250" s="1183">
        <v>300</v>
      </c>
      <c r="Z250" s="1182" t="s">
        <v>1940</v>
      </c>
      <c r="AA250" s="1182" t="s">
        <v>1941</v>
      </c>
      <c r="AB250" s="1182">
        <v>300</v>
      </c>
      <c r="AC250" s="1182" t="s">
        <v>1942</v>
      </c>
      <c r="AD250" s="1182" t="s">
        <v>1577</v>
      </c>
      <c r="AE250" s="1182">
        <v>300</v>
      </c>
      <c r="AF250" s="1182" t="s">
        <v>1943</v>
      </c>
      <c r="AG250" s="1182" t="s">
        <v>1944</v>
      </c>
      <c r="AH250" s="1182">
        <v>0</v>
      </c>
      <c r="AI250" s="1182">
        <v>300</v>
      </c>
      <c r="AJ250" s="1182" t="s">
        <v>2494</v>
      </c>
      <c r="AL250" s="1186" t="s">
        <v>2495</v>
      </c>
      <c r="AM250" s="1182">
        <v>1</v>
      </c>
      <c r="AN250" s="1182">
        <v>0</v>
      </c>
      <c r="AO250" s="1182">
        <v>0</v>
      </c>
      <c r="AP250" s="1182">
        <v>0</v>
      </c>
      <c r="AQ250" s="1182" t="s">
        <v>1639</v>
      </c>
      <c r="AS250" s="1186" t="s">
        <v>1943</v>
      </c>
      <c r="AT250" s="1186" t="s">
        <v>1944</v>
      </c>
      <c r="AV250" s="1183">
        <v>138</v>
      </c>
      <c r="AW250" s="1183">
        <v>0</v>
      </c>
      <c r="AX250" s="1183">
        <v>0</v>
      </c>
      <c r="AY250" s="1538">
        <v>138</v>
      </c>
      <c r="AZ250" s="1183">
        <v>0</v>
      </c>
      <c r="BA250" s="1183">
        <v>162</v>
      </c>
      <c r="BB250" s="1540">
        <v>162</v>
      </c>
      <c r="BC250" s="1540">
        <v>300</v>
      </c>
      <c r="BD250" s="1540">
        <v>0</v>
      </c>
      <c r="BF250" s="1539">
        <f t="shared" si="60"/>
        <v>138</v>
      </c>
      <c r="BG250" s="1539">
        <f t="shared" si="61"/>
        <v>0</v>
      </c>
      <c r="BH250" s="1539">
        <f t="shared" si="62"/>
        <v>0</v>
      </c>
      <c r="BI250" s="1539">
        <f t="shared" si="63"/>
        <v>138</v>
      </c>
      <c r="BJ250" s="1539">
        <f t="shared" si="64"/>
        <v>0</v>
      </c>
      <c r="BK250" s="1539">
        <f t="shared" si="65"/>
        <v>162</v>
      </c>
      <c r="BL250" s="1539">
        <f t="shared" si="66"/>
        <v>162</v>
      </c>
      <c r="BM250" s="1539">
        <f t="shared" si="67"/>
        <v>300</v>
      </c>
      <c r="BO250" s="1183"/>
      <c r="BQ250" s="1182">
        <f t="shared" si="68"/>
        <v>0</v>
      </c>
      <c r="BR250" s="1182">
        <f t="shared" si="69"/>
        <v>0</v>
      </c>
      <c r="BS250" s="1182">
        <f t="shared" si="70"/>
        <v>0</v>
      </c>
      <c r="BT250" s="1182">
        <f t="shared" si="70"/>
        <v>0</v>
      </c>
    </row>
    <row r="251" spans="1:72" ht="13.5" customHeight="1">
      <c r="A251" s="1182" t="s">
        <v>1803</v>
      </c>
      <c r="B251" s="1182" t="s">
        <v>1804</v>
      </c>
      <c r="C251" s="1182" t="s">
        <v>1639</v>
      </c>
      <c r="D251" s="1182" t="s">
        <v>2422</v>
      </c>
      <c r="E251" s="1182" t="s">
        <v>2423</v>
      </c>
      <c r="F251" s="1182" t="s">
        <v>2063</v>
      </c>
      <c r="G251" s="1182" t="s">
        <v>2063</v>
      </c>
      <c r="H251" s="1182" t="s">
        <v>2424</v>
      </c>
      <c r="I251" s="1182" t="s">
        <v>1937</v>
      </c>
      <c r="J251" s="1182" t="s">
        <v>2483</v>
      </c>
      <c r="K251" s="1182" t="s">
        <v>1811</v>
      </c>
      <c r="L251" s="1182" t="s">
        <v>1812</v>
      </c>
      <c r="M251" s="1182" t="s">
        <v>1803</v>
      </c>
      <c r="N251" s="1182" t="s">
        <v>1939</v>
      </c>
      <c r="O251" s="1182" t="s">
        <v>1554</v>
      </c>
      <c r="P251" s="1182" t="s">
        <v>1575</v>
      </c>
      <c r="Q251" s="1182" t="s">
        <v>1574</v>
      </c>
      <c r="R251" s="1182" t="s">
        <v>1573</v>
      </c>
      <c r="S251" s="1182" t="s">
        <v>1577</v>
      </c>
      <c r="T251" s="1182" t="s">
        <v>1814</v>
      </c>
      <c r="U251" s="1182" t="s">
        <v>1815</v>
      </c>
      <c r="V251" s="1182">
        <v>0</v>
      </c>
      <c r="W251" s="1182">
        <v>0</v>
      </c>
      <c r="X251" s="1182">
        <v>0</v>
      </c>
      <c r="Y251" s="1183">
        <v>300</v>
      </c>
      <c r="Z251" s="1182" t="s">
        <v>1940</v>
      </c>
      <c r="AA251" s="1182" t="s">
        <v>1941</v>
      </c>
      <c r="AB251" s="1182">
        <v>300</v>
      </c>
      <c r="AC251" s="1182" t="s">
        <v>1942</v>
      </c>
      <c r="AD251" s="1182" t="s">
        <v>1577</v>
      </c>
      <c r="AE251" s="1182">
        <v>300</v>
      </c>
      <c r="AF251" s="1182" t="s">
        <v>1943</v>
      </c>
      <c r="AG251" s="1182" t="s">
        <v>1944</v>
      </c>
      <c r="AH251" s="1182">
        <v>0</v>
      </c>
      <c r="AI251" s="1182">
        <v>300</v>
      </c>
      <c r="AJ251" s="1182" t="s">
        <v>2484</v>
      </c>
      <c r="AL251" s="1186" t="s">
        <v>2485</v>
      </c>
      <c r="AM251" s="1182">
        <v>1</v>
      </c>
      <c r="AN251" s="1182">
        <v>0</v>
      </c>
      <c r="AO251" s="1182">
        <v>0</v>
      </c>
      <c r="AP251" s="1182">
        <v>0</v>
      </c>
      <c r="AQ251" s="1182" t="s">
        <v>1639</v>
      </c>
      <c r="AS251" s="1186" t="s">
        <v>1943</v>
      </c>
      <c r="AT251" s="1186" t="s">
        <v>1944</v>
      </c>
      <c r="AV251" s="1183">
        <v>138</v>
      </c>
      <c r="AW251" s="1183">
        <v>0</v>
      </c>
      <c r="AX251" s="1183">
        <v>0</v>
      </c>
      <c r="AY251" s="1538">
        <v>138</v>
      </c>
      <c r="AZ251" s="1183">
        <v>0</v>
      </c>
      <c r="BA251" s="1183">
        <v>162</v>
      </c>
      <c r="BB251" s="1540">
        <v>162</v>
      </c>
      <c r="BC251" s="1540">
        <v>300</v>
      </c>
      <c r="BD251" s="1540">
        <v>0</v>
      </c>
      <c r="BF251" s="1539">
        <f t="shared" si="60"/>
        <v>138</v>
      </c>
      <c r="BG251" s="1539">
        <f t="shared" si="61"/>
        <v>0</v>
      </c>
      <c r="BH251" s="1539">
        <f t="shared" si="62"/>
        <v>0</v>
      </c>
      <c r="BI251" s="1539">
        <f t="shared" si="63"/>
        <v>138</v>
      </c>
      <c r="BJ251" s="1539">
        <f t="shared" si="64"/>
        <v>0</v>
      </c>
      <c r="BK251" s="1539">
        <f t="shared" si="65"/>
        <v>162</v>
      </c>
      <c r="BL251" s="1539">
        <f t="shared" si="66"/>
        <v>162</v>
      </c>
      <c r="BM251" s="1539">
        <f t="shared" si="67"/>
        <v>300</v>
      </c>
      <c r="BO251" s="1183"/>
      <c r="BQ251" s="1182">
        <f t="shared" si="68"/>
        <v>0</v>
      </c>
      <c r="BR251" s="1182">
        <f t="shared" si="69"/>
        <v>0</v>
      </c>
      <c r="BS251" s="1182">
        <f t="shared" si="70"/>
        <v>0</v>
      </c>
      <c r="BT251" s="1182">
        <f t="shared" si="70"/>
        <v>0</v>
      </c>
    </row>
    <row r="252" spans="1:72" ht="13.5" customHeight="1">
      <c r="A252" s="1182" t="s">
        <v>1803</v>
      </c>
      <c r="B252" s="1182" t="s">
        <v>1804</v>
      </c>
      <c r="C252" s="1182" t="s">
        <v>1639</v>
      </c>
      <c r="D252" s="1182" t="s">
        <v>2422</v>
      </c>
      <c r="E252" s="1182" t="s">
        <v>2423</v>
      </c>
      <c r="F252" s="1182" t="s">
        <v>2400</v>
      </c>
      <c r="G252" s="1182" t="s">
        <v>2400</v>
      </c>
      <c r="H252" s="1182" t="s">
        <v>2424</v>
      </c>
      <c r="I252" s="1182" t="s">
        <v>1937</v>
      </c>
      <c r="J252" s="1182" t="s">
        <v>2486</v>
      </c>
      <c r="K252" s="1182" t="s">
        <v>1811</v>
      </c>
      <c r="L252" s="1182" t="s">
        <v>1812</v>
      </c>
      <c r="M252" s="1182" t="s">
        <v>1803</v>
      </c>
      <c r="N252" s="1182" t="s">
        <v>1939</v>
      </c>
      <c r="O252" s="1182" t="s">
        <v>1554</v>
      </c>
      <c r="P252" s="1182" t="s">
        <v>1575</v>
      </c>
      <c r="Q252" s="1182" t="s">
        <v>1574</v>
      </c>
      <c r="R252" s="1182" t="s">
        <v>1573</v>
      </c>
      <c r="S252" s="1182" t="s">
        <v>1577</v>
      </c>
      <c r="T252" s="1182" t="s">
        <v>1814</v>
      </c>
      <c r="U252" s="1182" t="s">
        <v>1815</v>
      </c>
      <c r="V252" s="1182">
        <v>0</v>
      </c>
      <c r="W252" s="1182">
        <v>0</v>
      </c>
      <c r="X252" s="1182">
        <v>0</v>
      </c>
      <c r="Y252" s="1183">
        <v>300</v>
      </c>
      <c r="Z252" s="1182" t="s">
        <v>1940</v>
      </c>
      <c r="AA252" s="1182" t="s">
        <v>1941</v>
      </c>
      <c r="AB252" s="1182">
        <v>300</v>
      </c>
      <c r="AC252" s="1182" t="s">
        <v>1942</v>
      </c>
      <c r="AD252" s="1182" t="s">
        <v>1577</v>
      </c>
      <c r="AE252" s="1182">
        <v>300</v>
      </c>
      <c r="AF252" s="1182" t="s">
        <v>1943</v>
      </c>
      <c r="AG252" s="1182" t="s">
        <v>1944</v>
      </c>
      <c r="AH252" s="1182">
        <v>0</v>
      </c>
      <c r="AI252" s="1182">
        <v>300</v>
      </c>
      <c r="AJ252" s="1182" t="s">
        <v>2487</v>
      </c>
      <c r="AL252" s="1186" t="s">
        <v>2488</v>
      </c>
      <c r="AM252" s="1182">
        <v>1</v>
      </c>
      <c r="AN252" s="1182">
        <v>0</v>
      </c>
      <c r="AO252" s="1182">
        <v>0</v>
      </c>
      <c r="AP252" s="1182">
        <v>0</v>
      </c>
      <c r="AQ252" s="1182" t="s">
        <v>1639</v>
      </c>
      <c r="AS252" s="1186" t="s">
        <v>1943</v>
      </c>
      <c r="AT252" s="1186" t="s">
        <v>1944</v>
      </c>
      <c r="AV252" s="1183">
        <v>138</v>
      </c>
      <c r="AW252" s="1183">
        <v>0</v>
      </c>
      <c r="AX252" s="1183">
        <v>0</v>
      </c>
      <c r="AY252" s="1538">
        <v>138</v>
      </c>
      <c r="AZ252" s="1183">
        <v>0</v>
      </c>
      <c r="BA252" s="1183">
        <v>162</v>
      </c>
      <c r="BB252" s="1540">
        <v>162</v>
      </c>
      <c r="BC252" s="1540">
        <v>300</v>
      </c>
      <c r="BD252" s="1540">
        <v>0</v>
      </c>
      <c r="BF252" s="1539">
        <f t="shared" si="60"/>
        <v>138</v>
      </c>
      <c r="BG252" s="1539">
        <f t="shared" si="61"/>
        <v>0</v>
      </c>
      <c r="BH252" s="1539">
        <f t="shared" si="62"/>
        <v>0</v>
      </c>
      <c r="BI252" s="1539">
        <f t="shared" si="63"/>
        <v>138</v>
      </c>
      <c r="BJ252" s="1539">
        <f t="shared" si="64"/>
        <v>0</v>
      </c>
      <c r="BK252" s="1539">
        <f t="shared" si="65"/>
        <v>162</v>
      </c>
      <c r="BL252" s="1539">
        <f t="shared" si="66"/>
        <v>162</v>
      </c>
      <c r="BM252" s="1539">
        <f t="shared" si="67"/>
        <v>300</v>
      </c>
      <c r="BO252" s="1183"/>
      <c r="BQ252" s="1182">
        <f t="shared" si="68"/>
        <v>0</v>
      </c>
      <c r="BR252" s="1182">
        <f t="shared" si="69"/>
        <v>0</v>
      </c>
      <c r="BS252" s="1182">
        <f t="shared" si="70"/>
        <v>0</v>
      </c>
      <c r="BT252" s="1182">
        <f t="shared" si="70"/>
        <v>0</v>
      </c>
    </row>
    <row r="253" spans="1:72" ht="13.5" customHeight="1">
      <c r="A253" s="1182" t="s">
        <v>1803</v>
      </c>
      <c r="B253" s="1182" t="s">
        <v>1804</v>
      </c>
      <c r="C253" s="1182" t="s">
        <v>1639</v>
      </c>
      <c r="D253" s="1182" t="s">
        <v>2422</v>
      </c>
      <c r="E253" s="1182" t="s">
        <v>2423</v>
      </c>
      <c r="F253" s="1182" t="s">
        <v>2489</v>
      </c>
      <c r="G253" s="1182" t="s">
        <v>2489</v>
      </c>
      <c r="H253" s="1182" t="s">
        <v>2424</v>
      </c>
      <c r="I253" s="1182" t="s">
        <v>1937</v>
      </c>
      <c r="J253" s="1182" t="s">
        <v>2490</v>
      </c>
      <c r="K253" s="1182" t="s">
        <v>1811</v>
      </c>
      <c r="L253" s="1182" t="s">
        <v>1812</v>
      </c>
      <c r="M253" s="1182" t="s">
        <v>1803</v>
      </c>
      <c r="N253" s="1182" t="s">
        <v>1939</v>
      </c>
      <c r="O253" s="1182" t="s">
        <v>1554</v>
      </c>
      <c r="P253" s="1182" t="s">
        <v>1575</v>
      </c>
      <c r="Q253" s="1182" t="s">
        <v>1574</v>
      </c>
      <c r="R253" s="1182" t="s">
        <v>1573</v>
      </c>
      <c r="S253" s="1182" t="s">
        <v>1577</v>
      </c>
      <c r="T253" s="1182" t="s">
        <v>1814</v>
      </c>
      <c r="U253" s="1182" t="s">
        <v>1815</v>
      </c>
      <c r="V253" s="1182">
        <v>0</v>
      </c>
      <c r="W253" s="1182">
        <v>0</v>
      </c>
      <c r="X253" s="1182">
        <v>0</v>
      </c>
      <c r="Y253" s="1183">
        <v>300</v>
      </c>
      <c r="Z253" s="1182" t="s">
        <v>1940</v>
      </c>
      <c r="AA253" s="1182" t="s">
        <v>1941</v>
      </c>
      <c r="AB253" s="1182">
        <v>300</v>
      </c>
      <c r="AC253" s="1182" t="s">
        <v>1942</v>
      </c>
      <c r="AD253" s="1182" t="s">
        <v>1577</v>
      </c>
      <c r="AE253" s="1182">
        <v>300</v>
      </c>
      <c r="AF253" s="1182" t="s">
        <v>1943</v>
      </c>
      <c r="AG253" s="1182" t="s">
        <v>1944</v>
      </c>
      <c r="AH253" s="1182">
        <v>0</v>
      </c>
      <c r="AI253" s="1182">
        <v>300</v>
      </c>
      <c r="AJ253" s="1182" t="s">
        <v>2491</v>
      </c>
      <c r="AL253" s="1186" t="s">
        <v>2492</v>
      </c>
      <c r="AM253" s="1182">
        <v>1</v>
      </c>
      <c r="AN253" s="1182">
        <v>0</v>
      </c>
      <c r="AO253" s="1182">
        <v>0</v>
      </c>
      <c r="AP253" s="1182">
        <v>0</v>
      </c>
      <c r="AQ253" s="1182" t="s">
        <v>1639</v>
      </c>
      <c r="AS253" s="1186" t="s">
        <v>1943</v>
      </c>
      <c r="AT253" s="1186" t="s">
        <v>1944</v>
      </c>
      <c r="AV253" s="1183">
        <v>138</v>
      </c>
      <c r="AW253" s="1183">
        <v>0</v>
      </c>
      <c r="AX253" s="1183">
        <v>0</v>
      </c>
      <c r="AY253" s="1538">
        <v>138</v>
      </c>
      <c r="AZ253" s="1183">
        <v>0</v>
      </c>
      <c r="BA253" s="1183">
        <v>162</v>
      </c>
      <c r="BB253" s="1540">
        <v>162</v>
      </c>
      <c r="BC253" s="1540">
        <v>300</v>
      </c>
      <c r="BD253" s="1540">
        <v>0</v>
      </c>
      <c r="BF253" s="1539">
        <f t="shared" si="60"/>
        <v>138</v>
      </c>
      <c r="BG253" s="1539">
        <f t="shared" si="61"/>
        <v>0</v>
      </c>
      <c r="BH253" s="1539">
        <f t="shared" si="62"/>
        <v>0</v>
      </c>
      <c r="BI253" s="1539">
        <f t="shared" si="63"/>
        <v>138</v>
      </c>
      <c r="BJ253" s="1539">
        <f t="shared" si="64"/>
        <v>0</v>
      </c>
      <c r="BK253" s="1539">
        <f t="shared" si="65"/>
        <v>162</v>
      </c>
      <c r="BL253" s="1539">
        <f t="shared" si="66"/>
        <v>162</v>
      </c>
      <c r="BM253" s="1539">
        <f t="shared" si="67"/>
        <v>300</v>
      </c>
      <c r="BO253" s="1183"/>
      <c r="BQ253" s="1182">
        <f t="shared" si="68"/>
        <v>0</v>
      </c>
      <c r="BR253" s="1182">
        <f t="shared" si="69"/>
        <v>0</v>
      </c>
      <c r="BS253" s="1182">
        <f t="shared" si="70"/>
        <v>0</v>
      </c>
      <c r="BT253" s="1182">
        <f t="shared" si="70"/>
        <v>0</v>
      </c>
    </row>
    <row r="254" spans="1:72" ht="13.5" customHeight="1">
      <c r="A254" s="1182" t="s">
        <v>1803</v>
      </c>
      <c r="B254" s="1182" t="s">
        <v>1804</v>
      </c>
      <c r="C254" s="1182" t="s">
        <v>1639</v>
      </c>
      <c r="D254" s="1182" t="s">
        <v>2422</v>
      </c>
      <c r="E254" s="1182" t="s">
        <v>2423</v>
      </c>
      <c r="F254" s="1182" t="s">
        <v>2388</v>
      </c>
      <c r="G254" s="1182" t="s">
        <v>2388</v>
      </c>
      <c r="H254" s="1182" t="s">
        <v>2424</v>
      </c>
      <c r="I254" s="1182" t="s">
        <v>1937</v>
      </c>
      <c r="J254" s="1182" t="s">
        <v>2496</v>
      </c>
      <c r="K254" s="1182" t="s">
        <v>1811</v>
      </c>
      <c r="L254" s="1182" t="s">
        <v>1812</v>
      </c>
      <c r="M254" s="1182" t="s">
        <v>1803</v>
      </c>
      <c r="N254" s="1182" t="s">
        <v>1939</v>
      </c>
      <c r="O254" s="1182" t="s">
        <v>1554</v>
      </c>
      <c r="P254" s="1182" t="s">
        <v>1575</v>
      </c>
      <c r="Q254" s="1182" t="s">
        <v>1574</v>
      </c>
      <c r="R254" s="1182" t="s">
        <v>1573</v>
      </c>
      <c r="S254" s="1182" t="s">
        <v>1577</v>
      </c>
      <c r="T254" s="1182" t="s">
        <v>1814</v>
      </c>
      <c r="U254" s="1182" t="s">
        <v>1815</v>
      </c>
      <c r="V254" s="1182">
        <v>0</v>
      </c>
      <c r="W254" s="1182">
        <v>0</v>
      </c>
      <c r="X254" s="1182">
        <v>0</v>
      </c>
      <c r="Y254" s="1183">
        <v>470</v>
      </c>
      <c r="Z254" s="1182" t="s">
        <v>1940</v>
      </c>
      <c r="AA254" s="1182" t="s">
        <v>1941</v>
      </c>
      <c r="AB254" s="1182">
        <v>470</v>
      </c>
      <c r="AC254" s="1182" t="s">
        <v>1942</v>
      </c>
      <c r="AD254" s="1182" t="s">
        <v>1577</v>
      </c>
      <c r="AE254" s="1182">
        <v>470</v>
      </c>
      <c r="AF254" s="1182" t="s">
        <v>1943</v>
      </c>
      <c r="AG254" s="1182" t="s">
        <v>1944</v>
      </c>
      <c r="AH254" s="1182">
        <v>0</v>
      </c>
      <c r="AI254" s="1182">
        <v>470</v>
      </c>
      <c r="AJ254" s="1182" t="s">
        <v>2497</v>
      </c>
      <c r="AL254" s="1186" t="s">
        <v>2498</v>
      </c>
      <c r="AM254" s="1182">
        <v>1</v>
      </c>
      <c r="AN254" s="1182">
        <v>0</v>
      </c>
      <c r="AO254" s="1182">
        <v>0</v>
      </c>
      <c r="AP254" s="1182">
        <v>0</v>
      </c>
      <c r="AQ254" s="1182" t="s">
        <v>1639</v>
      </c>
      <c r="AS254" s="1186" t="s">
        <v>1943</v>
      </c>
      <c r="AT254" s="1186" t="s">
        <v>1944</v>
      </c>
      <c r="AV254" s="1183">
        <v>216</v>
      </c>
      <c r="AW254" s="1183">
        <v>0</v>
      </c>
      <c r="AX254" s="1183">
        <v>0</v>
      </c>
      <c r="AY254" s="1538">
        <v>216</v>
      </c>
      <c r="AZ254" s="1183">
        <v>0</v>
      </c>
      <c r="BA254" s="1183">
        <v>254</v>
      </c>
      <c r="BB254" s="1540">
        <v>254</v>
      </c>
      <c r="BC254" s="1540">
        <v>470</v>
      </c>
      <c r="BD254" s="1540">
        <v>0</v>
      </c>
      <c r="BF254" s="1539">
        <f t="shared" si="60"/>
        <v>216</v>
      </c>
      <c r="BG254" s="1539">
        <f t="shared" si="61"/>
        <v>0</v>
      </c>
      <c r="BH254" s="1539">
        <f t="shared" si="62"/>
        <v>0</v>
      </c>
      <c r="BI254" s="1539">
        <f t="shared" si="63"/>
        <v>216</v>
      </c>
      <c r="BJ254" s="1539">
        <f t="shared" si="64"/>
        <v>0</v>
      </c>
      <c r="BK254" s="1539">
        <f t="shared" si="65"/>
        <v>254</v>
      </c>
      <c r="BL254" s="1539">
        <f t="shared" si="66"/>
        <v>254</v>
      </c>
      <c r="BM254" s="1539">
        <f t="shared" si="67"/>
        <v>470</v>
      </c>
      <c r="BO254" s="1183"/>
      <c r="BQ254" s="1182">
        <f t="shared" si="68"/>
        <v>0</v>
      </c>
      <c r="BR254" s="1182">
        <f t="shared" si="69"/>
        <v>0</v>
      </c>
      <c r="BS254" s="1182">
        <f t="shared" si="70"/>
        <v>0</v>
      </c>
      <c r="BT254" s="1182">
        <f t="shared" si="70"/>
        <v>0</v>
      </c>
    </row>
    <row r="255" spans="1:72" ht="13.5" customHeight="1">
      <c r="A255" s="1182" t="s">
        <v>1803</v>
      </c>
      <c r="B255" s="1182" t="s">
        <v>1804</v>
      </c>
      <c r="C255" s="1182" t="s">
        <v>1639</v>
      </c>
      <c r="D255" s="1182" t="s">
        <v>2422</v>
      </c>
      <c r="E255" s="1182" t="s">
        <v>2423</v>
      </c>
      <c r="F255" s="1182" t="s">
        <v>2047</v>
      </c>
      <c r="G255" s="1182" t="s">
        <v>2047</v>
      </c>
      <c r="H255" s="1182" t="s">
        <v>2424</v>
      </c>
      <c r="I255" s="1182" t="s">
        <v>1937</v>
      </c>
      <c r="J255" s="1182" t="s">
        <v>2499</v>
      </c>
      <c r="K255" s="1182" t="s">
        <v>1811</v>
      </c>
      <c r="L255" s="1182" t="s">
        <v>1812</v>
      </c>
      <c r="M255" s="1182" t="s">
        <v>1803</v>
      </c>
      <c r="N255" s="1182" t="s">
        <v>1939</v>
      </c>
      <c r="O255" s="1182" t="s">
        <v>1554</v>
      </c>
      <c r="P255" s="1182" t="s">
        <v>1575</v>
      </c>
      <c r="Q255" s="1182" t="s">
        <v>1574</v>
      </c>
      <c r="R255" s="1182" t="s">
        <v>1573</v>
      </c>
      <c r="S255" s="1182" t="s">
        <v>1577</v>
      </c>
      <c r="T255" s="1182" t="s">
        <v>1814</v>
      </c>
      <c r="U255" s="1182" t="s">
        <v>1815</v>
      </c>
      <c r="V255" s="1182">
        <v>0</v>
      </c>
      <c r="W255" s="1182">
        <v>0</v>
      </c>
      <c r="X255" s="1182">
        <v>0</v>
      </c>
      <c r="Y255" s="1183">
        <v>470</v>
      </c>
      <c r="Z255" s="1182" t="s">
        <v>1940</v>
      </c>
      <c r="AA255" s="1182" t="s">
        <v>1941</v>
      </c>
      <c r="AB255" s="1182">
        <v>470</v>
      </c>
      <c r="AC255" s="1182" t="s">
        <v>1942</v>
      </c>
      <c r="AD255" s="1182" t="s">
        <v>1577</v>
      </c>
      <c r="AE255" s="1182">
        <v>470</v>
      </c>
      <c r="AF255" s="1182" t="s">
        <v>1943</v>
      </c>
      <c r="AG255" s="1182" t="s">
        <v>1944</v>
      </c>
      <c r="AH255" s="1182">
        <v>0</v>
      </c>
      <c r="AI255" s="1182">
        <v>470</v>
      </c>
      <c r="AJ255" s="1182" t="s">
        <v>2500</v>
      </c>
      <c r="AL255" s="1186" t="s">
        <v>2501</v>
      </c>
      <c r="AM255" s="1182">
        <v>1</v>
      </c>
      <c r="AN255" s="1182">
        <v>0</v>
      </c>
      <c r="AO255" s="1182">
        <v>0</v>
      </c>
      <c r="AP255" s="1182">
        <v>0</v>
      </c>
      <c r="AQ255" s="1182" t="s">
        <v>1639</v>
      </c>
      <c r="AS255" s="1186" t="s">
        <v>1943</v>
      </c>
      <c r="AT255" s="1186" t="s">
        <v>1944</v>
      </c>
      <c r="AV255" s="1183">
        <v>216</v>
      </c>
      <c r="AW255" s="1183">
        <v>0</v>
      </c>
      <c r="AX255" s="1183">
        <v>0</v>
      </c>
      <c r="AY255" s="1538">
        <v>216</v>
      </c>
      <c r="AZ255" s="1183">
        <v>0</v>
      </c>
      <c r="BA255" s="1183">
        <v>254</v>
      </c>
      <c r="BB255" s="1540">
        <v>254</v>
      </c>
      <c r="BC255" s="1540">
        <v>470</v>
      </c>
      <c r="BD255" s="1540">
        <v>0</v>
      </c>
      <c r="BF255" s="1539">
        <f t="shared" si="60"/>
        <v>216</v>
      </c>
      <c r="BG255" s="1539">
        <f t="shared" si="61"/>
        <v>0</v>
      </c>
      <c r="BH255" s="1539">
        <f t="shared" si="62"/>
        <v>0</v>
      </c>
      <c r="BI255" s="1539">
        <f t="shared" si="63"/>
        <v>216</v>
      </c>
      <c r="BJ255" s="1539">
        <f t="shared" si="64"/>
        <v>0</v>
      </c>
      <c r="BK255" s="1539">
        <f t="shared" si="65"/>
        <v>254</v>
      </c>
      <c r="BL255" s="1539">
        <f t="shared" si="66"/>
        <v>254</v>
      </c>
      <c r="BM255" s="1539">
        <f t="shared" si="67"/>
        <v>470</v>
      </c>
      <c r="BO255" s="1183"/>
      <c r="BQ255" s="1182">
        <f t="shared" si="68"/>
        <v>0</v>
      </c>
      <c r="BR255" s="1182">
        <f t="shared" si="69"/>
        <v>0</v>
      </c>
      <c r="BS255" s="1182">
        <f t="shared" si="70"/>
        <v>0</v>
      </c>
      <c r="BT255" s="1182">
        <f t="shared" si="70"/>
        <v>0</v>
      </c>
    </row>
    <row r="256" spans="1:72" ht="13.5" customHeight="1">
      <c r="A256" s="1182" t="s">
        <v>1803</v>
      </c>
      <c r="B256" s="1182" t="s">
        <v>1804</v>
      </c>
      <c r="C256" s="1182" t="s">
        <v>1639</v>
      </c>
      <c r="D256" s="1182" t="s">
        <v>2422</v>
      </c>
      <c r="E256" s="1182" t="s">
        <v>2423</v>
      </c>
      <c r="F256" s="1182" t="s">
        <v>2515</v>
      </c>
      <c r="G256" s="1182" t="s">
        <v>2515</v>
      </c>
      <c r="H256" s="1182" t="s">
        <v>2424</v>
      </c>
      <c r="I256" s="1182" t="s">
        <v>1937</v>
      </c>
      <c r="J256" s="1182" t="s">
        <v>2516</v>
      </c>
      <c r="K256" s="1182" t="s">
        <v>1811</v>
      </c>
      <c r="L256" s="1182" t="s">
        <v>1812</v>
      </c>
      <c r="M256" s="1182" t="s">
        <v>1803</v>
      </c>
      <c r="N256" s="1182" t="s">
        <v>1939</v>
      </c>
      <c r="O256" s="1182" t="s">
        <v>1554</v>
      </c>
      <c r="P256" s="1182" t="s">
        <v>1575</v>
      </c>
      <c r="Q256" s="1182" t="s">
        <v>1574</v>
      </c>
      <c r="R256" s="1182" t="s">
        <v>1573</v>
      </c>
      <c r="S256" s="1182" t="s">
        <v>1577</v>
      </c>
      <c r="T256" s="1182" t="s">
        <v>1814</v>
      </c>
      <c r="U256" s="1182" t="s">
        <v>1815</v>
      </c>
      <c r="V256" s="1182">
        <v>0</v>
      </c>
      <c r="W256" s="1182">
        <v>0</v>
      </c>
      <c r="X256" s="1182">
        <v>0</v>
      </c>
      <c r="Y256" s="1183">
        <v>300</v>
      </c>
      <c r="Z256" s="1182" t="s">
        <v>1940</v>
      </c>
      <c r="AA256" s="1182" t="s">
        <v>1941</v>
      </c>
      <c r="AB256" s="1182">
        <v>300</v>
      </c>
      <c r="AC256" s="1182" t="s">
        <v>1942</v>
      </c>
      <c r="AD256" s="1182" t="s">
        <v>1577</v>
      </c>
      <c r="AE256" s="1182">
        <v>300</v>
      </c>
      <c r="AF256" s="1182" t="s">
        <v>1943</v>
      </c>
      <c r="AG256" s="1182" t="s">
        <v>1944</v>
      </c>
      <c r="AH256" s="1182">
        <v>0</v>
      </c>
      <c r="AI256" s="1182">
        <v>300</v>
      </c>
      <c r="AJ256" s="1182" t="s">
        <v>2517</v>
      </c>
      <c r="AL256" s="1186" t="s">
        <v>2518</v>
      </c>
      <c r="AM256" s="1182">
        <v>1</v>
      </c>
      <c r="AN256" s="1182">
        <v>0</v>
      </c>
      <c r="AO256" s="1182">
        <v>0</v>
      </c>
      <c r="AP256" s="1182">
        <v>0</v>
      </c>
      <c r="AQ256" s="1182" t="s">
        <v>1639</v>
      </c>
      <c r="AS256" s="1186" t="s">
        <v>1943</v>
      </c>
      <c r="AT256" s="1186" t="s">
        <v>1944</v>
      </c>
      <c r="AV256" s="1183">
        <v>138</v>
      </c>
      <c r="AW256" s="1183">
        <v>0</v>
      </c>
      <c r="AX256" s="1183">
        <v>0</v>
      </c>
      <c r="AY256" s="1538">
        <v>138</v>
      </c>
      <c r="AZ256" s="1183">
        <v>0</v>
      </c>
      <c r="BA256" s="1183">
        <v>162</v>
      </c>
      <c r="BB256" s="1540">
        <v>162</v>
      </c>
      <c r="BC256" s="1540">
        <v>300</v>
      </c>
      <c r="BD256" s="1540">
        <v>0</v>
      </c>
      <c r="BF256" s="1539">
        <f t="shared" si="60"/>
        <v>138</v>
      </c>
      <c r="BG256" s="1539">
        <f t="shared" si="61"/>
        <v>0</v>
      </c>
      <c r="BH256" s="1539">
        <f t="shared" si="62"/>
        <v>0</v>
      </c>
      <c r="BI256" s="1539">
        <f t="shared" si="63"/>
        <v>138</v>
      </c>
      <c r="BJ256" s="1539">
        <f t="shared" si="64"/>
        <v>0</v>
      </c>
      <c r="BK256" s="1539">
        <f t="shared" si="65"/>
        <v>162</v>
      </c>
      <c r="BL256" s="1539">
        <f t="shared" si="66"/>
        <v>162</v>
      </c>
      <c r="BM256" s="1539">
        <f t="shared" si="67"/>
        <v>300</v>
      </c>
      <c r="BO256" s="1183"/>
      <c r="BQ256" s="1182">
        <f t="shared" si="68"/>
        <v>0</v>
      </c>
      <c r="BR256" s="1182">
        <f t="shared" si="69"/>
        <v>0</v>
      </c>
      <c r="BS256" s="1182">
        <f t="shared" si="70"/>
        <v>0</v>
      </c>
      <c r="BT256" s="1182">
        <f t="shared" si="70"/>
        <v>0</v>
      </c>
    </row>
    <row r="257" spans="1:72" ht="13.5" customHeight="1">
      <c r="A257" s="1182" t="s">
        <v>1803</v>
      </c>
      <c r="B257" s="1182" t="s">
        <v>1804</v>
      </c>
      <c r="C257" s="1182" t="s">
        <v>1639</v>
      </c>
      <c r="D257" s="1182" t="s">
        <v>2422</v>
      </c>
      <c r="E257" s="1182" t="s">
        <v>2423</v>
      </c>
      <c r="F257" s="1182" t="s">
        <v>2509</v>
      </c>
      <c r="G257" s="1182" t="s">
        <v>2509</v>
      </c>
      <c r="H257" s="1182" t="s">
        <v>2424</v>
      </c>
      <c r="I257" s="1182" t="s">
        <v>1937</v>
      </c>
      <c r="J257" s="1182" t="s">
        <v>2510</v>
      </c>
      <c r="K257" s="1182" t="s">
        <v>1811</v>
      </c>
      <c r="L257" s="1182" t="s">
        <v>1812</v>
      </c>
      <c r="M257" s="1182" t="s">
        <v>1803</v>
      </c>
      <c r="N257" s="1182" t="s">
        <v>1939</v>
      </c>
      <c r="O257" s="1182" t="s">
        <v>1554</v>
      </c>
      <c r="P257" s="1182" t="s">
        <v>1575</v>
      </c>
      <c r="Q257" s="1182" t="s">
        <v>1574</v>
      </c>
      <c r="R257" s="1182" t="s">
        <v>1573</v>
      </c>
      <c r="S257" s="1182" t="s">
        <v>1577</v>
      </c>
      <c r="T257" s="1182" t="s">
        <v>1814</v>
      </c>
      <c r="U257" s="1182" t="s">
        <v>1815</v>
      </c>
      <c r="V257" s="1182">
        <v>0</v>
      </c>
      <c r="W257" s="1182">
        <v>0</v>
      </c>
      <c r="X257" s="1182">
        <v>0</v>
      </c>
      <c r="Y257" s="1183">
        <v>600</v>
      </c>
      <c r="Z257" s="1182" t="s">
        <v>1940</v>
      </c>
      <c r="AA257" s="1182" t="s">
        <v>1941</v>
      </c>
      <c r="AB257" s="1182">
        <v>600</v>
      </c>
      <c r="AC257" s="1182" t="s">
        <v>1942</v>
      </c>
      <c r="AD257" s="1182" t="s">
        <v>1577</v>
      </c>
      <c r="AE257" s="1182">
        <v>600</v>
      </c>
      <c r="AF257" s="1182" t="s">
        <v>1943</v>
      </c>
      <c r="AG257" s="1182" t="s">
        <v>1944</v>
      </c>
      <c r="AH257" s="1182">
        <v>0</v>
      </c>
      <c r="AI257" s="1182">
        <v>600</v>
      </c>
      <c r="AJ257" s="1182" t="s">
        <v>2511</v>
      </c>
      <c r="AL257" s="1186" t="s">
        <v>2512</v>
      </c>
      <c r="AM257" s="1182">
        <v>1</v>
      </c>
      <c r="AN257" s="1182">
        <v>0</v>
      </c>
      <c r="AO257" s="1182">
        <v>0</v>
      </c>
      <c r="AP257" s="1182">
        <v>0</v>
      </c>
      <c r="AQ257" s="1182" t="s">
        <v>1639</v>
      </c>
      <c r="AS257" s="1186" t="s">
        <v>1943</v>
      </c>
      <c r="AT257" s="1186" t="s">
        <v>1944</v>
      </c>
      <c r="AV257" s="1183">
        <v>276</v>
      </c>
      <c r="AW257" s="1183">
        <v>0</v>
      </c>
      <c r="AX257" s="1183">
        <v>0</v>
      </c>
      <c r="AY257" s="1538">
        <v>276</v>
      </c>
      <c r="AZ257" s="1183">
        <v>0</v>
      </c>
      <c r="BA257" s="1183">
        <v>324</v>
      </c>
      <c r="BB257" s="1540">
        <v>324</v>
      </c>
      <c r="BC257" s="1540">
        <v>600</v>
      </c>
      <c r="BD257" s="1540">
        <v>0</v>
      </c>
      <c r="BF257" s="1539">
        <f t="shared" si="60"/>
        <v>276</v>
      </c>
      <c r="BG257" s="1539">
        <f t="shared" si="61"/>
        <v>0</v>
      </c>
      <c r="BH257" s="1539">
        <f t="shared" si="62"/>
        <v>0</v>
      </c>
      <c r="BI257" s="1539">
        <f t="shared" si="63"/>
        <v>276</v>
      </c>
      <c r="BJ257" s="1539">
        <f t="shared" si="64"/>
        <v>0</v>
      </c>
      <c r="BK257" s="1539">
        <f t="shared" si="65"/>
        <v>324</v>
      </c>
      <c r="BL257" s="1539">
        <f t="shared" si="66"/>
        <v>324</v>
      </c>
      <c r="BM257" s="1539">
        <f t="shared" si="67"/>
        <v>600</v>
      </c>
      <c r="BO257" s="1183"/>
      <c r="BQ257" s="1182">
        <f t="shared" si="68"/>
        <v>0</v>
      </c>
      <c r="BR257" s="1182">
        <f t="shared" si="69"/>
        <v>0</v>
      </c>
      <c r="BS257" s="1182">
        <f t="shared" si="70"/>
        <v>0</v>
      </c>
      <c r="BT257" s="1182">
        <f t="shared" si="70"/>
        <v>0</v>
      </c>
    </row>
    <row r="258" spans="1:72" ht="13.5" customHeight="1">
      <c r="A258" s="1182" t="s">
        <v>1803</v>
      </c>
      <c r="B258" s="1182" t="s">
        <v>1804</v>
      </c>
      <c r="C258" s="1182" t="s">
        <v>1639</v>
      </c>
      <c r="D258" s="1182" t="s">
        <v>2422</v>
      </c>
      <c r="E258" s="1182" t="s">
        <v>2423</v>
      </c>
      <c r="F258" s="1182" t="s">
        <v>2509</v>
      </c>
      <c r="G258" s="1182" t="s">
        <v>2509</v>
      </c>
      <c r="H258" s="1182" t="s">
        <v>2424</v>
      </c>
      <c r="I258" s="1182" t="s">
        <v>1937</v>
      </c>
      <c r="J258" s="1182" t="s">
        <v>2510</v>
      </c>
      <c r="K258" s="1182" t="s">
        <v>1811</v>
      </c>
      <c r="L258" s="1182" t="s">
        <v>1956</v>
      </c>
      <c r="M258" s="1182" t="s">
        <v>1803</v>
      </c>
      <c r="N258" s="1182" t="s">
        <v>1939</v>
      </c>
      <c r="O258" s="1182" t="s">
        <v>1554</v>
      </c>
      <c r="P258" s="1182" t="s">
        <v>1575</v>
      </c>
      <c r="Q258" s="1182" t="s">
        <v>1574</v>
      </c>
      <c r="R258" s="1182" t="s">
        <v>1573</v>
      </c>
      <c r="S258" s="1182" t="s">
        <v>1577</v>
      </c>
      <c r="T258" s="1182" t="s">
        <v>1814</v>
      </c>
      <c r="U258" s="1182" t="s">
        <v>1815</v>
      </c>
      <c r="V258" s="1182">
        <v>0</v>
      </c>
      <c r="W258" s="1182">
        <v>0</v>
      </c>
      <c r="X258" s="1182">
        <v>0</v>
      </c>
      <c r="Y258" s="1183">
        <v>300</v>
      </c>
      <c r="Z258" s="1182" t="s">
        <v>1940</v>
      </c>
      <c r="AA258" s="1182" t="s">
        <v>1941</v>
      </c>
      <c r="AB258" s="1182">
        <v>300</v>
      </c>
      <c r="AC258" s="1182" t="s">
        <v>1942</v>
      </c>
      <c r="AD258" s="1182" t="s">
        <v>1577</v>
      </c>
      <c r="AE258" s="1182">
        <v>300</v>
      </c>
      <c r="AF258" s="1182" t="s">
        <v>1943</v>
      </c>
      <c r="AG258" s="1182" t="s">
        <v>1944</v>
      </c>
      <c r="AH258" s="1182">
        <v>0</v>
      </c>
      <c r="AI258" s="1182">
        <v>300</v>
      </c>
      <c r="AJ258" s="1182" t="s">
        <v>2513</v>
      </c>
      <c r="AL258" s="1186" t="s">
        <v>2514</v>
      </c>
      <c r="AM258" s="1182">
        <v>1</v>
      </c>
      <c r="AN258" s="1182">
        <v>0</v>
      </c>
      <c r="AO258" s="1182">
        <v>0</v>
      </c>
      <c r="AP258" s="1182">
        <v>0</v>
      </c>
      <c r="AQ258" s="1182" t="s">
        <v>1639</v>
      </c>
      <c r="AS258" s="1186" t="s">
        <v>1943</v>
      </c>
      <c r="AT258" s="1186" t="s">
        <v>1944</v>
      </c>
      <c r="AV258" s="1183">
        <v>138</v>
      </c>
      <c r="AW258" s="1183">
        <v>0</v>
      </c>
      <c r="AX258" s="1183">
        <v>0</v>
      </c>
      <c r="AY258" s="1538">
        <v>138</v>
      </c>
      <c r="AZ258" s="1183">
        <v>0</v>
      </c>
      <c r="BA258" s="1183">
        <v>162</v>
      </c>
      <c r="BB258" s="1540">
        <v>162</v>
      </c>
      <c r="BC258" s="1540">
        <v>300</v>
      </c>
      <c r="BD258" s="1540">
        <v>0</v>
      </c>
      <c r="BF258" s="1539">
        <f t="shared" si="60"/>
        <v>138</v>
      </c>
      <c r="BG258" s="1539">
        <f t="shared" si="61"/>
        <v>0</v>
      </c>
      <c r="BH258" s="1539">
        <f t="shared" si="62"/>
        <v>0</v>
      </c>
      <c r="BI258" s="1539">
        <f t="shared" si="63"/>
        <v>138</v>
      </c>
      <c r="BJ258" s="1539">
        <f t="shared" si="64"/>
        <v>0</v>
      </c>
      <c r="BK258" s="1539">
        <f t="shared" si="65"/>
        <v>162</v>
      </c>
      <c r="BL258" s="1539">
        <f t="shared" si="66"/>
        <v>162</v>
      </c>
      <c r="BM258" s="1539">
        <f t="shared" si="67"/>
        <v>300</v>
      </c>
      <c r="BO258" s="1183"/>
      <c r="BQ258" s="1182">
        <f t="shared" si="68"/>
        <v>0</v>
      </c>
      <c r="BR258" s="1182">
        <f t="shared" si="69"/>
        <v>0</v>
      </c>
      <c r="BS258" s="1182">
        <f t="shared" si="70"/>
        <v>0</v>
      </c>
      <c r="BT258" s="1182">
        <f t="shared" si="70"/>
        <v>0</v>
      </c>
    </row>
    <row r="259" spans="1:72" ht="13.5" customHeight="1">
      <c r="A259" s="1182" t="s">
        <v>1803</v>
      </c>
      <c r="B259" s="1182" t="s">
        <v>1804</v>
      </c>
      <c r="C259" s="1182" t="s">
        <v>1639</v>
      </c>
      <c r="D259" s="1182" t="s">
        <v>2422</v>
      </c>
      <c r="E259" s="1182" t="s">
        <v>2423</v>
      </c>
      <c r="F259" s="1182" t="s">
        <v>2308</v>
      </c>
      <c r="G259" s="1182" t="s">
        <v>2308</v>
      </c>
      <c r="H259" s="1182" t="s">
        <v>2424</v>
      </c>
      <c r="I259" s="1182" t="s">
        <v>1937</v>
      </c>
      <c r="J259" s="1182" t="s">
        <v>2445</v>
      </c>
      <c r="K259" s="1182" t="s">
        <v>1811</v>
      </c>
      <c r="L259" s="1182" t="s">
        <v>1812</v>
      </c>
      <c r="M259" s="1182" t="s">
        <v>1803</v>
      </c>
      <c r="N259" s="1182" t="s">
        <v>1939</v>
      </c>
      <c r="O259" s="1182" t="s">
        <v>1554</v>
      </c>
      <c r="P259" s="1182" t="s">
        <v>1575</v>
      </c>
      <c r="Q259" s="1182" t="s">
        <v>1574</v>
      </c>
      <c r="R259" s="1182" t="s">
        <v>1573</v>
      </c>
      <c r="S259" s="1182" t="s">
        <v>1577</v>
      </c>
      <c r="T259" s="1182" t="s">
        <v>1814</v>
      </c>
      <c r="U259" s="1182" t="s">
        <v>1815</v>
      </c>
      <c r="V259" s="1182">
        <v>0</v>
      </c>
      <c r="W259" s="1182">
        <v>0</v>
      </c>
      <c r="X259" s="1182">
        <v>0</v>
      </c>
      <c r="Y259" s="1183">
        <v>300</v>
      </c>
      <c r="Z259" s="1182" t="s">
        <v>1940</v>
      </c>
      <c r="AA259" s="1182" t="s">
        <v>1941</v>
      </c>
      <c r="AB259" s="1182">
        <v>300</v>
      </c>
      <c r="AC259" s="1182" t="s">
        <v>1942</v>
      </c>
      <c r="AD259" s="1182" t="s">
        <v>1577</v>
      </c>
      <c r="AE259" s="1182">
        <v>300</v>
      </c>
      <c r="AF259" s="1182" t="s">
        <v>1943</v>
      </c>
      <c r="AG259" s="1182" t="s">
        <v>1944</v>
      </c>
      <c r="AH259" s="1182">
        <v>0</v>
      </c>
      <c r="AI259" s="1182">
        <v>300</v>
      </c>
      <c r="AJ259" s="1182" t="s">
        <v>2446</v>
      </c>
      <c r="AL259" s="1186" t="s">
        <v>2447</v>
      </c>
      <c r="AM259" s="1182">
        <v>1</v>
      </c>
      <c r="AN259" s="1182">
        <v>0</v>
      </c>
      <c r="AO259" s="1182">
        <v>0</v>
      </c>
      <c r="AP259" s="1182">
        <v>0</v>
      </c>
      <c r="AQ259" s="1182" t="s">
        <v>1639</v>
      </c>
      <c r="AS259" s="1186" t="s">
        <v>1943</v>
      </c>
      <c r="AT259" s="1186" t="s">
        <v>1944</v>
      </c>
      <c r="AV259" s="1183">
        <v>138</v>
      </c>
      <c r="AW259" s="1183">
        <v>0</v>
      </c>
      <c r="AX259" s="1183">
        <v>0</v>
      </c>
      <c r="AY259" s="1538">
        <v>138</v>
      </c>
      <c r="AZ259" s="1183">
        <v>0</v>
      </c>
      <c r="BA259" s="1183">
        <v>162</v>
      </c>
      <c r="BB259" s="1540">
        <v>162</v>
      </c>
      <c r="BC259" s="1540">
        <v>300</v>
      </c>
      <c r="BD259" s="1540">
        <v>0</v>
      </c>
      <c r="BF259" s="1539">
        <f t="shared" si="60"/>
        <v>138</v>
      </c>
      <c r="BG259" s="1539">
        <f t="shared" si="61"/>
        <v>0</v>
      </c>
      <c r="BH259" s="1539">
        <f t="shared" si="62"/>
        <v>0</v>
      </c>
      <c r="BI259" s="1539">
        <f t="shared" si="63"/>
        <v>138</v>
      </c>
      <c r="BJ259" s="1539">
        <f t="shared" si="64"/>
        <v>0</v>
      </c>
      <c r="BK259" s="1539">
        <f t="shared" si="65"/>
        <v>162</v>
      </c>
      <c r="BL259" s="1539">
        <f t="shared" si="66"/>
        <v>162</v>
      </c>
      <c r="BM259" s="1539">
        <f t="shared" si="67"/>
        <v>300</v>
      </c>
      <c r="BO259" s="1183"/>
      <c r="BQ259" s="1182">
        <f t="shared" si="68"/>
        <v>0</v>
      </c>
      <c r="BR259" s="1182">
        <f t="shared" si="69"/>
        <v>0</v>
      </c>
      <c r="BS259" s="1182">
        <f t="shared" si="70"/>
        <v>0</v>
      </c>
      <c r="BT259" s="1182">
        <f t="shared" si="70"/>
        <v>0</v>
      </c>
    </row>
    <row r="260" spans="1:72" ht="13.5" customHeight="1">
      <c r="A260" s="1182" t="s">
        <v>1803</v>
      </c>
      <c r="B260" s="1182" t="s">
        <v>1804</v>
      </c>
      <c r="C260" s="1182" t="s">
        <v>1639</v>
      </c>
      <c r="D260" s="1182" t="s">
        <v>2422</v>
      </c>
      <c r="E260" s="1182" t="s">
        <v>2423</v>
      </c>
      <c r="F260" s="1182" t="s">
        <v>2448</v>
      </c>
      <c r="G260" s="1182" t="s">
        <v>2448</v>
      </c>
      <c r="H260" s="1182" t="s">
        <v>2424</v>
      </c>
      <c r="I260" s="1182" t="s">
        <v>1937</v>
      </c>
      <c r="J260" s="1182" t="s">
        <v>2449</v>
      </c>
      <c r="K260" s="1182" t="s">
        <v>1811</v>
      </c>
      <c r="L260" s="1182" t="s">
        <v>1812</v>
      </c>
      <c r="M260" s="1182" t="s">
        <v>1803</v>
      </c>
      <c r="N260" s="1182" t="s">
        <v>1939</v>
      </c>
      <c r="O260" s="1182" t="s">
        <v>1554</v>
      </c>
      <c r="P260" s="1182" t="s">
        <v>1575</v>
      </c>
      <c r="Q260" s="1182" t="s">
        <v>1574</v>
      </c>
      <c r="R260" s="1182" t="s">
        <v>1573</v>
      </c>
      <c r="S260" s="1182" t="s">
        <v>1577</v>
      </c>
      <c r="T260" s="1182" t="s">
        <v>1814</v>
      </c>
      <c r="U260" s="1182" t="s">
        <v>1815</v>
      </c>
      <c r="V260" s="1182">
        <v>0</v>
      </c>
      <c r="W260" s="1182">
        <v>0</v>
      </c>
      <c r="X260" s="1182">
        <v>0</v>
      </c>
      <c r="Y260" s="1183">
        <v>600</v>
      </c>
      <c r="Z260" s="1182" t="s">
        <v>1940</v>
      </c>
      <c r="AA260" s="1182" t="s">
        <v>1941</v>
      </c>
      <c r="AB260" s="1182">
        <v>600</v>
      </c>
      <c r="AC260" s="1182" t="s">
        <v>1942</v>
      </c>
      <c r="AD260" s="1182" t="s">
        <v>1577</v>
      </c>
      <c r="AE260" s="1182">
        <v>600</v>
      </c>
      <c r="AF260" s="1182" t="s">
        <v>1943</v>
      </c>
      <c r="AG260" s="1182" t="s">
        <v>1944</v>
      </c>
      <c r="AH260" s="1182">
        <v>0</v>
      </c>
      <c r="AI260" s="1182">
        <v>600</v>
      </c>
      <c r="AJ260" s="1182" t="s">
        <v>2450</v>
      </c>
      <c r="AL260" s="1186" t="s">
        <v>2451</v>
      </c>
      <c r="AM260" s="1182">
        <v>1</v>
      </c>
      <c r="AN260" s="1182">
        <v>0</v>
      </c>
      <c r="AO260" s="1182">
        <v>0</v>
      </c>
      <c r="AP260" s="1182">
        <v>0</v>
      </c>
      <c r="AQ260" s="1182" t="s">
        <v>1639</v>
      </c>
      <c r="AS260" s="1186" t="s">
        <v>1943</v>
      </c>
      <c r="AT260" s="1186" t="s">
        <v>1944</v>
      </c>
      <c r="AV260" s="1183">
        <v>276</v>
      </c>
      <c r="AW260" s="1183">
        <v>0</v>
      </c>
      <c r="AX260" s="1183">
        <v>0</v>
      </c>
      <c r="AY260" s="1538">
        <v>276</v>
      </c>
      <c r="AZ260" s="1183">
        <v>0</v>
      </c>
      <c r="BA260" s="1183">
        <v>324</v>
      </c>
      <c r="BB260" s="1540">
        <v>324</v>
      </c>
      <c r="BC260" s="1540">
        <v>600</v>
      </c>
      <c r="BD260" s="1540">
        <v>0</v>
      </c>
      <c r="BF260" s="1539">
        <f t="shared" si="60"/>
        <v>276</v>
      </c>
      <c r="BG260" s="1539">
        <f t="shared" si="61"/>
        <v>0</v>
      </c>
      <c r="BH260" s="1539">
        <f t="shared" si="62"/>
        <v>0</v>
      </c>
      <c r="BI260" s="1539">
        <f t="shared" si="63"/>
        <v>276</v>
      </c>
      <c r="BJ260" s="1539">
        <f t="shared" si="64"/>
        <v>0</v>
      </c>
      <c r="BK260" s="1539">
        <f t="shared" si="65"/>
        <v>324</v>
      </c>
      <c r="BL260" s="1539">
        <f t="shared" si="66"/>
        <v>324</v>
      </c>
      <c r="BM260" s="1539">
        <f t="shared" si="67"/>
        <v>600</v>
      </c>
      <c r="BO260" s="1183"/>
      <c r="BQ260" s="1182">
        <f t="shared" si="68"/>
        <v>0</v>
      </c>
      <c r="BR260" s="1182">
        <f t="shared" si="69"/>
        <v>0</v>
      </c>
      <c r="BS260" s="1182">
        <f t="shared" si="70"/>
        <v>0</v>
      </c>
      <c r="BT260" s="1182">
        <f t="shared" si="70"/>
        <v>0</v>
      </c>
    </row>
    <row r="261" spans="1:72" ht="13.5" customHeight="1">
      <c r="A261" s="1182" t="s">
        <v>1803</v>
      </c>
      <c r="B261" s="1182" t="s">
        <v>1804</v>
      </c>
      <c r="C261" s="1182" t="s">
        <v>1639</v>
      </c>
      <c r="D261" s="1182" t="s">
        <v>2422</v>
      </c>
      <c r="E261" s="1182" t="s">
        <v>2423</v>
      </c>
      <c r="F261" s="1182" t="s">
        <v>2519</v>
      </c>
      <c r="G261" s="1182" t="s">
        <v>2519</v>
      </c>
      <c r="H261" s="1182" t="s">
        <v>2424</v>
      </c>
      <c r="I261" s="1182" t="s">
        <v>1937</v>
      </c>
      <c r="J261" s="1182" t="s">
        <v>2520</v>
      </c>
      <c r="K261" s="1182" t="s">
        <v>1811</v>
      </c>
      <c r="L261" s="1182" t="s">
        <v>1812</v>
      </c>
      <c r="M261" s="1182" t="s">
        <v>1803</v>
      </c>
      <c r="N261" s="1182" t="s">
        <v>1939</v>
      </c>
      <c r="O261" s="1182" t="s">
        <v>1554</v>
      </c>
      <c r="P261" s="1182" t="s">
        <v>1575</v>
      </c>
      <c r="Q261" s="1182" t="s">
        <v>1574</v>
      </c>
      <c r="R261" s="1182" t="s">
        <v>1573</v>
      </c>
      <c r="S261" s="1182" t="s">
        <v>1577</v>
      </c>
      <c r="T261" s="1182" t="s">
        <v>1814</v>
      </c>
      <c r="U261" s="1182" t="s">
        <v>1815</v>
      </c>
      <c r="V261" s="1182">
        <v>0</v>
      </c>
      <c r="W261" s="1182">
        <v>0</v>
      </c>
      <c r="X261" s="1182">
        <v>0</v>
      </c>
      <c r="Y261" s="1183">
        <v>600</v>
      </c>
      <c r="Z261" s="1182" t="s">
        <v>1940</v>
      </c>
      <c r="AA261" s="1182" t="s">
        <v>1941</v>
      </c>
      <c r="AB261" s="1182">
        <v>600</v>
      </c>
      <c r="AC261" s="1182" t="s">
        <v>1942</v>
      </c>
      <c r="AD261" s="1182" t="s">
        <v>1577</v>
      </c>
      <c r="AE261" s="1182">
        <v>600</v>
      </c>
      <c r="AF261" s="1182" t="s">
        <v>1943</v>
      </c>
      <c r="AG261" s="1182" t="s">
        <v>1944</v>
      </c>
      <c r="AH261" s="1182">
        <v>0</v>
      </c>
      <c r="AI261" s="1182">
        <v>600</v>
      </c>
      <c r="AJ261" s="1182" t="s">
        <v>2521</v>
      </c>
      <c r="AL261" s="1186" t="s">
        <v>2522</v>
      </c>
      <c r="AM261" s="1182">
        <v>1</v>
      </c>
      <c r="AN261" s="1182">
        <v>0</v>
      </c>
      <c r="AO261" s="1182">
        <v>0</v>
      </c>
      <c r="AP261" s="1182">
        <v>0</v>
      </c>
      <c r="AQ261" s="1182" t="s">
        <v>1639</v>
      </c>
      <c r="AS261" s="1186" t="s">
        <v>1943</v>
      </c>
      <c r="AT261" s="1186" t="s">
        <v>1944</v>
      </c>
      <c r="AV261" s="1183">
        <v>276</v>
      </c>
      <c r="AW261" s="1183">
        <v>0</v>
      </c>
      <c r="AX261" s="1183">
        <v>0</v>
      </c>
      <c r="AY261" s="1538">
        <v>276</v>
      </c>
      <c r="AZ261" s="1183">
        <v>0</v>
      </c>
      <c r="BA261" s="1183">
        <v>324</v>
      </c>
      <c r="BB261" s="1540">
        <v>324</v>
      </c>
      <c r="BC261" s="1540">
        <v>600</v>
      </c>
      <c r="BD261" s="1540">
        <v>0</v>
      </c>
      <c r="BF261" s="1539">
        <f t="shared" si="60"/>
        <v>276</v>
      </c>
      <c r="BG261" s="1539">
        <f t="shared" si="61"/>
        <v>0</v>
      </c>
      <c r="BH261" s="1539">
        <f t="shared" si="62"/>
        <v>0</v>
      </c>
      <c r="BI261" s="1539">
        <f t="shared" si="63"/>
        <v>276</v>
      </c>
      <c r="BJ261" s="1539">
        <f t="shared" si="64"/>
        <v>0</v>
      </c>
      <c r="BK261" s="1539">
        <f t="shared" si="65"/>
        <v>324</v>
      </c>
      <c r="BL261" s="1539">
        <f t="shared" si="66"/>
        <v>324</v>
      </c>
      <c r="BM261" s="1539">
        <f t="shared" si="67"/>
        <v>600</v>
      </c>
      <c r="BO261" s="1183"/>
      <c r="BQ261" s="1182">
        <f t="shared" si="68"/>
        <v>0</v>
      </c>
      <c r="BR261" s="1182">
        <f t="shared" si="69"/>
        <v>0</v>
      </c>
      <c r="BS261" s="1182">
        <f t="shared" si="70"/>
        <v>0</v>
      </c>
      <c r="BT261" s="1182">
        <f t="shared" si="70"/>
        <v>0</v>
      </c>
    </row>
    <row r="262" spans="1:72" ht="13.5" customHeight="1">
      <c r="A262" s="1182" t="s">
        <v>1803</v>
      </c>
      <c r="B262" s="1182" t="s">
        <v>1804</v>
      </c>
      <c r="C262" s="1182" t="s">
        <v>1639</v>
      </c>
      <c r="D262" s="1182" t="s">
        <v>2523</v>
      </c>
      <c r="E262" s="1182" t="s">
        <v>2524</v>
      </c>
      <c r="F262" s="1182" t="s">
        <v>2226</v>
      </c>
      <c r="G262" s="1182" t="s">
        <v>2226</v>
      </c>
      <c r="H262" s="1182" t="s">
        <v>2525</v>
      </c>
      <c r="I262" s="1182" t="s">
        <v>1937</v>
      </c>
      <c r="J262" s="1182" t="s">
        <v>2526</v>
      </c>
      <c r="K262" s="1182" t="s">
        <v>1811</v>
      </c>
      <c r="L262" s="1182" t="s">
        <v>1812</v>
      </c>
      <c r="M262" s="1182" t="s">
        <v>1803</v>
      </c>
      <c r="N262" s="1182" t="s">
        <v>1939</v>
      </c>
      <c r="O262" s="1182" t="s">
        <v>1554</v>
      </c>
      <c r="P262" s="1182" t="s">
        <v>1575</v>
      </c>
      <c r="Q262" s="1182" t="s">
        <v>1574</v>
      </c>
      <c r="R262" s="1182" t="s">
        <v>1573</v>
      </c>
      <c r="S262" s="1182" t="s">
        <v>1577</v>
      </c>
      <c r="T262" s="1182" t="s">
        <v>1814</v>
      </c>
      <c r="U262" s="1182" t="s">
        <v>1815</v>
      </c>
      <c r="V262" s="1182">
        <v>0</v>
      </c>
      <c r="W262" s="1182">
        <v>0</v>
      </c>
      <c r="X262" s="1182">
        <v>0</v>
      </c>
      <c r="Y262" s="1183">
        <v>600</v>
      </c>
      <c r="Z262" s="1182" t="s">
        <v>1940</v>
      </c>
      <c r="AA262" s="1182" t="s">
        <v>1941</v>
      </c>
      <c r="AB262" s="1182">
        <v>600</v>
      </c>
      <c r="AC262" s="1182" t="s">
        <v>1942</v>
      </c>
      <c r="AD262" s="1182" t="s">
        <v>1577</v>
      </c>
      <c r="AE262" s="1182">
        <v>600</v>
      </c>
      <c r="AF262" s="1182" t="s">
        <v>1943</v>
      </c>
      <c r="AG262" s="1182" t="s">
        <v>1944</v>
      </c>
      <c r="AH262" s="1182">
        <v>0</v>
      </c>
      <c r="AI262" s="1182">
        <v>600</v>
      </c>
      <c r="AJ262" s="1182" t="s">
        <v>2527</v>
      </c>
      <c r="AL262" s="1186" t="s">
        <v>2528</v>
      </c>
      <c r="AM262" s="1182">
        <v>1</v>
      </c>
      <c r="AN262" s="1182">
        <v>0</v>
      </c>
      <c r="AO262" s="1182">
        <v>0</v>
      </c>
      <c r="AP262" s="1182">
        <v>0</v>
      </c>
      <c r="AQ262" s="1182" t="s">
        <v>1639</v>
      </c>
      <c r="AS262" s="1186" t="s">
        <v>1943</v>
      </c>
      <c r="AT262" s="1186" t="s">
        <v>1944</v>
      </c>
      <c r="AV262" s="1183">
        <v>276</v>
      </c>
      <c r="AW262" s="1183">
        <v>0</v>
      </c>
      <c r="AX262" s="1183">
        <v>0</v>
      </c>
      <c r="AY262" s="1538">
        <v>276</v>
      </c>
      <c r="AZ262" s="1183">
        <v>0</v>
      </c>
      <c r="BA262" s="1183">
        <v>324</v>
      </c>
      <c r="BB262" s="1540">
        <v>324</v>
      </c>
      <c r="BC262" s="1540">
        <v>600</v>
      </c>
      <c r="BD262" s="1540">
        <v>0</v>
      </c>
      <c r="BF262" s="1539">
        <f t="shared" si="60"/>
        <v>276</v>
      </c>
      <c r="BG262" s="1539">
        <f t="shared" si="61"/>
        <v>0</v>
      </c>
      <c r="BH262" s="1539">
        <f t="shared" si="62"/>
        <v>0</v>
      </c>
      <c r="BI262" s="1539">
        <f t="shared" si="63"/>
        <v>276</v>
      </c>
      <c r="BJ262" s="1539">
        <f t="shared" si="64"/>
        <v>0</v>
      </c>
      <c r="BK262" s="1539">
        <f t="shared" si="65"/>
        <v>324</v>
      </c>
      <c r="BL262" s="1539">
        <f t="shared" si="66"/>
        <v>324</v>
      </c>
      <c r="BM262" s="1539">
        <f t="shared" si="67"/>
        <v>600</v>
      </c>
      <c r="BO262" s="1183"/>
      <c r="BQ262" s="1182">
        <f t="shared" si="68"/>
        <v>0</v>
      </c>
      <c r="BR262" s="1182">
        <f t="shared" si="69"/>
        <v>0</v>
      </c>
      <c r="BS262" s="1182">
        <f t="shared" si="70"/>
        <v>0</v>
      </c>
      <c r="BT262" s="1182">
        <f t="shared" si="70"/>
        <v>0</v>
      </c>
    </row>
    <row r="263" spans="1:72" ht="13.5" customHeight="1">
      <c r="A263" s="1182" t="s">
        <v>1803</v>
      </c>
      <c r="B263" s="1182" t="s">
        <v>1804</v>
      </c>
      <c r="C263" s="1182" t="s">
        <v>1639</v>
      </c>
      <c r="D263" s="1182" t="s">
        <v>1805</v>
      </c>
      <c r="E263" s="1182" t="s">
        <v>1806</v>
      </c>
      <c r="F263" s="1182" t="s">
        <v>2529</v>
      </c>
      <c r="G263" s="1182" t="s">
        <v>2529</v>
      </c>
      <c r="H263" s="1182" t="s">
        <v>2530</v>
      </c>
      <c r="I263" s="1182" t="s">
        <v>1937</v>
      </c>
      <c r="J263" s="1182" t="s">
        <v>2531</v>
      </c>
      <c r="K263" s="1182" t="s">
        <v>1811</v>
      </c>
      <c r="L263" s="1182" t="s">
        <v>1812</v>
      </c>
      <c r="M263" s="1182" t="s">
        <v>1803</v>
      </c>
      <c r="N263" s="1182" t="s">
        <v>1939</v>
      </c>
      <c r="O263" s="1182" t="s">
        <v>1554</v>
      </c>
      <c r="P263" s="1182" t="s">
        <v>1575</v>
      </c>
      <c r="Q263" s="1182" t="s">
        <v>1574</v>
      </c>
      <c r="R263" s="1182" t="s">
        <v>1573</v>
      </c>
      <c r="S263" s="1182" t="s">
        <v>1577</v>
      </c>
      <c r="T263" s="1182" t="s">
        <v>1814</v>
      </c>
      <c r="U263" s="1182" t="s">
        <v>1815</v>
      </c>
      <c r="V263" s="1182">
        <v>0</v>
      </c>
      <c r="W263" s="1182">
        <v>0</v>
      </c>
      <c r="X263" s="1182">
        <v>0</v>
      </c>
      <c r="Y263" s="1183">
        <v>600</v>
      </c>
      <c r="Z263" s="1182" t="s">
        <v>1940</v>
      </c>
      <c r="AA263" s="1182" t="s">
        <v>1941</v>
      </c>
      <c r="AB263" s="1182">
        <v>600</v>
      </c>
      <c r="AC263" s="1182" t="s">
        <v>1942</v>
      </c>
      <c r="AD263" s="1182" t="s">
        <v>1577</v>
      </c>
      <c r="AE263" s="1182">
        <v>600</v>
      </c>
      <c r="AF263" s="1182" t="s">
        <v>1943</v>
      </c>
      <c r="AG263" s="1182" t="s">
        <v>1944</v>
      </c>
      <c r="AH263" s="1182">
        <v>0</v>
      </c>
      <c r="AI263" s="1182">
        <v>600</v>
      </c>
      <c r="AJ263" s="1182" t="s">
        <v>2532</v>
      </c>
      <c r="AL263" s="1186" t="s">
        <v>2533</v>
      </c>
      <c r="AM263" s="1182">
        <v>1</v>
      </c>
      <c r="AN263" s="1182">
        <v>0</v>
      </c>
      <c r="AO263" s="1182">
        <v>0</v>
      </c>
      <c r="AP263" s="1182">
        <v>0</v>
      </c>
      <c r="AQ263" s="1182" t="s">
        <v>1639</v>
      </c>
      <c r="AS263" s="1186" t="s">
        <v>1943</v>
      </c>
      <c r="AT263" s="1186" t="s">
        <v>1944</v>
      </c>
      <c r="AV263" s="1183">
        <v>276</v>
      </c>
      <c r="AW263" s="1183">
        <v>0</v>
      </c>
      <c r="AX263" s="1183">
        <v>0</v>
      </c>
      <c r="AY263" s="1538">
        <v>276</v>
      </c>
      <c r="AZ263" s="1183">
        <v>0</v>
      </c>
      <c r="BA263" s="1183">
        <v>324</v>
      </c>
      <c r="BB263" s="1540">
        <v>324</v>
      </c>
      <c r="BC263" s="1540">
        <v>600</v>
      </c>
      <c r="BD263" s="1540">
        <v>0</v>
      </c>
      <c r="BF263" s="1539">
        <f t="shared" ref="BF263:BF326" si="71">+IFERROR(ROUND(AV263*100/(100+$AT263),0),AV263)</f>
        <v>276</v>
      </c>
      <c r="BG263" s="1539">
        <f t="shared" ref="BG263:BG326" si="72">+IFERROR(ROUND(AW263*100/(100+$AT263),0),AW263)</f>
        <v>0</v>
      </c>
      <c r="BH263" s="1539">
        <f t="shared" ref="BH263:BH326" si="73">+IFERROR(ROUND(AX263*100/(100+$AT263),0),AX263)</f>
        <v>0</v>
      </c>
      <c r="BI263" s="1539">
        <f t="shared" ref="BI263:BI326" si="74">SUM(BF263:BH263)</f>
        <v>276</v>
      </c>
      <c r="BJ263" s="1539">
        <f t="shared" ref="BJ263:BJ326" si="75">+IFERROR(ROUND(AZ263*100/(100+$AT263),0),AZ263)</f>
        <v>0</v>
      </c>
      <c r="BK263" s="1539">
        <f t="shared" ref="BK263:BK326" si="76">+IFERROR(ROUND(BA263*100/(100+$AT263),0),BA263)</f>
        <v>324</v>
      </c>
      <c r="BL263" s="1539">
        <f t="shared" ref="BL263:BL326" si="77">SUM(BJ263:BK263)</f>
        <v>324</v>
      </c>
      <c r="BM263" s="1539">
        <f t="shared" ref="BM263:BM326" si="78">+BI263+BL263</f>
        <v>600</v>
      </c>
      <c r="BO263" s="1183"/>
      <c r="BQ263" s="1182">
        <f t="shared" ref="BQ263:BQ326" si="79">AY263*100/(100+$AT263)-BI263</f>
        <v>0</v>
      </c>
      <c r="BR263" s="1182">
        <f t="shared" ref="BR263:BR326" si="80">BB263*100/(100+$AT263)-BL263</f>
        <v>0</v>
      </c>
      <c r="BS263" s="1182">
        <f t="shared" si="70"/>
        <v>0</v>
      </c>
      <c r="BT263" s="1182">
        <f t="shared" si="70"/>
        <v>0</v>
      </c>
    </row>
    <row r="264" spans="1:72" ht="13.5" customHeight="1">
      <c r="A264" s="1182" t="s">
        <v>1803</v>
      </c>
      <c r="B264" s="1182" t="s">
        <v>1804</v>
      </c>
      <c r="C264" s="1182" t="s">
        <v>1639</v>
      </c>
      <c r="D264" s="1182" t="s">
        <v>2534</v>
      </c>
      <c r="E264" s="1182" t="s">
        <v>2535</v>
      </c>
      <c r="F264" s="1182" t="s">
        <v>2557</v>
      </c>
      <c r="G264" s="1182" t="s">
        <v>2557</v>
      </c>
      <c r="H264" s="1182" t="s">
        <v>2536</v>
      </c>
      <c r="I264" s="1182" t="s">
        <v>1937</v>
      </c>
      <c r="J264" s="1182" t="s">
        <v>2558</v>
      </c>
      <c r="K264" s="1182" t="s">
        <v>1811</v>
      </c>
      <c r="L264" s="1182" t="s">
        <v>1812</v>
      </c>
      <c r="M264" s="1182" t="s">
        <v>1803</v>
      </c>
      <c r="N264" s="1182" t="s">
        <v>1939</v>
      </c>
      <c r="O264" s="1182" t="s">
        <v>1554</v>
      </c>
      <c r="P264" s="1182" t="s">
        <v>1575</v>
      </c>
      <c r="Q264" s="1182" t="s">
        <v>1574</v>
      </c>
      <c r="R264" s="1182" t="s">
        <v>1573</v>
      </c>
      <c r="S264" s="1182" t="s">
        <v>1577</v>
      </c>
      <c r="T264" s="1182" t="s">
        <v>1814</v>
      </c>
      <c r="U264" s="1182" t="s">
        <v>1815</v>
      </c>
      <c r="V264" s="1182">
        <v>0</v>
      </c>
      <c r="W264" s="1182">
        <v>0</v>
      </c>
      <c r="X264" s="1182">
        <v>0</v>
      </c>
      <c r="Y264" s="1183">
        <v>300</v>
      </c>
      <c r="Z264" s="1182" t="s">
        <v>1940</v>
      </c>
      <c r="AA264" s="1182" t="s">
        <v>1941</v>
      </c>
      <c r="AB264" s="1182">
        <v>300</v>
      </c>
      <c r="AC264" s="1182" t="s">
        <v>1942</v>
      </c>
      <c r="AD264" s="1182" t="s">
        <v>1577</v>
      </c>
      <c r="AE264" s="1182">
        <v>300</v>
      </c>
      <c r="AF264" s="1182" t="s">
        <v>1943</v>
      </c>
      <c r="AG264" s="1182" t="s">
        <v>1944</v>
      </c>
      <c r="AH264" s="1182">
        <v>0</v>
      </c>
      <c r="AI264" s="1182">
        <v>300</v>
      </c>
      <c r="AJ264" s="1182" t="s">
        <v>2559</v>
      </c>
      <c r="AL264" s="1186" t="s">
        <v>2560</v>
      </c>
      <c r="AM264" s="1182">
        <v>1</v>
      </c>
      <c r="AN264" s="1182">
        <v>0</v>
      </c>
      <c r="AO264" s="1182">
        <v>0</v>
      </c>
      <c r="AP264" s="1182">
        <v>0</v>
      </c>
      <c r="AQ264" s="1182" t="s">
        <v>1639</v>
      </c>
      <c r="AS264" s="1186" t="s">
        <v>1943</v>
      </c>
      <c r="AT264" s="1186" t="s">
        <v>1944</v>
      </c>
      <c r="AV264" s="1183">
        <v>138</v>
      </c>
      <c r="AW264" s="1183">
        <v>0</v>
      </c>
      <c r="AX264" s="1183">
        <v>0</v>
      </c>
      <c r="AY264" s="1538">
        <v>138</v>
      </c>
      <c r="AZ264" s="1183">
        <v>0</v>
      </c>
      <c r="BA264" s="1183">
        <v>162</v>
      </c>
      <c r="BB264" s="1540">
        <v>162</v>
      </c>
      <c r="BC264" s="1540">
        <v>300</v>
      </c>
      <c r="BD264" s="1540">
        <v>0</v>
      </c>
      <c r="BF264" s="1539">
        <f t="shared" si="71"/>
        <v>138</v>
      </c>
      <c r="BG264" s="1539">
        <f t="shared" si="72"/>
        <v>0</v>
      </c>
      <c r="BH264" s="1539">
        <f t="shared" si="73"/>
        <v>0</v>
      </c>
      <c r="BI264" s="1539">
        <f t="shared" si="74"/>
        <v>138</v>
      </c>
      <c r="BJ264" s="1539">
        <f t="shared" si="75"/>
        <v>0</v>
      </c>
      <c r="BK264" s="1539">
        <f t="shared" si="76"/>
        <v>162</v>
      </c>
      <c r="BL264" s="1539">
        <f t="shared" si="77"/>
        <v>162</v>
      </c>
      <c r="BM264" s="1539">
        <f t="shared" si="78"/>
        <v>300</v>
      </c>
      <c r="BO264" s="1183"/>
      <c r="BQ264" s="1182">
        <f t="shared" si="79"/>
        <v>0</v>
      </c>
      <c r="BR264" s="1182">
        <f t="shared" si="80"/>
        <v>0</v>
      </c>
      <c r="BS264" s="1182">
        <f t="shared" si="70"/>
        <v>0</v>
      </c>
      <c r="BT264" s="1182">
        <f t="shared" si="70"/>
        <v>0</v>
      </c>
    </row>
    <row r="265" spans="1:72" ht="13.5" customHeight="1">
      <c r="A265" s="1182" t="s">
        <v>1803</v>
      </c>
      <c r="B265" s="1182" t="s">
        <v>1804</v>
      </c>
      <c r="C265" s="1182" t="s">
        <v>1639</v>
      </c>
      <c r="D265" s="1182" t="s">
        <v>2534</v>
      </c>
      <c r="E265" s="1182" t="s">
        <v>2535</v>
      </c>
      <c r="F265" s="1182" t="s">
        <v>1969</v>
      </c>
      <c r="G265" s="1182" t="s">
        <v>1969</v>
      </c>
      <c r="H265" s="1182" t="s">
        <v>2544</v>
      </c>
      <c r="I265" s="1182" t="s">
        <v>1937</v>
      </c>
      <c r="J265" s="1182" t="s">
        <v>2545</v>
      </c>
      <c r="K265" s="1182" t="s">
        <v>1811</v>
      </c>
      <c r="L265" s="1182" t="s">
        <v>1812</v>
      </c>
      <c r="M265" s="1182" t="s">
        <v>1803</v>
      </c>
      <c r="N265" s="1182" t="s">
        <v>1939</v>
      </c>
      <c r="O265" s="1182" t="s">
        <v>1554</v>
      </c>
      <c r="P265" s="1182" t="s">
        <v>1575</v>
      </c>
      <c r="Q265" s="1182" t="s">
        <v>1574</v>
      </c>
      <c r="R265" s="1182" t="s">
        <v>1573</v>
      </c>
      <c r="S265" s="1182" t="s">
        <v>1577</v>
      </c>
      <c r="T265" s="1182" t="s">
        <v>1814</v>
      </c>
      <c r="U265" s="1182" t="s">
        <v>1815</v>
      </c>
      <c r="V265" s="1182">
        <v>0</v>
      </c>
      <c r="W265" s="1182">
        <v>0</v>
      </c>
      <c r="X265" s="1182">
        <v>0</v>
      </c>
      <c r="Y265" s="1183">
        <v>300</v>
      </c>
      <c r="Z265" s="1182" t="s">
        <v>1940</v>
      </c>
      <c r="AA265" s="1182" t="s">
        <v>1941</v>
      </c>
      <c r="AB265" s="1182">
        <v>300</v>
      </c>
      <c r="AC265" s="1182" t="s">
        <v>1942</v>
      </c>
      <c r="AD265" s="1182" t="s">
        <v>1577</v>
      </c>
      <c r="AE265" s="1182">
        <v>300</v>
      </c>
      <c r="AF265" s="1182" t="s">
        <v>1943</v>
      </c>
      <c r="AG265" s="1182" t="s">
        <v>1944</v>
      </c>
      <c r="AH265" s="1182">
        <v>0</v>
      </c>
      <c r="AI265" s="1182">
        <v>300</v>
      </c>
      <c r="AJ265" s="1182" t="s">
        <v>2546</v>
      </c>
      <c r="AL265" s="1186" t="s">
        <v>2547</v>
      </c>
      <c r="AM265" s="1182">
        <v>1</v>
      </c>
      <c r="AN265" s="1182">
        <v>0</v>
      </c>
      <c r="AO265" s="1182">
        <v>0</v>
      </c>
      <c r="AP265" s="1182">
        <v>0</v>
      </c>
      <c r="AQ265" s="1182" t="s">
        <v>1639</v>
      </c>
      <c r="AS265" s="1186" t="s">
        <v>1943</v>
      </c>
      <c r="AT265" s="1186" t="s">
        <v>1944</v>
      </c>
      <c r="AV265" s="1183">
        <v>138</v>
      </c>
      <c r="AW265" s="1183">
        <v>0</v>
      </c>
      <c r="AX265" s="1183">
        <v>0</v>
      </c>
      <c r="AY265" s="1538">
        <v>138</v>
      </c>
      <c r="AZ265" s="1183">
        <v>0</v>
      </c>
      <c r="BA265" s="1183">
        <v>162</v>
      </c>
      <c r="BB265" s="1540">
        <v>162</v>
      </c>
      <c r="BC265" s="1540">
        <v>300</v>
      </c>
      <c r="BD265" s="1540">
        <v>0</v>
      </c>
      <c r="BF265" s="1539">
        <f t="shared" si="71"/>
        <v>138</v>
      </c>
      <c r="BG265" s="1539">
        <f t="shared" si="72"/>
        <v>0</v>
      </c>
      <c r="BH265" s="1539">
        <f t="shared" si="73"/>
        <v>0</v>
      </c>
      <c r="BI265" s="1539">
        <f t="shared" si="74"/>
        <v>138</v>
      </c>
      <c r="BJ265" s="1539">
        <f t="shared" si="75"/>
        <v>0</v>
      </c>
      <c r="BK265" s="1539">
        <f t="shared" si="76"/>
        <v>162</v>
      </c>
      <c r="BL265" s="1539">
        <f t="shared" si="77"/>
        <v>162</v>
      </c>
      <c r="BM265" s="1539">
        <f t="shared" si="78"/>
        <v>300</v>
      </c>
      <c r="BO265" s="1183"/>
      <c r="BQ265" s="1182">
        <f t="shared" si="79"/>
        <v>0</v>
      </c>
      <c r="BR265" s="1182">
        <f t="shared" si="80"/>
        <v>0</v>
      </c>
      <c r="BS265" s="1182">
        <f t="shared" si="70"/>
        <v>0</v>
      </c>
      <c r="BT265" s="1182">
        <f t="shared" si="70"/>
        <v>0</v>
      </c>
    </row>
    <row r="266" spans="1:72" ht="13.5" customHeight="1">
      <c r="A266" s="1182" t="s">
        <v>1803</v>
      </c>
      <c r="B266" s="1182" t="s">
        <v>1804</v>
      </c>
      <c r="C266" s="1182" t="s">
        <v>1639</v>
      </c>
      <c r="D266" s="1182" t="s">
        <v>2534</v>
      </c>
      <c r="E266" s="1182" t="s">
        <v>2535</v>
      </c>
      <c r="F266" s="1182" t="s">
        <v>1984</v>
      </c>
      <c r="G266" s="1182" t="s">
        <v>1984</v>
      </c>
      <c r="H266" s="1182" t="s">
        <v>2536</v>
      </c>
      <c r="I266" s="1182" t="s">
        <v>1937</v>
      </c>
      <c r="J266" s="1182" t="s">
        <v>2548</v>
      </c>
      <c r="K266" s="1182" t="s">
        <v>1811</v>
      </c>
      <c r="L266" s="1182" t="s">
        <v>1812</v>
      </c>
      <c r="M266" s="1182" t="s">
        <v>1803</v>
      </c>
      <c r="N266" s="1182" t="s">
        <v>1939</v>
      </c>
      <c r="O266" s="1182" t="s">
        <v>1554</v>
      </c>
      <c r="P266" s="1182" t="s">
        <v>1575</v>
      </c>
      <c r="Q266" s="1182" t="s">
        <v>1574</v>
      </c>
      <c r="R266" s="1182" t="s">
        <v>1573</v>
      </c>
      <c r="S266" s="1182" t="s">
        <v>1577</v>
      </c>
      <c r="T266" s="1182" t="s">
        <v>1814</v>
      </c>
      <c r="U266" s="1182" t="s">
        <v>1815</v>
      </c>
      <c r="V266" s="1182">
        <v>0</v>
      </c>
      <c r="W266" s="1182">
        <v>0</v>
      </c>
      <c r="X266" s="1182">
        <v>0</v>
      </c>
      <c r="Y266" s="1183">
        <v>600</v>
      </c>
      <c r="Z266" s="1182" t="s">
        <v>1940</v>
      </c>
      <c r="AA266" s="1182" t="s">
        <v>1941</v>
      </c>
      <c r="AB266" s="1182">
        <v>600</v>
      </c>
      <c r="AC266" s="1182" t="s">
        <v>1942</v>
      </c>
      <c r="AD266" s="1182" t="s">
        <v>1577</v>
      </c>
      <c r="AE266" s="1182">
        <v>600</v>
      </c>
      <c r="AF266" s="1182" t="s">
        <v>1943</v>
      </c>
      <c r="AG266" s="1182" t="s">
        <v>1944</v>
      </c>
      <c r="AH266" s="1182">
        <v>0</v>
      </c>
      <c r="AI266" s="1182">
        <v>600</v>
      </c>
      <c r="AJ266" s="1182" t="s">
        <v>2549</v>
      </c>
      <c r="AL266" s="1186" t="s">
        <v>2550</v>
      </c>
      <c r="AM266" s="1182">
        <v>1</v>
      </c>
      <c r="AN266" s="1182">
        <v>0</v>
      </c>
      <c r="AO266" s="1182">
        <v>0</v>
      </c>
      <c r="AP266" s="1182">
        <v>0</v>
      </c>
      <c r="AQ266" s="1182" t="s">
        <v>1639</v>
      </c>
      <c r="AS266" s="1186" t="s">
        <v>1943</v>
      </c>
      <c r="AT266" s="1186" t="s">
        <v>1944</v>
      </c>
      <c r="AV266" s="1183">
        <v>276</v>
      </c>
      <c r="AW266" s="1183">
        <v>0</v>
      </c>
      <c r="AX266" s="1183">
        <v>0</v>
      </c>
      <c r="AY266" s="1538">
        <v>276</v>
      </c>
      <c r="AZ266" s="1183">
        <v>0</v>
      </c>
      <c r="BA266" s="1183">
        <v>324</v>
      </c>
      <c r="BB266" s="1540">
        <v>324</v>
      </c>
      <c r="BC266" s="1540">
        <v>600</v>
      </c>
      <c r="BD266" s="1540">
        <v>0</v>
      </c>
      <c r="BF266" s="1539">
        <f t="shared" si="71"/>
        <v>276</v>
      </c>
      <c r="BG266" s="1539">
        <f t="shared" si="72"/>
        <v>0</v>
      </c>
      <c r="BH266" s="1539">
        <f t="shared" si="73"/>
        <v>0</v>
      </c>
      <c r="BI266" s="1539">
        <f t="shared" si="74"/>
        <v>276</v>
      </c>
      <c r="BJ266" s="1539">
        <f t="shared" si="75"/>
        <v>0</v>
      </c>
      <c r="BK266" s="1539">
        <f t="shared" si="76"/>
        <v>324</v>
      </c>
      <c r="BL266" s="1539">
        <f t="shared" si="77"/>
        <v>324</v>
      </c>
      <c r="BM266" s="1539">
        <f t="shared" si="78"/>
        <v>600</v>
      </c>
      <c r="BO266" s="1183"/>
      <c r="BQ266" s="1182">
        <f t="shared" si="79"/>
        <v>0</v>
      </c>
      <c r="BR266" s="1182">
        <f t="shared" si="80"/>
        <v>0</v>
      </c>
      <c r="BS266" s="1182">
        <f t="shared" si="70"/>
        <v>0</v>
      </c>
      <c r="BT266" s="1182">
        <f t="shared" si="70"/>
        <v>0</v>
      </c>
    </row>
    <row r="267" spans="1:72" ht="13.5" customHeight="1">
      <c r="A267" s="1182" t="s">
        <v>1803</v>
      </c>
      <c r="B267" s="1182" t="s">
        <v>1804</v>
      </c>
      <c r="C267" s="1182" t="s">
        <v>1639</v>
      </c>
      <c r="D267" s="1182" t="s">
        <v>2534</v>
      </c>
      <c r="E267" s="1182" t="s">
        <v>2535</v>
      </c>
      <c r="F267" s="1182" t="s">
        <v>1836</v>
      </c>
      <c r="G267" s="1182" t="s">
        <v>1836</v>
      </c>
      <c r="H267" s="1182" t="s">
        <v>2536</v>
      </c>
      <c r="I267" s="1182" t="s">
        <v>1937</v>
      </c>
      <c r="J267" s="1182" t="s">
        <v>2551</v>
      </c>
      <c r="K267" s="1182" t="s">
        <v>1811</v>
      </c>
      <c r="L267" s="1182" t="s">
        <v>1812</v>
      </c>
      <c r="M267" s="1182" t="s">
        <v>1803</v>
      </c>
      <c r="N267" s="1182" t="s">
        <v>1939</v>
      </c>
      <c r="O267" s="1182" t="s">
        <v>1554</v>
      </c>
      <c r="P267" s="1182" t="s">
        <v>1575</v>
      </c>
      <c r="Q267" s="1182" t="s">
        <v>1574</v>
      </c>
      <c r="R267" s="1182" t="s">
        <v>1573</v>
      </c>
      <c r="S267" s="1182" t="s">
        <v>1577</v>
      </c>
      <c r="T267" s="1182" t="s">
        <v>1814</v>
      </c>
      <c r="U267" s="1182" t="s">
        <v>1815</v>
      </c>
      <c r="V267" s="1182">
        <v>0</v>
      </c>
      <c r="W267" s="1182">
        <v>0</v>
      </c>
      <c r="X267" s="1182">
        <v>0</v>
      </c>
      <c r="Y267" s="1183">
        <v>300</v>
      </c>
      <c r="Z267" s="1182" t="s">
        <v>1940</v>
      </c>
      <c r="AA267" s="1182" t="s">
        <v>1941</v>
      </c>
      <c r="AB267" s="1182">
        <v>300</v>
      </c>
      <c r="AC267" s="1182" t="s">
        <v>1942</v>
      </c>
      <c r="AD267" s="1182" t="s">
        <v>1577</v>
      </c>
      <c r="AE267" s="1182">
        <v>300</v>
      </c>
      <c r="AF267" s="1182" t="s">
        <v>1943</v>
      </c>
      <c r="AG267" s="1182" t="s">
        <v>1944</v>
      </c>
      <c r="AH267" s="1182">
        <v>0</v>
      </c>
      <c r="AI267" s="1182">
        <v>300</v>
      </c>
      <c r="AJ267" s="1182" t="s">
        <v>2552</v>
      </c>
      <c r="AL267" s="1186" t="s">
        <v>2553</v>
      </c>
      <c r="AM267" s="1182">
        <v>1</v>
      </c>
      <c r="AN267" s="1182">
        <v>0</v>
      </c>
      <c r="AO267" s="1182">
        <v>0</v>
      </c>
      <c r="AP267" s="1182">
        <v>0</v>
      </c>
      <c r="AQ267" s="1182" t="s">
        <v>1639</v>
      </c>
      <c r="AS267" s="1186" t="s">
        <v>1943</v>
      </c>
      <c r="AT267" s="1186" t="s">
        <v>1944</v>
      </c>
      <c r="AV267" s="1183">
        <v>138</v>
      </c>
      <c r="AW267" s="1183">
        <v>0</v>
      </c>
      <c r="AX267" s="1183">
        <v>0</v>
      </c>
      <c r="AY267" s="1538">
        <v>138</v>
      </c>
      <c r="AZ267" s="1183">
        <v>0</v>
      </c>
      <c r="BA267" s="1183">
        <v>162</v>
      </c>
      <c r="BB267" s="1540">
        <v>162</v>
      </c>
      <c r="BC267" s="1540">
        <v>300</v>
      </c>
      <c r="BD267" s="1540">
        <v>0</v>
      </c>
      <c r="BF267" s="1539">
        <f t="shared" si="71"/>
        <v>138</v>
      </c>
      <c r="BG267" s="1539">
        <f t="shared" si="72"/>
        <v>0</v>
      </c>
      <c r="BH267" s="1539">
        <f t="shared" si="73"/>
        <v>0</v>
      </c>
      <c r="BI267" s="1539">
        <f t="shared" si="74"/>
        <v>138</v>
      </c>
      <c r="BJ267" s="1539">
        <f t="shared" si="75"/>
        <v>0</v>
      </c>
      <c r="BK267" s="1539">
        <f t="shared" si="76"/>
        <v>162</v>
      </c>
      <c r="BL267" s="1539">
        <f t="shared" si="77"/>
        <v>162</v>
      </c>
      <c r="BM267" s="1539">
        <f t="shared" si="78"/>
        <v>300</v>
      </c>
      <c r="BO267" s="1183"/>
      <c r="BQ267" s="1182">
        <f t="shared" si="79"/>
        <v>0</v>
      </c>
      <c r="BR267" s="1182">
        <f t="shared" si="80"/>
        <v>0</v>
      </c>
      <c r="BS267" s="1182">
        <f t="shared" si="70"/>
        <v>0</v>
      </c>
      <c r="BT267" s="1182">
        <f t="shared" si="70"/>
        <v>0</v>
      </c>
    </row>
    <row r="268" spans="1:72" ht="13.5" customHeight="1">
      <c r="A268" s="1182" t="s">
        <v>1803</v>
      </c>
      <c r="B268" s="1182" t="s">
        <v>1804</v>
      </c>
      <c r="C268" s="1182" t="s">
        <v>1639</v>
      </c>
      <c r="D268" s="1182" t="s">
        <v>2534</v>
      </c>
      <c r="E268" s="1182" t="s">
        <v>2535</v>
      </c>
      <c r="F268" s="1182" t="s">
        <v>2561</v>
      </c>
      <c r="G268" s="1182" t="s">
        <v>2561</v>
      </c>
      <c r="H268" s="1182" t="s">
        <v>2536</v>
      </c>
      <c r="I268" s="1182" t="s">
        <v>1937</v>
      </c>
      <c r="J268" s="1182" t="s">
        <v>2562</v>
      </c>
      <c r="K268" s="1182" t="s">
        <v>1811</v>
      </c>
      <c r="L268" s="1182" t="s">
        <v>1812</v>
      </c>
      <c r="M268" s="1182" t="s">
        <v>1803</v>
      </c>
      <c r="N268" s="1182" t="s">
        <v>1939</v>
      </c>
      <c r="O268" s="1182" t="s">
        <v>1554</v>
      </c>
      <c r="P268" s="1182" t="s">
        <v>1575</v>
      </c>
      <c r="Q268" s="1182" t="s">
        <v>1574</v>
      </c>
      <c r="R268" s="1182" t="s">
        <v>1573</v>
      </c>
      <c r="S268" s="1182" t="s">
        <v>1577</v>
      </c>
      <c r="T268" s="1182" t="s">
        <v>1814</v>
      </c>
      <c r="U268" s="1182" t="s">
        <v>1815</v>
      </c>
      <c r="V268" s="1182">
        <v>0</v>
      </c>
      <c r="W268" s="1182">
        <v>0</v>
      </c>
      <c r="X268" s="1182">
        <v>0</v>
      </c>
      <c r="Y268" s="1183">
        <v>600</v>
      </c>
      <c r="Z268" s="1182" t="s">
        <v>1940</v>
      </c>
      <c r="AA268" s="1182" t="s">
        <v>1941</v>
      </c>
      <c r="AB268" s="1182">
        <v>600</v>
      </c>
      <c r="AC268" s="1182" t="s">
        <v>1942</v>
      </c>
      <c r="AD268" s="1182" t="s">
        <v>1577</v>
      </c>
      <c r="AE268" s="1182">
        <v>600</v>
      </c>
      <c r="AF268" s="1182" t="s">
        <v>1943</v>
      </c>
      <c r="AG268" s="1182" t="s">
        <v>1944</v>
      </c>
      <c r="AH268" s="1182">
        <v>0</v>
      </c>
      <c r="AI268" s="1182">
        <v>600</v>
      </c>
      <c r="AJ268" s="1182" t="s">
        <v>2563</v>
      </c>
      <c r="AL268" s="1186" t="s">
        <v>2564</v>
      </c>
      <c r="AM268" s="1182">
        <v>1</v>
      </c>
      <c r="AN268" s="1182">
        <v>0</v>
      </c>
      <c r="AO268" s="1182">
        <v>0</v>
      </c>
      <c r="AP268" s="1182">
        <v>0</v>
      </c>
      <c r="AQ268" s="1182" t="s">
        <v>1639</v>
      </c>
      <c r="AS268" s="1186" t="s">
        <v>1943</v>
      </c>
      <c r="AT268" s="1186" t="s">
        <v>1944</v>
      </c>
      <c r="AV268" s="1183">
        <v>276</v>
      </c>
      <c r="AW268" s="1183">
        <v>0</v>
      </c>
      <c r="AX268" s="1183">
        <v>0</v>
      </c>
      <c r="AY268" s="1538">
        <v>276</v>
      </c>
      <c r="AZ268" s="1183">
        <v>0</v>
      </c>
      <c r="BA268" s="1183">
        <v>324</v>
      </c>
      <c r="BB268" s="1540">
        <v>324</v>
      </c>
      <c r="BC268" s="1540">
        <v>600</v>
      </c>
      <c r="BD268" s="1540">
        <v>0</v>
      </c>
      <c r="BF268" s="1539">
        <f t="shared" si="71"/>
        <v>276</v>
      </c>
      <c r="BG268" s="1539">
        <f t="shared" si="72"/>
        <v>0</v>
      </c>
      <c r="BH268" s="1539">
        <f t="shared" si="73"/>
        <v>0</v>
      </c>
      <c r="BI268" s="1539">
        <f t="shared" si="74"/>
        <v>276</v>
      </c>
      <c r="BJ268" s="1539">
        <f t="shared" si="75"/>
        <v>0</v>
      </c>
      <c r="BK268" s="1539">
        <f t="shared" si="76"/>
        <v>324</v>
      </c>
      <c r="BL268" s="1539">
        <f t="shared" si="77"/>
        <v>324</v>
      </c>
      <c r="BM268" s="1539">
        <f t="shared" si="78"/>
        <v>600</v>
      </c>
      <c r="BO268" s="1183"/>
      <c r="BQ268" s="1182">
        <f t="shared" si="79"/>
        <v>0</v>
      </c>
      <c r="BR268" s="1182">
        <f t="shared" si="80"/>
        <v>0</v>
      </c>
      <c r="BS268" s="1182">
        <f t="shared" si="70"/>
        <v>0</v>
      </c>
      <c r="BT268" s="1182">
        <f t="shared" si="70"/>
        <v>0</v>
      </c>
    </row>
    <row r="269" spans="1:72" ht="13.5" customHeight="1">
      <c r="A269" s="1182" t="s">
        <v>1803</v>
      </c>
      <c r="B269" s="1182" t="s">
        <v>1804</v>
      </c>
      <c r="C269" s="1182" t="s">
        <v>1639</v>
      </c>
      <c r="D269" s="1182" t="s">
        <v>2534</v>
      </c>
      <c r="E269" s="1182" t="s">
        <v>2535</v>
      </c>
      <c r="F269" s="1182" t="s">
        <v>2568</v>
      </c>
      <c r="G269" s="1182" t="s">
        <v>2568</v>
      </c>
      <c r="H269" s="1182" t="s">
        <v>2536</v>
      </c>
      <c r="I269" s="1182" t="s">
        <v>1937</v>
      </c>
      <c r="J269" s="1182" t="s">
        <v>2569</v>
      </c>
      <c r="K269" s="1182" t="s">
        <v>1811</v>
      </c>
      <c r="L269" s="1182" t="s">
        <v>1812</v>
      </c>
      <c r="M269" s="1182" t="s">
        <v>1803</v>
      </c>
      <c r="N269" s="1182" t="s">
        <v>1939</v>
      </c>
      <c r="O269" s="1182" t="s">
        <v>1554</v>
      </c>
      <c r="P269" s="1182" t="s">
        <v>1575</v>
      </c>
      <c r="Q269" s="1182" t="s">
        <v>1574</v>
      </c>
      <c r="R269" s="1182" t="s">
        <v>1573</v>
      </c>
      <c r="S269" s="1182" t="s">
        <v>1577</v>
      </c>
      <c r="T269" s="1182" t="s">
        <v>1814</v>
      </c>
      <c r="U269" s="1182" t="s">
        <v>1815</v>
      </c>
      <c r="V269" s="1182">
        <v>0</v>
      </c>
      <c r="W269" s="1182">
        <v>0</v>
      </c>
      <c r="X269" s="1182">
        <v>0</v>
      </c>
      <c r="Y269" s="1183">
        <v>300</v>
      </c>
      <c r="Z269" s="1182" t="s">
        <v>1940</v>
      </c>
      <c r="AA269" s="1182" t="s">
        <v>1941</v>
      </c>
      <c r="AB269" s="1182">
        <v>300</v>
      </c>
      <c r="AC269" s="1182" t="s">
        <v>1942</v>
      </c>
      <c r="AD269" s="1182" t="s">
        <v>1577</v>
      </c>
      <c r="AE269" s="1182">
        <v>300</v>
      </c>
      <c r="AF269" s="1182" t="s">
        <v>1943</v>
      </c>
      <c r="AG269" s="1182" t="s">
        <v>1944</v>
      </c>
      <c r="AH269" s="1182">
        <v>0</v>
      </c>
      <c r="AI269" s="1182">
        <v>300</v>
      </c>
      <c r="AJ269" s="1182" t="s">
        <v>2570</v>
      </c>
      <c r="AL269" s="1186" t="s">
        <v>2571</v>
      </c>
      <c r="AM269" s="1182">
        <v>1</v>
      </c>
      <c r="AN269" s="1182">
        <v>0</v>
      </c>
      <c r="AO269" s="1182">
        <v>0</v>
      </c>
      <c r="AP269" s="1182">
        <v>0</v>
      </c>
      <c r="AQ269" s="1182" t="s">
        <v>1639</v>
      </c>
      <c r="AS269" s="1186" t="s">
        <v>1943</v>
      </c>
      <c r="AT269" s="1186" t="s">
        <v>1944</v>
      </c>
      <c r="AV269" s="1183">
        <v>138</v>
      </c>
      <c r="AW269" s="1183">
        <v>0</v>
      </c>
      <c r="AX269" s="1183">
        <v>0</v>
      </c>
      <c r="AY269" s="1538">
        <v>138</v>
      </c>
      <c r="AZ269" s="1183">
        <v>0</v>
      </c>
      <c r="BA269" s="1183">
        <v>162</v>
      </c>
      <c r="BB269" s="1540">
        <v>162</v>
      </c>
      <c r="BC269" s="1540">
        <v>300</v>
      </c>
      <c r="BD269" s="1540">
        <v>0</v>
      </c>
      <c r="BF269" s="1539">
        <f t="shared" si="71"/>
        <v>138</v>
      </c>
      <c r="BG269" s="1539">
        <f t="shared" si="72"/>
        <v>0</v>
      </c>
      <c r="BH269" s="1539">
        <f t="shared" si="73"/>
        <v>0</v>
      </c>
      <c r="BI269" s="1539">
        <f t="shared" si="74"/>
        <v>138</v>
      </c>
      <c r="BJ269" s="1539">
        <f t="shared" si="75"/>
        <v>0</v>
      </c>
      <c r="BK269" s="1539">
        <f t="shared" si="76"/>
        <v>162</v>
      </c>
      <c r="BL269" s="1539">
        <f t="shared" si="77"/>
        <v>162</v>
      </c>
      <c r="BM269" s="1539">
        <f t="shared" si="78"/>
        <v>300</v>
      </c>
      <c r="BO269" s="1183"/>
      <c r="BQ269" s="1182">
        <f t="shared" si="79"/>
        <v>0</v>
      </c>
      <c r="BR269" s="1182">
        <f t="shared" si="80"/>
        <v>0</v>
      </c>
      <c r="BS269" s="1182">
        <f t="shared" si="70"/>
        <v>0</v>
      </c>
      <c r="BT269" s="1182">
        <f t="shared" si="70"/>
        <v>0</v>
      </c>
    </row>
    <row r="270" spans="1:72" ht="13.5" customHeight="1">
      <c r="A270" s="1182" t="s">
        <v>1803</v>
      </c>
      <c r="B270" s="1182" t="s">
        <v>1804</v>
      </c>
      <c r="C270" s="1182" t="s">
        <v>1639</v>
      </c>
      <c r="D270" s="1182" t="s">
        <v>2534</v>
      </c>
      <c r="E270" s="1182" t="s">
        <v>2535</v>
      </c>
      <c r="F270" s="1182" t="s">
        <v>1827</v>
      </c>
      <c r="G270" s="1182" t="s">
        <v>1827</v>
      </c>
      <c r="H270" s="1182" t="s">
        <v>2536</v>
      </c>
      <c r="I270" s="1182" t="s">
        <v>1937</v>
      </c>
      <c r="J270" s="1182" t="s">
        <v>2537</v>
      </c>
      <c r="K270" s="1182" t="s">
        <v>1811</v>
      </c>
      <c r="L270" s="1182" t="s">
        <v>1812</v>
      </c>
      <c r="M270" s="1182" t="s">
        <v>1803</v>
      </c>
      <c r="N270" s="1182" t="s">
        <v>1939</v>
      </c>
      <c r="O270" s="1182" t="s">
        <v>1554</v>
      </c>
      <c r="P270" s="1182" t="s">
        <v>1575</v>
      </c>
      <c r="Q270" s="1182" t="s">
        <v>1574</v>
      </c>
      <c r="R270" s="1182" t="s">
        <v>1573</v>
      </c>
      <c r="S270" s="1182" t="s">
        <v>1577</v>
      </c>
      <c r="T270" s="1182" t="s">
        <v>1814</v>
      </c>
      <c r="U270" s="1182" t="s">
        <v>1815</v>
      </c>
      <c r="V270" s="1182">
        <v>0</v>
      </c>
      <c r="W270" s="1182">
        <v>0</v>
      </c>
      <c r="X270" s="1182">
        <v>0</v>
      </c>
      <c r="Y270" s="1183">
        <v>1150</v>
      </c>
      <c r="Z270" s="1182" t="s">
        <v>1940</v>
      </c>
      <c r="AA270" s="1182" t="s">
        <v>1941</v>
      </c>
      <c r="AB270" s="1182">
        <v>1150</v>
      </c>
      <c r="AC270" s="1182" t="s">
        <v>1942</v>
      </c>
      <c r="AD270" s="1182" t="s">
        <v>1577</v>
      </c>
      <c r="AE270" s="1182">
        <v>1150</v>
      </c>
      <c r="AF270" s="1182" t="s">
        <v>1943</v>
      </c>
      <c r="AG270" s="1182" t="s">
        <v>1944</v>
      </c>
      <c r="AH270" s="1182">
        <v>0</v>
      </c>
      <c r="AI270" s="1182">
        <v>1150</v>
      </c>
      <c r="AJ270" s="1182" t="s">
        <v>2538</v>
      </c>
      <c r="AL270" s="1186" t="s">
        <v>2539</v>
      </c>
      <c r="AM270" s="1182">
        <v>1</v>
      </c>
      <c r="AN270" s="1182">
        <v>0</v>
      </c>
      <c r="AO270" s="1182">
        <v>0</v>
      </c>
      <c r="AP270" s="1182">
        <v>0</v>
      </c>
      <c r="AQ270" s="1182" t="s">
        <v>1639</v>
      </c>
      <c r="AS270" s="1186" t="s">
        <v>1943</v>
      </c>
      <c r="AT270" s="1186" t="s">
        <v>1944</v>
      </c>
      <c r="AV270" s="1183">
        <v>529</v>
      </c>
      <c r="AW270" s="1183">
        <v>0</v>
      </c>
      <c r="AX270" s="1183">
        <v>0</v>
      </c>
      <c r="AY270" s="1538">
        <v>529</v>
      </c>
      <c r="AZ270" s="1183">
        <v>0</v>
      </c>
      <c r="BA270" s="1183">
        <v>621</v>
      </c>
      <c r="BB270" s="1540">
        <v>621</v>
      </c>
      <c r="BC270" s="1540">
        <v>1150</v>
      </c>
      <c r="BD270" s="1540">
        <v>0</v>
      </c>
      <c r="BF270" s="1539">
        <f t="shared" si="71"/>
        <v>529</v>
      </c>
      <c r="BG270" s="1539">
        <f t="shared" si="72"/>
        <v>0</v>
      </c>
      <c r="BH270" s="1539">
        <f t="shared" si="73"/>
        <v>0</v>
      </c>
      <c r="BI270" s="1539">
        <f t="shared" si="74"/>
        <v>529</v>
      </c>
      <c r="BJ270" s="1539">
        <f t="shared" si="75"/>
        <v>0</v>
      </c>
      <c r="BK270" s="1539">
        <f t="shared" si="76"/>
        <v>621</v>
      </c>
      <c r="BL270" s="1539">
        <f t="shared" si="77"/>
        <v>621</v>
      </c>
      <c r="BM270" s="1539">
        <f t="shared" si="78"/>
        <v>1150</v>
      </c>
      <c r="BO270" s="1183"/>
      <c r="BQ270" s="1182">
        <f t="shared" si="79"/>
        <v>0</v>
      </c>
      <c r="BR270" s="1182">
        <f t="shared" si="80"/>
        <v>0</v>
      </c>
      <c r="BS270" s="1182">
        <f t="shared" si="70"/>
        <v>0</v>
      </c>
      <c r="BT270" s="1182">
        <f t="shared" si="70"/>
        <v>0</v>
      </c>
    </row>
    <row r="271" spans="1:72" ht="13.5" customHeight="1">
      <c r="A271" s="1182" t="s">
        <v>1803</v>
      </c>
      <c r="B271" s="1182" t="s">
        <v>1804</v>
      </c>
      <c r="C271" s="1182" t="s">
        <v>1639</v>
      </c>
      <c r="D271" s="1182" t="s">
        <v>2534</v>
      </c>
      <c r="E271" s="1182" t="s">
        <v>2535</v>
      </c>
      <c r="F271" s="1182" t="s">
        <v>2540</v>
      </c>
      <c r="G271" s="1182" t="s">
        <v>2540</v>
      </c>
      <c r="H271" s="1182" t="s">
        <v>2536</v>
      </c>
      <c r="I271" s="1182" t="s">
        <v>1937</v>
      </c>
      <c r="J271" s="1182" t="s">
        <v>2541</v>
      </c>
      <c r="K271" s="1182" t="s">
        <v>1811</v>
      </c>
      <c r="L271" s="1182" t="s">
        <v>1812</v>
      </c>
      <c r="M271" s="1182" t="s">
        <v>1803</v>
      </c>
      <c r="N271" s="1182" t="s">
        <v>1939</v>
      </c>
      <c r="O271" s="1182" t="s">
        <v>1554</v>
      </c>
      <c r="P271" s="1182" t="s">
        <v>1575</v>
      </c>
      <c r="Q271" s="1182" t="s">
        <v>1574</v>
      </c>
      <c r="R271" s="1182" t="s">
        <v>1573</v>
      </c>
      <c r="S271" s="1182" t="s">
        <v>1577</v>
      </c>
      <c r="T271" s="1182" t="s">
        <v>1814</v>
      </c>
      <c r="U271" s="1182" t="s">
        <v>1815</v>
      </c>
      <c r="V271" s="1182">
        <v>0</v>
      </c>
      <c r="W271" s="1182">
        <v>0</v>
      </c>
      <c r="X271" s="1182">
        <v>0</v>
      </c>
      <c r="Y271" s="1183">
        <v>300</v>
      </c>
      <c r="Z271" s="1182" t="s">
        <v>1940</v>
      </c>
      <c r="AA271" s="1182" t="s">
        <v>1941</v>
      </c>
      <c r="AB271" s="1182">
        <v>300</v>
      </c>
      <c r="AC271" s="1182" t="s">
        <v>1942</v>
      </c>
      <c r="AD271" s="1182" t="s">
        <v>1577</v>
      </c>
      <c r="AE271" s="1182">
        <v>300</v>
      </c>
      <c r="AF271" s="1182" t="s">
        <v>1943</v>
      </c>
      <c r="AG271" s="1182" t="s">
        <v>1944</v>
      </c>
      <c r="AH271" s="1182">
        <v>0</v>
      </c>
      <c r="AI271" s="1182">
        <v>300</v>
      </c>
      <c r="AJ271" s="1182" t="s">
        <v>2542</v>
      </c>
      <c r="AL271" s="1186" t="s">
        <v>2543</v>
      </c>
      <c r="AM271" s="1182">
        <v>1</v>
      </c>
      <c r="AN271" s="1182">
        <v>0</v>
      </c>
      <c r="AO271" s="1182">
        <v>0</v>
      </c>
      <c r="AP271" s="1182">
        <v>0</v>
      </c>
      <c r="AQ271" s="1182" t="s">
        <v>1639</v>
      </c>
      <c r="AS271" s="1186" t="s">
        <v>1943</v>
      </c>
      <c r="AT271" s="1186" t="s">
        <v>1944</v>
      </c>
      <c r="AV271" s="1183">
        <v>138</v>
      </c>
      <c r="AW271" s="1183">
        <v>0</v>
      </c>
      <c r="AX271" s="1183">
        <v>0</v>
      </c>
      <c r="AY271" s="1538">
        <v>138</v>
      </c>
      <c r="AZ271" s="1183">
        <v>0</v>
      </c>
      <c r="BA271" s="1183">
        <v>162</v>
      </c>
      <c r="BB271" s="1540">
        <v>162</v>
      </c>
      <c r="BC271" s="1540">
        <v>300</v>
      </c>
      <c r="BD271" s="1540">
        <v>0</v>
      </c>
      <c r="BF271" s="1539">
        <f t="shared" si="71"/>
        <v>138</v>
      </c>
      <c r="BG271" s="1539">
        <f t="shared" si="72"/>
        <v>0</v>
      </c>
      <c r="BH271" s="1539">
        <f t="shared" si="73"/>
        <v>0</v>
      </c>
      <c r="BI271" s="1539">
        <f t="shared" si="74"/>
        <v>138</v>
      </c>
      <c r="BJ271" s="1539">
        <f t="shared" si="75"/>
        <v>0</v>
      </c>
      <c r="BK271" s="1539">
        <f t="shared" si="76"/>
        <v>162</v>
      </c>
      <c r="BL271" s="1539">
        <f t="shared" si="77"/>
        <v>162</v>
      </c>
      <c r="BM271" s="1539">
        <f t="shared" si="78"/>
        <v>300</v>
      </c>
      <c r="BO271" s="1183"/>
      <c r="BQ271" s="1182">
        <f t="shared" si="79"/>
        <v>0</v>
      </c>
      <c r="BR271" s="1182">
        <f t="shared" si="80"/>
        <v>0</v>
      </c>
      <c r="BS271" s="1182">
        <f t="shared" si="70"/>
        <v>0</v>
      </c>
      <c r="BT271" s="1182">
        <f t="shared" si="70"/>
        <v>0</v>
      </c>
    </row>
    <row r="272" spans="1:72" ht="13.5" customHeight="1">
      <c r="A272" s="1182" t="s">
        <v>1803</v>
      </c>
      <c r="B272" s="1182" t="s">
        <v>1804</v>
      </c>
      <c r="C272" s="1182" t="s">
        <v>1639</v>
      </c>
      <c r="D272" s="1182" t="s">
        <v>2534</v>
      </c>
      <c r="E272" s="1182" t="s">
        <v>2535</v>
      </c>
      <c r="F272" s="1182" t="s">
        <v>2245</v>
      </c>
      <c r="G272" s="1182" t="s">
        <v>2245</v>
      </c>
      <c r="H272" s="1182" t="s">
        <v>2536</v>
      </c>
      <c r="I272" s="1182" t="s">
        <v>1937</v>
      </c>
      <c r="J272" s="1182" t="s">
        <v>2565</v>
      </c>
      <c r="K272" s="1182" t="s">
        <v>1811</v>
      </c>
      <c r="L272" s="1182" t="s">
        <v>1812</v>
      </c>
      <c r="M272" s="1182" t="s">
        <v>1803</v>
      </c>
      <c r="N272" s="1182" t="s">
        <v>1939</v>
      </c>
      <c r="O272" s="1182" t="s">
        <v>1554</v>
      </c>
      <c r="P272" s="1182" t="s">
        <v>1575</v>
      </c>
      <c r="Q272" s="1182" t="s">
        <v>1574</v>
      </c>
      <c r="R272" s="1182" t="s">
        <v>1573</v>
      </c>
      <c r="S272" s="1182" t="s">
        <v>1577</v>
      </c>
      <c r="T272" s="1182" t="s">
        <v>1814</v>
      </c>
      <c r="U272" s="1182" t="s">
        <v>1815</v>
      </c>
      <c r="V272" s="1182">
        <v>0</v>
      </c>
      <c r="W272" s="1182">
        <v>0</v>
      </c>
      <c r="X272" s="1182">
        <v>0</v>
      </c>
      <c r="Y272" s="1183">
        <v>300</v>
      </c>
      <c r="Z272" s="1182" t="s">
        <v>1940</v>
      </c>
      <c r="AA272" s="1182" t="s">
        <v>1941</v>
      </c>
      <c r="AB272" s="1182">
        <v>300</v>
      </c>
      <c r="AC272" s="1182" t="s">
        <v>1942</v>
      </c>
      <c r="AD272" s="1182" t="s">
        <v>1577</v>
      </c>
      <c r="AE272" s="1182">
        <v>300</v>
      </c>
      <c r="AF272" s="1182" t="s">
        <v>1943</v>
      </c>
      <c r="AG272" s="1182" t="s">
        <v>1944</v>
      </c>
      <c r="AH272" s="1182">
        <v>0</v>
      </c>
      <c r="AI272" s="1182">
        <v>300</v>
      </c>
      <c r="AJ272" s="1182" t="s">
        <v>2566</v>
      </c>
      <c r="AL272" s="1186" t="s">
        <v>2567</v>
      </c>
      <c r="AM272" s="1182">
        <v>1</v>
      </c>
      <c r="AN272" s="1182">
        <v>0</v>
      </c>
      <c r="AO272" s="1182">
        <v>0</v>
      </c>
      <c r="AP272" s="1182">
        <v>0</v>
      </c>
      <c r="AQ272" s="1182" t="s">
        <v>1639</v>
      </c>
      <c r="AS272" s="1186" t="s">
        <v>1943</v>
      </c>
      <c r="AT272" s="1186" t="s">
        <v>1944</v>
      </c>
      <c r="AV272" s="1183">
        <v>138</v>
      </c>
      <c r="AW272" s="1183">
        <v>0</v>
      </c>
      <c r="AX272" s="1183">
        <v>0</v>
      </c>
      <c r="AY272" s="1538">
        <v>138</v>
      </c>
      <c r="AZ272" s="1183">
        <v>0</v>
      </c>
      <c r="BA272" s="1183">
        <v>162</v>
      </c>
      <c r="BB272" s="1540">
        <v>162</v>
      </c>
      <c r="BC272" s="1540">
        <v>300</v>
      </c>
      <c r="BD272" s="1540">
        <v>0</v>
      </c>
      <c r="BF272" s="1539">
        <f t="shared" si="71"/>
        <v>138</v>
      </c>
      <c r="BG272" s="1539">
        <f t="shared" si="72"/>
        <v>0</v>
      </c>
      <c r="BH272" s="1539">
        <f t="shared" si="73"/>
        <v>0</v>
      </c>
      <c r="BI272" s="1539">
        <f t="shared" si="74"/>
        <v>138</v>
      </c>
      <c r="BJ272" s="1539">
        <f t="shared" si="75"/>
        <v>0</v>
      </c>
      <c r="BK272" s="1539">
        <f t="shared" si="76"/>
        <v>162</v>
      </c>
      <c r="BL272" s="1539">
        <f t="shared" si="77"/>
        <v>162</v>
      </c>
      <c r="BM272" s="1539">
        <f t="shared" si="78"/>
        <v>300</v>
      </c>
      <c r="BO272" s="1183"/>
      <c r="BQ272" s="1182">
        <f t="shared" si="79"/>
        <v>0</v>
      </c>
      <c r="BR272" s="1182">
        <f t="shared" si="80"/>
        <v>0</v>
      </c>
      <c r="BS272" s="1182">
        <f t="shared" si="70"/>
        <v>0</v>
      </c>
      <c r="BT272" s="1182">
        <f t="shared" si="70"/>
        <v>0</v>
      </c>
    </row>
    <row r="273" spans="1:72" ht="13.5" customHeight="1">
      <c r="A273" s="1182" t="s">
        <v>1803</v>
      </c>
      <c r="B273" s="1182" t="s">
        <v>1804</v>
      </c>
      <c r="C273" s="1182" t="s">
        <v>1639</v>
      </c>
      <c r="D273" s="1182" t="s">
        <v>2534</v>
      </c>
      <c r="E273" s="1182" t="s">
        <v>2535</v>
      </c>
      <c r="F273" s="1182" t="s">
        <v>2489</v>
      </c>
      <c r="G273" s="1182" t="s">
        <v>2489</v>
      </c>
      <c r="H273" s="1182" t="s">
        <v>2536</v>
      </c>
      <c r="I273" s="1182" t="s">
        <v>1937</v>
      </c>
      <c r="J273" s="1182" t="s">
        <v>2572</v>
      </c>
      <c r="K273" s="1182" t="s">
        <v>1811</v>
      </c>
      <c r="L273" s="1182" t="s">
        <v>1812</v>
      </c>
      <c r="M273" s="1182" t="s">
        <v>1803</v>
      </c>
      <c r="N273" s="1182" t="s">
        <v>1939</v>
      </c>
      <c r="O273" s="1182" t="s">
        <v>1554</v>
      </c>
      <c r="P273" s="1182" t="s">
        <v>1575</v>
      </c>
      <c r="Q273" s="1182" t="s">
        <v>1574</v>
      </c>
      <c r="R273" s="1182" t="s">
        <v>1573</v>
      </c>
      <c r="S273" s="1182" t="s">
        <v>1577</v>
      </c>
      <c r="T273" s="1182" t="s">
        <v>1814</v>
      </c>
      <c r="U273" s="1182" t="s">
        <v>1815</v>
      </c>
      <c r="V273" s="1182">
        <v>0</v>
      </c>
      <c r="W273" s="1182">
        <v>0</v>
      </c>
      <c r="X273" s="1182">
        <v>0</v>
      </c>
      <c r="Y273" s="1183">
        <v>600</v>
      </c>
      <c r="Z273" s="1182" t="s">
        <v>1940</v>
      </c>
      <c r="AA273" s="1182" t="s">
        <v>1941</v>
      </c>
      <c r="AB273" s="1182">
        <v>600</v>
      </c>
      <c r="AC273" s="1182" t="s">
        <v>1942</v>
      </c>
      <c r="AD273" s="1182" t="s">
        <v>1577</v>
      </c>
      <c r="AE273" s="1182">
        <v>600</v>
      </c>
      <c r="AF273" s="1182" t="s">
        <v>1943</v>
      </c>
      <c r="AG273" s="1182" t="s">
        <v>1944</v>
      </c>
      <c r="AH273" s="1182">
        <v>0</v>
      </c>
      <c r="AI273" s="1182">
        <v>600</v>
      </c>
      <c r="AJ273" s="1182" t="s">
        <v>2573</v>
      </c>
      <c r="AL273" s="1186" t="s">
        <v>2574</v>
      </c>
      <c r="AM273" s="1182">
        <v>1</v>
      </c>
      <c r="AN273" s="1182">
        <v>0</v>
      </c>
      <c r="AO273" s="1182">
        <v>0</v>
      </c>
      <c r="AP273" s="1182">
        <v>0</v>
      </c>
      <c r="AQ273" s="1182" t="s">
        <v>1639</v>
      </c>
      <c r="AS273" s="1186" t="s">
        <v>1943</v>
      </c>
      <c r="AT273" s="1186" t="s">
        <v>1944</v>
      </c>
      <c r="AV273" s="1183">
        <v>276</v>
      </c>
      <c r="AW273" s="1183">
        <v>0</v>
      </c>
      <c r="AX273" s="1183">
        <v>0</v>
      </c>
      <c r="AY273" s="1538">
        <v>276</v>
      </c>
      <c r="AZ273" s="1183">
        <v>0</v>
      </c>
      <c r="BA273" s="1183">
        <v>324</v>
      </c>
      <c r="BB273" s="1540">
        <v>324</v>
      </c>
      <c r="BC273" s="1540">
        <v>600</v>
      </c>
      <c r="BD273" s="1540">
        <v>0</v>
      </c>
      <c r="BF273" s="1539">
        <f t="shared" si="71"/>
        <v>276</v>
      </c>
      <c r="BG273" s="1539">
        <f t="shared" si="72"/>
        <v>0</v>
      </c>
      <c r="BH273" s="1539">
        <f t="shared" si="73"/>
        <v>0</v>
      </c>
      <c r="BI273" s="1539">
        <f t="shared" si="74"/>
        <v>276</v>
      </c>
      <c r="BJ273" s="1539">
        <f t="shared" si="75"/>
        <v>0</v>
      </c>
      <c r="BK273" s="1539">
        <f t="shared" si="76"/>
        <v>324</v>
      </c>
      <c r="BL273" s="1539">
        <f t="shared" si="77"/>
        <v>324</v>
      </c>
      <c r="BM273" s="1539">
        <f t="shared" si="78"/>
        <v>600</v>
      </c>
      <c r="BO273" s="1183"/>
      <c r="BQ273" s="1182">
        <f t="shared" si="79"/>
        <v>0</v>
      </c>
      <c r="BR273" s="1182">
        <f t="shared" si="80"/>
        <v>0</v>
      </c>
      <c r="BS273" s="1182">
        <f t="shared" si="70"/>
        <v>0</v>
      </c>
      <c r="BT273" s="1182">
        <f t="shared" si="70"/>
        <v>0</v>
      </c>
    </row>
    <row r="274" spans="1:72" ht="13.5" customHeight="1">
      <c r="A274" s="1182" t="s">
        <v>1803</v>
      </c>
      <c r="B274" s="1182" t="s">
        <v>1804</v>
      </c>
      <c r="C274" s="1182" t="s">
        <v>1639</v>
      </c>
      <c r="D274" s="1182" t="s">
        <v>2534</v>
      </c>
      <c r="E274" s="1182" t="s">
        <v>2535</v>
      </c>
      <c r="F274" s="1182" t="s">
        <v>2219</v>
      </c>
      <c r="G274" s="1182" t="s">
        <v>2219</v>
      </c>
      <c r="H274" s="1182" t="s">
        <v>2536</v>
      </c>
      <c r="I274" s="1182" t="s">
        <v>1937</v>
      </c>
      <c r="J274" s="1182" t="s">
        <v>2554</v>
      </c>
      <c r="K274" s="1182" t="s">
        <v>1811</v>
      </c>
      <c r="L274" s="1182" t="s">
        <v>1812</v>
      </c>
      <c r="M274" s="1182" t="s">
        <v>1803</v>
      </c>
      <c r="N274" s="1182" t="s">
        <v>1939</v>
      </c>
      <c r="O274" s="1182" t="s">
        <v>1554</v>
      </c>
      <c r="P274" s="1182" t="s">
        <v>1575</v>
      </c>
      <c r="Q274" s="1182" t="s">
        <v>1574</v>
      </c>
      <c r="R274" s="1182" t="s">
        <v>1573</v>
      </c>
      <c r="S274" s="1182" t="s">
        <v>1577</v>
      </c>
      <c r="T274" s="1182" t="s">
        <v>1814</v>
      </c>
      <c r="U274" s="1182" t="s">
        <v>1815</v>
      </c>
      <c r="V274" s="1182">
        <v>0</v>
      </c>
      <c r="W274" s="1182">
        <v>0</v>
      </c>
      <c r="X274" s="1182">
        <v>0</v>
      </c>
      <c r="Y274" s="1183">
        <v>600</v>
      </c>
      <c r="Z274" s="1182" t="s">
        <v>1940</v>
      </c>
      <c r="AA274" s="1182" t="s">
        <v>1941</v>
      </c>
      <c r="AB274" s="1182">
        <v>600</v>
      </c>
      <c r="AC274" s="1182" t="s">
        <v>1942</v>
      </c>
      <c r="AD274" s="1182" t="s">
        <v>1577</v>
      </c>
      <c r="AE274" s="1182">
        <v>600</v>
      </c>
      <c r="AF274" s="1182" t="s">
        <v>1943</v>
      </c>
      <c r="AG274" s="1182" t="s">
        <v>1944</v>
      </c>
      <c r="AH274" s="1182">
        <v>0</v>
      </c>
      <c r="AI274" s="1182">
        <v>600</v>
      </c>
      <c r="AJ274" s="1182" t="s">
        <v>2555</v>
      </c>
      <c r="AL274" s="1186" t="s">
        <v>2556</v>
      </c>
      <c r="AM274" s="1182">
        <v>1</v>
      </c>
      <c r="AN274" s="1182">
        <v>0</v>
      </c>
      <c r="AO274" s="1182">
        <v>0</v>
      </c>
      <c r="AP274" s="1182">
        <v>0</v>
      </c>
      <c r="AQ274" s="1182" t="s">
        <v>1639</v>
      </c>
      <c r="AS274" s="1186" t="s">
        <v>1943</v>
      </c>
      <c r="AT274" s="1186" t="s">
        <v>1944</v>
      </c>
      <c r="AV274" s="1183">
        <v>276</v>
      </c>
      <c r="AW274" s="1183">
        <v>0</v>
      </c>
      <c r="AX274" s="1183">
        <v>0</v>
      </c>
      <c r="AY274" s="1538">
        <v>276</v>
      </c>
      <c r="AZ274" s="1183">
        <v>0</v>
      </c>
      <c r="BA274" s="1183">
        <v>324</v>
      </c>
      <c r="BB274" s="1540">
        <v>324</v>
      </c>
      <c r="BC274" s="1540">
        <v>600</v>
      </c>
      <c r="BD274" s="1540">
        <v>0</v>
      </c>
      <c r="BF274" s="1539">
        <f t="shared" si="71"/>
        <v>276</v>
      </c>
      <c r="BG274" s="1539">
        <f t="shared" si="72"/>
        <v>0</v>
      </c>
      <c r="BH274" s="1539">
        <f t="shared" si="73"/>
        <v>0</v>
      </c>
      <c r="BI274" s="1539">
        <f t="shared" si="74"/>
        <v>276</v>
      </c>
      <c r="BJ274" s="1539">
        <f t="shared" si="75"/>
        <v>0</v>
      </c>
      <c r="BK274" s="1539">
        <f t="shared" si="76"/>
        <v>324</v>
      </c>
      <c r="BL274" s="1539">
        <f t="shared" si="77"/>
        <v>324</v>
      </c>
      <c r="BM274" s="1539">
        <f t="shared" si="78"/>
        <v>600</v>
      </c>
      <c r="BO274" s="1183"/>
      <c r="BQ274" s="1182">
        <f t="shared" si="79"/>
        <v>0</v>
      </c>
      <c r="BR274" s="1182">
        <f t="shared" si="80"/>
        <v>0</v>
      </c>
      <c r="BS274" s="1182">
        <f t="shared" ref="BS274:BT322" si="81">AZ274*100/(100+$AT274)-BJ274</f>
        <v>0</v>
      </c>
      <c r="BT274" s="1182">
        <f t="shared" si="81"/>
        <v>0</v>
      </c>
    </row>
    <row r="275" spans="1:72" ht="13.5" customHeight="1">
      <c r="A275" s="1182" t="s">
        <v>1803</v>
      </c>
      <c r="B275" s="1182" t="s">
        <v>1804</v>
      </c>
      <c r="C275" s="1182" t="s">
        <v>1639</v>
      </c>
      <c r="D275" s="1182" t="s">
        <v>2534</v>
      </c>
      <c r="E275" s="1182" t="s">
        <v>2535</v>
      </c>
      <c r="F275" s="1182" t="s">
        <v>2575</v>
      </c>
      <c r="G275" s="1182" t="s">
        <v>2575</v>
      </c>
      <c r="H275" s="1182" t="s">
        <v>2536</v>
      </c>
      <c r="I275" s="1182" t="s">
        <v>1937</v>
      </c>
      <c r="J275" s="1182" t="s">
        <v>2576</v>
      </c>
      <c r="K275" s="1182" t="s">
        <v>1811</v>
      </c>
      <c r="L275" s="1182" t="s">
        <v>1812</v>
      </c>
      <c r="M275" s="1182" t="s">
        <v>1803</v>
      </c>
      <c r="N275" s="1182" t="s">
        <v>1939</v>
      </c>
      <c r="O275" s="1182" t="s">
        <v>1554</v>
      </c>
      <c r="P275" s="1182" t="s">
        <v>1575</v>
      </c>
      <c r="Q275" s="1182" t="s">
        <v>1574</v>
      </c>
      <c r="R275" s="1182" t="s">
        <v>1573</v>
      </c>
      <c r="S275" s="1182" t="s">
        <v>1577</v>
      </c>
      <c r="T275" s="1182" t="s">
        <v>1814</v>
      </c>
      <c r="U275" s="1182" t="s">
        <v>1815</v>
      </c>
      <c r="V275" s="1182">
        <v>0</v>
      </c>
      <c r="W275" s="1182">
        <v>0</v>
      </c>
      <c r="X275" s="1182">
        <v>0</v>
      </c>
      <c r="Y275" s="1183">
        <v>300</v>
      </c>
      <c r="Z275" s="1182" t="s">
        <v>1940</v>
      </c>
      <c r="AA275" s="1182" t="s">
        <v>1941</v>
      </c>
      <c r="AB275" s="1182">
        <v>300</v>
      </c>
      <c r="AC275" s="1182" t="s">
        <v>1942</v>
      </c>
      <c r="AD275" s="1182" t="s">
        <v>1577</v>
      </c>
      <c r="AE275" s="1182">
        <v>300</v>
      </c>
      <c r="AF275" s="1182" t="s">
        <v>1943</v>
      </c>
      <c r="AG275" s="1182" t="s">
        <v>1944</v>
      </c>
      <c r="AH275" s="1182">
        <v>0</v>
      </c>
      <c r="AI275" s="1182">
        <v>300</v>
      </c>
      <c r="AJ275" s="1182" t="s">
        <v>2577</v>
      </c>
      <c r="AL275" s="1186" t="s">
        <v>2578</v>
      </c>
      <c r="AM275" s="1182">
        <v>1</v>
      </c>
      <c r="AN275" s="1182">
        <v>0</v>
      </c>
      <c r="AO275" s="1182">
        <v>0</v>
      </c>
      <c r="AP275" s="1182">
        <v>0</v>
      </c>
      <c r="AQ275" s="1182" t="s">
        <v>1639</v>
      </c>
      <c r="AS275" s="1186" t="s">
        <v>1943</v>
      </c>
      <c r="AT275" s="1186" t="s">
        <v>1944</v>
      </c>
      <c r="AV275" s="1183">
        <v>138</v>
      </c>
      <c r="AW275" s="1183">
        <v>0</v>
      </c>
      <c r="AX275" s="1183">
        <v>0</v>
      </c>
      <c r="AY275" s="1538">
        <v>138</v>
      </c>
      <c r="AZ275" s="1183">
        <v>0</v>
      </c>
      <c r="BA275" s="1183">
        <v>162</v>
      </c>
      <c r="BB275" s="1540">
        <v>162</v>
      </c>
      <c r="BC275" s="1540">
        <v>300</v>
      </c>
      <c r="BD275" s="1540">
        <v>0</v>
      </c>
      <c r="BF275" s="1539">
        <f t="shared" si="71"/>
        <v>138</v>
      </c>
      <c r="BG275" s="1539">
        <f t="shared" si="72"/>
        <v>0</v>
      </c>
      <c r="BH275" s="1539">
        <f t="shared" si="73"/>
        <v>0</v>
      </c>
      <c r="BI275" s="1539">
        <f t="shared" si="74"/>
        <v>138</v>
      </c>
      <c r="BJ275" s="1539">
        <f t="shared" si="75"/>
        <v>0</v>
      </c>
      <c r="BK275" s="1539">
        <f t="shared" si="76"/>
        <v>162</v>
      </c>
      <c r="BL275" s="1539">
        <f t="shared" si="77"/>
        <v>162</v>
      </c>
      <c r="BM275" s="1539">
        <f t="shared" si="78"/>
        <v>300</v>
      </c>
      <c r="BO275" s="1183"/>
      <c r="BQ275" s="1182">
        <f t="shared" si="79"/>
        <v>0</v>
      </c>
      <c r="BR275" s="1182">
        <f t="shared" si="80"/>
        <v>0</v>
      </c>
      <c r="BS275" s="1182">
        <f t="shared" si="81"/>
        <v>0</v>
      </c>
      <c r="BT275" s="1182">
        <f t="shared" si="81"/>
        <v>0</v>
      </c>
    </row>
    <row r="276" spans="1:72" ht="13.5" customHeight="1">
      <c r="A276" s="1182" t="s">
        <v>1803</v>
      </c>
      <c r="B276" s="1182" t="s">
        <v>1804</v>
      </c>
      <c r="C276" s="1182" t="s">
        <v>1639</v>
      </c>
      <c r="D276" s="1182" t="s">
        <v>2534</v>
      </c>
      <c r="E276" s="1182" t="s">
        <v>2535</v>
      </c>
      <c r="F276" s="1182" t="s">
        <v>1852</v>
      </c>
      <c r="G276" s="1182" t="s">
        <v>1852</v>
      </c>
      <c r="H276" s="1182" t="s">
        <v>2536</v>
      </c>
      <c r="I276" s="1182" t="s">
        <v>1937</v>
      </c>
      <c r="J276" s="1182" t="s">
        <v>2579</v>
      </c>
      <c r="K276" s="1182" t="s">
        <v>1811</v>
      </c>
      <c r="L276" s="1182" t="s">
        <v>1812</v>
      </c>
      <c r="M276" s="1182" t="s">
        <v>1803</v>
      </c>
      <c r="N276" s="1182" t="s">
        <v>1939</v>
      </c>
      <c r="O276" s="1182" t="s">
        <v>1554</v>
      </c>
      <c r="P276" s="1182" t="s">
        <v>1575</v>
      </c>
      <c r="Q276" s="1182" t="s">
        <v>1574</v>
      </c>
      <c r="R276" s="1182" t="s">
        <v>1573</v>
      </c>
      <c r="S276" s="1182" t="s">
        <v>1577</v>
      </c>
      <c r="T276" s="1182" t="s">
        <v>1814</v>
      </c>
      <c r="U276" s="1182" t="s">
        <v>1815</v>
      </c>
      <c r="V276" s="1182">
        <v>0</v>
      </c>
      <c r="W276" s="1182">
        <v>0</v>
      </c>
      <c r="X276" s="1182">
        <v>0</v>
      </c>
      <c r="Y276" s="1183">
        <v>300</v>
      </c>
      <c r="Z276" s="1182" t="s">
        <v>1940</v>
      </c>
      <c r="AA276" s="1182" t="s">
        <v>1941</v>
      </c>
      <c r="AB276" s="1182">
        <v>300</v>
      </c>
      <c r="AC276" s="1182" t="s">
        <v>1942</v>
      </c>
      <c r="AD276" s="1182" t="s">
        <v>1577</v>
      </c>
      <c r="AE276" s="1182">
        <v>300</v>
      </c>
      <c r="AF276" s="1182" t="s">
        <v>1943</v>
      </c>
      <c r="AG276" s="1182" t="s">
        <v>1944</v>
      </c>
      <c r="AH276" s="1182">
        <v>0</v>
      </c>
      <c r="AI276" s="1182">
        <v>300</v>
      </c>
      <c r="AJ276" s="1182" t="s">
        <v>2580</v>
      </c>
      <c r="AL276" s="1186" t="s">
        <v>2581</v>
      </c>
      <c r="AM276" s="1182">
        <v>1</v>
      </c>
      <c r="AN276" s="1182">
        <v>0</v>
      </c>
      <c r="AO276" s="1182">
        <v>0</v>
      </c>
      <c r="AP276" s="1182">
        <v>0</v>
      </c>
      <c r="AQ276" s="1182" t="s">
        <v>1639</v>
      </c>
      <c r="AS276" s="1186" t="s">
        <v>1943</v>
      </c>
      <c r="AT276" s="1186" t="s">
        <v>1944</v>
      </c>
      <c r="AV276" s="1183">
        <v>138</v>
      </c>
      <c r="AW276" s="1183">
        <v>0</v>
      </c>
      <c r="AX276" s="1183">
        <v>0</v>
      </c>
      <c r="AY276" s="1538">
        <v>138</v>
      </c>
      <c r="AZ276" s="1183">
        <v>0</v>
      </c>
      <c r="BA276" s="1183">
        <v>162</v>
      </c>
      <c r="BB276" s="1540">
        <v>162</v>
      </c>
      <c r="BC276" s="1540">
        <v>300</v>
      </c>
      <c r="BD276" s="1540">
        <v>0</v>
      </c>
      <c r="BF276" s="1539">
        <f t="shared" si="71"/>
        <v>138</v>
      </c>
      <c r="BG276" s="1539">
        <f t="shared" si="72"/>
        <v>0</v>
      </c>
      <c r="BH276" s="1539">
        <f t="shared" si="73"/>
        <v>0</v>
      </c>
      <c r="BI276" s="1539">
        <f t="shared" si="74"/>
        <v>138</v>
      </c>
      <c r="BJ276" s="1539">
        <f t="shared" si="75"/>
        <v>0</v>
      </c>
      <c r="BK276" s="1539">
        <f t="shared" si="76"/>
        <v>162</v>
      </c>
      <c r="BL276" s="1539">
        <f t="shared" si="77"/>
        <v>162</v>
      </c>
      <c r="BM276" s="1539">
        <f t="shared" si="78"/>
        <v>300</v>
      </c>
      <c r="BO276" s="1183"/>
      <c r="BQ276" s="1182">
        <f t="shared" si="79"/>
        <v>0</v>
      </c>
      <c r="BR276" s="1182">
        <f t="shared" si="80"/>
        <v>0</v>
      </c>
      <c r="BS276" s="1182">
        <f t="shared" si="81"/>
        <v>0</v>
      </c>
      <c r="BT276" s="1182">
        <f t="shared" si="81"/>
        <v>0</v>
      </c>
    </row>
    <row r="277" spans="1:72" ht="13.5" customHeight="1">
      <c r="A277" s="1182" t="s">
        <v>1803</v>
      </c>
      <c r="B277" s="1182" t="s">
        <v>1804</v>
      </c>
      <c r="C277" s="1182" t="s">
        <v>1639</v>
      </c>
      <c r="D277" s="1182" t="s">
        <v>2534</v>
      </c>
      <c r="E277" s="1182" t="s">
        <v>2535</v>
      </c>
      <c r="F277" s="1182" t="s">
        <v>2377</v>
      </c>
      <c r="G277" s="1182" t="s">
        <v>2377</v>
      </c>
      <c r="H277" s="1182" t="s">
        <v>2536</v>
      </c>
      <c r="I277" s="1182" t="s">
        <v>1937</v>
      </c>
      <c r="J277" s="1182" t="s">
        <v>2582</v>
      </c>
      <c r="K277" s="1182" t="s">
        <v>1811</v>
      </c>
      <c r="L277" s="1182" t="s">
        <v>1812</v>
      </c>
      <c r="M277" s="1182" t="s">
        <v>1803</v>
      </c>
      <c r="N277" s="1182" t="s">
        <v>1939</v>
      </c>
      <c r="O277" s="1182" t="s">
        <v>1554</v>
      </c>
      <c r="P277" s="1182" t="s">
        <v>1575</v>
      </c>
      <c r="Q277" s="1182" t="s">
        <v>1574</v>
      </c>
      <c r="R277" s="1182" t="s">
        <v>1573</v>
      </c>
      <c r="S277" s="1182" t="s">
        <v>1577</v>
      </c>
      <c r="T277" s="1182" t="s">
        <v>1814</v>
      </c>
      <c r="U277" s="1182" t="s">
        <v>1815</v>
      </c>
      <c r="V277" s="1182">
        <v>0</v>
      </c>
      <c r="W277" s="1182">
        <v>0</v>
      </c>
      <c r="X277" s="1182">
        <v>0</v>
      </c>
      <c r="Y277" s="1183">
        <v>300</v>
      </c>
      <c r="Z277" s="1182" t="s">
        <v>1940</v>
      </c>
      <c r="AA277" s="1182" t="s">
        <v>1941</v>
      </c>
      <c r="AB277" s="1182">
        <v>300</v>
      </c>
      <c r="AC277" s="1182" t="s">
        <v>1942</v>
      </c>
      <c r="AD277" s="1182" t="s">
        <v>1577</v>
      </c>
      <c r="AE277" s="1182">
        <v>300</v>
      </c>
      <c r="AF277" s="1182" t="s">
        <v>1943</v>
      </c>
      <c r="AG277" s="1182" t="s">
        <v>1944</v>
      </c>
      <c r="AH277" s="1182">
        <v>0</v>
      </c>
      <c r="AI277" s="1182">
        <v>300</v>
      </c>
      <c r="AJ277" s="1182" t="s">
        <v>2583</v>
      </c>
      <c r="AL277" s="1186" t="s">
        <v>2584</v>
      </c>
      <c r="AM277" s="1182">
        <v>1</v>
      </c>
      <c r="AN277" s="1182">
        <v>0</v>
      </c>
      <c r="AO277" s="1182">
        <v>0</v>
      </c>
      <c r="AP277" s="1182">
        <v>0</v>
      </c>
      <c r="AQ277" s="1182" t="s">
        <v>1639</v>
      </c>
      <c r="AS277" s="1186" t="s">
        <v>1943</v>
      </c>
      <c r="AT277" s="1186" t="s">
        <v>1944</v>
      </c>
      <c r="AV277" s="1183">
        <v>138</v>
      </c>
      <c r="AW277" s="1183">
        <v>0</v>
      </c>
      <c r="AX277" s="1183">
        <v>0</v>
      </c>
      <c r="AY277" s="1538">
        <v>138</v>
      </c>
      <c r="AZ277" s="1183">
        <v>0</v>
      </c>
      <c r="BA277" s="1183">
        <v>162</v>
      </c>
      <c r="BB277" s="1540">
        <v>162</v>
      </c>
      <c r="BC277" s="1540">
        <v>300</v>
      </c>
      <c r="BD277" s="1540">
        <v>0</v>
      </c>
      <c r="BF277" s="1539">
        <f t="shared" si="71"/>
        <v>138</v>
      </c>
      <c r="BG277" s="1539">
        <f t="shared" si="72"/>
        <v>0</v>
      </c>
      <c r="BH277" s="1539">
        <f t="shared" si="73"/>
        <v>0</v>
      </c>
      <c r="BI277" s="1539">
        <f t="shared" si="74"/>
        <v>138</v>
      </c>
      <c r="BJ277" s="1539">
        <f t="shared" si="75"/>
        <v>0</v>
      </c>
      <c r="BK277" s="1539">
        <f t="shared" si="76"/>
        <v>162</v>
      </c>
      <c r="BL277" s="1539">
        <f t="shared" si="77"/>
        <v>162</v>
      </c>
      <c r="BM277" s="1539">
        <f t="shared" si="78"/>
        <v>300</v>
      </c>
      <c r="BO277" s="1183"/>
      <c r="BQ277" s="1182">
        <f t="shared" si="79"/>
        <v>0</v>
      </c>
      <c r="BR277" s="1182">
        <f t="shared" si="80"/>
        <v>0</v>
      </c>
      <c r="BS277" s="1182">
        <f t="shared" si="81"/>
        <v>0</v>
      </c>
      <c r="BT277" s="1182">
        <f t="shared" si="81"/>
        <v>0</v>
      </c>
    </row>
    <row r="278" spans="1:72" ht="13.5" customHeight="1">
      <c r="A278" s="1182" t="s">
        <v>1803</v>
      </c>
      <c r="B278" s="1182" t="s">
        <v>1804</v>
      </c>
      <c r="C278" s="1182" t="s">
        <v>1639</v>
      </c>
      <c r="D278" s="1182" t="s">
        <v>1805</v>
      </c>
      <c r="E278" s="1182" t="s">
        <v>1806</v>
      </c>
      <c r="F278" s="1182" t="s">
        <v>2585</v>
      </c>
      <c r="G278" s="1182" t="s">
        <v>2585</v>
      </c>
      <c r="H278" s="1182" t="s">
        <v>2586</v>
      </c>
      <c r="I278" s="1182" t="s">
        <v>1937</v>
      </c>
      <c r="J278" s="1182" t="s">
        <v>2587</v>
      </c>
      <c r="K278" s="1182" t="s">
        <v>1811</v>
      </c>
      <c r="L278" s="1182" t="s">
        <v>1812</v>
      </c>
      <c r="M278" s="1182" t="s">
        <v>1803</v>
      </c>
      <c r="N278" s="1182" t="s">
        <v>1939</v>
      </c>
      <c r="O278" s="1182" t="s">
        <v>1554</v>
      </c>
      <c r="P278" s="1182" t="s">
        <v>1575</v>
      </c>
      <c r="Q278" s="1182" t="s">
        <v>1574</v>
      </c>
      <c r="R278" s="1182" t="s">
        <v>1573</v>
      </c>
      <c r="S278" s="1182" t="s">
        <v>1577</v>
      </c>
      <c r="T278" s="1182" t="s">
        <v>1814</v>
      </c>
      <c r="U278" s="1182" t="s">
        <v>1815</v>
      </c>
      <c r="V278" s="1182">
        <v>0</v>
      </c>
      <c r="W278" s="1182">
        <v>0</v>
      </c>
      <c r="X278" s="1182">
        <v>0</v>
      </c>
      <c r="Y278" s="1183">
        <v>350</v>
      </c>
      <c r="Z278" s="1182" t="s">
        <v>1940</v>
      </c>
      <c r="AA278" s="1182" t="s">
        <v>1941</v>
      </c>
      <c r="AB278" s="1182">
        <v>350</v>
      </c>
      <c r="AC278" s="1182" t="s">
        <v>1942</v>
      </c>
      <c r="AD278" s="1182" t="s">
        <v>1577</v>
      </c>
      <c r="AE278" s="1182">
        <v>350</v>
      </c>
      <c r="AF278" s="1182" t="s">
        <v>1943</v>
      </c>
      <c r="AG278" s="1182" t="s">
        <v>1944</v>
      </c>
      <c r="AH278" s="1182">
        <v>0</v>
      </c>
      <c r="AI278" s="1182">
        <v>350</v>
      </c>
      <c r="AJ278" s="1182" t="s">
        <v>2588</v>
      </c>
      <c r="AL278" s="1186" t="s">
        <v>2589</v>
      </c>
      <c r="AM278" s="1182">
        <v>1</v>
      </c>
      <c r="AN278" s="1182">
        <v>0</v>
      </c>
      <c r="AO278" s="1182">
        <v>0</v>
      </c>
      <c r="AP278" s="1182">
        <v>0</v>
      </c>
      <c r="AQ278" s="1182" t="s">
        <v>1639</v>
      </c>
      <c r="AS278" s="1186" t="s">
        <v>1943</v>
      </c>
      <c r="AT278" s="1186" t="s">
        <v>1944</v>
      </c>
      <c r="AV278" s="1183">
        <v>0</v>
      </c>
      <c r="AW278" s="1183">
        <v>0</v>
      </c>
      <c r="AX278" s="1183">
        <v>0</v>
      </c>
      <c r="AY278" s="1538">
        <v>0</v>
      </c>
      <c r="AZ278" s="1183">
        <v>0</v>
      </c>
      <c r="BA278" s="1183">
        <v>350</v>
      </c>
      <c r="BB278" s="1540">
        <v>350</v>
      </c>
      <c r="BC278" s="1540">
        <v>350</v>
      </c>
      <c r="BD278" s="1540">
        <v>0</v>
      </c>
      <c r="BF278" s="1539">
        <f t="shared" si="71"/>
        <v>0</v>
      </c>
      <c r="BG278" s="1539">
        <f t="shared" si="72"/>
        <v>0</v>
      </c>
      <c r="BH278" s="1539">
        <f t="shared" si="73"/>
        <v>0</v>
      </c>
      <c r="BI278" s="1539">
        <f t="shared" si="74"/>
        <v>0</v>
      </c>
      <c r="BJ278" s="1539">
        <f t="shared" si="75"/>
        <v>0</v>
      </c>
      <c r="BK278" s="1539">
        <f t="shared" si="76"/>
        <v>350</v>
      </c>
      <c r="BL278" s="1539">
        <f t="shared" si="77"/>
        <v>350</v>
      </c>
      <c r="BM278" s="1539">
        <f t="shared" si="78"/>
        <v>350</v>
      </c>
      <c r="BO278" s="1183"/>
      <c r="BQ278" s="1182">
        <f t="shared" si="79"/>
        <v>0</v>
      </c>
      <c r="BR278" s="1182">
        <f t="shared" si="80"/>
        <v>0</v>
      </c>
      <c r="BS278" s="1182">
        <f t="shared" si="81"/>
        <v>0</v>
      </c>
      <c r="BT278" s="1182">
        <f t="shared" si="81"/>
        <v>0</v>
      </c>
    </row>
    <row r="279" spans="1:72" ht="13.5" customHeight="1">
      <c r="A279" s="1182" t="s">
        <v>1803</v>
      </c>
      <c r="B279" s="1182" t="s">
        <v>1804</v>
      </c>
      <c r="C279" s="1182" t="s">
        <v>1639</v>
      </c>
      <c r="D279" s="1182" t="s">
        <v>2590</v>
      </c>
      <c r="E279" s="1182" t="s">
        <v>2591</v>
      </c>
      <c r="F279" s="1182" t="s">
        <v>2603</v>
      </c>
      <c r="G279" s="1182" t="s">
        <v>2603</v>
      </c>
      <c r="H279" s="1182" t="s">
        <v>2593</v>
      </c>
      <c r="I279" s="1182" t="s">
        <v>1937</v>
      </c>
      <c r="J279" s="1182" t="s">
        <v>2604</v>
      </c>
      <c r="K279" s="1182" t="s">
        <v>1811</v>
      </c>
      <c r="L279" s="1182" t="s">
        <v>1812</v>
      </c>
      <c r="M279" s="1182" t="s">
        <v>1803</v>
      </c>
      <c r="N279" s="1182" t="s">
        <v>2595</v>
      </c>
      <c r="O279" s="1182" t="s">
        <v>1554</v>
      </c>
      <c r="P279" s="1182" t="s">
        <v>1575</v>
      </c>
      <c r="Q279" s="1182" t="s">
        <v>1574</v>
      </c>
      <c r="R279" s="1182" t="s">
        <v>1573</v>
      </c>
      <c r="S279" s="1182" t="s">
        <v>1572</v>
      </c>
      <c r="T279" s="1182" t="s">
        <v>1814</v>
      </c>
      <c r="U279" s="1182" t="s">
        <v>1815</v>
      </c>
      <c r="V279" s="1182">
        <v>0</v>
      </c>
      <c r="W279" s="1182">
        <v>0</v>
      </c>
      <c r="X279" s="1182">
        <v>0</v>
      </c>
      <c r="Y279" s="1183">
        <v>15000</v>
      </c>
      <c r="Z279" s="1182" t="s">
        <v>1940</v>
      </c>
      <c r="AA279" s="1182" t="s">
        <v>1941</v>
      </c>
      <c r="AB279" s="1182">
        <v>15000</v>
      </c>
      <c r="AC279" s="1182" t="s">
        <v>2596</v>
      </c>
      <c r="AD279" s="1182" t="s">
        <v>1572</v>
      </c>
      <c r="AE279" s="1182">
        <v>15000</v>
      </c>
      <c r="AF279" s="1182" t="s">
        <v>1943</v>
      </c>
      <c r="AG279" s="1182" t="s">
        <v>1944</v>
      </c>
      <c r="AH279" s="1182">
        <v>0</v>
      </c>
      <c r="AI279" s="1182">
        <v>15000</v>
      </c>
      <c r="AJ279" s="1182" t="s">
        <v>2605</v>
      </c>
      <c r="AL279" s="1186" t="s">
        <v>2606</v>
      </c>
      <c r="AM279" s="1182">
        <v>1</v>
      </c>
      <c r="AN279" s="1182">
        <v>0</v>
      </c>
      <c r="AO279" s="1182">
        <v>0</v>
      </c>
      <c r="AP279" s="1182">
        <v>0</v>
      </c>
      <c r="AQ279" s="1182" t="s">
        <v>1639</v>
      </c>
      <c r="AS279" s="1186" t="s">
        <v>1943</v>
      </c>
      <c r="AT279" s="1186" t="s">
        <v>1944</v>
      </c>
      <c r="AV279" s="1183">
        <v>0</v>
      </c>
      <c r="AW279" s="1183">
        <v>0</v>
      </c>
      <c r="AX279" s="1183">
        <v>0</v>
      </c>
      <c r="AY279" s="1538">
        <v>0</v>
      </c>
      <c r="AZ279" s="1183">
        <v>7500</v>
      </c>
      <c r="BA279" s="1183">
        <v>7500</v>
      </c>
      <c r="BB279" s="1540">
        <v>15000</v>
      </c>
      <c r="BC279" s="1540">
        <v>15000</v>
      </c>
      <c r="BD279" s="1540">
        <v>0</v>
      </c>
      <c r="BF279" s="1539">
        <f t="shared" si="71"/>
        <v>0</v>
      </c>
      <c r="BG279" s="1539">
        <f t="shared" si="72"/>
        <v>0</v>
      </c>
      <c r="BH279" s="1539">
        <f t="shared" si="73"/>
        <v>0</v>
      </c>
      <c r="BI279" s="1539">
        <f t="shared" si="74"/>
        <v>0</v>
      </c>
      <c r="BJ279" s="1539">
        <f t="shared" si="75"/>
        <v>7500</v>
      </c>
      <c r="BK279" s="1539">
        <f t="shared" si="76"/>
        <v>7500</v>
      </c>
      <c r="BL279" s="1539">
        <f t="shared" si="77"/>
        <v>15000</v>
      </c>
      <c r="BM279" s="1539">
        <f t="shared" si="78"/>
        <v>15000</v>
      </c>
      <c r="BO279" s="1183"/>
      <c r="BQ279" s="1182">
        <f t="shared" si="79"/>
        <v>0</v>
      </c>
      <c r="BR279" s="1182">
        <f t="shared" si="80"/>
        <v>0</v>
      </c>
      <c r="BS279" s="1182">
        <f t="shared" si="81"/>
        <v>0</v>
      </c>
      <c r="BT279" s="1182">
        <f t="shared" si="81"/>
        <v>0</v>
      </c>
    </row>
    <row r="280" spans="1:72" ht="13.5" customHeight="1">
      <c r="A280" s="1182" t="s">
        <v>1803</v>
      </c>
      <c r="B280" s="1182" t="s">
        <v>1804</v>
      </c>
      <c r="C280" s="1182" t="s">
        <v>1639</v>
      </c>
      <c r="D280" s="1182" t="s">
        <v>2590</v>
      </c>
      <c r="E280" s="1182" t="s">
        <v>2591</v>
      </c>
      <c r="F280" s="1182" t="s">
        <v>2607</v>
      </c>
      <c r="G280" s="1182" t="s">
        <v>2607</v>
      </c>
      <c r="H280" s="1182" t="s">
        <v>2593</v>
      </c>
      <c r="I280" s="1182" t="s">
        <v>1937</v>
      </c>
      <c r="J280" s="1182" t="s">
        <v>2608</v>
      </c>
      <c r="K280" s="1182" t="s">
        <v>1811</v>
      </c>
      <c r="L280" s="1182" t="s">
        <v>1812</v>
      </c>
      <c r="M280" s="1182" t="s">
        <v>1803</v>
      </c>
      <c r="N280" s="1182" t="s">
        <v>2595</v>
      </c>
      <c r="O280" s="1182" t="s">
        <v>1554</v>
      </c>
      <c r="P280" s="1182" t="s">
        <v>1575</v>
      </c>
      <c r="Q280" s="1182" t="s">
        <v>1574</v>
      </c>
      <c r="R280" s="1182" t="s">
        <v>1573</v>
      </c>
      <c r="S280" s="1182" t="s">
        <v>1572</v>
      </c>
      <c r="T280" s="1182" t="s">
        <v>1814</v>
      </c>
      <c r="U280" s="1182" t="s">
        <v>1815</v>
      </c>
      <c r="V280" s="1182">
        <v>0</v>
      </c>
      <c r="W280" s="1182">
        <v>0</v>
      </c>
      <c r="X280" s="1182">
        <v>0</v>
      </c>
      <c r="Y280" s="1183">
        <v>15000</v>
      </c>
      <c r="Z280" s="1182" t="s">
        <v>1940</v>
      </c>
      <c r="AA280" s="1182" t="s">
        <v>1941</v>
      </c>
      <c r="AB280" s="1182">
        <v>15000</v>
      </c>
      <c r="AC280" s="1182" t="s">
        <v>2596</v>
      </c>
      <c r="AD280" s="1182" t="s">
        <v>1572</v>
      </c>
      <c r="AE280" s="1182">
        <v>15000</v>
      </c>
      <c r="AF280" s="1182" t="s">
        <v>1943</v>
      </c>
      <c r="AG280" s="1182" t="s">
        <v>1944</v>
      </c>
      <c r="AH280" s="1182">
        <v>0</v>
      </c>
      <c r="AI280" s="1182">
        <v>15000</v>
      </c>
      <c r="AJ280" s="1182" t="s">
        <v>2609</v>
      </c>
      <c r="AL280" s="1186" t="s">
        <v>2610</v>
      </c>
      <c r="AM280" s="1182">
        <v>1</v>
      </c>
      <c r="AN280" s="1182">
        <v>0</v>
      </c>
      <c r="AO280" s="1182">
        <v>0</v>
      </c>
      <c r="AP280" s="1182">
        <v>0</v>
      </c>
      <c r="AQ280" s="1182" t="s">
        <v>1639</v>
      </c>
      <c r="AS280" s="1186" t="s">
        <v>1943</v>
      </c>
      <c r="AT280" s="1186" t="s">
        <v>1944</v>
      </c>
      <c r="AV280" s="1183">
        <v>0</v>
      </c>
      <c r="AW280" s="1183">
        <v>0</v>
      </c>
      <c r="AX280" s="1183">
        <v>0</v>
      </c>
      <c r="AY280" s="1538">
        <v>0</v>
      </c>
      <c r="AZ280" s="1183">
        <v>7500</v>
      </c>
      <c r="BA280" s="1183">
        <v>7500</v>
      </c>
      <c r="BB280" s="1540">
        <v>15000</v>
      </c>
      <c r="BC280" s="1540">
        <v>15000</v>
      </c>
      <c r="BD280" s="1540">
        <v>0</v>
      </c>
      <c r="BF280" s="1539">
        <f t="shared" si="71"/>
        <v>0</v>
      </c>
      <c r="BG280" s="1539">
        <f t="shared" si="72"/>
        <v>0</v>
      </c>
      <c r="BH280" s="1539">
        <f t="shared" si="73"/>
        <v>0</v>
      </c>
      <c r="BI280" s="1539">
        <f t="shared" si="74"/>
        <v>0</v>
      </c>
      <c r="BJ280" s="1539">
        <f t="shared" si="75"/>
        <v>7500</v>
      </c>
      <c r="BK280" s="1539">
        <f t="shared" si="76"/>
        <v>7500</v>
      </c>
      <c r="BL280" s="1539">
        <f t="shared" si="77"/>
        <v>15000</v>
      </c>
      <c r="BM280" s="1539">
        <f t="shared" si="78"/>
        <v>15000</v>
      </c>
      <c r="BO280" s="1183"/>
      <c r="BQ280" s="1182">
        <f t="shared" si="79"/>
        <v>0</v>
      </c>
      <c r="BR280" s="1182">
        <f t="shared" si="80"/>
        <v>0</v>
      </c>
      <c r="BS280" s="1182">
        <f t="shared" si="81"/>
        <v>0</v>
      </c>
      <c r="BT280" s="1182">
        <f t="shared" si="81"/>
        <v>0</v>
      </c>
    </row>
    <row r="281" spans="1:72" ht="13.5" customHeight="1">
      <c r="A281" s="1182" t="s">
        <v>1803</v>
      </c>
      <c r="B281" s="1182" t="s">
        <v>1804</v>
      </c>
      <c r="C281" s="1182" t="s">
        <v>1639</v>
      </c>
      <c r="D281" s="1182" t="s">
        <v>2590</v>
      </c>
      <c r="E281" s="1182" t="s">
        <v>2591</v>
      </c>
      <c r="F281" s="1182" t="s">
        <v>2611</v>
      </c>
      <c r="G281" s="1182" t="s">
        <v>2611</v>
      </c>
      <c r="H281" s="1182" t="s">
        <v>2593</v>
      </c>
      <c r="I281" s="1182" t="s">
        <v>1937</v>
      </c>
      <c r="J281" s="1182" t="s">
        <v>2612</v>
      </c>
      <c r="K281" s="1182" t="s">
        <v>1811</v>
      </c>
      <c r="L281" s="1182" t="s">
        <v>1812</v>
      </c>
      <c r="M281" s="1182" t="s">
        <v>1803</v>
      </c>
      <c r="N281" s="1182" t="s">
        <v>2595</v>
      </c>
      <c r="O281" s="1182" t="s">
        <v>1554</v>
      </c>
      <c r="P281" s="1182" t="s">
        <v>1575</v>
      </c>
      <c r="Q281" s="1182" t="s">
        <v>1574</v>
      </c>
      <c r="R281" s="1182" t="s">
        <v>1573</v>
      </c>
      <c r="S281" s="1182" t="s">
        <v>1572</v>
      </c>
      <c r="T281" s="1182" t="s">
        <v>1814</v>
      </c>
      <c r="U281" s="1182" t="s">
        <v>1815</v>
      </c>
      <c r="V281" s="1182">
        <v>0</v>
      </c>
      <c r="W281" s="1182">
        <v>0</v>
      </c>
      <c r="X281" s="1182">
        <v>0</v>
      </c>
      <c r="Y281" s="1183">
        <v>4000</v>
      </c>
      <c r="Z281" s="1182" t="s">
        <v>1940</v>
      </c>
      <c r="AA281" s="1182" t="s">
        <v>1941</v>
      </c>
      <c r="AB281" s="1182">
        <v>4000</v>
      </c>
      <c r="AC281" s="1182" t="s">
        <v>2596</v>
      </c>
      <c r="AD281" s="1182" t="s">
        <v>1572</v>
      </c>
      <c r="AE281" s="1182">
        <v>4000</v>
      </c>
      <c r="AF281" s="1182" t="s">
        <v>1943</v>
      </c>
      <c r="AG281" s="1182" t="s">
        <v>1944</v>
      </c>
      <c r="AH281" s="1182">
        <v>0</v>
      </c>
      <c r="AI281" s="1182">
        <v>4000</v>
      </c>
      <c r="AJ281" s="1182" t="s">
        <v>2613</v>
      </c>
      <c r="AL281" s="1186" t="s">
        <v>2614</v>
      </c>
      <c r="AM281" s="1182">
        <v>1</v>
      </c>
      <c r="AN281" s="1182">
        <v>0</v>
      </c>
      <c r="AO281" s="1182">
        <v>0</v>
      </c>
      <c r="AP281" s="1182">
        <v>0</v>
      </c>
      <c r="AQ281" s="1182" t="s">
        <v>1639</v>
      </c>
      <c r="AS281" s="1186" t="s">
        <v>1943</v>
      </c>
      <c r="AT281" s="1186" t="s">
        <v>1944</v>
      </c>
      <c r="AV281" s="1183">
        <v>0</v>
      </c>
      <c r="AW281" s="1183">
        <v>0</v>
      </c>
      <c r="AX281" s="1183">
        <v>0</v>
      </c>
      <c r="AY281" s="1538">
        <v>0</v>
      </c>
      <c r="AZ281" s="1183">
        <v>2000</v>
      </c>
      <c r="BA281" s="1183">
        <v>2000</v>
      </c>
      <c r="BB281" s="1540">
        <v>4000</v>
      </c>
      <c r="BC281" s="1540">
        <v>4000</v>
      </c>
      <c r="BD281" s="1540">
        <v>0</v>
      </c>
      <c r="BF281" s="1539">
        <f t="shared" si="71"/>
        <v>0</v>
      </c>
      <c r="BG281" s="1539">
        <f t="shared" si="72"/>
        <v>0</v>
      </c>
      <c r="BH281" s="1539">
        <f t="shared" si="73"/>
        <v>0</v>
      </c>
      <c r="BI281" s="1539">
        <f t="shared" si="74"/>
        <v>0</v>
      </c>
      <c r="BJ281" s="1539">
        <f t="shared" si="75"/>
        <v>2000</v>
      </c>
      <c r="BK281" s="1539">
        <f t="shared" si="76"/>
        <v>2000</v>
      </c>
      <c r="BL281" s="1539">
        <f t="shared" si="77"/>
        <v>4000</v>
      </c>
      <c r="BM281" s="1539">
        <f t="shared" si="78"/>
        <v>4000</v>
      </c>
      <c r="BO281" s="1183"/>
      <c r="BQ281" s="1182">
        <f t="shared" si="79"/>
        <v>0</v>
      </c>
      <c r="BR281" s="1182">
        <f t="shared" si="80"/>
        <v>0</v>
      </c>
      <c r="BS281" s="1182">
        <f t="shared" si="81"/>
        <v>0</v>
      </c>
      <c r="BT281" s="1182">
        <f t="shared" si="81"/>
        <v>0</v>
      </c>
    </row>
    <row r="282" spans="1:72" ht="13.5" customHeight="1">
      <c r="A282" s="1182" t="s">
        <v>1803</v>
      </c>
      <c r="B282" s="1182" t="s">
        <v>1804</v>
      </c>
      <c r="C282" s="1182" t="s">
        <v>1639</v>
      </c>
      <c r="D282" s="1182" t="s">
        <v>2590</v>
      </c>
      <c r="E282" s="1182" t="s">
        <v>2591</v>
      </c>
      <c r="F282" s="1182" t="s">
        <v>2592</v>
      </c>
      <c r="G282" s="1182" t="s">
        <v>2592</v>
      </c>
      <c r="H282" s="1182" t="s">
        <v>2593</v>
      </c>
      <c r="I282" s="1182" t="s">
        <v>1937</v>
      </c>
      <c r="J282" s="1182" t="s">
        <v>2594</v>
      </c>
      <c r="K282" s="1182" t="s">
        <v>1811</v>
      </c>
      <c r="L282" s="1182" t="s">
        <v>1812</v>
      </c>
      <c r="M282" s="1182" t="s">
        <v>1803</v>
      </c>
      <c r="N282" s="1182" t="s">
        <v>2595</v>
      </c>
      <c r="O282" s="1182" t="s">
        <v>1554</v>
      </c>
      <c r="P282" s="1182" t="s">
        <v>1575</v>
      </c>
      <c r="Q282" s="1182" t="s">
        <v>1574</v>
      </c>
      <c r="R282" s="1182" t="s">
        <v>1573</v>
      </c>
      <c r="S282" s="1182" t="s">
        <v>1572</v>
      </c>
      <c r="T282" s="1182" t="s">
        <v>1814</v>
      </c>
      <c r="U282" s="1182" t="s">
        <v>1815</v>
      </c>
      <c r="V282" s="1182">
        <v>0</v>
      </c>
      <c r="W282" s="1182">
        <v>0</v>
      </c>
      <c r="X282" s="1182">
        <v>0</v>
      </c>
      <c r="Y282" s="1183">
        <v>4000</v>
      </c>
      <c r="Z282" s="1182" t="s">
        <v>1940</v>
      </c>
      <c r="AA282" s="1182" t="s">
        <v>1941</v>
      </c>
      <c r="AB282" s="1182">
        <v>4000</v>
      </c>
      <c r="AC282" s="1182" t="s">
        <v>2596</v>
      </c>
      <c r="AD282" s="1182" t="s">
        <v>1572</v>
      </c>
      <c r="AE282" s="1182">
        <v>4000</v>
      </c>
      <c r="AF282" s="1182" t="s">
        <v>1943</v>
      </c>
      <c r="AG282" s="1182" t="s">
        <v>1944</v>
      </c>
      <c r="AH282" s="1182">
        <v>0</v>
      </c>
      <c r="AI282" s="1182">
        <v>4000</v>
      </c>
      <c r="AJ282" s="1182" t="s">
        <v>2597</v>
      </c>
      <c r="AL282" s="1186" t="s">
        <v>2598</v>
      </c>
      <c r="AM282" s="1182">
        <v>1</v>
      </c>
      <c r="AN282" s="1182">
        <v>0</v>
      </c>
      <c r="AO282" s="1182">
        <v>0</v>
      </c>
      <c r="AP282" s="1182">
        <v>0</v>
      </c>
      <c r="AQ282" s="1182" t="s">
        <v>1639</v>
      </c>
      <c r="AS282" s="1186" t="s">
        <v>1943</v>
      </c>
      <c r="AT282" s="1186" t="s">
        <v>1944</v>
      </c>
      <c r="AV282" s="1183">
        <v>0</v>
      </c>
      <c r="AW282" s="1183">
        <v>0</v>
      </c>
      <c r="AX282" s="1183">
        <v>0</v>
      </c>
      <c r="AY282" s="1538">
        <v>0</v>
      </c>
      <c r="AZ282" s="1183">
        <v>2000</v>
      </c>
      <c r="BA282" s="1183">
        <v>2000</v>
      </c>
      <c r="BB282" s="1540">
        <v>4000</v>
      </c>
      <c r="BC282" s="1540">
        <v>4000</v>
      </c>
      <c r="BD282" s="1540">
        <v>0</v>
      </c>
      <c r="BF282" s="1539">
        <f t="shared" si="71"/>
        <v>0</v>
      </c>
      <c r="BG282" s="1539">
        <f t="shared" si="72"/>
        <v>0</v>
      </c>
      <c r="BH282" s="1539">
        <f t="shared" si="73"/>
        <v>0</v>
      </c>
      <c r="BI282" s="1539">
        <f t="shared" si="74"/>
        <v>0</v>
      </c>
      <c r="BJ282" s="1539">
        <f t="shared" si="75"/>
        <v>2000</v>
      </c>
      <c r="BK282" s="1539">
        <f t="shared" si="76"/>
        <v>2000</v>
      </c>
      <c r="BL282" s="1539">
        <f t="shared" si="77"/>
        <v>4000</v>
      </c>
      <c r="BM282" s="1539">
        <f t="shared" si="78"/>
        <v>4000</v>
      </c>
      <c r="BO282" s="1183"/>
      <c r="BQ282" s="1182">
        <f t="shared" si="79"/>
        <v>0</v>
      </c>
      <c r="BR282" s="1182">
        <f t="shared" si="80"/>
        <v>0</v>
      </c>
      <c r="BS282" s="1182">
        <f t="shared" si="81"/>
        <v>0</v>
      </c>
      <c r="BT282" s="1182">
        <f t="shared" si="81"/>
        <v>0</v>
      </c>
    </row>
    <row r="283" spans="1:72" ht="13.5" customHeight="1">
      <c r="A283" s="1182" t="s">
        <v>1803</v>
      </c>
      <c r="B283" s="1182" t="s">
        <v>1804</v>
      </c>
      <c r="C283" s="1182" t="s">
        <v>1639</v>
      </c>
      <c r="D283" s="1182" t="s">
        <v>2590</v>
      </c>
      <c r="E283" s="1182" t="s">
        <v>2591</v>
      </c>
      <c r="F283" s="1182" t="s">
        <v>2599</v>
      </c>
      <c r="G283" s="1182" t="s">
        <v>2599</v>
      </c>
      <c r="H283" s="1182" t="s">
        <v>2593</v>
      </c>
      <c r="I283" s="1182" t="s">
        <v>1937</v>
      </c>
      <c r="J283" s="1182" t="s">
        <v>2600</v>
      </c>
      <c r="K283" s="1182" t="s">
        <v>1811</v>
      </c>
      <c r="L283" s="1182" t="s">
        <v>1812</v>
      </c>
      <c r="M283" s="1182" t="s">
        <v>1803</v>
      </c>
      <c r="N283" s="1182" t="s">
        <v>2595</v>
      </c>
      <c r="O283" s="1182" t="s">
        <v>1554</v>
      </c>
      <c r="P283" s="1182" t="s">
        <v>1575</v>
      </c>
      <c r="Q283" s="1182" t="s">
        <v>1574</v>
      </c>
      <c r="R283" s="1182" t="s">
        <v>1573</v>
      </c>
      <c r="S283" s="1182" t="s">
        <v>1572</v>
      </c>
      <c r="T283" s="1182" t="s">
        <v>1814</v>
      </c>
      <c r="U283" s="1182" t="s">
        <v>1815</v>
      </c>
      <c r="V283" s="1182">
        <v>0</v>
      </c>
      <c r="W283" s="1182">
        <v>0</v>
      </c>
      <c r="X283" s="1182">
        <v>0</v>
      </c>
      <c r="Y283" s="1183">
        <v>8000</v>
      </c>
      <c r="Z283" s="1182" t="s">
        <v>1940</v>
      </c>
      <c r="AA283" s="1182" t="s">
        <v>1941</v>
      </c>
      <c r="AB283" s="1182">
        <v>8000</v>
      </c>
      <c r="AC283" s="1182" t="s">
        <v>2596</v>
      </c>
      <c r="AD283" s="1182" t="s">
        <v>1572</v>
      </c>
      <c r="AE283" s="1182">
        <v>8000</v>
      </c>
      <c r="AF283" s="1182" t="s">
        <v>1943</v>
      </c>
      <c r="AG283" s="1182" t="s">
        <v>1944</v>
      </c>
      <c r="AH283" s="1182">
        <v>0</v>
      </c>
      <c r="AI283" s="1182">
        <v>8000</v>
      </c>
      <c r="AJ283" s="1182" t="s">
        <v>2601</v>
      </c>
      <c r="AL283" s="1186" t="s">
        <v>2602</v>
      </c>
      <c r="AM283" s="1182">
        <v>1</v>
      </c>
      <c r="AN283" s="1182">
        <v>0</v>
      </c>
      <c r="AO283" s="1182">
        <v>0</v>
      </c>
      <c r="AP283" s="1182">
        <v>0</v>
      </c>
      <c r="AQ283" s="1182" t="s">
        <v>1639</v>
      </c>
      <c r="AS283" s="1186" t="s">
        <v>1943</v>
      </c>
      <c r="AT283" s="1186" t="s">
        <v>1944</v>
      </c>
      <c r="AV283" s="1183">
        <v>0</v>
      </c>
      <c r="AW283" s="1183">
        <v>0</v>
      </c>
      <c r="AX283" s="1183">
        <v>0</v>
      </c>
      <c r="AY283" s="1538">
        <v>0</v>
      </c>
      <c r="AZ283" s="1183">
        <v>4000</v>
      </c>
      <c r="BA283" s="1183">
        <v>4000</v>
      </c>
      <c r="BB283" s="1540">
        <v>8000</v>
      </c>
      <c r="BC283" s="1540">
        <v>8000</v>
      </c>
      <c r="BD283" s="1540">
        <v>0</v>
      </c>
      <c r="BF283" s="1539">
        <f t="shared" si="71"/>
        <v>0</v>
      </c>
      <c r="BG283" s="1539">
        <f t="shared" si="72"/>
        <v>0</v>
      </c>
      <c r="BH283" s="1539">
        <f t="shared" si="73"/>
        <v>0</v>
      </c>
      <c r="BI283" s="1539">
        <f t="shared" si="74"/>
        <v>0</v>
      </c>
      <c r="BJ283" s="1539">
        <f t="shared" si="75"/>
        <v>4000</v>
      </c>
      <c r="BK283" s="1539">
        <f t="shared" si="76"/>
        <v>4000</v>
      </c>
      <c r="BL283" s="1539">
        <f t="shared" si="77"/>
        <v>8000</v>
      </c>
      <c r="BM283" s="1539">
        <f t="shared" si="78"/>
        <v>8000</v>
      </c>
      <c r="BO283" s="1183"/>
      <c r="BQ283" s="1182">
        <f t="shared" si="79"/>
        <v>0</v>
      </c>
      <c r="BR283" s="1182">
        <f t="shared" si="80"/>
        <v>0</v>
      </c>
      <c r="BS283" s="1182">
        <f t="shared" si="81"/>
        <v>0</v>
      </c>
      <c r="BT283" s="1182">
        <f t="shared" si="81"/>
        <v>0</v>
      </c>
    </row>
    <row r="284" spans="1:72" ht="13.5" customHeight="1">
      <c r="A284" s="1182" t="s">
        <v>1803</v>
      </c>
      <c r="B284" s="1182" t="s">
        <v>1804</v>
      </c>
      <c r="C284" s="1182" t="s">
        <v>1639</v>
      </c>
      <c r="D284" s="1182" t="s">
        <v>2590</v>
      </c>
      <c r="E284" s="1182" t="s">
        <v>2591</v>
      </c>
      <c r="F284" s="1182" t="s">
        <v>2653</v>
      </c>
      <c r="G284" s="1182" t="s">
        <v>2653</v>
      </c>
      <c r="H284" s="1182" t="s">
        <v>2593</v>
      </c>
      <c r="I284" s="1182" t="s">
        <v>1937</v>
      </c>
      <c r="J284" s="1182" t="s">
        <v>2654</v>
      </c>
      <c r="K284" s="1182" t="s">
        <v>1811</v>
      </c>
      <c r="L284" s="1182" t="s">
        <v>1812</v>
      </c>
      <c r="M284" s="1182" t="s">
        <v>1803</v>
      </c>
      <c r="N284" s="1182" t="s">
        <v>2595</v>
      </c>
      <c r="O284" s="1182" t="s">
        <v>1554</v>
      </c>
      <c r="P284" s="1182" t="s">
        <v>1575</v>
      </c>
      <c r="Q284" s="1182" t="s">
        <v>1574</v>
      </c>
      <c r="R284" s="1182" t="s">
        <v>1573</v>
      </c>
      <c r="S284" s="1182" t="s">
        <v>1572</v>
      </c>
      <c r="T284" s="1182" t="s">
        <v>1814</v>
      </c>
      <c r="U284" s="1182" t="s">
        <v>1815</v>
      </c>
      <c r="V284" s="1182">
        <v>0</v>
      </c>
      <c r="W284" s="1182">
        <v>0</v>
      </c>
      <c r="X284" s="1182">
        <v>0</v>
      </c>
      <c r="Y284" s="1183">
        <v>4000</v>
      </c>
      <c r="Z284" s="1182" t="s">
        <v>1940</v>
      </c>
      <c r="AA284" s="1182" t="s">
        <v>1941</v>
      </c>
      <c r="AB284" s="1182">
        <v>4000</v>
      </c>
      <c r="AC284" s="1182" t="s">
        <v>2596</v>
      </c>
      <c r="AD284" s="1182" t="s">
        <v>1572</v>
      </c>
      <c r="AE284" s="1182">
        <v>4000</v>
      </c>
      <c r="AF284" s="1182" t="s">
        <v>1943</v>
      </c>
      <c r="AG284" s="1182" t="s">
        <v>1944</v>
      </c>
      <c r="AH284" s="1182">
        <v>0</v>
      </c>
      <c r="AI284" s="1182">
        <v>4000</v>
      </c>
      <c r="AJ284" s="1182" t="s">
        <v>2655</v>
      </c>
      <c r="AL284" s="1186" t="s">
        <v>2656</v>
      </c>
      <c r="AM284" s="1182">
        <v>1</v>
      </c>
      <c r="AN284" s="1182">
        <v>0</v>
      </c>
      <c r="AO284" s="1182">
        <v>0</v>
      </c>
      <c r="AP284" s="1182">
        <v>0</v>
      </c>
      <c r="AQ284" s="1182" t="s">
        <v>1639</v>
      </c>
      <c r="AS284" s="1186" t="s">
        <v>1943</v>
      </c>
      <c r="AT284" s="1186" t="s">
        <v>1944</v>
      </c>
      <c r="AV284" s="1183">
        <v>0</v>
      </c>
      <c r="AW284" s="1183">
        <v>0</v>
      </c>
      <c r="AX284" s="1183">
        <v>0</v>
      </c>
      <c r="AY284" s="1538">
        <v>0</v>
      </c>
      <c r="AZ284" s="1183">
        <v>2000</v>
      </c>
      <c r="BA284" s="1183">
        <v>2000</v>
      </c>
      <c r="BB284" s="1540">
        <v>4000</v>
      </c>
      <c r="BC284" s="1540">
        <v>4000</v>
      </c>
      <c r="BD284" s="1540">
        <v>0</v>
      </c>
      <c r="BF284" s="1539">
        <f t="shared" si="71"/>
        <v>0</v>
      </c>
      <c r="BG284" s="1539">
        <f t="shared" si="72"/>
        <v>0</v>
      </c>
      <c r="BH284" s="1539">
        <f t="shared" si="73"/>
        <v>0</v>
      </c>
      <c r="BI284" s="1539">
        <f t="shared" si="74"/>
        <v>0</v>
      </c>
      <c r="BJ284" s="1539">
        <f t="shared" si="75"/>
        <v>2000</v>
      </c>
      <c r="BK284" s="1539">
        <f t="shared" si="76"/>
        <v>2000</v>
      </c>
      <c r="BL284" s="1539">
        <f t="shared" si="77"/>
        <v>4000</v>
      </c>
      <c r="BM284" s="1539">
        <f t="shared" si="78"/>
        <v>4000</v>
      </c>
      <c r="BO284" s="1183"/>
      <c r="BQ284" s="1182">
        <f t="shared" si="79"/>
        <v>0</v>
      </c>
      <c r="BR284" s="1182">
        <f t="shared" si="80"/>
        <v>0</v>
      </c>
      <c r="BS284" s="1182">
        <f t="shared" si="81"/>
        <v>0</v>
      </c>
      <c r="BT284" s="1182">
        <f t="shared" si="81"/>
        <v>0</v>
      </c>
    </row>
    <row r="285" spans="1:72" ht="13.5" customHeight="1">
      <c r="A285" s="1182" t="s">
        <v>1803</v>
      </c>
      <c r="B285" s="1182" t="s">
        <v>1804</v>
      </c>
      <c r="C285" s="1182" t="s">
        <v>1639</v>
      </c>
      <c r="D285" s="1182" t="s">
        <v>2590</v>
      </c>
      <c r="E285" s="1182" t="s">
        <v>2591</v>
      </c>
      <c r="F285" s="1182" t="s">
        <v>2657</v>
      </c>
      <c r="G285" s="1182" t="s">
        <v>2657</v>
      </c>
      <c r="H285" s="1182" t="s">
        <v>2593</v>
      </c>
      <c r="I285" s="1182" t="s">
        <v>1937</v>
      </c>
      <c r="J285" s="1182" t="s">
        <v>2658</v>
      </c>
      <c r="K285" s="1182" t="s">
        <v>1811</v>
      </c>
      <c r="L285" s="1182" t="s">
        <v>1812</v>
      </c>
      <c r="M285" s="1182" t="s">
        <v>1803</v>
      </c>
      <c r="N285" s="1182" t="s">
        <v>2595</v>
      </c>
      <c r="O285" s="1182" t="s">
        <v>1554</v>
      </c>
      <c r="P285" s="1182" t="s">
        <v>1575</v>
      </c>
      <c r="Q285" s="1182" t="s">
        <v>1574</v>
      </c>
      <c r="R285" s="1182" t="s">
        <v>1573</v>
      </c>
      <c r="S285" s="1182" t="s">
        <v>1572</v>
      </c>
      <c r="T285" s="1182" t="s">
        <v>1814</v>
      </c>
      <c r="U285" s="1182" t="s">
        <v>1815</v>
      </c>
      <c r="V285" s="1182">
        <v>0</v>
      </c>
      <c r="W285" s="1182">
        <v>0</v>
      </c>
      <c r="X285" s="1182">
        <v>0</v>
      </c>
      <c r="Y285" s="1183">
        <v>4000</v>
      </c>
      <c r="Z285" s="1182" t="s">
        <v>1940</v>
      </c>
      <c r="AA285" s="1182" t="s">
        <v>1941</v>
      </c>
      <c r="AB285" s="1182">
        <v>4000</v>
      </c>
      <c r="AC285" s="1182" t="s">
        <v>2596</v>
      </c>
      <c r="AD285" s="1182" t="s">
        <v>1572</v>
      </c>
      <c r="AE285" s="1182">
        <v>4000</v>
      </c>
      <c r="AF285" s="1182" t="s">
        <v>1943</v>
      </c>
      <c r="AG285" s="1182" t="s">
        <v>1944</v>
      </c>
      <c r="AH285" s="1182">
        <v>0</v>
      </c>
      <c r="AI285" s="1182">
        <v>4000</v>
      </c>
      <c r="AJ285" s="1182" t="s">
        <v>2659</v>
      </c>
      <c r="AL285" s="1186" t="s">
        <v>2660</v>
      </c>
      <c r="AM285" s="1182">
        <v>1</v>
      </c>
      <c r="AN285" s="1182">
        <v>0</v>
      </c>
      <c r="AO285" s="1182">
        <v>0</v>
      </c>
      <c r="AP285" s="1182">
        <v>0</v>
      </c>
      <c r="AQ285" s="1182" t="s">
        <v>1639</v>
      </c>
      <c r="AS285" s="1186" t="s">
        <v>1943</v>
      </c>
      <c r="AT285" s="1186" t="s">
        <v>1944</v>
      </c>
      <c r="AV285" s="1183">
        <v>0</v>
      </c>
      <c r="AW285" s="1183">
        <v>0</v>
      </c>
      <c r="AX285" s="1183">
        <v>0</v>
      </c>
      <c r="AY285" s="1538">
        <v>0</v>
      </c>
      <c r="AZ285" s="1183">
        <v>2000</v>
      </c>
      <c r="BA285" s="1183">
        <v>2000</v>
      </c>
      <c r="BB285" s="1540">
        <v>4000</v>
      </c>
      <c r="BC285" s="1540">
        <v>4000</v>
      </c>
      <c r="BD285" s="1540">
        <v>0</v>
      </c>
      <c r="BF285" s="1539">
        <f t="shared" si="71"/>
        <v>0</v>
      </c>
      <c r="BG285" s="1539">
        <f t="shared" si="72"/>
        <v>0</v>
      </c>
      <c r="BH285" s="1539">
        <f t="shared" si="73"/>
        <v>0</v>
      </c>
      <c r="BI285" s="1539">
        <f t="shared" si="74"/>
        <v>0</v>
      </c>
      <c r="BJ285" s="1539">
        <f t="shared" si="75"/>
        <v>2000</v>
      </c>
      <c r="BK285" s="1539">
        <f t="shared" si="76"/>
        <v>2000</v>
      </c>
      <c r="BL285" s="1539">
        <f t="shared" si="77"/>
        <v>4000</v>
      </c>
      <c r="BM285" s="1539">
        <f t="shared" si="78"/>
        <v>4000</v>
      </c>
      <c r="BO285" s="1183"/>
      <c r="BQ285" s="1182">
        <f t="shared" si="79"/>
        <v>0</v>
      </c>
      <c r="BR285" s="1182">
        <f t="shared" si="80"/>
        <v>0</v>
      </c>
      <c r="BS285" s="1182">
        <f t="shared" si="81"/>
        <v>0</v>
      </c>
      <c r="BT285" s="1182">
        <f t="shared" si="81"/>
        <v>0</v>
      </c>
    </row>
    <row r="286" spans="1:72" ht="13.5" customHeight="1">
      <c r="A286" s="1182" t="s">
        <v>1803</v>
      </c>
      <c r="B286" s="1182" t="s">
        <v>1804</v>
      </c>
      <c r="C286" s="1182" t="s">
        <v>1639</v>
      </c>
      <c r="D286" s="1182" t="s">
        <v>2590</v>
      </c>
      <c r="E286" s="1182" t="s">
        <v>2591</v>
      </c>
      <c r="F286" s="1182" t="s">
        <v>2661</v>
      </c>
      <c r="G286" s="1182" t="s">
        <v>2661</v>
      </c>
      <c r="H286" s="1182" t="s">
        <v>2593</v>
      </c>
      <c r="I286" s="1182" t="s">
        <v>1937</v>
      </c>
      <c r="J286" s="1182" t="s">
        <v>2662</v>
      </c>
      <c r="K286" s="1182" t="s">
        <v>1811</v>
      </c>
      <c r="L286" s="1182" t="s">
        <v>1812</v>
      </c>
      <c r="M286" s="1182" t="s">
        <v>1803</v>
      </c>
      <c r="N286" s="1182" t="s">
        <v>2595</v>
      </c>
      <c r="O286" s="1182" t="s">
        <v>1554</v>
      </c>
      <c r="P286" s="1182" t="s">
        <v>1575</v>
      </c>
      <c r="Q286" s="1182" t="s">
        <v>1574</v>
      </c>
      <c r="R286" s="1182" t="s">
        <v>1573</v>
      </c>
      <c r="S286" s="1182" t="s">
        <v>1572</v>
      </c>
      <c r="T286" s="1182" t="s">
        <v>1814</v>
      </c>
      <c r="U286" s="1182" t="s">
        <v>1815</v>
      </c>
      <c r="V286" s="1182">
        <v>0</v>
      </c>
      <c r="W286" s="1182">
        <v>0</v>
      </c>
      <c r="X286" s="1182">
        <v>0</v>
      </c>
      <c r="Y286" s="1183">
        <v>4000</v>
      </c>
      <c r="Z286" s="1182" t="s">
        <v>1940</v>
      </c>
      <c r="AA286" s="1182" t="s">
        <v>1941</v>
      </c>
      <c r="AB286" s="1182">
        <v>4000</v>
      </c>
      <c r="AC286" s="1182" t="s">
        <v>2596</v>
      </c>
      <c r="AD286" s="1182" t="s">
        <v>1572</v>
      </c>
      <c r="AE286" s="1182">
        <v>4000</v>
      </c>
      <c r="AF286" s="1182" t="s">
        <v>1943</v>
      </c>
      <c r="AG286" s="1182" t="s">
        <v>1944</v>
      </c>
      <c r="AH286" s="1182">
        <v>0</v>
      </c>
      <c r="AI286" s="1182">
        <v>4000</v>
      </c>
      <c r="AJ286" s="1182" t="s">
        <v>2663</v>
      </c>
      <c r="AL286" s="1186" t="s">
        <v>2664</v>
      </c>
      <c r="AM286" s="1182">
        <v>1</v>
      </c>
      <c r="AN286" s="1182">
        <v>0</v>
      </c>
      <c r="AO286" s="1182">
        <v>0</v>
      </c>
      <c r="AP286" s="1182">
        <v>0</v>
      </c>
      <c r="AQ286" s="1182" t="s">
        <v>1639</v>
      </c>
      <c r="AS286" s="1186" t="s">
        <v>1943</v>
      </c>
      <c r="AT286" s="1186" t="s">
        <v>1944</v>
      </c>
      <c r="AV286" s="1183">
        <v>0</v>
      </c>
      <c r="AW286" s="1183">
        <v>0</v>
      </c>
      <c r="AX286" s="1183">
        <v>0</v>
      </c>
      <c r="AY286" s="1538">
        <v>0</v>
      </c>
      <c r="AZ286" s="1183">
        <v>2000</v>
      </c>
      <c r="BA286" s="1183">
        <v>2000</v>
      </c>
      <c r="BB286" s="1540">
        <v>4000</v>
      </c>
      <c r="BC286" s="1540">
        <v>4000</v>
      </c>
      <c r="BD286" s="1540">
        <v>0</v>
      </c>
      <c r="BF286" s="1539">
        <f t="shared" si="71"/>
        <v>0</v>
      </c>
      <c r="BG286" s="1539">
        <f t="shared" si="72"/>
        <v>0</v>
      </c>
      <c r="BH286" s="1539">
        <f t="shared" si="73"/>
        <v>0</v>
      </c>
      <c r="BI286" s="1539">
        <f t="shared" si="74"/>
        <v>0</v>
      </c>
      <c r="BJ286" s="1539">
        <f t="shared" si="75"/>
        <v>2000</v>
      </c>
      <c r="BK286" s="1539">
        <f t="shared" si="76"/>
        <v>2000</v>
      </c>
      <c r="BL286" s="1539">
        <f t="shared" si="77"/>
        <v>4000</v>
      </c>
      <c r="BM286" s="1539">
        <f t="shared" si="78"/>
        <v>4000</v>
      </c>
      <c r="BO286" s="1183"/>
      <c r="BQ286" s="1182">
        <f t="shared" si="79"/>
        <v>0</v>
      </c>
      <c r="BR286" s="1182">
        <f t="shared" si="80"/>
        <v>0</v>
      </c>
      <c r="BS286" s="1182">
        <f t="shared" si="81"/>
        <v>0</v>
      </c>
      <c r="BT286" s="1182">
        <f t="shared" si="81"/>
        <v>0</v>
      </c>
    </row>
    <row r="287" spans="1:72" ht="13.5" customHeight="1">
      <c r="A287" s="1182" t="s">
        <v>1803</v>
      </c>
      <c r="B287" s="1182" t="s">
        <v>1804</v>
      </c>
      <c r="C287" s="1182" t="s">
        <v>1639</v>
      </c>
      <c r="D287" s="1182" t="s">
        <v>2590</v>
      </c>
      <c r="E287" s="1182" t="s">
        <v>2591</v>
      </c>
      <c r="F287" s="1182" t="s">
        <v>2615</v>
      </c>
      <c r="G287" s="1182" t="s">
        <v>2615</v>
      </c>
      <c r="H287" s="1182" t="s">
        <v>2593</v>
      </c>
      <c r="I287" s="1182" t="s">
        <v>1937</v>
      </c>
      <c r="J287" s="1182" t="s">
        <v>2616</v>
      </c>
      <c r="K287" s="1182" t="s">
        <v>1811</v>
      </c>
      <c r="L287" s="1182" t="s">
        <v>1812</v>
      </c>
      <c r="M287" s="1182" t="s">
        <v>1803</v>
      </c>
      <c r="N287" s="1182" t="s">
        <v>2595</v>
      </c>
      <c r="O287" s="1182" t="s">
        <v>1554</v>
      </c>
      <c r="P287" s="1182" t="s">
        <v>1575</v>
      </c>
      <c r="Q287" s="1182" t="s">
        <v>1574</v>
      </c>
      <c r="R287" s="1182" t="s">
        <v>1573</v>
      </c>
      <c r="S287" s="1182" t="s">
        <v>1572</v>
      </c>
      <c r="T287" s="1182" t="s">
        <v>1814</v>
      </c>
      <c r="U287" s="1182" t="s">
        <v>1815</v>
      </c>
      <c r="V287" s="1182">
        <v>0</v>
      </c>
      <c r="W287" s="1182">
        <v>0</v>
      </c>
      <c r="X287" s="1182">
        <v>0</v>
      </c>
      <c r="Y287" s="1183">
        <v>4000</v>
      </c>
      <c r="Z287" s="1182" t="s">
        <v>1940</v>
      </c>
      <c r="AA287" s="1182" t="s">
        <v>1941</v>
      </c>
      <c r="AB287" s="1182">
        <v>4000</v>
      </c>
      <c r="AC287" s="1182" t="s">
        <v>2596</v>
      </c>
      <c r="AD287" s="1182" t="s">
        <v>1572</v>
      </c>
      <c r="AE287" s="1182">
        <v>4000</v>
      </c>
      <c r="AF287" s="1182" t="s">
        <v>1943</v>
      </c>
      <c r="AG287" s="1182" t="s">
        <v>1944</v>
      </c>
      <c r="AH287" s="1182">
        <v>0</v>
      </c>
      <c r="AI287" s="1182">
        <v>4000</v>
      </c>
      <c r="AJ287" s="1182" t="s">
        <v>2617</v>
      </c>
      <c r="AL287" s="1186" t="s">
        <v>2618</v>
      </c>
      <c r="AM287" s="1182">
        <v>1</v>
      </c>
      <c r="AN287" s="1182">
        <v>0</v>
      </c>
      <c r="AO287" s="1182">
        <v>0</v>
      </c>
      <c r="AP287" s="1182">
        <v>0</v>
      </c>
      <c r="AQ287" s="1182" t="s">
        <v>1639</v>
      </c>
      <c r="AS287" s="1186" t="s">
        <v>1943</v>
      </c>
      <c r="AT287" s="1186" t="s">
        <v>1944</v>
      </c>
      <c r="AV287" s="1183">
        <v>0</v>
      </c>
      <c r="AW287" s="1183">
        <v>0</v>
      </c>
      <c r="AX287" s="1183">
        <v>0</v>
      </c>
      <c r="AY287" s="1538">
        <v>0</v>
      </c>
      <c r="AZ287" s="1183">
        <v>2000</v>
      </c>
      <c r="BA287" s="1183">
        <v>2000</v>
      </c>
      <c r="BB287" s="1540">
        <v>4000</v>
      </c>
      <c r="BC287" s="1540">
        <v>4000</v>
      </c>
      <c r="BD287" s="1540">
        <v>0</v>
      </c>
      <c r="BF287" s="1539">
        <f t="shared" si="71"/>
        <v>0</v>
      </c>
      <c r="BG287" s="1539">
        <f t="shared" si="72"/>
        <v>0</v>
      </c>
      <c r="BH287" s="1539">
        <f t="shared" si="73"/>
        <v>0</v>
      </c>
      <c r="BI287" s="1539">
        <f t="shared" si="74"/>
        <v>0</v>
      </c>
      <c r="BJ287" s="1539">
        <f t="shared" si="75"/>
        <v>2000</v>
      </c>
      <c r="BK287" s="1539">
        <f t="shared" si="76"/>
        <v>2000</v>
      </c>
      <c r="BL287" s="1539">
        <f t="shared" si="77"/>
        <v>4000</v>
      </c>
      <c r="BM287" s="1539">
        <f t="shared" si="78"/>
        <v>4000</v>
      </c>
      <c r="BO287" s="1183"/>
      <c r="BQ287" s="1182">
        <f t="shared" si="79"/>
        <v>0</v>
      </c>
      <c r="BR287" s="1182">
        <f t="shared" si="80"/>
        <v>0</v>
      </c>
      <c r="BS287" s="1182">
        <f t="shared" si="81"/>
        <v>0</v>
      </c>
      <c r="BT287" s="1182">
        <f t="shared" si="81"/>
        <v>0</v>
      </c>
    </row>
    <row r="288" spans="1:72" ht="13.5" customHeight="1">
      <c r="A288" s="1182" t="s">
        <v>1803</v>
      </c>
      <c r="B288" s="1182" t="s">
        <v>1804</v>
      </c>
      <c r="C288" s="1182" t="s">
        <v>1639</v>
      </c>
      <c r="D288" s="1182" t="s">
        <v>2590</v>
      </c>
      <c r="E288" s="1182" t="s">
        <v>2591</v>
      </c>
      <c r="F288" s="1182" t="s">
        <v>2665</v>
      </c>
      <c r="G288" s="1182" t="s">
        <v>2665</v>
      </c>
      <c r="H288" s="1182" t="s">
        <v>2593</v>
      </c>
      <c r="I288" s="1182" t="s">
        <v>1937</v>
      </c>
      <c r="J288" s="1182" t="s">
        <v>2666</v>
      </c>
      <c r="K288" s="1182" t="s">
        <v>1811</v>
      </c>
      <c r="L288" s="1182" t="s">
        <v>1812</v>
      </c>
      <c r="M288" s="1182" t="s">
        <v>1803</v>
      </c>
      <c r="N288" s="1182" t="s">
        <v>2595</v>
      </c>
      <c r="O288" s="1182" t="s">
        <v>1554</v>
      </c>
      <c r="P288" s="1182" t="s">
        <v>1575</v>
      </c>
      <c r="Q288" s="1182" t="s">
        <v>1574</v>
      </c>
      <c r="R288" s="1182" t="s">
        <v>1573</v>
      </c>
      <c r="S288" s="1182" t="s">
        <v>1572</v>
      </c>
      <c r="T288" s="1182" t="s">
        <v>1814</v>
      </c>
      <c r="U288" s="1182" t="s">
        <v>1815</v>
      </c>
      <c r="V288" s="1182">
        <v>0</v>
      </c>
      <c r="W288" s="1182">
        <v>0</v>
      </c>
      <c r="X288" s="1182">
        <v>0</v>
      </c>
      <c r="Y288" s="1183">
        <v>4000</v>
      </c>
      <c r="Z288" s="1182" t="s">
        <v>1940</v>
      </c>
      <c r="AA288" s="1182" t="s">
        <v>1941</v>
      </c>
      <c r="AB288" s="1182">
        <v>4000</v>
      </c>
      <c r="AC288" s="1182" t="s">
        <v>2596</v>
      </c>
      <c r="AD288" s="1182" t="s">
        <v>1572</v>
      </c>
      <c r="AE288" s="1182">
        <v>4000</v>
      </c>
      <c r="AF288" s="1182" t="s">
        <v>1943</v>
      </c>
      <c r="AG288" s="1182" t="s">
        <v>1944</v>
      </c>
      <c r="AH288" s="1182">
        <v>0</v>
      </c>
      <c r="AI288" s="1182">
        <v>4000</v>
      </c>
      <c r="AJ288" s="1182" t="s">
        <v>2667</v>
      </c>
      <c r="AL288" s="1186" t="s">
        <v>2668</v>
      </c>
      <c r="AM288" s="1182">
        <v>1</v>
      </c>
      <c r="AN288" s="1182">
        <v>0</v>
      </c>
      <c r="AO288" s="1182">
        <v>0</v>
      </c>
      <c r="AP288" s="1182">
        <v>0</v>
      </c>
      <c r="AQ288" s="1182" t="s">
        <v>1639</v>
      </c>
      <c r="AS288" s="1186" t="s">
        <v>1943</v>
      </c>
      <c r="AT288" s="1186" t="s">
        <v>1944</v>
      </c>
      <c r="AV288" s="1183">
        <v>0</v>
      </c>
      <c r="AW288" s="1183">
        <v>0</v>
      </c>
      <c r="AX288" s="1183">
        <v>0</v>
      </c>
      <c r="AY288" s="1538">
        <v>0</v>
      </c>
      <c r="AZ288" s="1183">
        <v>2000</v>
      </c>
      <c r="BA288" s="1183">
        <v>2000</v>
      </c>
      <c r="BB288" s="1540">
        <v>4000</v>
      </c>
      <c r="BC288" s="1540">
        <v>4000</v>
      </c>
      <c r="BD288" s="1540">
        <v>0</v>
      </c>
      <c r="BF288" s="1539">
        <f t="shared" si="71"/>
        <v>0</v>
      </c>
      <c r="BG288" s="1539">
        <f t="shared" si="72"/>
        <v>0</v>
      </c>
      <c r="BH288" s="1539">
        <f t="shared" si="73"/>
        <v>0</v>
      </c>
      <c r="BI288" s="1539">
        <f t="shared" si="74"/>
        <v>0</v>
      </c>
      <c r="BJ288" s="1539">
        <f t="shared" si="75"/>
        <v>2000</v>
      </c>
      <c r="BK288" s="1539">
        <f t="shared" si="76"/>
        <v>2000</v>
      </c>
      <c r="BL288" s="1539">
        <f t="shared" si="77"/>
        <v>4000</v>
      </c>
      <c r="BM288" s="1539">
        <f t="shared" si="78"/>
        <v>4000</v>
      </c>
      <c r="BO288" s="1183"/>
      <c r="BQ288" s="1182">
        <f t="shared" si="79"/>
        <v>0</v>
      </c>
      <c r="BR288" s="1182">
        <f t="shared" si="80"/>
        <v>0</v>
      </c>
      <c r="BS288" s="1182">
        <f t="shared" si="81"/>
        <v>0</v>
      </c>
      <c r="BT288" s="1182">
        <f t="shared" si="81"/>
        <v>0</v>
      </c>
    </row>
    <row r="289" spans="1:72" ht="13.5" customHeight="1">
      <c r="A289" s="1182" t="s">
        <v>1803</v>
      </c>
      <c r="B289" s="1182" t="s">
        <v>1804</v>
      </c>
      <c r="C289" s="1182" t="s">
        <v>1639</v>
      </c>
      <c r="D289" s="1182" t="s">
        <v>2590</v>
      </c>
      <c r="E289" s="1182" t="s">
        <v>2591</v>
      </c>
      <c r="F289" s="1182" t="s">
        <v>2669</v>
      </c>
      <c r="G289" s="1182" t="s">
        <v>2669</v>
      </c>
      <c r="H289" s="1182" t="s">
        <v>2593</v>
      </c>
      <c r="I289" s="1182" t="s">
        <v>1937</v>
      </c>
      <c r="J289" s="1182" t="s">
        <v>2670</v>
      </c>
      <c r="K289" s="1182" t="s">
        <v>1811</v>
      </c>
      <c r="L289" s="1182" t="s">
        <v>1812</v>
      </c>
      <c r="M289" s="1182" t="s">
        <v>1803</v>
      </c>
      <c r="N289" s="1182" t="s">
        <v>2595</v>
      </c>
      <c r="O289" s="1182" t="s">
        <v>1554</v>
      </c>
      <c r="P289" s="1182" t="s">
        <v>1575</v>
      </c>
      <c r="Q289" s="1182" t="s">
        <v>1574</v>
      </c>
      <c r="R289" s="1182" t="s">
        <v>1573</v>
      </c>
      <c r="S289" s="1182" t="s">
        <v>1572</v>
      </c>
      <c r="T289" s="1182" t="s">
        <v>1814</v>
      </c>
      <c r="U289" s="1182" t="s">
        <v>1815</v>
      </c>
      <c r="V289" s="1182">
        <v>0</v>
      </c>
      <c r="W289" s="1182">
        <v>0</v>
      </c>
      <c r="X289" s="1182">
        <v>0</v>
      </c>
      <c r="Y289" s="1183">
        <v>4000</v>
      </c>
      <c r="Z289" s="1182" t="s">
        <v>1940</v>
      </c>
      <c r="AA289" s="1182" t="s">
        <v>1941</v>
      </c>
      <c r="AB289" s="1182">
        <v>4000</v>
      </c>
      <c r="AC289" s="1182" t="s">
        <v>2596</v>
      </c>
      <c r="AD289" s="1182" t="s">
        <v>1572</v>
      </c>
      <c r="AE289" s="1182">
        <v>4000</v>
      </c>
      <c r="AF289" s="1182" t="s">
        <v>1943</v>
      </c>
      <c r="AG289" s="1182" t="s">
        <v>1944</v>
      </c>
      <c r="AH289" s="1182">
        <v>0</v>
      </c>
      <c r="AI289" s="1182">
        <v>4000</v>
      </c>
      <c r="AJ289" s="1182" t="s">
        <v>2671</v>
      </c>
      <c r="AL289" s="1186" t="s">
        <v>2672</v>
      </c>
      <c r="AM289" s="1182">
        <v>1</v>
      </c>
      <c r="AN289" s="1182">
        <v>0</v>
      </c>
      <c r="AO289" s="1182">
        <v>0</v>
      </c>
      <c r="AP289" s="1182">
        <v>0</v>
      </c>
      <c r="AQ289" s="1182" t="s">
        <v>1639</v>
      </c>
      <c r="AS289" s="1186" t="s">
        <v>1943</v>
      </c>
      <c r="AT289" s="1186" t="s">
        <v>1944</v>
      </c>
      <c r="AV289" s="1183">
        <v>0</v>
      </c>
      <c r="AW289" s="1183">
        <v>0</v>
      </c>
      <c r="AX289" s="1183">
        <v>0</v>
      </c>
      <c r="AY289" s="1538">
        <v>0</v>
      </c>
      <c r="AZ289" s="1183">
        <v>2000</v>
      </c>
      <c r="BA289" s="1183">
        <v>2000</v>
      </c>
      <c r="BB289" s="1540">
        <v>4000</v>
      </c>
      <c r="BC289" s="1540">
        <v>4000</v>
      </c>
      <c r="BD289" s="1540">
        <v>0</v>
      </c>
      <c r="BF289" s="1539">
        <f t="shared" si="71"/>
        <v>0</v>
      </c>
      <c r="BG289" s="1539">
        <f t="shared" si="72"/>
        <v>0</v>
      </c>
      <c r="BH289" s="1539">
        <f t="shared" si="73"/>
        <v>0</v>
      </c>
      <c r="BI289" s="1539">
        <f t="shared" si="74"/>
        <v>0</v>
      </c>
      <c r="BJ289" s="1539">
        <f t="shared" si="75"/>
        <v>2000</v>
      </c>
      <c r="BK289" s="1539">
        <f t="shared" si="76"/>
        <v>2000</v>
      </c>
      <c r="BL289" s="1539">
        <f t="shared" si="77"/>
        <v>4000</v>
      </c>
      <c r="BM289" s="1539">
        <f t="shared" si="78"/>
        <v>4000</v>
      </c>
      <c r="BO289" s="1183"/>
      <c r="BQ289" s="1182">
        <f t="shared" si="79"/>
        <v>0</v>
      </c>
      <c r="BR289" s="1182">
        <f t="shared" si="80"/>
        <v>0</v>
      </c>
      <c r="BS289" s="1182">
        <f t="shared" si="81"/>
        <v>0</v>
      </c>
      <c r="BT289" s="1182">
        <f t="shared" si="81"/>
        <v>0</v>
      </c>
    </row>
    <row r="290" spans="1:72" ht="13.5" customHeight="1">
      <c r="A290" s="1182" t="s">
        <v>1803</v>
      </c>
      <c r="B290" s="1182" t="s">
        <v>1804</v>
      </c>
      <c r="C290" s="1182" t="s">
        <v>1639</v>
      </c>
      <c r="D290" s="1182" t="s">
        <v>2590</v>
      </c>
      <c r="E290" s="1182" t="s">
        <v>2591</v>
      </c>
      <c r="F290" s="1182" t="s">
        <v>2632</v>
      </c>
      <c r="G290" s="1182" t="s">
        <v>2632</v>
      </c>
      <c r="H290" s="1182" t="s">
        <v>2593</v>
      </c>
      <c r="I290" s="1182" t="s">
        <v>1937</v>
      </c>
      <c r="J290" s="1182" t="s">
        <v>2633</v>
      </c>
      <c r="K290" s="1182" t="s">
        <v>1811</v>
      </c>
      <c r="L290" s="1182" t="s">
        <v>1812</v>
      </c>
      <c r="M290" s="1182" t="s">
        <v>1803</v>
      </c>
      <c r="N290" s="1182" t="s">
        <v>2595</v>
      </c>
      <c r="O290" s="1182" t="s">
        <v>1554</v>
      </c>
      <c r="P290" s="1182" t="s">
        <v>1575</v>
      </c>
      <c r="Q290" s="1182" t="s">
        <v>1574</v>
      </c>
      <c r="R290" s="1182" t="s">
        <v>1573</v>
      </c>
      <c r="S290" s="1182" t="s">
        <v>1572</v>
      </c>
      <c r="T290" s="1182" t="s">
        <v>1814</v>
      </c>
      <c r="U290" s="1182" t="s">
        <v>1815</v>
      </c>
      <c r="V290" s="1182">
        <v>0</v>
      </c>
      <c r="W290" s="1182">
        <v>0</v>
      </c>
      <c r="X290" s="1182">
        <v>0</v>
      </c>
      <c r="Y290" s="1183">
        <v>8000</v>
      </c>
      <c r="Z290" s="1182" t="s">
        <v>1940</v>
      </c>
      <c r="AA290" s="1182" t="s">
        <v>1941</v>
      </c>
      <c r="AB290" s="1182">
        <v>8000</v>
      </c>
      <c r="AC290" s="1182" t="s">
        <v>2596</v>
      </c>
      <c r="AD290" s="1182" t="s">
        <v>1572</v>
      </c>
      <c r="AE290" s="1182">
        <v>8000</v>
      </c>
      <c r="AF290" s="1182" t="s">
        <v>1943</v>
      </c>
      <c r="AG290" s="1182" t="s">
        <v>1944</v>
      </c>
      <c r="AH290" s="1182">
        <v>0</v>
      </c>
      <c r="AI290" s="1182">
        <v>8000</v>
      </c>
      <c r="AJ290" s="1182" t="s">
        <v>2634</v>
      </c>
      <c r="AL290" s="1186" t="s">
        <v>2635</v>
      </c>
      <c r="AM290" s="1182">
        <v>1</v>
      </c>
      <c r="AN290" s="1182">
        <v>0</v>
      </c>
      <c r="AO290" s="1182">
        <v>0</v>
      </c>
      <c r="AP290" s="1182">
        <v>0</v>
      </c>
      <c r="AQ290" s="1182" t="s">
        <v>1639</v>
      </c>
      <c r="AS290" s="1186" t="s">
        <v>1943</v>
      </c>
      <c r="AT290" s="1186" t="s">
        <v>1944</v>
      </c>
      <c r="AV290" s="1183">
        <v>0</v>
      </c>
      <c r="AW290" s="1183">
        <v>0</v>
      </c>
      <c r="AX290" s="1183">
        <v>0</v>
      </c>
      <c r="AY290" s="1538">
        <v>0</v>
      </c>
      <c r="AZ290" s="1183">
        <v>4000</v>
      </c>
      <c r="BA290" s="1183">
        <v>4000</v>
      </c>
      <c r="BB290" s="1540">
        <v>8000</v>
      </c>
      <c r="BC290" s="1540">
        <v>8000</v>
      </c>
      <c r="BD290" s="1540">
        <v>0</v>
      </c>
      <c r="BF290" s="1539">
        <f t="shared" si="71"/>
        <v>0</v>
      </c>
      <c r="BG290" s="1539">
        <f t="shared" si="72"/>
        <v>0</v>
      </c>
      <c r="BH290" s="1539">
        <f t="shared" si="73"/>
        <v>0</v>
      </c>
      <c r="BI290" s="1539">
        <f t="shared" si="74"/>
        <v>0</v>
      </c>
      <c r="BJ290" s="1539">
        <f t="shared" si="75"/>
        <v>4000</v>
      </c>
      <c r="BK290" s="1539">
        <f t="shared" si="76"/>
        <v>4000</v>
      </c>
      <c r="BL290" s="1539">
        <f t="shared" si="77"/>
        <v>8000</v>
      </c>
      <c r="BM290" s="1539">
        <f t="shared" si="78"/>
        <v>8000</v>
      </c>
      <c r="BO290" s="1183"/>
      <c r="BQ290" s="1182">
        <f t="shared" si="79"/>
        <v>0</v>
      </c>
      <c r="BR290" s="1182">
        <f t="shared" si="80"/>
        <v>0</v>
      </c>
      <c r="BS290" s="1182">
        <f t="shared" si="81"/>
        <v>0</v>
      </c>
      <c r="BT290" s="1182">
        <f t="shared" si="81"/>
        <v>0</v>
      </c>
    </row>
    <row r="291" spans="1:72" ht="13.5" customHeight="1">
      <c r="A291" s="1182" t="s">
        <v>1803</v>
      </c>
      <c r="B291" s="1182" t="s">
        <v>1804</v>
      </c>
      <c r="C291" s="1182" t="s">
        <v>1639</v>
      </c>
      <c r="D291" s="1182" t="s">
        <v>2590</v>
      </c>
      <c r="E291" s="1182" t="s">
        <v>2591</v>
      </c>
      <c r="F291" s="1182" t="s">
        <v>2679</v>
      </c>
      <c r="G291" s="1182" t="s">
        <v>2679</v>
      </c>
      <c r="H291" s="1182" t="s">
        <v>2593</v>
      </c>
      <c r="I291" s="1182" t="s">
        <v>1937</v>
      </c>
      <c r="J291" s="1182" t="s">
        <v>2680</v>
      </c>
      <c r="K291" s="1182" t="s">
        <v>1811</v>
      </c>
      <c r="L291" s="1182" t="s">
        <v>1812</v>
      </c>
      <c r="M291" s="1182" t="s">
        <v>1803</v>
      </c>
      <c r="N291" s="1182" t="s">
        <v>2595</v>
      </c>
      <c r="O291" s="1182" t="s">
        <v>1554</v>
      </c>
      <c r="P291" s="1182" t="s">
        <v>1575</v>
      </c>
      <c r="Q291" s="1182" t="s">
        <v>1574</v>
      </c>
      <c r="R291" s="1182" t="s">
        <v>1573</v>
      </c>
      <c r="S291" s="1182" t="s">
        <v>1572</v>
      </c>
      <c r="T291" s="1182" t="s">
        <v>1814</v>
      </c>
      <c r="U291" s="1182" t="s">
        <v>1815</v>
      </c>
      <c r="V291" s="1182">
        <v>0</v>
      </c>
      <c r="W291" s="1182">
        <v>0</v>
      </c>
      <c r="X291" s="1182">
        <v>0</v>
      </c>
      <c r="Y291" s="1183">
        <v>4000</v>
      </c>
      <c r="Z291" s="1182" t="s">
        <v>1940</v>
      </c>
      <c r="AA291" s="1182" t="s">
        <v>1941</v>
      </c>
      <c r="AB291" s="1182">
        <v>4000</v>
      </c>
      <c r="AC291" s="1182" t="s">
        <v>2596</v>
      </c>
      <c r="AD291" s="1182" t="s">
        <v>1572</v>
      </c>
      <c r="AE291" s="1182">
        <v>4000</v>
      </c>
      <c r="AF291" s="1182" t="s">
        <v>1943</v>
      </c>
      <c r="AG291" s="1182" t="s">
        <v>1944</v>
      </c>
      <c r="AH291" s="1182">
        <v>0</v>
      </c>
      <c r="AI291" s="1182">
        <v>4000</v>
      </c>
      <c r="AJ291" s="1182" t="s">
        <v>2681</v>
      </c>
      <c r="AL291" s="1186" t="s">
        <v>2682</v>
      </c>
      <c r="AM291" s="1182">
        <v>1</v>
      </c>
      <c r="AN291" s="1182">
        <v>0</v>
      </c>
      <c r="AO291" s="1182">
        <v>0</v>
      </c>
      <c r="AP291" s="1182">
        <v>0</v>
      </c>
      <c r="AQ291" s="1182" t="s">
        <v>1639</v>
      </c>
      <c r="AS291" s="1186" t="s">
        <v>1943</v>
      </c>
      <c r="AT291" s="1186" t="s">
        <v>1944</v>
      </c>
      <c r="AV291" s="1183">
        <v>0</v>
      </c>
      <c r="AW291" s="1183">
        <v>0</v>
      </c>
      <c r="AX291" s="1183">
        <v>0</v>
      </c>
      <c r="AY291" s="1538">
        <v>0</v>
      </c>
      <c r="AZ291" s="1183">
        <v>2000</v>
      </c>
      <c r="BA291" s="1183">
        <v>2000</v>
      </c>
      <c r="BB291" s="1540">
        <v>4000</v>
      </c>
      <c r="BC291" s="1540">
        <v>4000</v>
      </c>
      <c r="BD291" s="1540">
        <v>0</v>
      </c>
      <c r="BF291" s="1539">
        <f t="shared" si="71"/>
        <v>0</v>
      </c>
      <c r="BG291" s="1539">
        <f t="shared" si="72"/>
        <v>0</v>
      </c>
      <c r="BH291" s="1539">
        <f t="shared" si="73"/>
        <v>0</v>
      </c>
      <c r="BI291" s="1539">
        <f t="shared" si="74"/>
        <v>0</v>
      </c>
      <c r="BJ291" s="1539">
        <f t="shared" si="75"/>
        <v>2000</v>
      </c>
      <c r="BK291" s="1539">
        <f t="shared" si="76"/>
        <v>2000</v>
      </c>
      <c r="BL291" s="1539">
        <f t="shared" si="77"/>
        <v>4000</v>
      </c>
      <c r="BM291" s="1539">
        <f t="shared" si="78"/>
        <v>4000</v>
      </c>
      <c r="BO291" s="1183"/>
      <c r="BQ291" s="1182">
        <f t="shared" si="79"/>
        <v>0</v>
      </c>
      <c r="BR291" s="1182">
        <f t="shared" si="80"/>
        <v>0</v>
      </c>
      <c r="BS291" s="1182">
        <f t="shared" si="81"/>
        <v>0</v>
      </c>
      <c r="BT291" s="1182">
        <f t="shared" si="81"/>
        <v>0</v>
      </c>
    </row>
    <row r="292" spans="1:72" ht="13.5" customHeight="1">
      <c r="A292" s="1182" t="s">
        <v>1803</v>
      </c>
      <c r="B292" s="1182" t="s">
        <v>1804</v>
      </c>
      <c r="C292" s="1182" t="s">
        <v>1639</v>
      </c>
      <c r="D292" s="1182" t="s">
        <v>2590</v>
      </c>
      <c r="E292" s="1182" t="s">
        <v>2591</v>
      </c>
      <c r="F292" s="1182" t="s">
        <v>2683</v>
      </c>
      <c r="G292" s="1182" t="s">
        <v>2683</v>
      </c>
      <c r="H292" s="1182" t="s">
        <v>2593</v>
      </c>
      <c r="I292" s="1182" t="s">
        <v>1937</v>
      </c>
      <c r="J292" s="1182" t="s">
        <v>2684</v>
      </c>
      <c r="K292" s="1182" t="s">
        <v>1811</v>
      </c>
      <c r="L292" s="1182" t="s">
        <v>1812</v>
      </c>
      <c r="M292" s="1182" t="s">
        <v>1803</v>
      </c>
      <c r="N292" s="1182" t="s">
        <v>2595</v>
      </c>
      <c r="O292" s="1182" t="s">
        <v>1554</v>
      </c>
      <c r="P292" s="1182" t="s">
        <v>1575</v>
      </c>
      <c r="Q292" s="1182" t="s">
        <v>1574</v>
      </c>
      <c r="R292" s="1182" t="s">
        <v>1573</v>
      </c>
      <c r="S292" s="1182" t="s">
        <v>1572</v>
      </c>
      <c r="T292" s="1182" t="s">
        <v>1814</v>
      </c>
      <c r="U292" s="1182" t="s">
        <v>1815</v>
      </c>
      <c r="V292" s="1182">
        <v>0</v>
      </c>
      <c r="W292" s="1182">
        <v>0</v>
      </c>
      <c r="X292" s="1182">
        <v>0</v>
      </c>
      <c r="Y292" s="1183">
        <v>4000</v>
      </c>
      <c r="Z292" s="1182" t="s">
        <v>1940</v>
      </c>
      <c r="AA292" s="1182" t="s">
        <v>1941</v>
      </c>
      <c r="AB292" s="1182">
        <v>4000</v>
      </c>
      <c r="AC292" s="1182" t="s">
        <v>2596</v>
      </c>
      <c r="AD292" s="1182" t="s">
        <v>1572</v>
      </c>
      <c r="AE292" s="1182">
        <v>4000</v>
      </c>
      <c r="AF292" s="1182" t="s">
        <v>1943</v>
      </c>
      <c r="AG292" s="1182" t="s">
        <v>1944</v>
      </c>
      <c r="AH292" s="1182">
        <v>0</v>
      </c>
      <c r="AI292" s="1182">
        <v>4000</v>
      </c>
      <c r="AJ292" s="1182" t="s">
        <v>2685</v>
      </c>
      <c r="AL292" s="1186" t="s">
        <v>2686</v>
      </c>
      <c r="AM292" s="1182">
        <v>1</v>
      </c>
      <c r="AN292" s="1182">
        <v>0</v>
      </c>
      <c r="AO292" s="1182">
        <v>0</v>
      </c>
      <c r="AP292" s="1182">
        <v>0</v>
      </c>
      <c r="AQ292" s="1182" t="s">
        <v>1639</v>
      </c>
      <c r="AS292" s="1186" t="s">
        <v>1943</v>
      </c>
      <c r="AT292" s="1186" t="s">
        <v>1944</v>
      </c>
      <c r="AV292" s="1183">
        <v>0</v>
      </c>
      <c r="AW292" s="1183">
        <v>0</v>
      </c>
      <c r="AX292" s="1183">
        <v>0</v>
      </c>
      <c r="AY292" s="1538">
        <v>0</v>
      </c>
      <c r="AZ292" s="1183">
        <v>2000</v>
      </c>
      <c r="BA292" s="1183">
        <v>2000</v>
      </c>
      <c r="BB292" s="1540">
        <v>4000</v>
      </c>
      <c r="BC292" s="1540">
        <v>4000</v>
      </c>
      <c r="BD292" s="1540">
        <v>0</v>
      </c>
      <c r="BF292" s="1539">
        <f t="shared" si="71"/>
        <v>0</v>
      </c>
      <c r="BG292" s="1539">
        <f t="shared" si="72"/>
        <v>0</v>
      </c>
      <c r="BH292" s="1539">
        <f t="shared" si="73"/>
        <v>0</v>
      </c>
      <c r="BI292" s="1539">
        <f t="shared" si="74"/>
        <v>0</v>
      </c>
      <c r="BJ292" s="1539">
        <f t="shared" si="75"/>
        <v>2000</v>
      </c>
      <c r="BK292" s="1539">
        <f t="shared" si="76"/>
        <v>2000</v>
      </c>
      <c r="BL292" s="1539">
        <f t="shared" si="77"/>
        <v>4000</v>
      </c>
      <c r="BM292" s="1539">
        <f t="shared" si="78"/>
        <v>4000</v>
      </c>
      <c r="BO292" s="1183"/>
      <c r="BQ292" s="1182">
        <f t="shared" si="79"/>
        <v>0</v>
      </c>
      <c r="BR292" s="1182">
        <f t="shared" si="80"/>
        <v>0</v>
      </c>
      <c r="BS292" s="1182">
        <f t="shared" si="81"/>
        <v>0</v>
      </c>
      <c r="BT292" s="1182">
        <f t="shared" si="81"/>
        <v>0</v>
      </c>
    </row>
    <row r="293" spans="1:72" ht="13.5" customHeight="1">
      <c r="A293" s="1182" t="s">
        <v>1803</v>
      </c>
      <c r="B293" s="1182" t="s">
        <v>1804</v>
      </c>
      <c r="C293" s="1182" t="s">
        <v>1639</v>
      </c>
      <c r="D293" s="1182" t="s">
        <v>2590</v>
      </c>
      <c r="E293" s="1182" t="s">
        <v>2591</v>
      </c>
      <c r="F293" s="1182" t="s">
        <v>1852</v>
      </c>
      <c r="G293" s="1182" t="s">
        <v>1852</v>
      </c>
      <c r="H293" s="1182" t="s">
        <v>2593</v>
      </c>
      <c r="I293" s="1182" t="s">
        <v>1937</v>
      </c>
      <c r="J293" s="1182" t="s">
        <v>2636</v>
      </c>
      <c r="K293" s="1182" t="s">
        <v>1811</v>
      </c>
      <c r="L293" s="1182" t="s">
        <v>1812</v>
      </c>
      <c r="M293" s="1182" t="s">
        <v>1803</v>
      </c>
      <c r="N293" s="1182" t="s">
        <v>2595</v>
      </c>
      <c r="O293" s="1182" t="s">
        <v>1554</v>
      </c>
      <c r="P293" s="1182" t="s">
        <v>1575</v>
      </c>
      <c r="Q293" s="1182" t="s">
        <v>1574</v>
      </c>
      <c r="R293" s="1182" t="s">
        <v>1573</v>
      </c>
      <c r="S293" s="1182" t="s">
        <v>1572</v>
      </c>
      <c r="T293" s="1182" t="s">
        <v>1814</v>
      </c>
      <c r="U293" s="1182" t="s">
        <v>1815</v>
      </c>
      <c r="V293" s="1182">
        <v>0</v>
      </c>
      <c r="W293" s="1182">
        <v>0</v>
      </c>
      <c r="X293" s="1182">
        <v>0</v>
      </c>
      <c r="Y293" s="1183">
        <v>4000</v>
      </c>
      <c r="Z293" s="1182" t="s">
        <v>1940</v>
      </c>
      <c r="AA293" s="1182" t="s">
        <v>1941</v>
      </c>
      <c r="AB293" s="1182">
        <v>4000</v>
      </c>
      <c r="AC293" s="1182" t="s">
        <v>2596</v>
      </c>
      <c r="AD293" s="1182" t="s">
        <v>1572</v>
      </c>
      <c r="AE293" s="1182">
        <v>4000</v>
      </c>
      <c r="AF293" s="1182" t="s">
        <v>1943</v>
      </c>
      <c r="AG293" s="1182" t="s">
        <v>1944</v>
      </c>
      <c r="AH293" s="1182">
        <v>0</v>
      </c>
      <c r="AI293" s="1182">
        <v>4000</v>
      </c>
      <c r="AJ293" s="1182" t="s">
        <v>2637</v>
      </c>
      <c r="AL293" s="1186" t="s">
        <v>2638</v>
      </c>
      <c r="AM293" s="1182">
        <v>1</v>
      </c>
      <c r="AN293" s="1182">
        <v>0</v>
      </c>
      <c r="AO293" s="1182">
        <v>0</v>
      </c>
      <c r="AP293" s="1182">
        <v>0</v>
      </c>
      <c r="AQ293" s="1182" t="s">
        <v>1639</v>
      </c>
      <c r="AS293" s="1186" t="s">
        <v>1943</v>
      </c>
      <c r="AT293" s="1186" t="s">
        <v>1944</v>
      </c>
      <c r="AV293" s="1183">
        <v>0</v>
      </c>
      <c r="AW293" s="1183">
        <v>0</v>
      </c>
      <c r="AX293" s="1183">
        <v>0</v>
      </c>
      <c r="AY293" s="1538">
        <v>0</v>
      </c>
      <c r="AZ293" s="1183">
        <v>2000</v>
      </c>
      <c r="BA293" s="1183">
        <v>2000</v>
      </c>
      <c r="BB293" s="1540">
        <v>4000</v>
      </c>
      <c r="BC293" s="1540">
        <v>4000</v>
      </c>
      <c r="BD293" s="1540">
        <v>0</v>
      </c>
      <c r="BF293" s="1539">
        <f t="shared" si="71"/>
        <v>0</v>
      </c>
      <c r="BG293" s="1539">
        <f t="shared" si="72"/>
        <v>0</v>
      </c>
      <c r="BH293" s="1539">
        <f t="shared" si="73"/>
        <v>0</v>
      </c>
      <c r="BI293" s="1539">
        <f t="shared" si="74"/>
        <v>0</v>
      </c>
      <c r="BJ293" s="1539">
        <f t="shared" si="75"/>
        <v>2000</v>
      </c>
      <c r="BK293" s="1539">
        <f t="shared" si="76"/>
        <v>2000</v>
      </c>
      <c r="BL293" s="1539">
        <f t="shared" si="77"/>
        <v>4000</v>
      </c>
      <c r="BM293" s="1539">
        <f t="shared" si="78"/>
        <v>4000</v>
      </c>
      <c r="BO293" s="1183"/>
      <c r="BQ293" s="1182">
        <f t="shared" si="79"/>
        <v>0</v>
      </c>
      <c r="BR293" s="1182">
        <f t="shared" si="80"/>
        <v>0</v>
      </c>
      <c r="BS293" s="1182">
        <f t="shared" si="81"/>
        <v>0</v>
      </c>
      <c r="BT293" s="1182">
        <f t="shared" si="81"/>
        <v>0</v>
      </c>
    </row>
    <row r="294" spans="1:72" ht="13.5" customHeight="1">
      <c r="A294" s="1182" t="s">
        <v>1803</v>
      </c>
      <c r="B294" s="1182" t="s">
        <v>1804</v>
      </c>
      <c r="C294" s="1182" t="s">
        <v>1639</v>
      </c>
      <c r="D294" s="1182" t="s">
        <v>2590</v>
      </c>
      <c r="E294" s="1182" t="s">
        <v>2591</v>
      </c>
      <c r="F294" s="1182" t="s">
        <v>2327</v>
      </c>
      <c r="G294" s="1182" t="s">
        <v>2327</v>
      </c>
      <c r="H294" s="1182" t="s">
        <v>2593</v>
      </c>
      <c r="I294" s="1182" t="s">
        <v>1937</v>
      </c>
      <c r="J294" s="1182" t="s">
        <v>2626</v>
      </c>
      <c r="K294" s="1182" t="s">
        <v>1811</v>
      </c>
      <c r="L294" s="1182" t="s">
        <v>1812</v>
      </c>
      <c r="M294" s="1182" t="s">
        <v>1803</v>
      </c>
      <c r="N294" s="1182" t="s">
        <v>2595</v>
      </c>
      <c r="O294" s="1182" t="s">
        <v>1554</v>
      </c>
      <c r="P294" s="1182" t="s">
        <v>1575</v>
      </c>
      <c r="Q294" s="1182" t="s">
        <v>1574</v>
      </c>
      <c r="R294" s="1182" t="s">
        <v>1573</v>
      </c>
      <c r="S294" s="1182" t="s">
        <v>1572</v>
      </c>
      <c r="T294" s="1182" t="s">
        <v>1814</v>
      </c>
      <c r="U294" s="1182" t="s">
        <v>1815</v>
      </c>
      <c r="V294" s="1182">
        <v>0</v>
      </c>
      <c r="W294" s="1182">
        <v>0</v>
      </c>
      <c r="X294" s="1182">
        <v>0</v>
      </c>
      <c r="Y294" s="1183">
        <v>4000</v>
      </c>
      <c r="Z294" s="1182" t="s">
        <v>1940</v>
      </c>
      <c r="AA294" s="1182" t="s">
        <v>1941</v>
      </c>
      <c r="AB294" s="1182">
        <v>4000</v>
      </c>
      <c r="AC294" s="1182" t="s">
        <v>2596</v>
      </c>
      <c r="AD294" s="1182" t="s">
        <v>1572</v>
      </c>
      <c r="AE294" s="1182">
        <v>4000</v>
      </c>
      <c r="AF294" s="1182" t="s">
        <v>1943</v>
      </c>
      <c r="AG294" s="1182" t="s">
        <v>1944</v>
      </c>
      <c r="AH294" s="1182">
        <v>0</v>
      </c>
      <c r="AI294" s="1182">
        <v>4000</v>
      </c>
      <c r="AJ294" s="1182" t="s">
        <v>2627</v>
      </c>
      <c r="AL294" s="1186" t="s">
        <v>2628</v>
      </c>
      <c r="AM294" s="1182">
        <v>1</v>
      </c>
      <c r="AN294" s="1182">
        <v>0</v>
      </c>
      <c r="AO294" s="1182">
        <v>0</v>
      </c>
      <c r="AP294" s="1182">
        <v>0</v>
      </c>
      <c r="AQ294" s="1182" t="s">
        <v>1639</v>
      </c>
      <c r="AS294" s="1186" t="s">
        <v>1943</v>
      </c>
      <c r="AT294" s="1186" t="s">
        <v>1944</v>
      </c>
      <c r="AV294" s="1183">
        <v>0</v>
      </c>
      <c r="AW294" s="1183">
        <v>0</v>
      </c>
      <c r="AX294" s="1183">
        <v>0</v>
      </c>
      <c r="AY294" s="1538">
        <v>0</v>
      </c>
      <c r="AZ294" s="1183">
        <v>2000</v>
      </c>
      <c r="BA294" s="1183">
        <v>2000</v>
      </c>
      <c r="BB294" s="1540">
        <v>4000</v>
      </c>
      <c r="BC294" s="1540">
        <v>4000</v>
      </c>
      <c r="BD294" s="1540">
        <v>0</v>
      </c>
      <c r="BF294" s="1539">
        <f t="shared" si="71"/>
        <v>0</v>
      </c>
      <c r="BG294" s="1539">
        <f t="shared" si="72"/>
        <v>0</v>
      </c>
      <c r="BH294" s="1539">
        <f t="shared" si="73"/>
        <v>0</v>
      </c>
      <c r="BI294" s="1539">
        <f t="shared" si="74"/>
        <v>0</v>
      </c>
      <c r="BJ294" s="1539">
        <f t="shared" si="75"/>
        <v>2000</v>
      </c>
      <c r="BK294" s="1539">
        <f t="shared" si="76"/>
        <v>2000</v>
      </c>
      <c r="BL294" s="1539">
        <f t="shared" si="77"/>
        <v>4000</v>
      </c>
      <c r="BM294" s="1539">
        <f t="shared" si="78"/>
        <v>4000</v>
      </c>
      <c r="BO294" s="1183"/>
      <c r="BQ294" s="1182">
        <f t="shared" si="79"/>
        <v>0</v>
      </c>
      <c r="BR294" s="1182">
        <f t="shared" si="80"/>
        <v>0</v>
      </c>
      <c r="BS294" s="1182">
        <f t="shared" si="81"/>
        <v>0</v>
      </c>
      <c r="BT294" s="1182">
        <f t="shared" si="81"/>
        <v>0</v>
      </c>
    </row>
    <row r="295" spans="1:72" ht="13.5" customHeight="1">
      <c r="A295" s="1182" t="s">
        <v>1803</v>
      </c>
      <c r="B295" s="1182" t="s">
        <v>1804</v>
      </c>
      <c r="C295" s="1182" t="s">
        <v>1639</v>
      </c>
      <c r="D295" s="1182" t="s">
        <v>2590</v>
      </c>
      <c r="E295" s="1182" t="s">
        <v>2591</v>
      </c>
      <c r="F295" s="1182" t="s">
        <v>2400</v>
      </c>
      <c r="G295" s="1182" t="s">
        <v>2400</v>
      </c>
      <c r="H295" s="1182" t="s">
        <v>2593</v>
      </c>
      <c r="I295" s="1182" t="s">
        <v>1937</v>
      </c>
      <c r="J295" s="1182" t="s">
        <v>2639</v>
      </c>
      <c r="K295" s="1182" t="s">
        <v>1811</v>
      </c>
      <c r="L295" s="1182" t="s">
        <v>1812</v>
      </c>
      <c r="M295" s="1182" t="s">
        <v>1803</v>
      </c>
      <c r="N295" s="1182" t="s">
        <v>2595</v>
      </c>
      <c r="O295" s="1182" t="s">
        <v>1554</v>
      </c>
      <c r="P295" s="1182" t="s">
        <v>1575</v>
      </c>
      <c r="Q295" s="1182" t="s">
        <v>1574</v>
      </c>
      <c r="R295" s="1182" t="s">
        <v>1573</v>
      </c>
      <c r="S295" s="1182" t="s">
        <v>1572</v>
      </c>
      <c r="T295" s="1182" t="s">
        <v>1814</v>
      </c>
      <c r="U295" s="1182" t="s">
        <v>1815</v>
      </c>
      <c r="V295" s="1182">
        <v>0</v>
      </c>
      <c r="W295" s="1182">
        <v>0</v>
      </c>
      <c r="X295" s="1182">
        <v>0</v>
      </c>
      <c r="Y295" s="1183">
        <v>4000</v>
      </c>
      <c r="Z295" s="1182" t="s">
        <v>1940</v>
      </c>
      <c r="AA295" s="1182" t="s">
        <v>1941</v>
      </c>
      <c r="AB295" s="1182">
        <v>4000</v>
      </c>
      <c r="AC295" s="1182" t="s">
        <v>2596</v>
      </c>
      <c r="AD295" s="1182" t="s">
        <v>1572</v>
      </c>
      <c r="AE295" s="1182">
        <v>4000</v>
      </c>
      <c r="AF295" s="1182" t="s">
        <v>1943</v>
      </c>
      <c r="AG295" s="1182" t="s">
        <v>1944</v>
      </c>
      <c r="AH295" s="1182">
        <v>0</v>
      </c>
      <c r="AI295" s="1182">
        <v>4000</v>
      </c>
      <c r="AJ295" s="1182" t="s">
        <v>2640</v>
      </c>
      <c r="AL295" s="1186" t="s">
        <v>2641</v>
      </c>
      <c r="AM295" s="1182">
        <v>1</v>
      </c>
      <c r="AN295" s="1182">
        <v>0</v>
      </c>
      <c r="AO295" s="1182">
        <v>0</v>
      </c>
      <c r="AP295" s="1182">
        <v>0</v>
      </c>
      <c r="AQ295" s="1182" t="s">
        <v>1639</v>
      </c>
      <c r="AS295" s="1186" t="s">
        <v>1943</v>
      </c>
      <c r="AT295" s="1186" t="s">
        <v>1944</v>
      </c>
      <c r="AV295" s="1183">
        <v>0</v>
      </c>
      <c r="AW295" s="1183">
        <v>0</v>
      </c>
      <c r="AX295" s="1183">
        <v>0</v>
      </c>
      <c r="AY295" s="1538">
        <v>0</v>
      </c>
      <c r="AZ295" s="1183">
        <v>2000</v>
      </c>
      <c r="BA295" s="1183">
        <v>2000</v>
      </c>
      <c r="BB295" s="1540">
        <v>4000</v>
      </c>
      <c r="BC295" s="1540">
        <v>4000</v>
      </c>
      <c r="BD295" s="1540">
        <v>0</v>
      </c>
      <c r="BF295" s="1539">
        <f t="shared" si="71"/>
        <v>0</v>
      </c>
      <c r="BG295" s="1539">
        <f t="shared" si="72"/>
        <v>0</v>
      </c>
      <c r="BH295" s="1539">
        <f t="shared" si="73"/>
        <v>0</v>
      </c>
      <c r="BI295" s="1539">
        <f t="shared" si="74"/>
        <v>0</v>
      </c>
      <c r="BJ295" s="1539">
        <f t="shared" si="75"/>
        <v>2000</v>
      </c>
      <c r="BK295" s="1539">
        <f t="shared" si="76"/>
        <v>2000</v>
      </c>
      <c r="BL295" s="1539">
        <f t="shared" si="77"/>
        <v>4000</v>
      </c>
      <c r="BM295" s="1539">
        <f t="shared" si="78"/>
        <v>4000</v>
      </c>
      <c r="BO295" s="1183"/>
      <c r="BQ295" s="1182">
        <f t="shared" si="79"/>
        <v>0</v>
      </c>
      <c r="BR295" s="1182">
        <f t="shared" si="80"/>
        <v>0</v>
      </c>
      <c r="BS295" s="1182">
        <f t="shared" si="81"/>
        <v>0</v>
      </c>
      <c r="BT295" s="1182">
        <f t="shared" si="81"/>
        <v>0</v>
      </c>
    </row>
    <row r="296" spans="1:72" ht="13.5" customHeight="1">
      <c r="A296" s="1182" t="s">
        <v>1803</v>
      </c>
      <c r="B296" s="1182" t="s">
        <v>1804</v>
      </c>
      <c r="C296" s="1182" t="s">
        <v>1639</v>
      </c>
      <c r="D296" s="1182" t="s">
        <v>2590</v>
      </c>
      <c r="E296" s="1182" t="s">
        <v>2591</v>
      </c>
      <c r="F296" s="1182" t="s">
        <v>2489</v>
      </c>
      <c r="G296" s="1182" t="s">
        <v>2489</v>
      </c>
      <c r="H296" s="1182" t="s">
        <v>2593</v>
      </c>
      <c r="I296" s="1182" t="s">
        <v>1937</v>
      </c>
      <c r="J296" s="1182" t="s">
        <v>2642</v>
      </c>
      <c r="K296" s="1182" t="s">
        <v>1811</v>
      </c>
      <c r="L296" s="1182" t="s">
        <v>1812</v>
      </c>
      <c r="M296" s="1182" t="s">
        <v>1803</v>
      </c>
      <c r="N296" s="1182" t="s">
        <v>2595</v>
      </c>
      <c r="O296" s="1182" t="s">
        <v>1554</v>
      </c>
      <c r="P296" s="1182" t="s">
        <v>1575</v>
      </c>
      <c r="Q296" s="1182" t="s">
        <v>1574</v>
      </c>
      <c r="R296" s="1182" t="s">
        <v>1573</v>
      </c>
      <c r="S296" s="1182" t="s">
        <v>1572</v>
      </c>
      <c r="T296" s="1182" t="s">
        <v>1814</v>
      </c>
      <c r="U296" s="1182" t="s">
        <v>1815</v>
      </c>
      <c r="V296" s="1182">
        <v>0</v>
      </c>
      <c r="W296" s="1182">
        <v>0</v>
      </c>
      <c r="X296" s="1182">
        <v>0</v>
      </c>
      <c r="Y296" s="1183">
        <v>4000</v>
      </c>
      <c r="Z296" s="1182" t="s">
        <v>1940</v>
      </c>
      <c r="AA296" s="1182" t="s">
        <v>1941</v>
      </c>
      <c r="AB296" s="1182">
        <v>4000</v>
      </c>
      <c r="AC296" s="1182" t="s">
        <v>2596</v>
      </c>
      <c r="AD296" s="1182" t="s">
        <v>1572</v>
      </c>
      <c r="AE296" s="1182">
        <v>4000</v>
      </c>
      <c r="AF296" s="1182" t="s">
        <v>1943</v>
      </c>
      <c r="AG296" s="1182" t="s">
        <v>1944</v>
      </c>
      <c r="AH296" s="1182">
        <v>0</v>
      </c>
      <c r="AI296" s="1182">
        <v>4000</v>
      </c>
      <c r="AJ296" s="1182" t="s">
        <v>2643</v>
      </c>
      <c r="AL296" s="1186" t="s">
        <v>2644</v>
      </c>
      <c r="AM296" s="1182">
        <v>1</v>
      </c>
      <c r="AN296" s="1182">
        <v>0</v>
      </c>
      <c r="AO296" s="1182">
        <v>0</v>
      </c>
      <c r="AP296" s="1182">
        <v>0</v>
      </c>
      <c r="AQ296" s="1182" t="s">
        <v>1639</v>
      </c>
      <c r="AS296" s="1186" t="s">
        <v>1943</v>
      </c>
      <c r="AT296" s="1186" t="s">
        <v>1944</v>
      </c>
      <c r="AV296" s="1183">
        <v>0</v>
      </c>
      <c r="AW296" s="1183">
        <v>0</v>
      </c>
      <c r="AX296" s="1183">
        <v>0</v>
      </c>
      <c r="AY296" s="1538">
        <v>0</v>
      </c>
      <c r="AZ296" s="1183">
        <v>2000</v>
      </c>
      <c r="BA296" s="1183">
        <v>2000</v>
      </c>
      <c r="BB296" s="1540">
        <v>4000</v>
      </c>
      <c r="BC296" s="1540">
        <v>4000</v>
      </c>
      <c r="BD296" s="1540">
        <v>0</v>
      </c>
      <c r="BF296" s="1539">
        <f t="shared" si="71"/>
        <v>0</v>
      </c>
      <c r="BG296" s="1539">
        <f t="shared" si="72"/>
        <v>0</v>
      </c>
      <c r="BH296" s="1539">
        <f t="shared" si="73"/>
        <v>0</v>
      </c>
      <c r="BI296" s="1539">
        <f t="shared" si="74"/>
        <v>0</v>
      </c>
      <c r="BJ296" s="1539">
        <f t="shared" si="75"/>
        <v>2000</v>
      </c>
      <c r="BK296" s="1539">
        <f t="shared" si="76"/>
        <v>2000</v>
      </c>
      <c r="BL296" s="1539">
        <f t="shared" si="77"/>
        <v>4000</v>
      </c>
      <c r="BM296" s="1539">
        <f t="shared" si="78"/>
        <v>4000</v>
      </c>
      <c r="BO296" s="1183"/>
      <c r="BQ296" s="1182">
        <f t="shared" si="79"/>
        <v>0</v>
      </c>
      <c r="BR296" s="1182">
        <f t="shared" si="80"/>
        <v>0</v>
      </c>
      <c r="BS296" s="1182">
        <f t="shared" si="81"/>
        <v>0</v>
      </c>
      <c r="BT296" s="1182">
        <f t="shared" si="81"/>
        <v>0</v>
      </c>
    </row>
    <row r="297" spans="1:72" ht="13.5" customHeight="1">
      <c r="A297" s="1182" t="s">
        <v>1803</v>
      </c>
      <c r="B297" s="1182" t="s">
        <v>1804</v>
      </c>
      <c r="C297" s="1182" t="s">
        <v>1639</v>
      </c>
      <c r="D297" s="1182" t="s">
        <v>2590</v>
      </c>
      <c r="E297" s="1182" t="s">
        <v>2591</v>
      </c>
      <c r="F297" s="1182" t="s">
        <v>2645</v>
      </c>
      <c r="G297" s="1182" t="s">
        <v>2645</v>
      </c>
      <c r="H297" s="1182" t="s">
        <v>2593</v>
      </c>
      <c r="I297" s="1182" t="s">
        <v>1937</v>
      </c>
      <c r="J297" s="1182" t="s">
        <v>2646</v>
      </c>
      <c r="K297" s="1182" t="s">
        <v>1811</v>
      </c>
      <c r="L297" s="1182" t="s">
        <v>1812</v>
      </c>
      <c r="M297" s="1182" t="s">
        <v>1803</v>
      </c>
      <c r="N297" s="1182" t="s">
        <v>2595</v>
      </c>
      <c r="O297" s="1182" t="s">
        <v>1554</v>
      </c>
      <c r="P297" s="1182" t="s">
        <v>1575</v>
      </c>
      <c r="Q297" s="1182" t="s">
        <v>1574</v>
      </c>
      <c r="R297" s="1182" t="s">
        <v>1573</v>
      </c>
      <c r="S297" s="1182" t="s">
        <v>1572</v>
      </c>
      <c r="T297" s="1182" t="s">
        <v>1814</v>
      </c>
      <c r="U297" s="1182" t="s">
        <v>1815</v>
      </c>
      <c r="V297" s="1182">
        <v>0</v>
      </c>
      <c r="W297" s="1182">
        <v>0</v>
      </c>
      <c r="X297" s="1182">
        <v>0</v>
      </c>
      <c r="Y297" s="1183">
        <v>4000</v>
      </c>
      <c r="Z297" s="1182" t="s">
        <v>1940</v>
      </c>
      <c r="AA297" s="1182" t="s">
        <v>1941</v>
      </c>
      <c r="AB297" s="1182">
        <v>4000</v>
      </c>
      <c r="AC297" s="1182" t="s">
        <v>2596</v>
      </c>
      <c r="AD297" s="1182" t="s">
        <v>1572</v>
      </c>
      <c r="AE297" s="1182">
        <v>4000</v>
      </c>
      <c r="AF297" s="1182" t="s">
        <v>1943</v>
      </c>
      <c r="AG297" s="1182" t="s">
        <v>1944</v>
      </c>
      <c r="AH297" s="1182">
        <v>0</v>
      </c>
      <c r="AI297" s="1182">
        <v>4000</v>
      </c>
      <c r="AJ297" s="1182" t="s">
        <v>2647</v>
      </c>
      <c r="AL297" s="1186" t="s">
        <v>2648</v>
      </c>
      <c r="AM297" s="1182">
        <v>1</v>
      </c>
      <c r="AN297" s="1182">
        <v>0</v>
      </c>
      <c r="AO297" s="1182">
        <v>0</v>
      </c>
      <c r="AP297" s="1182">
        <v>0</v>
      </c>
      <c r="AQ297" s="1182" t="s">
        <v>1639</v>
      </c>
      <c r="AS297" s="1186" t="s">
        <v>1943</v>
      </c>
      <c r="AT297" s="1186" t="s">
        <v>1944</v>
      </c>
      <c r="AV297" s="1183">
        <v>0</v>
      </c>
      <c r="AW297" s="1183">
        <v>0</v>
      </c>
      <c r="AX297" s="1183">
        <v>0</v>
      </c>
      <c r="AY297" s="1538">
        <v>0</v>
      </c>
      <c r="AZ297" s="1183">
        <v>2000</v>
      </c>
      <c r="BA297" s="1183">
        <v>2000</v>
      </c>
      <c r="BB297" s="1540">
        <v>4000</v>
      </c>
      <c r="BC297" s="1540">
        <v>4000</v>
      </c>
      <c r="BD297" s="1540">
        <v>0</v>
      </c>
      <c r="BF297" s="1539">
        <f t="shared" si="71"/>
        <v>0</v>
      </c>
      <c r="BG297" s="1539">
        <f t="shared" si="72"/>
        <v>0</v>
      </c>
      <c r="BH297" s="1539">
        <f t="shared" si="73"/>
        <v>0</v>
      </c>
      <c r="BI297" s="1539">
        <f t="shared" si="74"/>
        <v>0</v>
      </c>
      <c r="BJ297" s="1539">
        <f t="shared" si="75"/>
        <v>2000</v>
      </c>
      <c r="BK297" s="1539">
        <f t="shared" si="76"/>
        <v>2000</v>
      </c>
      <c r="BL297" s="1539">
        <f t="shared" si="77"/>
        <v>4000</v>
      </c>
      <c r="BM297" s="1539">
        <f t="shared" si="78"/>
        <v>4000</v>
      </c>
      <c r="BO297" s="1183"/>
      <c r="BQ297" s="1182">
        <f t="shared" si="79"/>
        <v>0</v>
      </c>
      <c r="BR297" s="1182">
        <f t="shared" si="80"/>
        <v>0</v>
      </c>
      <c r="BS297" s="1182">
        <f t="shared" si="81"/>
        <v>0</v>
      </c>
      <c r="BT297" s="1182">
        <f t="shared" si="81"/>
        <v>0</v>
      </c>
    </row>
    <row r="298" spans="1:72" ht="13.5" customHeight="1">
      <c r="A298" s="1182" t="s">
        <v>1803</v>
      </c>
      <c r="B298" s="1182" t="s">
        <v>1804</v>
      </c>
      <c r="C298" s="1182" t="s">
        <v>1639</v>
      </c>
      <c r="D298" s="1182" t="s">
        <v>2590</v>
      </c>
      <c r="E298" s="1182" t="s">
        <v>2591</v>
      </c>
      <c r="F298" s="1182" t="s">
        <v>2649</v>
      </c>
      <c r="G298" s="1182" t="s">
        <v>2649</v>
      </c>
      <c r="H298" s="1182" t="s">
        <v>2593</v>
      </c>
      <c r="I298" s="1182" t="s">
        <v>1937</v>
      </c>
      <c r="J298" s="1182" t="s">
        <v>2650</v>
      </c>
      <c r="K298" s="1182" t="s">
        <v>1811</v>
      </c>
      <c r="L298" s="1182" t="s">
        <v>1812</v>
      </c>
      <c r="M298" s="1182" t="s">
        <v>1803</v>
      </c>
      <c r="N298" s="1182" t="s">
        <v>2595</v>
      </c>
      <c r="O298" s="1182" t="s">
        <v>1554</v>
      </c>
      <c r="P298" s="1182" t="s">
        <v>1575</v>
      </c>
      <c r="Q298" s="1182" t="s">
        <v>1574</v>
      </c>
      <c r="R298" s="1182" t="s">
        <v>1573</v>
      </c>
      <c r="S298" s="1182" t="s">
        <v>1572</v>
      </c>
      <c r="T298" s="1182" t="s">
        <v>1814</v>
      </c>
      <c r="U298" s="1182" t="s">
        <v>1815</v>
      </c>
      <c r="V298" s="1182">
        <v>0</v>
      </c>
      <c r="W298" s="1182">
        <v>0</v>
      </c>
      <c r="X298" s="1182">
        <v>0</v>
      </c>
      <c r="Y298" s="1183">
        <v>8000</v>
      </c>
      <c r="Z298" s="1182" t="s">
        <v>1940</v>
      </c>
      <c r="AA298" s="1182" t="s">
        <v>1941</v>
      </c>
      <c r="AB298" s="1182">
        <v>8000</v>
      </c>
      <c r="AC298" s="1182" t="s">
        <v>2596</v>
      </c>
      <c r="AD298" s="1182" t="s">
        <v>1572</v>
      </c>
      <c r="AE298" s="1182">
        <v>8000</v>
      </c>
      <c r="AF298" s="1182" t="s">
        <v>1943</v>
      </c>
      <c r="AG298" s="1182" t="s">
        <v>1944</v>
      </c>
      <c r="AH298" s="1182">
        <v>0</v>
      </c>
      <c r="AI298" s="1182">
        <v>8000</v>
      </c>
      <c r="AJ298" s="1182" t="s">
        <v>2651</v>
      </c>
      <c r="AL298" s="1186" t="s">
        <v>2652</v>
      </c>
      <c r="AM298" s="1182">
        <v>1</v>
      </c>
      <c r="AN298" s="1182">
        <v>0</v>
      </c>
      <c r="AO298" s="1182">
        <v>0</v>
      </c>
      <c r="AP298" s="1182">
        <v>0</v>
      </c>
      <c r="AQ298" s="1182" t="s">
        <v>1639</v>
      </c>
      <c r="AS298" s="1186" t="s">
        <v>1943</v>
      </c>
      <c r="AT298" s="1186" t="s">
        <v>1944</v>
      </c>
      <c r="AV298" s="1183">
        <v>0</v>
      </c>
      <c r="AW298" s="1183">
        <v>0</v>
      </c>
      <c r="AX298" s="1183">
        <v>0</v>
      </c>
      <c r="AY298" s="1538">
        <v>0</v>
      </c>
      <c r="AZ298" s="1183">
        <v>4000</v>
      </c>
      <c r="BA298" s="1183">
        <v>4000</v>
      </c>
      <c r="BB298" s="1540">
        <v>8000</v>
      </c>
      <c r="BC298" s="1540">
        <v>8000</v>
      </c>
      <c r="BD298" s="1540">
        <v>0</v>
      </c>
      <c r="BF298" s="1539">
        <f t="shared" si="71"/>
        <v>0</v>
      </c>
      <c r="BG298" s="1539">
        <f t="shared" si="72"/>
        <v>0</v>
      </c>
      <c r="BH298" s="1539">
        <f t="shared" si="73"/>
        <v>0</v>
      </c>
      <c r="BI298" s="1539">
        <f t="shared" si="74"/>
        <v>0</v>
      </c>
      <c r="BJ298" s="1539">
        <f t="shared" si="75"/>
        <v>4000</v>
      </c>
      <c r="BK298" s="1539">
        <f t="shared" si="76"/>
        <v>4000</v>
      </c>
      <c r="BL298" s="1539">
        <f t="shared" si="77"/>
        <v>8000</v>
      </c>
      <c r="BM298" s="1539">
        <f t="shared" si="78"/>
        <v>8000</v>
      </c>
      <c r="BO298" s="1183"/>
      <c r="BQ298" s="1182">
        <f t="shared" si="79"/>
        <v>0</v>
      </c>
      <c r="BR298" s="1182">
        <f t="shared" si="80"/>
        <v>0</v>
      </c>
      <c r="BS298" s="1182">
        <f t="shared" si="81"/>
        <v>0</v>
      </c>
      <c r="BT298" s="1182">
        <f t="shared" si="81"/>
        <v>0</v>
      </c>
    </row>
    <row r="299" spans="1:72" ht="13.5" customHeight="1">
      <c r="A299" s="1182" t="s">
        <v>1803</v>
      </c>
      <c r="B299" s="1182" t="s">
        <v>1804</v>
      </c>
      <c r="C299" s="1182" t="s">
        <v>1639</v>
      </c>
      <c r="D299" s="1182" t="s">
        <v>2590</v>
      </c>
      <c r="E299" s="1182" t="s">
        <v>2591</v>
      </c>
      <c r="F299" s="1182" t="s">
        <v>2720</v>
      </c>
      <c r="G299" s="1182" t="s">
        <v>2720</v>
      </c>
      <c r="H299" s="1182" t="s">
        <v>2593</v>
      </c>
      <c r="I299" s="1182" t="s">
        <v>1937</v>
      </c>
      <c r="J299" s="1182" t="s">
        <v>2721</v>
      </c>
      <c r="K299" s="1182" t="s">
        <v>1811</v>
      </c>
      <c r="L299" s="1182" t="s">
        <v>1812</v>
      </c>
      <c r="M299" s="1182" t="s">
        <v>1803</v>
      </c>
      <c r="N299" s="1182" t="s">
        <v>2595</v>
      </c>
      <c r="O299" s="1182" t="s">
        <v>1554</v>
      </c>
      <c r="P299" s="1182" t="s">
        <v>1575</v>
      </c>
      <c r="Q299" s="1182" t="s">
        <v>1574</v>
      </c>
      <c r="R299" s="1182" t="s">
        <v>1573</v>
      </c>
      <c r="S299" s="1182" t="s">
        <v>1572</v>
      </c>
      <c r="T299" s="1182" t="s">
        <v>1814</v>
      </c>
      <c r="U299" s="1182" t="s">
        <v>1815</v>
      </c>
      <c r="V299" s="1182">
        <v>0</v>
      </c>
      <c r="W299" s="1182">
        <v>0</v>
      </c>
      <c r="X299" s="1182">
        <v>0</v>
      </c>
      <c r="Y299" s="1183">
        <v>4000</v>
      </c>
      <c r="Z299" s="1182" t="s">
        <v>1940</v>
      </c>
      <c r="AA299" s="1182" t="s">
        <v>1941</v>
      </c>
      <c r="AB299" s="1182">
        <v>4000</v>
      </c>
      <c r="AC299" s="1182" t="s">
        <v>2596</v>
      </c>
      <c r="AD299" s="1182" t="s">
        <v>1572</v>
      </c>
      <c r="AE299" s="1182">
        <v>4000</v>
      </c>
      <c r="AF299" s="1182" t="s">
        <v>1943</v>
      </c>
      <c r="AG299" s="1182" t="s">
        <v>1944</v>
      </c>
      <c r="AH299" s="1182">
        <v>0</v>
      </c>
      <c r="AI299" s="1182">
        <v>4000</v>
      </c>
      <c r="AJ299" s="1182" t="s">
        <v>2722</v>
      </c>
      <c r="AL299" s="1186" t="s">
        <v>2723</v>
      </c>
      <c r="AM299" s="1182">
        <v>1</v>
      </c>
      <c r="AN299" s="1182">
        <v>0</v>
      </c>
      <c r="AO299" s="1182">
        <v>0</v>
      </c>
      <c r="AP299" s="1182">
        <v>0</v>
      </c>
      <c r="AQ299" s="1182" t="s">
        <v>1639</v>
      </c>
      <c r="AS299" s="1186" t="s">
        <v>1943</v>
      </c>
      <c r="AT299" s="1186" t="s">
        <v>1944</v>
      </c>
      <c r="AV299" s="1183">
        <v>0</v>
      </c>
      <c r="AW299" s="1183">
        <v>0</v>
      </c>
      <c r="AX299" s="1183">
        <v>0</v>
      </c>
      <c r="AY299" s="1538">
        <v>0</v>
      </c>
      <c r="AZ299" s="1183">
        <v>2000</v>
      </c>
      <c r="BA299" s="1183">
        <v>2000</v>
      </c>
      <c r="BB299" s="1540">
        <v>4000</v>
      </c>
      <c r="BC299" s="1540">
        <v>4000</v>
      </c>
      <c r="BD299" s="1540">
        <v>0</v>
      </c>
      <c r="BF299" s="1539">
        <f t="shared" si="71"/>
        <v>0</v>
      </c>
      <c r="BG299" s="1539">
        <f t="shared" si="72"/>
        <v>0</v>
      </c>
      <c r="BH299" s="1539">
        <f t="shared" si="73"/>
        <v>0</v>
      </c>
      <c r="BI299" s="1539">
        <f t="shared" si="74"/>
        <v>0</v>
      </c>
      <c r="BJ299" s="1539">
        <f t="shared" si="75"/>
        <v>2000</v>
      </c>
      <c r="BK299" s="1539">
        <f t="shared" si="76"/>
        <v>2000</v>
      </c>
      <c r="BL299" s="1539">
        <f t="shared" si="77"/>
        <v>4000</v>
      </c>
      <c r="BM299" s="1539">
        <f t="shared" si="78"/>
        <v>4000</v>
      </c>
      <c r="BO299" s="1183"/>
      <c r="BQ299" s="1182">
        <f t="shared" si="79"/>
        <v>0</v>
      </c>
      <c r="BR299" s="1182">
        <f t="shared" si="80"/>
        <v>0</v>
      </c>
      <c r="BS299" s="1182">
        <f t="shared" si="81"/>
        <v>0</v>
      </c>
      <c r="BT299" s="1182">
        <f t="shared" si="81"/>
        <v>0</v>
      </c>
    </row>
    <row r="300" spans="1:72" ht="13.5" customHeight="1">
      <c r="A300" s="1182" t="s">
        <v>1803</v>
      </c>
      <c r="B300" s="1182" t="s">
        <v>1804</v>
      </c>
      <c r="C300" s="1182" t="s">
        <v>1639</v>
      </c>
      <c r="D300" s="1182" t="s">
        <v>2590</v>
      </c>
      <c r="E300" s="1182" t="s">
        <v>2591</v>
      </c>
      <c r="F300" s="1182" t="s">
        <v>2315</v>
      </c>
      <c r="G300" s="1182" t="s">
        <v>2315</v>
      </c>
      <c r="H300" s="1182" t="s">
        <v>2593</v>
      </c>
      <c r="I300" s="1182" t="s">
        <v>1937</v>
      </c>
      <c r="J300" s="1182" t="s">
        <v>2629</v>
      </c>
      <c r="K300" s="1182" t="s">
        <v>1811</v>
      </c>
      <c r="L300" s="1182" t="s">
        <v>1812</v>
      </c>
      <c r="M300" s="1182" t="s">
        <v>1803</v>
      </c>
      <c r="N300" s="1182" t="s">
        <v>2595</v>
      </c>
      <c r="O300" s="1182" t="s">
        <v>1554</v>
      </c>
      <c r="P300" s="1182" t="s">
        <v>1575</v>
      </c>
      <c r="Q300" s="1182" t="s">
        <v>1574</v>
      </c>
      <c r="R300" s="1182" t="s">
        <v>1573</v>
      </c>
      <c r="S300" s="1182" t="s">
        <v>1572</v>
      </c>
      <c r="T300" s="1182" t="s">
        <v>1814</v>
      </c>
      <c r="U300" s="1182" t="s">
        <v>1815</v>
      </c>
      <c r="V300" s="1182">
        <v>0</v>
      </c>
      <c r="W300" s="1182">
        <v>0</v>
      </c>
      <c r="X300" s="1182">
        <v>0</v>
      </c>
      <c r="Y300" s="1183">
        <v>4000</v>
      </c>
      <c r="Z300" s="1182" t="s">
        <v>1940</v>
      </c>
      <c r="AA300" s="1182" t="s">
        <v>1941</v>
      </c>
      <c r="AB300" s="1182">
        <v>4000</v>
      </c>
      <c r="AC300" s="1182" t="s">
        <v>2596</v>
      </c>
      <c r="AD300" s="1182" t="s">
        <v>1572</v>
      </c>
      <c r="AE300" s="1182">
        <v>4000</v>
      </c>
      <c r="AF300" s="1182" t="s">
        <v>1943</v>
      </c>
      <c r="AG300" s="1182" t="s">
        <v>1944</v>
      </c>
      <c r="AH300" s="1182">
        <v>0</v>
      </c>
      <c r="AI300" s="1182">
        <v>4000</v>
      </c>
      <c r="AJ300" s="1182" t="s">
        <v>2630</v>
      </c>
      <c r="AL300" s="1186" t="s">
        <v>2631</v>
      </c>
      <c r="AM300" s="1182">
        <v>1</v>
      </c>
      <c r="AN300" s="1182">
        <v>0</v>
      </c>
      <c r="AO300" s="1182">
        <v>0</v>
      </c>
      <c r="AP300" s="1182">
        <v>0</v>
      </c>
      <c r="AQ300" s="1182" t="s">
        <v>1639</v>
      </c>
      <c r="AS300" s="1186" t="s">
        <v>1943</v>
      </c>
      <c r="AT300" s="1186" t="s">
        <v>1944</v>
      </c>
      <c r="AV300" s="1183">
        <v>0</v>
      </c>
      <c r="AW300" s="1183">
        <v>0</v>
      </c>
      <c r="AX300" s="1183">
        <v>0</v>
      </c>
      <c r="AY300" s="1538">
        <v>0</v>
      </c>
      <c r="AZ300" s="1183">
        <v>2000</v>
      </c>
      <c r="BA300" s="1183">
        <v>2000</v>
      </c>
      <c r="BB300" s="1540">
        <v>4000</v>
      </c>
      <c r="BC300" s="1540">
        <v>4000</v>
      </c>
      <c r="BD300" s="1540">
        <v>0</v>
      </c>
      <c r="BF300" s="1539">
        <f t="shared" si="71"/>
        <v>0</v>
      </c>
      <c r="BG300" s="1539">
        <f t="shared" si="72"/>
        <v>0</v>
      </c>
      <c r="BH300" s="1539">
        <f t="shared" si="73"/>
        <v>0</v>
      </c>
      <c r="BI300" s="1539">
        <f t="shared" si="74"/>
        <v>0</v>
      </c>
      <c r="BJ300" s="1539">
        <f t="shared" si="75"/>
        <v>2000</v>
      </c>
      <c r="BK300" s="1539">
        <f t="shared" si="76"/>
        <v>2000</v>
      </c>
      <c r="BL300" s="1539">
        <f t="shared" si="77"/>
        <v>4000</v>
      </c>
      <c r="BM300" s="1539">
        <f t="shared" si="78"/>
        <v>4000</v>
      </c>
      <c r="BO300" s="1183"/>
      <c r="BQ300" s="1182">
        <f t="shared" si="79"/>
        <v>0</v>
      </c>
      <c r="BR300" s="1182">
        <f t="shared" si="80"/>
        <v>0</v>
      </c>
      <c r="BS300" s="1182">
        <f t="shared" si="81"/>
        <v>0</v>
      </c>
      <c r="BT300" s="1182">
        <f t="shared" si="81"/>
        <v>0</v>
      </c>
    </row>
    <row r="301" spans="1:72" ht="13.5" customHeight="1">
      <c r="A301" s="1182" t="s">
        <v>1803</v>
      </c>
      <c r="B301" s="1182" t="s">
        <v>1804</v>
      </c>
      <c r="C301" s="1182" t="s">
        <v>1639</v>
      </c>
      <c r="D301" s="1182" t="s">
        <v>2590</v>
      </c>
      <c r="E301" s="1182" t="s">
        <v>2591</v>
      </c>
      <c r="F301" s="1182" t="s">
        <v>2047</v>
      </c>
      <c r="G301" s="1182" t="s">
        <v>2047</v>
      </c>
      <c r="H301" s="1182" t="s">
        <v>2593</v>
      </c>
      <c r="I301" s="1182" t="s">
        <v>1937</v>
      </c>
      <c r="J301" s="1182" t="s">
        <v>2623</v>
      </c>
      <c r="K301" s="1182" t="s">
        <v>1811</v>
      </c>
      <c r="L301" s="1182" t="s">
        <v>1812</v>
      </c>
      <c r="M301" s="1182" t="s">
        <v>1803</v>
      </c>
      <c r="N301" s="1182" t="s">
        <v>2595</v>
      </c>
      <c r="O301" s="1182" t="s">
        <v>1554</v>
      </c>
      <c r="P301" s="1182" t="s">
        <v>1575</v>
      </c>
      <c r="Q301" s="1182" t="s">
        <v>1574</v>
      </c>
      <c r="R301" s="1182" t="s">
        <v>1573</v>
      </c>
      <c r="S301" s="1182" t="s">
        <v>1572</v>
      </c>
      <c r="T301" s="1182" t="s">
        <v>1814</v>
      </c>
      <c r="U301" s="1182" t="s">
        <v>1815</v>
      </c>
      <c r="V301" s="1182">
        <v>0</v>
      </c>
      <c r="W301" s="1182">
        <v>0</v>
      </c>
      <c r="X301" s="1182">
        <v>0</v>
      </c>
      <c r="Y301" s="1183">
        <v>4000</v>
      </c>
      <c r="Z301" s="1182" t="s">
        <v>1940</v>
      </c>
      <c r="AA301" s="1182" t="s">
        <v>1941</v>
      </c>
      <c r="AB301" s="1182">
        <v>4000</v>
      </c>
      <c r="AC301" s="1182" t="s">
        <v>2596</v>
      </c>
      <c r="AD301" s="1182" t="s">
        <v>1572</v>
      </c>
      <c r="AE301" s="1182">
        <v>4000</v>
      </c>
      <c r="AF301" s="1182" t="s">
        <v>1943</v>
      </c>
      <c r="AG301" s="1182" t="s">
        <v>1944</v>
      </c>
      <c r="AH301" s="1182">
        <v>0</v>
      </c>
      <c r="AI301" s="1182">
        <v>4000</v>
      </c>
      <c r="AJ301" s="1182" t="s">
        <v>2624</v>
      </c>
      <c r="AL301" s="1186" t="s">
        <v>2625</v>
      </c>
      <c r="AM301" s="1182">
        <v>1</v>
      </c>
      <c r="AN301" s="1182">
        <v>0</v>
      </c>
      <c r="AO301" s="1182">
        <v>0</v>
      </c>
      <c r="AP301" s="1182">
        <v>0</v>
      </c>
      <c r="AQ301" s="1182" t="s">
        <v>1639</v>
      </c>
      <c r="AS301" s="1186" t="s">
        <v>1943</v>
      </c>
      <c r="AT301" s="1186" t="s">
        <v>1944</v>
      </c>
      <c r="AV301" s="1183">
        <v>0</v>
      </c>
      <c r="AW301" s="1183">
        <v>0</v>
      </c>
      <c r="AX301" s="1183">
        <v>0</v>
      </c>
      <c r="AY301" s="1538">
        <v>0</v>
      </c>
      <c r="AZ301" s="1183">
        <v>2000</v>
      </c>
      <c r="BA301" s="1183">
        <v>2000</v>
      </c>
      <c r="BB301" s="1540">
        <v>4000</v>
      </c>
      <c r="BC301" s="1540">
        <v>4000</v>
      </c>
      <c r="BD301" s="1540">
        <v>0</v>
      </c>
      <c r="BF301" s="1539">
        <f t="shared" si="71"/>
        <v>0</v>
      </c>
      <c r="BG301" s="1539">
        <f t="shared" si="72"/>
        <v>0</v>
      </c>
      <c r="BH301" s="1539">
        <f t="shared" si="73"/>
        <v>0</v>
      </c>
      <c r="BI301" s="1539">
        <f t="shared" si="74"/>
        <v>0</v>
      </c>
      <c r="BJ301" s="1539">
        <f t="shared" si="75"/>
        <v>2000</v>
      </c>
      <c r="BK301" s="1539">
        <f t="shared" si="76"/>
        <v>2000</v>
      </c>
      <c r="BL301" s="1539">
        <f t="shared" si="77"/>
        <v>4000</v>
      </c>
      <c r="BM301" s="1539">
        <f t="shared" si="78"/>
        <v>4000</v>
      </c>
      <c r="BO301" s="1183"/>
      <c r="BQ301" s="1182">
        <f t="shared" si="79"/>
        <v>0</v>
      </c>
      <c r="BR301" s="1182">
        <f t="shared" si="80"/>
        <v>0</v>
      </c>
      <c r="BS301" s="1182">
        <f t="shared" si="81"/>
        <v>0</v>
      </c>
      <c r="BT301" s="1182">
        <f t="shared" si="81"/>
        <v>0</v>
      </c>
    </row>
    <row r="302" spans="1:72" ht="13.5" customHeight="1">
      <c r="A302" s="1182" t="s">
        <v>1803</v>
      </c>
      <c r="B302" s="1182" t="s">
        <v>1804</v>
      </c>
      <c r="C302" s="1182" t="s">
        <v>1639</v>
      </c>
      <c r="D302" s="1182" t="s">
        <v>2590</v>
      </c>
      <c r="E302" s="1182" t="s">
        <v>2591</v>
      </c>
      <c r="F302" s="1182" t="s">
        <v>2348</v>
      </c>
      <c r="G302" s="1182" t="s">
        <v>2348</v>
      </c>
      <c r="H302" s="1182" t="s">
        <v>2593</v>
      </c>
      <c r="I302" s="1182" t="s">
        <v>1937</v>
      </c>
      <c r="J302" s="1182" t="s">
        <v>2673</v>
      </c>
      <c r="K302" s="1182" t="s">
        <v>1811</v>
      </c>
      <c r="L302" s="1182" t="s">
        <v>1812</v>
      </c>
      <c r="M302" s="1182" t="s">
        <v>1803</v>
      </c>
      <c r="N302" s="1182" t="s">
        <v>2595</v>
      </c>
      <c r="O302" s="1182" t="s">
        <v>1554</v>
      </c>
      <c r="P302" s="1182" t="s">
        <v>1575</v>
      </c>
      <c r="Q302" s="1182" t="s">
        <v>1574</v>
      </c>
      <c r="R302" s="1182" t="s">
        <v>1573</v>
      </c>
      <c r="S302" s="1182" t="s">
        <v>1572</v>
      </c>
      <c r="T302" s="1182" t="s">
        <v>1814</v>
      </c>
      <c r="U302" s="1182" t="s">
        <v>1815</v>
      </c>
      <c r="V302" s="1182">
        <v>0</v>
      </c>
      <c r="W302" s="1182">
        <v>0</v>
      </c>
      <c r="X302" s="1182">
        <v>0</v>
      </c>
      <c r="Y302" s="1183">
        <v>15000</v>
      </c>
      <c r="Z302" s="1182" t="s">
        <v>1940</v>
      </c>
      <c r="AA302" s="1182" t="s">
        <v>1941</v>
      </c>
      <c r="AB302" s="1182">
        <v>15000</v>
      </c>
      <c r="AC302" s="1182" t="s">
        <v>2596</v>
      </c>
      <c r="AD302" s="1182" t="s">
        <v>1572</v>
      </c>
      <c r="AE302" s="1182">
        <v>15000</v>
      </c>
      <c r="AF302" s="1182" t="s">
        <v>1943</v>
      </c>
      <c r="AG302" s="1182" t="s">
        <v>1944</v>
      </c>
      <c r="AH302" s="1182">
        <v>0</v>
      </c>
      <c r="AI302" s="1182">
        <v>15000</v>
      </c>
      <c r="AJ302" s="1182" t="s">
        <v>2674</v>
      </c>
      <c r="AL302" s="1186" t="s">
        <v>2675</v>
      </c>
      <c r="AM302" s="1182">
        <v>1</v>
      </c>
      <c r="AN302" s="1182">
        <v>0</v>
      </c>
      <c r="AO302" s="1182">
        <v>0</v>
      </c>
      <c r="AP302" s="1182">
        <v>0</v>
      </c>
      <c r="AQ302" s="1182" t="s">
        <v>1639</v>
      </c>
      <c r="AS302" s="1186" t="s">
        <v>1943</v>
      </c>
      <c r="AT302" s="1186" t="s">
        <v>1944</v>
      </c>
      <c r="AV302" s="1183">
        <v>0</v>
      </c>
      <c r="AW302" s="1183">
        <v>0</v>
      </c>
      <c r="AX302" s="1183">
        <v>0</v>
      </c>
      <c r="AY302" s="1538">
        <v>0</v>
      </c>
      <c r="AZ302" s="1183">
        <v>7500</v>
      </c>
      <c r="BA302" s="1183">
        <v>7500</v>
      </c>
      <c r="BB302" s="1540">
        <v>15000</v>
      </c>
      <c r="BC302" s="1540">
        <v>15000</v>
      </c>
      <c r="BD302" s="1540">
        <v>0</v>
      </c>
      <c r="BF302" s="1539">
        <f t="shared" si="71"/>
        <v>0</v>
      </c>
      <c r="BG302" s="1539">
        <f t="shared" si="72"/>
        <v>0</v>
      </c>
      <c r="BH302" s="1539">
        <f t="shared" si="73"/>
        <v>0</v>
      </c>
      <c r="BI302" s="1539">
        <f t="shared" si="74"/>
        <v>0</v>
      </c>
      <c r="BJ302" s="1539">
        <f t="shared" si="75"/>
        <v>7500</v>
      </c>
      <c r="BK302" s="1539">
        <f t="shared" si="76"/>
        <v>7500</v>
      </c>
      <c r="BL302" s="1539">
        <f t="shared" si="77"/>
        <v>15000</v>
      </c>
      <c r="BM302" s="1539">
        <f t="shared" si="78"/>
        <v>15000</v>
      </c>
      <c r="BO302" s="1183"/>
      <c r="BQ302" s="1182">
        <f t="shared" si="79"/>
        <v>0</v>
      </c>
      <c r="BR302" s="1182">
        <f t="shared" si="80"/>
        <v>0</v>
      </c>
      <c r="BS302" s="1182">
        <f t="shared" si="81"/>
        <v>0</v>
      </c>
      <c r="BT302" s="1182">
        <f t="shared" si="81"/>
        <v>0</v>
      </c>
    </row>
    <row r="303" spans="1:72" ht="13.5" customHeight="1">
      <c r="A303" s="1182" t="s">
        <v>1803</v>
      </c>
      <c r="B303" s="1182" t="s">
        <v>1804</v>
      </c>
      <c r="C303" s="1182" t="s">
        <v>1639</v>
      </c>
      <c r="D303" s="1182" t="s">
        <v>2590</v>
      </c>
      <c r="E303" s="1182" t="s">
        <v>2591</v>
      </c>
      <c r="F303" s="1182" t="s">
        <v>2344</v>
      </c>
      <c r="G303" s="1182" t="s">
        <v>2344</v>
      </c>
      <c r="H303" s="1182" t="s">
        <v>2593</v>
      </c>
      <c r="I303" s="1182" t="s">
        <v>1937</v>
      </c>
      <c r="J303" s="1182" t="s">
        <v>2676</v>
      </c>
      <c r="K303" s="1182" t="s">
        <v>1811</v>
      </c>
      <c r="L303" s="1182" t="s">
        <v>1812</v>
      </c>
      <c r="M303" s="1182" t="s">
        <v>1803</v>
      </c>
      <c r="N303" s="1182" t="s">
        <v>2595</v>
      </c>
      <c r="O303" s="1182" t="s">
        <v>1554</v>
      </c>
      <c r="P303" s="1182" t="s">
        <v>1575</v>
      </c>
      <c r="Q303" s="1182" t="s">
        <v>1574</v>
      </c>
      <c r="R303" s="1182" t="s">
        <v>1573</v>
      </c>
      <c r="S303" s="1182" t="s">
        <v>1572</v>
      </c>
      <c r="T303" s="1182" t="s">
        <v>1814</v>
      </c>
      <c r="U303" s="1182" t="s">
        <v>1815</v>
      </c>
      <c r="V303" s="1182">
        <v>0</v>
      </c>
      <c r="W303" s="1182">
        <v>0</v>
      </c>
      <c r="X303" s="1182">
        <v>0</v>
      </c>
      <c r="Y303" s="1183">
        <v>4000</v>
      </c>
      <c r="Z303" s="1182" t="s">
        <v>1940</v>
      </c>
      <c r="AA303" s="1182" t="s">
        <v>1941</v>
      </c>
      <c r="AB303" s="1182">
        <v>4000</v>
      </c>
      <c r="AC303" s="1182" t="s">
        <v>2596</v>
      </c>
      <c r="AD303" s="1182" t="s">
        <v>1572</v>
      </c>
      <c r="AE303" s="1182">
        <v>4000</v>
      </c>
      <c r="AF303" s="1182" t="s">
        <v>1943</v>
      </c>
      <c r="AG303" s="1182" t="s">
        <v>1944</v>
      </c>
      <c r="AH303" s="1182">
        <v>0</v>
      </c>
      <c r="AI303" s="1182">
        <v>4000</v>
      </c>
      <c r="AJ303" s="1182" t="s">
        <v>2677</v>
      </c>
      <c r="AL303" s="1186" t="s">
        <v>2678</v>
      </c>
      <c r="AM303" s="1182">
        <v>1</v>
      </c>
      <c r="AN303" s="1182">
        <v>0</v>
      </c>
      <c r="AO303" s="1182">
        <v>0</v>
      </c>
      <c r="AP303" s="1182">
        <v>0</v>
      </c>
      <c r="AQ303" s="1182" t="s">
        <v>1639</v>
      </c>
      <c r="AS303" s="1186" t="s">
        <v>1943</v>
      </c>
      <c r="AT303" s="1186" t="s">
        <v>1944</v>
      </c>
      <c r="AV303" s="1183">
        <v>0</v>
      </c>
      <c r="AW303" s="1183">
        <v>0</v>
      </c>
      <c r="AX303" s="1183">
        <v>0</v>
      </c>
      <c r="AY303" s="1538">
        <v>0</v>
      </c>
      <c r="AZ303" s="1183">
        <v>2000</v>
      </c>
      <c r="BA303" s="1183">
        <v>2000</v>
      </c>
      <c r="BB303" s="1540">
        <v>4000</v>
      </c>
      <c r="BC303" s="1540">
        <v>4000</v>
      </c>
      <c r="BD303" s="1540">
        <v>0</v>
      </c>
      <c r="BF303" s="1539">
        <f t="shared" si="71"/>
        <v>0</v>
      </c>
      <c r="BG303" s="1539">
        <f t="shared" si="72"/>
        <v>0</v>
      </c>
      <c r="BH303" s="1539">
        <f t="shared" si="73"/>
        <v>0</v>
      </c>
      <c r="BI303" s="1539">
        <f t="shared" si="74"/>
        <v>0</v>
      </c>
      <c r="BJ303" s="1539">
        <f t="shared" si="75"/>
        <v>2000</v>
      </c>
      <c r="BK303" s="1539">
        <f t="shared" si="76"/>
        <v>2000</v>
      </c>
      <c r="BL303" s="1539">
        <f t="shared" si="77"/>
        <v>4000</v>
      </c>
      <c r="BM303" s="1539">
        <f t="shared" si="78"/>
        <v>4000</v>
      </c>
      <c r="BO303" s="1183"/>
      <c r="BQ303" s="1182">
        <f t="shared" si="79"/>
        <v>0</v>
      </c>
      <c r="BR303" s="1182">
        <f t="shared" si="80"/>
        <v>0</v>
      </c>
      <c r="BS303" s="1182">
        <f t="shared" si="81"/>
        <v>0</v>
      </c>
      <c r="BT303" s="1182">
        <f t="shared" si="81"/>
        <v>0</v>
      </c>
    </row>
    <row r="304" spans="1:72" ht="13.5" customHeight="1">
      <c r="A304" s="1182" t="s">
        <v>1803</v>
      </c>
      <c r="B304" s="1182" t="s">
        <v>1804</v>
      </c>
      <c r="C304" s="1182" t="s">
        <v>1639</v>
      </c>
      <c r="D304" s="1182" t="s">
        <v>2590</v>
      </c>
      <c r="E304" s="1182" t="s">
        <v>2591</v>
      </c>
      <c r="F304" s="1182" t="s">
        <v>2825</v>
      </c>
      <c r="G304" s="1182" t="s">
        <v>2825</v>
      </c>
      <c r="H304" s="1182" t="s">
        <v>2750</v>
      </c>
      <c r="I304" s="1182" t="s">
        <v>1937</v>
      </c>
      <c r="J304" s="1182" t="s">
        <v>2826</v>
      </c>
      <c r="K304" s="1182" t="s">
        <v>1811</v>
      </c>
      <c r="L304" s="1182" t="s">
        <v>1812</v>
      </c>
      <c r="M304" s="1182" t="s">
        <v>1803</v>
      </c>
      <c r="N304" s="1182" t="s">
        <v>2595</v>
      </c>
      <c r="O304" s="1182" t="s">
        <v>1554</v>
      </c>
      <c r="P304" s="1182" t="s">
        <v>1575</v>
      </c>
      <c r="Q304" s="1182" t="s">
        <v>1574</v>
      </c>
      <c r="R304" s="1182" t="s">
        <v>1573</v>
      </c>
      <c r="S304" s="1182" t="s">
        <v>1572</v>
      </c>
      <c r="T304" s="1182" t="s">
        <v>1814</v>
      </c>
      <c r="U304" s="1182" t="s">
        <v>1815</v>
      </c>
      <c r="V304" s="1182">
        <v>0</v>
      </c>
      <c r="W304" s="1182">
        <v>0</v>
      </c>
      <c r="X304" s="1182">
        <v>0</v>
      </c>
      <c r="Y304" s="1183">
        <v>4000</v>
      </c>
      <c r="Z304" s="1182" t="s">
        <v>1940</v>
      </c>
      <c r="AA304" s="1182" t="s">
        <v>1941</v>
      </c>
      <c r="AB304" s="1182">
        <v>4000</v>
      </c>
      <c r="AC304" s="1182" t="s">
        <v>2596</v>
      </c>
      <c r="AD304" s="1182" t="s">
        <v>1572</v>
      </c>
      <c r="AE304" s="1182">
        <v>4000</v>
      </c>
      <c r="AF304" s="1182" t="s">
        <v>1943</v>
      </c>
      <c r="AG304" s="1182" t="s">
        <v>1944</v>
      </c>
      <c r="AH304" s="1182">
        <v>0</v>
      </c>
      <c r="AI304" s="1182">
        <v>4000</v>
      </c>
      <c r="AJ304" s="1182" t="s">
        <v>2827</v>
      </c>
      <c r="AL304" s="1186" t="s">
        <v>2828</v>
      </c>
      <c r="AM304" s="1182">
        <v>1</v>
      </c>
      <c r="AN304" s="1182">
        <v>0</v>
      </c>
      <c r="AO304" s="1182">
        <v>0</v>
      </c>
      <c r="AP304" s="1182">
        <v>0</v>
      </c>
      <c r="AQ304" s="1182" t="s">
        <v>1639</v>
      </c>
      <c r="AS304" s="1186" t="s">
        <v>1943</v>
      </c>
      <c r="AT304" s="1186" t="s">
        <v>1944</v>
      </c>
      <c r="AV304" s="1183">
        <v>0</v>
      </c>
      <c r="AW304" s="1183">
        <v>0</v>
      </c>
      <c r="AX304" s="1183">
        <v>0</v>
      </c>
      <c r="AY304" s="1538">
        <v>0</v>
      </c>
      <c r="AZ304" s="1183">
        <v>2000</v>
      </c>
      <c r="BA304" s="1183">
        <v>2000</v>
      </c>
      <c r="BB304" s="1540">
        <v>4000</v>
      </c>
      <c r="BC304" s="1540">
        <v>4000</v>
      </c>
      <c r="BD304" s="1540">
        <v>0</v>
      </c>
      <c r="BF304" s="1539">
        <f t="shared" si="71"/>
        <v>0</v>
      </c>
      <c r="BG304" s="1539">
        <f t="shared" si="72"/>
        <v>0</v>
      </c>
      <c r="BH304" s="1539">
        <f t="shared" si="73"/>
        <v>0</v>
      </c>
      <c r="BI304" s="1539">
        <f t="shared" si="74"/>
        <v>0</v>
      </c>
      <c r="BJ304" s="1539">
        <f t="shared" si="75"/>
        <v>2000</v>
      </c>
      <c r="BK304" s="1539">
        <f t="shared" si="76"/>
        <v>2000</v>
      </c>
      <c r="BL304" s="1539">
        <f t="shared" si="77"/>
        <v>4000</v>
      </c>
      <c r="BM304" s="1539">
        <f t="shared" si="78"/>
        <v>4000</v>
      </c>
      <c r="BO304" s="1183"/>
      <c r="BQ304" s="1182">
        <f t="shared" si="79"/>
        <v>0</v>
      </c>
      <c r="BR304" s="1182">
        <f t="shared" si="80"/>
        <v>0</v>
      </c>
      <c r="BS304" s="1182">
        <f t="shared" si="81"/>
        <v>0</v>
      </c>
      <c r="BT304" s="1182">
        <f t="shared" si="81"/>
        <v>0</v>
      </c>
    </row>
    <row r="305" spans="1:72" ht="13.5" customHeight="1">
      <c r="A305" s="1182" t="s">
        <v>1803</v>
      </c>
      <c r="B305" s="1182" t="s">
        <v>1804</v>
      </c>
      <c r="C305" s="1182" t="s">
        <v>1639</v>
      </c>
      <c r="D305" s="1182" t="s">
        <v>2590</v>
      </c>
      <c r="E305" s="1182" t="s">
        <v>2591</v>
      </c>
      <c r="F305" s="1182" t="s">
        <v>1856</v>
      </c>
      <c r="G305" s="1182" t="s">
        <v>1856</v>
      </c>
      <c r="H305" s="1182" t="s">
        <v>2750</v>
      </c>
      <c r="I305" s="1182" t="s">
        <v>1937</v>
      </c>
      <c r="J305" s="1182" t="s">
        <v>2829</v>
      </c>
      <c r="K305" s="1182" t="s">
        <v>1811</v>
      </c>
      <c r="L305" s="1182" t="s">
        <v>1812</v>
      </c>
      <c r="M305" s="1182" t="s">
        <v>1803</v>
      </c>
      <c r="N305" s="1182" t="s">
        <v>2595</v>
      </c>
      <c r="O305" s="1182" t="s">
        <v>1554</v>
      </c>
      <c r="P305" s="1182" t="s">
        <v>1575</v>
      </c>
      <c r="Q305" s="1182" t="s">
        <v>1574</v>
      </c>
      <c r="R305" s="1182" t="s">
        <v>1573</v>
      </c>
      <c r="S305" s="1182" t="s">
        <v>1572</v>
      </c>
      <c r="T305" s="1182" t="s">
        <v>1814</v>
      </c>
      <c r="U305" s="1182" t="s">
        <v>1815</v>
      </c>
      <c r="V305" s="1182">
        <v>0</v>
      </c>
      <c r="W305" s="1182">
        <v>0</v>
      </c>
      <c r="X305" s="1182">
        <v>0</v>
      </c>
      <c r="Y305" s="1183">
        <v>4000</v>
      </c>
      <c r="Z305" s="1182" t="s">
        <v>1940</v>
      </c>
      <c r="AA305" s="1182" t="s">
        <v>1941</v>
      </c>
      <c r="AB305" s="1182">
        <v>4000</v>
      </c>
      <c r="AC305" s="1182" t="s">
        <v>2596</v>
      </c>
      <c r="AD305" s="1182" t="s">
        <v>1572</v>
      </c>
      <c r="AE305" s="1182">
        <v>4000</v>
      </c>
      <c r="AF305" s="1182" t="s">
        <v>1943</v>
      </c>
      <c r="AG305" s="1182" t="s">
        <v>1944</v>
      </c>
      <c r="AH305" s="1182">
        <v>0</v>
      </c>
      <c r="AI305" s="1182">
        <v>4000</v>
      </c>
      <c r="AJ305" s="1182" t="s">
        <v>2830</v>
      </c>
      <c r="AL305" s="1186" t="s">
        <v>2831</v>
      </c>
      <c r="AM305" s="1182">
        <v>1</v>
      </c>
      <c r="AN305" s="1182">
        <v>0</v>
      </c>
      <c r="AO305" s="1182">
        <v>0</v>
      </c>
      <c r="AP305" s="1182">
        <v>0</v>
      </c>
      <c r="AQ305" s="1182" t="s">
        <v>1639</v>
      </c>
      <c r="AS305" s="1186" t="s">
        <v>1943</v>
      </c>
      <c r="AT305" s="1186" t="s">
        <v>1944</v>
      </c>
      <c r="AV305" s="1185">
        <v>0</v>
      </c>
      <c r="AW305" s="1185">
        <v>0</v>
      </c>
      <c r="AX305" s="1185">
        <v>0</v>
      </c>
      <c r="AY305" s="1539">
        <v>0</v>
      </c>
      <c r="AZ305" s="1185">
        <v>2000</v>
      </c>
      <c r="BA305" s="1185">
        <v>2000</v>
      </c>
      <c r="BB305" s="1540">
        <v>4000</v>
      </c>
      <c r="BC305" s="1540">
        <v>4000</v>
      </c>
      <c r="BD305" s="1540">
        <v>0</v>
      </c>
      <c r="BF305" s="1539">
        <f t="shared" si="71"/>
        <v>0</v>
      </c>
      <c r="BG305" s="1539">
        <f t="shared" si="72"/>
        <v>0</v>
      </c>
      <c r="BH305" s="1539">
        <f t="shared" si="73"/>
        <v>0</v>
      </c>
      <c r="BI305" s="1539">
        <f t="shared" si="74"/>
        <v>0</v>
      </c>
      <c r="BJ305" s="1539">
        <f t="shared" si="75"/>
        <v>2000</v>
      </c>
      <c r="BK305" s="1539">
        <f t="shared" si="76"/>
        <v>2000</v>
      </c>
      <c r="BL305" s="1539">
        <f t="shared" si="77"/>
        <v>4000</v>
      </c>
      <c r="BM305" s="1539">
        <f t="shared" si="78"/>
        <v>4000</v>
      </c>
      <c r="BO305" s="1183"/>
      <c r="BQ305" s="1182">
        <f t="shared" si="79"/>
        <v>0</v>
      </c>
      <c r="BR305" s="1182">
        <f t="shared" si="80"/>
        <v>0</v>
      </c>
      <c r="BS305" s="1182">
        <f t="shared" si="81"/>
        <v>0</v>
      </c>
      <c r="BT305" s="1182">
        <f t="shared" si="81"/>
        <v>0</v>
      </c>
    </row>
    <row r="306" spans="1:72" ht="13.5" customHeight="1">
      <c r="A306" s="1182" t="s">
        <v>1803</v>
      </c>
      <c r="B306" s="1182" t="s">
        <v>1804</v>
      </c>
      <c r="C306" s="1182" t="s">
        <v>1639</v>
      </c>
      <c r="D306" s="1182" t="s">
        <v>2590</v>
      </c>
      <c r="E306" s="1182" t="s">
        <v>2591</v>
      </c>
      <c r="F306" s="1182" t="s">
        <v>2438</v>
      </c>
      <c r="G306" s="1182" t="s">
        <v>2438</v>
      </c>
      <c r="H306" s="1182" t="s">
        <v>2593</v>
      </c>
      <c r="I306" s="1182" t="s">
        <v>1937</v>
      </c>
      <c r="J306" s="1182" t="s">
        <v>2832</v>
      </c>
      <c r="K306" s="1182" t="s">
        <v>1811</v>
      </c>
      <c r="L306" s="1182" t="s">
        <v>1812</v>
      </c>
      <c r="M306" s="1182" t="s">
        <v>1803</v>
      </c>
      <c r="N306" s="1182" t="s">
        <v>2595</v>
      </c>
      <c r="O306" s="1182" t="s">
        <v>1554</v>
      </c>
      <c r="P306" s="1182" t="s">
        <v>1575</v>
      </c>
      <c r="Q306" s="1182" t="s">
        <v>1574</v>
      </c>
      <c r="R306" s="1182" t="s">
        <v>1573</v>
      </c>
      <c r="S306" s="1182" t="s">
        <v>1572</v>
      </c>
      <c r="T306" s="1182" t="s">
        <v>1814</v>
      </c>
      <c r="U306" s="1182" t="s">
        <v>1815</v>
      </c>
      <c r="V306" s="1182">
        <v>0</v>
      </c>
      <c r="W306" s="1182">
        <v>0</v>
      </c>
      <c r="X306" s="1182">
        <v>0</v>
      </c>
      <c r="Y306" s="1183">
        <v>8000</v>
      </c>
      <c r="Z306" s="1182" t="s">
        <v>1940</v>
      </c>
      <c r="AA306" s="1182" t="s">
        <v>1941</v>
      </c>
      <c r="AB306" s="1182">
        <v>8000</v>
      </c>
      <c r="AC306" s="1182" t="s">
        <v>2596</v>
      </c>
      <c r="AD306" s="1182" t="s">
        <v>1572</v>
      </c>
      <c r="AE306" s="1182">
        <v>8000</v>
      </c>
      <c r="AF306" s="1182" t="s">
        <v>1943</v>
      </c>
      <c r="AG306" s="1182" t="s">
        <v>1944</v>
      </c>
      <c r="AH306" s="1182">
        <v>0</v>
      </c>
      <c r="AI306" s="1182">
        <v>8000</v>
      </c>
      <c r="AJ306" s="1182" t="s">
        <v>2833</v>
      </c>
      <c r="AL306" s="1186" t="s">
        <v>2834</v>
      </c>
      <c r="AM306" s="1182">
        <v>1</v>
      </c>
      <c r="AN306" s="1182">
        <v>0</v>
      </c>
      <c r="AO306" s="1182">
        <v>0</v>
      </c>
      <c r="AP306" s="1182">
        <v>0</v>
      </c>
      <c r="AQ306" s="1182" t="s">
        <v>1639</v>
      </c>
      <c r="AS306" s="1186" t="s">
        <v>1943</v>
      </c>
      <c r="AT306" s="1186" t="s">
        <v>1944</v>
      </c>
      <c r="AV306" s="1183">
        <v>0</v>
      </c>
      <c r="AW306" s="1183">
        <v>0</v>
      </c>
      <c r="AX306" s="1183">
        <v>0</v>
      </c>
      <c r="AY306" s="1538">
        <v>0</v>
      </c>
      <c r="AZ306" s="1183">
        <v>4000</v>
      </c>
      <c r="BA306" s="1183">
        <v>4000</v>
      </c>
      <c r="BB306" s="1540">
        <v>8000</v>
      </c>
      <c r="BC306" s="1540">
        <v>8000</v>
      </c>
      <c r="BD306" s="1540">
        <v>0</v>
      </c>
      <c r="BF306" s="1539">
        <f t="shared" si="71"/>
        <v>0</v>
      </c>
      <c r="BG306" s="1539">
        <f t="shared" si="72"/>
        <v>0</v>
      </c>
      <c r="BH306" s="1539">
        <f t="shared" si="73"/>
        <v>0</v>
      </c>
      <c r="BI306" s="1539">
        <f t="shared" si="74"/>
        <v>0</v>
      </c>
      <c r="BJ306" s="1539">
        <f t="shared" si="75"/>
        <v>4000</v>
      </c>
      <c r="BK306" s="1539">
        <f t="shared" si="76"/>
        <v>4000</v>
      </c>
      <c r="BL306" s="1539">
        <f t="shared" si="77"/>
        <v>8000</v>
      </c>
      <c r="BM306" s="1539">
        <f t="shared" si="78"/>
        <v>8000</v>
      </c>
      <c r="BO306" s="1183"/>
      <c r="BQ306" s="1182">
        <f t="shared" si="79"/>
        <v>0</v>
      </c>
      <c r="BR306" s="1182">
        <f t="shared" si="80"/>
        <v>0</v>
      </c>
      <c r="BS306" s="1182">
        <f t="shared" si="81"/>
        <v>0</v>
      </c>
      <c r="BT306" s="1182">
        <f t="shared" si="81"/>
        <v>0</v>
      </c>
    </row>
    <row r="307" spans="1:72" ht="13.5" customHeight="1">
      <c r="A307" s="1182" t="s">
        <v>1803</v>
      </c>
      <c r="B307" s="1182" t="s">
        <v>1804</v>
      </c>
      <c r="C307" s="1182" t="s">
        <v>1639</v>
      </c>
      <c r="D307" s="1182" t="s">
        <v>2590</v>
      </c>
      <c r="E307" s="1182" t="s">
        <v>2591</v>
      </c>
      <c r="F307" s="1182" t="s">
        <v>2131</v>
      </c>
      <c r="G307" s="1182" t="s">
        <v>2131</v>
      </c>
      <c r="H307" s="1182" t="s">
        <v>2750</v>
      </c>
      <c r="I307" s="1182" t="s">
        <v>1937</v>
      </c>
      <c r="J307" s="1182" t="s">
        <v>2835</v>
      </c>
      <c r="K307" s="1182" t="s">
        <v>1811</v>
      </c>
      <c r="L307" s="1182" t="s">
        <v>1812</v>
      </c>
      <c r="M307" s="1182" t="s">
        <v>1803</v>
      </c>
      <c r="N307" s="1182" t="s">
        <v>2595</v>
      </c>
      <c r="O307" s="1182" t="s">
        <v>1554</v>
      </c>
      <c r="P307" s="1182" t="s">
        <v>1575</v>
      </c>
      <c r="Q307" s="1182" t="s">
        <v>1574</v>
      </c>
      <c r="R307" s="1182" t="s">
        <v>1573</v>
      </c>
      <c r="S307" s="1182" t="s">
        <v>1572</v>
      </c>
      <c r="T307" s="1182" t="s">
        <v>1814</v>
      </c>
      <c r="U307" s="1182" t="s">
        <v>1815</v>
      </c>
      <c r="V307" s="1182">
        <v>0</v>
      </c>
      <c r="W307" s="1182">
        <v>0</v>
      </c>
      <c r="X307" s="1182">
        <v>0</v>
      </c>
      <c r="Y307" s="1183">
        <v>8000</v>
      </c>
      <c r="Z307" s="1182" t="s">
        <v>1940</v>
      </c>
      <c r="AA307" s="1182" t="s">
        <v>1941</v>
      </c>
      <c r="AB307" s="1182">
        <v>8000</v>
      </c>
      <c r="AC307" s="1182" t="s">
        <v>2596</v>
      </c>
      <c r="AD307" s="1182" t="s">
        <v>1572</v>
      </c>
      <c r="AE307" s="1182">
        <v>8000</v>
      </c>
      <c r="AF307" s="1182" t="s">
        <v>1943</v>
      </c>
      <c r="AG307" s="1182" t="s">
        <v>1944</v>
      </c>
      <c r="AH307" s="1182">
        <v>0</v>
      </c>
      <c r="AI307" s="1182">
        <v>8000</v>
      </c>
      <c r="AJ307" s="1182" t="s">
        <v>2836</v>
      </c>
      <c r="AL307" s="1186" t="s">
        <v>2837</v>
      </c>
      <c r="AM307" s="1182">
        <v>1</v>
      </c>
      <c r="AN307" s="1182">
        <v>0</v>
      </c>
      <c r="AO307" s="1182">
        <v>0</v>
      </c>
      <c r="AP307" s="1182">
        <v>0</v>
      </c>
      <c r="AQ307" s="1182" t="s">
        <v>1639</v>
      </c>
      <c r="AS307" s="1186" t="s">
        <v>1943</v>
      </c>
      <c r="AT307" s="1186" t="s">
        <v>1944</v>
      </c>
      <c r="AV307" s="1183">
        <v>0</v>
      </c>
      <c r="AW307" s="1183">
        <v>0</v>
      </c>
      <c r="AX307" s="1183">
        <v>0</v>
      </c>
      <c r="AY307" s="1538">
        <v>0</v>
      </c>
      <c r="AZ307" s="1183">
        <v>4000</v>
      </c>
      <c r="BA307" s="1183">
        <v>4000</v>
      </c>
      <c r="BB307" s="1540">
        <v>8000</v>
      </c>
      <c r="BC307" s="1540">
        <v>8000</v>
      </c>
      <c r="BD307" s="1540">
        <v>0</v>
      </c>
      <c r="BF307" s="1539">
        <f t="shared" si="71"/>
        <v>0</v>
      </c>
      <c r="BG307" s="1539">
        <f t="shared" si="72"/>
        <v>0</v>
      </c>
      <c r="BH307" s="1539">
        <f t="shared" si="73"/>
        <v>0</v>
      </c>
      <c r="BI307" s="1539">
        <f t="shared" si="74"/>
        <v>0</v>
      </c>
      <c r="BJ307" s="1539">
        <f t="shared" si="75"/>
        <v>4000</v>
      </c>
      <c r="BK307" s="1539">
        <f t="shared" si="76"/>
        <v>4000</v>
      </c>
      <c r="BL307" s="1539">
        <f t="shared" si="77"/>
        <v>8000</v>
      </c>
      <c r="BM307" s="1539">
        <f t="shared" si="78"/>
        <v>8000</v>
      </c>
      <c r="BO307" s="1183"/>
      <c r="BQ307" s="1182">
        <f t="shared" si="79"/>
        <v>0</v>
      </c>
      <c r="BR307" s="1182">
        <f t="shared" si="80"/>
        <v>0</v>
      </c>
      <c r="BS307" s="1182">
        <f t="shared" si="81"/>
        <v>0</v>
      </c>
      <c r="BT307" s="1182">
        <f t="shared" si="81"/>
        <v>0</v>
      </c>
    </row>
    <row r="308" spans="1:72" ht="13.5" customHeight="1">
      <c r="A308" s="1182" t="s">
        <v>1803</v>
      </c>
      <c r="B308" s="1182" t="s">
        <v>1804</v>
      </c>
      <c r="C308" s="1182" t="s">
        <v>1639</v>
      </c>
      <c r="D308" s="1182" t="s">
        <v>2590</v>
      </c>
      <c r="E308" s="1182" t="s">
        <v>2591</v>
      </c>
      <c r="F308" s="1182" t="s">
        <v>2127</v>
      </c>
      <c r="G308" s="1182" t="s">
        <v>2127</v>
      </c>
      <c r="H308" s="1182" t="s">
        <v>2750</v>
      </c>
      <c r="I308" s="1182" t="s">
        <v>1937</v>
      </c>
      <c r="J308" s="1182" t="s">
        <v>2838</v>
      </c>
      <c r="K308" s="1182" t="s">
        <v>1811</v>
      </c>
      <c r="L308" s="1182" t="s">
        <v>1812</v>
      </c>
      <c r="M308" s="1182" t="s">
        <v>1803</v>
      </c>
      <c r="N308" s="1182" t="s">
        <v>2595</v>
      </c>
      <c r="O308" s="1182" t="s">
        <v>1554</v>
      </c>
      <c r="P308" s="1182" t="s">
        <v>1575</v>
      </c>
      <c r="Q308" s="1182" t="s">
        <v>1574</v>
      </c>
      <c r="R308" s="1182" t="s">
        <v>1573</v>
      </c>
      <c r="S308" s="1182" t="s">
        <v>1572</v>
      </c>
      <c r="T308" s="1182" t="s">
        <v>1814</v>
      </c>
      <c r="U308" s="1182" t="s">
        <v>1815</v>
      </c>
      <c r="V308" s="1182">
        <v>0</v>
      </c>
      <c r="W308" s="1182">
        <v>0</v>
      </c>
      <c r="X308" s="1182">
        <v>0</v>
      </c>
      <c r="Y308" s="1183">
        <v>4000</v>
      </c>
      <c r="Z308" s="1182" t="s">
        <v>1940</v>
      </c>
      <c r="AA308" s="1182" t="s">
        <v>1941</v>
      </c>
      <c r="AB308" s="1182">
        <v>4000</v>
      </c>
      <c r="AC308" s="1182" t="s">
        <v>2596</v>
      </c>
      <c r="AD308" s="1182" t="s">
        <v>1572</v>
      </c>
      <c r="AE308" s="1182">
        <v>4000</v>
      </c>
      <c r="AF308" s="1182" t="s">
        <v>1943</v>
      </c>
      <c r="AG308" s="1182" t="s">
        <v>1944</v>
      </c>
      <c r="AH308" s="1182">
        <v>0</v>
      </c>
      <c r="AI308" s="1182">
        <v>4000</v>
      </c>
      <c r="AJ308" s="1182" t="s">
        <v>2839</v>
      </c>
      <c r="AL308" s="1186" t="s">
        <v>2840</v>
      </c>
      <c r="AM308" s="1182">
        <v>1</v>
      </c>
      <c r="AN308" s="1182">
        <v>0</v>
      </c>
      <c r="AO308" s="1182">
        <v>0</v>
      </c>
      <c r="AP308" s="1182">
        <v>0</v>
      </c>
      <c r="AQ308" s="1182" t="s">
        <v>1639</v>
      </c>
      <c r="AS308" s="1186" t="s">
        <v>1943</v>
      </c>
      <c r="AT308" s="1186" t="s">
        <v>1944</v>
      </c>
      <c r="AV308" s="1183">
        <v>0</v>
      </c>
      <c r="AW308" s="1183">
        <v>0</v>
      </c>
      <c r="AX308" s="1183">
        <v>0</v>
      </c>
      <c r="AY308" s="1538">
        <v>0</v>
      </c>
      <c r="AZ308" s="1183">
        <v>2000</v>
      </c>
      <c r="BA308" s="1183">
        <v>2000</v>
      </c>
      <c r="BB308" s="1540">
        <v>4000</v>
      </c>
      <c r="BC308" s="1540">
        <v>4000</v>
      </c>
      <c r="BD308" s="1540">
        <v>0</v>
      </c>
      <c r="BF308" s="1539">
        <f t="shared" si="71"/>
        <v>0</v>
      </c>
      <c r="BG308" s="1539">
        <f t="shared" si="72"/>
        <v>0</v>
      </c>
      <c r="BH308" s="1539">
        <f t="shared" si="73"/>
        <v>0</v>
      </c>
      <c r="BI308" s="1539">
        <f t="shared" si="74"/>
        <v>0</v>
      </c>
      <c r="BJ308" s="1539">
        <f t="shared" si="75"/>
        <v>2000</v>
      </c>
      <c r="BK308" s="1539">
        <f t="shared" si="76"/>
        <v>2000</v>
      </c>
      <c r="BL308" s="1539">
        <f t="shared" si="77"/>
        <v>4000</v>
      </c>
      <c r="BM308" s="1539">
        <f t="shared" si="78"/>
        <v>4000</v>
      </c>
      <c r="BO308" s="1183"/>
      <c r="BQ308" s="1182">
        <f t="shared" si="79"/>
        <v>0</v>
      </c>
      <c r="BR308" s="1182">
        <f t="shared" si="80"/>
        <v>0</v>
      </c>
      <c r="BS308" s="1182">
        <f t="shared" si="81"/>
        <v>0</v>
      </c>
      <c r="BT308" s="1182">
        <f t="shared" si="81"/>
        <v>0</v>
      </c>
    </row>
    <row r="309" spans="1:72" ht="13.5" customHeight="1">
      <c r="A309" s="1182" t="s">
        <v>1803</v>
      </c>
      <c r="B309" s="1182" t="s">
        <v>1804</v>
      </c>
      <c r="C309" s="1182" t="s">
        <v>1639</v>
      </c>
      <c r="D309" s="1182" t="s">
        <v>2590</v>
      </c>
      <c r="E309" s="1182" t="s">
        <v>2591</v>
      </c>
      <c r="F309" s="1182" t="s">
        <v>2841</v>
      </c>
      <c r="G309" s="1182" t="s">
        <v>2841</v>
      </c>
      <c r="H309" s="1182" t="s">
        <v>2750</v>
      </c>
      <c r="I309" s="1182" t="s">
        <v>1937</v>
      </c>
      <c r="J309" s="1182" t="s">
        <v>2842</v>
      </c>
      <c r="K309" s="1182" t="s">
        <v>1811</v>
      </c>
      <c r="L309" s="1182" t="s">
        <v>1812</v>
      </c>
      <c r="M309" s="1182" t="s">
        <v>1803</v>
      </c>
      <c r="N309" s="1182" t="s">
        <v>2595</v>
      </c>
      <c r="O309" s="1182" t="s">
        <v>1554</v>
      </c>
      <c r="P309" s="1182" t="s">
        <v>1575</v>
      </c>
      <c r="Q309" s="1182" t="s">
        <v>1574</v>
      </c>
      <c r="R309" s="1182" t="s">
        <v>1573</v>
      </c>
      <c r="S309" s="1182" t="s">
        <v>1572</v>
      </c>
      <c r="T309" s="1182" t="s">
        <v>1814</v>
      </c>
      <c r="U309" s="1182" t="s">
        <v>1815</v>
      </c>
      <c r="V309" s="1182">
        <v>0</v>
      </c>
      <c r="W309" s="1182">
        <v>0</v>
      </c>
      <c r="X309" s="1182">
        <v>0</v>
      </c>
      <c r="Y309" s="1183">
        <v>4000</v>
      </c>
      <c r="Z309" s="1182" t="s">
        <v>1940</v>
      </c>
      <c r="AA309" s="1182" t="s">
        <v>1941</v>
      </c>
      <c r="AB309" s="1182">
        <v>4000</v>
      </c>
      <c r="AC309" s="1182" t="s">
        <v>2596</v>
      </c>
      <c r="AD309" s="1182" t="s">
        <v>1572</v>
      </c>
      <c r="AE309" s="1182">
        <v>4000</v>
      </c>
      <c r="AF309" s="1182" t="s">
        <v>1943</v>
      </c>
      <c r="AG309" s="1182" t="s">
        <v>1944</v>
      </c>
      <c r="AH309" s="1182">
        <v>0</v>
      </c>
      <c r="AI309" s="1182">
        <v>4000</v>
      </c>
      <c r="AJ309" s="1182" t="s">
        <v>2843</v>
      </c>
      <c r="AL309" s="1186" t="s">
        <v>2844</v>
      </c>
      <c r="AM309" s="1182">
        <v>1</v>
      </c>
      <c r="AN309" s="1182">
        <v>0</v>
      </c>
      <c r="AO309" s="1182">
        <v>0</v>
      </c>
      <c r="AP309" s="1182">
        <v>0</v>
      </c>
      <c r="AQ309" s="1182" t="s">
        <v>1639</v>
      </c>
      <c r="AS309" s="1186" t="s">
        <v>1943</v>
      </c>
      <c r="AT309" s="1186" t="s">
        <v>1944</v>
      </c>
      <c r="AV309" s="1183">
        <v>0</v>
      </c>
      <c r="AW309" s="1183">
        <v>0</v>
      </c>
      <c r="AX309" s="1183">
        <v>0</v>
      </c>
      <c r="AY309" s="1538">
        <v>0</v>
      </c>
      <c r="AZ309" s="1183">
        <v>2000</v>
      </c>
      <c r="BA309" s="1183">
        <v>2000</v>
      </c>
      <c r="BB309" s="1540">
        <v>4000</v>
      </c>
      <c r="BC309" s="1540">
        <v>4000</v>
      </c>
      <c r="BD309" s="1540">
        <v>0</v>
      </c>
      <c r="BF309" s="1539">
        <f t="shared" si="71"/>
        <v>0</v>
      </c>
      <c r="BG309" s="1539">
        <f t="shared" si="72"/>
        <v>0</v>
      </c>
      <c r="BH309" s="1539">
        <f t="shared" si="73"/>
        <v>0</v>
      </c>
      <c r="BI309" s="1539">
        <f t="shared" si="74"/>
        <v>0</v>
      </c>
      <c r="BJ309" s="1539">
        <f t="shared" si="75"/>
        <v>2000</v>
      </c>
      <c r="BK309" s="1539">
        <f t="shared" si="76"/>
        <v>2000</v>
      </c>
      <c r="BL309" s="1539">
        <f t="shared" si="77"/>
        <v>4000</v>
      </c>
      <c r="BM309" s="1539">
        <f t="shared" si="78"/>
        <v>4000</v>
      </c>
      <c r="BO309" s="1183"/>
      <c r="BQ309" s="1182">
        <f t="shared" si="79"/>
        <v>0</v>
      </c>
      <c r="BR309" s="1182">
        <f t="shared" si="80"/>
        <v>0</v>
      </c>
      <c r="BS309" s="1182">
        <f t="shared" si="81"/>
        <v>0</v>
      </c>
      <c r="BT309" s="1182">
        <f t="shared" si="81"/>
        <v>0</v>
      </c>
    </row>
    <row r="310" spans="1:72" ht="13.5" customHeight="1">
      <c r="A310" s="1182" t="s">
        <v>1803</v>
      </c>
      <c r="B310" s="1182" t="s">
        <v>1804</v>
      </c>
      <c r="C310" s="1182" t="s">
        <v>1639</v>
      </c>
      <c r="D310" s="1182" t="s">
        <v>2590</v>
      </c>
      <c r="E310" s="1182" t="s">
        <v>2591</v>
      </c>
      <c r="F310" s="1182" t="s">
        <v>2821</v>
      </c>
      <c r="G310" s="1182" t="s">
        <v>2821</v>
      </c>
      <c r="H310" s="1182" t="s">
        <v>2593</v>
      </c>
      <c r="I310" s="1182" t="s">
        <v>1937</v>
      </c>
      <c r="J310" s="1182" t="s">
        <v>2822</v>
      </c>
      <c r="K310" s="1182" t="s">
        <v>1811</v>
      </c>
      <c r="L310" s="1182" t="s">
        <v>1812</v>
      </c>
      <c r="M310" s="1182" t="s">
        <v>1803</v>
      </c>
      <c r="N310" s="1182" t="s">
        <v>2595</v>
      </c>
      <c r="O310" s="1182" t="s">
        <v>1554</v>
      </c>
      <c r="P310" s="1182" t="s">
        <v>1575</v>
      </c>
      <c r="Q310" s="1182" t="s">
        <v>1574</v>
      </c>
      <c r="R310" s="1182" t="s">
        <v>1573</v>
      </c>
      <c r="S310" s="1182" t="s">
        <v>1572</v>
      </c>
      <c r="T310" s="1182" t="s">
        <v>1814</v>
      </c>
      <c r="U310" s="1182" t="s">
        <v>1815</v>
      </c>
      <c r="V310" s="1182">
        <v>0</v>
      </c>
      <c r="W310" s="1182">
        <v>0</v>
      </c>
      <c r="X310" s="1182">
        <v>0</v>
      </c>
      <c r="Y310" s="1183">
        <v>4000</v>
      </c>
      <c r="Z310" s="1182" t="s">
        <v>1940</v>
      </c>
      <c r="AA310" s="1182" t="s">
        <v>1941</v>
      </c>
      <c r="AB310" s="1182">
        <v>4000</v>
      </c>
      <c r="AC310" s="1182" t="s">
        <v>2596</v>
      </c>
      <c r="AD310" s="1182" t="s">
        <v>1572</v>
      </c>
      <c r="AE310" s="1182">
        <v>4000</v>
      </c>
      <c r="AF310" s="1182" t="s">
        <v>1943</v>
      </c>
      <c r="AG310" s="1182" t="s">
        <v>1944</v>
      </c>
      <c r="AH310" s="1182">
        <v>0</v>
      </c>
      <c r="AI310" s="1182">
        <v>4000</v>
      </c>
      <c r="AJ310" s="1182" t="s">
        <v>2823</v>
      </c>
      <c r="AL310" s="1186" t="s">
        <v>2824</v>
      </c>
      <c r="AM310" s="1182">
        <v>1</v>
      </c>
      <c r="AN310" s="1182">
        <v>0</v>
      </c>
      <c r="AO310" s="1182">
        <v>0</v>
      </c>
      <c r="AP310" s="1182">
        <v>0</v>
      </c>
      <c r="AQ310" s="1182" t="s">
        <v>1639</v>
      </c>
      <c r="AS310" s="1186" t="s">
        <v>1943</v>
      </c>
      <c r="AT310" s="1186" t="s">
        <v>1944</v>
      </c>
      <c r="AV310" s="1183">
        <v>0</v>
      </c>
      <c r="AW310" s="1183">
        <v>0</v>
      </c>
      <c r="AX310" s="1183">
        <v>0</v>
      </c>
      <c r="AY310" s="1538">
        <v>0</v>
      </c>
      <c r="AZ310" s="1183">
        <v>2000</v>
      </c>
      <c r="BA310" s="1183">
        <v>2000</v>
      </c>
      <c r="BB310" s="1540">
        <v>4000</v>
      </c>
      <c r="BC310" s="1540">
        <v>4000</v>
      </c>
      <c r="BD310" s="1540">
        <v>0</v>
      </c>
      <c r="BF310" s="1539">
        <f t="shared" si="71"/>
        <v>0</v>
      </c>
      <c r="BG310" s="1539">
        <f t="shared" si="72"/>
        <v>0</v>
      </c>
      <c r="BH310" s="1539">
        <f t="shared" si="73"/>
        <v>0</v>
      </c>
      <c r="BI310" s="1539">
        <f t="shared" si="74"/>
        <v>0</v>
      </c>
      <c r="BJ310" s="1539">
        <f t="shared" si="75"/>
        <v>2000</v>
      </c>
      <c r="BK310" s="1539">
        <f t="shared" si="76"/>
        <v>2000</v>
      </c>
      <c r="BL310" s="1539">
        <f t="shared" si="77"/>
        <v>4000</v>
      </c>
      <c r="BM310" s="1539">
        <f t="shared" si="78"/>
        <v>4000</v>
      </c>
      <c r="BO310" s="1183"/>
      <c r="BQ310" s="1182">
        <f t="shared" si="79"/>
        <v>0</v>
      </c>
      <c r="BR310" s="1182">
        <f t="shared" si="80"/>
        <v>0</v>
      </c>
      <c r="BS310" s="1182">
        <f t="shared" si="81"/>
        <v>0</v>
      </c>
      <c r="BT310" s="1182">
        <f t="shared" si="81"/>
        <v>0</v>
      </c>
    </row>
    <row r="311" spans="1:72" ht="13.5" customHeight="1">
      <c r="A311" s="1182" t="s">
        <v>1803</v>
      </c>
      <c r="B311" s="1182" t="s">
        <v>1804</v>
      </c>
      <c r="C311" s="1182" t="s">
        <v>1639</v>
      </c>
      <c r="D311" s="1182" t="s">
        <v>2590</v>
      </c>
      <c r="E311" s="1182" t="s">
        <v>2591</v>
      </c>
      <c r="F311" s="1182" t="s">
        <v>2858</v>
      </c>
      <c r="G311" s="1182" t="s">
        <v>2858</v>
      </c>
      <c r="H311" s="1182" t="s">
        <v>2750</v>
      </c>
      <c r="I311" s="1182" t="s">
        <v>1937</v>
      </c>
      <c r="J311" s="1182" t="s">
        <v>2859</v>
      </c>
      <c r="K311" s="1182" t="s">
        <v>1811</v>
      </c>
      <c r="L311" s="1182" t="s">
        <v>1812</v>
      </c>
      <c r="M311" s="1182" t="s">
        <v>1803</v>
      </c>
      <c r="N311" s="1182" t="s">
        <v>2595</v>
      </c>
      <c r="O311" s="1182" t="s">
        <v>1554</v>
      </c>
      <c r="P311" s="1182" t="s">
        <v>1575</v>
      </c>
      <c r="Q311" s="1182" t="s">
        <v>1574</v>
      </c>
      <c r="R311" s="1182" t="s">
        <v>1573</v>
      </c>
      <c r="S311" s="1182" t="s">
        <v>1572</v>
      </c>
      <c r="T311" s="1182" t="s">
        <v>1814</v>
      </c>
      <c r="U311" s="1182" t="s">
        <v>1815</v>
      </c>
      <c r="V311" s="1182">
        <v>0</v>
      </c>
      <c r="W311" s="1182">
        <v>0</v>
      </c>
      <c r="X311" s="1182">
        <v>0</v>
      </c>
      <c r="Y311" s="1544">
        <v>15000</v>
      </c>
      <c r="Z311" s="1182" t="s">
        <v>1940</v>
      </c>
      <c r="AA311" s="1182" t="s">
        <v>1941</v>
      </c>
      <c r="AB311" s="1182">
        <v>15000</v>
      </c>
      <c r="AC311" s="1182" t="s">
        <v>2596</v>
      </c>
      <c r="AD311" s="1182" t="s">
        <v>1572</v>
      </c>
      <c r="AE311" s="1182">
        <v>15000</v>
      </c>
      <c r="AF311" s="1182" t="s">
        <v>1943</v>
      </c>
      <c r="AG311" s="1182" t="s">
        <v>1944</v>
      </c>
      <c r="AH311" s="1182">
        <v>0</v>
      </c>
      <c r="AI311" s="1182">
        <v>15000</v>
      </c>
      <c r="AJ311" s="1182" t="s">
        <v>2860</v>
      </c>
      <c r="AL311" s="1186" t="s">
        <v>2861</v>
      </c>
      <c r="AM311" s="1182">
        <v>1</v>
      </c>
      <c r="AN311" s="1182">
        <v>0</v>
      </c>
      <c r="AO311" s="1182">
        <v>0</v>
      </c>
      <c r="AP311" s="1182">
        <v>0</v>
      </c>
      <c r="AQ311" s="1182" t="s">
        <v>1639</v>
      </c>
      <c r="AS311" s="1186" t="s">
        <v>1943</v>
      </c>
      <c r="AT311" s="1186" t="s">
        <v>1944</v>
      </c>
      <c r="AV311" s="1183">
        <v>0</v>
      </c>
      <c r="AW311" s="1183">
        <v>0</v>
      </c>
      <c r="AX311" s="1183">
        <v>0</v>
      </c>
      <c r="AY311" s="1538">
        <v>0</v>
      </c>
      <c r="AZ311" s="1183">
        <v>7500</v>
      </c>
      <c r="BA311" s="1183">
        <v>7500</v>
      </c>
      <c r="BB311" s="1540">
        <v>15000</v>
      </c>
      <c r="BC311" s="1540">
        <v>15000</v>
      </c>
      <c r="BD311" s="1540">
        <v>0</v>
      </c>
      <c r="BF311" s="1539">
        <f t="shared" si="71"/>
        <v>0</v>
      </c>
      <c r="BG311" s="1539">
        <f t="shared" si="72"/>
        <v>0</v>
      </c>
      <c r="BH311" s="1539">
        <f t="shared" si="73"/>
        <v>0</v>
      </c>
      <c r="BI311" s="1539">
        <f t="shared" si="74"/>
        <v>0</v>
      </c>
      <c r="BJ311" s="1539">
        <f t="shared" si="75"/>
        <v>7500</v>
      </c>
      <c r="BK311" s="1539">
        <f t="shared" si="76"/>
        <v>7500</v>
      </c>
      <c r="BL311" s="1539">
        <f t="shared" si="77"/>
        <v>15000</v>
      </c>
      <c r="BM311" s="1539">
        <f t="shared" si="78"/>
        <v>15000</v>
      </c>
      <c r="BO311" s="1183"/>
      <c r="BQ311" s="1182">
        <f t="shared" si="79"/>
        <v>0</v>
      </c>
      <c r="BR311" s="1182">
        <f t="shared" si="80"/>
        <v>0</v>
      </c>
      <c r="BS311" s="1182">
        <f t="shared" si="81"/>
        <v>0</v>
      </c>
      <c r="BT311" s="1182">
        <f t="shared" si="81"/>
        <v>0</v>
      </c>
    </row>
    <row r="312" spans="1:72" ht="13.5" customHeight="1">
      <c r="A312" s="1182" t="s">
        <v>1803</v>
      </c>
      <c r="B312" s="1182" t="s">
        <v>1804</v>
      </c>
      <c r="C312" s="1182" t="s">
        <v>1639</v>
      </c>
      <c r="D312" s="1182" t="s">
        <v>2590</v>
      </c>
      <c r="E312" s="1182" t="s">
        <v>2591</v>
      </c>
      <c r="F312" s="1182" t="s">
        <v>2862</v>
      </c>
      <c r="G312" s="1182" t="s">
        <v>2862</v>
      </c>
      <c r="H312" s="1182" t="s">
        <v>2593</v>
      </c>
      <c r="I312" s="1182" t="s">
        <v>1937</v>
      </c>
      <c r="J312" s="1182" t="s">
        <v>2863</v>
      </c>
      <c r="K312" s="1182" t="s">
        <v>1811</v>
      </c>
      <c r="L312" s="1182" t="s">
        <v>1812</v>
      </c>
      <c r="M312" s="1182" t="s">
        <v>1803</v>
      </c>
      <c r="N312" s="1182" t="s">
        <v>2595</v>
      </c>
      <c r="O312" s="1182" t="s">
        <v>1554</v>
      </c>
      <c r="P312" s="1182" t="s">
        <v>1575</v>
      </c>
      <c r="Q312" s="1182" t="s">
        <v>1574</v>
      </c>
      <c r="R312" s="1182" t="s">
        <v>1573</v>
      </c>
      <c r="S312" s="1182" t="s">
        <v>1572</v>
      </c>
      <c r="T312" s="1182" t="s">
        <v>1814</v>
      </c>
      <c r="U312" s="1182" t="s">
        <v>1815</v>
      </c>
      <c r="V312" s="1182">
        <v>0</v>
      </c>
      <c r="W312" s="1182">
        <v>0</v>
      </c>
      <c r="X312" s="1182">
        <v>0</v>
      </c>
      <c r="Y312" s="1183">
        <v>4000</v>
      </c>
      <c r="Z312" s="1182" t="s">
        <v>1940</v>
      </c>
      <c r="AA312" s="1182" t="s">
        <v>1941</v>
      </c>
      <c r="AB312" s="1182">
        <v>4000</v>
      </c>
      <c r="AC312" s="1182" t="s">
        <v>2596</v>
      </c>
      <c r="AD312" s="1182" t="s">
        <v>1572</v>
      </c>
      <c r="AE312" s="1182">
        <v>4000</v>
      </c>
      <c r="AF312" s="1182" t="s">
        <v>1943</v>
      </c>
      <c r="AG312" s="1182" t="s">
        <v>1944</v>
      </c>
      <c r="AH312" s="1182">
        <v>0</v>
      </c>
      <c r="AI312" s="1182">
        <v>4000</v>
      </c>
      <c r="AJ312" s="1182" t="s">
        <v>2864</v>
      </c>
      <c r="AL312" s="1186" t="s">
        <v>2865</v>
      </c>
      <c r="AM312" s="1182">
        <v>1</v>
      </c>
      <c r="AN312" s="1182">
        <v>0</v>
      </c>
      <c r="AO312" s="1182">
        <v>0</v>
      </c>
      <c r="AP312" s="1182">
        <v>0</v>
      </c>
      <c r="AQ312" s="1182" t="s">
        <v>1639</v>
      </c>
      <c r="AS312" s="1186" t="s">
        <v>1943</v>
      </c>
      <c r="AT312" s="1186" t="s">
        <v>1944</v>
      </c>
      <c r="AV312" s="1183">
        <v>0</v>
      </c>
      <c r="AW312" s="1183">
        <v>0</v>
      </c>
      <c r="AX312" s="1183">
        <v>0</v>
      </c>
      <c r="AY312" s="1538">
        <v>0</v>
      </c>
      <c r="AZ312" s="1183">
        <v>2000</v>
      </c>
      <c r="BA312" s="1183">
        <v>2000</v>
      </c>
      <c r="BB312" s="1540">
        <v>4000</v>
      </c>
      <c r="BC312" s="1540">
        <v>4000</v>
      </c>
      <c r="BD312" s="1540">
        <v>0</v>
      </c>
      <c r="BF312" s="1539">
        <f t="shared" si="71"/>
        <v>0</v>
      </c>
      <c r="BG312" s="1539">
        <f t="shared" si="72"/>
        <v>0</v>
      </c>
      <c r="BH312" s="1539">
        <f t="shared" si="73"/>
        <v>0</v>
      </c>
      <c r="BI312" s="1539">
        <f t="shared" si="74"/>
        <v>0</v>
      </c>
      <c r="BJ312" s="1539">
        <f t="shared" si="75"/>
        <v>2000</v>
      </c>
      <c r="BK312" s="1539">
        <f t="shared" si="76"/>
        <v>2000</v>
      </c>
      <c r="BL312" s="1539">
        <f t="shared" si="77"/>
        <v>4000</v>
      </c>
      <c r="BM312" s="1539">
        <f t="shared" si="78"/>
        <v>4000</v>
      </c>
      <c r="BO312" s="1183"/>
      <c r="BQ312" s="1182">
        <f t="shared" si="79"/>
        <v>0</v>
      </c>
      <c r="BR312" s="1182">
        <f t="shared" si="80"/>
        <v>0</v>
      </c>
      <c r="BS312" s="1182">
        <f t="shared" si="81"/>
        <v>0</v>
      </c>
      <c r="BT312" s="1182">
        <f t="shared" si="81"/>
        <v>0</v>
      </c>
    </row>
    <row r="313" spans="1:72" ht="13.5" customHeight="1">
      <c r="A313" s="1182" t="s">
        <v>1803</v>
      </c>
      <c r="B313" s="1182" t="s">
        <v>1804</v>
      </c>
      <c r="C313" s="1182" t="s">
        <v>1639</v>
      </c>
      <c r="D313" s="1182" t="s">
        <v>2590</v>
      </c>
      <c r="E313" s="1182" t="s">
        <v>2591</v>
      </c>
      <c r="F313" s="1182" t="s">
        <v>2119</v>
      </c>
      <c r="G313" s="1182" t="s">
        <v>2119</v>
      </c>
      <c r="H313" s="1182" t="s">
        <v>2750</v>
      </c>
      <c r="I313" s="1182" t="s">
        <v>1937</v>
      </c>
      <c r="J313" s="1182" t="s">
        <v>2809</v>
      </c>
      <c r="K313" s="1182" t="s">
        <v>1811</v>
      </c>
      <c r="L313" s="1182" t="s">
        <v>1812</v>
      </c>
      <c r="M313" s="1182" t="s">
        <v>1803</v>
      </c>
      <c r="N313" s="1182" t="s">
        <v>2595</v>
      </c>
      <c r="O313" s="1182" t="s">
        <v>1554</v>
      </c>
      <c r="P313" s="1182" t="s">
        <v>1575</v>
      </c>
      <c r="Q313" s="1182" t="s">
        <v>1574</v>
      </c>
      <c r="R313" s="1182" t="s">
        <v>1573</v>
      </c>
      <c r="S313" s="1182" t="s">
        <v>1572</v>
      </c>
      <c r="T313" s="1182" t="s">
        <v>1814</v>
      </c>
      <c r="U313" s="1182" t="s">
        <v>1815</v>
      </c>
      <c r="V313" s="1182">
        <v>0</v>
      </c>
      <c r="W313" s="1182">
        <v>0</v>
      </c>
      <c r="X313" s="1182">
        <v>0</v>
      </c>
      <c r="Y313" s="1183">
        <v>12000</v>
      </c>
      <c r="Z313" s="1182" t="s">
        <v>1940</v>
      </c>
      <c r="AA313" s="1182" t="s">
        <v>1941</v>
      </c>
      <c r="AB313" s="1182">
        <v>12000</v>
      </c>
      <c r="AC313" s="1182" t="s">
        <v>2596</v>
      </c>
      <c r="AD313" s="1182" t="s">
        <v>1572</v>
      </c>
      <c r="AE313" s="1182">
        <v>12000</v>
      </c>
      <c r="AF313" s="1182" t="s">
        <v>1943</v>
      </c>
      <c r="AG313" s="1182" t="s">
        <v>1944</v>
      </c>
      <c r="AH313" s="1182">
        <v>0</v>
      </c>
      <c r="AI313" s="1182">
        <v>12000</v>
      </c>
      <c r="AJ313" s="1182" t="s">
        <v>2810</v>
      </c>
      <c r="AL313" s="1186" t="s">
        <v>2811</v>
      </c>
      <c r="AM313" s="1182">
        <v>1</v>
      </c>
      <c r="AN313" s="1182">
        <v>0</v>
      </c>
      <c r="AO313" s="1182">
        <v>0</v>
      </c>
      <c r="AP313" s="1182">
        <v>0</v>
      </c>
      <c r="AQ313" s="1182" t="s">
        <v>1639</v>
      </c>
      <c r="AS313" s="1186" t="s">
        <v>1943</v>
      </c>
      <c r="AT313" s="1186" t="s">
        <v>1944</v>
      </c>
      <c r="AV313" s="1183">
        <v>0</v>
      </c>
      <c r="AW313" s="1183">
        <v>0</v>
      </c>
      <c r="AX313" s="1183">
        <v>0</v>
      </c>
      <c r="AY313" s="1538">
        <v>0</v>
      </c>
      <c r="AZ313" s="1183">
        <v>6000</v>
      </c>
      <c r="BA313" s="1183">
        <v>6000</v>
      </c>
      <c r="BB313" s="1540">
        <v>12000</v>
      </c>
      <c r="BC313" s="1540">
        <v>12000</v>
      </c>
      <c r="BD313" s="1540">
        <v>0</v>
      </c>
      <c r="BF313" s="1539">
        <f t="shared" si="71"/>
        <v>0</v>
      </c>
      <c r="BG313" s="1539">
        <f t="shared" si="72"/>
        <v>0</v>
      </c>
      <c r="BH313" s="1539">
        <f t="shared" si="73"/>
        <v>0</v>
      </c>
      <c r="BI313" s="1539">
        <f t="shared" si="74"/>
        <v>0</v>
      </c>
      <c r="BJ313" s="1539">
        <f t="shared" si="75"/>
        <v>6000</v>
      </c>
      <c r="BK313" s="1539">
        <f t="shared" si="76"/>
        <v>6000</v>
      </c>
      <c r="BL313" s="1539">
        <f t="shared" si="77"/>
        <v>12000</v>
      </c>
      <c r="BM313" s="1539">
        <f t="shared" si="78"/>
        <v>12000</v>
      </c>
      <c r="BO313" s="1183"/>
      <c r="BQ313" s="1182">
        <f t="shared" si="79"/>
        <v>0</v>
      </c>
      <c r="BR313" s="1182">
        <f t="shared" si="80"/>
        <v>0</v>
      </c>
      <c r="BS313" s="1182">
        <f t="shared" si="81"/>
        <v>0</v>
      </c>
      <c r="BT313" s="1182">
        <f t="shared" si="81"/>
        <v>0</v>
      </c>
    </row>
    <row r="314" spans="1:72" ht="13.5" customHeight="1">
      <c r="A314" s="1182" t="s">
        <v>1803</v>
      </c>
      <c r="B314" s="1182" t="s">
        <v>1804</v>
      </c>
      <c r="C314" s="1182" t="s">
        <v>1639</v>
      </c>
      <c r="D314" s="1182" t="s">
        <v>2590</v>
      </c>
      <c r="E314" s="1182" t="s">
        <v>2591</v>
      </c>
      <c r="F314" s="1182" t="s">
        <v>2123</v>
      </c>
      <c r="G314" s="1182" t="s">
        <v>2123</v>
      </c>
      <c r="H314" s="1182" t="s">
        <v>2750</v>
      </c>
      <c r="I314" s="1182" t="s">
        <v>1937</v>
      </c>
      <c r="J314" s="1182" t="s">
        <v>2812</v>
      </c>
      <c r="K314" s="1182" t="s">
        <v>1811</v>
      </c>
      <c r="L314" s="1182" t="s">
        <v>1812</v>
      </c>
      <c r="M314" s="1182" t="s">
        <v>1803</v>
      </c>
      <c r="N314" s="1182" t="s">
        <v>2595</v>
      </c>
      <c r="O314" s="1182" t="s">
        <v>1554</v>
      </c>
      <c r="P314" s="1182" t="s">
        <v>1575</v>
      </c>
      <c r="Q314" s="1182" t="s">
        <v>1574</v>
      </c>
      <c r="R314" s="1182" t="s">
        <v>1573</v>
      </c>
      <c r="S314" s="1182" t="s">
        <v>1572</v>
      </c>
      <c r="T314" s="1182" t="s">
        <v>1814</v>
      </c>
      <c r="U314" s="1182" t="s">
        <v>1815</v>
      </c>
      <c r="V314" s="1182">
        <v>0</v>
      </c>
      <c r="W314" s="1182">
        <v>0</v>
      </c>
      <c r="X314" s="1182">
        <v>0</v>
      </c>
      <c r="Y314" s="1183">
        <v>4000</v>
      </c>
      <c r="Z314" s="1182" t="s">
        <v>1940</v>
      </c>
      <c r="AA314" s="1182" t="s">
        <v>1941</v>
      </c>
      <c r="AB314" s="1182">
        <v>4000</v>
      </c>
      <c r="AC314" s="1182" t="s">
        <v>2596</v>
      </c>
      <c r="AD314" s="1182" t="s">
        <v>1572</v>
      </c>
      <c r="AE314" s="1182">
        <v>4000</v>
      </c>
      <c r="AF314" s="1182" t="s">
        <v>1943</v>
      </c>
      <c r="AG314" s="1182" t="s">
        <v>1944</v>
      </c>
      <c r="AH314" s="1182">
        <v>0</v>
      </c>
      <c r="AI314" s="1182">
        <v>4000</v>
      </c>
      <c r="AJ314" s="1182" t="s">
        <v>2813</v>
      </c>
      <c r="AL314" s="1186" t="s">
        <v>2814</v>
      </c>
      <c r="AM314" s="1182">
        <v>1</v>
      </c>
      <c r="AN314" s="1182">
        <v>0</v>
      </c>
      <c r="AO314" s="1182">
        <v>0</v>
      </c>
      <c r="AP314" s="1182">
        <v>0</v>
      </c>
      <c r="AQ314" s="1182" t="s">
        <v>1639</v>
      </c>
      <c r="AS314" s="1186" t="s">
        <v>1943</v>
      </c>
      <c r="AT314" s="1186" t="s">
        <v>1944</v>
      </c>
      <c r="AV314" s="1183">
        <v>0</v>
      </c>
      <c r="AW314" s="1183">
        <v>0</v>
      </c>
      <c r="AX314" s="1183">
        <v>0</v>
      </c>
      <c r="AY314" s="1538">
        <v>0</v>
      </c>
      <c r="AZ314" s="1183">
        <v>2000</v>
      </c>
      <c r="BA314" s="1183">
        <v>2000</v>
      </c>
      <c r="BB314" s="1540">
        <v>4000</v>
      </c>
      <c r="BC314" s="1540">
        <v>4000</v>
      </c>
      <c r="BD314" s="1540">
        <v>0</v>
      </c>
      <c r="BF314" s="1539">
        <f t="shared" si="71"/>
        <v>0</v>
      </c>
      <c r="BG314" s="1539">
        <f t="shared" si="72"/>
        <v>0</v>
      </c>
      <c r="BH314" s="1539">
        <f t="shared" si="73"/>
        <v>0</v>
      </c>
      <c r="BI314" s="1539">
        <f t="shared" si="74"/>
        <v>0</v>
      </c>
      <c r="BJ314" s="1539">
        <f t="shared" si="75"/>
        <v>2000</v>
      </c>
      <c r="BK314" s="1539">
        <f t="shared" si="76"/>
        <v>2000</v>
      </c>
      <c r="BL314" s="1539">
        <f t="shared" si="77"/>
        <v>4000</v>
      </c>
      <c r="BM314" s="1539">
        <f t="shared" si="78"/>
        <v>4000</v>
      </c>
      <c r="BO314" s="1183"/>
      <c r="BQ314" s="1182">
        <f t="shared" si="79"/>
        <v>0</v>
      </c>
      <c r="BR314" s="1182">
        <f t="shared" si="80"/>
        <v>0</v>
      </c>
      <c r="BS314" s="1182">
        <f t="shared" si="81"/>
        <v>0</v>
      </c>
      <c r="BT314" s="1182">
        <f t="shared" si="81"/>
        <v>0</v>
      </c>
    </row>
    <row r="315" spans="1:72" ht="13.5" customHeight="1">
      <c r="A315" s="1182" t="s">
        <v>1803</v>
      </c>
      <c r="B315" s="1182" t="s">
        <v>1804</v>
      </c>
      <c r="C315" s="1182" t="s">
        <v>1639</v>
      </c>
      <c r="D315" s="1182" t="s">
        <v>2590</v>
      </c>
      <c r="E315" s="1182" t="s">
        <v>2591</v>
      </c>
      <c r="F315" s="1182" t="s">
        <v>2094</v>
      </c>
      <c r="G315" s="1182" t="s">
        <v>2094</v>
      </c>
      <c r="H315" s="1182" t="s">
        <v>2750</v>
      </c>
      <c r="I315" s="1182" t="s">
        <v>1937</v>
      </c>
      <c r="J315" s="1182" t="s">
        <v>2815</v>
      </c>
      <c r="K315" s="1182" t="s">
        <v>1811</v>
      </c>
      <c r="L315" s="1182" t="s">
        <v>1812</v>
      </c>
      <c r="M315" s="1182" t="s">
        <v>1803</v>
      </c>
      <c r="N315" s="1182" t="s">
        <v>2595</v>
      </c>
      <c r="O315" s="1182" t="s">
        <v>1554</v>
      </c>
      <c r="P315" s="1182" t="s">
        <v>1575</v>
      </c>
      <c r="Q315" s="1182" t="s">
        <v>1574</v>
      </c>
      <c r="R315" s="1182" t="s">
        <v>1573</v>
      </c>
      <c r="S315" s="1182" t="s">
        <v>1572</v>
      </c>
      <c r="T315" s="1182" t="s">
        <v>1814</v>
      </c>
      <c r="U315" s="1182" t="s">
        <v>1815</v>
      </c>
      <c r="V315" s="1182">
        <v>0</v>
      </c>
      <c r="W315" s="1182">
        <v>0</v>
      </c>
      <c r="X315" s="1182">
        <v>0</v>
      </c>
      <c r="Y315" s="1183">
        <v>4000</v>
      </c>
      <c r="Z315" s="1182" t="s">
        <v>1940</v>
      </c>
      <c r="AA315" s="1182" t="s">
        <v>1941</v>
      </c>
      <c r="AB315" s="1182">
        <v>4000</v>
      </c>
      <c r="AC315" s="1182" t="s">
        <v>2596</v>
      </c>
      <c r="AD315" s="1182" t="s">
        <v>1572</v>
      </c>
      <c r="AE315" s="1182">
        <v>4000</v>
      </c>
      <c r="AF315" s="1182" t="s">
        <v>1943</v>
      </c>
      <c r="AG315" s="1182" t="s">
        <v>1944</v>
      </c>
      <c r="AH315" s="1182">
        <v>0</v>
      </c>
      <c r="AI315" s="1182">
        <v>4000</v>
      </c>
      <c r="AJ315" s="1182" t="s">
        <v>2816</v>
      </c>
      <c r="AL315" s="1186" t="s">
        <v>2817</v>
      </c>
      <c r="AM315" s="1182">
        <v>1</v>
      </c>
      <c r="AN315" s="1182">
        <v>0</v>
      </c>
      <c r="AO315" s="1182">
        <v>0</v>
      </c>
      <c r="AP315" s="1182">
        <v>0</v>
      </c>
      <c r="AQ315" s="1182" t="s">
        <v>1639</v>
      </c>
      <c r="AS315" s="1186" t="s">
        <v>1943</v>
      </c>
      <c r="AT315" s="1186" t="s">
        <v>1944</v>
      </c>
      <c r="AV315" s="1183">
        <v>0</v>
      </c>
      <c r="AW315" s="1183">
        <v>0</v>
      </c>
      <c r="AX315" s="1183">
        <v>0</v>
      </c>
      <c r="AY315" s="1538">
        <v>0</v>
      </c>
      <c r="AZ315" s="1183">
        <v>2000</v>
      </c>
      <c r="BA315" s="1183">
        <v>2000</v>
      </c>
      <c r="BB315" s="1540">
        <v>4000</v>
      </c>
      <c r="BC315" s="1540">
        <v>4000</v>
      </c>
      <c r="BD315" s="1540">
        <v>0</v>
      </c>
      <c r="BF315" s="1539">
        <f t="shared" si="71"/>
        <v>0</v>
      </c>
      <c r="BG315" s="1539">
        <f t="shared" si="72"/>
        <v>0</v>
      </c>
      <c r="BH315" s="1539">
        <f t="shared" si="73"/>
        <v>0</v>
      </c>
      <c r="BI315" s="1539">
        <f t="shared" si="74"/>
        <v>0</v>
      </c>
      <c r="BJ315" s="1539">
        <f t="shared" si="75"/>
        <v>2000</v>
      </c>
      <c r="BK315" s="1539">
        <f t="shared" si="76"/>
        <v>2000</v>
      </c>
      <c r="BL315" s="1539">
        <f t="shared" si="77"/>
        <v>4000</v>
      </c>
      <c r="BM315" s="1539">
        <f t="shared" si="78"/>
        <v>4000</v>
      </c>
      <c r="BO315" s="1183"/>
      <c r="BQ315" s="1182">
        <f t="shared" si="79"/>
        <v>0</v>
      </c>
      <c r="BR315" s="1182">
        <f t="shared" si="80"/>
        <v>0</v>
      </c>
      <c r="BS315" s="1182">
        <f t="shared" si="81"/>
        <v>0</v>
      </c>
      <c r="BT315" s="1182">
        <f t="shared" si="81"/>
        <v>0</v>
      </c>
    </row>
    <row r="316" spans="1:72" ht="13.5" customHeight="1">
      <c r="A316" s="1182" t="s">
        <v>1803</v>
      </c>
      <c r="B316" s="1182" t="s">
        <v>1804</v>
      </c>
      <c r="C316" s="1182" t="s">
        <v>1639</v>
      </c>
      <c r="D316" s="1182" t="s">
        <v>2590</v>
      </c>
      <c r="E316" s="1182" t="s">
        <v>2591</v>
      </c>
      <c r="F316" s="1182" t="s">
        <v>1827</v>
      </c>
      <c r="G316" s="1182" t="s">
        <v>1827</v>
      </c>
      <c r="H316" s="1182" t="s">
        <v>2593</v>
      </c>
      <c r="I316" s="1182" t="s">
        <v>1937</v>
      </c>
      <c r="J316" s="1182" t="s">
        <v>2855</v>
      </c>
      <c r="K316" s="1182" t="s">
        <v>1811</v>
      </c>
      <c r="L316" s="1182" t="s">
        <v>1812</v>
      </c>
      <c r="M316" s="1182" t="s">
        <v>1803</v>
      </c>
      <c r="N316" s="1182" t="s">
        <v>2595</v>
      </c>
      <c r="O316" s="1182" t="s">
        <v>1554</v>
      </c>
      <c r="P316" s="1182" t="s">
        <v>1575</v>
      </c>
      <c r="Q316" s="1182" t="s">
        <v>1574</v>
      </c>
      <c r="R316" s="1182" t="s">
        <v>1573</v>
      </c>
      <c r="S316" s="1182" t="s">
        <v>1572</v>
      </c>
      <c r="T316" s="1182" t="s">
        <v>1814</v>
      </c>
      <c r="U316" s="1182" t="s">
        <v>1815</v>
      </c>
      <c r="V316" s="1182">
        <v>0</v>
      </c>
      <c r="W316" s="1182">
        <v>0</v>
      </c>
      <c r="X316" s="1182">
        <v>0</v>
      </c>
      <c r="Y316" s="1183">
        <v>8000</v>
      </c>
      <c r="Z316" s="1182" t="s">
        <v>1940</v>
      </c>
      <c r="AA316" s="1182" t="s">
        <v>1941</v>
      </c>
      <c r="AB316" s="1182">
        <v>8000</v>
      </c>
      <c r="AC316" s="1182" t="s">
        <v>2596</v>
      </c>
      <c r="AD316" s="1182" t="s">
        <v>1572</v>
      </c>
      <c r="AE316" s="1182">
        <v>8000</v>
      </c>
      <c r="AF316" s="1182" t="s">
        <v>1943</v>
      </c>
      <c r="AG316" s="1182" t="s">
        <v>1944</v>
      </c>
      <c r="AH316" s="1182">
        <v>0</v>
      </c>
      <c r="AI316" s="1182">
        <v>8000</v>
      </c>
      <c r="AJ316" s="1182" t="s">
        <v>2856</v>
      </c>
      <c r="AL316" s="1186" t="s">
        <v>2857</v>
      </c>
      <c r="AM316" s="1182">
        <v>1</v>
      </c>
      <c r="AN316" s="1182">
        <v>0</v>
      </c>
      <c r="AO316" s="1182">
        <v>0</v>
      </c>
      <c r="AP316" s="1182">
        <v>0</v>
      </c>
      <c r="AQ316" s="1182" t="s">
        <v>1639</v>
      </c>
      <c r="AS316" s="1186" t="s">
        <v>1943</v>
      </c>
      <c r="AT316" s="1186" t="s">
        <v>1944</v>
      </c>
      <c r="AV316" s="1183">
        <v>0</v>
      </c>
      <c r="AW316" s="1183">
        <v>0</v>
      </c>
      <c r="AX316" s="1183">
        <v>0</v>
      </c>
      <c r="AY316" s="1538">
        <v>0</v>
      </c>
      <c r="AZ316" s="1183">
        <v>4000</v>
      </c>
      <c r="BA316" s="1183">
        <v>4000</v>
      </c>
      <c r="BB316" s="1540">
        <v>8000</v>
      </c>
      <c r="BC316" s="1540">
        <v>8000</v>
      </c>
      <c r="BD316" s="1540">
        <v>0</v>
      </c>
      <c r="BF316" s="1539">
        <f t="shared" si="71"/>
        <v>0</v>
      </c>
      <c r="BG316" s="1539">
        <f t="shared" si="72"/>
        <v>0</v>
      </c>
      <c r="BH316" s="1539">
        <f t="shared" si="73"/>
        <v>0</v>
      </c>
      <c r="BI316" s="1539">
        <f t="shared" si="74"/>
        <v>0</v>
      </c>
      <c r="BJ316" s="1539">
        <f t="shared" si="75"/>
        <v>4000</v>
      </c>
      <c r="BK316" s="1539">
        <f t="shared" si="76"/>
        <v>4000</v>
      </c>
      <c r="BL316" s="1539">
        <f t="shared" si="77"/>
        <v>8000</v>
      </c>
      <c r="BM316" s="1539">
        <f t="shared" si="78"/>
        <v>8000</v>
      </c>
      <c r="BO316" s="1183"/>
      <c r="BQ316" s="1182">
        <f t="shared" si="79"/>
        <v>0</v>
      </c>
      <c r="BR316" s="1182">
        <f t="shared" si="80"/>
        <v>0</v>
      </c>
      <c r="BS316" s="1182">
        <f t="shared" si="81"/>
        <v>0</v>
      </c>
      <c r="BT316" s="1182">
        <f t="shared" si="81"/>
        <v>0</v>
      </c>
    </row>
    <row r="317" spans="1:72" ht="13.5" customHeight="1">
      <c r="A317" s="1182" t="s">
        <v>1803</v>
      </c>
      <c r="B317" s="1182" t="s">
        <v>1804</v>
      </c>
      <c r="C317" s="1182" t="s">
        <v>1639</v>
      </c>
      <c r="D317" s="1182" t="s">
        <v>2590</v>
      </c>
      <c r="E317" s="1182" t="s">
        <v>2591</v>
      </c>
      <c r="F317" s="1182" t="s">
        <v>2749</v>
      </c>
      <c r="G317" s="1182" t="s">
        <v>2749</v>
      </c>
      <c r="H317" s="1182" t="s">
        <v>2750</v>
      </c>
      <c r="I317" s="1182" t="s">
        <v>1937</v>
      </c>
      <c r="J317" s="1182" t="s">
        <v>2751</v>
      </c>
      <c r="K317" s="1182" t="s">
        <v>1811</v>
      </c>
      <c r="L317" s="1182" t="s">
        <v>1812</v>
      </c>
      <c r="M317" s="1182" t="s">
        <v>1803</v>
      </c>
      <c r="N317" s="1182" t="s">
        <v>2595</v>
      </c>
      <c r="O317" s="1182" t="s">
        <v>1554</v>
      </c>
      <c r="P317" s="1182" t="s">
        <v>1575</v>
      </c>
      <c r="Q317" s="1182" t="s">
        <v>1574</v>
      </c>
      <c r="R317" s="1182" t="s">
        <v>1573</v>
      </c>
      <c r="S317" s="1182" t="s">
        <v>1572</v>
      </c>
      <c r="T317" s="1182" t="s">
        <v>1814</v>
      </c>
      <c r="U317" s="1182" t="s">
        <v>1815</v>
      </c>
      <c r="V317" s="1182">
        <v>0</v>
      </c>
      <c r="W317" s="1182">
        <v>0</v>
      </c>
      <c r="X317" s="1182">
        <v>0</v>
      </c>
      <c r="Y317" s="1183">
        <v>8000</v>
      </c>
      <c r="Z317" s="1182" t="s">
        <v>1940</v>
      </c>
      <c r="AA317" s="1182" t="s">
        <v>1941</v>
      </c>
      <c r="AB317" s="1182">
        <v>8000</v>
      </c>
      <c r="AC317" s="1182" t="s">
        <v>2596</v>
      </c>
      <c r="AD317" s="1182" t="s">
        <v>1572</v>
      </c>
      <c r="AE317" s="1182">
        <v>8000</v>
      </c>
      <c r="AF317" s="1182" t="s">
        <v>1943</v>
      </c>
      <c r="AG317" s="1182" t="s">
        <v>1944</v>
      </c>
      <c r="AH317" s="1182">
        <v>0</v>
      </c>
      <c r="AI317" s="1182">
        <v>8000</v>
      </c>
      <c r="AJ317" s="1182" t="s">
        <v>2752</v>
      </c>
      <c r="AL317" s="1186" t="s">
        <v>2753</v>
      </c>
      <c r="AM317" s="1182">
        <v>1</v>
      </c>
      <c r="AN317" s="1182">
        <v>0</v>
      </c>
      <c r="AO317" s="1182">
        <v>0</v>
      </c>
      <c r="AP317" s="1182">
        <v>0</v>
      </c>
      <c r="AQ317" s="1182" t="s">
        <v>1639</v>
      </c>
      <c r="AS317" s="1186" t="s">
        <v>1943</v>
      </c>
      <c r="AT317" s="1186" t="s">
        <v>1944</v>
      </c>
      <c r="AV317" s="1183">
        <v>0</v>
      </c>
      <c r="AW317" s="1183">
        <v>0</v>
      </c>
      <c r="AX317" s="1183">
        <v>0</v>
      </c>
      <c r="AY317" s="1538">
        <v>0</v>
      </c>
      <c r="AZ317" s="1183">
        <v>4000</v>
      </c>
      <c r="BA317" s="1183">
        <v>4000</v>
      </c>
      <c r="BB317" s="1540">
        <v>8000</v>
      </c>
      <c r="BC317" s="1540">
        <v>8000</v>
      </c>
      <c r="BD317" s="1540">
        <v>0</v>
      </c>
      <c r="BF317" s="1539">
        <f t="shared" si="71"/>
        <v>0</v>
      </c>
      <c r="BG317" s="1539">
        <f t="shared" si="72"/>
        <v>0</v>
      </c>
      <c r="BH317" s="1539">
        <f t="shared" si="73"/>
        <v>0</v>
      </c>
      <c r="BI317" s="1539">
        <f t="shared" si="74"/>
        <v>0</v>
      </c>
      <c r="BJ317" s="1539">
        <f t="shared" si="75"/>
        <v>4000</v>
      </c>
      <c r="BK317" s="1539">
        <f t="shared" si="76"/>
        <v>4000</v>
      </c>
      <c r="BL317" s="1539">
        <f t="shared" si="77"/>
        <v>8000</v>
      </c>
      <c r="BM317" s="1539">
        <f t="shared" si="78"/>
        <v>8000</v>
      </c>
      <c r="BO317" s="1183"/>
      <c r="BQ317" s="1182">
        <f t="shared" si="79"/>
        <v>0</v>
      </c>
      <c r="BR317" s="1182">
        <f t="shared" si="80"/>
        <v>0</v>
      </c>
      <c r="BS317" s="1182">
        <f t="shared" si="81"/>
        <v>0</v>
      </c>
      <c r="BT317" s="1182">
        <f t="shared" si="81"/>
        <v>0</v>
      </c>
    </row>
    <row r="318" spans="1:72" ht="13.5" customHeight="1">
      <c r="A318" s="1182" t="s">
        <v>1803</v>
      </c>
      <c r="B318" s="1182" t="s">
        <v>1804</v>
      </c>
      <c r="C318" s="1182" t="s">
        <v>1639</v>
      </c>
      <c r="D318" s="1182" t="s">
        <v>2590</v>
      </c>
      <c r="E318" s="1182" t="s">
        <v>2591</v>
      </c>
      <c r="F318" s="1182" t="s">
        <v>2156</v>
      </c>
      <c r="G318" s="1182" t="s">
        <v>2156</v>
      </c>
      <c r="H318" s="1182" t="s">
        <v>2750</v>
      </c>
      <c r="I318" s="1182" t="s">
        <v>1937</v>
      </c>
      <c r="J318" s="1182" t="s">
        <v>2754</v>
      </c>
      <c r="K318" s="1182" t="s">
        <v>1811</v>
      </c>
      <c r="L318" s="1182" t="s">
        <v>1812</v>
      </c>
      <c r="M318" s="1182" t="s">
        <v>1803</v>
      </c>
      <c r="N318" s="1182" t="s">
        <v>2595</v>
      </c>
      <c r="O318" s="1182" t="s">
        <v>1554</v>
      </c>
      <c r="P318" s="1182" t="s">
        <v>1575</v>
      </c>
      <c r="Q318" s="1182" t="s">
        <v>1574</v>
      </c>
      <c r="R318" s="1182" t="s">
        <v>1573</v>
      </c>
      <c r="S318" s="1182" t="s">
        <v>1572</v>
      </c>
      <c r="T318" s="1182" t="s">
        <v>1814</v>
      </c>
      <c r="U318" s="1182" t="s">
        <v>1815</v>
      </c>
      <c r="V318" s="1182">
        <v>0</v>
      </c>
      <c r="W318" s="1182">
        <v>0</v>
      </c>
      <c r="X318" s="1182">
        <v>0</v>
      </c>
      <c r="Y318" s="1183">
        <v>8000</v>
      </c>
      <c r="Z318" s="1182" t="s">
        <v>1940</v>
      </c>
      <c r="AA318" s="1182" t="s">
        <v>1941</v>
      </c>
      <c r="AB318" s="1182">
        <v>8000</v>
      </c>
      <c r="AC318" s="1182" t="s">
        <v>2596</v>
      </c>
      <c r="AD318" s="1182" t="s">
        <v>1572</v>
      </c>
      <c r="AE318" s="1182">
        <v>8000</v>
      </c>
      <c r="AF318" s="1182" t="s">
        <v>1943</v>
      </c>
      <c r="AG318" s="1182" t="s">
        <v>1944</v>
      </c>
      <c r="AH318" s="1182">
        <v>0</v>
      </c>
      <c r="AI318" s="1182">
        <v>8000</v>
      </c>
      <c r="AJ318" s="1182" t="s">
        <v>2755</v>
      </c>
      <c r="AL318" s="1186" t="s">
        <v>2756</v>
      </c>
      <c r="AM318" s="1182">
        <v>1</v>
      </c>
      <c r="AN318" s="1182">
        <v>0</v>
      </c>
      <c r="AO318" s="1182">
        <v>0</v>
      </c>
      <c r="AP318" s="1182">
        <v>0</v>
      </c>
      <c r="AQ318" s="1182" t="s">
        <v>1639</v>
      </c>
      <c r="AS318" s="1186" t="s">
        <v>1943</v>
      </c>
      <c r="AT318" s="1186" t="s">
        <v>1944</v>
      </c>
      <c r="AV318" s="1183">
        <v>0</v>
      </c>
      <c r="AW318" s="1183">
        <v>0</v>
      </c>
      <c r="AX318" s="1183">
        <v>0</v>
      </c>
      <c r="AY318" s="1538">
        <v>0</v>
      </c>
      <c r="AZ318" s="1183">
        <v>4000</v>
      </c>
      <c r="BA318" s="1183">
        <v>4000</v>
      </c>
      <c r="BB318" s="1540">
        <v>8000</v>
      </c>
      <c r="BC318" s="1540">
        <v>8000</v>
      </c>
      <c r="BD318" s="1540">
        <v>0</v>
      </c>
      <c r="BF318" s="1539">
        <f t="shared" si="71"/>
        <v>0</v>
      </c>
      <c r="BG318" s="1539">
        <f t="shared" si="72"/>
        <v>0</v>
      </c>
      <c r="BH318" s="1539">
        <f t="shared" si="73"/>
        <v>0</v>
      </c>
      <c r="BI318" s="1539">
        <f t="shared" si="74"/>
        <v>0</v>
      </c>
      <c r="BJ318" s="1539">
        <f t="shared" si="75"/>
        <v>4000</v>
      </c>
      <c r="BK318" s="1539">
        <f t="shared" si="76"/>
        <v>4000</v>
      </c>
      <c r="BL318" s="1539">
        <f t="shared" si="77"/>
        <v>8000</v>
      </c>
      <c r="BM318" s="1539">
        <f t="shared" si="78"/>
        <v>8000</v>
      </c>
      <c r="BO318" s="1183"/>
      <c r="BQ318" s="1182">
        <f t="shared" si="79"/>
        <v>0</v>
      </c>
      <c r="BR318" s="1182">
        <f t="shared" si="80"/>
        <v>0</v>
      </c>
      <c r="BS318" s="1182">
        <f t="shared" si="81"/>
        <v>0</v>
      </c>
      <c r="BT318" s="1182">
        <f t="shared" si="81"/>
        <v>0</v>
      </c>
    </row>
    <row r="319" spans="1:72" ht="13.5" customHeight="1">
      <c r="A319" s="1182" t="s">
        <v>1803</v>
      </c>
      <c r="B319" s="1182" t="s">
        <v>1804</v>
      </c>
      <c r="C319" s="1182" t="s">
        <v>1639</v>
      </c>
      <c r="D319" s="1182" t="s">
        <v>2590</v>
      </c>
      <c r="E319" s="1182" t="s">
        <v>2591</v>
      </c>
      <c r="F319" s="1182" t="s">
        <v>2757</v>
      </c>
      <c r="G319" s="1182" t="s">
        <v>2757</v>
      </c>
      <c r="H319" s="1182" t="s">
        <v>2750</v>
      </c>
      <c r="I319" s="1182" t="s">
        <v>1937</v>
      </c>
      <c r="J319" s="1182" t="s">
        <v>2758</v>
      </c>
      <c r="K319" s="1182" t="s">
        <v>1811</v>
      </c>
      <c r="L319" s="1182" t="s">
        <v>1812</v>
      </c>
      <c r="M319" s="1182" t="s">
        <v>1803</v>
      </c>
      <c r="N319" s="1182" t="s">
        <v>2595</v>
      </c>
      <c r="O319" s="1182" t="s">
        <v>1554</v>
      </c>
      <c r="P319" s="1182" t="s">
        <v>1575</v>
      </c>
      <c r="Q319" s="1182" t="s">
        <v>1574</v>
      </c>
      <c r="R319" s="1182" t="s">
        <v>1573</v>
      </c>
      <c r="S319" s="1182" t="s">
        <v>1572</v>
      </c>
      <c r="T319" s="1182" t="s">
        <v>1814</v>
      </c>
      <c r="U319" s="1182" t="s">
        <v>1815</v>
      </c>
      <c r="V319" s="1182">
        <v>0</v>
      </c>
      <c r="W319" s="1182">
        <v>0</v>
      </c>
      <c r="X319" s="1182">
        <v>0</v>
      </c>
      <c r="Y319" s="1183">
        <v>4000</v>
      </c>
      <c r="Z319" s="1182" t="s">
        <v>1940</v>
      </c>
      <c r="AA319" s="1182" t="s">
        <v>1941</v>
      </c>
      <c r="AB319" s="1182">
        <v>4000</v>
      </c>
      <c r="AC319" s="1182" t="s">
        <v>2596</v>
      </c>
      <c r="AD319" s="1182" t="s">
        <v>1572</v>
      </c>
      <c r="AE319" s="1182">
        <v>4000</v>
      </c>
      <c r="AF319" s="1182" t="s">
        <v>1943</v>
      </c>
      <c r="AG319" s="1182" t="s">
        <v>1944</v>
      </c>
      <c r="AH319" s="1182">
        <v>0</v>
      </c>
      <c r="AI319" s="1182">
        <v>4000</v>
      </c>
      <c r="AJ319" s="1182" t="s">
        <v>2759</v>
      </c>
      <c r="AL319" s="1186" t="s">
        <v>2760</v>
      </c>
      <c r="AM319" s="1182">
        <v>1</v>
      </c>
      <c r="AN319" s="1182">
        <v>0</v>
      </c>
      <c r="AO319" s="1182">
        <v>0</v>
      </c>
      <c r="AP319" s="1182">
        <v>0</v>
      </c>
      <c r="AQ319" s="1182" t="s">
        <v>1639</v>
      </c>
      <c r="AS319" s="1186" t="s">
        <v>1943</v>
      </c>
      <c r="AT319" s="1186" t="s">
        <v>1944</v>
      </c>
      <c r="AV319" s="1183">
        <v>0</v>
      </c>
      <c r="AW319" s="1183">
        <v>0</v>
      </c>
      <c r="AX319" s="1183">
        <v>0</v>
      </c>
      <c r="AY319" s="1538">
        <v>0</v>
      </c>
      <c r="AZ319" s="1183">
        <v>2000</v>
      </c>
      <c r="BA319" s="1183">
        <v>2000</v>
      </c>
      <c r="BB319" s="1540">
        <v>4000</v>
      </c>
      <c r="BC319" s="1540">
        <v>4000</v>
      </c>
      <c r="BD319" s="1540">
        <v>0</v>
      </c>
      <c r="BF319" s="1539">
        <f t="shared" si="71"/>
        <v>0</v>
      </c>
      <c r="BG319" s="1539">
        <f t="shared" si="72"/>
        <v>0</v>
      </c>
      <c r="BH319" s="1539">
        <f t="shared" si="73"/>
        <v>0</v>
      </c>
      <c r="BI319" s="1539">
        <f t="shared" si="74"/>
        <v>0</v>
      </c>
      <c r="BJ319" s="1539">
        <f t="shared" si="75"/>
        <v>2000</v>
      </c>
      <c r="BK319" s="1539">
        <f t="shared" si="76"/>
        <v>2000</v>
      </c>
      <c r="BL319" s="1539">
        <f t="shared" si="77"/>
        <v>4000</v>
      </c>
      <c r="BM319" s="1539">
        <f t="shared" si="78"/>
        <v>4000</v>
      </c>
      <c r="BO319" s="1183"/>
      <c r="BQ319" s="1182">
        <f t="shared" si="79"/>
        <v>0</v>
      </c>
      <c r="BR319" s="1182">
        <f t="shared" si="80"/>
        <v>0</v>
      </c>
      <c r="BS319" s="1182">
        <f t="shared" si="81"/>
        <v>0</v>
      </c>
      <c r="BT319" s="1182">
        <f t="shared" si="81"/>
        <v>0</v>
      </c>
    </row>
    <row r="320" spans="1:72" ht="13.5" customHeight="1">
      <c r="A320" s="1182" t="s">
        <v>1803</v>
      </c>
      <c r="B320" s="1182" t="s">
        <v>1804</v>
      </c>
      <c r="C320" s="1182" t="s">
        <v>1639</v>
      </c>
      <c r="D320" s="1182" t="s">
        <v>2590</v>
      </c>
      <c r="E320" s="1182" t="s">
        <v>2591</v>
      </c>
      <c r="F320" s="1182" t="s">
        <v>2152</v>
      </c>
      <c r="G320" s="1182" t="s">
        <v>2152</v>
      </c>
      <c r="H320" s="1182" t="s">
        <v>2750</v>
      </c>
      <c r="I320" s="1182" t="s">
        <v>1937</v>
      </c>
      <c r="J320" s="1182" t="s">
        <v>2761</v>
      </c>
      <c r="K320" s="1182" t="s">
        <v>1811</v>
      </c>
      <c r="L320" s="1182" t="s">
        <v>1812</v>
      </c>
      <c r="M320" s="1182" t="s">
        <v>1803</v>
      </c>
      <c r="N320" s="1182" t="s">
        <v>2595</v>
      </c>
      <c r="O320" s="1182" t="s">
        <v>1554</v>
      </c>
      <c r="P320" s="1182" t="s">
        <v>1575</v>
      </c>
      <c r="Q320" s="1182" t="s">
        <v>1574</v>
      </c>
      <c r="R320" s="1182" t="s">
        <v>1573</v>
      </c>
      <c r="S320" s="1182" t="s">
        <v>1572</v>
      </c>
      <c r="T320" s="1182" t="s">
        <v>1814</v>
      </c>
      <c r="U320" s="1182" t="s">
        <v>1815</v>
      </c>
      <c r="V320" s="1182">
        <v>0</v>
      </c>
      <c r="W320" s="1182">
        <v>0</v>
      </c>
      <c r="X320" s="1182">
        <v>0</v>
      </c>
      <c r="Y320" s="1183">
        <v>4000</v>
      </c>
      <c r="Z320" s="1182" t="s">
        <v>1940</v>
      </c>
      <c r="AA320" s="1182" t="s">
        <v>1941</v>
      </c>
      <c r="AB320" s="1182">
        <v>4000</v>
      </c>
      <c r="AC320" s="1182" t="s">
        <v>2596</v>
      </c>
      <c r="AD320" s="1182" t="s">
        <v>1572</v>
      </c>
      <c r="AE320" s="1182">
        <v>4000</v>
      </c>
      <c r="AF320" s="1182" t="s">
        <v>1943</v>
      </c>
      <c r="AG320" s="1182" t="s">
        <v>1944</v>
      </c>
      <c r="AH320" s="1182">
        <v>0</v>
      </c>
      <c r="AI320" s="1182">
        <v>4000</v>
      </c>
      <c r="AJ320" s="1182" t="s">
        <v>2762</v>
      </c>
      <c r="AL320" s="1186" t="s">
        <v>2763</v>
      </c>
      <c r="AM320" s="1182">
        <v>1</v>
      </c>
      <c r="AN320" s="1182">
        <v>0</v>
      </c>
      <c r="AO320" s="1182">
        <v>0</v>
      </c>
      <c r="AP320" s="1182">
        <v>0</v>
      </c>
      <c r="AQ320" s="1182" t="s">
        <v>1639</v>
      </c>
      <c r="AS320" s="1186" t="s">
        <v>1943</v>
      </c>
      <c r="AT320" s="1186" t="s">
        <v>1944</v>
      </c>
      <c r="AV320" s="1183">
        <v>0</v>
      </c>
      <c r="AW320" s="1183">
        <v>0</v>
      </c>
      <c r="AX320" s="1183">
        <v>0</v>
      </c>
      <c r="AY320" s="1538">
        <v>0</v>
      </c>
      <c r="AZ320" s="1183">
        <v>2000</v>
      </c>
      <c r="BA320" s="1183">
        <v>2000</v>
      </c>
      <c r="BB320" s="1540">
        <v>4000</v>
      </c>
      <c r="BC320" s="1540">
        <v>4000</v>
      </c>
      <c r="BD320" s="1540">
        <v>0</v>
      </c>
      <c r="BF320" s="1539">
        <f t="shared" si="71"/>
        <v>0</v>
      </c>
      <c r="BG320" s="1539">
        <f t="shared" si="72"/>
        <v>0</v>
      </c>
      <c r="BH320" s="1539">
        <f t="shared" si="73"/>
        <v>0</v>
      </c>
      <c r="BI320" s="1539">
        <f t="shared" si="74"/>
        <v>0</v>
      </c>
      <c r="BJ320" s="1539">
        <f t="shared" si="75"/>
        <v>2000</v>
      </c>
      <c r="BK320" s="1539">
        <f t="shared" si="76"/>
        <v>2000</v>
      </c>
      <c r="BL320" s="1539">
        <f t="shared" si="77"/>
        <v>4000</v>
      </c>
      <c r="BM320" s="1539">
        <f t="shared" si="78"/>
        <v>4000</v>
      </c>
      <c r="BO320" s="1183"/>
      <c r="BQ320" s="1182">
        <f t="shared" si="79"/>
        <v>0</v>
      </c>
      <c r="BR320" s="1182">
        <f t="shared" si="80"/>
        <v>0</v>
      </c>
      <c r="BS320" s="1182">
        <f t="shared" si="81"/>
        <v>0</v>
      </c>
      <c r="BT320" s="1182">
        <f t="shared" si="81"/>
        <v>0</v>
      </c>
    </row>
    <row r="321" spans="1:72" ht="13.5" customHeight="1">
      <c r="A321" s="1182" t="s">
        <v>1803</v>
      </c>
      <c r="B321" s="1182" t="s">
        <v>1804</v>
      </c>
      <c r="C321" s="1182" t="s">
        <v>1639</v>
      </c>
      <c r="D321" s="1182" t="s">
        <v>2590</v>
      </c>
      <c r="E321" s="1182" t="s">
        <v>2591</v>
      </c>
      <c r="F321" s="1182" t="s">
        <v>2764</v>
      </c>
      <c r="G321" s="1182" t="s">
        <v>2764</v>
      </c>
      <c r="H321" s="1182" t="s">
        <v>2750</v>
      </c>
      <c r="I321" s="1182" t="s">
        <v>1937</v>
      </c>
      <c r="J321" s="1182" t="s">
        <v>2765</v>
      </c>
      <c r="K321" s="1182" t="s">
        <v>1811</v>
      </c>
      <c r="L321" s="1182" t="s">
        <v>1812</v>
      </c>
      <c r="M321" s="1182" t="s">
        <v>1803</v>
      </c>
      <c r="N321" s="1182" t="s">
        <v>2595</v>
      </c>
      <c r="O321" s="1182" t="s">
        <v>1554</v>
      </c>
      <c r="P321" s="1182" t="s">
        <v>1575</v>
      </c>
      <c r="Q321" s="1182" t="s">
        <v>1574</v>
      </c>
      <c r="R321" s="1182" t="s">
        <v>1573</v>
      </c>
      <c r="S321" s="1182" t="s">
        <v>1572</v>
      </c>
      <c r="T321" s="1182" t="s">
        <v>1814</v>
      </c>
      <c r="U321" s="1182" t="s">
        <v>1815</v>
      </c>
      <c r="V321" s="1182">
        <v>0</v>
      </c>
      <c r="W321" s="1182">
        <v>0</v>
      </c>
      <c r="X321" s="1182">
        <v>0</v>
      </c>
      <c r="Y321" s="1183">
        <v>8000</v>
      </c>
      <c r="Z321" s="1182" t="s">
        <v>1940</v>
      </c>
      <c r="AA321" s="1182" t="s">
        <v>1941</v>
      </c>
      <c r="AB321" s="1182">
        <v>8000</v>
      </c>
      <c r="AC321" s="1182" t="s">
        <v>2596</v>
      </c>
      <c r="AD321" s="1182" t="s">
        <v>1572</v>
      </c>
      <c r="AE321" s="1182">
        <v>8000</v>
      </c>
      <c r="AF321" s="1182" t="s">
        <v>1943</v>
      </c>
      <c r="AG321" s="1182" t="s">
        <v>1944</v>
      </c>
      <c r="AH321" s="1182">
        <v>0</v>
      </c>
      <c r="AI321" s="1182">
        <v>8000</v>
      </c>
      <c r="AJ321" s="1182" t="s">
        <v>2766</v>
      </c>
      <c r="AL321" s="1186" t="s">
        <v>2767</v>
      </c>
      <c r="AM321" s="1182">
        <v>1</v>
      </c>
      <c r="AN321" s="1182">
        <v>0</v>
      </c>
      <c r="AO321" s="1182">
        <v>0</v>
      </c>
      <c r="AP321" s="1182">
        <v>0</v>
      </c>
      <c r="AQ321" s="1182" t="s">
        <v>1639</v>
      </c>
      <c r="AS321" s="1186" t="s">
        <v>1943</v>
      </c>
      <c r="AT321" s="1186" t="s">
        <v>1944</v>
      </c>
      <c r="AV321" s="1183">
        <v>0</v>
      </c>
      <c r="AW321" s="1183">
        <v>0</v>
      </c>
      <c r="AX321" s="1183">
        <v>0</v>
      </c>
      <c r="AY321" s="1538">
        <v>0</v>
      </c>
      <c r="AZ321" s="1183">
        <v>4000</v>
      </c>
      <c r="BA321" s="1183">
        <v>4000</v>
      </c>
      <c r="BB321" s="1540">
        <v>8000</v>
      </c>
      <c r="BC321" s="1540">
        <v>8000</v>
      </c>
      <c r="BD321" s="1540">
        <v>0</v>
      </c>
      <c r="BF321" s="1539">
        <f t="shared" si="71"/>
        <v>0</v>
      </c>
      <c r="BG321" s="1539">
        <f t="shared" si="72"/>
        <v>0</v>
      </c>
      <c r="BH321" s="1539">
        <f t="shared" si="73"/>
        <v>0</v>
      </c>
      <c r="BI321" s="1539">
        <f t="shared" si="74"/>
        <v>0</v>
      </c>
      <c r="BJ321" s="1539">
        <f t="shared" si="75"/>
        <v>4000</v>
      </c>
      <c r="BK321" s="1539">
        <f t="shared" si="76"/>
        <v>4000</v>
      </c>
      <c r="BL321" s="1539">
        <f t="shared" si="77"/>
        <v>8000</v>
      </c>
      <c r="BM321" s="1539">
        <f t="shared" si="78"/>
        <v>8000</v>
      </c>
      <c r="BO321" s="1183"/>
      <c r="BQ321" s="1182">
        <f t="shared" si="79"/>
        <v>0</v>
      </c>
      <c r="BR321" s="1182">
        <f t="shared" si="80"/>
        <v>0</v>
      </c>
      <c r="BS321" s="1182">
        <f t="shared" si="81"/>
        <v>0</v>
      </c>
      <c r="BT321" s="1182">
        <f t="shared" si="81"/>
        <v>0</v>
      </c>
    </row>
    <row r="322" spans="1:72" ht="13.5" customHeight="1">
      <c r="A322" s="1182" t="s">
        <v>1803</v>
      </c>
      <c r="B322" s="1182" t="s">
        <v>1804</v>
      </c>
      <c r="C322" s="1182" t="s">
        <v>1639</v>
      </c>
      <c r="D322" s="1182" t="s">
        <v>2590</v>
      </c>
      <c r="E322" s="1182" t="s">
        <v>2591</v>
      </c>
      <c r="F322" s="1182" t="s">
        <v>2432</v>
      </c>
      <c r="G322" s="1182" t="s">
        <v>2432</v>
      </c>
      <c r="H322" s="1182" t="s">
        <v>2750</v>
      </c>
      <c r="I322" s="1182" t="s">
        <v>1937</v>
      </c>
      <c r="J322" s="1182" t="s">
        <v>2852</v>
      </c>
      <c r="K322" s="1182" t="s">
        <v>1811</v>
      </c>
      <c r="L322" s="1182" t="s">
        <v>1812</v>
      </c>
      <c r="M322" s="1182" t="s">
        <v>1803</v>
      </c>
      <c r="N322" s="1182" t="s">
        <v>2595</v>
      </c>
      <c r="O322" s="1182" t="s">
        <v>1554</v>
      </c>
      <c r="P322" s="1182" t="s">
        <v>1575</v>
      </c>
      <c r="Q322" s="1182" t="s">
        <v>1574</v>
      </c>
      <c r="R322" s="1182" t="s">
        <v>1573</v>
      </c>
      <c r="S322" s="1182" t="s">
        <v>1572</v>
      </c>
      <c r="T322" s="1182" t="s">
        <v>1814</v>
      </c>
      <c r="U322" s="1182" t="s">
        <v>1815</v>
      </c>
      <c r="V322" s="1182">
        <v>0</v>
      </c>
      <c r="W322" s="1182">
        <v>0</v>
      </c>
      <c r="X322" s="1182">
        <v>0</v>
      </c>
      <c r="Y322" s="1183">
        <v>4000</v>
      </c>
      <c r="Z322" s="1182" t="s">
        <v>1940</v>
      </c>
      <c r="AA322" s="1182" t="s">
        <v>1941</v>
      </c>
      <c r="AB322" s="1182">
        <v>4000</v>
      </c>
      <c r="AC322" s="1182" t="s">
        <v>2596</v>
      </c>
      <c r="AD322" s="1182" t="s">
        <v>1572</v>
      </c>
      <c r="AE322" s="1182">
        <v>4000</v>
      </c>
      <c r="AF322" s="1182" t="s">
        <v>1943</v>
      </c>
      <c r="AG322" s="1182" t="s">
        <v>1944</v>
      </c>
      <c r="AH322" s="1182">
        <v>0</v>
      </c>
      <c r="AI322" s="1182">
        <v>4000</v>
      </c>
      <c r="AJ322" s="1182" t="s">
        <v>2853</v>
      </c>
      <c r="AL322" s="1186" t="s">
        <v>2854</v>
      </c>
      <c r="AM322" s="1182">
        <v>1</v>
      </c>
      <c r="AN322" s="1182">
        <v>0</v>
      </c>
      <c r="AO322" s="1182">
        <v>0</v>
      </c>
      <c r="AP322" s="1182">
        <v>0</v>
      </c>
      <c r="AQ322" s="1182" t="s">
        <v>1639</v>
      </c>
      <c r="AS322" s="1186" t="s">
        <v>1943</v>
      </c>
      <c r="AT322" s="1186" t="s">
        <v>1944</v>
      </c>
      <c r="AV322" s="1183">
        <v>0</v>
      </c>
      <c r="AW322" s="1183">
        <v>0</v>
      </c>
      <c r="AX322" s="1183">
        <v>0</v>
      </c>
      <c r="AY322" s="1538">
        <v>0</v>
      </c>
      <c r="AZ322" s="1183">
        <v>2000</v>
      </c>
      <c r="BA322" s="1183">
        <v>2000</v>
      </c>
      <c r="BB322" s="1540">
        <v>4000</v>
      </c>
      <c r="BC322" s="1540">
        <v>4000</v>
      </c>
      <c r="BD322" s="1540">
        <v>0</v>
      </c>
      <c r="BF322" s="1539">
        <f t="shared" si="71"/>
        <v>0</v>
      </c>
      <c r="BG322" s="1539">
        <f t="shared" si="72"/>
        <v>0</v>
      </c>
      <c r="BH322" s="1539">
        <f t="shared" si="73"/>
        <v>0</v>
      </c>
      <c r="BI322" s="1539">
        <f t="shared" si="74"/>
        <v>0</v>
      </c>
      <c r="BJ322" s="1539">
        <f t="shared" si="75"/>
        <v>2000</v>
      </c>
      <c r="BK322" s="1539">
        <f t="shared" si="76"/>
        <v>2000</v>
      </c>
      <c r="BL322" s="1539">
        <f t="shared" si="77"/>
        <v>4000</v>
      </c>
      <c r="BM322" s="1539">
        <f t="shared" si="78"/>
        <v>4000</v>
      </c>
      <c r="BO322" s="1183"/>
      <c r="BQ322" s="1182">
        <f t="shared" si="79"/>
        <v>0</v>
      </c>
      <c r="BR322" s="1182">
        <f t="shared" si="80"/>
        <v>0</v>
      </c>
      <c r="BS322" s="1182">
        <f t="shared" si="81"/>
        <v>0</v>
      </c>
      <c r="BT322" s="1182">
        <f t="shared" si="81"/>
        <v>0</v>
      </c>
    </row>
    <row r="323" spans="1:72" ht="13.5" customHeight="1">
      <c r="A323" s="1182" t="s">
        <v>1803</v>
      </c>
      <c r="B323" s="1182" t="s">
        <v>1804</v>
      </c>
      <c r="C323" s="1182" t="s">
        <v>1639</v>
      </c>
      <c r="D323" s="1182" t="s">
        <v>2590</v>
      </c>
      <c r="E323" s="1182" t="s">
        <v>2591</v>
      </c>
      <c r="F323" s="1182" t="s">
        <v>2845</v>
      </c>
      <c r="G323" s="1182" t="s">
        <v>2845</v>
      </c>
      <c r="H323" s="1182" t="s">
        <v>2593</v>
      </c>
      <c r="I323" s="1182" t="s">
        <v>1937</v>
      </c>
      <c r="J323" s="1182" t="s">
        <v>2846</v>
      </c>
      <c r="K323" s="1182" t="s">
        <v>1811</v>
      </c>
      <c r="L323" s="1182" t="s">
        <v>1812</v>
      </c>
      <c r="M323" s="1182" t="s">
        <v>1803</v>
      </c>
      <c r="N323" s="1182" t="s">
        <v>2595</v>
      </c>
      <c r="O323" s="1182" t="s">
        <v>1554</v>
      </c>
      <c r="P323" s="1182" t="s">
        <v>1575</v>
      </c>
      <c r="Q323" s="1182" t="s">
        <v>1574</v>
      </c>
      <c r="R323" s="1182" t="s">
        <v>1573</v>
      </c>
      <c r="S323" s="1182" t="s">
        <v>1572</v>
      </c>
      <c r="T323" s="1182" t="s">
        <v>1814</v>
      </c>
      <c r="U323" s="1182" t="s">
        <v>1815</v>
      </c>
      <c r="V323" s="1182">
        <v>0</v>
      </c>
      <c r="W323" s="1182">
        <v>0</v>
      </c>
      <c r="X323" s="1182">
        <v>0</v>
      </c>
      <c r="Y323" s="1183">
        <v>8000</v>
      </c>
      <c r="Z323" s="1182" t="s">
        <v>1940</v>
      </c>
      <c r="AA323" s="1182" t="s">
        <v>1941</v>
      </c>
      <c r="AB323" s="1182">
        <v>8000</v>
      </c>
      <c r="AC323" s="1182" t="s">
        <v>2596</v>
      </c>
      <c r="AD323" s="1182" t="s">
        <v>1572</v>
      </c>
      <c r="AE323" s="1182">
        <v>8000</v>
      </c>
      <c r="AF323" s="1182" t="s">
        <v>1943</v>
      </c>
      <c r="AG323" s="1182" t="s">
        <v>1944</v>
      </c>
      <c r="AH323" s="1182">
        <v>0</v>
      </c>
      <c r="AI323" s="1182">
        <v>8000</v>
      </c>
      <c r="AJ323" s="1182" t="s">
        <v>2847</v>
      </c>
      <c r="AL323" s="1186" t="s">
        <v>2848</v>
      </c>
      <c r="AM323" s="1182">
        <v>1</v>
      </c>
      <c r="AN323" s="1182">
        <v>0</v>
      </c>
      <c r="AO323" s="1182">
        <v>0</v>
      </c>
      <c r="AP323" s="1182">
        <v>0</v>
      </c>
      <c r="AQ323" s="1182" t="s">
        <v>1639</v>
      </c>
      <c r="AS323" s="1186" t="s">
        <v>1943</v>
      </c>
      <c r="AT323" s="1186" t="s">
        <v>1944</v>
      </c>
      <c r="AV323" s="1183">
        <v>0</v>
      </c>
      <c r="AW323" s="1183">
        <v>0</v>
      </c>
      <c r="AX323" s="1183">
        <v>0</v>
      </c>
      <c r="AY323" s="1538">
        <v>0</v>
      </c>
      <c r="AZ323" s="1183">
        <v>4000</v>
      </c>
      <c r="BA323" s="1183">
        <v>4000</v>
      </c>
      <c r="BB323" s="1540">
        <v>8000</v>
      </c>
      <c r="BC323" s="1540">
        <v>8000</v>
      </c>
      <c r="BD323" s="1540">
        <v>0</v>
      </c>
      <c r="BF323" s="1539">
        <f t="shared" si="71"/>
        <v>0</v>
      </c>
      <c r="BG323" s="1539">
        <f t="shared" si="72"/>
        <v>0</v>
      </c>
      <c r="BH323" s="1539">
        <f t="shared" si="73"/>
        <v>0</v>
      </c>
      <c r="BI323" s="1539">
        <f t="shared" si="74"/>
        <v>0</v>
      </c>
      <c r="BJ323" s="1539">
        <f t="shared" si="75"/>
        <v>4000</v>
      </c>
      <c r="BK323" s="1539">
        <f t="shared" si="76"/>
        <v>4000</v>
      </c>
      <c r="BL323" s="1539">
        <f t="shared" si="77"/>
        <v>8000</v>
      </c>
      <c r="BM323" s="1539">
        <f t="shared" si="78"/>
        <v>8000</v>
      </c>
      <c r="BO323" s="1183"/>
      <c r="BQ323" s="1182">
        <f t="shared" si="79"/>
        <v>0</v>
      </c>
      <c r="BR323" s="1182">
        <f t="shared" si="80"/>
        <v>0</v>
      </c>
    </row>
    <row r="324" spans="1:72" ht="13.5" customHeight="1">
      <c r="A324" s="1182" t="s">
        <v>1803</v>
      </c>
      <c r="B324" s="1182" t="s">
        <v>1804</v>
      </c>
      <c r="C324" s="1182" t="s">
        <v>1639</v>
      </c>
      <c r="D324" s="1182" t="s">
        <v>2590</v>
      </c>
      <c r="E324" s="1182" t="s">
        <v>2591</v>
      </c>
      <c r="F324" s="1182" t="s">
        <v>1947</v>
      </c>
      <c r="G324" s="1182" t="s">
        <v>1947</v>
      </c>
      <c r="H324" s="1182" t="s">
        <v>2593</v>
      </c>
      <c r="I324" s="1182" t="s">
        <v>1937</v>
      </c>
      <c r="J324" s="1182" t="s">
        <v>2849</v>
      </c>
      <c r="K324" s="1182" t="s">
        <v>1811</v>
      </c>
      <c r="L324" s="1182" t="s">
        <v>1812</v>
      </c>
      <c r="M324" s="1182" t="s">
        <v>1803</v>
      </c>
      <c r="N324" s="1182" t="s">
        <v>2595</v>
      </c>
      <c r="O324" s="1182" t="s">
        <v>1554</v>
      </c>
      <c r="P324" s="1182" t="s">
        <v>1575</v>
      </c>
      <c r="Q324" s="1182" t="s">
        <v>1574</v>
      </c>
      <c r="R324" s="1182" t="s">
        <v>1573</v>
      </c>
      <c r="S324" s="1182" t="s">
        <v>1572</v>
      </c>
      <c r="T324" s="1182" t="s">
        <v>1814</v>
      </c>
      <c r="U324" s="1182" t="s">
        <v>1815</v>
      </c>
      <c r="V324" s="1182">
        <v>0</v>
      </c>
      <c r="W324" s="1182">
        <v>0</v>
      </c>
      <c r="X324" s="1182">
        <v>0</v>
      </c>
      <c r="Y324" s="1183">
        <v>15000</v>
      </c>
      <c r="Z324" s="1182" t="s">
        <v>1940</v>
      </c>
      <c r="AA324" s="1182" t="s">
        <v>1941</v>
      </c>
      <c r="AB324" s="1182">
        <v>15000</v>
      </c>
      <c r="AC324" s="1182" t="s">
        <v>2596</v>
      </c>
      <c r="AD324" s="1182" t="s">
        <v>1572</v>
      </c>
      <c r="AE324" s="1182">
        <v>15000</v>
      </c>
      <c r="AF324" s="1182" t="s">
        <v>1943</v>
      </c>
      <c r="AG324" s="1182" t="s">
        <v>1944</v>
      </c>
      <c r="AH324" s="1182">
        <v>0</v>
      </c>
      <c r="AI324" s="1182">
        <v>15000</v>
      </c>
      <c r="AJ324" s="1182" t="s">
        <v>2850</v>
      </c>
      <c r="AL324" s="1186" t="s">
        <v>2851</v>
      </c>
      <c r="AM324" s="1182">
        <v>1</v>
      </c>
      <c r="AN324" s="1182">
        <v>0</v>
      </c>
      <c r="AO324" s="1182">
        <v>0</v>
      </c>
      <c r="AP324" s="1182">
        <v>0</v>
      </c>
      <c r="AQ324" s="1182" t="s">
        <v>1639</v>
      </c>
      <c r="AS324" s="1186" t="s">
        <v>1943</v>
      </c>
      <c r="AT324" s="1186" t="s">
        <v>1944</v>
      </c>
      <c r="AV324" s="1183">
        <v>0</v>
      </c>
      <c r="AW324" s="1183">
        <v>0</v>
      </c>
      <c r="AX324" s="1183">
        <v>0</v>
      </c>
      <c r="AY324" s="1538">
        <v>0</v>
      </c>
      <c r="AZ324" s="1183">
        <v>7500</v>
      </c>
      <c r="BA324" s="1183">
        <v>7500</v>
      </c>
      <c r="BB324" s="1540">
        <v>15000</v>
      </c>
      <c r="BC324" s="1540">
        <v>15000</v>
      </c>
      <c r="BD324" s="1540">
        <v>0</v>
      </c>
      <c r="BF324" s="1539">
        <f t="shared" si="71"/>
        <v>0</v>
      </c>
      <c r="BG324" s="1539">
        <f t="shared" si="72"/>
        <v>0</v>
      </c>
      <c r="BH324" s="1539">
        <f t="shared" si="73"/>
        <v>0</v>
      </c>
      <c r="BI324" s="1539">
        <f t="shared" si="74"/>
        <v>0</v>
      </c>
      <c r="BJ324" s="1539">
        <f t="shared" si="75"/>
        <v>7500</v>
      </c>
      <c r="BK324" s="1539">
        <f t="shared" si="76"/>
        <v>7500</v>
      </c>
      <c r="BL324" s="1539">
        <f t="shared" si="77"/>
        <v>15000</v>
      </c>
      <c r="BM324" s="1539">
        <f t="shared" si="78"/>
        <v>15000</v>
      </c>
      <c r="BO324" s="1183"/>
      <c r="BQ324" s="1182">
        <f t="shared" si="79"/>
        <v>0</v>
      </c>
      <c r="BR324" s="1182">
        <f t="shared" si="80"/>
        <v>0</v>
      </c>
    </row>
    <row r="325" spans="1:72" ht="13.5" customHeight="1">
      <c r="A325" s="1182" t="s">
        <v>1803</v>
      </c>
      <c r="B325" s="1182" t="s">
        <v>1804</v>
      </c>
      <c r="C325" s="1182" t="s">
        <v>1639</v>
      </c>
      <c r="D325" s="1182" t="s">
        <v>2590</v>
      </c>
      <c r="E325" s="1182" t="s">
        <v>2591</v>
      </c>
      <c r="F325" s="1182" t="s">
        <v>2724</v>
      </c>
      <c r="G325" s="1182" t="s">
        <v>2724</v>
      </c>
      <c r="H325" s="1182" t="s">
        <v>2593</v>
      </c>
      <c r="I325" s="1182" t="s">
        <v>1937</v>
      </c>
      <c r="J325" s="1182" t="s">
        <v>2725</v>
      </c>
      <c r="K325" s="1182" t="s">
        <v>1811</v>
      </c>
      <c r="L325" s="1182" t="s">
        <v>1812</v>
      </c>
      <c r="M325" s="1182" t="s">
        <v>1803</v>
      </c>
      <c r="N325" s="1182" t="s">
        <v>2595</v>
      </c>
      <c r="O325" s="1182" t="s">
        <v>1554</v>
      </c>
      <c r="P325" s="1182" t="s">
        <v>1575</v>
      </c>
      <c r="Q325" s="1182" t="s">
        <v>1574</v>
      </c>
      <c r="R325" s="1182" t="s">
        <v>1573</v>
      </c>
      <c r="S325" s="1182" t="s">
        <v>1572</v>
      </c>
      <c r="T325" s="1182" t="s">
        <v>1814</v>
      </c>
      <c r="U325" s="1182" t="s">
        <v>1815</v>
      </c>
      <c r="V325" s="1182">
        <v>0</v>
      </c>
      <c r="W325" s="1182">
        <v>0</v>
      </c>
      <c r="X325" s="1182">
        <v>0</v>
      </c>
      <c r="Y325" s="1183">
        <v>4000</v>
      </c>
      <c r="Z325" s="1182" t="s">
        <v>1940</v>
      </c>
      <c r="AA325" s="1182" t="s">
        <v>1941</v>
      </c>
      <c r="AB325" s="1182">
        <v>4000</v>
      </c>
      <c r="AC325" s="1182" t="s">
        <v>2596</v>
      </c>
      <c r="AD325" s="1182" t="s">
        <v>1572</v>
      </c>
      <c r="AE325" s="1182">
        <v>4000</v>
      </c>
      <c r="AF325" s="1182" t="s">
        <v>1943</v>
      </c>
      <c r="AG325" s="1182" t="s">
        <v>1944</v>
      </c>
      <c r="AH325" s="1182">
        <v>0</v>
      </c>
      <c r="AI325" s="1182">
        <v>4000</v>
      </c>
      <c r="AJ325" s="1182" t="s">
        <v>2726</v>
      </c>
      <c r="AL325" s="1186" t="s">
        <v>2727</v>
      </c>
      <c r="AM325" s="1182">
        <v>1</v>
      </c>
      <c r="AN325" s="1182">
        <v>0</v>
      </c>
      <c r="AO325" s="1182">
        <v>0</v>
      </c>
      <c r="AP325" s="1182">
        <v>0</v>
      </c>
      <c r="AQ325" s="1182" t="s">
        <v>1639</v>
      </c>
      <c r="AS325" s="1186" t="s">
        <v>1943</v>
      </c>
      <c r="AT325" s="1186" t="s">
        <v>1944</v>
      </c>
      <c r="AV325" s="1183">
        <v>0</v>
      </c>
      <c r="AW325" s="1183">
        <v>0</v>
      </c>
      <c r="AX325" s="1183">
        <v>0</v>
      </c>
      <c r="AY325" s="1538">
        <v>0</v>
      </c>
      <c r="AZ325" s="1183">
        <v>2000</v>
      </c>
      <c r="BA325" s="1183">
        <v>2000</v>
      </c>
      <c r="BB325" s="1540">
        <v>4000</v>
      </c>
      <c r="BC325" s="1540">
        <v>4000</v>
      </c>
      <c r="BD325" s="1540">
        <v>0</v>
      </c>
      <c r="BF325" s="1539">
        <f t="shared" si="71"/>
        <v>0</v>
      </c>
      <c r="BG325" s="1539">
        <f t="shared" si="72"/>
        <v>0</v>
      </c>
      <c r="BH325" s="1539">
        <f t="shared" si="73"/>
        <v>0</v>
      </c>
      <c r="BI325" s="1539">
        <f t="shared" si="74"/>
        <v>0</v>
      </c>
      <c r="BJ325" s="1539">
        <f t="shared" si="75"/>
        <v>2000</v>
      </c>
      <c r="BK325" s="1539">
        <f t="shared" si="76"/>
        <v>2000</v>
      </c>
      <c r="BL325" s="1539">
        <f t="shared" si="77"/>
        <v>4000</v>
      </c>
      <c r="BM325" s="1539">
        <f t="shared" si="78"/>
        <v>4000</v>
      </c>
      <c r="BO325" s="1183"/>
      <c r="BQ325" s="1182">
        <f t="shared" si="79"/>
        <v>0</v>
      </c>
      <c r="BR325" s="1182">
        <f t="shared" si="80"/>
        <v>0</v>
      </c>
    </row>
    <row r="326" spans="1:72" ht="13.5" customHeight="1">
      <c r="A326" s="1182" t="s">
        <v>1803</v>
      </c>
      <c r="B326" s="1182" t="s">
        <v>1804</v>
      </c>
      <c r="C326" s="1182" t="s">
        <v>1639</v>
      </c>
      <c r="D326" s="1182" t="s">
        <v>2590</v>
      </c>
      <c r="E326" s="1182" t="s">
        <v>2591</v>
      </c>
      <c r="F326" s="1182" t="s">
        <v>2249</v>
      </c>
      <c r="G326" s="1182" t="s">
        <v>2249</v>
      </c>
      <c r="H326" s="1182" t="s">
        <v>2593</v>
      </c>
      <c r="I326" s="1182" t="s">
        <v>1937</v>
      </c>
      <c r="J326" s="1182" t="s">
        <v>2728</v>
      </c>
      <c r="K326" s="1182" t="s">
        <v>1811</v>
      </c>
      <c r="L326" s="1182" t="s">
        <v>1812</v>
      </c>
      <c r="M326" s="1182" t="s">
        <v>1803</v>
      </c>
      <c r="N326" s="1182" t="s">
        <v>2595</v>
      </c>
      <c r="O326" s="1182" t="s">
        <v>1554</v>
      </c>
      <c r="P326" s="1182" t="s">
        <v>1575</v>
      </c>
      <c r="Q326" s="1182" t="s">
        <v>1574</v>
      </c>
      <c r="R326" s="1182" t="s">
        <v>1573</v>
      </c>
      <c r="S326" s="1182" t="s">
        <v>1572</v>
      </c>
      <c r="T326" s="1182" t="s">
        <v>1814</v>
      </c>
      <c r="U326" s="1182" t="s">
        <v>1815</v>
      </c>
      <c r="V326" s="1182">
        <v>0</v>
      </c>
      <c r="W326" s="1182">
        <v>0</v>
      </c>
      <c r="X326" s="1182">
        <v>0</v>
      </c>
      <c r="Y326" s="1183">
        <v>4000</v>
      </c>
      <c r="Z326" s="1182" t="s">
        <v>1940</v>
      </c>
      <c r="AA326" s="1182" t="s">
        <v>1941</v>
      </c>
      <c r="AB326" s="1182">
        <v>4000</v>
      </c>
      <c r="AC326" s="1182" t="s">
        <v>2596</v>
      </c>
      <c r="AD326" s="1182" t="s">
        <v>1572</v>
      </c>
      <c r="AE326" s="1182">
        <v>4000</v>
      </c>
      <c r="AF326" s="1182" t="s">
        <v>1943</v>
      </c>
      <c r="AG326" s="1182" t="s">
        <v>1944</v>
      </c>
      <c r="AH326" s="1182">
        <v>0</v>
      </c>
      <c r="AI326" s="1182">
        <v>4000</v>
      </c>
      <c r="AJ326" s="1182" t="s">
        <v>2729</v>
      </c>
      <c r="AL326" s="1186" t="s">
        <v>2730</v>
      </c>
      <c r="AM326" s="1182">
        <v>1</v>
      </c>
      <c r="AN326" s="1182">
        <v>0</v>
      </c>
      <c r="AO326" s="1182">
        <v>0</v>
      </c>
      <c r="AP326" s="1182">
        <v>0</v>
      </c>
      <c r="AQ326" s="1182" t="s">
        <v>1639</v>
      </c>
      <c r="AS326" s="1186" t="s">
        <v>1943</v>
      </c>
      <c r="AT326" s="1186" t="s">
        <v>1944</v>
      </c>
      <c r="AV326" s="1183">
        <v>0</v>
      </c>
      <c r="AW326" s="1183">
        <v>0</v>
      </c>
      <c r="AX326" s="1183">
        <v>0</v>
      </c>
      <c r="AY326" s="1538">
        <v>0</v>
      </c>
      <c r="AZ326" s="1183">
        <v>2000</v>
      </c>
      <c r="BA326" s="1183">
        <v>2000</v>
      </c>
      <c r="BB326" s="1540">
        <v>4000</v>
      </c>
      <c r="BC326" s="1540">
        <v>4000</v>
      </c>
      <c r="BD326" s="1540">
        <v>0</v>
      </c>
      <c r="BF326" s="1539">
        <f t="shared" si="71"/>
        <v>0</v>
      </c>
      <c r="BG326" s="1539">
        <f t="shared" si="72"/>
        <v>0</v>
      </c>
      <c r="BH326" s="1539">
        <f t="shared" si="73"/>
        <v>0</v>
      </c>
      <c r="BI326" s="1539">
        <f t="shared" si="74"/>
        <v>0</v>
      </c>
      <c r="BJ326" s="1539">
        <f t="shared" si="75"/>
        <v>2000</v>
      </c>
      <c r="BK326" s="1539">
        <f t="shared" si="76"/>
        <v>2000</v>
      </c>
      <c r="BL326" s="1539">
        <f t="shared" si="77"/>
        <v>4000</v>
      </c>
      <c r="BM326" s="1539">
        <f t="shared" si="78"/>
        <v>4000</v>
      </c>
      <c r="BO326" s="1183"/>
      <c r="BQ326" s="1182">
        <f t="shared" si="79"/>
        <v>0</v>
      </c>
      <c r="BR326" s="1182">
        <f t="shared" si="80"/>
        <v>0</v>
      </c>
    </row>
    <row r="327" spans="1:72" ht="13.5" customHeight="1">
      <c r="A327" s="1182" t="s">
        <v>1803</v>
      </c>
      <c r="B327" s="1182" t="s">
        <v>1804</v>
      </c>
      <c r="C327" s="1182" t="s">
        <v>1639</v>
      </c>
      <c r="D327" s="1182" t="s">
        <v>2590</v>
      </c>
      <c r="E327" s="1182" t="s">
        <v>2591</v>
      </c>
      <c r="F327" s="1182" t="s">
        <v>2707</v>
      </c>
      <c r="G327" s="1182" t="s">
        <v>2707</v>
      </c>
      <c r="H327" s="1182" t="s">
        <v>2593</v>
      </c>
      <c r="I327" s="1182" t="s">
        <v>1937</v>
      </c>
      <c r="J327" s="1182" t="s">
        <v>2708</v>
      </c>
      <c r="K327" s="1182" t="s">
        <v>1811</v>
      </c>
      <c r="L327" s="1182" t="s">
        <v>1812</v>
      </c>
      <c r="M327" s="1182" t="s">
        <v>1803</v>
      </c>
      <c r="N327" s="1182" t="s">
        <v>2595</v>
      </c>
      <c r="O327" s="1182" t="s">
        <v>1554</v>
      </c>
      <c r="P327" s="1182" t="s">
        <v>1575</v>
      </c>
      <c r="Q327" s="1182" t="s">
        <v>1574</v>
      </c>
      <c r="R327" s="1182" t="s">
        <v>1573</v>
      </c>
      <c r="S327" s="1182" t="s">
        <v>1572</v>
      </c>
      <c r="T327" s="1182" t="s">
        <v>1814</v>
      </c>
      <c r="U327" s="1182" t="s">
        <v>1815</v>
      </c>
      <c r="V327" s="1182">
        <v>0</v>
      </c>
      <c r="W327" s="1182">
        <v>0</v>
      </c>
      <c r="X327" s="1182">
        <v>0</v>
      </c>
      <c r="Y327" s="1183">
        <v>4000</v>
      </c>
      <c r="Z327" s="1182" t="s">
        <v>1940</v>
      </c>
      <c r="AA327" s="1182" t="s">
        <v>1941</v>
      </c>
      <c r="AB327" s="1182">
        <v>4000</v>
      </c>
      <c r="AC327" s="1182" t="s">
        <v>2596</v>
      </c>
      <c r="AD327" s="1182" t="s">
        <v>1572</v>
      </c>
      <c r="AE327" s="1182">
        <v>4000</v>
      </c>
      <c r="AF327" s="1182" t="s">
        <v>1943</v>
      </c>
      <c r="AG327" s="1182" t="s">
        <v>1944</v>
      </c>
      <c r="AH327" s="1182">
        <v>0</v>
      </c>
      <c r="AI327" s="1182">
        <v>4000</v>
      </c>
      <c r="AJ327" s="1182" t="s">
        <v>2709</v>
      </c>
      <c r="AL327" s="1186" t="s">
        <v>2710</v>
      </c>
      <c r="AM327" s="1182">
        <v>1</v>
      </c>
      <c r="AN327" s="1182">
        <v>0</v>
      </c>
      <c r="AO327" s="1182">
        <v>0</v>
      </c>
      <c r="AP327" s="1182">
        <v>0</v>
      </c>
      <c r="AQ327" s="1182" t="s">
        <v>1639</v>
      </c>
      <c r="AS327" s="1186" t="s">
        <v>1943</v>
      </c>
      <c r="AT327" s="1186" t="s">
        <v>1944</v>
      </c>
      <c r="AV327" s="1183">
        <v>0</v>
      </c>
      <c r="AW327" s="1183">
        <v>0</v>
      </c>
      <c r="AX327" s="1183">
        <v>0</v>
      </c>
      <c r="AY327" s="1538">
        <v>0</v>
      </c>
      <c r="AZ327" s="1183">
        <v>2000</v>
      </c>
      <c r="BA327" s="1183">
        <v>2000</v>
      </c>
      <c r="BB327" s="1540">
        <v>4000</v>
      </c>
      <c r="BC327" s="1540">
        <v>4000</v>
      </c>
      <c r="BD327" s="1540">
        <v>0</v>
      </c>
      <c r="BF327" s="1539">
        <f t="shared" ref="BF327:BF390" si="82">+IFERROR(ROUND(AV327*100/(100+$AT327),0),AV327)</f>
        <v>0</v>
      </c>
      <c r="BG327" s="1539">
        <f t="shared" ref="BG327:BG390" si="83">+IFERROR(ROUND(AW327*100/(100+$AT327),0),AW327)</f>
        <v>0</v>
      </c>
      <c r="BH327" s="1539">
        <f t="shared" ref="BH327:BH390" si="84">+IFERROR(ROUND(AX327*100/(100+$AT327),0),AX327)</f>
        <v>0</v>
      </c>
      <c r="BI327" s="1539">
        <f t="shared" ref="BI327:BI390" si="85">SUM(BF327:BH327)</f>
        <v>0</v>
      </c>
      <c r="BJ327" s="1539">
        <f t="shared" ref="BJ327:BJ390" si="86">+IFERROR(ROUND(AZ327*100/(100+$AT327),0),AZ327)</f>
        <v>2000</v>
      </c>
      <c r="BK327" s="1539">
        <f t="shared" ref="BK327:BK390" si="87">+IFERROR(ROUND(BA327*100/(100+$AT327),0),BA327)</f>
        <v>2000</v>
      </c>
      <c r="BL327" s="1539">
        <f t="shared" ref="BL327:BL390" si="88">SUM(BJ327:BK327)</f>
        <v>4000</v>
      </c>
      <c r="BM327" s="1539">
        <f t="shared" ref="BM327:BM390" si="89">+BI327+BL327</f>
        <v>4000</v>
      </c>
      <c r="BO327" s="1183"/>
      <c r="BQ327" s="1182">
        <f t="shared" ref="BQ327:BQ390" si="90">AY327*100/(100+$AT327)-BI327</f>
        <v>0</v>
      </c>
      <c r="BR327" s="1182">
        <f t="shared" ref="BR327:BR390" si="91">BB327*100/(100+$AT327)-BL327</f>
        <v>0</v>
      </c>
    </row>
    <row r="328" spans="1:72" ht="13.5" customHeight="1">
      <c r="A328" s="1182" t="s">
        <v>1803</v>
      </c>
      <c r="B328" s="1182" t="s">
        <v>1804</v>
      </c>
      <c r="C328" s="1182" t="s">
        <v>1639</v>
      </c>
      <c r="D328" s="1182" t="s">
        <v>2590</v>
      </c>
      <c r="E328" s="1182" t="s">
        <v>2591</v>
      </c>
      <c r="F328" s="1182" t="s">
        <v>2008</v>
      </c>
      <c r="G328" s="1182" t="s">
        <v>2008</v>
      </c>
      <c r="H328" s="1182" t="s">
        <v>2593</v>
      </c>
      <c r="I328" s="1182" t="s">
        <v>1937</v>
      </c>
      <c r="J328" s="1182" t="s">
        <v>2717</v>
      </c>
      <c r="K328" s="1182" t="s">
        <v>1811</v>
      </c>
      <c r="L328" s="1182" t="s">
        <v>1812</v>
      </c>
      <c r="M328" s="1182" t="s">
        <v>1803</v>
      </c>
      <c r="N328" s="1182" t="s">
        <v>2595</v>
      </c>
      <c r="O328" s="1182" t="s">
        <v>1554</v>
      </c>
      <c r="P328" s="1182" t="s">
        <v>1575</v>
      </c>
      <c r="Q328" s="1182" t="s">
        <v>1574</v>
      </c>
      <c r="R328" s="1182" t="s">
        <v>1573</v>
      </c>
      <c r="S328" s="1182" t="s">
        <v>1572</v>
      </c>
      <c r="T328" s="1182" t="s">
        <v>1814</v>
      </c>
      <c r="U328" s="1182" t="s">
        <v>1815</v>
      </c>
      <c r="V328" s="1182">
        <v>0</v>
      </c>
      <c r="W328" s="1182">
        <v>0</v>
      </c>
      <c r="X328" s="1182">
        <v>0</v>
      </c>
      <c r="Y328" s="1183">
        <v>12000</v>
      </c>
      <c r="Z328" s="1182" t="s">
        <v>1940</v>
      </c>
      <c r="AA328" s="1182" t="s">
        <v>1941</v>
      </c>
      <c r="AB328" s="1182">
        <v>12000</v>
      </c>
      <c r="AC328" s="1182" t="s">
        <v>2596</v>
      </c>
      <c r="AD328" s="1182" t="s">
        <v>1572</v>
      </c>
      <c r="AE328" s="1182">
        <v>12000</v>
      </c>
      <c r="AF328" s="1182" t="s">
        <v>1943</v>
      </c>
      <c r="AG328" s="1182" t="s">
        <v>1944</v>
      </c>
      <c r="AH328" s="1182">
        <v>0</v>
      </c>
      <c r="AI328" s="1182">
        <v>12000</v>
      </c>
      <c r="AJ328" s="1182" t="s">
        <v>2718</v>
      </c>
      <c r="AL328" s="1186" t="s">
        <v>2719</v>
      </c>
      <c r="AM328" s="1182">
        <v>1</v>
      </c>
      <c r="AN328" s="1182">
        <v>0</v>
      </c>
      <c r="AO328" s="1182">
        <v>0</v>
      </c>
      <c r="AP328" s="1182">
        <v>0</v>
      </c>
      <c r="AQ328" s="1182" t="s">
        <v>1639</v>
      </c>
      <c r="AS328" s="1186" t="s">
        <v>1943</v>
      </c>
      <c r="AT328" s="1186" t="s">
        <v>1944</v>
      </c>
      <c r="AV328" s="1183">
        <v>0</v>
      </c>
      <c r="AW328" s="1183">
        <v>0</v>
      </c>
      <c r="AX328" s="1183">
        <v>0</v>
      </c>
      <c r="AY328" s="1538">
        <v>0</v>
      </c>
      <c r="AZ328" s="1183">
        <v>6000</v>
      </c>
      <c r="BA328" s="1183">
        <v>6000</v>
      </c>
      <c r="BB328" s="1540">
        <v>12000</v>
      </c>
      <c r="BC328" s="1540">
        <v>12000</v>
      </c>
      <c r="BD328" s="1540">
        <v>0</v>
      </c>
      <c r="BF328" s="1539">
        <f t="shared" si="82"/>
        <v>0</v>
      </c>
      <c r="BG328" s="1539">
        <f t="shared" si="83"/>
        <v>0</v>
      </c>
      <c r="BH328" s="1539">
        <f t="shared" si="84"/>
        <v>0</v>
      </c>
      <c r="BI328" s="1539">
        <f t="shared" si="85"/>
        <v>0</v>
      </c>
      <c r="BJ328" s="1539">
        <f t="shared" si="86"/>
        <v>6000</v>
      </c>
      <c r="BK328" s="1539">
        <f t="shared" si="87"/>
        <v>6000</v>
      </c>
      <c r="BL328" s="1539">
        <f t="shared" si="88"/>
        <v>12000</v>
      </c>
      <c r="BM328" s="1539">
        <f t="shared" si="89"/>
        <v>12000</v>
      </c>
      <c r="BO328" s="1183"/>
      <c r="BQ328" s="1182">
        <f t="shared" si="90"/>
        <v>0</v>
      </c>
      <c r="BR328" s="1182">
        <f t="shared" si="91"/>
        <v>0</v>
      </c>
    </row>
    <row r="329" spans="1:72" ht="13.5" customHeight="1">
      <c r="A329" s="1182" t="s">
        <v>1803</v>
      </c>
      <c r="B329" s="1182" t="s">
        <v>1804</v>
      </c>
      <c r="C329" s="1182" t="s">
        <v>1639</v>
      </c>
      <c r="D329" s="1182" t="s">
        <v>2590</v>
      </c>
      <c r="E329" s="1182" t="s">
        <v>2591</v>
      </c>
      <c r="F329" s="1182" t="s">
        <v>2619</v>
      </c>
      <c r="G329" s="1182" t="s">
        <v>2619</v>
      </c>
      <c r="H329" s="1182" t="s">
        <v>2593</v>
      </c>
      <c r="I329" s="1182" t="s">
        <v>1937</v>
      </c>
      <c r="J329" s="1182" t="s">
        <v>2620</v>
      </c>
      <c r="K329" s="1182" t="s">
        <v>1811</v>
      </c>
      <c r="L329" s="1182" t="s">
        <v>1812</v>
      </c>
      <c r="M329" s="1182" t="s">
        <v>1803</v>
      </c>
      <c r="N329" s="1182" t="s">
        <v>2595</v>
      </c>
      <c r="O329" s="1182" t="s">
        <v>1554</v>
      </c>
      <c r="P329" s="1182" t="s">
        <v>1575</v>
      </c>
      <c r="Q329" s="1182" t="s">
        <v>1574</v>
      </c>
      <c r="R329" s="1182" t="s">
        <v>1573</v>
      </c>
      <c r="S329" s="1182" t="s">
        <v>1572</v>
      </c>
      <c r="T329" s="1182" t="s">
        <v>1814</v>
      </c>
      <c r="U329" s="1182" t="s">
        <v>1815</v>
      </c>
      <c r="V329" s="1182">
        <v>0</v>
      </c>
      <c r="W329" s="1182">
        <v>0</v>
      </c>
      <c r="X329" s="1182">
        <v>0</v>
      </c>
      <c r="Y329" s="1183">
        <v>23000</v>
      </c>
      <c r="Z329" s="1182" t="s">
        <v>1940</v>
      </c>
      <c r="AA329" s="1182" t="s">
        <v>1941</v>
      </c>
      <c r="AB329" s="1182">
        <v>23000</v>
      </c>
      <c r="AC329" s="1182" t="s">
        <v>2596</v>
      </c>
      <c r="AD329" s="1182" t="s">
        <v>1572</v>
      </c>
      <c r="AE329" s="1182">
        <v>23000</v>
      </c>
      <c r="AF329" s="1182" t="s">
        <v>1943</v>
      </c>
      <c r="AG329" s="1182" t="s">
        <v>1944</v>
      </c>
      <c r="AH329" s="1182">
        <v>0</v>
      </c>
      <c r="AI329" s="1182">
        <v>23000</v>
      </c>
      <c r="AJ329" s="1182" t="s">
        <v>2621</v>
      </c>
      <c r="AL329" s="1186" t="s">
        <v>2622</v>
      </c>
      <c r="AM329" s="1182">
        <v>1</v>
      </c>
      <c r="AN329" s="1182">
        <v>0</v>
      </c>
      <c r="AO329" s="1182">
        <v>0</v>
      </c>
      <c r="AP329" s="1182">
        <v>0</v>
      </c>
      <c r="AQ329" s="1182" t="s">
        <v>1639</v>
      </c>
      <c r="AS329" s="1186" t="s">
        <v>1943</v>
      </c>
      <c r="AT329" s="1186" t="s">
        <v>1944</v>
      </c>
      <c r="AV329" s="1183">
        <v>0</v>
      </c>
      <c r="AW329" s="1183">
        <v>0</v>
      </c>
      <c r="AX329" s="1183">
        <v>0</v>
      </c>
      <c r="AY329" s="1538">
        <v>0</v>
      </c>
      <c r="AZ329" s="1183">
        <v>11500</v>
      </c>
      <c r="BA329" s="1183">
        <v>11500</v>
      </c>
      <c r="BB329" s="1540">
        <v>23000</v>
      </c>
      <c r="BC329" s="1540">
        <v>23000</v>
      </c>
      <c r="BD329" s="1540">
        <v>0</v>
      </c>
      <c r="BF329" s="1539">
        <f t="shared" si="82"/>
        <v>0</v>
      </c>
      <c r="BG329" s="1539">
        <f t="shared" si="83"/>
        <v>0</v>
      </c>
      <c r="BH329" s="1539">
        <f t="shared" si="84"/>
        <v>0</v>
      </c>
      <c r="BI329" s="1539">
        <f t="shared" si="85"/>
        <v>0</v>
      </c>
      <c r="BJ329" s="1539">
        <f t="shared" si="86"/>
        <v>11500</v>
      </c>
      <c r="BK329" s="1539">
        <f t="shared" si="87"/>
        <v>11500</v>
      </c>
      <c r="BL329" s="1539">
        <f t="shared" si="88"/>
        <v>23000</v>
      </c>
      <c r="BM329" s="1539">
        <f t="shared" si="89"/>
        <v>23000</v>
      </c>
      <c r="BO329" s="1183"/>
      <c r="BQ329" s="1182">
        <f t="shared" si="90"/>
        <v>0</v>
      </c>
      <c r="BR329" s="1182">
        <f t="shared" si="91"/>
        <v>0</v>
      </c>
    </row>
    <row r="330" spans="1:72" ht="13.5" customHeight="1">
      <c r="A330" s="1182" t="s">
        <v>1803</v>
      </c>
      <c r="B330" s="1182" t="s">
        <v>1804</v>
      </c>
      <c r="C330" s="1182" t="s">
        <v>1639</v>
      </c>
      <c r="D330" s="1182" t="s">
        <v>2590</v>
      </c>
      <c r="E330" s="1182" t="s">
        <v>2591</v>
      </c>
      <c r="F330" s="1182" t="s">
        <v>2259</v>
      </c>
      <c r="G330" s="1182" t="s">
        <v>2259</v>
      </c>
      <c r="H330" s="1182" t="s">
        <v>2593</v>
      </c>
      <c r="I330" s="1182" t="s">
        <v>1937</v>
      </c>
      <c r="J330" s="1182" t="s">
        <v>2701</v>
      </c>
      <c r="K330" s="1182" t="s">
        <v>1811</v>
      </c>
      <c r="L330" s="1182" t="s">
        <v>1812</v>
      </c>
      <c r="M330" s="1182" t="s">
        <v>1803</v>
      </c>
      <c r="N330" s="1182" t="s">
        <v>2595</v>
      </c>
      <c r="O330" s="1182" t="s">
        <v>1554</v>
      </c>
      <c r="P330" s="1182" t="s">
        <v>1575</v>
      </c>
      <c r="Q330" s="1182" t="s">
        <v>1574</v>
      </c>
      <c r="R330" s="1182" t="s">
        <v>1573</v>
      </c>
      <c r="S330" s="1182" t="s">
        <v>1572</v>
      </c>
      <c r="T330" s="1182" t="s">
        <v>1814</v>
      </c>
      <c r="U330" s="1182" t="s">
        <v>1815</v>
      </c>
      <c r="V330" s="1182">
        <v>0</v>
      </c>
      <c r="W330" s="1182">
        <v>0</v>
      </c>
      <c r="X330" s="1182">
        <v>0</v>
      </c>
      <c r="Y330" s="1183">
        <v>4000</v>
      </c>
      <c r="Z330" s="1182" t="s">
        <v>1940</v>
      </c>
      <c r="AA330" s="1182" t="s">
        <v>1941</v>
      </c>
      <c r="AB330" s="1182">
        <v>4000</v>
      </c>
      <c r="AC330" s="1182" t="s">
        <v>2596</v>
      </c>
      <c r="AD330" s="1182" t="s">
        <v>1572</v>
      </c>
      <c r="AE330" s="1182">
        <v>4000</v>
      </c>
      <c r="AF330" s="1182" t="s">
        <v>1943</v>
      </c>
      <c r="AG330" s="1182" t="s">
        <v>1944</v>
      </c>
      <c r="AH330" s="1182">
        <v>0</v>
      </c>
      <c r="AI330" s="1182">
        <v>4000</v>
      </c>
      <c r="AJ330" s="1182" t="s">
        <v>2702</v>
      </c>
      <c r="AL330" s="1186" t="s">
        <v>2703</v>
      </c>
      <c r="AM330" s="1182">
        <v>1</v>
      </c>
      <c r="AN330" s="1182">
        <v>0</v>
      </c>
      <c r="AO330" s="1182">
        <v>0</v>
      </c>
      <c r="AP330" s="1182">
        <v>0</v>
      </c>
      <c r="AQ330" s="1182" t="s">
        <v>1639</v>
      </c>
      <c r="AS330" s="1186" t="s">
        <v>1943</v>
      </c>
      <c r="AT330" s="1186" t="s">
        <v>1944</v>
      </c>
      <c r="AV330" s="1183">
        <v>0</v>
      </c>
      <c r="AW330" s="1183">
        <v>0</v>
      </c>
      <c r="AX330" s="1183">
        <v>0</v>
      </c>
      <c r="AY330" s="1538">
        <v>0</v>
      </c>
      <c r="AZ330" s="1183">
        <v>2000</v>
      </c>
      <c r="BA330" s="1183">
        <v>2000</v>
      </c>
      <c r="BB330" s="1540">
        <v>4000</v>
      </c>
      <c r="BC330" s="1540">
        <v>4000</v>
      </c>
      <c r="BD330" s="1540">
        <v>0</v>
      </c>
      <c r="BF330" s="1539">
        <f t="shared" si="82"/>
        <v>0</v>
      </c>
      <c r="BG330" s="1539">
        <f t="shared" si="83"/>
        <v>0</v>
      </c>
      <c r="BH330" s="1539">
        <f t="shared" si="84"/>
        <v>0</v>
      </c>
      <c r="BI330" s="1539">
        <f t="shared" si="85"/>
        <v>0</v>
      </c>
      <c r="BJ330" s="1539">
        <f t="shared" si="86"/>
        <v>2000</v>
      </c>
      <c r="BK330" s="1539">
        <f t="shared" si="87"/>
        <v>2000</v>
      </c>
      <c r="BL330" s="1539">
        <f t="shared" si="88"/>
        <v>4000</v>
      </c>
      <c r="BM330" s="1539">
        <f t="shared" si="89"/>
        <v>4000</v>
      </c>
      <c r="BO330" s="1183"/>
      <c r="BQ330" s="1182">
        <f t="shared" si="90"/>
        <v>0</v>
      </c>
      <c r="BR330" s="1182">
        <f t="shared" si="91"/>
        <v>0</v>
      </c>
    </row>
    <row r="331" spans="1:72" ht="13.5" customHeight="1">
      <c r="A331" s="1182" t="s">
        <v>1803</v>
      </c>
      <c r="B331" s="1182" t="s">
        <v>1804</v>
      </c>
      <c r="C331" s="1182" t="s">
        <v>1639</v>
      </c>
      <c r="D331" s="1182" t="s">
        <v>2590</v>
      </c>
      <c r="E331" s="1182" t="s">
        <v>2591</v>
      </c>
      <c r="F331" s="1182" t="s">
        <v>2018</v>
      </c>
      <c r="G331" s="1182" t="s">
        <v>2018</v>
      </c>
      <c r="H331" s="1182" t="s">
        <v>2593</v>
      </c>
      <c r="I331" s="1182" t="s">
        <v>1937</v>
      </c>
      <c r="J331" s="1182" t="s">
        <v>2711</v>
      </c>
      <c r="K331" s="1182" t="s">
        <v>1811</v>
      </c>
      <c r="L331" s="1182" t="s">
        <v>1812</v>
      </c>
      <c r="M331" s="1182" t="s">
        <v>1803</v>
      </c>
      <c r="N331" s="1182" t="s">
        <v>2595</v>
      </c>
      <c r="O331" s="1182" t="s">
        <v>1554</v>
      </c>
      <c r="P331" s="1182" t="s">
        <v>1575</v>
      </c>
      <c r="Q331" s="1182" t="s">
        <v>1574</v>
      </c>
      <c r="R331" s="1182" t="s">
        <v>1573</v>
      </c>
      <c r="S331" s="1182" t="s">
        <v>1572</v>
      </c>
      <c r="T331" s="1182" t="s">
        <v>1814</v>
      </c>
      <c r="U331" s="1182" t="s">
        <v>1815</v>
      </c>
      <c r="V331" s="1182">
        <v>0</v>
      </c>
      <c r="W331" s="1182">
        <v>0</v>
      </c>
      <c r="X331" s="1182">
        <v>0</v>
      </c>
      <c r="Y331" s="1183">
        <v>8000</v>
      </c>
      <c r="Z331" s="1182" t="s">
        <v>1940</v>
      </c>
      <c r="AA331" s="1182" t="s">
        <v>1941</v>
      </c>
      <c r="AB331" s="1182">
        <v>8000</v>
      </c>
      <c r="AC331" s="1182" t="s">
        <v>2596</v>
      </c>
      <c r="AD331" s="1182" t="s">
        <v>1572</v>
      </c>
      <c r="AE331" s="1182">
        <v>8000</v>
      </c>
      <c r="AF331" s="1182" t="s">
        <v>1943</v>
      </c>
      <c r="AG331" s="1182" t="s">
        <v>1944</v>
      </c>
      <c r="AH331" s="1182">
        <v>0</v>
      </c>
      <c r="AI331" s="1182">
        <v>8000</v>
      </c>
      <c r="AJ331" s="1182" t="s">
        <v>2712</v>
      </c>
      <c r="AL331" s="1186" t="s">
        <v>2713</v>
      </c>
      <c r="AM331" s="1182">
        <v>1</v>
      </c>
      <c r="AN331" s="1182">
        <v>0</v>
      </c>
      <c r="AO331" s="1182">
        <v>0</v>
      </c>
      <c r="AP331" s="1182">
        <v>0</v>
      </c>
      <c r="AQ331" s="1182" t="s">
        <v>1639</v>
      </c>
      <c r="AS331" s="1186" t="s">
        <v>1943</v>
      </c>
      <c r="AT331" s="1186" t="s">
        <v>1944</v>
      </c>
      <c r="AV331" s="1183">
        <v>0</v>
      </c>
      <c r="AW331" s="1183">
        <v>0</v>
      </c>
      <c r="AX331" s="1183">
        <v>0</v>
      </c>
      <c r="AY331" s="1538">
        <v>0</v>
      </c>
      <c r="AZ331" s="1183">
        <v>4000</v>
      </c>
      <c r="BA331" s="1183">
        <v>4000</v>
      </c>
      <c r="BB331" s="1540">
        <v>8000</v>
      </c>
      <c r="BC331" s="1540">
        <v>8000</v>
      </c>
      <c r="BD331" s="1540">
        <v>0</v>
      </c>
      <c r="BF331" s="1539">
        <f t="shared" si="82"/>
        <v>0</v>
      </c>
      <c r="BG331" s="1539">
        <f t="shared" si="83"/>
        <v>0</v>
      </c>
      <c r="BH331" s="1539">
        <f t="shared" si="84"/>
        <v>0</v>
      </c>
      <c r="BI331" s="1539">
        <f t="shared" si="85"/>
        <v>0</v>
      </c>
      <c r="BJ331" s="1539">
        <f t="shared" si="86"/>
        <v>4000</v>
      </c>
      <c r="BK331" s="1539">
        <f t="shared" si="87"/>
        <v>4000</v>
      </c>
      <c r="BL331" s="1539">
        <f t="shared" si="88"/>
        <v>8000</v>
      </c>
      <c r="BM331" s="1539">
        <f t="shared" si="89"/>
        <v>8000</v>
      </c>
      <c r="BO331" s="1183"/>
      <c r="BQ331" s="1182">
        <f t="shared" si="90"/>
        <v>0</v>
      </c>
      <c r="BR331" s="1182">
        <f t="shared" si="91"/>
        <v>0</v>
      </c>
    </row>
    <row r="332" spans="1:72" ht="13.5" customHeight="1">
      <c r="A332" s="1182" t="s">
        <v>1803</v>
      </c>
      <c r="B332" s="1182" t="s">
        <v>1804</v>
      </c>
      <c r="C332" s="1182" t="s">
        <v>1639</v>
      </c>
      <c r="D332" s="1182" t="s">
        <v>2590</v>
      </c>
      <c r="E332" s="1182" t="s">
        <v>2591</v>
      </c>
      <c r="F332" s="1182" t="s">
        <v>2022</v>
      </c>
      <c r="G332" s="1182" t="s">
        <v>2022</v>
      </c>
      <c r="H332" s="1182" t="s">
        <v>2593</v>
      </c>
      <c r="I332" s="1182" t="s">
        <v>1937</v>
      </c>
      <c r="J332" s="1182" t="s">
        <v>2714</v>
      </c>
      <c r="K332" s="1182" t="s">
        <v>1811</v>
      </c>
      <c r="L332" s="1182" t="s">
        <v>1812</v>
      </c>
      <c r="M332" s="1182" t="s">
        <v>1803</v>
      </c>
      <c r="N332" s="1182" t="s">
        <v>2595</v>
      </c>
      <c r="O332" s="1182" t="s">
        <v>1554</v>
      </c>
      <c r="P332" s="1182" t="s">
        <v>1575</v>
      </c>
      <c r="Q332" s="1182" t="s">
        <v>1574</v>
      </c>
      <c r="R332" s="1182" t="s">
        <v>1573</v>
      </c>
      <c r="S332" s="1182" t="s">
        <v>1572</v>
      </c>
      <c r="T332" s="1182" t="s">
        <v>1814</v>
      </c>
      <c r="U332" s="1182" t="s">
        <v>1815</v>
      </c>
      <c r="V332" s="1182">
        <v>0</v>
      </c>
      <c r="W332" s="1182">
        <v>0</v>
      </c>
      <c r="X332" s="1182">
        <v>0</v>
      </c>
      <c r="Y332" s="1183">
        <v>4000</v>
      </c>
      <c r="Z332" s="1182" t="s">
        <v>1940</v>
      </c>
      <c r="AA332" s="1182" t="s">
        <v>1941</v>
      </c>
      <c r="AB332" s="1182">
        <v>4000</v>
      </c>
      <c r="AC332" s="1182" t="s">
        <v>2596</v>
      </c>
      <c r="AD332" s="1182" t="s">
        <v>1572</v>
      </c>
      <c r="AE332" s="1182">
        <v>4000</v>
      </c>
      <c r="AF332" s="1182" t="s">
        <v>1943</v>
      </c>
      <c r="AG332" s="1182" t="s">
        <v>1944</v>
      </c>
      <c r="AH332" s="1182">
        <v>0</v>
      </c>
      <c r="AI332" s="1182">
        <v>4000</v>
      </c>
      <c r="AJ332" s="1182" t="s">
        <v>2715</v>
      </c>
      <c r="AL332" s="1186" t="s">
        <v>2716</v>
      </c>
      <c r="AM332" s="1182">
        <v>1</v>
      </c>
      <c r="AN332" s="1182">
        <v>0</v>
      </c>
      <c r="AO332" s="1182">
        <v>0</v>
      </c>
      <c r="AP332" s="1182">
        <v>0</v>
      </c>
      <c r="AQ332" s="1182" t="s">
        <v>1639</v>
      </c>
      <c r="AS332" s="1186" t="s">
        <v>1943</v>
      </c>
      <c r="AT332" s="1186" t="s">
        <v>1944</v>
      </c>
      <c r="AV332" s="1183">
        <v>0</v>
      </c>
      <c r="AW332" s="1183">
        <v>0</v>
      </c>
      <c r="AX332" s="1183">
        <v>0</v>
      </c>
      <c r="AY332" s="1538">
        <v>0</v>
      </c>
      <c r="AZ332" s="1183">
        <v>2000</v>
      </c>
      <c r="BA332" s="1183">
        <v>2000</v>
      </c>
      <c r="BB332" s="1540">
        <v>4000</v>
      </c>
      <c r="BC332" s="1540">
        <v>4000</v>
      </c>
      <c r="BD332" s="1540">
        <v>0</v>
      </c>
      <c r="BF332" s="1539">
        <f t="shared" si="82"/>
        <v>0</v>
      </c>
      <c r="BG332" s="1539">
        <f t="shared" si="83"/>
        <v>0</v>
      </c>
      <c r="BH332" s="1539">
        <f t="shared" si="84"/>
        <v>0</v>
      </c>
      <c r="BI332" s="1539">
        <f t="shared" si="85"/>
        <v>0</v>
      </c>
      <c r="BJ332" s="1539">
        <f t="shared" si="86"/>
        <v>2000</v>
      </c>
      <c r="BK332" s="1539">
        <f t="shared" si="87"/>
        <v>2000</v>
      </c>
      <c r="BL332" s="1539">
        <f t="shared" si="88"/>
        <v>4000</v>
      </c>
      <c r="BM332" s="1539">
        <f t="shared" si="89"/>
        <v>4000</v>
      </c>
      <c r="BO332" s="1183"/>
      <c r="BQ332" s="1182">
        <f t="shared" si="90"/>
        <v>0</v>
      </c>
      <c r="BR332" s="1182">
        <f t="shared" si="91"/>
        <v>0</v>
      </c>
    </row>
    <row r="333" spans="1:72" ht="13.5" customHeight="1">
      <c r="A333" s="1182" t="s">
        <v>1803</v>
      </c>
      <c r="B333" s="1182" t="s">
        <v>1804</v>
      </c>
      <c r="C333" s="1182" t="s">
        <v>1639</v>
      </c>
      <c r="D333" s="1182" t="s">
        <v>2590</v>
      </c>
      <c r="E333" s="1182" t="s">
        <v>2591</v>
      </c>
      <c r="F333" s="1182" t="s">
        <v>2691</v>
      </c>
      <c r="G333" s="1182" t="s">
        <v>2691</v>
      </c>
      <c r="H333" s="1182" t="s">
        <v>2593</v>
      </c>
      <c r="I333" s="1182" t="s">
        <v>1937</v>
      </c>
      <c r="J333" s="1182" t="s">
        <v>2692</v>
      </c>
      <c r="K333" s="1182" t="s">
        <v>1811</v>
      </c>
      <c r="L333" s="1182" t="s">
        <v>1812</v>
      </c>
      <c r="M333" s="1182" t="s">
        <v>1803</v>
      </c>
      <c r="N333" s="1182" t="s">
        <v>2595</v>
      </c>
      <c r="O333" s="1182" t="s">
        <v>1554</v>
      </c>
      <c r="P333" s="1182" t="s">
        <v>1575</v>
      </c>
      <c r="Q333" s="1182" t="s">
        <v>1574</v>
      </c>
      <c r="R333" s="1182" t="s">
        <v>1573</v>
      </c>
      <c r="S333" s="1182" t="s">
        <v>1572</v>
      </c>
      <c r="T333" s="1182" t="s">
        <v>1814</v>
      </c>
      <c r="U333" s="1182" t="s">
        <v>1815</v>
      </c>
      <c r="V333" s="1182">
        <v>0</v>
      </c>
      <c r="W333" s="1182">
        <v>0</v>
      </c>
      <c r="X333" s="1182">
        <v>0</v>
      </c>
      <c r="Y333" s="1183">
        <v>4000</v>
      </c>
      <c r="Z333" s="1182" t="s">
        <v>1940</v>
      </c>
      <c r="AA333" s="1182" t="s">
        <v>1941</v>
      </c>
      <c r="AB333" s="1182">
        <v>4000</v>
      </c>
      <c r="AC333" s="1182" t="s">
        <v>2596</v>
      </c>
      <c r="AD333" s="1182" t="s">
        <v>1572</v>
      </c>
      <c r="AE333" s="1182">
        <v>4000</v>
      </c>
      <c r="AF333" s="1182" t="s">
        <v>1943</v>
      </c>
      <c r="AG333" s="1182" t="s">
        <v>1944</v>
      </c>
      <c r="AH333" s="1182">
        <v>0</v>
      </c>
      <c r="AI333" s="1182">
        <v>4000</v>
      </c>
      <c r="AJ333" s="1182" t="s">
        <v>2693</v>
      </c>
      <c r="AL333" s="1186" t="s">
        <v>2694</v>
      </c>
      <c r="AM333" s="1182">
        <v>1</v>
      </c>
      <c r="AN333" s="1182">
        <v>0</v>
      </c>
      <c r="AO333" s="1182">
        <v>0</v>
      </c>
      <c r="AP333" s="1182">
        <v>0</v>
      </c>
      <c r="AQ333" s="1182" t="s">
        <v>1639</v>
      </c>
      <c r="AS333" s="1186" t="s">
        <v>1943</v>
      </c>
      <c r="AT333" s="1186" t="s">
        <v>1944</v>
      </c>
      <c r="AV333" s="1183">
        <v>0</v>
      </c>
      <c r="AW333" s="1183">
        <v>0</v>
      </c>
      <c r="AX333" s="1183">
        <v>0</v>
      </c>
      <c r="AY333" s="1538">
        <v>0</v>
      </c>
      <c r="AZ333" s="1183">
        <v>2000</v>
      </c>
      <c r="BA333" s="1183">
        <v>2000</v>
      </c>
      <c r="BB333" s="1540">
        <v>4000</v>
      </c>
      <c r="BC333" s="1540">
        <v>4000</v>
      </c>
      <c r="BD333" s="1540">
        <v>0</v>
      </c>
      <c r="BF333" s="1539">
        <f t="shared" si="82"/>
        <v>0</v>
      </c>
      <c r="BG333" s="1539">
        <f t="shared" si="83"/>
        <v>0</v>
      </c>
      <c r="BH333" s="1539">
        <f t="shared" si="84"/>
        <v>0</v>
      </c>
      <c r="BI333" s="1539">
        <f t="shared" si="85"/>
        <v>0</v>
      </c>
      <c r="BJ333" s="1539">
        <f t="shared" si="86"/>
        <v>2000</v>
      </c>
      <c r="BK333" s="1539">
        <f t="shared" si="87"/>
        <v>2000</v>
      </c>
      <c r="BL333" s="1539">
        <f t="shared" si="88"/>
        <v>4000</v>
      </c>
      <c r="BM333" s="1539">
        <f t="shared" si="89"/>
        <v>4000</v>
      </c>
      <c r="BO333" s="1183"/>
      <c r="BQ333" s="1182">
        <f t="shared" si="90"/>
        <v>0</v>
      </c>
      <c r="BR333" s="1182">
        <f t="shared" si="91"/>
        <v>0</v>
      </c>
    </row>
    <row r="334" spans="1:72" ht="13.5" customHeight="1">
      <c r="A334" s="1182" t="s">
        <v>1803</v>
      </c>
      <c r="B334" s="1182" t="s">
        <v>1804</v>
      </c>
      <c r="C334" s="1182" t="s">
        <v>1639</v>
      </c>
      <c r="D334" s="1182" t="s">
        <v>2590</v>
      </c>
      <c r="E334" s="1182" t="s">
        <v>2591</v>
      </c>
      <c r="F334" s="1182" t="s">
        <v>2290</v>
      </c>
      <c r="G334" s="1182" t="s">
        <v>2290</v>
      </c>
      <c r="H334" s="1182" t="s">
        <v>2593</v>
      </c>
      <c r="I334" s="1182" t="s">
        <v>1937</v>
      </c>
      <c r="J334" s="1182" t="s">
        <v>2704</v>
      </c>
      <c r="K334" s="1182" t="s">
        <v>1811</v>
      </c>
      <c r="L334" s="1182" t="s">
        <v>1812</v>
      </c>
      <c r="M334" s="1182" t="s">
        <v>1803</v>
      </c>
      <c r="N334" s="1182" t="s">
        <v>2595</v>
      </c>
      <c r="O334" s="1182" t="s">
        <v>1554</v>
      </c>
      <c r="P334" s="1182" t="s">
        <v>1575</v>
      </c>
      <c r="Q334" s="1182" t="s">
        <v>1574</v>
      </c>
      <c r="R334" s="1182" t="s">
        <v>1573</v>
      </c>
      <c r="S334" s="1182" t="s">
        <v>1572</v>
      </c>
      <c r="T334" s="1182" t="s">
        <v>1814</v>
      </c>
      <c r="U334" s="1182" t="s">
        <v>1815</v>
      </c>
      <c r="V334" s="1182">
        <v>0</v>
      </c>
      <c r="W334" s="1182">
        <v>0</v>
      </c>
      <c r="X334" s="1182">
        <v>0</v>
      </c>
      <c r="Y334" s="1183">
        <v>8000</v>
      </c>
      <c r="Z334" s="1182" t="s">
        <v>1940</v>
      </c>
      <c r="AA334" s="1182" t="s">
        <v>1941</v>
      </c>
      <c r="AB334" s="1182">
        <v>8000</v>
      </c>
      <c r="AC334" s="1182" t="s">
        <v>2596</v>
      </c>
      <c r="AD334" s="1182" t="s">
        <v>1572</v>
      </c>
      <c r="AE334" s="1182">
        <v>8000</v>
      </c>
      <c r="AF334" s="1182" t="s">
        <v>1943</v>
      </c>
      <c r="AG334" s="1182" t="s">
        <v>1944</v>
      </c>
      <c r="AH334" s="1182">
        <v>0</v>
      </c>
      <c r="AI334" s="1182">
        <v>8000</v>
      </c>
      <c r="AJ334" s="1182" t="s">
        <v>2705</v>
      </c>
      <c r="AL334" s="1186" t="s">
        <v>2706</v>
      </c>
      <c r="AM334" s="1182">
        <v>1</v>
      </c>
      <c r="AN334" s="1182">
        <v>0</v>
      </c>
      <c r="AO334" s="1182">
        <v>0</v>
      </c>
      <c r="AP334" s="1182">
        <v>0</v>
      </c>
      <c r="AQ334" s="1182" t="s">
        <v>1639</v>
      </c>
      <c r="AS334" s="1186" t="s">
        <v>1943</v>
      </c>
      <c r="AT334" s="1186" t="s">
        <v>1944</v>
      </c>
      <c r="AV334" s="1183">
        <v>0</v>
      </c>
      <c r="AW334" s="1183">
        <v>0</v>
      </c>
      <c r="AX334" s="1183">
        <v>0</v>
      </c>
      <c r="AY334" s="1538">
        <v>0</v>
      </c>
      <c r="AZ334" s="1183">
        <v>4000</v>
      </c>
      <c r="BA334" s="1183">
        <v>4000</v>
      </c>
      <c r="BB334" s="1540">
        <v>8000</v>
      </c>
      <c r="BC334" s="1540">
        <v>8000</v>
      </c>
      <c r="BD334" s="1540">
        <v>0</v>
      </c>
      <c r="BF334" s="1539">
        <f t="shared" si="82"/>
        <v>0</v>
      </c>
      <c r="BG334" s="1539">
        <f t="shared" si="83"/>
        <v>0</v>
      </c>
      <c r="BH334" s="1539">
        <f t="shared" si="84"/>
        <v>0</v>
      </c>
      <c r="BI334" s="1539">
        <f t="shared" si="85"/>
        <v>0</v>
      </c>
      <c r="BJ334" s="1539">
        <f t="shared" si="86"/>
        <v>4000</v>
      </c>
      <c r="BK334" s="1539">
        <f t="shared" si="87"/>
        <v>4000</v>
      </c>
      <c r="BL334" s="1539">
        <f t="shared" si="88"/>
        <v>8000</v>
      </c>
      <c r="BM334" s="1539">
        <f t="shared" si="89"/>
        <v>8000</v>
      </c>
      <c r="BO334" s="1183"/>
      <c r="BQ334" s="1182">
        <f t="shared" si="90"/>
        <v>0</v>
      </c>
      <c r="BR334" s="1182">
        <f t="shared" si="91"/>
        <v>0</v>
      </c>
    </row>
    <row r="335" spans="1:72" ht="13.5" customHeight="1">
      <c r="A335" s="1182" t="s">
        <v>1803</v>
      </c>
      <c r="B335" s="1182" t="s">
        <v>1804</v>
      </c>
      <c r="C335" s="1182" t="s">
        <v>1639</v>
      </c>
      <c r="D335" s="1182" t="s">
        <v>2590</v>
      </c>
      <c r="E335" s="1182" t="s">
        <v>2591</v>
      </c>
      <c r="F335" s="1182" t="s">
        <v>2270</v>
      </c>
      <c r="G335" s="1182" t="s">
        <v>2270</v>
      </c>
      <c r="H335" s="1182" t="s">
        <v>2593</v>
      </c>
      <c r="I335" s="1182" t="s">
        <v>1937</v>
      </c>
      <c r="J335" s="1182" t="s">
        <v>2695</v>
      </c>
      <c r="K335" s="1182" t="s">
        <v>1811</v>
      </c>
      <c r="L335" s="1182" t="s">
        <v>1812</v>
      </c>
      <c r="M335" s="1182" t="s">
        <v>1803</v>
      </c>
      <c r="N335" s="1182" t="s">
        <v>2595</v>
      </c>
      <c r="O335" s="1182" t="s">
        <v>1554</v>
      </c>
      <c r="P335" s="1182" t="s">
        <v>1575</v>
      </c>
      <c r="Q335" s="1182" t="s">
        <v>1574</v>
      </c>
      <c r="R335" s="1182" t="s">
        <v>1573</v>
      </c>
      <c r="S335" s="1182" t="s">
        <v>1572</v>
      </c>
      <c r="T335" s="1182" t="s">
        <v>1814</v>
      </c>
      <c r="U335" s="1182" t="s">
        <v>1815</v>
      </c>
      <c r="V335" s="1182">
        <v>0</v>
      </c>
      <c r="W335" s="1182">
        <v>0</v>
      </c>
      <c r="X335" s="1182">
        <v>0</v>
      </c>
      <c r="Y335" s="1183">
        <v>4000</v>
      </c>
      <c r="Z335" s="1182" t="s">
        <v>1940</v>
      </c>
      <c r="AA335" s="1182" t="s">
        <v>1941</v>
      </c>
      <c r="AB335" s="1182">
        <v>4000</v>
      </c>
      <c r="AC335" s="1182" t="s">
        <v>2596</v>
      </c>
      <c r="AD335" s="1182" t="s">
        <v>1572</v>
      </c>
      <c r="AE335" s="1182">
        <v>4000</v>
      </c>
      <c r="AF335" s="1182" t="s">
        <v>1943</v>
      </c>
      <c r="AG335" s="1182" t="s">
        <v>1944</v>
      </c>
      <c r="AH335" s="1182">
        <v>0</v>
      </c>
      <c r="AI335" s="1182">
        <v>4000</v>
      </c>
      <c r="AJ335" s="1182" t="s">
        <v>2696</v>
      </c>
      <c r="AL335" s="1186" t="s">
        <v>2697</v>
      </c>
      <c r="AM335" s="1182">
        <v>1</v>
      </c>
      <c r="AN335" s="1182">
        <v>0</v>
      </c>
      <c r="AO335" s="1182">
        <v>0</v>
      </c>
      <c r="AP335" s="1182">
        <v>0</v>
      </c>
      <c r="AQ335" s="1182" t="s">
        <v>1639</v>
      </c>
      <c r="AS335" s="1186" t="s">
        <v>1943</v>
      </c>
      <c r="AT335" s="1186" t="s">
        <v>1944</v>
      </c>
      <c r="AV335" s="1183">
        <v>0</v>
      </c>
      <c r="AW335" s="1183">
        <v>0</v>
      </c>
      <c r="AX335" s="1183">
        <v>0</v>
      </c>
      <c r="AY335" s="1538">
        <v>0</v>
      </c>
      <c r="AZ335" s="1183">
        <v>2000</v>
      </c>
      <c r="BA335" s="1183">
        <v>2000</v>
      </c>
      <c r="BB335" s="1540">
        <v>4000</v>
      </c>
      <c r="BC335" s="1540">
        <v>4000</v>
      </c>
      <c r="BD335" s="1540">
        <v>0</v>
      </c>
      <c r="BF335" s="1539">
        <f t="shared" si="82"/>
        <v>0</v>
      </c>
      <c r="BG335" s="1539">
        <f t="shared" si="83"/>
        <v>0</v>
      </c>
      <c r="BH335" s="1539">
        <f t="shared" si="84"/>
        <v>0</v>
      </c>
      <c r="BI335" s="1539">
        <f t="shared" si="85"/>
        <v>0</v>
      </c>
      <c r="BJ335" s="1539">
        <f t="shared" si="86"/>
        <v>2000</v>
      </c>
      <c r="BK335" s="1539">
        <f t="shared" si="87"/>
        <v>2000</v>
      </c>
      <c r="BL335" s="1539">
        <f t="shared" si="88"/>
        <v>4000</v>
      </c>
      <c r="BM335" s="1539">
        <f t="shared" si="89"/>
        <v>4000</v>
      </c>
      <c r="BO335" s="1183"/>
      <c r="BQ335" s="1182">
        <f t="shared" si="90"/>
        <v>0</v>
      </c>
      <c r="BR335" s="1182">
        <f t="shared" si="91"/>
        <v>0</v>
      </c>
    </row>
    <row r="336" spans="1:72" ht="13.5" customHeight="1">
      <c r="A336" s="1182" t="s">
        <v>1803</v>
      </c>
      <c r="B336" s="1182" t="s">
        <v>1804</v>
      </c>
      <c r="C336" s="1182" t="s">
        <v>1639</v>
      </c>
      <c r="D336" s="1182" t="s">
        <v>2590</v>
      </c>
      <c r="E336" s="1182" t="s">
        <v>2591</v>
      </c>
      <c r="F336" s="1182" t="s">
        <v>2731</v>
      </c>
      <c r="G336" s="1182" t="s">
        <v>2731</v>
      </c>
      <c r="H336" s="1182" t="s">
        <v>2593</v>
      </c>
      <c r="I336" s="1182" t="s">
        <v>1937</v>
      </c>
      <c r="J336" s="1182" t="s">
        <v>2732</v>
      </c>
      <c r="K336" s="1182" t="s">
        <v>1811</v>
      </c>
      <c r="L336" s="1182" t="s">
        <v>1812</v>
      </c>
      <c r="M336" s="1182" t="s">
        <v>1803</v>
      </c>
      <c r="N336" s="1182" t="s">
        <v>2595</v>
      </c>
      <c r="O336" s="1182" t="s">
        <v>1554</v>
      </c>
      <c r="P336" s="1182" t="s">
        <v>1575</v>
      </c>
      <c r="Q336" s="1182" t="s">
        <v>1574</v>
      </c>
      <c r="R336" s="1182" t="s">
        <v>1573</v>
      </c>
      <c r="S336" s="1182" t="s">
        <v>1572</v>
      </c>
      <c r="T336" s="1182" t="s">
        <v>1814</v>
      </c>
      <c r="U336" s="1182" t="s">
        <v>1815</v>
      </c>
      <c r="V336" s="1182">
        <v>0</v>
      </c>
      <c r="W336" s="1182">
        <v>0</v>
      </c>
      <c r="X336" s="1182">
        <v>0</v>
      </c>
      <c r="Y336" s="1183">
        <v>4000</v>
      </c>
      <c r="Z336" s="1182" t="s">
        <v>1940</v>
      </c>
      <c r="AA336" s="1182" t="s">
        <v>1941</v>
      </c>
      <c r="AB336" s="1182">
        <v>4000</v>
      </c>
      <c r="AC336" s="1182" t="s">
        <v>2596</v>
      </c>
      <c r="AD336" s="1182" t="s">
        <v>1572</v>
      </c>
      <c r="AE336" s="1182">
        <v>4000</v>
      </c>
      <c r="AF336" s="1182" t="s">
        <v>1943</v>
      </c>
      <c r="AG336" s="1182" t="s">
        <v>1944</v>
      </c>
      <c r="AH336" s="1182">
        <v>0</v>
      </c>
      <c r="AI336" s="1182">
        <v>4000</v>
      </c>
      <c r="AJ336" s="1182" t="s">
        <v>2733</v>
      </c>
      <c r="AL336" s="1186" t="s">
        <v>2734</v>
      </c>
      <c r="AM336" s="1182">
        <v>1</v>
      </c>
      <c r="AN336" s="1182">
        <v>0</v>
      </c>
      <c r="AO336" s="1182">
        <v>0</v>
      </c>
      <c r="AP336" s="1182">
        <v>0</v>
      </c>
      <c r="AQ336" s="1182" t="s">
        <v>1639</v>
      </c>
      <c r="AS336" s="1186" t="s">
        <v>1943</v>
      </c>
      <c r="AT336" s="1186" t="s">
        <v>1944</v>
      </c>
      <c r="AV336" s="1183">
        <v>0</v>
      </c>
      <c r="AW336" s="1183">
        <v>0</v>
      </c>
      <c r="AX336" s="1183">
        <v>0</v>
      </c>
      <c r="AY336" s="1538">
        <v>0</v>
      </c>
      <c r="AZ336" s="1183">
        <v>2000</v>
      </c>
      <c r="BA336" s="1183">
        <v>2000</v>
      </c>
      <c r="BB336" s="1540">
        <v>4000</v>
      </c>
      <c r="BC336" s="1540">
        <v>4000</v>
      </c>
      <c r="BD336" s="1540">
        <v>0</v>
      </c>
      <c r="BF336" s="1539">
        <f t="shared" si="82"/>
        <v>0</v>
      </c>
      <c r="BG336" s="1539">
        <f t="shared" si="83"/>
        <v>0</v>
      </c>
      <c r="BH336" s="1539">
        <f t="shared" si="84"/>
        <v>0</v>
      </c>
      <c r="BI336" s="1539">
        <f t="shared" si="85"/>
        <v>0</v>
      </c>
      <c r="BJ336" s="1539">
        <f t="shared" si="86"/>
        <v>2000</v>
      </c>
      <c r="BK336" s="1539">
        <f t="shared" si="87"/>
        <v>2000</v>
      </c>
      <c r="BL336" s="1539">
        <f t="shared" si="88"/>
        <v>4000</v>
      </c>
      <c r="BM336" s="1539">
        <f t="shared" si="89"/>
        <v>4000</v>
      </c>
      <c r="BO336" s="1183"/>
      <c r="BQ336" s="1182">
        <f t="shared" si="90"/>
        <v>0</v>
      </c>
      <c r="BR336" s="1182">
        <f t="shared" si="91"/>
        <v>0</v>
      </c>
    </row>
    <row r="337" spans="1:70" ht="13.5" customHeight="1">
      <c r="A337" s="1182" t="s">
        <v>1803</v>
      </c>
      <c r="B337" s="1182" t="s">
        <v>1804</v>
      </c>
      <c r="C337" s="1182" t="s">
        <v>1639</v>
      </c>
      <c r="D337" s="1182" t="s">
        <v>2590</v>
      </c>
      <c r="E337" s="1182" t="s">
        <v>2591</v>
      </c>
      <c r="F337" s="1182" t="s">
        <v>2456</v>
      </c>
      <c r="G337" s="1182" t="s">
        <v>2456</v>
      </c>
      <c r="H337" s="1182" t="s">
        <v>2593</v>
      </c>
      <c r="I337" s="1182" t="s">
        <v>1937</v>
      </c>
      <c r="J337" s="1182" t="s">
        <v>2735</v>
      </c>
      <c r="K337" s="1182" t="s">
        <v>1811</v>
      </c>
      <c r="L337" s="1182" t="s">
        <v>1812</v>
      </c>
      <c r="M337" s="1182" t="s">
        <v>1803</v>
      </c>
      <c r="N337" s="1182" t="s">
        <v>2595</v>
      </c>
      <c r="O337" s="1182" t="s">
        <v>1554</v>
      </c>
      <c r="P337" s="1182" t="s">
        <v>1575</v>
      </c>
      <c r="Q337" s="1182" t="s">
        <v>1574</v>
      </c>
      <c r="R337" s="1182" t="s">
        <v>1573</v>
      </c>
      <c r="S337" s="1182" t="s">
        <v>1572</v>
      </c>
      <c r="T337" s="1182" t="s">
        <v>1814</v>
      </c>
      <c r="U337" s="1182" t="s">
        <v>1815</v>
      </c>
      <c r="V337" s="1182">
        <v>0</v>
      </c>
      <c r="W337" s="1182">
        <v>0</v>
      </c>
      <c r="X337" s="1182">
        <v>0</v>
      </c>
      <c r="Y337" s="1183">
        <v>4000</v>
      </c>
      <c r="Z337" s="1182" t="s">
        <v>1940</v>
      </c>
      <c r="AA337" s="1182" t="s">
        <v>1941</v>
      </c>
      <c r="AB337" s="1182">
        <v>4000</v>
      </c>
      <c r="AC337" s="1182" t="s">
        <v>2596</v>
      </c>
      <c r="AD337" s="1182" t="s">
        <v>1572</v>
      </c>
      <c r="AE337" s="1182">
        <v>4000</v>
      </c>
      <c r="AF337" s="1182" t="s">
        <v>1943</v>
      </c>
      <c r="AG337" s="1182" t="s">
        <v>1944</v>
      </c>
      <c r="AH337" s="1182">
        <v>0</v>
      </c>
      <c r="AI337" s="1182">
        <v>4000</v>
      </c>
      <c r="AJ337" s="1182" t="s">
        <v>2736</v>
      </c>
      <c r="AL337" s="1186" t="s">
        <v>2737</v>
      </c>
      <c r="AM337" s="1182">
        <v>1</v>
      </c>
      <c r="AN337" s="1182">
        <v>0</v>
      </c>
      <c r="AO337" s="1182">
        <v>0</v>
      </c>
      <c r="AP337" s="1182">
        <v>0</v>
      </c>
      <c r="AQ337" s="1182" t="s">
        <v>1639</v>
      </c>
      <c r="AS337" s="1186" t="s">
        <v>1943</v>
      </c>
      <c r="AT337" s="1186" t="s">
        <v>1944</v>
      </c>
      <c r="AV337" s="1183">
        <v>0</v>
      </c>
      <c r="AW337" s="1183">
        <v>0</v>
      </c>
      <c r="AX337" s="1183">
        <v>0</v>
      </c>
      <c r="AY337" s="1538">
        <v>0</v>
      </c>
      <c r="AZ337" s="1183">
        <v>2000</v>
      </c>
      <c r="BA337" s="1183">
        <v>2000</v>
      </c>
      <c r="BB337" s="1540">
        <v>4000</v>
      </c>
      <c r="BC337" s="1540">
        <v>4000</v>
      </c>
      <c r="BD337" s="1540">
        <v>0</v>
      </c>
      <c r="BF337" s="1539">
        <f t="shared" si="82"/>
        <v>0</v>
      </c>
      <c r="BG337" s="1539">
        <f t="shared" si="83"/>
        <v>0</v>
      </c>
      <c r="BH337" s="1539">
        <f t="shared" si="84"/>
        <v>0</v>
      </c>
      <c r="BI337" s="1539">
        <f t="shared" si="85"/>
        <v>0</v>
      </c>
      <c r="BJ337" s="1539">
        <f t="shared" si="86"/>
        <v>2000</v>
      </c>
      <c r="BK337" s="1539">
        <f t="shared" si="87"/>
        <v>2000</v>
      </c>
      <c r="BL337" s="1539">
        <f t="shared" si="88"/>
        <v>4000</v>
      </c>
      <c r="BM337" s="1539">
        <f t="shared" si="89"/>
        <v>4000</v>
      </c>
      <c r="BO337" s="1183"/>
      <c r="BQ337" s="1182">
        <f t="shared" si="90"/>
        <v>0</v>
      </c>
      <c r="BR337" s="1182">
        <f t="shared" si="91"/>
        <v>0</v>
      </c>
    </row>
    <row r="338" spans="1:70" ht="13.5" customHeight="1">
      <c r="A338" s="1182" t="s">
        <v>1803</v>
      </c>
      <c r="B338" s="1182" t="s">
        <v>1804</v>
      </c>
      <c r="C338" s="1182" t="s">
        <v>1639</v>
      </c>
      <c r="D338" s="1182" t="s">
        <v>2590</v>
      </c>
      <c r="E338" s="1182" t="s">
        <v>2591</v>
      </c>
      <c r="F338" s="1182" t="s">
        <v>2738</v>
      </c>
      <c r="G338" s="1182" t="s">
        <v>2738</v>
      </c>
      <c r="H338" s="1182" t="s">
        <v>2593</v>
      </c>
      <c r="I338" s="1182" t="s">
        <v>1937</v>
      </c>
      <c r="J338" s="1182" t="s">
        <v>2739</v>
      </c>
      <c r="K338" s="1182" t="s">
        <v>1811</v>
      </c>
      <c r="L338" s="1182" t="s">
        <v>1812</v>
      </c>
      <c r="M338" s="1182" t="s">
        <v>1803</v>
      </c>
      <c r="N338" s="1182" t="s">
        <v>2595</v>
      </c>
      <c r="O338" s="1182" t="s">
        <v>1554</v>
      </c>
      <c r="P338" s="1182" t="s">
        <v>1575</v>
      </c>
      <c r="Q338" s="1182" t="s">
        <v>1574</v>
      </c>
      <c r="R338" s="1182" t="s">
        <v>1573</v>
      </c>
      <c r="S338" s="1182" t="s">
        <v>1572</v>
      </c>
      <c r="T338" s="1182" t="s">
        <v>1814</v>
      </c>
      <c r="U338" s="1182" t="s">
        <v>1815</v>
      </c>
      <c r="V338" s="1182">
        <v>0</v>
      </c>
      <c r="W338" s="1182">
        <v>0</v>
      </c>
      <c r="X338" s="1182">
        <v>0</v>
      </c>
      <c r="Y338" s="1183">
        <v>19000</v>
      </c>
      <c r="Z338" s="1182" t="s">
        <v>1940</v>
      </c>
      <c r="AA338" s="1182" t="s">
        <v>1941</v>
      </c>
      <c r="AB338" s="1182">
        <v>19000</v>
      </c>
      <c r="AC338" s="1182" t="s">
        <v>2596</v>
      </c>
      <c r="AD338" s="1182" t="s">
        <v>1572</v>
      </c>
      <c r="AE338" s="1182">
        <v>19000</v>
      </c>
      <c r="AF338" s="1182" t="s">
        <v>1943</v>
      </c>
      <c r="AG338" s="1182" t="s">
        <v>1944</v>
      </c>
      <c r="AH338" s="1182">
        <v>0</v>
      </c>
      <c r="AI338" s="1182">
        <v>19000</v>
      </c>
      <c r="AJ338" s="1182" t="s">
        <v>2740</v>
      </c>
      <c r="AL338" s="1186" t="s">
        <v>2741</v>
      </c>
      <c r="AM338" s="1182">
        <v>1</v>
      </c>
      <c r="AN338" s="1182">
        <v>0</v>
      </c>
      <c r="AO338" s="1182">
        <v>0</v>
      </c>
      <c r="AP338" s="1182">
        <v>0</v>
      </c>
      <c r="AQ338" s="1182" t="s">
        <v>1639</v>
      </c>
      <c r="AS338" s="1186" t="s">
        <v>1943</v>
      </c>
      <c r="AT338" s="1186" t="s">
        <v>1944</v>
      </c>
      <c r="AV338" s="1183">
        <v>0</v>
      </c>
      <c r="AW338" s="1183">
        <v>0</v>
      </c>
      <c r="AX338" s="1183">
        <v>0</v>
      </c>
      <c r="AY338" s="1538">
        <v>0</v>
      </c>
      <c r="AZ338" s="1183">
        <v>9500</v>
      </c>
      <c r="BA338" s="1183">
        <v>9500</v>
      </c>
      <c r="BB338" s="1540">
        <v>19000</v>
      </c>
      <c r="BC338" s="1540">
        <v>19000</v>
      </c>
      <c r="BD338" s="1540">
        <v>0</v>
      </c>
      <c r="BF338" s="1539">
        <f t="shared" si="82"/>
        <v>0</v>
      </c>
      <c r="BG338" s="1539">
        <f t="shared" si="83"/>
        <v>0</v>
      </c>
      <c r="BH338" s="1539">
        <f t="shared" si="84"/>
        <v>0</v>
      </c>
      <c r="BI338" s="1539">
        <f t="shared" si="85"/>
        <v>0</v>
      </c>
      <c r="BJ338" s="1539">
        <f t="shared" si="86"/>
        <v>9500</v>
      </c>
      <c r="BK338" s="1539">
        <f t="shared" si="87"/>
        <v>9500</v>
      </c>
      <c r="BL338" s="1539">
        <f t="shared" si="88"/>
        <v>19000</v>
      </c>
      <c r="BM338" s="1539">
        <f t="shared" si="89"/>
        <v>19000</v>
      </c>
      <c r="BO338" s="1183"/>
      <c r="BQ338" s="1182">
        <f t="shared" si="90"/>
        <v>0</v>
      </c>
      <c r="BR338" s="1182">
        <f t="shared" si="91"/>
        <v>0</v>
      </c>
    </row>
    <row r="339" spans="1:70" ht="13.5" customHeight="1">
      <c r="A339" s="1182" t="s">
        <v>1803</v>
      </c>
      <c r="B339" s="1182" t="s">
        <v>1804</v>
      </c>
      <c r="C339" s="1182" t="s">
        <v>1639</v>
      </c>
      <c r="D339" s="1182" t="s">
        <v>2590</v>
      </c>
      <c r="E339" s="1182" t="s">
        <v>2591</v>
      </c>
      <c r="F339" s="1182" t="s">
        <v>2226</v>
      </c>
      <c r="G339" s="1182" t="s">
        <v>2226</v>
      </c>
      <c r="H339" s="1182" t="s">
        <v>2593</v>
      </c>
      <c r="I339" s="1182" t="s">
        <v>1937</v>
      </c>
      <c r="J339" s="1182" t="s">
        <v>2742</v>
      </c>
      <c r="K339" s="1182" t="s">
        <v>1811</v>
      </c>
      <c r="L339" s="1182" t="s">
        <v>1812</v>
      </c>
      <c r="M339" s="1182" t="s">
        <v>1803</v>
      </c>
      <c r="N339" s="1182" t="s">
        <v>2595</v>
      </c>
      <c r="O339" s="1182" t="s">
        <v>1554</v>
      </c>
      <c r="P339" s="1182" t="s">
        <v>1575</v>
      </c>
      <c r="Q339" s="1182" t="s">
        <v>1574</v>
      </c>
      <c r="R339" s="1182" t="s">
        <v>1573</v>
      </c>
      <c r="S339" s="1182" t="s">
        <v>1572</v>
      </c>
      <c r="T339" s="1182" t="s">
        <v>1814</v>
      </c>
      <c r="U339" s="1182" t="s">
        <v>1815</v>
      </c>
      <c r="V339" s="1182">
        <v>0</v>
      </c>
      <c r="W339" s="1182">
        <v>0</v>
      </c>
      <c r="X339" s="1182">
        <v>0</v>
      </c>
      <c r="Y339" s="1183">
        <v>4000</v>
      </c>
      <c r="Z339" s="1182" t="s">
        <v>1940</v>
      </c>
      <c r="AA339" s="1182" t="s">
        <v>1941</v>
      </c>
      <c r="AB339" s="1182">
        <v>4000</v>
      </c>
      <c r="AC339" s="1182" t="s">
        <v>2596</v>
      </c>
      <c r="AD339" s="1182" t="s">
        <v>1572</v>
      </c>
      <c r="AE339" s="1182">
        <v>4000</v>
      </c>
      <c r="AF339" s="1182" t="s">
        <v>1943</v>
      </c>
      <c r="AG339" s="1182" t="s">
        <v>1944</v>
      </c>
      <c r="AH339" s="1182">
        <v>0</v>
      </c>
      <c r="AI339" s="1182">
        <v>4000</v>
      </c>
      <c r="AJ339" s="1182" t="s">
        <v>2743</v>
      </c>
      <c r="AL339" s="1186" t="s">
        <v>2744</v>
      </c>
      <c r="AM339" s="1182">
        <v>1</v>
      </c>
      <c r="AN339" s="1182">
        <v>0</v>
      </c>
      <c r="AO339" s="1182">
        <v>0</v>
      </c>
      <c r="AP339" s="1182">
        <v>0</v>
      </c>
      <c r="AQ339" s="1182" t="s">
        <v>1639</v>
      </c>
      <c r="AS339" s="1186" t="s">
        <v>1943</v>
      </c>
      <c r="AT339" s="1186" t="s">
        <v>1944</v>
      </c>
      <c r="AV339" s="1183">
        <v>0</v>
      </c>
      <c r="AW339" s="1183">
        <v>0</v>
      </c>
      <c r="AX339" s="1183">
        <v>0</v>
      </c>
      <c r="AY339" s="1538">
        <v>0</v>
      </c>
      <c r="AZ339" s="1183">
        <v>2000</v>
      </c>
      <c r="BA339" s="1183">
        <v>2000</v>
      </c>
      <c r="BB339" s="1540">
        <v>4000</v>
      </c>
      <c r="BC339" s="1540">
        <v>4000</v>
      </c>
      <c r="BD339" s="1540">
        <v>0</v>
      </c>
      <c r="BF339" s="1539">
        <f t="shared" si="82"/>
        <v>0</v>
      </c>
      <c r="BG339" s="1539">
        <f t="shared" si="83"/>
        <v>0</v>
      </c>
      <c r="BH339" s="1539">
        <f t="shared" si="84"/>
        <v>0</v>
      </c>
      <c r="BI339" s="1539">
        <f t="shared" si="85"/>
        <v>0</v>
      </c>
      <c r="BJ339" s="1539">
        <f t="shared" si="86"/>
        <v>2000</v>
      </c>
      <c r="BK339" s="1539">
        <f t="shared" si="87"/>
        <v>2000</v>
      </c>
      <c r="BL339" s="1539">
        <f t="shared" si="88"/>
        <v>4000</v>
      </c>
      <c r="BM339" s="1539">
        <f t="shared" si="89"/>
        <v>4000</v>
      </c>
      <c r="BO339" s="1183"/>
      <c r="BQ339" s="1182">
        <f t="shared" si="90"/>
        <v>0</v>
      </c>
      <c r="BR339" s="1182">
        <f t="shared" si="91"/>
        <v>0</v>
      </c>
    </row>
    <row r="340" spans="1:70" ht="13.5" customHeight="1">
      <c r="A340" s="1182" t="s">
        <v>1803</v>
      </c>
      <c r="B340" s="1182" t="s">
        <v>1804</v>
      </c>
      <c r="C340" s="1182" t="s">
        <v>1639</v>
      </c>
      <c r="D340" s="1182" t="s">
        <v>2590</v>
      </c>
      <c r="E340" s="1182" t="s">
        <v>2591</v>
      </c>
      <c r="F340" s="1182" t="s">
        <v>2040</v>
      </c>
      <c r="G340" s="1182" t="s">
        <v>2040</v>
      </c>
      <c r="H340" s="1182" t="s">
        <v>2593</v>
      </c>
      <c r="I340" s="1182" t="s">
        <v>1937</v>
      </c>
      <c r="J340" s="1182" t="s">
        <v>2698</v>
      </c>
      <c r="K340" s="1182" t="s">
        <v>1811</v>
      </c>
      <c r="L340" s="1182" t="s">
        <v>1812</v>
      </c>
      <c r="M340" s="1182" t="s">
        <v>1803</v>
      </c>
      <c r="N340" s="1182" t="s">
        <v>2595</v>
      </c>
      <c r="O340" s="1182" t="s">
        <v>1554</v>
      </c>
      <c r="P340" s="1182" t="s">
        <v>1575</v>
      </c>
      <c r="Q340" s="1182" t="s">
        <v>1574</v>
      </c>
      <c r="R340" s="1182" t="s">
        <v>1573</v>
      </c>
      <c r="S340" s="1182" t="s">
        <v>1572</v>
      </c>
      <c r="T340" s="1182" t="s">
        <v>1814</v>
      </c>
      <c r="U340" s="1182" t="s">
        <v>1815</v>
      </c>
      <c r="V340" s="1182">
        <v>0</v>
      </c>
      <c r="W340" s="1182">
        <v>0</v>
      </c>
      <c r="X340" s="1182">
        <v>0</v>
      </c>
      <c r="Y340" s="1183">
        <v>23000</v>
      </c>
      <c r="Z340" s="1182" t="s">
        <v>1940</v>
      </c>
      <c r="AA340" s="1182" t="s">
        <v>1941</v>
      </c>
      <c r="AB340" s="1182">
        <v>23000</v>
      </c>
      <c r="AC340" s="1182" t="s">
        <v>2596</v>
      </c>
      <c r="AD340" s="1182" t="s">
        <v>1572</v>
      </c>
      <c r="AE340" s="1182">
        <v>23000</v>
      </c>
      <c r="AF340" s="1182" t="s">
        <v>1943</v>
      </c>
      <c r="AG340" s="1182" t="s">
        <v>1944</v>
      </c>
      <c r="AH340" s="1182">
        <v>0</v>
      </c>
      <c r="AI340" s="1182">
        <v>23000</v>
      </c>
      <c r="AJ340" s="1182" t="s">
        <v>2699</v>
      </c>
      <c r="AL340" s="1186" t="s">
        <v>2700</v>
      </c>
      <c r="AM340" s="1182">
        <v>1</v>
      </c>
      <c r="AN340" s="1182">
        <v>0</v>
      </c>
      <c r="AO340" s="1182">
        <v>0</v>
      </c>
      <c r="AP340" s="1182">
        <v>0</v>
      </c>
      <c r="AQ340" s="1182" t="s">
        <v>1639</v>
      </c>
      <c r="AS340" s="1186" t="s">
        <v>1943</v>
      </c>
      <c r="AT340" s="1186" t="s">
        <v>1944</v>
      </c>
      <c r="AV340" s="1183">
        <v>0</v>
      </c>
      <c r="AW340" s="1183">
        <v>0</v>
      </c>
      <c r="AX340" s="1183">
        <v>0</v>
      </c>
      <c r="AY340" s="1538">
        <v>0</v>
      </c>
      <c r="AZ340" s="1183">
        <v>11500</v>
      </c>
      <c r="BA340" s="1183">
        <v>11500</v>
      </c>
      <c r="BB340" s="1540">
        <v>23000</v>
      </c>
      <c r="BC340" s="1540">
        <v>23000</v>
      </c>
      <c r="BD340" s="1540">
        <v>0</v>
      </c>
      <c r="BF340" s="1539">
        <f t="shared" si="82"/>
        <v>0</v>
      </c>
      <c r="BG340" s="1539">
        <f t="shared" si="83"/>
        <v>0</v>
      </c>
      <c r="BH340" s="1539">
        <f t="shared" si="84"/>
        <v>0</v>
      </c>
      <c r="BI340" s="1539">
        <f t="shared" si="85"/>
        <v>0</v>
      </c>
      <c r="BJ340" s="1539">
        <f t="shared" si="86"/>
        <v>11500</v>
      </c>
      <c r="BK340" s="1539">
        <f t="shared" si="87"/>
        <v>11500</v>
      </c>
      <c r="BL340" s="1539">
        <f t="shared" si="88"/>
        <v>23000</v>
      </c>
      <c r="BM340" s="1539">
        <f t="shared" si="89"/>
        <v>23000</v>
      </c>
      <c r="BO340" s="1183"/>
      <c r="BQ340" s="1182">
        <f t="shared" si="90"/>
        <v>0</v>
      </c>
      <c r="BR340" s="1182">
        <f t="shared" si="91"/>
        <v>0</v>
      </c>
    </row>
    <row r="341" spans="1:70" ht="13.5" customHeight="1">
      <c r="A341" s="1182" t="s">
        <v>1803</v>
      </c>
      <c r="B341" s="1182" t="s">
        <v>1804</v>
      </c>
      <c r="C341" s="1182" t="s">
        <v>1639</v>
      </c>
      <c r="D341" s="1182" t="s">
        <v>2590</v>
      </c>
      <c r="E341" s="1182" t="s">
        <v>2591</v>
      </c>
      <c r="F341" s="1182" t="s">
        <v>2687</v>
      </c>
      <c r="G341" s="1182" t="s">
        <v>2687</v>
      </c>
      <c r="H341" s="1182" t="s">
        <v>2593</v>
      </c>
      <c r="I341" s="1182" t="s">
        <v>1937</v>
      </c>
      <c r="J341" s="1182" t="s">
        <v>2688</v>
      </c>
      <c r="K341" s="1182" t="s">
        <v>1811</v>
      </c>
      <c r="L341" s="1182" t="s">
        <v>1812</v>
      </c>
      <c r="M341" s="1182" t="s">
        <v>1803</v>
      </c>
      <c r="N341" s="1182" t="s">
        <v>2595</v>
      </c>
      <c r="O341" s="1182" t="s">
        <v>1554</v>
      </c>
      <c r="P341" s="1182" t="s">
        <v>1575</v>
      </c>
      <c r="Q341" s="1182" t="s">
        <v>1574</v>
      </c>
      <c r="R341" s="1182" t="s">
        <v>1573</v>
      </c>
      <c r="S341" s="1182" t="s">
        <v>1572</v>
      </c>
      <c r="T341" s="1182" t="s">
        <v>1814</v>
      </c>
      <c r="U341" s="1182" t="s">
        <v>1815</v>
      </c>
      <c r="V341" s="1182">
        <v>0</v>
      </c>
      <c r="W341" s="1182">
        <v>0</v>
      </c>
      <c r="X341" s="1182">
        <v>0</v>
      </c>
      <c r="Y341" s="1183">
        <v>15000</v>
      </c>
      <c r="Z341" s="1182" t="s">
        <v>1940</v>
      </c>
      <c r="AA341" s="1182" t="s">
        <v>1941</v>
      </c>
      <c r="AB341" s="1182">
        <v>15000</v>
      </c>
      <c r="AC341" s="1182" t="s">
        <v>2596</v>
      </c>
      <c r="AD341" s="1182" t="s">
        <v>1572</v>
      </c>
      <c r="AE341" s="1182">
        <v>15000</v>
      </c>
      <c r="AF341" s="1182" t="s">
        <v>1943</v>
      </c>
      <c r="AG341" s="1182" t="s">
        <v>1944</v>
      </c>
      <c r="AH341" s="1182">
        <v>0</v>
      </c>
      <c r="AI341" s="1182">
        <v>15000</v>
      </c>
      <c r="AJ341" s="1182" t="s">
        <v>2689</v>
      </c>
      <c r="AL341" s="1186" t="s">
        <v>2690</v>
      </c>
      <c r="AM341" s="1182">
        <v>1</v>
      </c>
      <c r="AN341" s="1182">
        <v>0</v>
      </c>
      <c r="AO341" s="1182">
        <v>0</v>
      </c>
      <c r="AP341" s="1182">
        <v>0</v>
      </c>
      <c r="AQ341" s="1182" t="s">
        <v>1639</v>
      </c>
      <c r="AS341" s="1186" t="s">
        <v>1943</v>
      </c>
      <c r="AT341" s="1186" t="s">
        <v>1944</v>
      </c>
      <c r="AV341" s="1183">
        <v>0</v>
      </c>
      <c r="AW341" s="1183">
        <v>0</v>
      </c>
      <c r="AX341" s="1183">
        <v>0</v>
      </c>
      <c r="AY341" s="1538">
        <v>0</v>
      </c>
      <c r="AZ341" s="1183">
        <v>7500</v>
      </c>
      <c r="BA341" s="1183">
        <v>7500</v>
      </c>
      <c r="BB341" s="1540">
        <v>15000</v>
      </c>
      <c r="BC341" s="1540">
        <v>15000</v>
      </c>
      <c r="BD341" s="1540">
        <v>0</v>
      </c>
      <c r="BF341" s="1539">
        <f t="shared" si="82"/>
        <v>0</v>
      </c>
      <c r="BG341" s="1539">
        <f t="shared" si="83"/>
        <v>0</v>
      </c>
      <c r="BH341" s="1539">
        <f t="shared" si="84"/>
        <v>0</v>
      </c>
      <c r="BI341" s="1539">
        <f t="shared" si="85"/>
        <v>0</v>
      </c>
      <c r="BJ341" s="1539">
        <f t="shared" si="86"/>
        <v>7500</v>
      </c>
      <c r="BK341" s="1539">
        <f t="shared" si="87"/>
        <v>7500</v>
      </c>
      <c r="BL341" s="1539">
        <f t="shared" si="88"/>
        <v>15000</v>
      </c>
      <c r="BM341" s="1539">
        <f t="shared" si="89"/>
        <v>15000</v>
      </c>
      <c r="BO341" s="1183"/>
      <c r="BQ341" s="1182">
        <f t="shared" si="90"/>
        <v>0</v>
      </c>
      <c r="BR341" s="1182">
        <f t="shared" si="91"/>
        <v>0</v>
      </c>
    </row>
    <row r="342" spans="1:70" ht="13.5" customHeight="1">
      <c r="A342" s="1182" t="s">
        <v>1803</v>
      </c>
      <c r="B342" s="1182" t="s">
        <v>1804</v>
      </c>
      <c r="C342" s="1182" t="s">
        <v>1639</v>
      </c>
      <c r="D342" s="1182" t="s">
        <v>2590</v>
      </c>
      <c r="E342" s="1182" t="s">
        <v>2591</v>
      </c>
      <c r="F342" s="1182" t="s">
        <v>2115</v>
      </c>
      <c r="G342" s="1182" t="s">
        <v>2115</v>
      </c>
      <c r="H342" s="1182" t="s">
        <v>2750</v>
      </c>
      <c r="I342" s="1182" t="s">
        <v>1937</v>
      </c>
      <c r="J342" s="1182" t="s">
        <v>2818</v>
      </c>
      <c r="K342" s="1182" t="s">
        <v>1811</v>
      </c>
      <c r="L342" s="1182" t="s">
        <v>1812</v>
      </c>
      <c r="M342" s="1182" t="s">
        <v>1803</v>
      </c>
      <c r="N342" s="1182" t="s">
        <v>2595</v>
      </c>
      <c r="O342" s="1182" t="s">
        <v>1554</v>
      </c>
      <c r="P342" s="1182" t="s">
        <v>1575</v>
      </c>
      <c r="Q342" s="1182" t="s">
        <v>1574</v>
      </c>
      <c r="R342" s="1182" t="s">
        <v>1573</v>
      </c>
      <c r="S342" s="1182" t="s">
        <v>1572</v>
      </c>
      <c r="T342" s="1182" t="s">
        <v>1814</v>
      </c>
      <c r="U342" s="1182" t="s">
        <v>1815</v>
      </c>
      <c r="V342" s="1182">
        <v>0</v>
      </c>
      <c r="W342" s="1182">
        <v>0</v>
      </c>
      <c r="X342" s="1182">
        <v>0</v>
      </c>
      <c r="Y342" s="1183">
        <v>4000</v>
      </c>
      <c r="Z342" s="1182" t="s">
        <v>1940</v>
      </c>
      <c r="AA342" s="1182" t="s">
        <v>1941</v>
      </c>
      <c r="AB342" s="1182">
        <v>4000</v>
      </c>
      <c r="AC342" s="1182" t="s">
        <v>2596</v>
      </c>
      <c r="AD342" s="1182" t="s">
        <v>1572</v>
      </c>
      <c r="AE342" s="1182">
        <v>4000</v>
      </c>
      <c r="AF342" s="1182" t="s">
        <v>1943</v>
      </c>
      <c r="AG342" s="1182" t="s">
        <v>1944</v>
      </c>
      <c r="AH342" s="1182">
        <v>0</v>
      </c>
      <c r="AI342" s="1182">
        <v>4000</v>
      </c>
      <c r="AJ342" s="1182" t="s">
        <v>2819</v>
      </c>
      <c r="AL342" s="1186" t="s">
        <v>2820</v>
      </c>
      <c r="AM342" s="1182">
        <v>1</v>
      </c>
      <c r="AN342" s="1182">
        <v>0</v>
      </c>
      <c r="AO342" s="1182">
        <v>0</v>
      </c>
      <c r="AP342" s="1182">
        <v>0</v>
      </c>
      <c r="AQ342" s="1182" t="s">
        <v>1639</v>
      </c>
      <c r="AS342" s="1186" t="s">
        <v>1943</v>
      </c>
      <c r="AT342" s="1186" t="s">
        <v>1944</v>
      </c>
      <c r="AV342" s="1183">
        <v>0</v>
      </c>
      <c r="AW342" s="1183">
        <v>0</v>
      </c>
      <c r="AX342" s="1183">
        <v>0</v>
      </c>
      <c r="AY342" s="1538">
        <v>0</v>
      </c>
      <c r="AZ342" s="1183">
        <v>2000</v>
      </c>
      <c r="BA342" s="1183">
        <v>2000</v>
      </c>
      <c r="BB342" s="1540">
        <v>4000</v>
      </c>
      <c r="BC342" s="1540">
        <v>4000</v>
      </c>
      <c r="BD342" s="1540">
        <v>0</v>
      </c>
      <c r="BF342" s="1539">
        <f t="shared" si="82"/>
        <v>0</v>
      </c>
      <c r="BG342" s="1539">
        <f t="shared" si="83"/>
        <v>0</v>
      </c>
      <c r="BH342" s="1539">
        <f t="shared" si="84"/>
        <v>0</v>
      </c>
      <c r="BI342" s="1539">
        <f t="shared" si="85"/>
        <v>0</v>
      </c>
      <c r="BJ342" s="1539">
        <f t="shared" si="86"/>
        <v>2000</v>
      </c>
      <c r="BK342" s="1539">
        <f t="shared" si="87"/>
        <v>2000</v>
      </c>
      <c r="BL342" s="1539">
        <f t="shared" si="88"/>
        <v>4000</v>
      </c>
      <c r="BM342" s="1539">
        <f t="shared" si="89"/>
        <v>4000</v>
      </c>
      <c r="BO342" s="1183"/>
      <c r="BQ342" s="1182">
        <f t="shared" si="90"/>
        <v>0</v>
      </c>
      <c r="BR342" s="1182">
        <f t="shared" si="91"/>
        <v>0</v>
      </c>
    </row>
    <row r="343" spans="1:70" ht="13.5" customHeight="1">
      <c r="A343" s="1182" t="s">
        <v>1803</v>
      </c>
      <c r="B343" s="1182" t="s">
        <v>1804</v>
      </c>
      <c r="C343" s="1182" t="s">
        <v>1639</v>
      </c>
      <c r="D343" s="1182" t="s">
        <v>2590</v>
      </c>
      <c r="E343" s="1182" t="s">
        <v>2591</v>
      </c>
      <c r="F343" s="1182" t="s">
        <v>2745</v>
      </c>
      <c r="G343" s="1182" t="s">
        <v>2745</v>
      </c>
      <c r="H343" s="1182" t="s">
        <v>2593</v>
      </c>
      <c r="I343" s="1182" t="s">
        <v>1937</v>
      </c>
      <c r="J343" s="1182" t="s">
        <v>2746</v>
      </c>
      <c r="K343" s="1182" t="s">
        <v>1811</v>
      </c>
      <c r="L343" s="1182" t="s">
        <v>1812</v>
      </c>
      <c r="M343" s="1182" t="s">
        <v>1803</v>
      </c>
      <c r="N343" s="1182" t="s">
        <v>2595</v>
      </c>
      <c r="O343" s="1182" t="s">
        <v>1554</v>
      </c>
      <c r="P343" s="1182" t="s">
        <v>1575</v>
      </c>
      <c r="Q343" s="1182" t="s">
        <v>1574</v>
      </c>
      <c r="R343" s="1182" t="s">
        <v>1573</v>
      </c>
      <c r="S343" s="1182" t="s">
        <v>1572</v>
      </c>
      <c r="T343" s="1182" t="s">
        <v>1814</v>
      </c>
      <c r="U343" s="1182" t="s">
        <v>1815</v>
      </c>
      <c r="V343" s="1182">
        <v>0</v>
      </c>
      <c r="W343" s="1182">
        <v>0</v>
      </c>
      <c r="X343" s="1182">
        <v>0</v>
      </c>
      <c r="Y343" s="1183">
        <v>4000</v>
      </c>
      <c r="Z343" s="1182" t="s">
        <v>1940</v>
      </c>
      <c r="AA343" s="1182" t="s">
        <v>1941</v>
      </c>
      <c r="AB343" s="1182">
        <v>4000</v>
      </c>
      <c r="AC343" s="1182" t="s">
        <v>2596</v>
      </c>
      <c r="AD343" s="1182" t="s">
        <v>1572</v>
      </c>
      <c r="AE343" s="1182">
        <v>4000</v>
      </c>
      <c r="AF343" s="1182" t="s">
        <v>1943</v>
      </c>
      <c r="AG343" s="1182" t="s">
        <v>1944</v>
      </c>
      <c r="AH343" s="1182">
        <v>0</v>
      </c>
      <c r="AI343" s="1182">
        <v>4000</v>
      </c>
      <c r="AJ343" s="1182" t="s">
        <v>2747</v>
      </c>
      <c r="AL343" s="1186" t="s">
        <v>2748</v>
      </c>
      <c r="AM343" s="1182">
        <v>1</v>
      </c>
      <c r="AN343" s="1182">
        <v>0</v>
      </c>
      <c r="AO343" s="1182">
        <v>0</v>
      </c>
      <c r="AP343" s="1182">
        <v>0</v>
      </c>
      <c r="AQ343" s="1182" t="s">
        <v>1639</v>
      </c>
      <c r="AS343" s="1186" t="s">
        <v>1943</v>
      </c>
      <c r="AT343" s="1186" t="s">
        <v>1944</v>
      </c>
      <c r="AV343" s="1185">
        <v>0</v>
      </c>
      <c r="AW343" s="1185">
        <v>0</v>
      </c>
      <c r="AX343" s="1185">
        <v>0</v>
      </c>
      <c r="AY343" s="1539">
        <v>0</v>
      </c>
      <c r="AZ343" s="1185">
        <v>2000</v>
      </c>
      <c r="BA343" s="1185">
        <v>2000</v>
      </c>
      <c r="BB343" s="1540">
        <v>4000</v>
      </c>
      <c r="BC343" s="1540">
        <v>4000</v>
      </c>
      <c r="BD343" s="1540">
        <v>0</v>
      </c>
      <c r="BF343" s="1539">
        <f t="shared" si="82"/>
        <v>0</v>
      </c>
      <c r="BG343" s="1539">
        <f t="shared" si="83"/>
        <v>0</v>
      </c>
      <c r="BH343" s="1539">
        <f t="shared" si="84"/>
        <v>0</v>
      </c>
      <c r="BI343" s="1539">
        <f t="shared" si="85"/>
        <v>0</v>
      </c>
      <c r="BJ343" s="1539">
        <f t="shared" si="86"/>
        <v>2000</v>
      </c>
      <c r="BK343" s="1539">
        <f t="shared" si="87"/>
        <v>2000</v>
      </c>
      <c r="BL343" s="1539">
        <f t="shared" si="88"/>
        <v>4000</v>
      </c>
      <c r="BM343" s="1539">
        <f t="shared" si="89"/>
        <v>4000</v>
      </c>
      <c r="BO343" s="1183"/>
      <c r="BQ343" s="1182">
        <f t="shared" si="90"/>
        <v>0</v>
      </c>
      <c r="BR343" s="1182">
        <f t="shared" si="91"/>
        <v>0</v>
      </c>
    </row>
    <row r="344" spans="1:70" ht="13.5" customHeight="1">
      <c r="A344" s="1182" t="s">
        <v>1803</v>
      </c>
      <c r="B344" s="1182" t="s">
        <v>1804</v>
      </c>
      <c r="C344" s="1182" t="s">
        <v>1639</v>
      </c>
      <c r="D344" s="1182" t="s">
        <v>2590</v>
      </c>
      <c r="E344" s="1182" t="s">
        <v>2591</v>
      </c>
      <c r="F344" s="1182" t="s">
        <v>2796</v>
      </c>
      <c r="G344" s="1182" t="s">
        <v>2796</v>
      </c>
      <c r="H344" s="1182" t="s">
        <v>2750</v>
      </c>
      <c r="I344" s="1182" t="s">
        <v>1937</v>
      </c>
      <c r="J344" s="1182" t="s">
        <v>2797</v>
      </c>
      <c r="K344" s="1182" t="s">
        <v>1811</v>
      </c>
      <c r="L344" s="1182" t="s">
        <v>1812</v>
      </c>
      <c r="M344" s="1182" t="s">
        <v>1803</v>
      </c>
      <c r="N344" s="1182" t="s">
        <v>2595</v>
      </c>
      <c r="O344" s="1182" t="s">
        <v>1554</v>
      </c>
      <c r="P344" s="1182" t="s">
        <v>1575</v>
      </c>
      <c r="Q344" s="1182" t="s">
        <v>1574</v>
      </c>
      <c r="R344" s="1182" t="s">
        <v>1573</v>
      </c>
      <c r="S344" s="1182" t="s">
        <v>1572</v>
      </c>
      <c r="T344" s="1182" t="s">
        <v>1814</v>
      </c>
      <c r="U344" s="1182" t="s">
        <v>1815</v>
      </c>
      <c r="V344" s="1182">
        <v>0</v>
      </c>
      <c r="W344" s="1182">
        <v>0</v>
      </c>
      <c r="X344" s="1182">
        <v>0</v>
      </c>
      <c r="Y344" s="1183">
        <v>8000</v>
      </c>
      <c r="Z344" s="1182" t="s">
        <v>1940</v>
      </c>
      <c r="AA344" s="1182" t="s">
        <v>1941</v>
      </c>
      <c r="AB344" s="1182">
        <v>8000</v>
      </c>
      <c r="AC344" s="1182" t="s">
        <v>2596</v>
      </c>
      <c r="AD344" s="1182" t="s">
        <v>1572</v>
      </c>
      <c r="AE344" s="1182">
        <v>8000</v>
      </c>
      <c r="AF344" s="1182" t="s">
        <v>1943</v>
      </c>
      <c r="AG344" s="1182" t="s">
        <v>1944</v>
      </c>
      <c r="AH344" s="1182">
        <v>0</v>
      </c>
      <c r="AI344" s="1182">
        <v>8000</v>
      </c>
      <c r="AJ344" s="1182" t="s">
        <v>2798</v>
      </c>
      <c r="AL344" s="1186" t="s">
        <v>2799</v>
      </c>
      <c r="AM344" s="1182">
        <v>1</v>
      </c>
      <c r="AN344" s="1182">
        <v>0</v>
      </c>
      <c r="AO344" s="1182">
        <v>0</v>
      </c>
      <c r="AP344" s="1182">
        <v>0</v>
      </c>
      <c r="AQ344" s="1182" t="s">
        <v>1639</v>
      </c>
      <c r="AS344" s="1186" t="s">
        <v>1943</v>
      </c>
      <c r="AT344" s="1186" t="s">
        <v>1944</v>
      </c>
      <c r="AV344" s="1185">
        <v>0</v>
      </c>
      <c r="AW344" s="1185">
        <v>0</v>
      </c>
      <c r="AX344" s="1185">
        <v>0</v>
      </c>
      <c r="AY344" s="1539">
        <v>0</v>
      </c>
      <c r="AZ344" s="1185">
        <v>4000</v>
      </c>
      <c r="BA344" s="1185">
        <v>4000</v>
      </c>
      <c r="BB344" s="1540">
        <v>8000</v>
      </c>
      <c r="BC344" s="1540">
        <v>8000</v>
      </c>
      <c r="BD344" s="1540">
        <v>0</v>
      </c>
      <c r="BF344" s="1539">
        <f t="shared" si="82"/>
        <v>0</v>
      </c>
      <c r="BG344" s="1539">
        <f t="shared" si="83"/>
        <v>0</v>
      </c>
      <c r="BH344" s="1539">
        <f t="shared" si="84"/>
        <v>0</v>
      </c>
      <c r="BI344" s="1539">
        <f t="shared" si="85"/>
        <v>0</v>
      </c>
      <c r="BJ344" s="1539">
        <f t="shared" si="86"/>
        <v>4000</v>
      </c>
      <c r="BK344" s="1539">
        <f t="shared" si="87"/>
        <v>4000</v>
      </c>
      <c r="BL344" s="1539">
        <f t="shared" si="88"/>
        <v>8000</v>
      </c>
      <c r="BM344" s="1539">
        <f t="shared" si="89"/>
        <v>8000</v>
      </c>
      <c r="BO344" s="1183"/>
      <c r="BQ344" s="1182">
        <f t="shared" si="90"/>
        <v>0</v>
      </c>
      <c r="BR344" s="1182">
        <f t="shared" si="91"/>
        <v>0</v>
      </c>
    </row>
    <row r="345" spans="1:70" ht="13.5" customHeight="1">
      <c r="A345" s="1182" t="s">
        <v>1803</v>
      </c>
      <c r="B345" s="1182" t="s">
        <v>1804</v>
      </c>
      <c r="C345" s="1182" t="s">
        <v>1639</v>
      </c>
      <c r="D345" s="1182" t="s">
        <v>2590</v>
      </c>
      <c r="E345" s="1182" t="s">
        <v>2591</v>
      </c>
      <c r="F345" s="1182" t="s">
        <v>1969</v>
      </c>
      <c r="G345" s="1182" t="s">
        <v>1969</v>
      </c>
      <c r="H345" s="1182" t="s">
        <v>2750</v>
      </c>
      <c r="I345" s="1182" t="s">
        <v>1937</v>
      </c>
      <c r="J345" s="1182" t="s">
        <v>2800</v>
      </c>
      <c r="K345" s="1182" t="s">
        <v>1811</v>
      </c>
      <c r="L345" s="1182" t="s">
        <v>1812</v>
      </c>
      <c r="M345" s="1182" t="s">
        <v>1803</v>
      </c>
      <c r="N345" s="1182" t="s">
        <v>2595</v>
      </c>
      <c r="O345" s="1182" t="s">
        <v>1554</v>
      </c>
      <c r="P345" s="1182" t="s">
        <v>1575</v>
      </c>
      <c r="Q345" s="1182" t="s">
        <v>1574</v>
      </c>
      <c r="R345" s="1182" t="s">
        <v>1573</v>
      </c>
      <c r="S345" s="1182" t="s">
        <v>1572</v>
      </c>
      <c r="T345" s="1182" t="s">
        <v>1814</v>
      </c>
      <c r="U345" s="1182" t="s">
        <v>1815</v>
      </c>
      <c r="V345" s="1182">
        <v>0</v>
      </c>
      <c r="W345" s="1182">
        <v>0</v>
      </c>
      <c r="X345" s="1182">
        <v>0</v>
      </c>
      <c r="Y345" s="1183">
        <v>4000</v>
      </c>
      <c r="Z345" s="1182" t="s">
        <v>1940</v>
      </c>
      <c r="AA345" s="1182" t="s">
        <v>1941</v>
      </c>
      <c r="AB345" s="1182">
        <v>4000</v>
      </c>
      <c r="AC345" s="1182" t="s">
        <v>2596</v>
      </c>
      <c r="AD345" s="1182" t="s">
        <v>1572</v>
      </c>
      <c r="AE345" s="1182">
        <v>4000</v>
      </c>
      <c r="AF345" s="1182" t="s">
        <v>1943</v>
      </c>
      <c r="AG345" s="1182" t="s">
        <v>1944</v>
      </c>
      <c r="AH345" s="1182">
        <v>0</v>
      </c>
      <c r="AI345" s="1182">
        <v>4000</v>
      </c>
      <c r="AJ345" s="1182" t="s">
        <v>2801</v>
      </c>
      <c r="AL345" s="1186" t="s">
        <v>2802</v>
      </c>
      <c r="AM345" s="1182">
        <v>1</v>
      </c>
      <c r="AN345" s="1182">
        <v>0</v>
      </c>
      <c r="AO345" s="1182">
        <v>0</v>
      </c>
      <c r="AP345" s="1182">
        <v>0</v>
      </c>
      <c r="AQ345" s="1182" t="s">
        <v>1639</v>
      </c>
      <c r="AS345" s="1186" t="s">
        <v>1943</v>
      </c>
      <c r="AT345" s="1186" t="s">
        <v>1944</v>
      </c>
      <c r="AV345" s="1185">
        <v>0</v>
      </c>
      <c r="AW345" s="1185">
        <v>0</v>
      </c>
      <c r="AX345" s="1185">
        <v>0</v>
      </c>
      <c r="AY345" s="1539">
        <v>0</v>
      </c>
      <c r="AZ345" s="1185">
        <v>2000</v>
      </c>
      <c r="BA345" s="1185">
        <v>2000</v>
      </c>
      <c r="BB345" s="1540">
        <v>4000</v>
      </c>
      <c r="BC345" s="1540">
        <v>4000</v>
      </c>
      <c r="BD345" s="1540">
        <v>0</v>
      </c>
      <c r="BF345" s="1539">
        <f t="shared" si="82"/>
        <v>0</v>
      </c>
      <c r="BG345" s="1539">
        <f t="shared" si="83"/>
        <v>0</v>
      </c>
      <c r="BH345" s="1539">
        <f t="shared" si="84"/>
        <v>0</v>
      </c>
      <c r="BI345" s="1539">
        <f t="shared" si="85"/>
        <v>0</v>
      </c>
      <c r="BJ345" s="1539">
        <f t="shared" si="86"/>
        <v>2000</v>
      </c>
      <c r="BK345" s="1539">
        <f t="shared" si="87"/>
        <v>2000</v>
      </c>
      <c r="BL345" s="1539">
        <f t="shared" si="88"/>
        <v>4000</v>
      </c>
      <c r="BM345" s="1539">
        <f t="shared" si="89"/>
        <v>4000</v>
      </c>
      <c r="BO345" s="1183"/>
      <c r="BQ345" s="1182">
        <f t="shared" si="90"/>
        <v>0</v>
      </c>
      <c r="BR345" s="1182">
        <f t="shared" si="91"/>
        <v>0</v>
      </c>
    </row>
    <row r="346" spans="1:70" ht="13.5" customHeight="1">
      <c r="A346" s="1182" t="s">
        <v>1803</v>
      </c>
      <c r="B346" s="1182" t="s">
        <v>1804</v>
      </c>
      <c r="C346" s="1182" t="s">
        <v>1639</v>
      </c>
      <c r="D346" s="1182" t="s">
        <v>2590</v>
      </c>
      <c r="E346" s="1182" t="s">
        <v>2591</v>
      </c>
      <c r="F346" s="1182" t="s">
        <v>2148</v>
      </c>
      <c r="G346" s="1182" t="s">
        <v>2148</v>
      </c>
      <c r="H346" s="1182" t="s">
        <v>2750</v>
      </c>
      <c r="I346" s="1182" t="s">
        <v>1937</v>
      </c>
      <c r="J346" s="1182" t="s">
        <v>2803</v>
      </c>
      <c r="K346" s="1182" t="s">
        <v>1811</v>
      </c>
      <c r="L346" s="1182" t="s">
        <v>1812</v>
      </c>
      <c r="M346" s="1182" t="s">
        <v>1803</v>
      </c>
      <c r="N346" s="1182" t="s">
        <v>2595</v>
      </c>
      <c r="O346" s="1182" t="s">
        <v>1554</v>
      </c>
      <c r="P346" s="1182" t="s">
        <v>1575</v>
      </c>
      <c r="Q346" s="1182" t="s">
        <v>1574</v>
      </c>
      <c r="R346" s="1182" t="s">
        <v>1573</v>
      </c>
      <c r="S346" s="1182" t="s">
        <v>1572</v>
      </c>
      <c r="T346" s="1182" t="s">
        <v>1814</v>
      </c>
      <c r="U346" s="1182" t="s">
        <v>1815</v>
      </c>
      <c r="V346" s="1182">
        <v>0</v>
      </c>
      <c r="W346" s="1182">
        <v>0</v>
      </c>
      <c r="X346" s="1182">
        <v>0</v>
      </c>
      <c r="Y346" s="1183">
        <v>12000</v>
      </c>
      <c r="Z346" s="1182" t="s">
        <v>1940</v>
      </c>
      <c r="AA346" s="1182" t="s">
        <v>1941</v>
      </c>
      <c r="AB346" s="1182">
        <v>12000</v>
      </c>
      <c r="AC346" s="1182" t="s">
        <v>2596</v>
      </c>
      <c r="AD346" s="1182" t="s">
        <v>1572</v>
      </c>
      <c r="AE346" s="1182">
        <v>12000</v>
      </c>
      <c r="AF346" s="1182" t="s">
        <v>1943</v>
      </c>
      <c r="AG346" s="1182" t="s">
        <v>1944</v>
      </c>
      <c r="AH346" s="1182">
        <v>0</v>
      </c>
      <c r="AI346" s="1182">
        <v>12000</v>
      </c>
      <c r="AJ346" s="1182" t="s">
        <v>2804</v>
      </c>
      <c r="AL346" s="1186" t="s">
        <v>2805</v>
      </c>
      <c r="AM346" s="1182">
        <v>1</v>
      </c>
      <c r="AN346" s="1182">
        <v>0</v>
      </c>
      <c r="AO346" s="1182">
        <v>0</v>
      </c>
      <c r="AP346" s="1182">
        <v>0</v>
      </c>
      <c r="AQ346" s="1182" t="s">
        <v>1639</v>
      </c>
      <c r="AS346" s="1186" t="s">
        <v>1943</v>
      </c>
      <c r="AT346" s="1186" t="s">
        <v>1944</v>
      </c>
      <c r="AV346" s="1185">
        <v>0</v>
      </c>
      <c r="AW346" s="1185">
        <v>0</v>
      </c>
      <c r="AX346" s="1185">
        <v>0</v>
      </c>
      <c r="AY346" s="1539">
        <v>0</v>
      </c>
      <c r="AZ346" s="1185">
        <v>6000</v>
      </c>
      <c r="BA346" s="1185">
        <v>6000</v>
      </c>
      <c r="BB346" s="1540">
        <v>12000</v>
      </c>
      <c r="BC346" s="1540">
        <v>12000</v>
      </c>
      <c r="BD346" s="1540">
        <v>0</v>
      </c>
      <c r="BF346" s="1539">
        <f t="shared" si="82"/>
        <v>0</v>
      </c>
      <c r="BG346" s="1539">
        <f t="shared" si="83"/>
        <v>0</v>
      </c>
      <c r="BH346" s="1539">
        <f t="shared" si="84"/>
        <v>0</v>
      </c>
      <c r="BI346" s="1539">
        <f t="shared" si="85"/>
        <v>0</v>
      </c>
      <c r="BJ346" s="1539">
        <f t="shared" si="86"/>
        <v>6000</v>
      </c>
      <c r="BK346" s="1539">
        <f t="shared" si="87"/>
        <v>6000</v>
      </c>
      <c r="BL346" s="1539">
        <f t="shared" si="88"/>
        <v>12000</v>
      </c>
      <c r="BM346" s="1539">
        <f t="shared" si="89"/>
        <v>12000</v>
      </c>
      <c r="BO346" s="1183"/>
      <c r="BQ346" s="1182">
        <f t="shared" si="90"/>
        <v>0</v>
      </c>
      <c r="BR346" s="1182">
        <f t="shared" si="91"/>
        <v>0</v>
      </c>
    </row>
    <row r="347" spans="1:70" ht="13.5" customHeight="1">
      <c r="A347" s="1182" t="s">
        <v>1803</v>
      </c>
      <c r="B347" s="1182" t="s">
        <v>1804</v>
      </c>
      <c r="C347" s="1182" t="s">
        <v>1639</v>
      </c>
      <c r="D347" s="1182" t="s">
        <v>2590</v>
      </c>
      <c r="E347" s="1182" t="s">
        <v>2591</v>
      </c>
      <c r="F347" s="1182" t="s">
        <v>1860</v>
      </c>
      <c r="G347" s="1182" t="s">
        <v>1860</v>
      </c>
      <c r="H347" s="1182" t="s">
        <v>2750</v>
      </c>
      <c r="I347" s="1182" t="s">
        <v>1937</v>
      </c>
      <c r="J347" s="1182" t="s">
        <v>2806</v>
      </c>
      <c r="K347" s="1182" t="s">
        <v>1811</v>
      </c>
      <c r="L347" s="1182" t="s">
        <v>1812</v>
      </c>
      <c r="M347" s="1182" t="s">
        <v>1803</v>
      </c>
      <c r="N347" s="1182" t="s">
        <v>2595</v>
      </c>
      <c r="O347" s="1182" t="s">
        <v>1554</v>
      </c>
      <c r="P347" s="1182" t="s">
        <v>1575</v>
      </c>
      <c r="Q347" s="1182" t="s">
        <v>1574</v>
      </c>
      <c r="R347" s="1182" t="s">
        <v>1573</v>
      </c>
      <c r="S347" s="1182" t="s">
        <v>1572</v>
      </c>
      <c r="T347" s="1182" t="s">
        <v>1814</v>
      </c>
      <c r="U347" s="1182" t="s">
        <v>1815</v>
      </c>
      <c r="V347" s="1182">
        <v>0</v>
      </c>
      <c r="W347" s="1182">
        <v>0</v>
      </c>
      <c r="X347" s="1182">
        <v>0</v>
      </c>
      <c r="Y347" s="1183">
        <v>8000</v>
      </c>
      <c r="Z347" s="1182" t="s">
        <v>1940</v>
      </c>
      <c r="AA347" s="1182" t="s">
        <v>1941</v>
      </c>
      <c r="AB347" s="1182">
        <v>8000</v>
      </c>
      <c r="AC347" s="1182" t="s">
        <v>2596</v>
      </c>
      <c r="AD347" s="1182" t="s">
        <v>1572</v>
      </c>
      <c r="AE347" s="1182">
        <v>8000</v>
      </c>
      <c r="AF347" s="1182" t="s">
        <v>1943</v>
      </c>
      <c r="AG347" s="1182" t="s">
        <v>1944</v>
      </c>
      <c r="AH347" s="1182">
        <v>0</v>
      </c>
      <c r="AI347" s="1182">
        <v>8000</v>
      </c>
      <c r="AJ347" s="1182" t="s">
        <v>2807</v>
      </c>
      <c r="AL347" s="1186" t="s">
        <v>2808</v>
      </c>
      <c r="AM347" s="1182">
        <v>1</v>
      </c>
      <c r="AN347" s="1182">
        <v>0</v>
      </c>
      <c r="AO347" s="1182">
        <v>0</v>
      </c>
      <c r="AP347" s="1182">
        <v>0</v>
      </c>
      <c r="AQ347" s="1182" t="s">
        <v>1639</v>
      </c>
      <c r="AS347" s="1186" t="s">
        <v>1943</v>
      </c>
      <c r="AT347" s="1186" t="s">
        <v>1944</v>
      </c>
      <c r="AV347" s="1185">
        <v>0</v>
      </c>
      <c r="AW347" s="1185">
        <v>0</v>
      </c>
      <c r="AX347" s="1185">
        <v>0</v>
      </c>
      <c r="AY347" s="1539">
        <v>0</v>
      </c>
      <c r="AZ347" s="1185">
        <v>4000</v>
      </c>
      <c r="BA347" s="1185">
        <v>4000</v>
      </c>
      <c r="BB347" s="1540">
        <v>8000</v>
      </c>
      <c r="BC347" s="1540">
        <v>8000</v>
      </c>
      <c r="BD347" s="1540">
        <v>0</v>
      </c>
      <c r="BF347" s="1539">
        <f t="shared" si="82"/>
        <v>0</v>
      </c>
      <c r="BG347" s="1539">
        <f t="shared" si="83"/>
        <v>0</v>
      </c>
      <c r="BH347" s="1539">
        <f t="shared" si="84"/>
        <v>0</v>
      </c>
      <c r="BI347" s="1539">
        <f t="shared" si="85"/>
        <v>0</v>
      </c>
      <c r="BJ347" s="1539">
        <f t="shared" si="86"/>
        <v>4000</v>
      </c>
      <c r="BK347" s="1539">
        <f t="shared" si="87"/>
        <v>4000</v>
      </c>
      <c r="BL347" s="1539">
        <f t="shared" si="88"/>
        <v>8000</v>
      </c>
      <c r="BM347" s="1539">
        <f t="shared" si="89"/>
        <v>8000</v>
      </c>
      <c r="BO347" s="1183"/>
      <c r="BQ347" s="1182">
        <f t="shared" si="90"/>
        <v>0</v>
      </c>
      <c r="BR347" s="1182">
        <f t="shared" si="91"/>
        <v>0</v>
      </c>
    </row>
    <row r="348" spans="1:70" ht="13.5" customHeight="1">
      <c r="A348" s="1182" t="s">
        <v>1803</v>
      </c>
      <c r="B348" s="1182" t="s">
        <v>1804</v>
      </c>
      <c r="C348" s="1182" t="s">
        <v>1639</v>
      </c>
      <c r="D348" s="1182" t="s">
        <v>2590</v>
      </c>
      <c r="E348" s="1182" t="s">
        <v>2591</v>
      </c>
      <c r="F348" s="1182" t="s">
        <v>2771</v>
      </c>
      <c r="G348" s="1182" t="s">
        <v>2771</v>
      </c>
      <c r="H348" s="1182" t="s">
        <v>2750</v>
      </c>
      <c r="I348" s="1182" t="s">
        <v>1937</v>
      </c>
      <c r="J348" s="1182" t="s">
        <v>2772</v>
      </c>
      <c r="K348" s="1182" t="s">
        <v>1811</v>
      </c>
      <c r="L348" s="1182" t="s">
        <v>1812</v>
      </c>
      <c r="M348" s="1182" t="s">
        <v>1803</v>
      </c>
      <c r="N348" s="1182" t="s">
        <v>2595</v>
      </c>
      <c r="O348" s="1182" t="s">
        <v>1554</v>
      </c>
      <c r="P348" s="1182" t="s">
        <v>1575</v>
      </c>
      <c r="Q348" s="1182" t="s">
        <v>1574</v>
      </c>
      <c r="R348" s="1182" t="s">
        <v>1573</v>
      </c>
      <c r="S348" s="1182" t="s">
        <v>1572</v>
      </c>
      <c r="T348" s="1182" t="s">
        <v>1814</v>
      </c>
      <c r="U348" s="1182" t="s">
        <v>1815</v>
      </c>
      <c r="V348" s="1182">
        <v>0</v>
      </c>
      <c r="W348" s="1182">
        <v>0</v>
      </c>
      <c r="X348" s="1182">
        <v>0</v>
      </c>
      <c r="Y348" s="1183">
        <v>4000</v>
      </c>
      <c r="Z348" s="1182" t="s">
        <v>1940</v>
      </c>
      <c r="AA348" s="1182" t="s">
        <v>1941</v>
      </c>
      <c r="AB348" s="1182">
        <v>4000</v>
      </c>
      <c r="AC348" s="1182" t="s">
        <v>2596</v>
      </c>
      <c r="AD348" s="1182" t="s">
        <v>1572</v>
      </c>
      <c r="AE348" s="1182">
        <v>4000</v>
      </c>
      <c r="AF348" s="1182" t="s">
        <v>1943</v>
      </c>
      <c r="AG348" s="1182" t="s">
        <v>1944</v>
      </c>
      <c r="AH348" s="1182">
        <v>0</v>
      </c>
      <c r="AI348" s="1182">
        <v>4000</v>
      </c>
      <c r="AJ348" s="1182" t="s">
        <v>2773</v>
      </c>
      <c r="AL348" s="1186" t="s">
        <v>2774</v>
      </c>
      <c r="AM348" s="1182">
        <v>1</v>
      </c>
      <c r="AN348" s="1182">
        <v>0</v>
      </c>
      <c r="AO348" s="1182">
        <v>0</v>
      </c>
      <c r="AP348" s="1182">
        <v>0</v>
      </c>
      <c r="AQ348" s="1182" t="s">
        <v>1639</v>
      </c>
      <c r="AS348" s="1186" t="s">
        <v>1943</v>
      </c>
      <c r="AT348" s="1186" t="s">
        <v>1944</v>
      </c>
      <c r="AV348" s="1185">
        <v>0</v>
      </c>
      <c r="AW348" s="1185">
        <v>0</v>
      </c>
      <c r="AX348" s="1185">
        <v>0</v>
      </c>
      <c r="AY348" s="1539">
        <v>0</v>
      </c>
      <c r="AZ348" s="1185">
        <v>2000</v>
      </c>
      <c r="BA348" s="1185">
        <v>2000</v>
      </c>
      <c r="BB348" s="1540">
        <v>4000</v>
      </c>
      <c r="BC348" s="1540">
        <v>4000</v>
      </c>
      <c r="BD348" s="1540">
        <v>0</v>
      </c>
      <c r="BF348" s="1539">
        <f t="shared" si="82"/>
        <v>0</v>
      </c>
      <c r="BG348" s="1539">
        <f t="shared" si="83"/>
        <v>0</v>
      </c>
      <c r="BH348" s="1539">
        <f t="shared" si="84"/>
        <v>0</v>
      </c>
      <c r="BI348" s="1539">
        <f t="shared" si="85"/>
        <v>0</v>
      </c>
      <c r="BJ348" s="1539">
        <f t="shared" si="86"/>
        <v>2000</v>
      </c>
      <c r="BK348" s="1539">
        <f t="shared" si="87"/>
        <v>2000</v>
      </c>
      <c r="BL348" s="1539">
        <f t="shared" si="88"/>
        <v>4000</v>
      </c>
      <c r="BM348" s="1539">
        <f t="shared" si="89"/>
        <v>4000</v>
      </c>
      <c r="BO348" s="1183"/>
      <c r="BQ348" s="1182">
        <f t="shared" si="90"/>
        <v>0</v>
      </c>
      <c r="BR348" s="1182">
        <f t="shared" si="91"/>
        <v>0</v>
      </c>
    </row>
    <row r="349" spans="1:70" ht="13.5" customHeight="1">
      <c r="A349" s="1182" t="s">
        <v>1803</v>
      </c>
      <c r="B349" s="1182" t="s">
        <v>1804</v>
      </c>
      <c r="C349" s="1182" t="s">
        <v>1639</v>
      </c>
      <c r="D349" s="1182" t="s">
        <v>2590</v>
      </c>
      <c r="E349" s="1182" t="s">
        <v>2591</v>
      </c>
      <c r="F349" s="1182" t="s">
        <v>2170</v>
      </c>
      <c r="G349" s="1182" t="s">
        <v>2170</v>
      </c>
      <c r="H349" s="1182" t="s">
        <v>2750</v>
      </c>
      <c r="I349" s="1182" t="s">
        <v>1937</v>
      </c>
      <c r="J349" s="1182" t="s">
        <v>2775</v>
      </c>
      <c r="K349" s="1182" t="s">
        <v>1811</v>
      </c>
      <c r="L349" s="1182" t="s">
        <v>1812</v>
      </c>
      <c r="M349" s="1182" t="s">
        <v>1803</v>
      </c>
      <c r="N349" s="1182" t="s">
        <v>2595</v>
      </c>
      <c r="O349" s="1182" t="s">
        <v>1554</v>
      </c>
      <c r="P349" s="1182" t="s">
        <v>1575</v>
      </c>
      <c r="Q349" s="1182" t="s">
        <v>1574</v>
      </c>
      <c r="R349" s="1182" t="s">
        <v>1573</v>
      </c>
      <c r="S349" s="1182" t="s">
        <v>1572</v>
      </c>
      <c r="T349" s="1182" t="s">
        <v>1814</v>
      </c>
      <c r="U349" s="1182" t="s">
        <v>1815</v>
      </c>
      <c r="V349" s="1182">
        <v>0</v>
      </c>
      <c r="W349" s="1182">
        <v>0</v>
      </c>
      <c r="X349" s="1182">
        <v>0</v>
      </c>
      <c r="Y349" s="1183">
        <v>12000</v>
      </c>
      <c r="Z349" s="1182" t="s">
        <v>1940</v>
      </c>
      <c r="AA349" s="1182" t="s">
        <v>1941</v>
      </c>
      <c r="AB349" s="1182">
        <v>12000</v>
      </c>
      <c r="AC349" s="1182" t="s">
        <v>2596</v>
      </c>
      <c r="AD349" s="1182" t="s">
        <v>1572</v>
      </c>
      <c r="AE349" s="1182">
        <v>12000</v>
      </c>
      <c r="AF349" s="1182" t="s">
        <v>1943</v>
      </c>
      <c r="AG349" s="1182" t="s">
        <v>1944</v>
      </c>
      <c r="AH349" s="1182">
        <v>0</v>
      </c>
      <c r="AI349" s="1182">
        <v>12000</v>
      </c>
      <c r="AJ349" s="1182" t="s">
        <v>2776</v>
      </c>
      <c r="AL349" s="1186" t="s">
        <v>2777</v>
      </c>
      <c r="AM349" s="1182">
        <v>1</v>
      </c>
      <c r="AN349" s="1182">
        <v>0</v>
      </c>
      <c r="AO349" s="1182">
        <v>0</v>
      </c>
      <c r="AP349" s="1182">
        <v>0</v>
      </c>
      <c r="AQ349" s="1182" t="s">
        <v>1639</v>
      </c>
      <c r="AS349" s="1186" t="s">
        <v>1943</v>
      </c>
      <c r="AT349" s="1186" t="s">
        <v>1944</v>
      </c>
      <c r="AV349" s="1185">
        <v>0</v>
      </c>
      <c r="AW349" s="1185">
        <v>0</v>
      </c>
      <c r="AX349" s="1185">
        <v>0</v>
      </c>
      <c r="AY349" s="1539">
        <v>0</v>
      </c>
      <c r="AZ349" s="1185">
        <v>6000</v>
      </c>
      <c r="BA349" s="1185">
        <v>6000</v>
      </c>
      <c r="BB349" s="1540">
        <v>12000</v>
      </c>
      <c r="BC349" s="1540">
        <v>12000</v>
      </c>
      <c r="BD349" s="1540">
        <v>0</v>
      </c>
      <c r="BF349" s="1539">
        <f t="shared" si="82"/>
        <v>0</v>
      </c>
      <c r="BG349" s="1539">
        <f t="shared" si="83"/>
        <v>0</v>
      </c>
      <c r="BH349" s="1539">
        <f t="shared" si="84"/>
        <v>0</v>
      </c>
      <c r="BI349" s="1539">
        <f t="shared" si="85"/>
        <v>0</v>
      </c>
      <c r="BJ349" s="1539">
        <f t="shared" si="86"/>
        <v>6000</v>
      </c>
      <c r="BK349" s="1539">
        <f t="shared" si="87"/>
        <v>6000</v>
      </c>
      <c r="BL349" s="1539">
        <f t="shared" si="88"/>
        <v>12000</v>
      </c>
      <c r="BM349" s="1539">
        <f t="shared" si="89"/>
        <v>12000</v>
      </c>
      <c r="BO349" s="1183"/>
      <c r="BQ349" s="1182">
        <f t="shared" si="90"/>
        <v>0</v>
      </c>
      <c r="BR349" s="1182">
        <f t="shared" si="91"/>
        <v>0</v>
      </c>
    </row>
    <row r="350" spans="1:70" ht="13.5" customHeight="1">
      <c r="A350" s="1182" t="s">
        <v>1803</v>
      </c>
      <c r="B350" s="1182" t="s">
        <v>1804</v>
      </c>
      <c r="C350" s="1182" t="s">
        <v>1639</v>
      </c>
      <c r="D350" s="1182" t="s">
        <v>2590</v>
      </c>
      <c r="E350" s="1182" t="s">
        <v>2591</v>
      </c>
      <c r="F350" s="1182" t="s">
        <v>2778</v>
      </c>
      <c r="G350" s="1182" t="s">
        <v>2778</v>
      </c>
      <c r="H350" s="1182" t="s">
        <v>2750</v>
      </c>
      <c r="I350" s="1182" t="s">
        <v>1937</v>
      </c>
      <c r="J350" s="1182" t="s">
        <v>2779</v>
      </c>
      <c r="K350" s="1182" t="s">
        <v>1811</v>
      </c>
      <c r="L350" s="1182" t="s">
        <v>1812</v>
      </c>
      <c r="M350" s="1182" t="s">
        <v>1803</v>
      </c>
      <c r="N350" s="1182" t="s">
        <v>2595</v>
      </c>
      <c r="O350" s="1182" t="s">
        <v>1554</v>
      </c>
      <c r="P350" s="1182" t="s">
        <v>1575</v>
      </c>
      <c r="Q350" s="1182" t="s">
        <v>1574</v>
      </c>
      <c r="R350" s="1182" t="s">
        <v>1573</v>
      </c>
      <c r="S350" s="1182" t="s">
        <v>1572</v>
      </c>
      <c r="T350" s="1182" t="s">
        <v>1814</v>
      </c>
      <c r="U350" s="1182" t="s">
        <v>1815</v>
      </c>
      <c r="V350" s="1182">
        <v>0</v>
      </c>
      <c r="W350" s="1182">
        <v>0</v>
      </c>
      <c r="X350" s="1182">
        <v>0</v>
      </c>
      <c r="Y350" s="1183">
        <v>8000</v>
      </c>
      <c r="Z350" s="1182" t="s">
        <v>1940</v>
      </c>
      <c r="AA350" s="1182" t="s">
        <v>1941</v>
      </c>
      <c r="AB350" s="1182">
        <v>8000</v>
      </c>
      <c r="AC350" s="1182" t="s">
        <v>2596</v>
      </c>
      <c r="AD350" s="1182" t="s">
        <v>1572</v>
      </c>
      <c r="AE350" s="1182">
        <v>8000</v>
      </c>
      <c r="AF350" s="1182" t="s">
        <v>1943</v>
      </c>
      <c r="AG350" s="1182" t="s">
        <v>1944</v>
      </c>
      <c r="AH350" s="1182">
        <v>0</v>
      </c>
      <c r="AI350" s="1182">
        <v>8000</v>
      </c>
      <c r="AJ350" s="1182" t="s">
        <v>2780</v>
      </c>
      <c r="AL350" s="1186" t="s">
        <v>2781</v>
      </c>
      <c r="AM350" s="1182">
        <v>1</v>
      </c>
      <c r="AN350" s="1182">
        <v>0</v>
      </c>
      <c r="AO350" s="1182">
        <v>0</v>
      </c>
      <c r="AP350" s="1182">
        <v>0</v>
      </c>
      <c r="AQ350" s="1182" t="s">
        <v>1639</v>
      </c>
      <c r="AS350" s="1186" t="s">
        <v>1943</v>
      </c>
      <c r="AT350" s="1186" t="s">
        <v>1944</v>
      </c>
      <c r="AV350" s="1185">
        <v>0</v>
      </c>
      <c r="AW350" s="1185">
        <v>0</v>
      </c>
      <c r="AX350" s="1185">
        <v>0</v>
      </c>
      <c r="AY350" s="1539">
        <v>0</v>
      </c>
      <c r="AZ350" s="1185">
        <v>4000</v>
      </c>
      <c r="BA350" s="1185">
        <v>4000</v>
      </c>
      <c r="BB350" s="1540">
        <v>8000</v>
      </c>
      <c r="BC350" s="1540">
        <v>8000</v>
      </c>
      <c r="BD350" s="1540">
        <v>0</v>
      </c>
      <c r="BF350" s="1539">
        <f t="shared" si="82"/>
        <v>0</v>
      </c>
      <c r="BG350" s="1539">
        <f t="shared" si="83"/>
        <v>0</v>
      </c>
      <c r="BH350" s="1539">
        <f t="shared" si="84"/>
        <v>0</v>
      </c>
      <c r="BI350" s="1539">
        <f t="shared" si="85"/>
        <v>0</v>
      </c>
      <c r="BJ350" s="1539">
        <f t="shared" si="86"/>
        <v>4000</v>
      </c>
      <c r="BK350" s="1539">
        <f t="shared" si="87"/>
        <v>4000</v>
      </c>
      <c r="BL350" s="1539">
        <f t="shared" si="88"/>
        <v>8000</v>
      </c>
      <c r="BM350" s="1539">
        <f t="shared" si="89"/>
        <v>8000</v>
      </c>
      <c r="BO350" s="1183"/>
      <c r="BQ350" s="1182">
        <f t="shared" si="90"/>
        <v>0</v>
      </c>
      <c r="BR350" s="1182">
        <f t="shared" si="91"/>
        <v>0</v>
      </c>
    </row>
    <row r="351" spans="1:70" ht="13.5" customHeight="1">
      <c r="A351" s="1182" t="s">
        <v>1803</v>
      </c>
      <c r="B351" s="1182" t="s">
        <v>1804</v>
      </c>
      <c r="C351" s="1182" t="s">
        <v>1639</v>
      </c>
      <c r="D351" s="1182" t="s">
        <v>2590</v>
      </c>
      <c r="E351" s="1182" t="s">
        <v>2591</v>
      </c>
      <c r="F351" s="1182" t="s">
        <v>2184</v>
      </c>
      <c r="G351" s="1182" t="s">
        <v>2184</v>
      </c>
      <c r="H351" s="1182" t="s">
        <v>2593</v>
      </c>
      <c r="I351" s="1182" t="s">
        <v>1937</v>
      </c>
      <c r="J351" s="1182" t="s">
        <v>2768</v>
      </c>
      <c r="K351" s="1182" t="s">
        <v>1811</v>
      </c>
      <c r="L351" s="1182" t="s">
        <v>1812</v>
      </c>
      <c r="M351" s="1182" t="s">
        <v>1803</v>
      </c>
      <c r="N351" s="1182" t="s">
        <v>2595</v>
      </c>
      <c r="O351" s="1182" t="s">
        <v>1554</v>
      </c>
      <c r="P351" s="1182" t="s">
        <v>1575</v>
      </c>
      <c r="Q351" s="1182" t="s">
        <v>1574</v>
      </c>
      <c r="R351" s="1182" t="s">
        <v>1573</v>
      </c>
      <c r="S351" s="1182" t="s">
        <v>1572</v>
      </c>
      <c r="T351" s="1182" t="s">
        <v>1814</v>
      </c>
      <c r="U351" s="1182" t="s">
        <v>1815</v>
      </c>
      <c r="V351" s="1182">
        <v>0</v>
      </c>
      <c r="W351" s="1182">
        <v>0</v>
      </c>
      <c r="X351" s="1182">
        <v>0</v>
      </c>
      <c r="Y351" s="1183">
        <v>4000</v>
      </c>
      <c r="Z351" s="1182" t="s">
        <v>1940</v>
      </c>
      <c r="AA351" s="1182" t="s">
        <v>1941</v>
      </c>
      <c r="AB351" s="1182">
        <v>4000</v>
      </c>
      <c r="AC351" s="1182" t="s">
        <v>2596</v>
      </c>
      <c r="AD351" s="1182" t="s">
        <v>1572</v>
      </c>
      <c r="AE351" s="1182">
        <v>4000</v>
      </c>
      <c r="AF351" s="1182" t="s">
        <v>1943</v>
      </c>
      <c r="AG351" s="1182" t="s">
        <v>1944</v>
      </c>
      <c r="AH351" s="1182">
        <v>0</v>
      </c>
      <c r="AI351" s="1182">
        <v>4000</v>
      </c>
      <c r="AJ351" s="1182" t="s">
        <v>2769</v>
      </c>
      <c r="AL351" s="1186" t="s">
        <v>2770</v>
      </c>
      <c r="AM351" s="1182">
        <v>1</v>
      </c>
      <c r="AN351" s="1182">
        <v>0</v>
      </c>
      <c r="AO351" s="1182">
        <v>0</v>
      </c>
      <c r="AP351" s="1182">
        <v>0</v>
      </c>
      <c r="AQ351" s="1182" t="s">
        <v>1639</v>
      </c>
      <c r="AS351" s="1186" t="s">
        <v>1943</v>
      </c>
      <c r="AT351" s="1186" t="s">
        <v>1944</v>
      </c>
      <c r="AV351" s="1185">
        <v>0</v>
      </c>
      <c r="AW351" s="1185">
        <v>0</v>
      </c>
      <c r="AX351" s="1185">
        <v>0</v>
      </c>
      <c r="AY351" s="1539">
        <v>0</v>
      </c>
      <c r="AZ351" s="1185">
        <v>2000</v>
      </c>
      <c r="BA351" s="1185">
        <v>2000</v>
      </c>
      <c r="BB351" s="1540">
        <v>4000</v>
      </c>
      <c r="BC351" s="1540">
        <v>4000</v>
      </c>
      <c r="BD351" s="1540">
        <v>0</v>
      </c>
      <c r="BF351" s="1539">
        <f t="shared" si="82"/>
        <v>0</v>
      </c>
      <c r="BG351" s="1539">
        <f t="shared" si="83"/>
        <v>0</v>
      </c>
      <c r="BH351" s="1539">
        <f t="shared" si="84"/>
        <v>0</v>
      </c>
      <c r="BI351" s="1539">
        <f t="shared" si="85"/>
        <v>0</v>
      </c>
      <c r="BJ351" s="1539">
        <f t="shared" si="86"/>
        <v>2000</v>
      </c>
      <c r="BK351" s="1539">
        <f t="shared" si="87"/>
        <v>2000</v>
      </c>
      <c r="BL351" s="1539">
        <f t="shared" si="88"/>
        <v>4000</v>
      </c>
      <c r="BM351" s="1539">
        <f t="shared" si="89"/>
        <v>4000</v>
      </c>
      <c r="BO351" s="1183"/>
      <c r="BQ351" s="1182">
        <f t="shared" si="90"/>
        <v>0</v>
      </c>
      <c r="BR351" s="1182">
        <f t="shared" si="91"/>
        <v>0</v>
      </c>
    </row>
    <row r="352" spans="1:70" ht="13.5" customHeight="1">
      <c r="A352" s="1182" t="s">
        <v>1803</v>
      </c>
      <c r="B352" s="1182" t="s">
        <v>1804</v>
      </c>
      <c r="C352" s="1182" t="s">
        <v>1639</v>
      </c>
      <c r="D352" s="1182" t="s">
        <v>2590</v>
      </c>
      <c r="E352" s="1182" t="s">
        <v>2591</v>
      </c>
      <c r="F352" s="1182" t="s">
        <v>2782</v>
      </c>
      <c r="G352" s="1182" t="s">
        <v>2782</v>
      </c>
      <c r="H352" s="1182" t="s">
        <v>2750</v>
      </c>
      <c r="I352" s="1182" t="s">
        <v>1937</v>
      </c>
      <c r="J352" s="1182" t="s">
        <v>2783</v>
      </c>
      <c r="K352" s="1182" t="s">
        <v>1811</v>
      </c>
      <c r="L352" s="1182" t="s">
        <v>1812</v>
      </c>
      <c r="M352" s="1182" t="s">
        <v>1803</v>
      </c>
      <c r="N352" s="1182" t="s">
        <v>2595</v>
      </c>
      <c r="O352" s="1182" t="s">
        <v>1554</v>
      </c>
      <c r="P352" s="1182" t="s">
        <v>1575</v>
      </c>
      <c r="Q352" s="1182" t="s">
        <v>1574</v>
      </c>
      <c r="R352" s="1182" t="s">
        <v>1573</v>
      </c>
      <c r="S352" s="1182" t="s">
        <v>1572</v>
      </c>
      <c r="T352" s="1182" t="s">
        <v>1814</v>
      </c>
      <c r="U352" s="1182" t="s">
        <v>1815</v>
      </c>
      <c r="V352" s="1182">
        <v>0</v>
      </c>
      <c r="W352" s="1182">
        <v>0</v>
      </c>
      <c r="X352" s="1182">
        <v>0</v>
      </c>
      <c r="Y352" s="1183">
        <v>4000</v>
      </c>
      <c r="Z352" s="1182" t="s">
        <v>1940</v>
      </c>
      <c r="AA352" s="1182" t="s">
        <v>1941</v>
      </c>
      <c r="AB352" s="1182">
        <v>4000</v>
      </c>
      <c r="AC352" s="1182" t="s">
        <v>2596</v>
      </c>
      <c r="AD352" s="1182" t="s">
        <v>1572</v>
      </c>
      <c r="AE352" s="1182">
        <v>4000</v>
      </c>
      <c r="AF352" s="1182" t="s">
        <v>1943</v>
      </c>
      <c r="AG352" s="1182" t="s">
        <v>1944</v>
      </c>
      <c r="AH352" s="1182">
        <v>0</v>
      </c>
      <c r="AI352" s="1182">
        <v>4000</v>
      </c>
      <c r="AJ352" s="1182" t="s">
        <v>2784</v>
      </c>
      <c r="AL352" s="1186" t="s">
        <v>2785</v>
      </c>
      <c r="AM352" s="1182">
        <v>1</v>
      </c>
      <c r="AN352" s="1182">
        <v>0</v>
      </c>
      <c r="AO352" s="1182">
        <v>0</v>
      </c>
      <c r="AP352" s="1182">
        <v>0</v>
      </c>
      <c r="AQ352" s="1182" t="s">
        <v>1639</v>
      </c>
      <c r="AS352" s="1186" t="s">
        <v>1943</v>
      </c>
      <c r="AT352" s="1186" t="s">
        <v>1944</v>
      </c>
      <c r="AV352" s="1185">
        <v>0</v>
      </c>
      <c r="AW352" s="1185">
        <v>0</v>
      </c>
      <c r="AX352" s="1185">
        <v>0</v>
      </c>
      <c r="AY352" s="1539">
        <v>0</v>
      </c>
      <c r="AZ352" s="1185">
        <v>2000</v>
      </c>
      <c r="BA352" s="1185">
        <v>2000</v>
      </c>
      <c r="BB352" s="1540">
        <v>4000</v>
      </c>
      <c r="BC352" s="1540">
        <v>4000</v>
      </c>
      <c r="BD352" s="1540">
        <v>0</v>
      </c>
      <c r="BF352" s="1539">
        <f t="shared" si="82"/>
        <v>0</v>
      </c>
      <c r="BG352" s="1539">
        <f t="shared" si="83"/>
        <v>0</v>
      </c>
      <c r="BH352" s="1539">
        <f t="shared" si="84"/>
        <v>0</v>
      </c>
      <c r="BI352" s="1539">
        <f t="shared" si="85"/>
        <v>0</v>
      </c>
      <c r="BJ352" s="1539">
        <f t="shared" si="86"/>
        <v>2000</v>
      </c>
      <c r="BK352" s="1539">
        <f t="shared" si="87"/>
        <v>2000</v>
      </c>
      <c r="BL352" s="1539">
        <f t="shared" si="88"/>
        <v>4000</v>
      </c>
      <c r="BM352" s="1539">
        <f t="shared" si="89"/>
        <v>4000</v>
      </c>
      <c r="BO352" s="1183"/>
      <c r="BQ352" s="1182">
        <f t="shared" si="90"/>
        <v>0</v>
      </c>
      <c r="BR352" s="1182">
        <f t="shared" si="91"/>
        <v>0</v>
      </c>
    </row>
    <row r="353" spans="1:70" ht="13.5" customHeight="1">
      <c r="A353" s="1182" t="s">
        <v>1803</v>
      </c>
      <c r="B353" s="1182" t="s">
        <v>1804</v>
      </c>
      <c r="C353" s="1182" t="s">
        <v>1639</v>
      </c>
      <c r="D353" s="1182" t="s">
        <v>2590</v>
      </c>
      <c r="E353" s="1182" t="s">
        <v>2591</v>
      </c>
      <c r="F353" s="1182" t="s">
        <v>2197</v>
      </c>
      <c r="G353" s="1182" t="s">
        <v>2197</v>
      </c>
      <c r="H353" s="1182" t="s">
        <v>2750</v>
      </c>
      <c r="I353" s="1182" t="s">
        <v>1937</v>
      </c>
      <c r="J353" s="1182" t="s">
        <v>2786</v>
      </c>
      <c r="K353" s="1182" t="s">
        <v>1811</v>
      </c>
      <c r="L353" s="1182" t="s">
        <v>1812</v>
      </c>
      <c r="M353" s="1182" t="s">
        <v>1803</v>
      </c>
      <c r="N353" s="1182" t="s">
        <v>2595</v>
      </c>
      <c r="O353" s="1182" t="s">
        <v>1554</v>
      </c>
      <c r="P353" s="1182" t="s">
        <v>1575</v>
      </c>
      <c r="Q353" s="1182" t="s">
        <v>1574</v>
      </c>
      <c r="R353" s="1182" t="s">
        <v>1573</v>
      </c>
      <c r="S353" s="1182" t="s">
        <v>1572</v>
      </c>
      <c r="T353" s="1182" t="s">
        <v>1814</v>
      </c>
      <c r="U353" s="1182" t="s">
        <v>1815</v>
      </c>
      <c r="V353" s="1182">
        <v>0</v>
      </c>
      <c r="W353" s="1182">
        <v>0</v>
      </c>
      <c r="X353" s="1182">
        <v>0</v>
      </c>
      <c r="Y353" s="1543">
        <v>4000</v>
      </c>
      <c r="Z353" s="1182" t="s">
        <v>1940</v>
      </c>
      <c r="AA353" s="1182" t="s">
        <v>1941</v>
      </c>
      <c r="AB353" s="1182">
        <v>4000</v>
      </c>
      <c r="AC353" s="1182" t="s">
        <v>2596</v>
      </c>
      <c r="AD353" s="1182" t="s">
        <v>1572</v>
      </c>
      <c r="AE353" s="1182">
        <v>4000</v>
      </c>
      <c r="AF353" s="1182" t="s">
        <v>1943</v>
      </c>
      <c r="AG353" s="1182" t="s">
        <v>1944</v>
      </c>
      <c r="AH353" s="1182">
        <v>0</v>
      </c>
      <c r="AI353" s="1182">
        <v>4000</v>
      </c>
      <c r="AJ353" s="1182" t="s">
        <v>2787</v>
      </c>
      <c r="AL353" s="1186" t="s">
        <v>2788</v>
      </c>
      <c r="AM353" s="1182">
        <v>1</v>
      </c>
      <c r="AN353" s="1182">
        <v>0</v>
      </c>
      <c r="AO353" s="1182">
        <v>0</v>
      </c>
      <c r="AP353" s="1182">
        <v>0</v>
      </c>
      <c r="AQ353" s="1182" t="s">
        <v>1639</v>
      </c>
      <c r="AS353" s="1186" t="s">
        <v>1943</v>
      </c>
      <c r="AT353" s="1186" t="s">
        <v>1944</v>
      </c>
      <c r="AV353" s="1185">
        <v>0</v>
      </c>
      <c r="AW353" s="1185">
        <v>0</v>
      </c>
      <c r="AX353" s="1185">
        <v>0</v>
      </c>
      <c r="AY353" s="1539">
        <v>0</v>
      </c>
      <c r="AZ353" s="1185">
        <v>2000</v>
      </c>
      <c r="BA353" s="1185">
        <v>2000</v>
      </c>
      <c r="BB353" s="1540">
        <v>4000</v>
      </c>
      <c r="BC353" s="1540">
        <v>4000</v>
      </c>
      <c r="BD353" s="1540">
        <v>0</v>
      </c>
      <c r="BF353" s="1539">
        <f t="shared" si="82"/>
        <v>0</v>
      </c>
      <c r="BG353" s="1539">
        <f t="shared" si="83"/>
        <v>0</v>
      </c>
      <c r="BH353" s="1539">
        <f t="shared" si="84"/>
        <v>0</v>
      </c>
      <c r="BI353" s="1539">
        <f t="shared" si="85"/>
        <v>0</v>
      </c>
      <c r="BJ353" s="1539">
        <f t="shared" si="86"/>
        <v>2000</v>
      </c>
      <c r="BK353" s="1539">
        <f t="shared" si="87"/>
        <v>2000</v>
      </c>
      <c r="BL353" s="1539">
        <f t="shared" si="88"/>
        <v>4000</v>
      </c>
      <c r="BM353" s="1539">
        <f t="shared" si="89"/>
        <v>4000</v>
      </c>
      <c r="BO353" s="1183"/>
      <c r="BQ353" s="1182">
        <f t="shared" si="90"/>
        <v>0</v>
      </c>
      <c r="BR353" s="1182">
        <f t="shared" si="91"/>
        <v>0</v>
      </c>
    </row>
    <row r="354" spans="1:70" ht="13.5" customHeight="1">
      <c r="A354" s="1182" t="s">
        <v>1803</v>
      </c>
      <c r="B354" s="1182" t="s">
        <v>1804</v>
      </c>
      <c r="C354" s="1182" t="s">
        <v>1639</v>
      </c>
      <c r="D354" s="1182" t="s">
        <v>2590</v>
      </c>
      <c r="E354" s="1182" t="s">
        <v>2591</v>
      </c>
      <c r="F354" s="1182" t="s">
        <v>2789</v>
      </c>
      <c r="G354" s="1182" t="s">
        <v>2789</v>
      </c>
      <c r="H354" s="1182" t="s">
        <v>2750</v>
      </c>
      <c r="I354" s="1182" t="s">
        <v>1937</v>
      </c>
      <c r="J354" s="1182" t="s">
        <v>2790</v>
      </c>
      <c r="K354" s="1182" t="s">
        <v>1811</v>
      </c>
      <c r="L354" s="1182" t="s">
        <v>1812</v>
      </c>
      <c r="M354" s="1182" t="s">
        <v>1803</v>
      </c>
      <c r="N354" s="1182" t="s">
        <v>2595</v>
      </c>
      <c r="O354" s="1182" t="s">
        <v>1554</v>
      </c>
      <c r="P354" s="1182" t="s">
        <v>1575</v>
      </c>
      <c r="Q354" s="1182" t="s">
        <v>1574</v>
      </c>
      <c r="R354" s="1182" t="s">
        <v>1573</v>
      </c>
      <c r="S354" s="1182" t="s">
        <v>1572</v>
      </c>
      <c r="T354" s="1182" t="s">
        <v>1814</v>
      </c>
      <c r="U354" s="1182" t="s">
        <v>1815</v>
      </c>
      <c r="V354" s="1182">
        <v>0</v>
      </c>
      <c r="W354" s="1182">
        <v>0</v>
      </c>
      <c r="X354" s="1182">
        <v>0</v>
      </c>
      <c r="Y354" s="1543">
        <v>12000</v>
      </c>
      <c r="Z354" s="1182" t="s">
        <v>1940</v>
      </c>
      <c r="AA354" s="1182" t="s">
        <v>1941</v>
      </c>
      <c r="AB354" s="1182">
        <v>12000</v>
      </c>
      <c r="AC354" s="1182" t="s">
        <v>2596</v>
      </c>
      <c r="AD354" s="1182" t="s">
        <v>1572</v>
      </c>
      <c r="AE354" s="1182">
        <v>12000</v>
      </c>
      <c r="AF354" s="1182" t="s">
        <v>1943</v>
      </c>
      <c r="AG354" s="1182" t="s">
        <v>1944</v>
      </c>
      <c r="AH354" s="1182">
        <v>0</v>
      </c>
      <c r="AI354" s="1182">
        <v>12000</v>
      </c>
      <c r="AJ354" s="1182" t="s">
        <v>2791</v>
      </c>
      <c r="AL354" s="1186" t="s">
        <v>2792</v>
      </c>
      <c r="AM354" s="1182">
        <v>1</v>
      </c>
      <c r="AN354" s="1182">
        <v>0</v>
      </c>
      <c r="AO354" s="1182">
        <v>0</v>
      </c>
      <c r="AP354" s="1182">
        <v>0</v>
      </c>
      <c r="AQ354" s="1182" t="s">
        <v>1639</v>
      </c>
      <c r="AS354" s="1186" t="s">
        <v>1943</v>
      </c>
      <c r="AT354" s="1186" t="s">
        <v>1944</v>
      </c>
      <c r="AV354" s="1185">
        <v>0</v>
      </c>
      <c r="AW354" s="1185">
        <v>0</v>
      </c>
      <c r="AX354" s="1185">
        <v>0</v>
      </c>
      <c r="AY354" s="1539">
        <v>0</v>
      </c>
      <c r="AZ354" s="1185">
        <v>6000</v>
      </c>
      <c r="BA354" s="1185">
        <v>6000</v>
      </c>
      <c r="BB354" s="1540">
        <v>12000</v>
      </c>
      <c r="BC354" s="1540">
        <v>12000</v>
      </c>
      <c r="BD354" s="1540">
        <v>0</v>
      </c>
      <c r="BF354" s="1539">
        <f t="shared" si="82"/>
        <v>0</v>
      </c>
      <c r="BG354" s="1539">
        <f t="shared" si="83"/>
        <v>0</v>
      </c>
      <c r="BH354" s="1539">
        <f t="shared" si="84"/>
        <v>0</v>
      </c>
      <c r="BI354" s="1539">
        <f t="shared" si="85"/>
        <v>0</v>
      </c>
      <c r="BJ354" s="1539">
        <f t="shared" si="86"/>
        <v>6000</v>
      </c>
      <c r="BK354" s="1539">
        <f t="shared" si="87"/>
        <v>6000</v>
      </c>
      <c r="BL354" s="1539">
        <f t="shared" si="88"/>
        <v>12000</v>
      </c>
      <c r="BM354" s="1539">
        <f t="shared" si="89"/>
        <v>12000</v>
      </c>
      <c r="BO354" s="1183"/>
      <c r="BQ354" s="1182">
        <f t="shared" si="90"/>
        <v>0</v>
      </c>
      <c r="BR354" s="1182">
        <f t="shared" si="91"/>
        <v>0</v>
      </c>
    </row>
    <row r="355" spans="1:70" ht="13.5" customHeight="1">
      <c r="A355" s="1182" t="s">
        <v>1803</v>
      </c>
      <c r="B355" s="1182" t="s">
        <v>1804</v>
      </c>
      <c r="C355" s="1182" t="s">
        <v>1639</v>
      </c>
      <c r="D355" s="1182" t="s">
        <v>2590</v>
      </c>
      <c r="E355" s="1182" t="s">
        <v>2591</v>
      </c>
      <c r="F355" s="1182" t="s">
        <v>1972</v>
      </c>
      <c r="G355" s="1182" t="s">
        <v>1972</v>
      </c>
      <c r="H355" s="1182" t="s">
        <v>2750</v>
      </c>
      <c r="I355" s="1182" t="s">
        <v>1937</v>
      </c>
      <c r="J355" s="1182" t="s">
        <v>2793</v>
      </c>
      <c r="K355" s="1182" t="s">
        <v>1811</v>
      </c>
      <c r="L355" s="1182" t="s">
        <v>1812</v>
      </c>
      <c r="M355" s="1182" t="s">
        <v>1803</v>
      </c>
      <c r="N355" s="1182" t="s">
        <v>2595</v>
      </c>
      <c r="O355" s="1182" t="s">
        <v>1554</v>
      </c>
      <c r="P355" s="1182" t="s">
        <v>1575</v>
      </c>
      <c r="Q355" s="1182" t="s">
        <v>1574</v>
      </c>
      <c r="R355" s="1182" t="s">
        <v>1573</v>
      </c>
      <c r="S355" s="1182" t="s">
        <v>1572</v>
      </c>
      <c r="T355" s="1182" t="s">
        <v>1814</v>
      </c>
      <c r="U355" s="1182" t="s">
        <v>1815</v>
      </c>
      <c r="V355" s="1182">
        <v>0</v>
      </c>
      <c r="W355" s="1182">
        <v>0</v>
      </c>
      <c r="X355" s="1182">
        <v>0</v>
      </c>
      <c r="Y355" s="1543">
        <v>16000</v>
      </c>
      <c r="Z355" s="1182" t="s">
        <v>1940</v>
      </c>
      <c r="AA355" s="1182" t="s">
        <v>1941</v>
      </c>
      <c r="AB355" s="1182">
        <v>16000</v>
      </c>
      <c r="AC355" s="1182" t="s">
        <v>2596</v>
      </c>
      <c r="AD355" s="1182" t="s">
        <v>1572</v>
      </c>
      <c r="AE355" s="1182">
        <v>16000</v>
      </c>
      <c r="AF355" s="1182" t="s">
        <v>1943</v>
      </c>
      <c r="AG355" s="1182" t="s">
        <v>1944</v>
      </c>
      <c r="AH355" s="1182">
        <v>0</v>
      </c>
      <c r="AI355" s="1182">
        <v>16000</v>
      </c>
      <c r="AJ355" s="1182" t="s">
        <v>2794</v>
      </c>
      <c r="AL355" s="1186" t="s">
        <v>2795</v>
      </c>
      <c r="AM355" s="1182">
        <v>1</v>
      </c>
      <c r="AN355" s="1182">
        <v>0</v>
      </c>
      <c r="AO355" s="1182">
        <v>0</v>
      </c>
      <c r="AP355" s="1182">
        <v>0</v>
      </c>
      <c r="AQ355" s="1182" t="s">
        <v>1639</v>
      </c>
      <c r="AS355" s="1186" t="s">
        <v>1943</v>
      </c>
      <c r="AT355" s="1186" t="s">
        <v>1944</v>
      </c>
      <c r="AV355" s="1185">
        <v>0</v>
      </c>
      <c r="AW355" s="1185">
        <v>0</v>
      </c>
      <c r="AX355" s="1185">
        <v>0</v>
      </c>
      <c r="AY355" s="1539">
        <v>0</v>
      </c>
      <c r="AZ355" s="1185">
        <v>8000</v>
      </c>
      <c r="BA355" s="1185">
        <v>8000</v>
      </c>
      <c r="BB355" s="1540">
        <v>16000</v>
      </c>
      <c r="BC355" s="1540">
        <v>16000</v>
      </c>
      <c r="BD355" s="1540">
        <v>0</v>
      </c>
      <c r="BF355" s="1539">
        <f t="shared" si="82"/>
        <v>0</v>
      </c>
      <c r="BG355" s="1539">
        <f t="shared" si="83"/>
        <v>0</v>
      </c>
      <c r="BH355" s="1539">
        <f t="shared" si="84"/>
        <v>0</v>
      </c>
      <c r="BI355" s="1539">
        <f t="shared" si="85"/>
        <v>0</v>
      </c>
      <c r="BJ355" s="1539">
        <f t="shared" si="86"/>
        <v>8000</v>
      </c>
      <c r="BK355" s="1539">
        <f t="shared" si="87"/>
        <v>8000</v>
      </c>
      <c r="BL355" s="1539">
        <f t="shared" si="88"/>
        <v>16000</v>
      </c>
      <c r="BM355" s="1539">
        <f t="shared" si="89"/>
        <v>16000</v>
      </c>
      <c r="BO355" s="1183"/>
      <c r="BQ355" s="1182">
        <f t="shared" si="90"/>
        <v>0</v>
      </c>
      <c r="BR355" s="1182">
        <f t="shared" si="91"/>
        <v>0</v>
      </c>
    </row>
    <row r="356" spans="1:70" ht="13.5" customHeight="1">
      <c r="A356" s="1182" t="s">
        <v>1803</v>
      </c>
      <c r="B356" s="1182" t="s">
        <v>1804</v>
      </c>
      <c r="C356" s="1182" t="s">
        <v>1639</v>
      </c>
      <c r="D356" s="1182" t="s">
        <v>2866</v>
      </c>
      <c r="E356" s="1182" t="s">
        <v>2867</v>
      </c>
      <c r="F356" s="1182" t="s">
        <v>2868</v>
      </c>
      <c r="G356" s="1182" t="s">
        <v>2868</v>
      </c>
      <c r="H356" s="1182" t="s">
        <v>2869</v>
      </c>
      <c r="I356" s="1182" t="s">
        <v>1937</v>
      </c>
      <c r="J356" s="1182" t="s">
        <v>2870</v>
      </c>
      <c r="K356" s="1182" t="s">
        <v>1811</v>
      </c>
      <c r="L356" s="1182" t="s">
        <v>1812</v>
      </c>
      <c r="M356" s="1182" t="s">
        <v>1803</v>
      </c>
      <c r="N356" s="1182" t="s">
        <v>2871</v>
      </c>
      <c r="O356" s="1182" t="s">
        <v>1554</v>
      </c>
      <c r="P356" s="1182" t="s">
        <v>1563</v>
      </c>
      <c r="Q356" s="1182" t="s">
        <v>1467</v>
      </c>
      <c r="R356" s="1182" t="s">
        <v>1570</v>
      </c>
      <c r="S356" s="1182" t="s">
        <v>1639</v>
      </c>
      <c r="T356" s="1182" t="s">
        <v>1814</v>
      </c>
      <c r="U356" s="1182" t="s">
        <v>1815</v>
      </c>
      <c r="V356" s="1182">
        <v>0</v>
      </c>
      <c r="W356" s="1182">
        <v>0</v>
      </c>
      <c r="X356" s="1182">
        <v>0</v>
      </c>
      <c r="Y356" s="1183">
        <v>6794</v>
      </c>
      <c r="Z356" s="1182" t="s">
        <v>1940</v>
      </c>
      <c r="AA356" s="1182" t="s">
        <v>1941</v>
      </c>
      <c r="AB356" s="1182">
        <v>6794</v>
      </c>
      <c r="AC356" s="1182" t="s">
        <v>2872</v>
      </c>
      <c r="AD356" s="1182" t="s">
        <v>1570</v>
      </c>
      <c r="AE356" s="1182">
        <v>6794</v>
      </c>
      <c r="AF356" s="1182" t="s">
        <v>1943</v>
      </c>
      <c r="AG356" s="1182" t="s">
        <v>1944</v>
      </c>
      <c r="AH356" s="1182">
        <v>0</v>
      </c>
      <c r="AI356" s="1182">
        <v>6794</v>
      </c>
      <c r="AJ356" s="1182" t="s">
        <v>2873</v>
      </c>
      <c r="AL356" s="1186" t="s">
        <v>2874</v>
      </c>
      <c r="AM356" s="1182">
        <v>1</v>
      </c>
      <c r="AN356" s="1182">
        <v>0</v>
      </c>
      <c r="AO356" s="1182">
        <v>0</v>
      </c>
      <c r="AP356" s="1182" t="s">
        <v>2875</v>
      </c>
      <c r="AQ356" s="1182" t="s">
        <v>1639</v>
      </c>
      <c r="AS356" s="1186" t="s">
        <v>1943</v>
      </c>
      <c r="AT356" s="1186" t="s">
        <v>1944</v>
      </c>
      <c r="AV356" s="1185">
        <v>3397</v>
      </c>
      <c r="AW356" s="1185">
        <v>0</v>
      </c>
      <c r="AX356" s="1185">
        <v>0</v>
      </c>
      <c r="AY356" s="1539">
        <v>3397</v>
      </c>
      <c r="AZ356" s="1185">
        <v>0</v>
      </c>
      <c r="BA356" s="1185">
        <v>3397</v>
      </c>
      <c r="BB356" s="1540">
        <v>3397</v>
      </c>
      <c r="BC356" s="1540">
        <v>6794</v>
      </c>
      <c r="BD356" s="1540">
        <v>0</v>
      </c>
      <c r="BF356" s="1539">
        <f t="shared" si="82"/>
        <v>3397</v>
      </c>
      <c r="BG356" s="1539">
        <f t="shared" si="83"/>
        <v>0</v>
      </c>
      <c r="BH356" s="1539">
        <f t="shared" si="84"/>
        <v>0</v>
      </c>
      <c r="BI356" s="1539">
        <f t="shared" si="85"/>
        <v>3397</v>
      </c>
      <c r="BJ356" s="1539">
        <f t="shared" si="86"/>
        <v>0</v>
      </c>
      <c r="BK356" s="1539">
        <f t="shared" si="87"/>
        <v>3397</v>
      </c>
      <c r="BL356" s="1539">
        <f t="shared" si="88"/>
        <v>3397</v>
      </c>
      <c r="BM356" s="1539">
        <f t="shared" si="89"/>
        <v>6794</v>
      </c>
      <c r="BO356" s="1183"/>
      <c r="BQ356" s="1182">
        <f t="shared" si="90"/>
        <v>0</v>
      </c>
      <c r="BR356" s="1182">
        <f t="shared" si="91"/>
        <v>0</v>
      </c>
    </row>
    <row r="357" spans="1:70" ht="13.5" customHeight="1">
      <c r="A357" s="1182" t="s">
        <v>1803</v>
      </c>
      <c r="B357" s="1182" t="s">
        <v>1804</v>
      </c>
      <c r="C357" s="1182" t="s">
        <v>1639</v>
      </c>
      <c r="D357" s="1182" t="s">
        <v>2866</v>
      </c>
      <c r="E357" s="1182" t="s">
        <v>2867</v>
      </c>
      <c r="F357" s="1182" t="s">
        <v>2876</v>
      </c>
      <c r="G357" s="1182" t="s">
        <v>2876</v>
      </c>
      <c r="H357" s="1182" t="s">
        <v>2877</v>
      </c>
      <c r="I357" s="1182" t="s">
        <v>1937</v>
      </c>
      <c r="J357" s="1182" t="s">
        <v>2878</v>
      </c>
      <c r="K357" s="1182" t="s">
        <v>1811</v>
      </c>
      <c r="L357" s="1182" t="s">
        <v>1812</v>
      </c>
      <c r="M357" s="1182" t="s">
        <v>1803</v>
      </c>
      <c r="N357" s="1182" t="s">
        <v>2871</v>
      </c>
      <c r="O357" s="1182" t="s">
        <v>1554</v>
      </c>
      <c r="P357" s="1182" t="s">
        <v>1563</v>
      </c>
      <c r="Q357" s="1182" t="s">
        <v>1467</v>
      </c>
      <c r="R357" s="1182" t="s">
        <v>1570</v>
      </c>
      <c r="S357" s="1182" t="s">
        <v>1639</v>
      </c>
      <c r="T357" s="1182" t="s">
        <v>1814</v>
      </c>
      <c r="U357" s="1182" t="s">
        <v>1815</v>
      </c>
      <c r="V357" s="1182">
        <v>0</v>
      </c>
      <c r="W357" s="1182">
        <v>0</v>
      </c>
      <c r="X357" s="1182">
        <v>0</v>
      </c>
      <c r="Y357" s="1183">
        <v>25890</v>
      </c>
      <c r="Z357" s="1182" t="s">
        <v>1940</v>
      </c>
      <c r="AA357" s="1182" t="s">
        <v>1941</v>
      </c>
      <c r="AB357" s="1182">
        <v>25890</v>
      </c>
      <c r="AC357" s="1182" t="s">
        <v>2872</v>
      </c>
      <c r="AD357" s="1182" t="s">
        <v>1570</v>
      </c>
      <c r="AE357" s="1182">
        <v>25890</v>
      </c>
      <c r="AF357" s="1182" t="s">
        <v>1943</v>
      </c>
      <c r="AG357" s="1182" t="s">
        <v>1944</v>
      </c>
      <c r="AH357" s="1182">
        <v>0</v>
      </c>
      <c r="AI357" s="1182">
        <v>25890</v>
      </c>
      <c r="AJ357" s="1182" t="s">
        <v>2873</v>
      </c>
      <c r="AL357" s="1186" t="s">
        <v>2879</v>
      </c>
      <c r="AM357" s="1182">
        <v>1</v>
      </c>
      <c r="AN357" s="1182">
        <v>0</v>
      </c>
      <c r="AO357" s="1182">
        <v>0</v>
      </c>
      <c r="AP357" s="1182" t="s">
        <v>2875</v>
      </c>
      <c r="AQ357" s="1182" t="s">
        <v>1639</v>
      </c>
      <c r="AS357" s="1186" t="s">
        <v>1943</v>
      </c>
      <c r="AT357" s="1186" t="s">
        <v>1944</v>
      </c>
      <c r="AV357" s="1185">
        <v>12945</v>
      </c>
      <c r="AW357" s="1185">
        <v>0</v>
      </c>
      <c r="AX357" s="1185">
        <v>0</v>
      </c>
      <c r="AY357" s="1539">
        <v>12945</v>
      </c>
      <c r="AZ357" s="1185">
        <v>0</v>
      </c>
      <c r="BA357" s="1185">
        <v>12945</v>
      </c>
      <c r="BB357" s="1540">
        <v>12945</v>
      </c>
      <c r="BC357" s="1540">
        <v>25890</v>
      </c>
      <c r="BD357" s="1540">
        <v>0</v>
      </c>
      <c r="BF357" s="1539">
        <f t="shared" si="82"/>
        <v>12945</v>
      </c>
      <c r="BG357" s="1539">
        <f t="shared" si="83"/>
        <v>0</v>
      </c>
      <c r="BH357" s="1539">
        <f t="shared" si="84"/>
        <v>0</v>
      </c>
      <c r="BI357" s="1539">
        <f t="shared" si="85"/>
        <v>12945</v>
      </c>
      <c r="BJ357" s="1539">
        <f t="shared" si="86"/>
        <v>0</v>
      </c>
      <c r="BK357" s="1539">
        <f t="shared" si="87"/>
        <v>12945</v>
      </c>
      <c r="BL357" s="1539">
        <f t="shared" si="88"/>
        <v>12945</v>
      </c>
      <c r="BM357" s="1539">
        <f t="shared" si="89"/>
        <v>25890</v>
      </c>
      <c r="BO357" s="1183"/>
      <c r="BQ357" s="1182">
        <f t="shared" si="90"/>
        <v>0</v>
      </c>
      <c r="BR357" s="1182">
        <f t="shared" si="91"/>
        <v>0</v>
      </c>
    </row>
    <row r="358" spans="1:70" ht="13.5" customHeight="1">
      <c r="A358" s="1182" t="s">
        <v>1803</v>
      </c>
      <c r="B358" s="1182" t="s">
        <v>1804</v>
      </c>
      <c r="C358" s="1182" t="s">
        <v>1639</v>
      </c>
      <c r="D358" s="1182" t="s">
        <v>2866</v>
      </c>
      <c r="E358" s="1182" t="s">
        <v>2867</v>
      </c>
      <c r="F358" s="1182" t="s">
        <v>1864</v>
      </c>
      <c r="G358" s="1182" t="s">
        <v>1864</v>
      </c>
      <c r="H358" s="1182" t="s">
        <v>2880</v>
      </c>
      <c r="I358" s="1182" t="s">
        <v>1809</v>
      </c>
      <c r="J358" s="1182" t="s">
        <v>2881</v>
      </c>
      <c r="K358" s="1182" t="s">
        <v>1811</v>
      </c>
      <c r="L358" s="1182" t="s">
        <v>1812</v>
      </c>
      <c r="M358" s="1182" t="s">
        <v>1803</v>
      </c>
      <c r="N358" s="1182" t="s">
        <v>2871</v>
      </c>
      <c r="O358" s="1182" t="s">
        <v>1554</v>
      </c>
      <c r="P358" s="1182" t="s">
        <v>1563</v>
      </c>
      <c r="Q358" s="1182" t="s">
        <v>1467</v>
      </c>
      <c r="R358" s="1182" t="s">
        <v>1570</v>
      </c>
      <c r="S358" s="1182" t="s">
        <v>1639</v>
      </c>
      <c r="T358" s="1182" t="s">
        <v>1814</v>
      </c>
      <c r="U358" s="1182" t="s">
        <v>1815</v>
      </c>
      <c r="V358" s="1182">
        <v>0</v>
      </c>
      <c r="W358" s="1182">
        <v>0</v>
      </c>
      <c r="X358" s="1182">
        <v>0</v>
      </c>
      <c r="Y358" s="1183">
        <v>26168</v>
      </c>
      <c r="Z358" s="1182" t="s">
        <v>2882</v>
      </c>
      <c r="AA358" s="1182" t="s">
        <v>2883</v>
      </c>
      <c r="AB358" s="1182">
        <v>26168</v>
      </c>
      <c r="AC358" s="1182" t="s">
        <v>2872</v>
      </c>
      <c r="AD358" s="1182" t="s">
        <v>1570</v>
      </c>
      <c r="AE358" s="1182">
        <v>26168</v>
      </c>
      <c r="AF358" s="1182" t="s">
        <v>1943</v>
      </c>
      <c r="AG358" s="1182" t="s">
        <v>1944</v>
      </c>
      <c r="AH358" s="1182">
        <v>0</v>
      </c>
      <c r="AI358" s="1182">
        <v>26168</v>
      </c>
      <c r="AJ358" s="1182" t="s">
        <v>2884</v>
      </c>
      <c r="AL358" s="1186" t="s">
        <v>2885</v>
      </c>
      <c r="AM358" s="1182">
        <v>1</v>
      </c>
      <c r="AN358" s="1182">
        <v>0</v>
      </c>
      <c r="AO358" s="1182">
        <v>0</v>
      </c>
      <c r="AP358" s="1182" t="s">
        <v>2875</v>
      </c>
      <c r="AQ358" s="1182" t="s">
        <v>1639</v>
      </c>
      <c r="AS358" s="1186" t="s">
        <v>1943</v>
      </c>
      <c r="AT358" s="1186" t="s">
        <v>1944</v>
      </c>
      <c r="AV358" s="1185">
        <v>13084</v>
      </c>
      <c r="AW358" s="1185">
        <v>0</v>
      </c>
      <c r="AX358" s="1185">
        <v>0</v>
      </c>
      <c r="AY358" s="1539">
        <v>13084</v>
      </c>
      <c r="AZ358" s="1185">
        <v>0</v>
      </c>
      <c r="BA358" s="1185">
        <v>13084</v>
      </c>
      <c r="BB358" s="1540">
        <v>13084</v>
      </c>
      <c r="BC358" s="1540">
        <v>26168</v>
      </c>
      <c r="BD358" s="1540">
        <v>0</v>
      </c>
      <c r="BF358" s="1539">
        <f t="shared" si="82"/>
        <v>13084</v>
      </c>
      <c r="BG358" s="1539">
        <f t="shared" si="83"/>
        <v>0</v>
      </c>
      <c r="BH358" s="1539">
        <f t="shared" si="84"/>
        <v>0</v>
      </c>
      <c r="BI358" s="1539">
        <f t="shared" si="85"/>
        <v>13084</v>
      </c>
      <c r="BJ358" s="1539">
        <f t="shared" si="86"/>
        <v>0</v>
      </c>
      <c r="BK358" s="1539">
        <f t="shared" si="87"/>
        <v>13084</v>
      </c>
      <c r="BL358" s="1539">
        <f t="shared" si="88"/>
        <v>13084</v>
      </c>
      <c r="BM358" s="1539">
        <f t="shared" si="89"/>
        <v>26168</v>
      </c>
      <c r="BO358" s="1183"/>
      <c r="BQ358" s="1182">
        <f t="shared" si="90"/>
        <v>0</v>
      </c>
      <c r="BR358" s="1182">
        <f t="shared" si="91"/>
        <v>0</v>
      </c>
    </row>
    <row r="359" spans="1:70" ht="13.5" customHeight="1">
      <c r="A359" s="1182" t="s">
        <v>1803</v>
      </c>
      <c r="B359" s="1182" t="s">
        <v>1804</v>
      </c>
      <c r="C359" s="1182" t="s">
        <v>1639</v>
      </c>
      <c r="D359" s="1182" t="s">
        <v>2866</v>
      </c>
      <c r="E359" s="1182" t="s">
        <v>2867</v>
      </c>
      <c r="F359" s="1182" t="s">
        <v>1852</v>
      </c>
      <c r="G359" s="1182" t="s">
        <v>1852</v>
      </c>
      <c r="H359" s="1182" t="s">
        <v>2886</v>
      </c>
      <c r="I359" s="1182" t="s">
        <v>1937</v>
      </c>
      <c r="J359" s="1182" t="s">
        <v>2887</v>
      </c>
      <c r="K359" s="1182" t="s">
        <v>1811</v>
      </c>
      <c r="L359" s="1182" t="s">
        <v>1812</v>
      </c>
      <c r="M359" s="1182" t="s">
        <v>1803</v>
      </c>
      <c r="N359" s="1182" t="s">
        <v>2871</v>
      </c>
      <c r="O359" s="1182" t="s">
        <v>1554</v>
      </c>
      <c r="P359" s="1182" t="s">
        <v>1563</v>
      </c>
      <c r="Q359" s="1182" t="s">
        <v>1467</v>
      </c>
      <c r="R359" s="1182" t="s">
        <v>1570</v>
      </c>
      <c r="S359" s="1182" t="s">
        <v>1639</v>
      </c>
      <c r="T359" s="1182" t="s">
        <v>1814</v>
      </c>
      <c r="U359" s="1182" t="s">
        <v>1815</v>
      </c>
      <c r="V359" s="1182">
        <v>0</v>
      </c>
      <c r="W359" s="1182">
        <v>0</v>
      </c>
      <c r="X359" s="1182">
        <v>0</v>
      </c>
      <c r="Y359" s="1183">
        <v>29918</v>
      </c>
      <c r="Z359" s="1182" t="s">
        <v>1940</v>
      </c>
      <c r="AA359" s="1182" t="s">
        <v>1941</v>
      </c>
      <c r="AB359" s="1182">
        <v>29918</v>
      </c>
      <c r="AC359" s="1182" t="s">
        <v>2872</v>
      </c>
      <c r="AD359" s="1182" t="s">
        <v>1570</v>
      </c>
      <c r="AE359" s="1182">
        <v>29918</v>
      </c>
      <c r="AF359" s="1182" t="s">
        <v>1943</v>
      </c>
      <c r="AG359" s="1182" t="s">
        <v>1944</v>
      </c>
      <c r="AH359" s="1182">
        <v>0</v>
      </c>
      <c r="AI359" s="1182">
        <v>29918</v>
      </c>
      <c r="AJ359" s="1182" t="s">
        <v>2884</v>
      </c>
      <c r="AL359" s="1186" t="s">
        <v>2888</v>
      </c>
      <c r="AM359" s="1182">
        <v>1</v>
      </c>
      <c r="AN359" s="1182">
        <v>0</v>
      </c>
      <c r="AO359" s="1182">
        <v>0</v>
      </c>
      <c r="AP359" s="1182" t="s">
        <v>2875</v>
      </c>
      <c r="AQ359" s="1182" t="s">
        <v>1639</v>
      </c>
      <c r="AS359" s="1186" t="s">
        <v>1943</v>
      </c>
      <c r="AT359" s="1186" t="s">
        <v>1944</v>
      </c>
      <c r="AV359" s="1185">
        <v>14959</v>
      </c>
      <c r="AW359" s="1185">
        <v>0</v>
      </c>
      <c r="AX359" s="1185">
        <v>0</v>
      </c>
      <c r="AY359" s="1539">
        <v>14959</v>
      </c>
      <c r="AZ359" s="1185">
        <v>0</v>
      </c>
      <c r="BA359" s="1185">
        <v>14959</v>
      </c>
      <c r="BB359" s="1540">
        <v>14959</v>
      </c>
      <c r="BC359" s="1540">
        <v>29918</v>
      </c>
      <c r="BD359" s="1540">
        <v>0</v>
      </c>
      <c r="BF359" s="1539">
        <f t="shared" si="82"/>
        <v>14959</v>
      </c>
      <c r="BG359" s="1539">
        <f t="shared" si="83"/>
        <v>0</v>
      </c>
      <c r="BH359" s="1539">
        <f t="shared" si="84"/>
        <v>0</v>
      </c>
      <c r="BI359" s="1539">
        <f t="shared" si="85"/>
        <v>14959</v>
      </c>
      <c r="BJ359" s="1539">
        <f t="shared" si="86"/>
        <v>0</v>
      </c>
      <c r="BK359" s="1539">
        <f t="shared" si="87"/>
        <v>14959</v>
      </c>
      <c r="BL359" s="1539">
        <f t="shared" si="88"/>
        <v>14959</v>
      </c>
      <c r="BM359" s="1539">
        <f t="shared" si="89"/>
        <v>29918</v>
      </c>
      <c r="BO359" s="1183"/>
      <c r="BQ359" s="1182">
        <f t="shared" si="90"/>
        <v>0</v>
      </c>
      <c r="BR359" s="1182">
        <f t="shared" si="91"/>
        <v>0</v>
      </c>
    </row>
    <row r="360" spans="1:70" ht="13.5" customHeight="1">
      <c r="A360" s="1182" t="s">
        <v>1803</v>
      </c>
      <c r="B360" s="1182" t="s">
        <v>1804</v>
      </c>
      <c r="C360" s="1182" t="s">
        <v>1639</v>
      </c>
      <c r="D360" s="1182" t="s">
        <v>2590</v>
      </c>
      <c r="E360" s="1182" t="s">
        <v>2591</v>
      </c>
      <c r="F360" s="1182" t="s">
        <v>1864</v>
      </c>
      <c r="G360" s="1182" t="s">
        <v>1864</v>
      </c>
      <c r="H360" s="1182" t="s">
        <v>4745</v>
      </c>
      <c r="I360" s="1182" t="s">
        <v>2933</v>
      </c>
      <c r="J360" s="1182" t="s">
        <v>4746</v>
      </c>
      <c r="K360" s="1182" t="s">
        <v>1811</v>
      </c>
      <c r="L360" s="1182" t="s">
        <v>1812</v>
      </c>
      <c r="M360" s="1182" t="s">
        <v>1803</v>
      </c>
      <c r="N360" s="1182" t="s">
        <v>2891</v>
      </c>
      <c r="O360" s="1182" t="s">
        <v>1554</v>
      </c>
      <c r="P360" s="1182" t="s">
        <v>1563</v>
      </c>
      <c r="Q360" s="1182" t="s">
        <v>1566</v>
      </c>
      <c r="R360" s="1182" t="s">
        <v>1568</v>
      </c>
      <c r="S360" s="1182" t="s">
        <v>1639</v>
      </c>
      <c r="T360" s="1182" t="s">
        <v>1814</v>
      </c>
      <c r="U360" s="1182" t="s">
        <v>1815</v>
      </c>
      <c r="V360" s="1182">
        <v>0</v>
      </c>
      <c r="W360" s="1182">
        <v>0</v>
      </c>
      <c r="X360" s="1182">
        <v>0</v>
      </c>
      <c r="Y360" s="1183">
        <v>-117252</v>
      </c>
      <c r="Z360" s="1182" t="s">
        <v>2894</v>
      </c>
      <c r="AA360" s="1182" t="s">
        <v>1568</v>
      </c>
      <c r="AB360" s="1182">
        <v>117252</v>
      </c>
      <c r="AC360" s="1182" t="s">
        <v>4764</v>
      </c>
      <c r="AD360" s="1182" t="s">
        <v>4765</v>
      </c>
      <c r="AE360" s="1182">
        <v>117252</v>
      </c>
      <c r="AF360" s="1182" t="s">
        <v>4437</v>
      </c>
      <c r="AG360" s="1182" t="s">
        <v>1820</v>
      </c>
      <c r="AH360" s="1182">
        <v>-10659</v>
      </c>
      <c r="AI360" s="1182">
        <v>-106593</v>
      </c>
      <c r="AJ360" s="1182" t="s">
        <v>1639</v>
      </c>
      <c r="AL360" s="1186" t="s">
        <v>4747</v>
      </c>
      <c r="AM360" s="1182">
        <v>2</v>
      </c>
      <c r="AN360" s="1182">
        <v>17</v>
      </c>
      <c r="AO360" s="1182">
        <v>10</v>
      </c>
      <c r="AQ360" s="1182" t="s">
        <v>1639</v>
      </c>
      <c r="AS360" s="1186">
        <v>17</v>
      </c>
      <c r="AT360" s="1186">
        <v>10</v>
      </c>
      <c r="AV360" s="1185">
        <v>-117252</v>
      </c>
      <c r="AW360" s="1185"/>
      <c r="AX360" s="1185"/>
      <c r="AY360" s="1539">
        <v>-117252</v>
      </c>
      <c r="AZ360" s="1185"/>
      <c r="BA360" s="1185"/>
      <c r="BB360" s="1540">
        <v>0</v>
      </c>
      <c r="BC360" s="1540">
        <v>-117252</v>
      </c>
      <c r="BD360" s="1540">
        <v>0</v>
      </c>
      <c r="BF360" s="1539">
        <f t="shared" si="82"/>
        <v>-106593</v>
      </c>
      <c r="BG360" s="1539">
        <f t="shared" si="83"/>
        <v>0</v>
      </c>
      <c r="BH360" s="1539">
        <f t="shared" si="84"/>
        <v>0</v>
      </c>
      <c r="BI360" s="1539">
        <f t="shared" si="85"/>
        <v>-106593</v>
      </c>
      <c r="BJ360" s="1539">
        <f t="shared" si="86"/>
        <v>0</v>
      </c>
      <c r="BK360" s="1539">
        <f t="shared" si="87"/>
        <v>0</v>
      </c>
      <c r="BL360" s="1539">
        <f t="shared" si="88"/>
        <v>0</v>
      </c>
      <c r="BM360" s="1539">
        <f t="shared" si="89"/>
        <v>-106593</v>
      </c>
      <c r="BO360" s="1183"/>
      <c r="BQ360" s="1182">
        <f t="shared" si="90"/>
        <v>0.27272727272065822</v>
      </c>
      <c r="BR360" s="1182">
        <f t="shared" si="91"/>
        <v>0</v>
      </c>
    </row>
    <row r="361" spans="1:70" ht="13.5" customHeight="1">
      <c r="A361" s="1182" t="s">
        <v>1803</v>
      </c>
      <c r="B361" s="1182" t="s">
        <v>1804</v>
      </c>
      <c r="C361" s="1182" t="s">
        <v>1639</v>
      </c>
      <c r="D361" s="1182" t="s">
        <v>2590</v>
      </c>
      <c r="E361" s="1182" t="s">
        <v>2591</v>
      </c>
      <c r="F361" s="1182" t="s">
        <v>2323</v>
      </c>
      <c r="G361" s="1182" t="s">
        <v>2323</v>
      </c>
      <c r="H361" s="1182" t="s">
        <v>2889</v>
      </c>
      <c r="I361" s="1182" t="s">
        <v>1809</v>
      </c>
      <c r="J361" s="1182" t="s">
        <v>2890</v>
      </c>
      <c r="K361" s="1182" t="s">
        <v>1811</v>
      </c>
      <c r="L361" s="1182" t="s">
        <v>1812</v>
      </c>
      <c r="M361" s="1182" t="s">
        <v>1803</v>
      </c>
      <c r="N361" s="1182" t="s">
        <v>2891</v>
      </c>
      <c r="O361" s="1182" t="s">
        <v>1554</v>
      </c>
      <c r="P361" s="1182" t="s">
        <v>1563</v>
      </c>
      <c r="Q361" s="1182" t="s">
        <v>1566</v>
      </c>
      <c r="R361" s="1182" t="s">
        <v>1568</v>
      </c>
      <c r="S361" s="1182" t="s">
        <v>1639</v>
      </c>
      <c r="T361" s="1182" t="s">
        <v>1814</v>
      </c>
      <c r="U361" s="1182" t="s">
        <v>1815</v>
      </c>
      <c r="V361" s="1182">
        <v>0</v>
      </c>
      <c r="W361" s="1182">
        <v>0</v>
      </c>
      <c r="X361" s="1182">
        <v>0</v>
      </c>
      <c r="Y361" s="1183">
        <v>2934622</v>
      </c>
      <c r="Z361" s="1182" t="s">
        <v>2892</v>
      </c>
      <c r="AA361" s="1182" t="s">
        <v>2893</v>
      </c>
      <c r="AB361" s="1182">
        <v>2934622</v>
      </c>
      <c r="AC361" s="1182" t="s">
        <v>2894</v>
      </c>
      <c r="AD361" s="1182" t="s">
        <v>1568</v>
      </c>
      <c r="AE361" s="1182">
        <v>2934622</v>
      </c>
      <c r="AF361" s="1182" t="s">
        <v>2895</v>
      </c>
      <c r="AG361" s="1182" t="s">
        <v>1820</v>
      </c>
      <c r="AH361" s="1182">
        <v>266783</v>
      </c>
      <c r="AI361" s="1182">
        <v>2667839</v>
      </c>
      <c r="AJ361" s="1182" t="s">
        <v>2896</v>
      </c>
      <c r="AL361" s="1186" t="s">
        <v>2897</v>
      </c>
      <c r="AM361" s="1182">
        <v>2</v>
      </c>
      <c r="AN361" s="1182">
        <v>17</v>
      </c>
      <c r="AO361" s="1182">
        <v>10</v>
      </c>
      <c r="AP361" s="1182">
        <v>0</v>
      </c>
      <c r="AQ361" s="1182" t="s">
        <v>1639</v>
      </c>
      <c r="AS361" s="1186">
        <v>17</v>
      </c>
      <c r="AT361" s="1186">
        <v>10</v>
      </c>
      <c r="AV361" s="1183">
        <v>2934622</v>
      </c>
      <c r="AW361" s="1183">
        <v>0</v>
      </c>
      <c r="AX361" s="1183">
        <v>0</v>
      </c>
      <c r="AY361" s="1538">
        <v>2934622</v>
      </c>
      <c r="AZ361" s="1183">
        <v>0</v>
      </c>
      <c r="BA361" s="1183">
        <v>0</v>
      </c>
      <c r="BB361" s="1540">
        <v>0</v>
      </c>
      <c r="BC361" s="1540">
        <v>2934622</v>
      </c>
      <c r="BD361" s="1540">
        <v>0</v>
      </c>
      <c r="BF361" s="1539">
        <f t="shared" si="82"/>
        <v>2667838</v>
      </c>
      <c r="BG361" s="1539">
        <f t="shared" si="83"/>
        <v>0</v>
      </c>
      <c r="BH361" s="1539">
        <f t="shared" si="84"/>
        <v>0</v>
      </c>
      <c r="BI361" s="1539">
        <f t="shared" si="85"/>
        <v>2667838</v>
      </c>
      <c r="BJ361" s="1539">
        <f t="shared" si="86"/>
        <v>0</v>
      </c>
      <c r="BK361" s="1539">
        <f t="shared" si="87"/>
        <v>0</v>
      </c>
      <c r="BL361" s="1539">
        <f t="shared" si="88"/>
        <v>0</v>
      </c>
      <c r="BM361" s="1539">
        <f t="shared" si="89"/>
        <v>2667838</v>
      </c>
      <c r="BO361" s="1183"/>
      <c r="BQ361" s="1182">
        <f t="shared" si="90"/>
        <v>0.18181818164885044</v>
      </c>
      <c r="BR361" s="1182">
        <f t="shared" si="91"/>
        <v>0</v>
      </c>
    </row>
    <row r="362" spans="1:70" ht="13.5" customHeight="1">
      <c r="A362" s="1182" t="s">
        <v>1803</v>
      </c>
      <c r="B362" s="1182" t="s">
        <v>1804</v>
      </c>
      <c r="C362" s="1182" t="s">
        <v>1639</v>
      </c>
      <c r="D362" s="1182" t="s">
        <v>2590</v>
      </c>
      <c r="E362" s="1182" t="s">
        <v>2591</v>
      </c>
      <c r="F362" s="1182" t="s">
        <v>1864</v>
      </c>
      <c r="G362" s="1182" t="s">
        <v>1864</v>
      </c>
      <c r="H362" s="1182" t="s">
        <v>4748</v>
      </c>
      <c r="I362" s="1182" t="s">
        <v>2933</v>
      </c>
      <c r="J362" s="1182" t="s">
        <v>4749</v>
      </c>
      <c r="K362" s="1182" t="s">
        <v>1811</v>
      </c>
      <c r="L362" s="1182" t="s">
        <v>1812</v>
      </c>
      <c r="M362" s="1182" t="s">
        <v>1803</v>
      </c>
      <c r="N362" s="1182" t="s">
        <v>2891</v>
      </c>
      <c r="O362" s="1182" t="s">
        <v>1554</v>
      </c>
      <c r="P362" s="1182" t="s">
        <v>1563</v>
      </c>
      <c r="Q362" s="1182" t="s">
        <v>1566</v>
      </c>
      <c r="R362" s="1182" t="s">
        <v>1568</v>
      </c>
      <c r="S362" s="1182" t="s">
        <v>1639</v>
      </c>
      <c r="T362" s="1182" t="s">
        <v>1814</v>
      </c>
      <c r="U362" s="1182" t="s">
        <v>1815</v>
      </c>
      <c r="V362" s="1182">
        <v>0</v>
      </c>
      <c r="W362" s="1182">
        <v>0</v>
      </c>
      <c r="X362" s="1182">
        <v>0</v>
      </c>
      <c r="Y362" s="1183">
        <v>-222</v>
      </c>
      <c r="Z362" s="1182" t="s">
        <v>2894</v>
      </c>
      <c r="AA362" s="1182" t="s">
        <v>1568</v>
      </c>
      <c r="AB362" s="1182">
        <v>222</v>
      </c>
      <c r="AC362" s="1182" t="s">
        <v>4764</v>
      </c>
      <c r="AD362" s="1182" t="s">
        <v>4765</v>
      </c>
      <c r="AE362" s="1182">
        <v>222</v>
      </c>
      <c r="AF362" s="1182" t="s">
        <v>4437</v>
      </c>
      <c r="AG362" s="1182" t="s">
        <v>1820</v>
      </c>
      <c r="AH362" s="1182">
        <v>-20</v>
      </c>
      <c r="AI362" s="1182">
        <v>-202</v>
      </c>
      <c r="AJ362" s="1182" t="s">
        <v>1639</v>
      </c>
      <c r="AL362" s="1186" t="s">
        <v>4750</v>
      </c>
      <c r="AM362" s="1182">
        <v>2</v>
      </c>
      <c r="AN362" s="1182">
        <v>17</v>
      </c>
      <c r="AO362" s="1182">
        <v>10</v>
      </c>
      <c r="AQ362" s="1182" t="s">
        <v>1639</v>
      </c>
      <c r="AS362" s="1186">
        <v>17</v>
      </c>
      <c r="AT362" s="1186">
        <v>10</v>
      </c>
      <c r="AV362" s="1183">
        <v>-222</v>
      </c>
      <c r="AY362" s="1538">
        <v>-222</v>
      </c>
      <c r="BB362" s="1540">
        <v>0</v>
      </c>
      <c r="BC362" s="1540">
        <v>-222</v>
      </c>
      <c r="BD362" s="1540">
        <v>0</v>
      </c>
      <c r="BF362" s="1539">
        <f t="shared" si="82"/>
        <v>-202</v>
      </c>
      <c r="BG362" s="1539">
        <f t="shared" si="83"/>
        <v>0</v>
      </c>
      <c r="BH362" s="1539">
        <f t="shared" si="84"/>
        <v>0</v>
      </c>
      <c r="BI362" s="1539">
        <f t="shared" si="85"/>
        <v>-202</v>
      </c>
      <c r="BJ362" s="1539">
        <f t="shared" si="86"/>
        <v>0</v>
      </c>
      <c r="BK362" s="1539">
        <f t="shared" si="87"/>
        <v>0</v>
      </c>
      <c r="BL362" s="1539">
        <f t="shared" si="88"/>
        <v>0</v>
      </c>
      <c r="BM362" s="1539">
        <f t="shared" si="89"/>
        <v>-202</v>
      </c>
      <c r="BO362" s="1183"/>
      <c r="BQ362" s="1182">
        <f t="shared" si="90"/>
        <v>0.18181818181818699</v>
      </c>
      <c r="BR362" s="1182">
        <f t="shared" si="91"/>
        <v>0</v>
      </c>
    </row>
    <row r="363" spans="1:70" ht="13.5" customHeight="1">
      <c r="A363" s="1182" t="s">
        <v>1803</v>
      </c>
      <c r="B363" s="1182" t="s">
        <v>1804</v>
      </c>
      <c r="C363" s="1182" t="s">
        <v>1639</v>
      </c>
      <c r="D363" s="1182" t="s">
        <v>2590</v>
      </c>
      <c r="E363" s="1182" t="s">
        <v>2591</v>
      </c>
      <c r="F363" s="1182" t="s">
        <v>2323</v>
      </c>
      <c r="G363" s="1182" t="s">
        <v>2323</v>
      </c>
      <c r="H363" s="1182" t="s">
        <v>2898</v>
      </c>
      <c r="I363" s="1182" t="s">
        <v>1809</v>
      </c>
      <c r="J363" s="1182" t="s">
        <v>2899</v>
      </c>
      <c r="K363" s="1182" t="s">
        <v>1811</v>
      </c>
      <c r="L363" s="1182" t="s">
        <v>1812</v>
      </c>
      <c r="M363" s="1182" t="s">
        <v>1803</v>
      </c>
      <c r="N363" s="1182" t="s">
        <v>2891</v>
      </c>
      <c r="O363" s="1182" t="s">
        <v>1554</v>
      </c>
      <c r="P363" s="1182" t="s">
        <v>1563</v>
      </c>
      <c r="Q363" s="1182" t="s">
        <v>1566</v>
      </c>
      <c r="R363" s="1182" t="s">
        <v>1568</v>
      </c>
      <c r="S363" s="1182" t="s">
        <v>1639</v>
      </c>
      <c r="T363" s="1182" t="s">
        <v>1814</v>
      </c>
      <c r="U363" s="1182" t="s">
        <v>1815</v>
      </c>
      <c r="V363" s="1182">
        <v>0</v>
      </c>
      <c r="W363" s="1182">
        <v>0</v>
      </c>
      <c r="X363" s="1182">
        <v>0</v>
      </c>
      <c r="Y363" s="1183">
        <v>10624</v>
      </c>
      <c r="Z363" s="1182" t="s">
        <v>2892</v>
      </c>
      <c r="AA363" s="1182" t="s">
        <v>2893</v>
      </c>
      <c r="AB363" s="1182">
        <v>10624</v>
      </c>
      <c r="AC363" s="1182" t="s">
        <v>2894</v>
      </c>
      <c r="AD363" s="1182" t="s">
        <v>1568</v>
      </c>
      <c r="AE363" s="1182">
        <v>10624</v>
      </c>
      <c r="AF363" s="1182" t="s">
        <v>2895</v>
      </c>
      <c r="AG363" s="1182" t="s">
        <v>1820</v>
      </c>
      <c r="AH363" s="1182">
        <v>965</v>
      </c>
      <c r="AI363" s="1182">
        <v>9659</v>
      </c>
      <c r="AJ363" s="1182" t="s">
        <v>2900</v>
      </c>
      <c r="AL363" s="1186" t="s">
        <v>2901</v>
      </c>
      <c r="AM363" s="1182">
        <v>2</v>
      </c>
      <c r="AN363" s="1182">
        <v>17</v>
      </c>
      <c r="AO363" s="1182">
        <v>10</v>
      </c>
      <c r="AP363" s="1182">
        <v>0</v>
      </c>
      <c r="AQ363" s="1182" t="s">
        <v>1639</v>
      </c>
      <c r="AS363" s="1186">
        <v>17</v>
      </c>
      <c r="AT363" s="1186">
        <v>10</v>
      </c>
      <c r="AV363" s="1183">
        <v>10624</v>
      </c>
      <c r="AW363" s="1183">
        <v>0</v>
      </c>
      <c r="AX363" s="1183">
        <v>0</v>
      </c>
      <c r="AY363" s="1538">
        <v>10624</v>
      </c>
      <c r="AZ363" s="1183">
        <v>0</v>
      </c>
      <c r="BA363" s="1183">
        <v>0</v>
      </c>
      <c r="BB363" s="1540">
        <v>0</v>
      </c>
      <c r="BC363" s="1540">
        <v>10624</v>
      </c>
      <c r="BD363" s="1540">
        <v>0</v>
      </c>
      <c r="BF363" s="1539">
        <f t="shared" si="82"/>
        <v>9658</v>
      </c>
      <c r="BG363" s="1539">
        <f t="shared" si="83"/>
        <v>0</v>
      </c>
      <c r="BH363" s="1539">
        <f t="shared" si="84"/>
        <v>0</v>
      </c>
      <c r="BI363" s="1539">
        <f t="shared" si="85"/>
        <v>9658</v>
      </c>
      <c r="BJ363" s="1539">
        <f t="shared" si="86"/>
        <v>0</v>
      </c>
      <c r="BK363" s="1539">
        <f t="shared" si="87"/>
        <v>0</v>
      </c>
      <c r="BL363" s="1539">
        <f t="shared" si="88"/>
        <v>0</v>
      </c>
      <c r="BM363" s="1539">
        <f t="shared" si="89"/>
        <v>9658</v>
      </c>
      <c r="BO363" s="1183"/>
      <c r="BQ363" s="1182">
        <f t="shared" si="90"/>
        <v>0.18181818181801646</v>
      </c>
      <c r="BR363" s="1182">
        <f t="shared" si="91"/>
        <v>0</v>
      </c>
    </row>
    <row r="364" spans="1:70" ht="13.5" customHeight="1">
      <c r="A364" s="1182" t="s">
        <v>1803</v>
      </c>
      <c r="B364" s="1182" t="s">
        <v>1804</v>
      </c>
      <c r="C364" s="1182" t="s">
        <v>1639</v>
      </c>
      <c r="D364" s="1182" t="s">
        <v>2590</v>
      </c>
      <c r="E364" s="1182" t="s">
        <v>2591</v>
      </c>
      <c r="F364" s="1182" t="s">
        <v>1864</v>
      </c>
      <c r="G364" s="1182" t="s">
        <v>1864</v>
      </c>
      <c r="H364" s="1182" t="s">
        <v>4751</v>
      </c>
      <c r="I364" s="1182" t="s">
        <v>1809</v>
      </c>
      <c r="J364" s="1182" t="s">
        <v>4752</v>
      </c>
      <c r="K364" s="1182" t="s">
        <v>1811</v>
      </c>
      <c r="L364" s="1182" t="s">
        <v>1812</v>
      </c>
      <c r="M364" s="1182" t="s">
        <v>1803</v>
      </c>
      <c r="N364" s="1182" t="s">
        <v>2891</v>
      </c>
      <c r="O364" s="1182" t="s">
        <v>1554</v>
      </c>
      <c r="P364" s="1182" t="s">
        <v>1563</v>
      </c>
      <c r="Q364" s="1182" t="s">
        <v>1566</v>
      </c>
      <c r="R364" s="1182" t="s">
        <v>1568</v>
      </c>
      <c r="S364" s="1182" t="s">
        <v>1639</v>
      </c>
      <c r="T364" s="1182" t="s">
        <v>1814</v>
      </c>
      <c r="U364" s="1182" t="s">
        <v>1815</v>
      </c>
      <c r="V364" s="1182">
        <v>0</v>
      </c>
      <c r="W364" s="1182">
        <v>0</v>
      </c>
      <c r="X364" s="1182">
        <v>0</v>
      </c>
      <c r="Y364" s="1183">
        <v>1280571</v>
      </c>
      <c r="Z364" s="1182" t="s">
        <v>2892</v>
      </c>
      <c r="AA364" s="1182" t="s">
        <v>2893</v>
      </c>
      <c r="AB364" s="1182">
        <v>1280571</v>
      </c>
      <c r="AC364" s="1182" t="s">
        <v>2894</v>
      </c>
      <c r="AD364" s="1182" t="s">
        <v>1568</v>
      </c>
      <c r="AE364" s="1182">
        <v>1280571</v>
      </c>
      <c r="AF364" s="1182" t="s">
        <v>1819</v>
      </c>
      <c r="AG364" s="1182" t="s">
        <v>1820</v>
      </c>
      <c r="AH364" s="1182">
        <v>116415</v>
      </c>
      <c r="AI364" s="1182">
        <v>1164156</v>
      </c>
      <c r="AJ364" s="1182" t="s">
        <v>2904</v>
      </c>
      <c r="AL364" s="1186" t="s">
        <v>4753</v>
      </c>
      <c r="AM364" s="1182">
        <v>1</v>
      </c>
      <c r="AQ364" s="1182" t="s">
        <v>1639</v>
      </c>
      <c r="AS364" s="1186" t="s">
        <v>1819</v>
      </c>
      <c r="AT364" s="1186" t="s">
        <v>1820</v>
      </c>
      <c r="AV364" s="1183">
        <v>1280571</v>
      </c>
      <c r="AY364" s="1538">
        <v>1280571</v>
      </c>
      <c r="BB364" s="1540">
        <v>0</v>
      </c>
      <c r="BC364" s="1540">
        <v>1280571</v>
      </c>
      <c r="BD364" s="1540">
        <v>0</v>
      </c>
      <c r="BF364" s="1563">
        <f>+IFERROR(ROUND(AV364*100/(100+$AT364),0),AV364)+1</f>
        <v>1164156</v>
      </c>
      <c r="BG364" s="1539">
        <f t="shared" si="83"/>
        <v>0</v>
      </c>
      <c r="BH364" s="1539">
        <f t="shared" si="84"/>
        <v>0</v>
      </c>
      <c r="BI364" s="1539">
        <f t="shared" si="85"/>
        <v>1164156</v>
      </c>
      <c r="BJ364" s="1539">
        <f t="shared" si="86"/>
        <v>0</v>
      </c>
      <c r="BK364" s="1539">
        <f t="shared" si="87"/>
        <v>0</v>
      </c>
      <c r="BL364" s="1539">
        <f t="shared" si="88"/>
        <v>0</v>
      </c>
      <c r="BM364" s="1539">
        <f t="shared" si="89"/>
        <v>1164156</v>
      </c>
      <c r="BO364" s="1183"/>
      <c r="BQ364" s="1182">
        <f t="shared" si="90"/>
        <v>-0.54545454541221261</v>
      </c>
      <c r="BR364" s="1182">
        <f t="shared" si="91"/>
        <v>0</v>
      </c>
    </row>
    <row r="365" spans="1:70" ht="13.5" customHeight="1">
      <c r="A365" s="1182" t="s">
        <v>1803</v>
      </c>
      <c r="B365" s="1182" t="s">
        <v>1804</v>
      </c>
      <c r="C365" s="1182" t="s">
        <v>1639</v>
      </c>
      <c r="D365" s="1182" t="s">
        <v>2590</v>
      </c>
      <c r="E365" s="1182" t="s">
        <v>2591</v>
      </c>
      <c r="F365" s="1182" t="s">
        <v>2323</v>
      </c>
      <c r="G365" s="1182" t="s">
        <v>2323</v>
      </c>
      <c r="H365" s="1182" t="s">
        <v>2902</v>
      </c>
      <c r="I365" s="1182" t="s">
        <v>1809</v>
      </c>
      <c r="J365" s="1182" t="s">
        <v>2903</v>
      </c>
      <c r="K365" s="1182" t="s">
        <v>1811</v>
      </c>
      <c r="L365" s="1182" t="s">
        <v>1812</v>
      </c>
      <c r="M365" s="1182" t="s">
        <v>1803</v>
      </c>
      <c r="N365" s="1182" t="s">
        <v>2891</v>
      </c>
      <c r="O365" s="1182" t="s">
        <v>1554</v>
      </c>
      <c r="P365" s="1182" t="s">
        <v>1563</v>
      </c>
      <c r="Q365" s="1182" t="s">
        <v>1566</v>
      </c>
      <c r="R365" s="1182" t="s">
        <v>1568</v>
      </c>
      <c r="S365" s="1182" t="s">
        <v>1639</v>
      </c>
      <c r="T365" s="1182" t="s">
        <v>1814</v>
      </c>
      <c r="U365" s="1182" t="s">
        <v>1815</v>
      </c>
      <c r="V365" s="1182">
        <v>0</v>
      </c>
      <c r="W365" s="1182">
        <v>0</v>
      </c>
      <c r="X365" s="1182">
        <v>0</v>
      </c>
      <c r="Y365" s="1183">
        <v>18095847</v>
      </c>
      <c r="Z365" s="1182" t="s">
        <v>2892</v>
      </c>
      <c r="AA365" s="1182" t="s">
        <v>2893</v>
      </c>
      <c r="AB365" s="1182">
        <v>18095847</v>
      </c>
      <c r="AC365" s="1182" t="s">
        <v>2894</v>
      </c>
      <c r="AD365" s="1182" t="s">
        <v>1568</v>
      </c>
      <c r="AE365" s="1182">
        <v>18095847</v>
      </c>
      <c r="AF365" s="1182" t="s">
        <v>1819</v>
      </c>
      <c r="AG365" s="1182" t="s">
        <v>1820</v>
      </c>
      <c r="AH365" s="1182">
        <v>1645077</v>
      </c>
      <c r="AI365" s="1182">
        <v>16450770</v>
      </c>
      <c r="AJ365" s="1182" t="s">
        <v>2904</v>
      </c>
      <c r="AL365" s="1186" t="s">
        <v>2905</v>
      </c>
      <c r="AM365" s="1182">
        <v>1</v>
      </c>
      <c r="AN365" s="1182">
        <v>0</v>
      </c>
      <c r="AO365" s="1182">
        <v>0</v>
      </c>
      <c r="AP365" s="1182">
        <v>0</v>
      </c>
      <c r="AQ365" s="1182" t="s">
        <v>1639</v>
      </c>
      <c r="AS365" s="1186" t="s">
        <v>1819</v>
      </c>
      <c r="AT365" s="1186" t="s">
        <v>1820</v>
      </c>
      <c r="AV365" s="1183">
        <v>18095847</v>
      </c>
      <c r="AW365" s="1183">
        <v>0</v>
      </c>
      <c r="AX365" s="1183">
        <v>0</v>
      </c>
      <c r="AY365" s="1538">
        <v>18095847</v>
      </c>
      <c r="AZ365" s="1183">
        <v>0</v>
      </c>
      <c r="BA365" s="1183">
        <v>0</v>
      </c>
      <c r="BB365" s="1540">
        <v>0</v>
      </c>
      <c r="BC365" s="1540">
        <v>18095847</v>
      </c>
      <c r="BD365" s="1540">
        <v>0</v>
      </c>
      <c r="BF365" s="1539">
        <f t="shared" si="82"/>
        <v>16450770</v>
      </c>
      <c r="BG365" s="1539">
        <f t="shared" si="83"/>
        <v>0</v>
      </c>
      <c r="BH365" s="1539">
        <f t="shared" si="84"/>
        <v>0</v>
      </c>
      <c r="BI365" s="1539">
        <f t="shared" si="85"/>
        <v>16450770</v>
      </c>
      <c r="BJ365" s="1539">
        <f t="shared" si="86"/>
        <v>0</v>
      </c>
      <c r="BK365" s="1539">
        <f t="shared" si="87"/>
        <v>0</v>
      </c>
      <c r="BL365" s="1539">
        <f t="shared" si="88"/>
        <v>0</v>
      </c>
      <c r="BM365" s="1539">
        <f t="shared" si="89"/>
        <v>16450770</v>
      </c>
      <c r="BO365" s="1183"/>
      <c r="BQ365" s="1182">
        <f t="shared" si="90"/>
        <v>0</v>
      </c>
      <c r="BR365" s="1182">
        <f t="shared" si="91"/>
        <v>0</v>
      </c>
    </row>
    <row r="366" spans="1:70" ht="13.5" customHeight="1">
      <c r="A366" s="1182" t="s">
        <v>1803</v>
      </c>
      <c r="B366" s="1182" t="s">
        <v>1804</v>
      </c>
      <c r="C366" s="1182" t="s">
        <v>1639</v>
      </c>
      <c r="D366" s="1182" t="s">
        <v>2590</v>
      </c>
      <c r="E366" s="1182" t="s">
        <v>2591</v>
      </c>
      <c r="F366" s="1182" t="s">
        <v>1864</v>
      </c>
      <c r="G366" s="1182" t="s">
        <v>1864</v>
      </c>
      <c r="H366" s="1182" t="s">
        <v>4754</v>
      </c>
      <c r="I366" s="1182" t="s">
        <v>1809</v>
      </c>
      <c r="J366" s="1182" t="s">
        <v>4755</v>
      </c>
      <c r="K366" s="1182" t="s">
        <v>1811</v>
      </c>
      <c r="L366" s="1182" t="s">
        <v>1812</v>
      </c>
      <c r="M366" s="1182" t="s">
        <v>1803</v>
      </c>
      <c r="N366" s="1182" t="s">
        <v>2891</v>
      </c>
      <c r="O366" s="1182" t="s">
        <v>1554</v>
      </c>
      <c r="P366" s="1182" t="s">
        <v>1563</v>
      </c>
      <c r="Q366" s="1182" t="s">
        <v>1566</v>
      </c>
      <c r="R366" s="1182" t="s">
        <v>1568</v>
      </c>
      <c r="S366" s="1182" t="s">
        <v>1639</v>
      </c>
      <c r="T366" s="1182" t="s">
        <v>1814</v>
      </c>
      <c r="U366" s="1182" t="s">
        <v>1815</v>
      </c>
      <c r="V366" s="1182">
        <v>0</v>
      </c>
      <c r="W366" s="1182">
        <v>0</v>
      </c>
      <c r="X366" s="1182">
        <v>0</v>
      </c>
      <c r="Y366" s="1183">
        <v>7711345</v>
      </c>
      <c r="Z366" s="1182" t="s">
        <v>2892</v>
      </c>
      <c r="AA366" s="1182" t="s">
        <v>2893</v>
      </c>
      <c r="AB366" s="1182">
        <v>7711345</v>
      </c>
      <c r="AC366" s="1182" t="s">
        <v>2894</v>
      </c>
      <c r="AD366" s="1182" t="s">
        <v>1568</v>
      </c>
      <c r="AE366" s="1182">
        <v>7711345</v>
      </c>
      <c r="AF366" s="1182" t="s">
        <v>1819</v>
      </c>
      <c r="AG366" s="1182" t="s">
        <v>1820</v>
      </c>
      <c r="AH366" s="1182">
        <v>701031</v>
      </c>
      <c r="AI366" s="1182">
        <v>7010314</v>
      </c>
      <c r="AJ366" s="1182" t="s">
        <v>4756</v>
      </c>
      <c r="AL366" s="1186" t="s">
        <v>4757</v>
      </c>
      <c r="AM366" s="1182">
        <v>1</v>
      </c>
      <c r="AQ366" s="1182" t="s">
        <v>1639</v>
      </c>
      <c r="AS366" s="1186" t="s">
        <v>1819</v>
      </c>
      <c r="AT366" s="1186" t="s">
        <v>1820</v>
      </c>
      <c r="AV366" s="1185">
        <v>7711345</v>
      </c>
      <c r="AW366" s="1185"/>
      <c r="AX366" s="1185"/>
      <c r="AY366" s="1539">
        <v>7711345</v>
      </c>
      <c r="AZ366" s="1185"/>
      <c r="BA366" s="1185"/>
      <c r="BB366" s="1541">
        <v>0</v>
      </c>
      <c r="BC366" s="1540">
        <v>7711345</v>
      </c>
      <c r="BD366" s="1540">
        <v>0</v>
      </c>
      <c r="BF366" s="1539">
        <f t="shared" si="82"/>
        <v>7010314</v>
      </c>
      <c r="BG366" s="1539">
        <f t="shared" si="83"/>
        <v>0</v>
      </c>
      <c r="BH366" s="1539">
        <f t="shared" si="84"/>
        <v>0</v>
      </c>
      <c r="BI366" s="1539">
        <f t="shared" si="85"/>
        <v>7010314</v>
      </c>
      <c r="BJ366" s="1539">
        <f t="shared" si="86"/>
        <v>0</v>
      </c>
      <c r="BK366" s="1539">
        <f t="shared" si="87"/>
        <v>0</v>
      </c>
      <c r="BL366" s="1539">
        <f t="shared" si="88"/>
        <v>0</v>
      </c>
      <c r="BM366" s="1539">
        <f t="shared" si="89"/>
        <v>7010314</v>
      </c>
      <c r="BO366" s="1183"/>
      <c r="BQ366" s="1182">
        <f t="shared" si="90"/>
        <v>-0.36363636329770088</v>
      </c>
      <c r="BR366" s="1182">
        <f t="shared" si="91"/>
        <v>0</v>
      </c>
    </row>
    <row r="367" spans="1:70" ht="13.5" customHeight="1">
      <c r="A367" s="1182" t="s">
        <v>1803</v>
      </c>
      <c r="B367" s="1182" t="s">
        <v>1804</v>
      </c>
      <c r="C367" s="1182" t="s">
        <v>1639</v>
      </c>
      <c r="D367" s="1182" t="s">
        <v>2590</v>
      </c>
      <c r="E367" s="1182" t="s">
        <v>2591</v>
      </c>
      <c r="F367" s="1182" t="s">
        <v>1864</v>
      </c>
      <c r="G367" s="1182" t="s">
        <v>1864</v>
      </c>
      <c r="H367" s="1182" t="s">
        <v>4758</v>
      </c>
      <c r="I367" s="1182" t="s">
        <v>1809</v>
      </c>
      <c r="J367" s="1182" t="s">
        <v>4759</v>
      </c>
      <c r="K367" s="1182" t="s">
        <v>1811</v>
      </c>
      <c r="L367" s="1182" t="s">
        <v>1812</v>
      </c>
      <c r="M367" s="1182" t="s">
        <v>1803</v>
      </c>
      <c r="N367" s="1182" t="s">
        <v>2891</v>
      </c>
      <c r="O367" s="1182" t="s">
        <v>1554</v>
      </c>
      <c r="P367" s="1182" t="s">
        <v>1563</v>
      </c>
      <c r="Q367" s="1182" t="s">
        <v>1566</v>
      </c>
      <c r="R367" s="1182" t="s">
        <v>1568</v>
      </c>
      <c r="S367" s="1182" t="s">
        <v>1639</v>
      </c>
      <c r="T367" s="1182" t="s">
        <v>1814</v>
      </c>
      <c r="U367" s="1182" t="s">
        <v>1815</v>
      </c>
      <c r="V367" s="1182">
        <v>0</v>
      </c>
      <c r="W367" s="1182">
        <v>0</v>
      </c>
      <c r="X367" s="1182">
        <v>0</v>
      </c>
      <c r="Y367" s="1183">
        <v>231381</v>
      </c>
      <c r="Z367" s="1182" t="s">
        <v>2892</v>
      </c>
      <c r="AA367" s="1182" t="s">
        <v>2893</v>
      </c>
      <c r="AB367" s="1182">
        <v>231381</v>
      </c>
      <c r="AC367" s="1182" t="s">
        <v>2894</v>
      </c>
      <c r="AD367" s="1182" t="s">
        <v>1568</v>
      </c>
      <c r="AE367" s="1182">
        <v>231381</v>
      </c>
      <c r="AF367" s="1182" t="s">
        <v>1819</v>
      </c>
      <c r="AG367" s="1182" t="s">
        <v>1820</v>
      </c>
      <c r="AH367" s="1182">
        <v>21034</v>
      </c>
      <c r="AI367" s="1182">
        <v>210347</v>
      </c>
      <c r="AJ367" s="1182" t="s">
        <v>4756</v>
      </c>
      <c r="AL367" s="1186" t="s">
        <v>4760</v>
      </c>
      <c r="AM367" s="1182">
        <v>1</v>
      </c>
      <c r="AQ367" s="1182" t="s">
        <v>1639</v>
      </c>
      <c r="AS367" s="1186" t="s">
        <v>1819</v>
      </c>
      <c r="AT367" s="1186" t="s">
        <v>1820</v>
      </c>
      <c r="AV367" s="1185"/>
      <c r="AW367" s="1185"/>
      <c r="AX367" s="1185"/>
      <c r="AY367" s="1539">
        <v>0</v>
      </c>
      <c r="AZ367" s="1185"/>
      <c r="BA367" s="1185">
        <v>231381</v>
      </c>
      <c r="BB367" s="1541">
        <v>231381</v>
      </c>
      <c r="BC367" s="1540">
        <v>231381</v>
      </c>
      <c r="BD367" s="1540">
        <v>0</v>
      </c>
      <c r="BF367" s="1539">
        <f t="shared" si="82"/>
        <v>0</v>
      </c>
      <c r="BG367" s="1539">
        <f t="shared" si="83"/>
        <v>0</v>
      </c>
      <c r="BH367" s="1539">
        <f t="shared" si="84"/>
        <v>0</v>
      </c>
      <c r="BI367" s="1539">
        <f t="shared" si="85"/>
        <v>0</v>
      </c>
      <c r="BJ367" s="1539">
        <f t="shared" si="86"/>
        <v>0</v>
      </c>
      <c r="BK367" s="1563">
        <f>+IFERROR(ROUND(BA367*100/(100+$AT367),0),BA367)+1</f>
        <v>210347</v>
      </c>
      <c r="BL367" s="1539">
        <f t="shared" si="88"/>
        <v>210347</v>
      </c>
      <c r="BM367" s="1539">
        <f t="shared" si="89"/>
        <v>210347</v>
      </c>
      <c r="BO367" s="1183"/>
      <c r="BQ367" s="1182">
        <f t="shared" si="90"/>
        <v>0</v>
      </c>
      <c r="BR367" s="1182">
        <f t="shared" si="91"/>
        <v>-0.63636363635305315</v>
      </c>
    </row>
    <row r="368" spans="1:70" ht="13.5" customHeight="1">
      <c r="A368" s="1182" t="s">
        <v>1803</v>
      </c>
      <c r="B368" s="1182" t="s">
        <v>1804</v>
      </c>
      <c r="C368" s="1182" t="s">
        <v>1639</v>
      </c>
      <c r="D368" s="1182" t="s">
        <v>2590</v>
      </c>
      <c r="E368" s="1182" t="s">
        <v>2591</v>
      </c>
      <c r="F368" s="1182" t="s">
        <v>1864</v>
      </c>
      <c r="G368" s="1182" t="s">
        <v>1864</v>
      </c>
      <c r="H368" s="1182" t="s">
        <v>4761</v>
      </c>
      <c r="I368" s="1182" t="s">
        <v>2933</v>
      </c>
      <c r="J368" s="1182" t="s">
        <v>4762</v>
      </c>
      <c r="K368" s="1182" t="s">
        <v>1811</v>
      </c>
      <c r="L368" s="1182" t="s">
        <v>1812</v>
      </c>
      <c r="M368" s="1182" t="s">
        <v>1803</v>
      </c>
      <c r="N368" s="1182" t="s">
        <v>2891</v>
      </c>
      <c r="O368" s="1182" t="s">
        <v>1554</v>
      </c>
      <c r="P368" s="1182" t="s">
        <v>1563</v>
      </c>
      <c r="Q368" s="1182" t="s">
        <v>1566</v>
      </c>
      <c r="R368" s="1182" t="s">
        <v>1568</v>
      </c>
      <c r="S368" s="1182" t="s">
        <v>1639</v>
      </c>
      <c r="T368" s="1182" t="s">
        <v>1814</v>
      </c>
      <c r="U368" s="1182" t="s">
        <v>1815</v>
      </c>
      <c r="V368" s="1182">
        <v>0</v>
      </c>
      <c r="W368" s="1182">
        <v>0</v>
      </c>
      <c r="X368" s="1182">
        <v>0</v>
      </c>
      <c r="Y368" s="1183">
        <v>-249194</v>
      </c>
      <c r="Z368" s="1182" t="s">
        <v>2894</v>
      </c>
      <c r="AA368" s="1182" t="s">
        <v>1568</v>
      </c>
      <c r="AB368" s="1182">
        <v>249194</v>
      </c>
      <c r="AC368" s="1182" t="s">
        <v>4764</v>
      </c>
      <c r="AD368" s="1182" t="s">
        <v>4765</v>
      </c>
      <c r="AE368" s="1182">
        <v>249194</v>
      </c>
      <c r="AF368" s="1182" t="s">
        <v>4437</v>
      </c>
      <c r="AG368" s="1182" t="s">
        <v>1820</v>
      </c>
      <c r="AH368" s="1182">
        <v>-22654</v>
      </c>
      <c r="AI368" s="1182">
        <v>-226540</v>
      </c>
      <c r="AJ368" s="1182" t="s">
        <v>1639</v>
      </c>
      <c r="AL368" s="1186" t="s">
        <v>4763</v>
      </c>
      <c r="AM368" s="1182">
        <v>2</v>
      </c>
      <c r="AN368" s="1182">
        <v>17</v>
      </c>
      <c r="AO368" s="1182">
        <v>10</v>
      </c>
      <c r="AQ368" s="1182" t="s">
        <v>1639</v>
      </c>
      <c r="AS368" s="1186">
        <v>17</v>
      </c>
      <c r="AT368" s="1186">
        <v>10</v>
      </c>
      <c r="AV368" s="1185">
        <v>-249194</v>
      </c>
      <c r="AW368" s="1185"/>
      <c r="AX368" s="1185"/>
      <c r="AY368" s="1539">
        <v>-249194</v>
      </c>
      <c r="AZ368" s="1185"/>
      <c r="BA368" s="1185"/>
      <c r="BB368" s="1541">
        <v>0</v>
      </c>
      <c r="BC368" s="1540">
        <v>-249194</v>
      </c>
      <c r="BD368" s="1540">
        <v>0</v>
      </c>
      <c r="BF368" s="1539">
        <f t="shared" si="82"/>
        <v>-226540</v>
      </c>
      <c r="BG368" s="1539">
        <f t="shared" si="83"/>
        <v>0</v>
      </c>
      <c r="BH368" s="1539">
        <f t="shared" si="84"/>
        <v>0</v>
      </c>
      <c r="BI368" s="1539">
        <f t="shared" si="85"/>
        <v>-226540</v>
      </c>
      <c r="BJ368" s="1539">
        <f t="shared" si="86"/>
        <v>0</v>
      </c>
      <c r="BK368" s="1539">
        <f t="shared" si="87"/>
        <v>0</v>
      </c>
      <c r="BL368" s="1539">
        <f t="shared" si="88"/>
        <v>0</v>
      </c>
      <c r="BM368" s="1539">
        <f t="shared" si="89"/>
        <v>-226540</v>
      </c>
      <c r="BO368" s="1183"/>
      <c r="BQ368" s="1182">
        <f t="shared" si="90"/>
        <v>0</v>
      </c>
      <c r="BR368" s="1182">
        <f t="shared" si="91"/>
        <v>0</v>
      </c>
    </row>
    <row r="369" spans="1:70" ht="13.5" customHeight="1">
      <c r="A369" s="1182" t="s">
        <v>1803</v>
      </c>
      <c r="B369" s="1182" t="s">
        <v>1804</v>
      </c>
      <c r="C369" s="1182" t="s">
        <v>1639</v>
      </c>
      <c r="D369" s="1182" t="s">
        <v>2590</v>
      </c>
      <c r="E369" s="1182" t="s">
        <v>2591</v>
      </c>
      <c r="F369" s="1182" t="s">
        <v>2323</v>
      </c>
      <c r="G369" s="1182" t="s">
        <v>2323</v>
      </c>
      <c r="H369" s="1182" t="s">
        <v>2906</v>
      </c>
      <c r="I369" s="1182" t="s">
        <v>1809</v>
      </c>
      <c r="J369" s="1182" t="s">
        <v>2907</v>
      </c>
      <c r="K369" s="1182" t="s">
        <v>1811</v>
      </c>
      <c r="L369" s="1182" t="s">
        <v>1812</v>
      </c>
      <c r="M369" s="1182" t="s">
        <v>1803</v>
      </c>
      <c r="N369" s="1182" t="s">
        <v>2891</v>
      </c>
      <c r="O369" s="1182" t="s">
        <v>1554</v>
      </c>
      <c r="P369" s="1182" t="s">
        <v>1563</v>
      </c>
      <c r="Q369" s="1182" t="s">
        <v>1566</v>
      </c>
      <c r="R369" s="1182" t="s">
        <v>1568</v>
      </c>
      <c r="S369" s="1182" t="s">
        <v>1639</v>
      </c>
      <c r="T369" s="1182" t="s">
        <v>1814</v>
      </c>
      <c r="U369" s="1182" t="s">
        <v>1815</v>
      </c>
      <c r="V369" s="1182">
        <v>0</v>
      </c>
      <c r="W369" s="1182">
        <v>0</v>
      </c>
      <c r="X369" s="1182">
        <v>0</v>
      </c>
      <c r="Y369" s="1183">
        <v>7118878</v>
      </c>
      <c r="Z369" s="1182" t="s">
        <v>2892</v>
      </c>
      <c r="AA369" s="1182" t="s">
        <v>2893</v>
      </c>
      <c r="AB369" s="1182">
        <v>7118878</v>
      </c>
      <c r="AC369" s="1182" t="s">
        <v>2894</v>
      </c>
      <c r="AD369" s="1182" t="s">
        <v>1568</v>
      </c>
      <c r="AE369" s="1182">
        <v>7118878</v>
      </c>
      <c r="AF369" s="1182" t="s">
        <v>1819</v>
      </c>
      <c r="AG369" s="1182" t="s">
        <v>1820</v>
      </c>
      <c r="AH369" s="1182">
        <v>647170</v>
      </c>
      <c r="AI369" s="1182">
        <v>6471708</v>
      </c>
      <c r="AJ369" s="1182" t="s">
        <v>2904</v>
      </c>
      <c r="AL369" s="1186" t="s">
        <v>2908</v>
      </c>
      <c r="AM369" s="1182">
        <v>1</v>
      </c>
      <c r="AN369" s="1182">
        <v>0</v>
      </c>
      <c r="AO369" s="1182">
        <v>0</v>
      </c>
      <c r="AP369" s="1182">
        <v>0</v>
      </c>
      <c r="AQ369" s="1182" t="s">
        <v>1639</v>
      </c>
      <c r="AS369" s="1186" t="s">
        <v>1819</v>
      </c>
      <c r="AT369" s="1186" t="s">
        <v>1820</v>
      </c>
      <c r="AV369" s="1185">
        <v>7118878</v>
      </c>
      <c r="AW369" s="1185">
        <v>0</v>
      </c>
      <c r="AX369" s="1185">
        <v>0</v>
      </c>
      <c r="AY369" s="1539">
        <v>7118878</v>
      </c>
      <c r="AZ369" s="1185">
        <v>0</v>
      </c>
      <c r="BA369" s="1185">
        <v>0</v>
      </c>
      <c r="BB369" s="1541">
        <v>0</v>
      </c>
      <c r="BC369" s="1540">
        <v>7118878</v>
      </c>
      <c r="BD369" s="1540">
        <v>0</v>
      </c>
      <c r="BF369" s="1539">
        <f t="shared" si="82"/>
        <v>6471707</v>
      </c>
      <c r="BG369" s="1539">
        <f t="shared" si="83"/>
        <v>0</v>
      </c>
      <c r="BH369" s="1539">
        <f t="shared" si="84"/>
        <v>0</v>
      </c>
      <c r="BI369" s="1539">
        <f t="shared" si="85"/>
        <v>6471707</v>
      </c>
      <c r="BJ369" s="1539">
        <f t="shared" si="86"/>
        <v>0</v>
      </c>
      <c r="BK369" s="1539">
        <f t="shared" si="87"/>
        <v>0</v>
      </c>
      <c r="BL369" s="1539">
        <f t="shared" si="88"/>
        <v>0</v>
      </c>
      <c r="BM369" s="1539">
        <f t="shared" si="89"/>
        <v>6471707</v>
      </c>
      <c r="BO369" s="1183"/>
      <c r="BQ369" s="1182">
        <f t="shared" si="90"/>
        <v>0.27272727247327566</v>
      </c>
      <c r="BR369" s="1182">
        <f t="shared" si="91"/>
        <v>0</v>
      </c>
    </row>
    <row r="370" spans="1:70" ht="13.5" customHeight="1">
      <c r="A370" s="1182" t="s">
        <v>1803</v>
      </c>
      <c r="B370" s="1182" t="s">
        <v>1804</v>
      </c>
      <c r="C370" s="1182" t="s">
        <v>1639</v>
      </c>
      <c r="D370" s="1182" t="s">
        <v>2866</v>
      </c>
      <c r="E370" s="1182" t="s">
        <v>2867</v>
      </c>
      <c r="F370" s="1182" t="s">
        <v>2131</v>
      </c>
      <c r="G370" s="1182" t="s">
        <v>2131</v>
      </c>
      <c r="H370" s="1182" t="s">
        <v>2913</v>
      </c>
      <c r="I370" s="1182" t="s">
        <v>1937</v>
      </c>
      <c r="J370" s="1182" t="s">
        <v>2914</v>
      </c>
      <c r="K370" s="1182" t="s">
        <v>1811</v>
      </c>
      <c r="L370" s="1182" t="s">
        <v>1812</v>
      </c>
      <c r="M370" s="1182" t="s">
        <v>1803</v>
      </c>
      <c r="N370" s="1182" t="s">
        <v>2915</v>
      </c>
      <c r="O370" s="1182" t="s">
        <v>1554</v>
      </c>
      <c r="P370" s="1182" t="s">
        <v>1563</v>
      </c>
      <c r="Q370" s="1182" t="s">
        <v>1562</v>
      </c>
      <c r="R370" s="1182" t="s">
        <v>2916</v>
      </c>
      <c r="S370" s="1182" t="s">
        <v>1639</v>
      </c>
      <c r="T370" s="1182" t="s">
        <v>1814</v>
      </c>
      <c r="U370" s="1182" t="s">
        <v>1815</v>
      </c>
      <c r="V370" s="1182">
        <v>0</v>
      </c>
      <c r="W370" s="1182">
        <v>0</v>
      </c>
      <c r="X370" s="1182">
        <v>0</v>
      </c>
      <c r="Y370" s="1183">
        <v>408100</v>
      </c>
      <c r="Z370" s="1182" t="s">
        <v>1940</v>
      </c>
      <c r="AA370" s="1182" t="s">
        <v>1941</v>
      </c>
      <c r="AB370" s="1182">
        <v>408100</v>
      </c>
      <c r="AC370" s="1182" t="s">
        <v>2917</v>
      </c>
      <c r="AD370" s="1182" t="s">
        <v>2916</v>
      </c>
      <c r="AE370" s="1182">
        <v>408100</v>
      </c>
      <c r="AF370" s="1182" t="s">
        <v>1819</v>
      </c>
      <c r="AG370" s="1182" t="s">
        <v>1820</v>
      </c>
      <c r="AH370" s="1182">
        <v>37100</v>
      </c>
      <c r="AI370" s="1182">
        <v>371000</v>
      </c>
      <c r="AJ370" s="1182" t="s">
        <v>2918</v>
      </c>
      <c r="AL370" s="1186" t="s">
        <v>2919</v>
      </c>
      <c r="AM370" s="1182">
        <v>1</v>
      </c>
      <c r="AN370" s="1182">
        <v>0</v>
      </c>
      <c r="AO370" s="1182">
        <v>0</v>
      </c>
      <c r="AP370" s="1182">
        <v>0</v>
      </c>
      <c r="AQ370" s="1182" t="s">
        <v>1639</v>
      </c>
      <c r="AS370" s="1186" t="s">
        <v>1819</v>
      </c>
      <c r="AT370" s="1186" t="s">
        <v>1820</v>
      </c>
      <c r="AV370" s="1185">
        <v>0</v>
      </c>
      <c r="AW370" s="1185">
        <v>0</v>
      </c>
      <c r="AX370" s="1185">
        <v>408100</v>
      </c>
      <c r="AY370" s="1539">
        <v>408100</v>
      </c>
      <c r="AZ370" s="1185">
        <v>0</v>
      </c>
      <c r="BA370" s="1185">
        <v>0</v>
      </c>
      <c r="BB370" s="1541">
        <v>0</v>
      </c>
      <c r="BC370" s="1540">
        <v>408100</v>
      </c>
      <c r="BD370" s="1540">
        <v>0</v>
      </c>
      <c r="BF370" s="1539">
        <f t="shared" si="82"/>
        <v>0</v>
      </c>
      <c r="BG370" s="1539">
        <f t="shared" si="83"/>
        <v>0</v>
      </c>
      <c r="BH370" s="1539">
        <f t="shared" si="84"/>
        <v>371000</v>
      </c>
      <c r="BI370" s="1539">
        <f t="shared" si="85"/>
        <v>371000</v>
      </c>
      <c r="BJ370" s="1539">
        <f t="shared" si="86"/>
        <v>0</v>
      </c>
      <c r="BK370" s="1539">
        <f t="shared" si="87"/>
        <v>0</v>
      </c>
      <c r="BL370" s="1539">
        <f t="shared" si="88"/>
        <v>0</v>
      </c>
      <c r="BM370" s="1539">
        <f t="shared" si="89"/>
        <v>371000</v>
      </c>
      <c r="BO370" s="1183"/>
      <c r="BQ370" s="1182">
        <f t="shared" si="90"/>
        <v>0</v>
      </c>
      <c r="BR370" s="1182">
        <f t="shared" si="91"/>
        <v>0</v>
      </c>
    </row>
    <row r="371" spans="1:70" ht="13.5" customHeight="1">
      <c r="A371" s="1182" t="s">
        <v>1803</v>
      </c>
      <c r="B371" s="1182" t="s">
        <v>1804</v>
      </c>
      <c r="C371" s="1182" t="s">
        <v>1639</v>
      </c>
      <c r="D371" s="1182" t="s">
        <v>2909</v>
      </c>
      <c r="E371" s="1182" t="s">
        <v>2910</v>
      </c>
      <c r="F371" s="1182" t="s">
        <v>2191</v>
      </c>
      <c r="G371" s="1182" t="s">
        <v>2191</v>
      </c>
      <c r="H371" s="1182" t="s">
        <v>2920</v>
      </c>
      <c r="I371" s="1182" t="s">
        <v>1809</v>
      </c>
      <c r="J371" s="1182" t="s">
        <v>2921</v>
      </c>
      <c r="K371" s="1182" t="s">
        <v>1811</v>
      </c>
      <c r="L371" s="1182" t="s">
        <v>1812</v>
      </c>
      <c r="M371" s="1182" t="s">
        <v>1803</v>
      </c>
      <c r="N371" s="1182" t="s">
        <v>2922</v>
      </c>
      <c r="O371" s="1182" t="s">
        <v>1554</v>
      </c>
      <c r="P371" s="1182" t="s">
        <v>1563</v>
      </c>
      <c r="Q371" s="1182" t="s">
        <v>1562</v>
      </c>
      <c r="R371" s="1182" t="s">
        <v>1561</v>
      </c>
      <c r="S371" s="1182" t="s">
        <v>1639</v>
      </c>
      <c r="T371" s="1182" t="s">
        <v>1814</v>
      </c>
      <c r="U371" s="1182" t="s">
        <v>1815</v>
      </c>
      <c r="V371" s="1182">
        <v>0</v>
      </c>
      <c r="W371" s="1182">
        <v>0</v>
      </c>
      <c r="X371" s="1182">
        <v>0</v>
      </c>
      <c r="Y371" s="1183">
        <v>39740</v>
      </c>
      <c r="Z371" s="1182" t="s">
        <v>2923</v>
      </c>
      <c r="AA371" s="1182" t="s">
        <v>2924</v>
      </c>
      <c r="AB371" s="1182">
        <v>39740</v>
      </c>
      <c r="AC371" s="1182" t="s">
        <v>2925</v>
      </c>
      <c r="AD371" s="1182" t="s">
        <v>1561</v>
      </c>
      <c r="AE371" s="1182">
        <v>39740</v>
      </c>
      <c r="AF371" s="1182" t="s">
        <v>1819</v>
      </c>
      <c r="AG371" s="1182" t="s">
        <v>1820</v>
      </c>
      <c r="AH371" s="1182">
        <v>3612</v>
      </c>
      <c r="AI371" s="1182">
        <v>36128</v>
      </c>
      <c r="AJ371" s="1182" t="s">
        <v>2926</v>
      </c>
      <c r="AL371" s="1186" t="s">
        <v>2927</v>
      </c>
      <c r="AM371" s="1182">
        <v>1</v>
      </c>
      <c r="AN371" s="1182">
        <v>0</v>
      </c>
      <c r="AO371" s="1182">
        <v>0</v>
      </c>
      <c r="AP371" s="1182">
        <v>0</v>
      </c>
      <c r="AQ371" s="1182" t="s">
        <v>1639</v>
      </c>
      <c r="AS371" s="1186" t="s">
        <v>1819</v>
      </c>
      <c r="AT371" s="1186" t="s">
        <v>1820</v>
      </c>
      <c r="AV371" s="1185">
        <v>0</v>
      </c>
      <c r="AW371" s="1185">
        <v>0</v>
      </c>
      <c r="AX371" s="1185">
        <v>19870</v>
      </c>
      <c r="AY371" s="1539">
        <v>19870</v>
      </c>
      <c r="AZ371" s="1185">
        <v>0</v>
      </c>
      <c r="BA371" s="1185">
        <v>19870</v>
      </c>
      <c r="BB371" s="1541">
        <v>19870</v>
      </c>
      <c r="BC371" s="1540">
        <v>39740</v>
      </c>
      <c r="BD371" s="1540">
        <v>0</v>
      </c>
      <c r="BF371" s="1539">
        <f t="shared" si="82"/>
        <v>0</v>
      </c>
      <c r="BG371" s="1539">
        <f t="shared" si="83"/>
        <v>0</v>
      </c>
      <c r="BH371" s="1539">
        <f t="shared" si="84"/>
        <v>18064</v>
      </c>
      <c r="BI371" s="1539">
        <f t="shared" si="85"/>
        <v>18064</v>
      </c>
      <c r="BJ371" s="1539">
        <f t="shared" si="86"/>
        <v>0</v>
      </c>
      <c r="BK371" s="1539">
        <f t="shared" si="87"/>
        <v>18064</v>
      </c>
      <c r="BL371" s="1539">
        <f t="shared" si="88"/>
        <v>18064</v>
      </c>
      <c r="BM371" s="1539">
        <f t="shared" si="89"/>
        <v>36128</v>
      </c>
      <c r="BO371" s="1183"/>
      <c r="BQ371" s="1182">
        <f t="shared" si="90"/>
        <v>-0.36363636363603291</v>
      </c>
      <c r="BR371" s="1182">
        <f t="shared" si="91"/>
        <v>-0.36363636363603291</v>
      </c>
    </row>
    <row r="372" spans="1:70" ht="13.5" customHeight="1">
      <c r="A372" s="1182" t="s">
        <v>1803</v>
      </c>
      <c r="B372" s="1182" t="s">
        <v>1804</v>
      </c>
      <c r="C372" s="1182" t="s">
        <v>1639</v>
      </c>
      <c r="D372" s="1182" t="s">
        <v>1805</v>
      </c>
      <c r="E372" s="1182" t="s">
        <v>1806</v>
      </c>
      <c r="F372" s="1182" t="s">
        <v>1827</v>
      </c>
      <c r="G372" s="1182" t="s">
        <v>1827</v>
      </c>
      <c r="H372" s="1182" t="s">
        <v>2928</v>
      </c>
      <c r="I372" s="1182" t="s">
        <v>1809</v>
      </c>
      <c r="J372" s="1182" t="s">
        <v>2929</v>
      </c>
      <c r="K372" s="1182" t="s">
        <v>1811</v>
      </c>
      <c r="L372" s="1182" t="s">
        <v>1812</v>
      </c>
      <c r="M372" s="1182" t="s">
        <v>1803</v>
      </c>
      <c r="N372" s="1182" t="s">
        <v>2922</v>
      </c>
      <c r="O372" s="1182" t="s">
        <v>1554</v>
      </c>
      <c r="P372" s="1182" t="s">
        <v>1563</v>
      </c>
      <c r="Q372" s="1182" t="s">
        <v>1562</v>
      </c>
      <c r="R372" s="1182" t="s">
        <v>1561</v>
      </c>
      <c r="S372" s="1182" t="s">
        <v>1639</v>
      </c>
      <c r="T372" s="1182" t="s">
        <v>1814</v>
      </c>
      <c r="U372" s="1182" t="s">
        <v>1815</v>
      </c>
      <c r="V372" s="1182">
        <v>0</v>
      </c>
      <c r="W372" s="1182">
        <v>0</v>
      </c>
      <c r="X372" s="1182">
        <v>0</v>
      </c>
      <c r="Y372" s="1183">
        <v>1855550</v>
      </c>
      <c r="Z372" s="1182" t="s">
        <v>2923</v>
      </c>
      <c r="AA372" s="1182" t="s">
        <v>2924</v>
      </c>
      <c r="AB372" s="1182">
        <v>1855550</v>
      </c>
      <c r="AC372" s="1182" t="s">
        <v>2925</v>
      </c>
      <c r="AD372" s="1182" t="s">
        <v>1561</v>
      </c>
      <c r="AE372" s="1182">
        <v>1855550</v>
      </c>
      <c r="AF372" s="1182" t="s">
        <v>1943</v>
      </c>
      <c r="AG372" s="1182" t="s">
        <v>1944</v>
      </c>
      <c r="AH372" s="1182">
        <v>0</v>
      </c>
      <c r="AI372" s="1182">
        <v>1855550</v>
      </c>
      <c r="AJ372" s="1182" t="s">
        <v>2930</v>
      </c>
      <c r="AL372" s="1186" t="s">
        <v>2931</v>
      </c>
      <c r="AM372" s="1182">
        <v>1</v>
      </c>
      <c r="AN372" s="1182">
        <v>0</v>
      </c>
      <c r="AO372" s="1182">
        <v>0</v>
      </c>
      <c r="AP372" s="1182">
        <v>0</v>
      </c>
      <c r="AQ372" s="1182" t="s">
        <v>1639</v>
      </c>
      <c r="AS372" s="1186" t="s">
        <v>1943</v>
      </c>
      <c r="AT372" s="1186" t="s">
        <v>1944</v>
      </c>
      <c r="AV372" s="1185">
        <v>0</v>
      </c>
      <c r="AW372" s="1185">
        <v>0</v>
      </c>
      <c r="AX372" s="1185">
        <v>0</v>
      </c>
      <c r="AY372" s="1539">
        <v>0</v>
      </c>
      <c r="AZ372" s="1185">
        <v>0</v>
      </c>
      <c r="BA372" s="1185">
        <v>1855550</v>
      </c>
      <c r="BB372" s="1541">
        <v>1855550</v>
      </c>
      <c r="BC372" s="1540">
        <v>1855550</v>
      </c>
      <c r="BD372" s="1540">
        <v>0</v>
      </c>
      <c r="BF372" s="1539">
        <f t="shared" si="82"/>
        <v>0</v>
      </c>
      <c r="BG372" s="1539">
        <f t="shared" si="83"/>
        <v>0</v>
      </c>
      <c r="BH372" s="1539">
        <f t="shared" si="84"/>
        <v>0</v>
      </c>
      <c r="BI372" s="1539">
        <f t="shared" si="85"/>
        <v>0</v>
      </c>
      <c r="BJ372" s="1539">
        <f t="shared" si="86"/>
        <v>0</v>
      </c>
      <c r="BK372" s="1539">
        <f t="shared" si="87"/>
        <v>1855550</v>
      </c>
      <c r="BL372" s="1539">
        <f t="shared" si="88"/>
        <v>1855550</v>
      </c>
      <c r="BM372" s="1539">
        <f t="shared" si="89"/>
        <v>1855550</v>
      </c>
      <c r="BO372" s="1183"/>
      <c r="BQ372" s="1182">
        <f t="shared" si="90"/>
        <v>0</v>
      </c>
      <c r="BR372" s="1182">
        <f t="shared" si="91"/>
        <v>0</v>
      </c>
    </row>
    <row r="373" spans="1:70" ht="13.5" customHeight="1">
      <c r="A373" s="1182" t="s">
        <v>1803</v>
      </c>
      <c r="B373" s="1182" t="s">
        <v>1804</v>
      </c>
      <c r="C373" s="1182" t="s">
        <v>1639</v>
      </c>
      <c r="D373" s="1182" t="s">
        <v>1805</v>
      </c>
      <c r="E373" s="1182" t="s">
        <v>1806</v>
      </c>
      <c r="F373" s="1182" t="s">
        <v>2841</v>
      </c>
      <c r="G373" s="1182" t="s">
        <v>2841</v>
      </c>
      <c r="H373" s="1182" t="s">
        <v>2932</v>
      </c>
      <c r="I373" s="1182" t="s">
        <v>2933</v>
      </c>
      <c r="J373" s="1182" t="s">
        <v>2934</v>
      </c>
      <c r="K373" s="1182" t="s">
        <v>1811</v>
      </c>
      <c r="L373" s="1182" t="s">
        <v>1812</v>
      </c>
      <c r="M373" s="1182" t="s">
        <v>1803</v>
      </c>
      <c r="N373" s="1182" t="s">
        <v>2922</v>
      </c>
      <c r="O373" s="1182" t="s">
        <v>1554</v>
      </c>
      <c r="P373" s="1182" t="s">
        <v>1563</v>
      </c>
      <c r="Q373" s="1182" t="s">
        <v>1562</v>
      </c>
      <c r="R373" s="1182" t="s">
        <v>1561</v>
      </c>
      <c r="S373" s="1182" t="s">
        <v>1639</v>
      </c>
      <c r="T373" s="1182" t="s">
        <v>1814</v>
      </c>
      <c r="U373" s="1182" t="s">
        <v>1815</v>
      </c>
      <c r="V373" s="1182">
        <v>0</v>
      </c>
      <c r="W373" s="1182">
        <v>0</v>
      </c>
      <c r="X373" s="1182">
        <v>0</v>
      </c>
      <c r="Y373" s="1183">
        <v>-1194610</v>
      </c>
      <c r="Z373" s="1182" t="s">
        <v>2925</v>
      </c>
      <c r="AA373" s="1182" t="s">
        <v>1561</v>
      </c>
      <c r="AB373" s="1182">
        <v>1194610</v>
      </c>
      <c r="AC373" s="1182" t="s">
        <v>2935</v>
      </c>
      <c r="AD373" s="1182" t="s">
        <v>2936</v>
      </c>
      <c r="AE373" s="1182">
        <v>1194610</v>
      </c>
      <c r="AF373" s="1182" t="s">
        <v>1943</v>
      </c>
      <c r="AG373" s="1182" t="s">
        <v>1944</v>
      </c>
      <c r="AH373" s="1182">
        <v>0</v>
      </c>
      <c r="AI373" s="1182">
        <v>-1194610</v>
      </c>
      <c r="AJ373" s="1182" t="s">
        <v>1639</v>
      </c>
      <c r="AL373" s="1186" t="s">
        <v>2937</v>
      </c>
      <c r="AM373" s="1182">
        <v>1</v>
      </c>
      <c r="AN373" s="1182">
        <v>0</v>
      </c>
      <c r="AO373" s="1182">
        <v>0</v>
      </c>
      <c r="AP373" s="1182">
        <v>0</v>
      </c>
      <c r="AQ373" s="1182" t="s">
        <v>1639</v>
      </c>
      <c r="AS373" s="1186" t="s">
        <v>1943</v>
      </c>
      <c r="AT373" s="1186" t="s">
        <v>1944</v>
      </c>
      <c r="AV373" s="1185">
        <v>0</v>
      </c>
      <c r="AW373" s="1185">
        <v>0</v>
      </c>
      <c r="AX373" s="1185">
        <v>0</v>
      </c>
      <c r="AY373" s="1539">
        <v>0</v>
      </c>
      <c r="AZ373" s="1185">
        <v>0</v>
      </c>
      <c r="BA373" s="1185">
        <v>-1194610</v>
      </c>
      <c r="BB373" s="1541">
        <v>-1194610</v>
      </c>
      <c r="BC373" s="1540">
        <v>-1194610</v>
      </c>
      <c r="BD373" s="1540">
        <v>0</v>
      </c>
      <c r="BF373" s="1539">
        <f t="shared" si="82"/>
        <v>0</v>
      </c>
      <c r="BG373" s="1539">
        <f t="shared" si="83"/>
        <v>0</v>
      </c>
      <c r="BH373" s="1539">
        <f t="shared" si="84"/>
        <v>0</v>
      </c>
      <c r="BI373" s="1539">
        <f t="shared" si="85"/>
        <v>0</v>
      </c>
      <c r="BJ373" s="1539">
        <f t="shared" si="86"/>
        <v>0</v>
      </c>
      <c r="BK373" s="1539">
        <f t="shared" si="87"/>
        <v>-1194610</v>
      </c>
      <c r="BL373" s="1539">
        <f t="shared" si="88"/>
        <v>-1194610</v>
      </c>
      <c r="BM373" s="1539">
        <f t="shared" si="89"/>
        <v>-1194610</v>
      </c>
      <c r="BO373" s="1183"/>
      <c r="BQ373" s="1182">
        <f t="shared" si="90"/>
        <v>0</v>
      </c>
      <c r="BR373" s="1182">
        <f t="shared" si="91"/>
        <v>0</v>
      </c>
    </row>
    <row r="374" spans="1:70" ht="13.5" customHeight="1">
      <c r="A374" s="1182" t="s">
        <v>1803</v>
      </c>
      <c r="B374" s="1182" t="s">
        <v>1804</v>
      </c>
      <c r="C374" s="1182" t="s">
        <v>1639</v>
      </c>
      <c r="D374" s="1182" t="s">
        <v>1805</v>
      </c>
      <c r="E374" s="1182" t="s">
        <v>1806</v>
      </c>
      <c r="F374" s="1182" t="s">
        <v>2135</v>
      </c>
      <c r="G374" s="1182" t="s">
        <v>2135</v>
      </c>
      <c r="H374" s="1182" t="s">
        <v>2938</v>
      </c>
      <c r="I374" s="1182" t="s">
        <v>1809</v>
      </c>
      <c r="J374" s="1182" t="s">
        <v>2939</v>
      </c>
      <c r="K374" s="1182" t="s">
        <v>1811</v>
      </c>
      <c r="L374" s="1182" t="s">
        <v>1812</v>
      </c>
      <c r="M374" s="1182" t="s">
        <v>1803</v>
      </c>
      <c r="N374" s="1182" t="s">
        <v>2922</v>
      </c>
      <c r="O374" s="1182" t="s">
        <v>1554</v>
      </c>
      <c r="P374" s="1182" t="s">
        <v>1563</v>
      </c>
      <c r="Q374" s="1182" t="s">
        <v>1562</v>
      </c>
      <c r="R374" s="1182" t="s">
        <v>1561</v>
      </c>
      <c r="S374" s="1182" t="s">
        <v>1639</v>
      </c>
      <c r="T374" s="1182" t="s">
        <v>1814</v>
      </c>
      <c r="U374" s="1182" t="s">
        <v>1815</v>
      </c>
      <c r="V374" s="1182">
        <v>0</v>
      </c>
      <c r="W374" s="1182">
        <v>0</v>
      </c>
      <c r="X374" s="1182">
        <v>0</v>
      </c>
      <c r="Y374" s="1183">
        <v>207870</v>
      </c>
      <c r="Z374" s="1182" t="s">
        <v>2923</v>
      </c>
      <c r="AA374" s="1182" t="s">
        <v>2924</v>
      </c>
      <c r="AB374" s="1182">
        <v>207870</v>
      </c>
      <c r="AC374" s="1182" t="s">
        <v>2925</v>
      </c>
      <c r="AD374" s="1182" t="s">
        <v>1561</v>
      </c>
      <c r="AE374" s="1182">
        <v>207870</v>
      </c>
      <c r="AF374" s="1182" t="s">
        <v>1943</v>
      </c>
      <c r="AG374" s="1182" t="s">
        <v>1944</v>
      </c>
      <c r="AH374" s="1182">
        <v>0</v>
      </c>
      <c r="AI374" s="1182">
        <v>207870</v>
      </c>
      <c r="AJ374" s="1182" t="s">
        <v>2930</v>
      </c>
      <c r="AL374" s="1186" t="s">
        <v>2940</v>
      </c>
      <c r="AM374" s="1182">
        <v>1</v>
      </c>
      <c r="AN374" s="1182">
        <v>0</v>
      </c>
      <c r="AO374" s="1182">
        <v>0</v>
      </c>
      <c r="AP374" s="1182">
        <v>0</v>
      </c>
      <c r="AQ374" s="1182" t="s">
        <v>1639</v>
      </c>
      <c r="AS374" s="1186" t="s">
        <v>1943</v>
      </c>
      <c r="AT374" s="1186" t="s">
        <v>1944</v>
      </c>
      <c r="AV374" s="1185">
        <v>0</v>
      </c>
      <c r="AW374" s="1185">
        <v>0</v>
      </c>
      <c r="AX374" s="1185">
        <v>0</v>
      </c>
      <c r="AY374" s="1539">
        <v>0</v>
      </c>
      <c r="AZ374" s="1185">
        <v>0</v>
      </c>
      <c r="BA374" s="1185">
        <v>207870</v>
      </c>
      <c r="BB374" s="1541">
        <v>207870</v>
      </c>
      <c r="BC374" s="1540">
        <v>207870</v>
      </c>
      <c r="BD374" s="1540">
        <v>0</v>
      </c>
      <c r="BF374" s="1539">
        <f t="shared" si="82"/>
        <v>0</v>
      </c>
      <c r="BG374" s="1539">
        <f t="shared" si="83"/>
        <v>0</v>
      </c>
      <c r="BH374" s="1539">
        <f t="shared" si="84"/>
        <v>0</v>
      </c>
      <c r="BI374" s="1539">
        <f t="shared" si="85"/>
        <v>0</v>
      </c>
      <c r="BJ374" s="1539">
        <f t="shared" si="86"/>
        <v>0</v>
      </c>
      <c r="BK374" s="1539">
        <f t="shared" si="87"/>
        <v>207870</v>
      </c>
      <c r="BL374" s="1539">
        <f t="shared" si="88"/>
        <v>207870</v>
      </c>
      <c r="BM374" s="1539">
        <f t="shared" si="89"/>
        <v>207870</v>
      </c>
      <c r="BO374" s="1183"/>
      <c r="BQ374" s="1182">
        <f t="shared" si="90"/>
        <v>0</v>
      </c>
      <c r="BR374" s="1182">
        <f t="shared" si="91"/>
        <v>0</v>
      </c>
    </row>
    <row r="375" spans="1:70" ht="13.5" customHeight="1">
      <c r="A375" s="1182" t="s">
        <v>1803</v>
      </c>
      <c r="B375" s="1182" t="s">
        <v>1804</v>
      </c>
      <c r="C375" s="1182" t="s">
        <v>1639</v>
      </c>
      <c r="D375" s="1182" t="s">
        <v>1805</v>
      </c>
      <c r="E375" s="1182" t="s">
        <v>1806</v>
      </c>
      <c r="F375" s="1182" t="s">
        <v>2841</v>
      </c>
      <c r="G375" s="1182" t="s">
        <v>2841</v>
      </c>
      <c r="H375" s="1182" t="s">
        <v>2941</v>
      </c>
      <c r="I375" s="1182" t="s">
        <v>2933</v>
      </c>
      <c r="J375" s="1182" t="s">
        <v>2942</v>
      </c>
      <c r="K375" s="1182" t="s">
        <v>1811</v>
      </c>
      <c r="L375" s="1182" t="s">
        <v>1812</v>
      </c>
      <c r="M375" s="1182" t="s">
        <v>1803</v>
      </c>
      <c r="N375" s="1182" t="s">
        <v>2922</v>
      </c>
      <c r="O375" s="1182" t="s">
        <v>1554</v>
      </c>
      <c r="P375" s="1182" t="s">
        <v>1563</v>
      </c>
      <c r="Q375" s="1182" t="s">
        <v>1562</v>
      </c>
      <c r="R375" s="1182" t="s">
        <v>1561</v>
      </c>
      <c r="S375" s="1182" t="s">
        <v>1639</v>
      </c>
      <c r="T375" s="1182" t="s">
        <v>1814</v>
      </c>
      <c r="U375" s="1182" t="s">
        <v>1815</v>
      </c>
      <c r="V375" s="1182">
        <v>0</v>
      </c>
      <c r="W375" s="1182">
        <v>0</v>
      </c>
      <c r="X375" s="1182">
        <v>0</v>
      </c>
      <c r="Y375" s="1183">
        <v>-109130</v>
      </c>
      <c r="Z375" s="1182" t="s">
        <v>2925</v>
      </c>
      <c r="AA375" s="1182" t="s">
        <v>1561</v>
      </c>
      <c r="AB375" s="1182">
        <v>109130</v>
      </c>
      <c r="AC375" s="1182" t="s">
        <v>2935</v>
      </c>
      <c r="AD375" s="1182" t="s">
        <v>2936</v>
      </c>
      <c r="AE375" s="1182">
        <v>109130</v>
      </c>
      <c r="AF375" s="1182" t="s">
        <v>1943</v>
      </c>
      <c r="AG375" s="1182" t="s">
        <v>1944</v>
      </c>
      <c r="AH375" s="1182">
        <v>0</v>
      </c>
      <c r="AI375" s="1182">
        <v>-109130</v>
      </c>
      <c r="AJ375" s="1182" t="s">
        <v>1639</v>
      </c>
      <c r="AL375" s="1186" t="s">
        <v>2943</v>
      </c>
      <c r="AM375" s="1182">
        <v>1</v>
      </c>
      <c r="AN375" s="1182">
        <v>0</v>
      </c>
      <c r="AO375" s="1182">
        <v>0</v>
      </c>
      <c r="AP375" s="1182">
        <v>0</v>
      </c>
      <c r="AQ375" s="1182" t="s">
        <v>1639</v>
      </c>
      <c r="AS375" s="1186" t="s">
        <v>1943</v>
      </c>
      <c r="AT375" s="1186" t="s">
        <v>1944</v>
      </c>
      <c r="AV375" s="1185">
        <v>0</v>
      </c>
      <c r="AW375" s="1185">
        <v>0</v>
      </c>
      <c r="AX375" s="1185">
        <v>0</v>
      </c>
      <c r="AY375" s="1539">
        <v>0</v>
      </c>
      <c r="AZ375" s="1185">
        <v>0</v>
      </c>
      <c r="BA375" s="1185">
        <v>-109130</v>
      </c>
      <c r="BB375" s="1541">
        <v>-109130</v>
      </c>
      <c r="BC375" s="1540">
        <v>-109130</v>
      </c>
      <c r="BD375" s="1540">
        <v>0</v>
      </c>
      <c r="BF375" s="1539">
        <f t="shared" si="82"/>
        <v>0</v>
      </c>
      <c r="BG375" s="1539">
        <f t="shared" si="83"/>
        <v>0</v>
      </c>
      <c r="BH375" s="1539">
        <f t="shared" si="84"/>
        <v>0</v>
      </c>
      <c r="BI375" s="1539">
        <f t="shared" si="85"/>
        <v>0</v>
      </c>
      <c r="BJ375" s="1539">
        <f t="shared" si="86"/>
        <v>0</v>
      </c>
      <c r="BK375" s="1539">
        <f t="shared" si="87"/>
        <v>-109130</v>
      </c>
      <c r="BL375" s="1539">
        <f t="shared" si="88"/>
        <v>-109130</v>
      </c>
      <c r="BM375" s="1539">
        <f t="shared" si="89"/>
        <v>-109130</v>
      </c>
      <c r="BO375" s="1183"/>
      <c r="BQ375" s="1182">
        <f t="shared" si="90"/>
        <v>0</v>
      </c>
      <c r="BR375" s="1182">
        <f t="shared" si="91"/>
        <v>0</v>
      </c>
    </row>
    <row r="376" spans="1:70" ht="13.5" customHeight="1">
      <c r="A376" s="1182" t="s">
        <v>1803</v>
      </c>
      <c r="B376" s="1182" t="s">
        <v>1804</v>
      </c>
      <c r="C376" s="1182" t="s">
        <v>1639</v>
      </c>
      <c r="D376" s="1182" t="s">
        <v>2590</v>
      </c>
      <c r="E376" s="1182" t="s">
        <v>2591</v>
      </c>
      <c r="F376" s="1182" t="s">
        <v>2980</v>
      </c>
      <c r="G376" s="1182" t="s">
        <v>2980</v>
      </c>
      <c r="H376" s="1182" t="s">
        <v>2945</v>
      </c>
      <c r="I376" s="1182" t="s">
        <v>1937</v>
      </c>
      <c r="J376" s="1182" t="s">
        <v>2981</v>
      </c>
      <c r="K376" s="1182" t="s">
        <v>1811</v>
      </c>
      <c r="L376" s="1182" t="s">
        <v>1812</v>
      </c>
      <c r="M376" s="1182" t="s">
        <v>1803</v>
      </c>
      <c r="N376" s="1182" t="s">
        <v>2922</v>
      </c>
      <c r="O376" s="1182" t="s">
        <v>1554</v>
      </c>
      <c r="P376" s="1182" t="s">
        <v>1563</v>
      </c>
      <c r="Q376" s="1182" t="s">
        <v>1562</v>
      </c>
      <c r="R376" s="1182" t="s">
        <v>1561</v>
      </c>
      <c r="S376" s="1182" t="s">
        <v>1639</v>
      </c>
      <c r="T376" s="1182" t="s">
        <v>1814</v>
      </c>
      <c r="U376" s="1182" t="s">
        <v>1815</v>
      </c>
      <c r="V376" s="1182">
        <v>0</v>
      </c>
      <c r="W376" s="1182">
        <v>0</v>
      </c>
      <c r="X376" s="1182">
        <v>0</v>
      </c>
      <c r="Y376" s="1183">
        <v>3800</v>
      </c>
      <c r="Z376" s="1182" t="s">
        <v>1940</v>
      </c>
      <c r="AA376" s="1182" t="s">
        <v>1941</v>
      </c>
      <c r="AB376" s="1182">
        <v>3800</v>
      </c>
      <c r="AC376" s="1182" t="s">
        <v>2925</v>
      </c>
      <c r="AD376" s="1182" t="s">
        <v>1561</v>
      </c>
      <c r="AE376" s="1182">
        <v>3800</v>
      </c>
      <c r="AF376" s="1182" t="s">
        <v>1943</v>
      </c>
      <c r="AG376" s="1182" t="s">
        <v>1944</v>
      </c>
      <c r="AH376" s="1182">
        <v>0</v>
      </c>
      <c r="AI376" s="1182">
        <v>3800</v>
      </c>
      <c r="AJ376" s="1182" t="s">
        <v>2982</v>
      </c>
      <c r="AL376" s="1186" t="s">
        <v>2983</v>
      </c>
      <c r="AM376" s="1182">
        <v>1</v>
      </c>
      <c r="AN376" s="1182">
        <v>0</v>
      </c>
      <c r="AO376" s="1182">
        <v>0</v>
      </c>
      <c r="AP376" s="1182" t="s">
        <v>2949</v>
      </c>
      <c r="AQ376" s="1182" t="s">
        <v>1639</v>
      </c>
      <c r="AS376" s="1186" t="s">
        <v>1943</v>
      </c>
      <c r="AT376" s="1186" t="s">
        <v>1944</v>
      </c>
      <c r="AV376" s="1185">
        <v>0</v>
      </c>
      <c r="AW376" s="1185">
        <v>0</v>
      </c>
      <c r="AX376" s="1185">
        <v>3800</v>
      </c>
      <c r="AY376" s="1539">
        <v>3800</v>
      </c>
      <c r="AZ376" s="1185">
        <v>0</v>
      </c>
      <c r="BA376" s="1185">
        <v>0</v>
      </c>
      <c r="BB376" s="1541">
        <v>0</v>
      </c>
      <c r="BC376" s="1540">
        <v>3800</v>
      </c>
      <c r="BD376" s="1540">
        <v>0</v>
      </c>
      <c r="BF376" s="1539">
        <f t="shared" si="82"/>
        <v>0</v>
      </c>
      <c r="BG376" s="1539">
        <f t="shared" si="83"/>
        <v>0</v>
      </c>
      <c r="BH376" s="1539">
        <f t="shared" si="84"/>
        <v>3800</v>
      </c>
      <c r="BI376" s="1539">
        <f t="shared" si="85"/>
        <v>3800</v>
      </c>
      <c r="BJ376" s="1539">
        <f t="shared" si="86"/>
        <v>0</v>
      </c>
      <c r="BK376" s="1539">
        <f t="shared" si="87"/>
        <v>0</v>
      </c>
      <c r="BL376" s="1539">
        <f t="shared" si="88"/>
        <v>0</v>
      </c>
      <c r="BM376" s="1539">
        <f t="shared" si="89"/>
        <v>3800</v>
      </c>
      <c r="BO376" s="1183"/>
      <c r="BQ376" s="1182">
        <f t="shared" si="90"/>
        <v>0</v>
      </c>
      <c r="BR376" s="1182">
        <f t="shared" si="91"/>
        <v>0</v>
      </c>
    </row>
    <row r="377" spans="1:70" ht="13.5" customHeight="1">
      <c r="A377" s="1182" t="s">
        <v>1803</v>
      </c>
      <c r="B377" s="1182" t="s">
        <v>1804</v>
      </c>
      <c r="C377" s="1182" t="s">
        <v>1639</v>
      </c>
      <c r="D377" s="1182" t="s">
        <v>2590</v>
      </c>
      <c r="E377" s="1182" t="s">
        <v>2591</v>
      </c>
      <c r="F377" s="1182" t="s">
        <v>2014</v>
      </c>
      <c r="G377" s="1182" t="s">
        <v>2014</v>
      </c>
      <c r="H377" s="1182" t="s">
        <v>2945</v>
      </c>
      <c r="I377" s="1182" t="s">
        <v>1937</v>
      </c>
      <c r="J377" s="1182" t="s">
        <v>2968</v>
      </c>
      <c r="K377" s="1182" t="s">
        <v>1811</v>
      </c>
      <c r="L377" s="1182" t="s">
        <v>1812</v>
      </c>
      <c r="M377" s="1182" t="s">
        <v>1803</v>
      </c>
      <c r="N377" s="1182" t="s">
        <v>2922</v>
      </c>
      <c r="O377" s="1182" t="s">
        <v>1554</v>
      </c>
      <c r="P377" s="1182" t="s">
        <v>1563</v>
      </c>
      <c r="Q377" s="1182" t="s">
        <v>1562</v>
      </c>
      <c r="R377" s="1182" t="s">
        <v>1561</v>
      </c>
      <c r="S377" s="1182" t="s">
        <v>1639</v>
      </c>
      <c r="T377" s="1182" t="s">
        <v>1814</v>
      </c>
      <c r="U377" s="1182" t="s">
        <v>1815</v>
      </c>
      <c r="V377" s="1182">
        <v>0</v>
      </c>
      <c r="W377" s="1182">
        <v>0</v>
      </c>
      <c r="X377" s="1182">
        <v>0</v>
      </c>
      <c r="Y377" s="1183">
        <v>12100</v>
      </c>
      <c r="Z377" s="1182" t="s">
        <v>1940</v>
      </c>
      <c r="AA377" s="1182" t="s">
        <v>1941</v>
      </c>
      <c r="AB377" s="1182">
        <v>12100</v>
      </c>
      <c r="AC377" s="1182" t="s">
        <v>2925</v>
      </c>
      <c r="AD377" s="1182" t="s">
        <v>1561</v>
      </c>
      <c r="AE377" s="1182">
        <v>12100</v>
      </c>
      <c r="AF377" s="1182" t="s">
        <v>1943</v>
      </c>
      <c r="AG377" s="1182" t="s">
        <v>1944</v>
      </c>
      <c r="AH377" s="1182">
        <v>0</v>
      </c>
      <c r="AI377" s="1182">
        <v>12100</v>
      </c>
      <c r="AJ377" s="1182" t="s">
        <v>2969</v>
      </c>
      <c r="AL377" s="1186" t="s">
        <v>2970</v>
      </c>
      <c r="AM377" s="1182">
        <v>1</v>
      </c>
      <c r="AN377" s="1182">
        <v>0</v>
      </c>
      <c r="AO377" s="1182">
        <v>0</v>
      </c>
      <c r="AP377" s="1182" t="s">
        <v>2949</v>
      </c>
      <c r="AQ377" s="1182" t="s">
        <v>1639</v>
      </c>
      <c r="AS377" s="1186" t="s">
        <v>1943</v>
      </c>
      <c r="AT377" s="1186" t="s">
        <v>1944</v>
      </c>
      <c r="AV377" s="1185">
        <v>0</v>
      </c>
      <c r="AW377" s="1185">
        <v>0</v>
      </c>
      <c r="AX377" s="1185">
        <v>12100</v>
      </c>
      <c r="AY377" s="1539">
        <v>12100</v>
      </c>
      <c r="AZ377" s="1185">
        <v>0</v>
      </c>
      <c r="BA377" s="1185">
        <v>0</v>
      </c>
      <c r="BB377" s="1541">
        <v>0</v>
      </c>
      <c r="BC377" s="1540">
        <v>12100</v>
      </c>
      <c r="BD377" s="1540">
        <v>0</v>
      </c>
      <c r="BF377" s="1539">
        <f t="shared" si="82"/>
        <v>0</v>
      </c>
      <c r="BG377" s="1539">
        <f t="shared" si="83"/>
        <v>0</v>
      </c>
      <c r="BH377" s="1539">
        <f t="shared" si="84"/>
        <v>12100</v>
      </c>
      <c r="BI377" s="1539">
        <f t="shared" si="85"/>
        <v>12100</v>
      </c>
      <c r="BJ377" s="1539">
        <f t="shared" si="86"/>
        <v>0</v>
      </c>
      <c r="BK377" s="1539">
        <f t="shared" si="87"/>
        <v>0</v>
      </c>
      <c r="BL377" s="1539">
        <f t="shared" si="88"/>
        <v>0</v>
      </c>
      <c r="BM377" s="1539">
        <f t="shared" si="89"/>
        <v>12100</v>
      </c>
      <c r="BO377" s="1183"/>
      <c r="BQ377" s="1182">
        <f t="shared" si="90"/>
        <v>0</v>
      </c>
      <c r="BR377" s="1182">
        <f t="shared" si="91"/>
        <v>0</v>
      </c>
    </row>
    <row r="378" spans="1:70" ht="13.5" customHeight="1">
      <c r="A378" s="1182" t="s">
        <v>1803</v>
      </c>
      <c r="B378" s="1182" t="s">
        <v>1804</v>
      </c>
      <c r="C378" s="1182" t="s">
        <v>1639</v>
      </c>
      <c r="D378" s="1182" t="s">
        <v>2590</v>
      </c>
      <c r="E378" s="1182" t="s">
        <v>2591</v>
      </c>
      <c r="F378" s="1182" t="s">
        <v>2944</v>
      </c>
      <c r="G378" s="1182" t="s">
        <v>2944</v>
      </c>
      <c r="H378" s="1182" t="s">
        <v>2945</v>
      </c>
      <c r="I378" s="1182" t="s">
        <v>1937</v>
      </c>
      <c r="J378" s="1182" t="s">
        <v>2946</v>
      </c>
      <c r="K378" s="1182" t="s">
        <v>1811</v>
      </c>
      <c r="L378" s="1182" t="s">
        <v>1812</v>
      </c>
      <c r="M378" s="1182" t="s">
        <v>1803</v>
      </c>
      <c r="N378" s="1182" t="s">
        <v>2922</v>
      </c>
      <c r="O378" s="1182" t="s">
        <v>1554</v>
      </c>
      <c r="P378" s="1182" t="s">
        <v>1563</v>
      </c>
      <c r="Q378" s="1182" t="s">
        <v>1562</v>
      </c>
      <c r="R378" s="1182" t="s">
        <v>1561</v>
      </c>
      <c r="S378" s="1182" t="s">
        <v>1639</v>
      </c>
      <c r="T378" s="1182" t="s">
        <v>1814</v>
      </c>
      <c r="U378" s="1182" t="s">
        <v>1815</v>
      </c>
      <c r="V378" s="1182">
        <v>0</v>
      </c>
      <c r="W378" s="1182">
        <v>0</v>
      </c>
      <c r="X378" s="1182">
        <v>0</v>
      </c>
      <c r="Y378" s="1183">
        <v>35000</v>
      </c>
      <c r="Z378" s="1182" t="s">
        <v>1940</v>
      </c>
      <c r="AA378" s="1182" t="s">
        <v>1941</v>
      </c>
      <c r="AB378" s="1182">
        <v>35000</v>
      </c>
      <c r="AC378" s="1182" t="s">
        <v>2925</v>
      </c>
      <c r="AD378" s="1182" t="s">
        <v>1561</v>
      </c>
      <c r="AE378" s="1182">
        <v>35000</v>
      </c>
      <c r="AF378" s="1182" t="s">
        <v>1943</v>
      </c>
      <c r="AG378" s="1182" t="s">
        <v>1944</v>
      </c>
      <c r="AH378" s="1182">
        <v>0</v>
      </c>
      <c r="AI378" s="1182">
        <v>35000</v>
      </c>
      <c r="AJ378" s="1182" t="s">
        <v>2947</v>
      </c>
      <c r="AL378" s="1186" t="s">
        <v>2948</v>
      </c>
      <c r="AM378" s="1182">
        <v>1</v>
      </c>
      <c r="AN378" s="1182">
        <v>0</v>
      </c>
      <c r="AO378" s="1182">
        <v>0</v>
      </c>
      <c r="AP378" s="1182" t="s">
        <v>2949</v>
      </c>
      <c r="AQ378" s="1182" t="s">
        <v>1639</v>
      </c>
      <c r="AS378" s="1186" t="s">
        <v>1943</v>
      </c>
      <c r="AT378" s="1186" t="s">
        <v>1944</v>
      </c>
      <c r="AV378" s="1185">
        <v>0</v>
      </c>
      <c r="AW378" s="1185">
        <v>0</v>
      </c>
      <c r="AX378" s="1185">
        <v>35000</v>
      </c>
      <c r="AY378" s="1539">
        <v>35000</v>
      </c>
      <c r="AZ378" s="1185">
        <v>0</v>
      </c>
      <c r="BA378" s="1185">
        <v>0</v>
      </c>
      <c r="BB378" s="1541">
        <v>0</v>
      </c>
      <c r="BC378" s="1540">
        <v>35000</v>
      </c>
      <c r="BD378" s="1540">
        <v>0</v>
      </c>
      <c r="BF378" s="1539">
        <f t="shared" si="82"/>
        <v>0</v>
      </c>
      <c r="BG378" s="1539">
        <f t="shared" si="83"/>
        <v>0</v>
      </c>
      <c r="BH378" s="1539">
        <f t="shared" si="84"/>
        <v>35000</v>
      </c>
      <c r="BI378" s="1539">
        <f t="shared" si="85"/>
        <v>35000</v>
      </c>
      <c r="BJ378" s="1539">
        <f t="shared" si="86"/>
        <v>0</v>
      </c>
      <c r="BK378" s="1539">
        <f t="shared" si="87"/>
        <v>0</v>
      </c>
      <c r="BL378" s="1539">
        <f t="shared" si="88"/>
        <v>0</v>
      </c>
      <c r="BM378" s="1539">
        <f t="shared" si="89"/>
        <v>35000</v>
      </c>
      <c r="BO378" s="1183"/>
      <c r="BQ378" s="1182">
        <f t="shared" si="90"/>
        <v>0</v>
      </c>
      <c r="BR378" s="1182">
        <f t="shared" si="91"/>
        <v>0</v>
      </c>
    </row>
    <row r="379" spans="1:70" ht="13.5" customHeight="1">
      <c r="A379" s="1182" t="s">
        <v>1803</v>
      </c>
      <c r="B379" s="1182" t="s">
        <v>1804</v>
      </c>
      <c r="C379" s="1182" t="s">
        <v>1639</v>
      </c>
      <c r="D379" s="1182" t="s">
        <v>2590</v>
      </c>
      <c r="E379" s="1182" t="s">
        <v>2591</v>
      </c>
      <c r="F379" s="1182" t="s">
        <v>2950</v>
      </c>
      <c r="G379" s="1182" t="s">
        <v>2950</v>
      </c>
      <c r="H379" s="1182" t="s">
        <v>2951</v>
      </c>
      <c r="I379" s="1182" t="s">
        <v>1937</v>
      </c>
      <c r="J379" s="1182" t="s">
        <v>2952</v>
      </c>
      <c r="K379" s="1182" t="s">
        <v>1811</v>
      </c>
      <c r="L379" s="1182" t="s">
        <v>1812</v>
      </c>
      <c r="M379" s="1182" t="s">
        <v>1803</v>
      </c>
      <c r="N379" s="1182" t="s">
        <v>2922</v>
      </c>
      <c r="O379" s="1182" t="s">
        <v>1554</v>
      </c>
      <c r="P379" s="1182" t="s">
        <v>1563</v>
      </c>
      <c r="Q379" s="1182" t="s">
        <v>1562</v>
      </c>
      <c r="R379" s="1182" t="s">
        <v>1561</v>
      </c>
      <c r="S379" s="1182" t="s">
        <v>1639</v>
      </c>
      <c r="T379" s="1182" t="s">
        <v>1814</v>
      </c>
      <c r="U379" s="1182" t="s">
        <v>1815</v>
      </c>
      <c r="V379" s="1182">
        <v>0</v>
      </c>
      <c r="W379" s="1182">
        <v>0</v>
      </c>
      <c r="X379" s="1182">
        <v>0</v>
      </c>
      <c r="Y379" s="1183">
        <v>33400</v>
      </c>
      <c r="Z379" s="1182" t="s">
        <v>1940</v>
      </c>
      <c r="AA379" s="1182" t="s">
        <v>1941</v>
      </c>
      <c r="AB379" s="1182">
        <v>33400</v>
      </c>
      <c r="AC379" s="1182" t="s">
        <v>2925</v>
      </c>
      <c r="AD379" s="1182" t="s">
        <v>1561</v>
      </c>
      <c r="AE379" s="1182">
        <v>33400</v>
      </c>
      <c r="AF379" s="1182" t="s">
        <v>1943</v>
      </c>
      <c r="AG379" s="1182" t="s">
        <v>1944</v>
      </c>
      <c r="AH379" s="1182">
        <v>0</v>
      </c>
      <c r="AI379" s="1182">
        <v>33400</v>
      </c>
      <c r="AJ379" s="1182" t="s">
        <v>2947</v>
      </c>
      <c r="AL379" s="1186" t="s">
        <v>2953</v>
      </c>
      <c r="AM379" s="1182">
        <v>1</v>
      </c>
      <c r="AN379" s="1182">
        <v>0</v>
      </c>
      <c r="AO379" s="1182">
        <v>0</v>
      </c>
      <c r="AP379" s="1182" t="s">
        <v>2949</v>
      </c>
      <c r="AQ379" s="1182" t="s">
        <v>1639</v>
      </c>
      <c r="AS379" s="1186" t="s">
        <v>1943</v>
      </c>
      <c r="AT379" s="1186" t="s">
        <v>1944</v>
      </c>
      <c r="AV379" s="1185">
        <v>0</v>
      </c>
      <c r="AW379" s="1185">
        <v>0</v>
      </c>
      <c r="AX379" s="1185">
        <v>33400</v>
      </c>
      <c r="AY379" s="1539">
        <v>33400</v>
      </c>
      <c r="AZ379" s="1185">
        <v>0</v>
      </c>
      <c r="BA379" s="1185">
        <v>0</v>
      </c>
      <c r="BB379" s="1541">
        <v>0</v>
      </c>
      <c r="BC379" s="1540">
        <v>33400</v>
      </c>
      <c r="BD379" s="1540">
        <v>0</v>
      </c>
      <c r="BF379" s="1539">
        <f t="shared" si="82"/>
        <v>0</v>
      </c>
      <c r="BG379" s="1539">
        <f t="shared" si="83"/>
        <v>0</v>
      </c>
      <c r="BH379" s="1539">
        <f t="shared" si="84"/>
        <v>33400</v>
      </c>
      <c r="BI379" s="1539">
        <f t="shared" si="85"/>
        <v>33400</v>
      </c>
      <c r="BJ379" s="1539">
        <f t="shared" si="86"/>
        <v>0</v>
      </c>
      <c r="BK379" s="1539">
        <f t="shared" si="87"/>
        <v>0</v>
      </c>
      <c r="BL379" s="1539">
        <f t="shared" si="88"/>
        <v>0</v>
      </c>
      <c r="BM379" s="1539">
        <f t="shared" si="89"/>
        <v>33400</v>
      </c>
      <c r="BO379" s="1183"/>
      <c r="BQ379" s="1182">
        <f t="shared" si="90"/>
        <v>0</v>
      </c>
      <c r="BR379" s="1182">
        <f t="shared" si="91"/>
        <v>0</v>
      </c>
    </row>
    <row r="380" spans="1:70" ht="13.5" customHeight="1">
      <c r="A380" s="1182" t="s">
        <v>1803</v>
      </c>
      <c r="B380" s="1182" t="s">
        <v>1804</v>
      </c>
      <c r="C380" s="1182" t="s">
        <v>1639</v>
      </c>
      <c r="D380" s="1182" t="s">
        <v>2590</v>
      </c>
      <c r="E380" s="1182" t="s">
        <v>2591</v>
      </c>
      <c r="F380" s="1182" t="s">
        <v>2796</v>
      </c>
      <c r="G380" s="1182" t="s">
        <v>2796</v>
      </c>
      <c r="H380" s="1182" t="s">
        <v>2951</v>
      </c>
      <c r="I380" s="1182" t="s">
        <v>1937</v>
      </c>
      <c r="J380" s="1182" t="s">
        <v>2954</v>
      </c>
      <c r="K380" s="1182" t="s">
        <v>1811</v>
      </c>
      <c r="L380" s="1182" t="s">
        <v>1812</v>
      </c>
      <c r="M380" s="1182" t="s">
        <v>1803</v>
      </c>
      <c r="N380" s="1182" t="s">
        <v>2922</v>
      </c>
      <c r="O380" s="1182" t="s">
        <v>1554</v>
      </c>
      <c r="P380" s="1182" t="s">
        <v>1563</v>
      </c>
      <c r="Q380" s="1182" t="s">
        <v>1562</v>
      </c>
      <c r="R380" s="1182" t="s">
        <v>1561</v>
      </c>
      <c r="S380" s="1182" t="s">
        <v>1639</v>
      </c>
      <c r="T380" s="1182" t="s">
        <v>1814</v>
      </c>
      <c r="U380" s="1182" t="s">
        <v>1815</v>
      </c>
      <c r="V380" s="1182">
        <v>0</v>
      </c>
      <c r="W380" s="1182">
        <v>0</v>
      </c>
      <c r="X380" s="1182">
        <v>0</v>
      </c>
      <c r="Y380" s="1183">
        <v>12600</v>
      </c>
      <c r="Z380" s="1182" t="s">
        <v>1940</v>
      </c>
      <c r="AA380" s="1182" t="s">
        <v>1941</v>
      </c>
      <c r="AB380" s="1182">
        <v>12600</v>
      </c>
      <c r="AC380" s="1182" t="s">
        <v>2925</v>
      </c>
      <c r="AD380" s="1182" t="s">
        <v>1561</v>
      </c>
      <c r="AE380" s="1182">
        <v>12600</v>
      </c>
      <c r="AF380" s="1182" t="s">
        <v>1943</v>
      </c>
      <c r="AG380" s="1182" t="s">
        <v>1944</v>
      </c>
      <c r="AH380" s="1182">
        <v>0</v>
      </c>
      <c r="AI380" s="1182">
        <v>12600</v>
      </c>
      <c r="AJ380" s="1182" t="s">
        <v>2955</v>
      </c>
      <c r="AL380" s="1186" t="s">
        <v>2956</v>
      </c>
      <c r="AM380" s="1182">
        <v>1</v>
      </c>
      <c r="AN380" s="1182">
        <v>0</v>
      </c>
      <c r="AO380" s="1182">
        <v>0</v>
      </c>
      <c r="AP380" s="1182" t="s">
        <v>2949</v>
      </c>
      <c r="AQ380" s="1182" t="s">
        <v>1639</v>
      </c>
      <c r="AS380" s="1186" t="s">
        <v>1943</v>
      </c>
      <c r="AT380" s="1186" t="s">
        <v>1944</v>
      </c>
      <c r="AV380" s="1183">
        <v>0</v>
      </c>
      <c r="AW380" s="1183">
        <v>0</v>
      </c>
      <c r="AX380" s="1183">
        <v>12600</v>
      </c>
      <c r="AY380" s="1538">
        <v>12600</v>
      </c>
      <c r="AZ380" s="1183">
        <v>0</v>
      </c>
      <c r="BA380" s="1183">
        <v>0</v>
      </c>
      <c r="BB380" s="1540">
        <v>0</v>
      </c>
      <c r="BC380" s="1540">
        <v>12600</v>
      </c>
      <c r="BD380" s="1540">
        <v>0</v>
      </c>
      <c r="BF380" s="1539">
        <f t="shared" si="82"/>
        <v>0</v>
      </c>
      <c r="BG380" s="1539">
        <f t="shared" si="83"/>
        <v>0</v>
      </c>
      <c r="BH380" s="1539">
        <f t="shared" si="84"/>
        <v>12600</v>
      </c>
      <c r="BI380" s="1539">
        <f t="shared" si="85"/>
        <v>12600</v>
      </c>
      <c r="BJ380" s="1539">
        <f t="shared" si="86"/>
        <v>0</v>
      </c>
      <c r="BK380" s="1539">
        <f t="shared" si="87"/>
        <v>0</v>
      </c>
      <c r="BL380" s="1539">
        <f t="shared" si="88"/>
        <v>0</v>
      </c>
      <c r="BM380" s="1539">
        <f t="shared" si="89"/>
        <v>12600</v>
      </c>
      <c r="BO380" s="1183"/>
      <c r="BQ380" s="1182">
        <f t="shared" si="90"/>
        <v>0</v>
      </c>
      <c r="BR380" s="1182">
        <f t="shared" si="91"/>
        <v>0</v>
      </c>
    </row>
    <row r="381" spans="1:70" ht="13.5" customHeight="1">
      <c r="A381" s="1182" t="s">
        <v>1803</v>
      </c>
      <c r="B381" s="1182" t="s">
        <v>1804</v>
      </c>
      <c r="C381" s="1182" t="s">
        <v>1639</v>
      </c>
      <c r="D381" s="1182" t="s">
        <v>2590</v>
      </c>
      <c r="E381" s="1182" t="s">
        <v>2591</v>
      </c>
      <c r="F381" s="1182" t="s">
        <v>2180</v>
      </c>
      <c r="G381" s="1182" t="s">
        <v>2180</v>
      </c>
      <c r="H381" s="1182" t="s">
        <v>2945</v>
      </c>
      <c r="I381" s="1182" t="s">
        <v>1937</v>
      </c>
      <c r="J381" s="1182" t="s">
        <v>3000</v>
      </c>
      <c r="K381" s="1182" t="s">
        <v>1811</v>
      </c>
      <c r="L381" s="1182" t="s">
        <v>1812</v>
      </c>
      <c r="M381" s="1182" t="s">
        <v>1803</v>
      </c>
      <c r="N381" s="1182" t="s">
        <v>2922</v>
      </c>
      <c r="O381" s="1182" t="s">
        <v>1554</v>
      </c>
      <c r="P381" s="1182" t="s">
        <v>1563</v>
      </c>
      <c r="Q381" s="1182" t="s">
        <v>1562</v>
      </c>
      <c r="R381" s="1182" t="s">
        <v>1561</v>
      </c>
      <c r="S381" s="1182" t="s">
        <v>1639</v>
      </c>
      <c r="T381" s="1182" t="s">
        <v>1814</v>
      </c>
      <c r="U381" s="1182" t="s">
        <v>1815</v>
      </c>
      <c r="V381" s="1182">
        <v>0</v>
      </c>
      <c r="W381" s="1182">
        <v>0</v>
      </c>
      <c r="X381" s="1182">
        <v>0</v>
      </c>
      <c r="Y381" s="1183">
        <v>8300</v>
      </c>
      <c r="Z381" s="1182" t="s">
        <v>1940</v>
      </c>
      <c r="AA381" s="1182" t="s">
        <v>1941</v>
      </c>
      <c r="AB381" s="1182">
        <v>8300</v>
      </c>
      <c r="AC381" s="1182" t="s">
        <v>2925</v>
      </c>
      <c r="AD381" s="1182" t="s">
        <v>1561</v>
      </c>
      <c r="AE381" s="1182">
        <v>8300</v>
      </c>
      <c r="AF381" s="1182" t="s">
        <v>1943</v>
      </c>
      <c r="AG381" s="1182" t="s">
        <v>1944</v>
      </c>
      <c r="AH381" s="1182">
        <v>0</v>
      </c>
      <c r="AI381" s="1182">
        <v>8300</v>
      </c>
      <c r="AJ381" s="1182" t="s">
        <v>2969</v>
      </c>
      <c r="AL381" s="1186" t="s">
        <v>3001</v>
      </c>
      <c r="AM381" s="1182">
        <v>1</v>
      </c>
      <c r="AN381" s="1182">
        <v>0</v>
      </c>
      <c r="AO381" s="1182">
        <v>0</v>
      </c>
      <c r="AP381" s="1182" t="s">
        <v>2949</v>
      </c>
      <c r="AQ381" s="1182" t="s">
        <v>1639</v>
      </c>
      <c r="AS381" s="1186" t="s">
        <v>1943</v>
      </c>
      <c r="AT381" s="1186" t="s">
        <v>1944</v>
      </c>
      <c r="AV381" s="1185">
        <v>0</v>
      </c>
      <c r="AW381" s="1185">
        <v>0</v>
      </c>
      <c r="AX381" s="1185">
        <v>8300</v>
      </c>
      <c r="AY381" s="1539">
        <v>8300</v>
      </c>
      <c r="AZ381" s="1185">
        <v>0</v>
      </c>
      <c r="BA381" s="1185">
        <v>0</v>
      </c>
      <c r="BB381" s="1540">
        <v>0</v>
      </c>
      <c r="BC381" s="1540">
        <v>8300</v>
      </c>
      <c r="BD381" s="1540">
        <v>0</v>
      </c>
      <c r="BF381" s="1539">
        <f t="shared" si="82"/>
        <v>0</v>
      </c>
      <c r="BG381" s="1539">
        <f t="shared" si="83"/>
        <v>0</v>
      </c>
      <c r="BH381" s="1539">
        <f t="shared" si="84"/>
        <v>8300</v>
      </c>
      <c r="BI381" s="1539">
        <f t="shared" si="85"/>
        <v>8300</v>
      </c>
      <c r="BJ381" s="1539">
        <f t="shared" si="86"/>
        <v>0</v>
      </c>
      <c r="BK381" s="1539">
        <f t="shared" si="87"/>
        <v>0</v>
      </c>
      <c r="BL381" s="1539">
        <f t="shared" si="88"/>
        <v>0</v>
      </c>
      <c r="BM381" s="1539">
        <f t="shared" si="89"/>
        <v>8300</v>
      </c>
      <c r="BO381" s="1183"/>
      <c r="BQ381" s="1182">
        <f t="shared" si="90"/>
        <v>0</v>
      </c>
      <c r="BR381" s="1182">
        <f t="shared" si="91"/>
        <v>0</v>
      </c>
    </row>
    <row r="382" spans="1:70" ht="13.5" customHeight="1">
      <c r="A382" s="1182" t="s">
        <v>1803</v>
      </c>
      <c r="B382" s="1182" t="s">
        <v>1804</v>
      </c>
      <c r="C382" s="1182" t="s">
        <v>1639</v>
      </c>
      <c r="D382" s="1182" t="s">
        <v>2590</v>
      </c>
      <c r="E382" s="1182" t="s">
        <v>2591</v>
      </c>
      <c r="F382" s="1182" t="s">
        <v>2745</v>
      </c>
      <c r="G382" s="1182" t="s">
        <v>2745</v>
      </c>
      <c r="H382" s="1182" t="s">
        <v>2945</v>
      </c>
      <c r="I382" s="1182" t="s">
        <v>1937</v>
      </c>
      <c r="J382" s="1182" t="s">
        <v>2965</v>
      </c>
      <c r="K382" s="1182" t="s">
        <v>1811</v>
      </c>
      <c r="L382" s="1182" t="s">
        <v>1812</v>
      </c>
      <c r="M382" s="1182" t="s">
        <v>1803</v>
      </c>
      <c r="N382" s="1182" t="s">
        <v>2922</v>
      </c>
      <c r="O382" s="1182" t="s">
        <v>1554</v>
      </c>
      <c r="P382" s="1182" t="s">
        <v>1563</v>
      </c>
      <c r="Q382" s="1182" t="s">
        <v>1562</v>
      </c>
      <c r="R382" s="1182" t="s">
        <v>1561</v>
      </c>
      <c r="S382" s="1182" t="s">
        <v>1639</v>
      </c>
      <c r="T382" s="1182" t="s">
        <v>1814</v>
      </c>
      <c r="U382" s="1182" t="s">
        <v>1815</v>
      </c>
      <c r="V382" s="1182">
        <v>0</v>
      </c>
      <c r="W382" s="1182">
        <v>0</v>
      </c>
      <c r="X382" s="1182">
        <v>0</v>
      </c>
      <c r="Y382" s="1183">
        <v>13900</v>
      </c>
      <c r="Z382" s="1182" t="s">
        <v>1940</v>
      </c>
      <c r="AA382" s="1182" t="s">
        <v>1941</v>
      </c>
      <c r="AB382" s="1182">
        <v>13900</v>
      </c>
      <c r="AC382" s="1182" t="s">
        <v>2925</v>
      </c>
      <c r="AD382" s="1182" t="s">
        <v>1561</v>
      </c>
      <c r="AE382" s="1182">
        <v>13900</v>
      </c>
      <c r="AF382" s="1182" t="s">
        <v>1943</v>
      </c>
      <c r="AG382" s="1182" t="s">
        <v>1944</v>
      </c>
      <c r="AH382" s="1182">
        <v>0</v>
      </c>
      <c r="AI382" s="1182">
        <v>13900</v>
      </c>
      <c r="AJ382" s="1182" t="s">
        <v>2966</v>
      </c>
      <c r="AL382" s="1186" t="s">
        <v>2967</v>
      </c>
      <c r="AM382" s="1182">
        <v>1</v>
      </c>
      <c r="AN382" s="1182">
        <v>0</v>
      </c>
      <c r="AO382" s="1182">
        <v>0</v>
      </c>
      <c r="AP382" s="1182" t="s">
        <v>2949</v>
      </c>
      <c r="AQ382" s="1182" t="s">
        <v>1639</v>
      </c>
      <c r="AS382" s="1186" t="s">
        <v>1943</v>
      </c>
      <c r="AT382" s="1186" t="s">
        <v>1944</v>
      </c>
      <c r="AV382" s="1185">
        <v>0</v>
      </c>
      <c r="AW382" s="1185">
        <v>0</v>
      </c>
      <c r="AX382" s="1185">
        <v>13900</v>
      </c>
      <c r="AY382" s="1539">
        <v>13900</v>
      </c>
      <c r="AZ382" s="1185">
        <v>0</v>
      </c>
      <c r="BA382" s="1185">
        <v>0</v>
      </c>
      <c r="BB382" s="1540">
        <v>0</v>
      </c>
      <c r="BC382" s="1540">
        <v>13900</v>
      </c>
      <c r="BD382" s="1540">
        <v>0</v>
      </c>
      <c r="BF382" s="1539">
        <f t="shared" si="82"/>
        <v>0</v>
      </c>
      <c r="BG382" s="1539">
        <f t="shared" si="83"/>
        <v>0</v>
      </c>
      <c r="BH382" s="1539">
        <f t="shared" si="84"/>
        <v>13900</v>
      </c>
      <c r="BI382" s="1539">
        <f t="shared" si="85"/>
        <v>13900</v>
      </c>
      <c r="BJ382" s="1539">
        <f t="shared" si="86"/>
        <v>0</v>
      </c>
      <c r="BK382" s="1539">
        <f t="shared" si="87"/>
        <v>0</v>
      </c>
      <c r="BL382" s="1539">
        <f t="shared" si="88"/>
        <v>0</v>
      </c>
      <c r="BM382" s="1539">
        <f t="shared" si="89"/>
        <v>13900</v>
      </c>
      <c r="BO382" s="1183"/>
      <c r="BQ382" s="1182">
        <f t="shared" si="90"/>
        <v>0</v>
      </c>
      <c r="BR382" s="1182">
        <f t="shared" si="91"/>
        <v>0</v>
      </c>
    </row>
    <row r="383" spans="1:70" ht="13.5" customHeight="1">
      <c r="A383" s="1182" t="s">
        <v>1803</v>
      </c>
      <c r="B383" s="1182" t="s">
        <v>1804</v>
      </c>
      <c r="C383" s="1182" t="s">
        <v>1639</v>
      </c>
      <c r="D383" s="1182" t="s">
        <v>2590</v>
      </c>
      <c r="E383" s="1182" t="s">
        <v>2591</v>
      </c>
      <c r="F383" s="1182" t="s">
        <v>2687</v>
      </c>
      <c r="G383" s="1182" t="s">
        <v>2687</v>
      </c>
      <c r="H383" s="1182" t="s">
        <v>2945</v>
      </c>
      <c r="I383" s="1182" t="s">
        <v>1937</v>
      </c>
      <c r="J383" s="1182" t="s">
        <v>3002</v>
      </c>
      <c r="K383" s="1182" t="s">
        <v>1811</v>
      </c>
      <c r="L383" s="1182" t="s">
        <v>1812</v>
      </c>
      <c r="M383" s="1182" t="s">
        <v>1803</v>
      </c>
      <c r="N383" s="1182" t="s">
        <v>2922</v>
      </c>
      <c r="O383" s="1182" t="s">
        <v>1554</v>
      </c>
      <c r="P383" s="1182" t="s">
        <v>1563</v>
      </c>
      <c r="Q383" s="1182" t="s">
        <v>1562</v>
      </c>
      <c r="R383" s="1182" t="s">
        <v>1561</v>
      </c>
      <c r="S383" s="1182" t="s">
        <v>1639</v>
      </c>
      <c r="T383" s="1182" t="s">
        <v>1814</v>
      </c>
      <c r="U383" s="1182" t="s">
        <v>1815</v>
      </c>
      <c r="V383" s="1182">
        <v>0</v>
      </c>
      <c r="W383" s="1182">
        <v>0</v>
      </c>
      <c r="X383" s="1182">
        <v>0</v>
      </c>
      <c r="Y383" s="1183">
        <v>17700</v>
      </c>
      <c r="Z383" s="1182" t="s">
        <v>1940</v>
      </c>
      <c r="AA383" s="1182" t="s">
        <v>1941</v>
      </c>
      <c r="AB383" s="1182">
        <v>17700</v>
      </c>
      <c r="AC383" s="1182" t="s">
        <v>2925</v>
      </c>
      <c r="AD383" s="1182" t="s">
        <v>1561</v>
      </c>
      <c r="AE383" s="1182">
        <v>17700</v>
      </c>
      <c r="AF383" s="1182" t="s">
        <v>1943</v>
      </c>
      <c r="AG383" s="1182" t="s">
        <v>1944</v>
      </c>
      <c r="AH383" s="1182">
        <v>0</v>
      </c>
      <c r="AI383" s="1182">
        <v>17700</v>
      </c>
      <c r="AJ383" s="1182" t="s">
        <v>2972</v>
      </c>
      <c r="AL383" s="1186" t="s">
        <v>3003</v>
      </c>
      <c r="AM383" s="1182">
        <v>1</v>
      </c>
      <c r="AN383" s="1182">
        <v>0</v>
      </c>
      <c r="AO383" s="1182">
        <v>0</v>
      </c>
      <c r="AP383" s="1182" t="s">
        <v>2949</v>
      </c>
      <c r="AQ383" s="1182" t="s">
        <v>1639</v>
      </c>
      <c r="AS383" s="1186" t="s">
        <v>1943</v>
      </c>
      <c r="AT383" s="1186" t="s">
        <v>1944</v>
      </c>
      <c r="AV383" s="1185">
        <v>0</v>
      </c>
      <c r="AW383" s="1185">
        <v>0</v>
      </c>
      <c r="AX383" s="1185">
        <v>17700</v>
      </c>
      <c r="AY383" s="1539">
        <v>17700</v>
      </c>
      <c r="AZ383" s="1185">
        <v>0</v>
      </c>
      <c r="BA383" s="1185">
        <v>0</v>
      </c>
      <c r="BB383" s="1540">
        <v>0</v>
      </c>
      <c r="BC383" s="1540">
        <v>17700</v>
      </c>
      <c r="BD383" s="1540">
        <v>0</v>
      </c>
      <c r="BF383" s="1539">
        <f t="shared" si="82"/>
        <v>0</v>
      </c>
      <c r="BG383" s="1539">
        <f t="shared" si="83"/>
        <v>0</v>
      </c>
      <c r="BH383" s="1539">
        <f t="shared" si="84"/>
        <v>17700</v>
      </c>
      <c r="BI383" s="1539">
        <f t="shared" si="85"/>
        <v>17700</v>
      </c>
      <c r="BJ383" s="1539">
        <f t="shared" si="86"/>
        <v>0</v>
      </c>
      <c r="BK383" s="1539">
        <f t="shared" si="87"/>
        <v>0</v>
      </c>
      <c r="BL383" s="1539">
        <f t="shared" si="88"/>
        <v>0</v>
      </c>
      <c r="BM383" s="1539">
        <f t="shared" si="89"/>
        <v>17700</v>
      </c>
      <c r="BO383" s="1183"/>
      <c r="BQ383" s="1182">
        <f t="shared" si="90"/>
        <v>0</v>
      </c>
      <c r="BR383" s="1182">
        <f t="shared" si="91"/>
        <v>0</v>
      </c>
    </row>
    <row r="384" spans="1:70" ht="13.5" customHeight="1">
      <c r="A384" s="1182" t="s">
        <v>1803</v>
      </c>
      <c r="B384" s="1182" t="s">
        <v>1804</v>
      </c>
      <c r="C384" s="1182" t="s">
        <v>1639</v>
      </c>
      <c r="D384" s="1182" t="s">
        <v>2590</v>
      </c>
      <c r="E384" s="1182" t="s">
        <v>2591</v>
      </c>
      <c r="F384" s="1182" t="s">
        <v>2957</v>
      </c>
      <c r="G384" s="1182" t="s">
        <v>2957</v>
      </c>
      <c r="H384" s="1182" t="s">
        <v>2945</v>
      </c>
      <c r="I384" s="1182" t="s">
        <v>1937</v>
      </c>
      <c r="J384" s="1182" t="s">
        <v>2958</v>
      </c>
      <c r="K384" s="1182" t="s">
        <v>1811</v>
      </c>
      <c r="L384" s="1182" t="s">
        <v>1812</v>
      </c>
      <c r="M384" s="1182" t="s">
        <v>1803</v>
      </c>
      <c r="N384" s="1182" t="s">
        <v>2922</v>
      </c>
      <c r="O384" s="1182" t="s">
        <v>1554</v>
      </c>
      <c r="P384" s="1182" t="s">
        <v>1563</v>
      </c>
      <c r="Q384" s="1182" t="s">
        <v>1562</v>
      </c>
      <c r="R384" s="1182" t="s">
        <v>1561</v>
      </c>
      <c r="S384" s="1182" t="s">
        <v>1639</v>
      </c>
      <c r="T384" s="1182" t="s">
        <v>1814</v>
      </c>
      <c r="U384" s="1182" t="s">
        <v>1815</v>
      </c>
      <c r="V384" s="1182">
        <v>0</v>
      </c>
      <c r="W384" s="1182">
        <v>0</v>
      </c>
      <c r="X384" s="1182">
        <v>0</v>
      </c>
      <c r="Y384" s="1183">
        <v>8900</v>
      </c>
      <c r="Z384" s="1182" t="s">
        <v>1940</v>
      </c>
      <c r="AA384" s="1182" t="s">
        <v>1941</v>
      </c>
      <c r="AB384" s="1182">
        <v>8900</v>
      </c>
      <c r="AC384" s="1182" t="s">
        <v>2925</v>
      </c>
      <c r="AD384" s="1182" t="s">
        <v>1561</v>
      </c>
      <c r="AE384" s="1182">
        <v>8900</v>
      </c>
      <c r="AF384" s="1182" t="s">
        <v>1943</v>
      </c>
      <c r="AG384" s="1182" t="s">
        <v>1944</v>
      </c>
      <c r="AH384" s="1182">
        <v>0</v>
      </c>
      <c r="AI384" s="1182">
        <v>8900</v>
      </c>
      <c r="AJ384" s="1182" t="s">
        <v>2959</v>
      </c>
      <c r="AL384" s="1186" t="s">
        <v>2960</v>
      </c>
      <c r="AM384" s="1182">
        <v>1</v>
      </c>
      <c r="AN384" s="1182">
        <v>0</v>
      </c>
      <c r="AO384" s="1182">
        <v>0</v>
      </c>
      <c r="AP384" s="1182" t="s">
        <v>2949</v>
      </c>
      <c r="AQ384" s="1182" t="s">
        <v>1639</v>
      </c>
      <c r="AS384" s="1186" t="s">
        <v>1943</v>
      </c>
      <c r="AT384" s="1186" t="s">
        <v>1944</v>
      </c>
      <c r="AV384" s="1185">
        <v>0</v>
      </c>
      <c r="AW384" s="1185">
        <v>0</v>
      </c>
      <c r="AX384" s="1185">
        <v>8900</v>
      </c>
      <c r="AY384" s="1539">
        <v>8900</v>
      </c>
      <c r="AZ384" s="1185">
        <v>0</v>
      </c>
      <c r="BA384" s="1185">
        <v>0</v>
      </c>
      <c r="BB384" s="1540">
        <v>0</v>
      </c>
      <c r="BC384" s="1540">
        <v>8900</v>
      </c>
      <c r="BD384" s="1540">
        <v>0</v>
      </c>
      <c r="BF384" s="1539">
        <f t="shared" si="82"/>
        <v>0</v>
      </c>
      <c r="BG384" s="1539">
        <f t="shared" si="83"/>
        <v>0</v>
      </c>
      <c r="BH384" s="1539">
        <f t="shared" si="84"/>
        <v>8900</v>
      </c>
      <c r="BI384" s="1539">
        <f t="shared" si="85"/>
        <v>8900</v>
      </c>
      <c r="BJ384" s="1539">
        <f t="shared" si="86"/>
        <v>0</v>
      </c>
      <c r="BK384" s="1539">
        <f t="shared" si="87"/>
        <v>0</v>
      </c>
      <c r="BL384" s="1539">
        <f t="shared" si="88"/>
        <v>0</v>
      </c>
      <c r="BM384" s="1539">
        <f t="shared" si="89"/>
        <v>8900</v>
      </c>
      <c r="BO384" s="1183"/>
      <c r="BQ384" s="1182">
        <f t="shared" si="90"/>
        <v>0</v>
      </c>
      <c r="BR384" s="1182">
        <f t="shared" si="91"/>
        <v>0</v>
      </c>
    </row>
    <row r="385" spans="1:70" ht="13.5" customHeight="1">
      <c r="A385" s="1182" t="s">
        <v>1803</v>
      </c>
      <c r="B385" s="1182" t="s">
        <v>1804</v>
      </c>
      <c r="C385" s="1182" t="s">
        <v>1639</v>
      </c>
      <c r="D385" s="1182" t="s">
        <v>2590</v>
      </c>
      <c r="E385" s="1182" t="s">
        <v>2591</v>
      </c>
      <c r="F385" s="1182" t="s">
        <v>2961</v>
      </c>
      <c r="G385" s="1182" t="s">
        <v>2961</v>
      </c>
      <c r="H385" s="1182" t="s">
        <v>2945</v>
      </c>
      <c r="I385" s="1182" t="s">
        <v>1937</v>
      </c>
      <c r="J385" s="1182" t="s">
        <v>2962</v>
      </c>
      <c r="K385" s="1182" t="s">
        <v>1811</v>
      </c>
      <c r="L385" s="1182" t="s">
        <v>1812</v>
      </c>
      <c r="M385" s="1182" t="s">
        <v>1803</v>
      </c>
      <c r="N385" s="1182" t="s">
        <v>2922</v>
      </c>
      <c r="O385" s="1182" t="s">
        <v>1554</v>
      </c>
      <c r="P385" s="1182" t="s">
        <v>1563</v>
      </c>
      <c r="Q385" s="1182" t="s">
        <v>1562</v>
      </c>
      <c r="R385" s="1182" t="s">
        <v>1561</v>
      </c>
      <c r="S385" s="1182" t="s">
        <v>1639</v>
      </c>
      <c r="T385" s="1182" t="s">
        <v>1814</v>
      </c>
      <c r="U385" s="1182" t="s">
        <v>1815</v>
      </c>
      <c r="V385" s="1182">
        <v>0</v>
      </c>
      <c r="W385" s="1182">
        <v>0</v>
      </c>
      <c r="X385" s="1182">
        <v>0</v>
      </c>
      <c r="Y385" s="1183">
        <v>57600</v>
      </c>
      <c r="Z385" s="1182" t="s">
        <v>1940</v>
      </c>
      <c r="AA385" s="1182" t="s">
        <v>1941</v>
      </c>
      <c r="AB385" s="1182">
        <v>57600</v>
      </c>
      <c r="AC385" s="1182" t="s">
        <v>2925</v>
      </c>
      <c r="AD385" s="1182" t="s">
        <v>1561</v>
      </c>
      <c r="AE385" s="1182">
        <v>57600</v>
      </c>
      <c r="AF385" s="1182" t="s">
        <v>1943</v>
      </c>
      <c r="AG385" s="1182" t="s">
        <v>1944</v>
      </c>
      <c r="AH385" s="1182">
        <v>0</v>
      </c>
      <c r="AI385" s="1182">
        <v>57600</v>
      </c>
      <c r="AJ385" s="1182" t="s">
        <v>2963</v>
      </c>
      <c r="AL385" s="1186" t="s">
        <v>2964</v>
      </c>
      <c r="AM385" s="1182">
        <v>1</v>
      </c>
      <c r="AN385" s="1182">
        <v>0</v>
      </c>
      <c r="AO385" s="1182">
        <v>0</v>
      </c>
      <c r="AP385" s="1182" t="s">
        <v>2949</v>
      </c>
      <c r="AQ385" s="1182" t="s">
        <v>1639</v>
      </c>
      <c r="AS385" s="1186" t="s">
        <v>1943</v>
      </c>
      <c r="AT385" s="1186" t="s">
        <v>1944</v>
      </c>
      <c r="AV385" s="1185">
        <v>0</v>
      </c>
      <c r="AW385" s="1185">
        <v>0</v>
      </c>
      <c r="AX385" s="1185">
        <v>57600</v>
      </c>
      <c r="AY385" s="1539">
        <v>57600</v>
      </c>
      <c r="AZ385" s="1185">
        <v>0</v>
      </c>
      <c r="BA385" s="1185">
        <v>0</v>
      </c>
      <c r="BB385" s="1540">
        <v>0</v>
      </c>
      <c r="BC385" s="1540">
        <v>57600</v>
      </c>
      <c r="BD385" s="1540">
        <v>0</v>
      </c>
      <c r="BF385" s="1539">
        <f t="shared" si="82"/>
        <v>0</v>
      </c>
      <c r="BG385" s="1539">
        <f t="shared" si="83"/>
        <v>0</v>
      </c>
      <c r="BH385" s="1539">
        <f t="shared" si="84"/>
        <v>57600</v>
      </c>
      <c r="BI385" s="1539">
        <f t="shared" si="85"/>
        <v>57600</v>
      </c>
      <c r="BJ385" s="1539">
        <f t="shared" si="86"/>
        <v>0</v>
      </c>
      <c r="BK385" s="1539">
        <f t="shared" si="87"/>
        <v>0</v>
      </c>
      <c r="BL385" s="1539">
        <f t="shared" si="88"/>
        <v>0</v>
      </c>
      <c r="BM385" s="1539">
        <f t="shared" si="89"/>
        <v>57600</v>
      </c>
      <c r="BO385" s="1183"/>
      <c r="BQ385" s="1182">
        <f t="shared" si="90"/>
        <v>0</v>
      </c>
      <c r="BR385" s="1182">
        <f t="shared" si="91"/>
        <v>0</v>
      </c>
    </row>
    <row r="386" spans="1:70" ht="13.5" customHeight="1">
      <c r="A386" s="1182" t="s">
        <v>1803</v>
      </c>
      <c r="B386" s="1182" t="s">
        <v>1804</v>
      </c>
      <c r="C386" s="1182" t="s">
        <v>1639</v>
      </c>
      <c r="D386" s="1182" t="s">
        <v>2590</v>
      </c>
      <c r="E386" s="1182" t="s">
        <v>2591</v>
      </c>
      <c r="F386" s="1182" t="s">
        <v>3004</v>
      </c>
      <c r="G386" s="1182" t="s">
        <v>3004</v>
      </c>
      <c r="H386" s="1182" t="s">
        <v>2945</v>
      </c>
      <c r="I386" s="1182" t="s">
        <v>1937</v>
      </c>
      <c r="J386" s="1182" t="s">
        <v>3005</v>
      </c>
      <c r="K386" s="1182" t="s">
        <v>1811</v>
      </c>
      <c r="L386" s="1182" t="s">
        <v>1812</v>
      </c>
      <c r="M386" s="1182" t="s">
        <v>1803</v>
      </c>
      <c r="N386" s="1182" t="s">
        <v>2922</v>
      </c>
      <c r="O386" s="1182" t="s">
        <v>1554</v>
      </c>
      <c r="P386" s="1182" t="s">
        <v>1563</v>
      </c>
      <c r="Q386" s="1182" t="s">
        <v>1562</v>
      </c>
      <c r="R386" s="1182" t="s">
        <v>1561</v>
      </c>
      <c r="S386" s="1182" t="s">
        <v>1639</v>
      </c>
      <c r="T386" s="1182" t="s">
        <v>1814</v>
      </c>
      <c r="U386" s="1182" t="s">
        <v>1815</v>
      </c>
      <c r="V386" s="1182">
        <v>0</v>
      </c>
      <c r="W386" s="1182">
        <v>0</v>
      </c>
      <c r="X386" s="1182">
        <v>0</v>
      </c>
      <c r="Y386" s="1183">
        <v>20800</v>
      </c>
      <c r="Z386" s="1182" t="s">
        <v>1940</v>
      </c>
      <c r="AA386" s="1182" t="s">
        <v>1941</v>
      </c>
      <c r="AB386" s="1182">
        <v>20800</v>
      </c>
      <c r="AC386" s="1182" t="s">
        <v>2925</v>
      </c>
      <c r="AD386" s="1182" t="s">
        <v>1561</v>
      </c>
      <c r="AE386" s="1182">
        <v>20800</v>
      </c>
      <c r="AF386" s="1182" t="s">
        <v>1943</v>
      </c>
      <c r="AG386" s="1182" t="s">
        <v>1944</v>
      </c>
      <c r="AH386" s="1182">
        <v>0</v>
      </c>
      <c r="AI386" s="1182">
        <v>20800</v>
      </c>
      <c r="AJ386" s="1182" t="s">
        <v>3006</v>
      </c>
      <c r="AL386" s="1186" t="s">
        <v>3007</v>
      </c>
      <c r="AM386" s="1182">
        <v>1</v>
      </c>
      <c r="AN386" s="1182">
        <v>0</v>
      </c>
      <c r="AO386" s="1182">
        <v>0</v>
      </c>
      <c r="AP386" s="1182" t="s">
        <v>2949</v>
      </c>
      <c r="AQ386" s="1182" t="s">
        <v>1639</v>
      </c>
      <c r="AS386" s="1186" t="s">
        <v>1943</v>
      </c>
      <c r="AT386" s="1186" t="s">
        <v>1944</v>
      </c>
      <c r="AV386" s="1185">
        <v>0</v>
      </c>
      <c r="AW386" s="1185">
        <v>0</v>
      </c>
      <c r="AX386" s="1185">
        <v>20800</v>
      </c>
      <c r="AY386" s="1539">
        <v>20800</v>
      </c>
      <c r="AZ386" s="1185">
        <v>0</v>
      </c>
      <c r="BA386" s="1185">
        <v>0</v>
      </c>
      <c r="BB386" s="1540">
        <v>0</v>
      </c>
      <c r="BC386" s="1540">
        <v>20800</v>
      </c>
      <c r="BD386" s="1540">
        <v>0</v>
      </c>
      <c r="BF386" s="1539">
        <f t="shared" si="82"/>
        <v>0</v>
      </c>
      <c r="BG386" s="1539">
        <f t="shared" si="83"/>
        <v>0</v>
      </c>
      <c r="BH386" s="1539">
        <f t="shared" si="84"/>
        <v>20800</v>
      </c>
      <c r="BI386" s="1539">
        <f t="shared" si="85"/>
        <v>20800</v>
      </c>
      <c r="BJ386" s="1539">
        <f t="shared" si="86"/>
        <v>0</v>
      </c>
      <c r="BK386" s="1539">
        <f t="shared" si="87"/>
        <v>0</v>
      </c>
      <c r="BL386" s="1539">
        <f t="shared" si="88"/>
        <v>0</v>
      </c>
      <c r="BM386" s="1539">
        <f t="shared" si="89"/>
        <v>20800</v>
      </c>
      <c r="BO386" s="1183"/>
      <c r="BQ386" s="1182">
        <f t="shared" si="90"/>
        <v>0</v>
      </c>
      <c r="BR386" s="1182">
        <f t="shared" si="91"/>
        <v>0</v>
      </c>
    </row>
    <row r="387" spans="1:70" ht="13.5" customHeight="1">
      <c r="A387" s="1182" t="s">
        <v>1803</v>
      </c>
      <c r="B387" s="1182" t="s">
        <v>1804</v>
      </c>
      <c r="C387" s="1182" t="s">
        <v>1639</v>
      </c>
      <c r="D387" s="1182" t="s">
        <v>2590</v>
      </c>
      <c r="E387" s="1182" t="s">
        <v>2591</v>
      </c>
      <c r="F387" s="1182" t="s">
        <v>2040</v>
      </c>
      <c r="G387" s="1182" t="s">
        <v>2040</v>
      </c>
      <c r="H387" s="1182" t="s">
        <v>2945</v>
      </c>
      <c r="I387" s="1182" t="s">
        <v>1937</v>
      </c>
      <c r="J387" s="1182" t="s">
        <v>3008</v>
      </c>
      <c r="K387" s="1182" t="s">
        <v>1811</v>
      </c>
      <c r="L387" s="1182" t="s">
        <v>1812</v>
      </c>
      <c r="M387" s="1182" t="s">
        <v>1803</v>
      </c>
      <c r="N387" s="1182" t="s">
        <v>2922</v>
      </c>
      <c r="O387" s="1182" t="s">
        <v>1554</v>
      </c>
      <c r="P387" s="1182" t="s">
        <v>1563</v>
      </c>
      <c r="Q387" s="1182" t="s">
        <v>1562</v>
      </c>
      <c r="R387" s="1182" t="s">
        <v>1561</v>
      </c>
      <c r="S387" s="1182" t="s">
        <v>1639</v>
      </c>
      <c r="T387" s="1182" t="s">
        <v>1814</v>
      </c>
      <c r="U387" s="1182" t="s">
        <v>1815</v>
      </c>
      <c r="V387" s="1182">
        <v>0</v>
      </c>
      <c r="W387" s="1182">
        <v>0</v>
      </c>
      <c r="X387" s="1182">
        <v>0</v>
      </c>
      <c r="Y387" s="1183">
        <v>16900</v>
      </c>
      <c r="Z387" s="1182" t="s">
        <v>1940</v>
      </c>
      <c r="AA387" s="1182" t="s">
        <v>1941</v>
      </c>
      <c r="AB387" s="1182">
        <v>16900</v>
      </c>
      <c r="AC387" s="1182" t="s">
        <v>2925</v>
      </c>
      <c r="AD387" s="1182" t="s">
        <v>1561</v>
      </c>
      <c r="AE387" s="1182">
        <v>16900</v>
      </c>
      <c r="AF387" s="1182" t="s">
        <v>1943</v>
      </c>
      <c r="AG387" s="1182" t="s">
        <v>1944</v>
      </c>
      <c r="AH387" s="1182">
        <v>0</v>
      </c>
      <c r="AI387" s="1182">
        <v>16900</v>
      </c>
      <c r="AJ387" s="1182" t="s">
        <v>3009</v>
      </c>
      <c r="AL387" s="1186" t="s">
        <v>3010</v>
      </c>
      <c r="AM387" s="1182">
        <v>1</v>
      </c>
      <c r="AN387" s="1182">
        <v>0</v>
      </c>
      <c r="AO387" s="1182">
        <v>0</v>
      </c>
      <c r="AP387" s="1182" t="s">
        <v>2949</v>
      </c>
      <c r="AQ387" s="1182" t="s">
        <v>1639</v>
      </c>
      <c r="AS387" s="1186" t="s">
        <v>1943</v>
      </c>
      <c r="AT387" s="1186" t="s">
        <v>1944</v>
      </c>
      <c r="AV387" s="1185">
        <v>0</v>
      </c>
      <c r="AW387" s="1185">
        <v>0</v>
      </c>
      <c r="AX387" s="1185">
        <v>16900</v>
      </c>
      <c r="AY387" s="1539">
        <v>16900</v>
      </c>
      <c r="AZ387" s="1185">
        <v>0</v>
      </c>
      <c r="BA387" s="1185">
        <v>0</v>
      </c>
      <c r="BB387" s="1540">
        <v>0</v>
      </c>
      <c r="BC387" s="1540">
        <v>16900</v>
      </c>
      <c r="BD387" s="1540">
        <v>0</v>
      </c>
      <c r="BF387" s="1539">
        <f t="shared" si="82"/>
        <v>0</v>
      </c>
      <c r="BG387" s="1539">
        <f t="shared" si="83"/>
        <v>0</v>
      </c>
      <c r="BH387" s="1539">
        <f t="shared" si="84"/>
        <v>16900</v>
      </c>
      <c r="BI387" s="1539">
        <f t="shared" si="85"/>
        <v>16900</v>
      </c>
      <c r="BJ387" s="1539">
        <f t="shared" si="86"/>
        <v>0</v>
      </c>
      <c r="BK387" s="1539">
        <f t="shared" si="87"/>
        <v>0</v>
      </c>
      <c r="BL387" s="1539">
        <f t="shared" si="88"/>
        <v>0</v>
      </c>
      <c r="BM387" s="1539">
        <f t="shared" si="89"/>
        <v>16900</v>
      </c>
      <c r="BO387" s="1183"/>
      <c r="BQ387" s="1182">
        <f t="shared" si="90"/>
        <v>0</v>
      </c>
      <c r="BR387" s="1182">
        <f t="shared" si="91"/>
        <v>0</v>
      </c>
    </row>
    <row r="388" spans="1:70" ht="13.5" customHeight="1">
      <c r="A388" s="1182" t="s">
        <v>1803</v>
      </c>
      <c r="B388" s="1182" t="s">
        <v>1804</v>
      </c>
      <c r="C388" s="1182" t="s">
        <v>1639</v>
      </c>
      <c r="D388" s="1182" t="s">
        <v>2590</v>
      </c>
      <c r="E388" s="1182" t="s">
        <v>2591</v>
      </c>
      <c r="F388" s="1182" t="s">
        <v>2984</v>
      </c>
      <c r="G388" s="1182" t="s">
        <v>2984</v>
      </c>
      <c r="H388" s="1182" t="s">
        <v>2945</v>
      </c>
      <c r="I388" s="1182" t="s">
        <v>1937</v>
      </c>
      <c r="J388" s="1182" t="s">
        <v>2985</v>
      </c>
      <c r="K388" s="1182" t="s">
        <v>1811</v>
      </c>
      <c r="L388" s="1182" t="s">
        <v>1812</v>
      </c>
      <c r="M388" s="1182" t="s">
        <v>1803</v>
      </c>
      <c r="N388" s="1182" t="s">
        <v>2922</v>
      </c>
      <c r="O388" s="1182" t="s">
        <v>1554</v>
      </c>
      <c r="P388" s="1182" t="s">
        <v>1563</v>
      </c>
      <c r="Q388" s="1182" t="s">
        <v>1562</v>
      </c>
      <c r="R388" s="1182" t="s">
        <v>1561</v>
      </c>
      <c r="S388" s="1182" t="s">
        <v>1639</v>
      </c>
      <c r="T388" s="1182" t="s">
        <v>1814</v>
      </c>
      <c r="U388" s="1182" t="s">
        <v>1815</v>
      </c>
      <c r="V388" s="1182">
        <v>0</v>
      </c>
      <c r="W388" s="1182">
        <v>0</v>
      </c>
      <c r="X388" s="1182">
        <v>0</v>
      </c>
      <c r="Y388" s="1183">
        <v>17800</v>
      </c>
      <c r="Z388" s="1182" t="s">
        <v>1940</v>
      </c>
      <c r="AA388" s="1182" t="s">
        <v>1941</v>
      </c>
      <c r="AB388" s="1182">
        <v>17800</v>
      </c>
      <c r="AC388" s="1182" t="s">
        <v>2925</v>
      </c>
      <c r="AD388" s="1182" t="s">
        <v>1561</v>
      </c>
      <c r="AE388" s="1182">
        <v>17800</v>
      </c>
      <c r="AF388" s="1182" t="s">
        <v>1943</v>
      </c>
      <c r="AG388" s="1182" t="s">
        <v>1944</v>
      </c>
      <c r="AH388" s="1182">
        <v>0</v>
      </c>
      <c r="AI388" s="1182">
        <v>17800</v>
      </c>
      <c r="AJ388" s="1182" t="s">
        <v>2972</v>
      </c>
      <c r="AL388" s="1186" t="s">
        <v>2986</v>
      </c>
      <c r="AM388" s="1182">
        <v>1</v>
      </c>
      <c r="AN388" s="1182">
        <v>0</v>
      </c>
      <c r="AO388" s="1182">
        <v>0</v>
      </c>
      <c r="AP388" s="1182" t="s">
        <v>2949</v>
      </c>
      <c r="AQ388" s="1182" t="s">
        <v>1639</v>
      </c>
      <c r="AS388" s="1186" t="s">
        <v>1943</v>
      </c>
      <c r="AT388" s="1186" t="s">
        <v>1944</v>
      </c>
      <c r="AV388" s="1183">
        <v>0</v>
      </c>
      <c r="AW388" s="1183">
        <v>0</v>
      </c>
      <c r="AX388" s="1183">
        <v>17800</v>
      </c>
      <c r="AY388" s="1538">
        <v>17800</v>
      </c>
      <c r="AZ388" s="1183">
        <v>0</v>
      </c>
      <c r="BA388" s="1183">
        <v>0</v>
      </c>
      <c r="BB388" s="1540">
        <v>0</v>
      </c>
      <c r="BC388" s="1540">
        <v>17800</v>
      </c>
      <c r="BD388" s="1540">
        <v>0</v>
      </c>
      <c r="BF388" s="1539">
        <f t="shared" si="82"/>
        <v>0</v>
      </c>
      <c r="BG388" s="1539">
        <f t="shared" si="83"/>
        <v>0</v>
      </c>
      <c r="BH388" s="1539">
        <f t="shared" si="84"/>
        <v>17800</v>
      </c>
      <c r="BI388" s="1539">
        <f t="shared" si="85"/>
        <v>17800</v>
      </c>
      <c r="BJ388" s="1539">
        <f t="shared" si="86"/>
        <v>0</v>
      </c>
      <c r="BK388" s="1539">
        <f t="shared" si="87"/>
        <v>0</v>
      </c>
      <c r="BL388" s="1539">
        <f t="shared" si="88"/>
        <v>0</v>
      </c>
      <c r="BM388" s="1539">
        <f t="shared" si="89"/>
        <v>17800</v>
      </c>
      <c r="BO388" s="1183"/>
      <c r="BQ388" s="1182">
        <f t="shared" si="90"/>
        <v>0</v>
      </c>
      <c r="BR388" s="1182">
        <f t="shared" si="91"/>
        <v>0</v>
      </c>
    </row>
    <row r="389" spans="1:70" ht="13.5" customHeight="1">
      <c r="A389" s="1182" t="s">
        <v>1803</v>
      </c>
      <c r="B389" s="1182" t="s">
        <v>1804</v>
      </c>
      <c r="C389" s="1182" t="s">
        <v>1639</v>
      </c>
      <c r="D389" s="1182" t="s">
        <v>2590</v>
      </c>
      <c r="E389" s="1182" t="s">
        <v>2591</v>
      </c>
      <c r="F389" s="1182" t="s">
        <v>2987</v>
      </c>
      <c r="G389" s="1182" t="s">
        <v>2987</v>
      </c>
      <c r="H389" s="1182" t="s">
        <v>2945</v>
      </c>
      <c r="I389" s="1182" t="s">
        <v>1937</v>
      </c>
      <c r="J389" s="1182" t="s">
        <v>2988</v>
      </c>
      <c r="K389" s="1182" t="s">
        <v>1811</v>
      </c>
      <c r="L389" s="1182" t="s">
        <v>1812</v>
      </c>
      <c r="M389" s="1182" t="s">
        <v>1803</v>
      </c>
      <c r="N389" s="1182" t="s">
        <v>2922</v>
      </c>
      <c r="O389" s="1182" t="s">
        <v>1554</v>
      </c>
      <c r="P389" s="1182" t="s">
        <v>1563</v>
      </c>
      <c r="Q389" s="1182" t="s">
        <v>1562</v>
      </c>
      <c r="R389" s="1182" t="s">
        <v>1561</v>
      </c>
      <c r="S389" s="1182" t="s">
        <v>1639</v>
      </c>
      <c r="T389" s="1182" t="s">
        <v>1814</v>
      </c>
      <c r="U389" s="1182" t="s">
        <v>1815</v>
      </c>
      <c r="V389" s="1182">
        <v>0</v>
      </c>
      <c r="W389" s="1182">
        <v>0</v>
      </c>
      <c r="X389" s="1182">
        <v>0</v>
      </c>
      <c r="Y389" s="1183">
        <v>8300</v>
      </c>
      <c r="Z389" s="1182" t="s">
        <v>1940</v>
      </c>
      <c r="AA389" s="1182" t="s">
        <v>1941</v>
      </c>
      <c r="AB389" s="1182">
        <v>8300</v>
      </c>
      <c r="AC389" s="1182" t="s">
        <v>2925</v>
      </c>
      <c r="AD389" s="1182" t="s">
        <v>1561</v>
      </c>
      <c r="AE389" s="1182">
        <v>8300</v>
      </c>
      <c r="AF389" s="1182" t="s">
        <v>1943</v>
      </c>
      <c r="AG389" s="1182" t="s">
        <v>1944</v>
      </c>
      <c r="AH389" s="1182">
        <v>0</v>
      </c>
      <c r="AI389" s="1182">
        <v>8300</v>
      </c>
      <c r="AJ389" s="1182" t="s">
        <v>2989</v>
      </c>
      <c r="AL389" s="1186" t="s">
        <v>2990</v>
      </c>
      <c r="AM389" s="1182">
        <v>1</v>
      </c>
      <c r="AN389" s="1182">
        <v>0</v>
      </c>
      <c r="AO389" s="1182">
        <v>0</v>
      </c>
      <c r="AP389" s="1182" t="s">
        <v>2949</v>
      </c>
      <c r="AQ389" s="1182" t="s">
        <v>1639</v>
      </c>
      <c r="AS389" s="1186" t="s">
        <v>1943</v>
      </c>
      <c r="AT389" s="1186" t="s">
        <v>1944</v>
      </c>
      <c r="AV389" s="1183">
        <v>0</v>
      </c>
      <c r="AW389" s="1183">
        <v>0</v>
      </c>
      <c r="AX389" s="1183">
        <v>8300</v>
      </c>
      <c r="AY389" s="1538">
        <v>8300</v>
      </c>
      <c r="AZ389" s="1183">
        <v>0</v>
      </c>
      <c r="BA389" s="1183">
        <v>0</v>
      </c>
      <c r="BB389" s="1540">
        <v>0</v>
      </c>
      <c r="BC389" s="1540">
        <v>8300</v>
      </c>
      <c r="BD389" s="1540">
        <v>0</v>
      </c>
      <c r="BF389" s="1539">
        <f t="shared" si="82"/>
        <v>0</v>
      </c>
      <c r="BG389" s="1539">
        <f t="shared" si="83"/>
        <v>0</v>
      </c>
      <c r="BH389" s="1539">
        <f t="shared" si="84"/>
        <v>8300</v>
      </c>
      <c r="BI389" s="1539">
        <f t="shared" si="85"/>
        <v>8300</v>
      </c>
      <c r="BJ389" s="1539">
        <f t="shared" si="86"/>
        <v>0</v>
      </c>
      <c r="BK389" s="1539">
        <f t="shared" si="87"/>
        <v>0</v>
      </c>
      <c r="BL389" s="1539">
        <f t="shared" si="88"/>
        <v>0</v>
      </c>
      <c r="BM389" s="1539">
        <f t="shared" si="89"/>
        <v>8300</v>
      </c>
      <c r="BO389" s="1183"/>
      <c r="BQ389" s="1182">
        <f t="shared" si="90"/>
        <v>0</v>
      </c>
      <c r="BR389" s="1182">
        <f t="shared" si="91"/>
        <v>0</v>
      </c>
    </row>
    <row r="390" spans="1:70" ht="13.5" customHeight="1">
      <c r="A390" s="1182" t="s">
        <v>1803</v>
      </c>
      <c r="B390" s="1182" t="s">
        <v>1804</v>
      </c>
      <c r="C390" s="1182" t="s">
        <v>1639</v>
      </c>
      <c r="D390" s="1182" t="s">
        <v>2590</v>
      </c>
      <c r="E390" s="1182" t="s">
        <v>2591</v>
      </c>
      <c r="F390" s="1182" t="s">
        <v>2707</v>
      </c>
      <c r="G390" s="1182" t="s">
        <v>2707</v>
      </c>
      <c r="H390" s="1182" t="s">
        <v>2945</v>
      </c>
      <c r="I390" s="1182" t="s">
        <v>1937</v>
      </c>
      <c r="J390" s="1182" t="s">
        <v>2998</v>
      </c>
      <c r="K390" s="1182" t="s">
        <v>1811</v>
      </c>
      <c r="L390" s="1182" t="s">
        <v>1812</v>
      </c>
      <c r="M390" s="1182" t="s">
        <v>1803</v>
      </c>
      <c r="N390" s="1182" t="s">
        <v>2922</v>
      </c>
      <c r="O390" s="1182" t="s">
        <v>1554</v>
      </c>
      <c r="P390" s="1182" t="s">
        <v>1563</v>
      </c>
      <c r="Q390" s="1182" t="s">
        <v>1562</v>
      </c>
      <c r="R390" s="1182" t="s">
        <v>1561</v>
      </c>
      <c r="S390" s="1182" t="s">
        <v>1639</v>
      </c>
      <c r="T390" s="1182" t="s">
        <v>1814</v>
      </c>
      <c r="U390" s="1182" t="s">
        <v>1815</v>
      </c>
      <c r="V390" s="1182">
        <v>0</v>
      </c>
      <c r="W390" s="1182">
        <v>0</v>
      </c>
      <c r="X390" s="1182">
        <v>0</v>
      </c>
      <c r="Y390" s="1183">
        <v>29000</v>
      </c>
      <c r="Z390" s="1182" t="s">
        <v>1940</v>
      </c>
      <c r="AA390" s="1182" t="s">
        <v>1941</v>
      </c>
      <c r="AB390" s="1182">
        <v>29000</v>
      </c>
      <c r="AC390" s="1182" t="s">
        <v>2925</v>
      </c>
      <c r="AD390" s="1182" t="s">
        <v>1561</v>
      </c>
      <c r="AE390" s="1182">
        <v>29000</v>
      </c>
      <c r="AF390" s="1182" t="s">
        <v>1943</v>
      </c>
      <c r="AG390" s="1182" t="s">
        <v>1944</v>
      </c>
      <c r="AH390" s="1182">
        <v>0</v>
      </c>
      <c r="AI390" s="1182">
        <v>29000</v>
      </c>
      <c r="AJ390" s="1182" t="s">
        <v>2996</v>
      </c>
      <c r="AL390" s="1186" t="s">
        <v>2999</v>
      </c>
      <c r="AM390" s="1182">
        <v>1</v>
      </c>
      <c r="AN390" s="1182">
        <v>0</v>
      </c>
      <c r="AO390" s="1182">
        <v>0</v>
      </c>
      <c r="AP390" s="1182" t="s">
        <v>2949</v>
      </c>
      <c r="AQ390" s="1182" t="s">
        <v>1639</v>
      </c>
      <c r="AS390" s="1186" t="s">
        <v>1943</v>
      </c>
      <c r="AT390" s="1186" t="s">
        <v>1944</v>
      </c>
      <c r="AV390" s="1183">
        <v>0</v>
      </c>
      <c r="AW390" s="1183">
        <v>0</v>
      </c>
      <c r="AX390" s="1183">
        <v>29000</v>
      </c>
      <c r="AY390" s="1538">
        <v>29000</v>
      </c>
      <c r="AZ390" s="1183">
        <v>0</v>
      </c>
      <c r="BA390" s="1183">
        <v>0</v>
      </c>
      <c r="BB390" s="1540">
        <v>0</v>
      </c>
      <c r="BC390" s="1540">
        <v>29000</v>
      </c>
      <c r="BD390" s="1540">
        <v>0</v>
      </c>
      <c r="BF390" s="1539">
        <f t="shared" si="82"/>
        <v>0</v>
      </c>
      <c r="BG390" s="1539">
        <f t="shared" si="83"/>
        <v>0</v>
      </c>
      <c r="BH390" s="1539">
        <f t="shared" si="84"/>
        <v>29000</v>
      </c>
      <c r="BI390" s="1539">
        <f t="shared" si="85"/>
        <v>29000</v>
      </c>
      <c r="BJ390" s="1539">
        <f t="shared" si="86"/>
        <v>0</v>
      </c>
      <c r="BK390" s="1539">
        <f t="shared" si="87"/>
        <v>0</v>
      </c>
      <c r="BL390" s="1539">
        <f t="shared" si="88"/>
        <v>0</v>
      </c>
      <c r="BM390" s="1539">
        <f t="shared" si="89"/>
        <v>29000</v>
      </c>
      <c r="BO390" s="1183"/>
      <c r="BQ390" s="1182">
        <f t="shared" si="90"/>
        <v>0</v>
      </c>
      <c r="BR390" s="1182">
        <f t="shared" si="91"/>
        <v>0</v>
      </c>
    </row>
    <row r="391" spans="1:70" ht="13.5" customHeight="1">
      <c r="A391" s="1182" t="s">
        <v>1803</v>
      </c>
      <c r="B391" s="1182" t="s">
        <v>1804</v>
      </c>
      <c r="C391" s="1182" t="s">
        <v>1639</v>
      </c>
      <c r="D391" s="1182" t="s">
        <v>2590</v>
      </c>
      <c r="E391" s="1182" t="s">
        <v>2591</v>
      </c>
      <c r="F391" s="1182" t="s">
        <v>2994</v>
      </c>
      <c r="G391" s="1182" t="s">
        <v>2994</v>
      </c>
      <c r="H391" s="1182" t="s">
        <v>2945</v>
      </c>
      <c r="I391" s="1182" t="s">
        <v>1937</v>
      </c>
      <c r="J391" s="1182" t="s">
        <v>2995</v>
      </c>
      <c r="K391" s="1182" t="s">
        <v>1811</v>
      </c>
      <c r="L391" s="1182" t="s">
        <v>1812</v>
      </c>
      <c r="M391" s="1182" t="s">
        <v>1803</v>
      </c>
      <c r="N391" s="1182" t="s">
        <v>2922</v>
      </c>
      <c r="O391" s="1182" t="s">
        <v>1554</v>
      </c>
      <c r="P391" s="1182" t="s">
        <v>1563</v>
      </c>
      <c r="Q391" s="1182" t="s">
        <v>1562</v>
      </c>
      <c r="R391" s="1182" t="s">
        <v>1561</v>
      </c>
      <c r="S391" s="1182" t="s">
        <v>1639</v>
      </c>
      <c r="T391" s="1182" t="s">
        <v>1814</v>
      </c>
      <c r="U391" s="1182" t="s">
        <v>1815</v>
      </c>
      <c r="V391" s="1182">
        <v>0</v>
      </c>
      <c r="W391" s="1182">
        <v>0</v>
      </c>
      <c r="X391" s="1182">
        <v>0</v>
      </c>
      <c r="Y391" s="1183">
        <v>29000</v>
      </c>
      <c r="Z391" s="1182" t="s">
        <v>1940</v>
      </c>
      <c r="AA391" s="1182" t="s">
        <v>1941</v>
      </c>
      <c r="AB391" s="1182">
        <v>29000</v>
      </c>
      <c r="AC391" s="1182" t="s">
        <v>2925</v>
      </c>
      <c r="AD391" s="1182" t="s">
        <v>1561</v>
      </c>
      <c r="AE391" s="1182">
        <v>29000</v>
      </c>
      <c r="AF391" s="1182" t="s">
        <v>1943</v>
      </c>
      <c r="AG391" s="1182" t="s">
        <v>1944</v>
      </c>
      <c r="AH391" s="1182">
        <v>0</v>
      </c>
      <c r="AI391" s="1182">
        <v>29000</v>
      </c>
      <c r="AJ391" s="1182" t="s">
        <v>2996</v>
      </c>
      <c r="AL391" s="1186" t="s">
        <v>2997</v>
      </c>
      <c r="AM391" s="1182">
        <v>1</v>
      </c>
      <c r="AN391" s="1182">
        <v>0</v>
      </c>
      <c r="AO391" s="1182">
        <v>0</v>
      </c>
      <c r="AP391" s="1182" t="s">
        <v>2949</v>
      </c>
      <c r="AQ391" s="1182" t="s">
        <v>1639</v>
      </c>
      <c r="AS391" s="1186" t="s">
        <v>1943</v>
      </c>
      <c r="AT391" s="1186" t="s">
        <v>1944</v>
      </c>
      <c r="AV391" s="1183">
        <v>0</v>
      </c>
      <c r="AW391" s="1183">
        <v>0</v>
      </c>
      <c r="AX391" s="1183">
        <v>29000</v>
      </c>
      <c r="AY391" s="1538">
        <v>29000</v>
      </c>
      <c r="AZ391" s="1183">
        <v>0</v>
      </c>
      <c r="BA391" s="1183">
        <v>0</v>
      </c>
      <c r="BB391" s="1540">
        <v>0</v>
      </c>
      <c r="BC391" s="1540">
        <v>29000</v>
      </c>
      <c r="BD391" s="1540">
        <v>0</v>
      </c>
      <c r="BF391" s="1539">
        <f t="shared" ref="BF391:BF454" si="92">+IFERROR(ROUND(AV391*100/(100+$AT391),0),AV391)</f>
        <v>0</v>
      </c>
      <c r="BG391" s="1539">
        <f t="shared" ref="BG391:BG454" si="93">+IFERROR(ROUND(AW391*100/(100+$AT391),0),AW391)</f>
        <v>0</v>
      </c>
      <c r="BH391" s="1539">
        <f t="shared" ref="BH391:BH454" si="94">+IFERROR(ROUND(AX391*100/(100+$AT391),0),AX391)</f>
        <v>29000</v>
      </c>
      <c r="BI391" s="1539">
        <f t="shared" ref="BI391:BI454" si="95">SUM(BF391:BH391)</f>
        <v>29000</v>
      </c>
      <c r="BJ391" s="1539">
        <f t="shared" ref="BJ391:BJ454" si="96">+IFERROR(ROUND(AZ391*100/(100+$AT391),0),AZ391)</f>
        <v>0</v>
      </c>
      <c r="BK391" s="1539">
        <f t="shared" ref="BK391:BK454" si="97">+IFERROR(ROUND(BA391*100/(100+$AT391),0),BA391)</f>
        <v>0</v>
      </c>
      <c r="BL391" s="1539">
        <f t="shared" ref="BL391:BL454" si="98">SUM(BJ391:BK391)</f>
        <v>0</v>
      </c>
      <c r="BM391" s="1539">
        <f t="shared" ref="BM391:BM454" si="99">+BI391+BL391</f>
        <v>29000</v>
      </c>
      <c r="BO391" s="1183"/>
      <c r="BQ391" s="1182">
        <f t="shared" ref="BQ391:BQ454" si="100">AY391*100/(100+$AT391)-BI391</f>
        <v>0</v>
      </c>
      <c r="BR391" s="1182">
        <f t="shared" ref="BR391:BR454" si="101">BB391*100/(100+$AT391)-BL391</f>
        <v>0</v>
      </c>
    </row>
    <row r="392" spans="1:70" ht="13.5" customHeight="1">
      <c r="A392" s="1182" t="s">
        <v>1803</v>
      </c>
      <c r="B392" s="1182" t="s">
        <v>1804</v>
      </c>
      <c r="C392" s="1182" t="s">
        <v>1639</v>
      </c>
      <c r="D392" s="1182" t="s">
        <v>2590</v>
      </c>
      <c r="E392" s="1182" t="s">
        <v>2591</v>
      </c>
      <c r="F392" s="1182" t="s">
        <v>2568</v>
      </c>
      <c r="G392" s="1182" t="s">
        <v>2568</v>
      </c>
      <c r="H392" s="1182" t="s">
        <v>2945</v>
      </c>
      <c r="I392" s="1182" t="s">
        <v>1937</v>
      </c>
      <c r="J392" s="1182" t="s">
        <v>2991</v>
      </c>
      <c r="K392" s="1182" t="s">
        <v>1811</v>
      </c>
      <c r="L392" s="1182" t="s">
        <v>1812</v>
      </c>
      <c r="M392" s="1182" t="s">
        <v>1803</v>
      </c>
      <c r="N392" s="1182" t="s">
        <v>2922</v>
      </c>
      <c r="O392" s="1182" t="s">
        <v>1554</v>
      </c>
      <c r="P392" s="1182" t="s">
        <v>1563</v>
      </c>
      <c r="Q392" s="1182" t="s">
        <v>1562</v>
      </c>
      <c r="R392" s="1182" t="s">
        <v>1561</v>
      </c>
      <c r="S392" s="1182" t="s">
        <v>1639</v>
      </c>
      <c r="T392" s="1182" t="s">
        <v>1814</v>
      </c>
      <c r="U392" s="1182" t="s">
        <v>1815</v>
      </c>
      <c r="V392" s="1182">
        <v>0</v>
      </c>
      <c r="W392" s="1182">
        <v>0</v>
      </c>
      <c r="X392" s="1182">
        <v>0</v>
      </c>
      <c r="Y392" s="1183">
        <v>8500</v>
      </c>
      <c r="Z392" s="1182" t="s">
        <v>1940</v>
      </c>
      <c r="AA392" s="1182" t="s">
        <v>1941</v>
      </c>
      <c r="AB392" s="1182">
        <v>8500</v>
      </c>
      <c r="AC392" s="1182" t="s">
        <v>2925</v>
      </c>
      <c r="AD392" s="1182" t="s">
        <v>1561</v>
      </c>
      <c r="AE392" s="1182">
        <v>8500</v>
      </c>
      <c r="AF392" s="1182" t="s">
        <v>1943</v>
      </c>
      <c r="AG392" s="1182" t="s">
        <v>1944</v>
      </c>
      <c r="AH392" s="1182">
        <v>0</v>
      </c>
      <c r="AI392" s="1182">
        <v>8500</v>
      </c>
      <c r="AJ392" s="1182" t="s">
        <v>2992</v>
      </c>
      <c r="AL392" s="1186" t="s">
        <v>2993</v>
      </c>
      <c r="AM392" s="1182">
        <v>1</v>
      </c>
      <c r="AN392" s="1182">
        <v>0</v>
      </c>
      <c r="AO392" s="1182">
        <v>0</v>
      </c>
      <c r="AP392" s="1182" t="s">
        <v>2949</v>
      </c>
      <c r="AQ392" s="1182" t="s">
        <v>1639</v>
      </c>
      <c r="AS392" s="1186" t="s">
        <v>1943</v>
      </c>
      <c r="AT392" s="1186" t="s">
        <v>1944</v>
      </c>
      <c r="AV392" s="1183">
        <v>0</v>
      </c>
      <c r="AW392" s="1183">
        <v>0</v>
      </c>
      <c r="AX392" s="1183">
        <v>8500</v>
      </c>
      <c r="AY392" s="1538">
        <v>8500</v>
      </c>
      <c r="AZ392" s="1183">
        <v>0</v>
      </c>
      <c r="BA392" s="1183">
        <v>0</v>
      </c>
      <c r="BB392" s="1540">
        <v>0</v>
      </c>
      <c r="BC392" s="1540">
        <v>8500</v>
      </c>
      <c r="BD392" s="1540">
        <v>0</v>
      </c>
      <c r="BF392" s="1539">
        <f t="shared" si="92"/>
        <v>0</v>
      </c>
      <c r="BG392" s="1539">
        <f t="shared" si="93"/>
        <v>0</v>
      </c>
      <c r="BH392" s="1539">
        <f t="shared" si="94"/>
        <v>8500</v>
      </c>
      <c r="BI392" s="1539">
        <f t="shared" si="95"/>
        <v>8500</v>
      </c>
      <c r="BJ392" s="1539">
        <f t="shared" si="96"/>
        <v>0</v>
      </c>
      <c r="BK392" s="1539">
        <f t="shared" si="97"/>
        <v>0</v>
      </c>
      <c r="BL392" s="1539">
        <f t="shared" si="98"/>
        <v>0</v>
      </c>
      <c r="BM392" s="1539">
        <f t="shared" si="99"/>
        <v>8500</v>
      </c>
      <c r="BO392" s="1183"/>
      <c r="BQ392" s="1182">
        <f t="shared" si="100"/>
        <v>0</v>
      </c>
      <c r="BR392" s="1182">
        <f t="shared" si="101"/>
        <v>0</v>
      </c>
    </row>
    <row r="393" spans="1:70" ht="13.5" customHeight="1">
      <c r="A393" s="1182" t="s">
        <v>1803</v>
      </c>
      <c r="B393" s="1182" t="s">
        <v>1804</v>
      </c>
      <c r="C393" s="1182" t="s">
        <v>1639</v>
      </c>
      <c r="D393" s="1182" t="s">
        <v>2590</v>
      </c>
      <c r="E393" s="1182" t="s">
        <v>2591</v>
      </c>
      <c r="F393" s="1182" t="s">
        <v>3031</v>
      </c>
      <c r="G393" s="1182" t="s">
        <v>3031</v>
      </c>
      <c r="H393" s="1182" t="s">
        <v>2945</v>
      </c>
      <c r="I393" s="1182" t="s">
        <v>1937</v>
      </c>
      <c r="J393" s="1182" t="s">
        <v>3032</v>
      </c>
      <c r="K393" s="1182" t="s">
        <v>1811</v>
      </c>
      <c r="L393" s="1182" t="s">
        <v>1812</v>
      </c>
      <c r="M393" s="1182" t="s">
        <v>1803</v>
      </c>
      <c r="N393" s="1182" t="s">
        <v>2922</v>
      </c>
      <c r="O393" s="1182" t="s">
        <v>1554</v>
      </c>
      <c r="P393" s="1182" t="s">
        <v>1563</v>
      </c>
      <c r="Q393" s="1182" t="s">
        <v>1562</v>
      </c>
      <c r="R393" s="1182" t="s">
        <v>1561</v>
      </c>
      <c r="S393" s="1182" t="s">
        <v>1639</v>
      </c>
      <c r="T393" s="1182" t="s">
        <v>1814</v>
      </c>
      <c r="U393" s="1182" t="s">
        <v>1815</v>
      </c>
      <c r="V393" s="1182">
        <v>0</v>
      </c>
      <c r="W393" s="1182">
        <v>0</v>
      </c>
      <c r="X393" s="1182">
        <v>0</v>
      </c>
      <c r="Y393" s="1183">
        <v>10400</v>
      </c>
      <c r="Z393" s="1182" t="s">
        <v>1940</v>
      </c>
      <c r="AA393" s="1182" t="s">
        <v>1941</v>
      </c>
      <c r="AB393" s="1182">
        <v>10400</v>
      </c>
      <c r="AC393" s="1182" t="s">
        <v>2925</v>
      </c>
      <c r="AD393" s="1182" t="s">
        <v>1561</v>
      </c>
      <c r="AE393" s="1182">
        <v>10400</v>
      </c>
      <c r="AF393" s="1182" t="s">
        <v>1943</v>
      </c>
      <c r="AG393" s="1182" t="s">
        <v>1944</v>
      </c>
      <c r="AH393" s="1182">
        <v>0</v>
      </c>
      <c r="AI393" s="1182">
        <v>10400</v>
      </c>
      <c r="AJ393" s="1182" t="s">
        <v>2959</v>
      </c>
      <c r="AL393" s="1186" t="s">
        <v>3033</v>
      </c>
      <c r="AM393" s="1182">
        <v>1</v>
      </c>
      <c r="AN393" s="1182">
        <v>0</v>
      </c>
      <c r="AO393" s="1182">
        <v>0</v>
      </c>
      <c r="AP393" s="1182" t="s">
        <v>2949</v>
      </c>
      <c r="AQ393" s="1182" t="s">
        <v>1639</v>
      </c>
      <c r="AS393" s="1186" t="s">
        <v>1943</v>
      </c>
      <c r="AT393" s="1186" t="s">
        <v>1944</v>
      </c>
      <c r="AV393" s="1183">
        <v>0</v>
      </c>
      <c r="AW393" s="1183">
        <v>0</v>
      </c>
      <c r="AX393" s="1183">
        <v>10400</v>
      </c>
      <c r="AY393" s="1538">
        <v>10400</v>
      </c>
      <c r="AZ393" s="1183">
        <v>0</v>
      </c>
      <c r="BA393" s="1183">
        <v>0</v>
      </c>
      <c r="BB393" s="1540">
        <v>0</v>
      </c>
      <c r="BC393" s="1540">
        <v>10400</v>
      </c>
      <c r="BD393" s="1540">
        <v>0</v>
      </c>
      <c r="BF393" s="1539">
        <f t="shared" si="92"/>
        <v>0</v>
      </c>
      <c r="BG393" s="1539">
        <f t="shared" si="93"/>
        <v>0</v>
      </c>
      <c r="BH393" s="1539">
        <f t="shared" si="94"/>
        <v>10400</v>
      </c>
      <c r="BI393" s="1539">
        <f t="shared" si="95"/>
        <v>10400</v>
      </c>
      <c r="BJ393" s="1539">
        <f t="shared" si="96"/>
        <v>0</v>
      </c>
      <c r="BK393" s="1539">
        <f t="shared" si="97"/>
        <v>0</v>
      </c>
      <c r="BL393" s="1539">
        <f t="shared" si="98"/>
        <v>0</v>
      </c>
      <c r="BM393" s="1539">
        <f t="shared" si="99"/>
        <v>10400</v>
      </c>
      <c r="BO393" s="1183"/>
      <c r="BQ393" s="1182">
        <f t="shared" si="100"/>
        <v>0</v>
      </c>
      <c r="BR393" s="1182">
        <f t="shared" si="101"/>
        <v>0</v>
      </c>
    </row>
    <row r="394" spans="1:70" ht="13.5" customHeight="1">
      <c r="A394" s="1182" t="s">
        <v>1803</v>
      </c>
      <c r="B394" s="1182" t="s">
        <v>1804</v>
      </c>
      <c r="C394" s="1182" t="s">
        <v>1639</v>
      </c>
      <c r="D394" s="1182" t="s">
        <v>2590</v>
      </c>
      <c r="E394" s="1182" t="s">
        <v>2591</v>
      </c>
      <c r="F394" s="1182" t="s">
        <v>3034</v>
      </c>
      <c r="G394" s="1182" t="s">
        <v>3034</v>
      </c>
      <c r="H394" s="1182" t="s">
        <v>2945</v>
      </c>
      <c r="I394" s="1182" t="s">
        <v>1937</v>
      </c>
      <c r="J394" s="1182" t="s">
        <v>3035</v>
      </c>
      <c r="K394" s="1182" t="s">
        <v>1811</v>
      </c>
      <c r="L394" s="1182" t="s">
        <v>1812</v>
      </c>
      <c r="M394" s="1182" t="s">
        <v>1803</v>
      </c>
      <c r="N394" s="1182" t="s">
        <v>2922</v>
      </c>
      <c r="O394" s="1182" t="s">
        <v>1554</v>
      </c>
      <c r="P394" s="1182" t="s">
        <v>1563</v>
      </c>
      <c r="Q394" s="1182" t="s">
        <v>1562</v>
      </c>
      <c r="R394" s="1182" t="s">
        <v>1561</v>
      </c>
      <c r="S394" s="1182" t="s">
        <v>1639</v>
      </c>
      <c r="T394" s="1182" t="s">
        <v>1814</v>
      </c>
      <c r="U394" s="1182" t="s">
        <v>1815</v>
      </c>
      <c r="V394" s="1182">
        <v>0</v>
      </c>
      <c r="W394" s="1182">
        <v>0</v>
      </c>
      <c r="X394" s="1182">
        <v>0</v>
      </c>
      <c r="Y394" s="1183">
        <v>30000</v>
      </c>
      <c r="Z394" s="1182" t="s">
        <v>1940</v>
      </c>
      <c r="AA394" s="1182" t="s">
        <v>1941</v>
      </c>
      <c r="AB394" s="1182">
        <v>30000</v>
      </c>
      <c r="AC394" s="1182" t="s">
        <v>2925</v>
      </c>
      <c r="AD394" s="1182" t="s">
        <v>1561</v>
      </c>
      <c r="AE394" s="1182">
        <v>30000</v>
      </c>
      <c r="AF394" s="1182" t="s">
        <v>1943</v>
      </c>
      <c r="AG394" s="1182" t="s">
        <v>1944</v>
      </c>
      <c r="AH394" s="1182">
        <v>0</v>
      </c>
      <c r="AI394" s="1182">
        <v>30000</v>
      </c>
      <c r="AJ394" s="1182" t="s">
        <v>2996</v>
      </c>
      <c r="AL394" s="1186" t="s">
        <v>3036</v>
      </c>
      <c r="AM394" s="1182">
        <v>1</v>
      </c>
      <c r="AN394" s="1182">
        <v>0</v>
      </c>
      <c r="AO394" s="1182">
        <v>0</v>
      </c>
      <c r="AP394" s="1182" t="s">
        <v>2949</v>
      </c>
      <c r="AQ394" s="1182" t="s">
        <v>1639</v>
      </c>
      <c r="AS394" s="1186" t="s">
        <v>1943</v>
      </c>
      <c r="AT394" s="1186" t="s">
        <v>1944</v>
      </c>
      <c r="AV394" s="1183">
        <v>0</v>
      </c>
      <c r="AW394" s="1183">
        <v>0</v>
      </c>
      <c r="AX394" s="1183">
        <v>30000</v>
      </c>
      <c r="AY394" s="1538">
        <v>30000</v>
      </c>
      <c r="AZ394" s="1183">
        <v>0</v>
      </c>
      <c r="BA394" s="1183">
        <v>0</v>
      </c>
      <c r="BB394" s="1540">
        <v>0</v>
      </c>
      <c r="BC394" s="1540">
        <v>30000</v>
      </c>
      <c r="BD394" s="1540">
        <v>0</v>
      </c>
      <c r="BF394" s="1539">
        <f t="shared" si="92"/>
        <v>0</v>
      </c>
      <c r="BG394" s="1539">
        <f t="shared" si="93"/>
        <v>0</v>
      </c>
      <c r="BH394" s="1539">
        <f t="shared" si="94"/>
        <v>30000</v>
      </c>
      <c r="BI394" s="1539">
        <f t="shared" si="95"/>
        <v>30000</v>
      </c>
      <c r="BJ394" s="1539">
        <f t="shared" si="96"/>
        <v>0</v>
      </c>
      <c r="BK394" s="1539">
        <f t="shared" si="97"/>
        <v>0</v>
      </c>
      <c r="BL394" s="1539">
        <f t="shared" si="98"/>
        <v>0</v>
      </c>
      <c r="BM394" s="1539">
        <f t="shared" si="99"/>
        <v>30000</v>
      </c>
      <c r="BO394" s="1183"/>
      <c r="BQ394" s="1182">
        <f t="shared" si="100"/>
        <v>0</v>
      </c>
      <c r="BR394" s="1182">
        <f t="shared" si="101"/>
        <v>0</v>
      </c>
    </row>
    <row r="395" spans="1:70" ht="13.5" customHeight="1">
      <c r="A395" s="1182" t="s">
        <v>1803</v>
      </c>
      <c r="B395" s="1182" t="s">
        <v>1804</v>
      </c>
      <c r="C395" s="1182" t="s">
        <v>1639</v>
      </c>
      <c r="D395" s="1182" t="s">
        <v>2590</v>
      </c>
      <c r="E395" s="1182" t="s">
        <v>2591</v>
      </c>
      <c r="F395" s="1182" t="s">
        <v>2323</v>
      </c>
      <c r="G395" s="1182" t="s">
        <v>2323</v>
      </c>
      <c r="H395" s="1182" t="s">
        <v>2945</v>
      </c>
      <c r="I395" s="1182" t="s">
        <v>1937</v>
      </c>
      <c r="J395" s="1182" t="s">
        <v>3029</v>
      </c>
      <c r="K395" s="1182" t="s">
        <v>1811</v>
      </c>
      <c r="L395" s="1182" t="s">
        <v>1812</v>
      </c>
      <c r="M395" s="1182" t="s">
        <v>1803</v>
      </c>
      <c r="N395" s="1182" t="s">
        <v>2922</v>
      </c>
      <c r="O395" s="1182" t="s">
        <v>1554</v>
      </c>
      <c r="P395" s="1182" t="s">
        <v>1563</v>
      </c>
      <c r="Q395" s="1182" t="s">
        <v>1562</v>
      </c>
      <c r="R395" s="1182" t="s">
        <v>1561</v>
      </c>
      <c r="S395" s="1182" t="s">
        <v>1639</v>
      </c>
      <c r="T395" s="1182" t="s">
        <v>1814</v>
      </c>
      <c r="U395" s="1182" t="s">
        <v>1815</v>
      </c>
      <c r="V395" s="1182">
        <v>0</v>
      </c>
      <c r="W395" s="1182">
        <v>0</v>
      </c>
      <c r="X395" s="1182">
        <v>0</v>
      </c>
      <c r="Y395" s="1183">
        <v>17700</v>
      </c>
      <c r="Z395" s="1182" t="s">
        <v>1940</v>
      </c>
      <c r="AA395" s="1182" t="s">
        <v>1941</v>
      </c>
      <c r="AB395" s="1182">
        <v>17700</v>
      </c>
      <c r="AC395" s="1182" t="s">
        <v>2925</v>
      </c>
      <c r="AD395" s="1182" t="s">
        <v>1561</v>
      </c>
      <c r="AE395" s="1182">
        <v>17700</v>
      </c>
      <c r="AF395" s="1182" t="s">
        <v>1943</v>
      </c>
      <c r="AG395" s="1182" t="s">
        <v>1944</v>
      </c>
      <c r="AH395" s="1182">
        <v>0</v>
      </c>
      <c r="AI395" s="1182">
        <v>17700</v>
      </c>
      <c r="AJ395" s="1182" t="s">
        <v>2972</v>
      </c>
      <c r="AL395" s="1186" t="s">
        <v>3030</v>
      </c>
      <c r="AM395" s="1182">
        <v>1</v>
      </c>
      <c r="AN395" s="1182">
        <v>0</v>
      </c>
      <c r="AO395" s="1182">
        <v>0</v>
      </c>
      <c r="AP395" s="1182" t="s">
        <v>2949</v>
      </c>
      <c r="AQ395" s="1182" t="s">
        <v>1639</v>
      </c>
      <c r="AS395" s="1186" t="s">
        <v>1943</v>
      </c>
      <c r="AT395" s="1186" t="s">
        <v>1944</v>
      </c>
      <c r="AV395" s="1183">
        <v>0</v>
      </c>
      <c r="AW395" s="1183">
        <v>0</v>
      </c>
      <c r="AX395" s="1183">
        <v>17700</v>
      </c>
      <c r="AY395" s="1538">
        <v>17700</v>
      </c>
      <c r="AZ395" s="1183">
        <v>0</v>
      </c>
      <c r="BA395" s="1183">
        <v>0</v>
      </c>
      <c r="BB395" s="1540">
        <v>0</v>
      </c>
      <c r="BC395" s="1540">
        <v>17700</v>
      </c>
      <c r="BD395" s="1540">
        <v>0</v>
      </c>
      <c r="BF395" s="1539">
        <f t="shared" si="92"/>
        <v>0</v>
      </c>
      <c r="BG395" s="1539">
        <f t="shared" si="93"/>
        <v>0</v>
      </c>
      <c r="BH395" s="1539">
        <f t="shared" si="94"/>
        <v>17700</v>
      </c>
      <c r="BI395" s="1539">
        <f t="shared" si="95"/>
        <v>17700</v>
      </c>
      <c r="BJ395" s="1539">
        <f t="shared" si="96"/>
        <v>0</v>
      </c>
      <c r="BK395" s="1539">
        <f t="shared" si="97"/>
        <v>0</v>
      </c>
      <c r="BL395" s="1539">
        <f t="shared" si="98"/>
        <v>0</v>
      </c>
      <c r="BM395" s="1539">
        <f t="shared" si="99"/>
        <v>17700</v>
      </c>
      <c r="BO395" s="1183"/>
      <c r="BQ395" s="1182">
        <f t="shared" si="100"/>
        <v>0</v>
      </c>
      <c r="BR395" s="1182">
        <f t="shared" si="101"/>
        <v>0</v>
      </c>
    </row>
    <row r="396" spans="1:70" ht="13.5" customHeight="1">
      <c r="A396" s="1182" t="s">
        <v>1803</v>
      </c>
      <c r="B396" s="1182" t="s">
        <v>1804</v>
      </c>
      <c r="C396" s="1182" t="s">
        <v>1639</v>
      </c>
      <c r="D396" s="1182" t="s">
        <v>2590</v>
      </c>
      <c r="E396" s="1182" t="s">
        <v>2591</v>
      </c>
      <c r="F396" s="1182" t="s">
        <v>1852</v>
      </c>
      <c r="G396" s="1182" t="s">
        <v>1852</v>
      </c>
      <c r="H396" s="1182" t="s">
        <v>2945</v>
      </c>
      <c r="I396" s="1182" t="s">
        <v>1937</v>
      </c>
      <c r="J396" s="1182" t="s">
        <v>3039</v>
      </c>
      <c r="K396" s="1182" t="s">
        <v>1811</v>
      </c>
      <c r="L396" s="1182" t="s">
        <v>1812</v>
      </c>
      <c r="M396" s="1182" t="s">
        <v>1803</v>
      </c>
      <c r="N396" s="1182" t="s">
        <v>2922</v>
      </c>
      <c r="O396" s="1182" t="s">
        <v>1554</v>
      </c>
      <c r="P396" s="1182" t="s">
        <v>1563</v>
      </c>
      <c r="Q396" s="1182" t="s">
        <v>1562</v>
      </c>
      <c r="R396" s="1182" t="s">
        <v>1561</v>
      </c>
      <c r="S396" s="1182" t="s">
        <v>1639</v>
      </c>
      <c r="T396" s="1182" t="s">
        <v>1814</v>
      </c>
      <c r="U396" s="1182" t="s">
        <v>1815</v>
      </c>
      <c r="V396" s="1182">
        <v>0</v>
      </c>
      <c r="W396" s="1182">
        <v>0</v>
      </c>
      <c r="X396" s="1182">
        <v>0</v>
      </c>
      <c r="Y396" s="1183">
        <v>25600</v>
      </c>
      <c r="Z396" s="1182" t="s">
        <v>1940</v>
      </c>
      <c r="AA396" s="1182" t="s">
        <v>1941</v>
      </c>
      <c r="AB396" s="1182">
        <v>25600</v>
      </c>
      <c r="AC396" s="1182" t="s">
        <v>2925</v>
      </c>
      <c r="AD396" s="1182" t="s">
        <v>1561</v>
      </c>
      <c r="AE396" s="1182">
        <v>25600</v>
      </c>
      <c r="AF396" s="1182" t="s">
        <v>1943</v>
      </c>
      <c r="AG396" s="1182" t="s">
        <v>1944</v>
      </c>
      <c r="AH396" s="1182">
        <v>0</v>
      </c>
      <c r="AI396" s="1182">
        <v>25600</v>
      </c>
      <c r="AJ396" s="1182" t="s">
        <v>3015</v>
      </c>
      <c r="AL396" s="1186" t="s">
        <v>3040</v>
      </c>
      <c r="AM396" s="1182">
        <v>1</v>
      </c>
      <c r="AN396" s="1182">
        <v>0</v>
      </c>
      <c r="AO396" s="1182">
        <v>0</v>
      </c>
      <c r="AP396" s="1182" t="s">
        <v>2949</v>
      </c>
      <c r="AQ396" s="1182" t="s">
        <v>1639</v>
      </c>
      <c r="AS396" s="1186" t="s">
        <v>1943</v>
      </c>
      <c r="AT396" s="1186" t="s">
        <v>1944</v>
      </c>
      <c r="AV396" s="1183">
        <v>0</v>
      </c>
      <c r="AW396" s="1183">
        <v>0</v>
      </c>
      <c r="AX396" s="1183">
        <v>25600</v>
      </c>
      <c r="AY396" s="1538">
        <v>25600</v>
      </c>
      <c r="AZ396" s="1183">
        <v>0</v>
      </c>
      <c r="BA396" s="1183">
        <v>0</v>
      </c>
      <c r="BB396" s="1540">
        <v>0</v>
      </c>
      <c r="BC396" s="1540">
        <v>25600</v>
      </c>
      <c r="BD396" s="1540">
        <v>0</v>
      </c>
      <c r="BF396" s="1539">
        <f t="shared" si="92"/>
        <v>0</v>
      </c>
      <c r="BG396" s="1539">
        <f t="shared" si="93"/>
        <v>0</v>
      </c>
      <c r="BH396" s="1539">
        <f t="shared" si="94"/>
        <v>25600</v>
      </c>
      <c r="BI396" s="1539">
        <f t="shared" si="95"/>
        <v>25600</v>
      </c>
      <c r="BJ396" s="1539">
        <f t="shared" si="96"/>
        <v>0</v>
      </c>
      <c r="BK396" s="1539">
        <f t="shared" si="97"/>
        <v>0</v>
      </c>
      <c r="BL396" s="1539">
        <f t="shared" si="98"/>
        <v>0</v>
      </c>
      <c r="BM396" s="1539">
        <f t="shared" si="99"/>
        <v>25600</v>
      </c>
      <c r="BO396" s="1183"/>
      <c r="BQ396" s="1182">
        <f t="shared" si="100"/>
        <v>0</v>
      </c>
      <c r="BR396" s="1182">
        <f t="shared" si="101"/>
        <v>0</v>
      </c>
    </row>
    <row r="397" spans="1:70" ht="13.5" customHeight="1">
      <c r="A397" s="1182" t="s">
        <v>1803</v>
      </c>
      <c r="B397" s="1182" t="s">
        <v>1804</v>
      </c>
      <c r="C397" s="1182" t="s">
        <v>1639</v>
      </c>
      <c r="D397" s="1182" t="s">
        <v>2590</v>
      </c>
      <c r="E397" s="1182" t="s">
        <v>2591</v>
      </c>
      <c r="F397" s="1182" t="s">
        <v>2912</v>
      </c>
      <c r="G397" s="1182" t="s">
        <v>2912</v>
      </c>
      <c r="H397" s="1182" t="s">
        <v>2945</v>
      </c>
      <c r="I397" s="1182" t="s">
        <v>1937</v>
      </c>
      <c r="J397" s="1182" t="s">
        <v>3044</v>
      </c>
      <c r="K397" s="1182" t="s">
        <v>1811</v>
      </c>
      <c r="L397" s="1182" t="s">
        <v>1812</v>
      </c>
      <c r="M397" s="1182" t="s">
        <v>1803</v>
      </c>
      <c r="N397" s="1182" t="s">
        <v>2922</v>
      </c>
      <c r="O397" s="1182" t="s">
        <v>1554</v>
      </c>
      <c r="P397" s="1182" t="s">
        <v>1563</v>
      </c>
      <c r="Q397" s="1182" t="s">
        <v>1562</v>
      </c>
      <c r="R397" s="1182" t="s">
        <v>1561</v>
      </c>
      <c r="S397" s="1182" t="s">
        <v>1639</v>
      </c>
      <c r="T397" s="1182" t="s">
        <v>1814</v>
      </c>
      <c r="U397" s="1182" t="s">
        <v>1815</v>
      </c>
      <c r="V397" s="1182">
        <v>0</v>
      </c>
      <c r="W397" s="1182">
        <v>0</v>
      </c>
      <c r="X397" s="1182">
        <v>0</v>
      </c>
      <c r="Y397" s="1183">
        <v>21100</v>
      </c>
      <c r="Z397" s="1182" t="s">
        <v>1940</v>
      </c>
      <c r="AA397" s="1182" t="s">
        <v>1941</v>
      </c>
      <c r="AB397" s="1182">
        <v>21100</v>
      </c>
      <c r="AC397" s="1182" t="s">
        <v>2925</v>
      </c>
      <c r="AD397" s="1182" t="s">
        <v>1561</v>
      </c>
      <c r="AE397" s="1182">
        <v>21100</v>
      </c>
      <c r="AF397" s="1182" t="s">
        <v>1943</v>
      </c>
      <c r="AG397" s="1182" t="s">
        <v>1944</v>
      </c>
      <c r="AH397" s="1182">
        <v>0</v>
      </c>
      <c r="AI397" s="1182">
        <v>21100</v>
      </c>
      <c r="AJ397" s="1182" t="s">
        <v>3006</v>
      </c>
      <c r="AL397" s="1186" t="s">
        <v>3045</v>
      </c>
      <c r="AM397" s="1182">
        <v>1</v>
      </c>
      <c r="AN397" s="1182">
        <v>0</v>
      </c>
      <c r="AO397" s="1182">
        <v>0</v>
      </c>
      <c r="AP397" s="1182" t="s">
        <v>2949</v>
      </c>
      <c r="AQ397" s="1182" t="s">
        <v>1639</v>
      </c>
      <c r="AS397" s="1186" t="s">
        <v>1943</v>
      </c>
      <c r="AT397" s="1186" t="s">
        <v>1944</v>
      </c>
      <c r="AV397" s="1183">
        <v>0</v>
      </c>
      <c r="AW397" s="1183">
        <v>0</v>
      </c>
      <c r="AX397" s="1183">
        <v>21100</v>
      </c>
      <c r="AY397" s="1538">
        <v>21100</v>
      </c>
      <c r="AZ397" s="1183">
        <v>0</v>
      </c>
      <c r="BA397" s="1183">
        <v>0</v>
      </c>
      <c r="BB397" s="1540">
        <v>0</v>
      </c>
      <c r="BC397" s="1540">
        <v>21100</v>
      </c>
      <c r="BD397" s="1540">
        <v>0</v>
      </c>
      <c r="BF397" s="1539">
        <f t="shared" si="92"/>
        <v>0</v>
      </c>
      <c r="BG397" s="1539">
        <f t="shared" si="93"/>
        <v>0</v>
      </c>
      <c r="BH397" s="1539">
        <f t="shared" si="94"/>
        <v>21100</v>
      </c>
      <c r="BI397" s="1539">
        <f t="shared" si="95"/>
        <v>21100</v>
      </c>
      <c r="BJ397" s="1539">
        <f t="shared" si="96"/>
        <v>0</v>
      </c>
      <c r="BK397" s="1539">
        <f t="shared" si="97"/>
        <v>0</v>
      </c>
      <c r="BL397" s="1539">
        <f t="shared" si="98"/>
        <v>0</v>
      </c>
      <c r="BM397" s="1539">
        <f t="shared" si="99"/>
        <v>21100</v>
      </c>
      <c r="BO397" s="1183"/>
      <c r="BQ397" s="1182">
        <f t="shared" si="100"/>
        <v>0</v>
      </c>
      <c r="BR397" s="1182">
        <f t="shared" si="101"/>
        <v>0</v>
      </c>
    </row>
    <row r="398" spans="1:70" ht="13.5" customHeight="1">
      <c r="A398" s="1182" t="s">
        <v>1803</v>
      </c>
      <c r="B398" s="1182" t="s">
        <v>1804</v>
      </c>
      <c r="C398" s="1182" t="s">
        <v>1639</v>
      </c>
      <c r="D398" s="1182" t="s">
        <v>2590</v>
      </c>
      <c r="E398" s="1182" t="s">
        <v>2591</v>
      </c>
      <c r="F398" s="1182" t="s">
        <v>3046</v>
      </c>
      <c r="G398" s="1182" t="s">
        <v>3046</v>
      </c>
      <c r="H398" s="1182" t="s">
        <v>2945</v>
      </c>
      <c r="I398" s="1182" t="s">
        <v>1937</v>
      </c>
      <c r="J398" s="1182" t="s">
        <v>3047</v>
      </c>
      <c r="K398" s="1182" t="s">
        <v>1811</v>
      </c>
      <c r="L398" s="1182" t="s">
        <v>1812</v>
      </c>
      <c r="M398" s="1182" t="s">
        <v>1803</v>
      </c>
      <c r="N398" s="1182" t="s">
        <v>2922</v>
      </c>
      <c r="O398" s="1182" t="s">
        <v>1554</v>
      </c>
      <c r="P398" s="1182" t="s">
        <v>1563</v>
      </c>
      <c r="Q398" s="1182" t="s">
        <v>1562</v>
      </c>
      <c r="R398" s="1182" t="s">
        <v>1561</v>
      </c>
      <c r="S398" s="1182" t="s">
        <v>1639</v>
      </c>
      <c r="T398" s="1182" t="s">
        <v>1814</v>
      </c>
      <c r="U398" s="1182" t="s">
        <v>1815</v>
      </c>
      <c r="V398" s="1182">
        <v>0</v>
      </c>
      <c r="W398" s="1182">
        <v>0</v>
      </c>
      <c r="X398" s="1182">
        <v>0</v>
      </c>
      <c r="Y398" s="1183">
        <v>13100</v>
      </c>
      <c r="Z398" s="1182" t="s">
        <v>1940</v>
      </c>
      <c r="AA398" s="1182" t="s">
        <v>1941</v>
      </c>
      <c r="AB398" s="1182">
        <v>13100</v>
      </c>
      <c r="AC398" s="1182" t="s">
        <v>2925</v>
      </c>
      <c r="AD398" s="1182" t="s">
        <v>1561</v>
      </c>
      <c r="AE398" s="1182">
        <v>13100</v>
      </c>
      <c r="AF398" s="1182" t="s">
        <v>1943</v>
      </c>
      <c r="AG398" s="1182" t="s">
        <v>1944</v>
      </c>
      <c r="AH398" s="1182">
        <v>0</v>
      </c>
      <c r="AI398" s="1182">
        <v>13100</v>
      </c>
      <c r="AJ398" s="1182" t="s">
        <v>2955</v>
      </c>
      <c r="AL398" s="1186" t="s">
        <v>3048</v>
      </c>
      <c r="AM398" s="1182">
        <v>1</v>
      </c>
      <c r="AN398" s="1182">
        <v>0</v>
      </c>
      <c r="AO398" s="1182">
        <v>0</v>
      </c>
      <c r="AP398" s="1182" t="s">
        <v>2949</v>
      </c>
      <c r="AQ398" s="1182" t="s">
        <v>1639</v>
      </c>
      <c r="AS398" s="1186" t="s">
        <v>1943</v>
      </c>
      <c r="AT398" s="1186" t="s">
        <v>1944</v>
      </c>
      <c r="AV398" s="1183">
        <v>0</v>
      </c>
      <c r="AW398" s="1183">
        <v>0</v>
      </c>
      <c r="AX398" s="1183">
        <v>13100</v>
      </c>
      <c r="AY398" s="1538">
        <v>13100</v>
      </c>
      <c r="AZ398" s="1183">
        <v>0</v>
      </c>
      <c r="BA398" s="1183">
        <v>0</v>
      </c>
      <c r="BB398" s="1540">
        <v>0</v>
      </c>
      <c r="BC398" s="1540">
        <v>13100</v>
      </c>
      <c r="BD398" s="1540">
        <v>0</v>
      </c>
      <c r="BF398" s="1539">
        <f t="shared" si="92"/>
        <v>0</v>
      </c>
      <c r="BG398" s="1539">
        <f t="shared" si="93"/>
        <v>0</v>
      </c>
      <c r="BH398" s="1539">
        <f t="shared" si="94"/>
        <v>13100</v>
      </c>
      <c r="BI398" s="1539">
        <f t="shared" si="95"/>
        <v>13100</v>
      </c>
      <c r="BJ398" s="1539">
        <f t="shared" si="96"/>
        <v>0</v>
      </c>
      <c r="BK398" s="1539">
        <f t="shared" si="97"/>
        <v>0</v>
      </c>
      <c r="BL398" s="1539">
        <f t="shared" si="98"/>
        <v>0</v>
      </c>
      <c r="BM398" s="1539">
        <f t="shared" si="99"/>
        <v>13100</v>
      </c>
      <c r="BO398" s="1183"/>
      <c r="BQ398" s="1182">
        <f t="shared" si="100"/>
        <v>0</v>
      </c>
      <c r="BR398" s="1182">
        <f t="shared" si="101"/>
        <v>0</v>
      </c>
    </row>
    <row r="399" spans="1:70" ht="13.5" customHeight="1">
      <c r="A399" s="1182" t="s">
        <v>1803</v>
      </c>
      <c r="B399" s="1182" t="s">
        <v>1804</v>
      </c>
      <c r="C399" s="1182" t="s">
        <v>1639</v>
      </c>
      <c r="D399" s="1182" t="s">
        <v>2590</v>
      </c>
      <c r="E399" s="1182" t="s">
        <v>2591</v>
      </c>
      <c r="F399" s="1182" t="s">
        <v>3041</v>
      </c>
      <c r="G399" s="1182" t="s">
        <v>3041</v>
      </c>
      <c r="H399" s="1182" t="s">
        <v>2945</v>
      </c>
      <c r="I399" s="1182" t="s">
        <v>1937</v>
      </c>
      <c r="J399" s="1182" t="s">
        <v>3042</v>
      </c>
      <c r="K399" s="1182" t="s">
        <v>1811</v>
      </c>
      <c r="L399" s="1182" t="s">
        <v>1812</v>
      </c>
      <c r="M399" s="1182" t="s">
        <v>1803</v>
      </c>
      <c r="N399" s="1182" t="s">
        <v>2922</v>
      </c>
      <c r="O399" s="1182" t="s">
        <v>1554</v>
      </c>
      <c r="P399" s="1182" t="s">
        <v>1563</v>
      </c>
      <c r="Q399" s="1182" t="s">
        <v>1562</v>
      </c>
      <c r="R399" s="1182" t="s">
        <v>1561</v>
      </c>
      <c r="S399" s="1182" t="s">
        <v>1639</v>
      </c>
      <c r="T399" s="1182" t="s">
        <v>1814</v>
      </c>
      <c r="U399" s="1182" t="s">
        <v>1815</v>
      </c>
      <c r="V399" s="1182">
        <v>0</v>
      </c>
      <c r="W399" s="1182">
        <v>0</v>
      </c>
      <c r="X399" s="1182">
        <v>0</v>
      </c>
      <c r="Y399" s="1183">
        <v>17600</v>
      </c>
      <c r="Z399" s="1182" t="s">
        <v>1940</v>
      </c>
      <c r="AA399" s="1182" t="s">
        <v>1941</v>
      </c>
      <c r="AB399" s="1182">
        <v>17600</v>
      </c>
      <c r="AC399" s="1182" t="s">
        <v>2925</v>
      </c>
      <c r="AD399" s="1182" t="s">
        <v>1561</v>
      </c>
      <c r="AE399" s="1182">
        <v>17600</v>
      </c>
      <c r="AF399" s="1182" t="s">
        <v>1943</v>
      </c>
      <c r="AG399" s="1182" t="s">
        <v>1944</v>
      </c>
      <c r="AH399" s="1182">
        <v>0</v>
      </c>
      <c r="AI399" s="1182">
        <v>17600</v>
      </c>
      <c r="AJ399" s="1182" t="s">
        <v>2972</v>
      </c>
      <c r="AL399" s="1186" t="s">
        <v>3043</v>
      </c>
      <c r="AM399" s="1182">
        <v>1</v>
      </c>
      <c r="AN399" s="1182">
        <v>0</v>
      </c>
      <c r="AO399" s="1182">
        <v>0</v>
      </c>
      <c r="AP399" s="1182" t="s">
        <v>2949</v>
      </c>
      <c r="AQ399" s="1182" t="s">
        <v>1639</v>
      </c>
      <c r="AS399" s="1186" t="s">
        <v>1943</v>
      </c>
      <c r="AT399" s="1186" t="s">
        <v>1944</v>
      </c>
      <c r="AV399" s="1183">
        <v>0</v>
      </c>
      <c r="AW399" s="1183">
        <v>0</v>
      </c>
      <c r="AX399" s="1183">
        <v>17600</v>
      </c>
      <c r="AY399" s="1538">
        <v>17600</v>
      </c>
      <c r="AZ399" s="1183">
        <v>0</v>
      </c>
      <c r="BA399" s="1183">
        <v>0</v>
      </c>
      <c r="BB399" s="1540">
        <v>0</v>
      </c>
      <c r="BC399" s="1540">
        <v>17600</v>
      </c>
      <c r="BD399" s="1540">
        <v>0</v>
      </c>
      <c r="BF399" s="1539">
        <f t="shared" si="92"/>
        <v>0</v>
      </c>
      <c r="BG399" s="1539">
        <f t="shared" si="93"/>
        <v>0</v>
      </c>
      <c r="BH399" s="1539">
        <f t="shared" si="94"/>
        <v>17600</v>
      </c>
      <c r="BI399" s="1539">
        <f t="shared" si="95"/>
        <v>17600</v>
      </c>
      <c r="BJ399" s="1539">
        <f t="shared" si="96"/>
        <v>0</v>
      </c>
      <c r="BK399" s="1539">
        <f t="shared" si="97"/>
        <v>0</v>
      </c>
      <c r="BL399" s="1539">
        <f t="shared" si="98"/>
        <v>0</v>
      </c>
      <c r="BM399" s="1539">
        <f t="shared" si="99"/>
        <v>17600</v>
      </c>
      <c r="BO399" s="1183"/>
      <c r="BQ399" s="1182">
        <f t="shared" si="100"/>
        <v>0</v>
      </c>
      <c r="BR399" s="1182">
        <f t="shared" si="101"/>
        <v>0</v>
      </c>
    </row>
    <row r="400" spans="1:70" ht="13.5" customHeight="1">
      <c r="A400" s="1182" t="s">
        <v>1803</v>
      </c>
      <c r="B400" s="1182" t="s">
        <v>1804</v>
      </c>
      <c r="C400" s="1182" t="s">
        <v>1639</v>
      </c>
      <c r="D400" s="1182" t="s">
        <v>2590</v>
      </c>
      <c r="E400" s="1182" t="s">
        <v>2591</v>
      </c>
      <c r="F400" s="1182" t="s">
        <v>2396</v>
      </c>
      <c r="G400" s="1182" t="s">
        <v>2396</v>
      </c>
      <c r="H400" s="1182" t="s">
        <v>2945</v>
      </c>
      <c r="I400" s="1182" t="s">
        <v>1937</v>
      </c>
      <c r="J400" s="1182" t="s">
        <v>3037</v>
      </c>
      <c r="K400" s="1182" t="s">
        <v>1811</v>
      </c>
      <c r="L400" s="1182" t="s">
        <v>1812</v>
      </c>
      <c r="M400" s="1182" t="s">
        <v>1803</v>
      </c>
      <c r="N400" s="1182" t="s">
        <v>2922</v>
      </c>
      <c r="O400" s="1182" t="s">
        <v>1554</v>
      </c>
      <c r="P400" s="1182" t="s">
        <v>1563</v>
      </c>
      <c r="Q400" s="1182" t="s">
        <v>1562</v>
      </c>
      <c r="R400" s="1182" t="s">
        <v>1561</v>
      </c>
      <c r="S400" s="1182" t="s">
        <v>1639</v>
      </c>
      <c r="T400" s="1182" t="s">
        <v>1814</v>
      </c>
      <c r="U400" s="1182" t="s">
        <v>1815</v>
      </c>
      <c r="V400" s="1182">
        <v>0</v>
      </c>
      <c r="W400" s="1182">
        <v>0</v>
      </c>
      <c r="X400" s="1182">
        <v>0</v>
      </c>
      <c r="Y400" s="1183">
        <v>13800</v>
      </c>
      <c r="Z400" s="1182" t="s">
        <v>1940</v>
      </c>
      <c r="AA400" s="1182" t="s">
        <v>1941</v>
      </c>
      <c r="AB400" s="1182">
        <v>13800</v>
      </c>
      <c r="AC400" s="1182" t="s">
        <v>2925</v>
      </c>
      <c r="AD400" s="1182" t="s">
        <v>1561</v>
      </c>
      <c r="AE400" s="1182">
        <v>13800</v>
      </c>
      <c r="AF400" s="1182" t="s">
        <v>1943</v>
      </c>
      <c r="AG400" s="1182" t="s">
        <v>1944</v>
      </c>
      <c r="AH400" s="1182">
        <v>0</v>
      </c>
      <c r="AI400" s="1182">
        <v>13800</v>
      </c>
      <c r="AJ400" s="1182" t="s">
        <v>2966</v>
      </c>
      <c r="AL400" s="1186" t="s">
        <v>3038</v>
      </c>
      <c r="AM400" s="1182">
        <v>1</v>
      </c>
      <c r="AN400" s="1182">
        <v>0</v>
      </c>
      <c r="AO400" s="1182">
        <v>0</v>
      </c>
      <c r="AP400" s="1182" t="s">
        <v>2949</v>
      </c>
      <c r="AQ400" s="1182" t="s">
        <v>1639</v>
      </c>
      <c r="AS400" s="1186" t="s">
        <v>1943</v>
      </c>
      <c r="AT400" s="1186" t="s">
        <v>1944</v>
      </c>
      <c r="AV400" s="1183">
        <v>0</v>
      </c>
      <c r="AW400" s="1183">
        <v>0</v>
      </c>
      <c r="AX400" s="1183">
        <v>13800</v>
      </c>
      <c r="AY400" s="1538">
        <v>13800</v>
      </c>
      <c r="AZ400" s="1183">
        <v>0</v>
      </c>
      <c r="BA400" s="1183">
        <v>0</v>
      </c>
      <c r="BB400" s="1540">
        <v>0</v>
      </c>
      <c r="BC400" s="1540">
        <v>13800</v>
      </c>
      <c r="BD400" s="1540">
        <v>0</v>
      </c>
      <c r="BF400" s="1539">
        <f t="shared" si="92"/>
        <v>0</v>
      </c>
      <c r="BG400" s="1539">
        <f t="shared" si="93"/>
        <v>0</v>
      </c>
      <c r="BH400" s="1539">
        <f t="shared" si="94"/>
        <v>13800</v>
      </c>
      <c r="BI400" s="1539">
        <f t="shared" si="95"/>
        <v>13800</v>
      </c>
      <c r="BJ400" s="1539">
        <f t="shared" si="96"/>
        <v>0</v>
      </c>
      <c r="BK400" s="1539">
        <f t="shared" si="97"/>
        <v>0</v>
      </c>
      <c r="BL400" s="1539">
        <f t="shared" si="98"/>
        <v>0</v>
      </c>
      <c r="BM400" s="1539">
        <f t="shared" si="99"/>
        <v>13800</v>
      </c>
      <c r="BO400" s="1183"/>
      <c r="BQ400" s="1182">
        <f t="shared" si="100"/>
        <v>0</v>
      </c>
      <c r="BR400" s="1182">
        <f t="shared" si="101"/>
        <v>0</v>
      </c>
    </row>
    <row r="401" spans="1:70" ht="13.5" customHeight="1">
      <c r="A401" s="1182" t="s">
        <v>1803</v>
      </c>
      <c r="B401" s="1182" t="s">
        <v>1804</v>
      </c>
      <c r="C401" s="1182" t="s">
        <v>1639</v>
      </c>
      <c r="D401" s="1182" t="s">
        <v>2590</v>
      </c>
      <c r="E401" s="1182" t="s">
        <v>2591</v>
      </c>
      <c r="F401" s="1182" t="s">
        <v>2327</v>
      </c>
      <c r="G401" s="1182" t="s">
        <v>2327</v>
      </c>
      <c r="H401" s="1182" t="s">
        <v>2945</v>
      </c>
      <c r="I401" s="1182" t="s">
        <v>1937</v>
      </c>
      <c r="J401" s="1182" t="s">
        <v>3025</v>
      </c>
      <c r="K401" s="1182" t="s">
        <v>1811</v>
      </c>
      <c r="L401" s="1182" t="s">
        <v>1812</v>
      </c>
      <c r="M401" s="1182" t="s">
        <v>1803</v>
      </c>
      <c r="N401" s="1182" t="s">
        <v>2922</v>
      </c>
      <c r="O401" s="1182" t="s">
        <v>1554</v>
      </c>
      <c r="P401" s="1182" t="s">
        <v>1563</v>
      </c>
      <c r="Q401" s="1182" t="s">
        <v>1562</v>
      </c>
      <c r="R401" s="1182" t="s">
        <v>1561</v>
      </c>
      <c r="S401" s="1182" t="s">
        <v>1639</v>
      </c>
      <c r="T401" s="1182" t="s">
        <v>1814</v>
      </c>
      <c r="U401" s="1182" t="s">
        <v>1815</v>
      </c>
      <c r="V401" s="1182">
        <v>0</v>
      </c>
      <c r="W401" s="1182">
        <v>0</v>
      </c>
      <c r="X401" s="1182">
        <v>0</v>
      </c>
      <c r="Y401" s="1183">
        <v>13000</v>
      </c>
      <c r="Z401" s="1182" t="s">
        <v>1940</v>
      </c>
      <c r="AA401" s="1182" t="s">
        <v>1941</v>
      </c>
      <c r="AB401" s="1182">
        <v>13000</v>
      </c>
      <c r="AC401" s="1182" t="s">
        <v>2925</v>
      </c>
      <c r="AD401" s="1182" t="s">
        <v>1561</v>
      </c>
      <c r="AE401" s="1182">
        <v>13000</v>
      </c>
      <c r="AF401" s="1182" t="s">
        <v>1943</v>
      </c>
      <c r="AG401" s="1182" t="s">
        <v>1944</v>
      </c>
      <c r="AH401" s="1182">
        <v>0</v>
      </c>
      <c r="AI401" s="1182">
        <v>13000</v>
      </c>
      <c r="AJ401" s="1182" t="s">
        <v>2955</v>
      </c>
      <c r="AL401" s="1186" t="s">
        <v>3026</v>
      </c>
      <c r="AM401" s="1182">
        <v>1</v>
      </c>
      <c r="AN401" s="1182">
        <v>0</v>
      </c>
      <c r="AO401" s="1182">
        <v>0</v>
      </c>
      <c r="AP401" s="1182" t="s">
        <v>2949</v>
      </c>
      <c r="AQ401" s="1182" t="s">
        <v>1639</v>
      </c>
      <c r="AS401" s="1186" t="s">
        <v>1943</v>
      </c>
      <c r="AT401" s="1186" t="s">
        <v>1944</v>
      </c>
      <c r="AV401" s="1183">
        <v>0</v>
      </c>
      <c r="AW401" s="1183">
        <v>0</v>
      </c>
      <c r="AX401" s="1183">
        <v>13000</v>
      </c>
      <c r="AY401" s="1538">
        <v>13000</v>
      </c>
      <c r="AZ401" s="1183">
        <v>0</v>
      </c>
      <c r="BA401" s="1183">
        <v>0</v>
      </c>
      <c r="BB401" s="1540">
        <v>0</v>
      </c>
      <c r="BC401" s="1540">
        <v>13000</v>
      </c>
      <c r="BD401" s="1540">
        <v>0</v>
      </c>
      <c r="BF401" s="1539">
        <f t="shared" si="92"/>
        <v>0</v>
      </c>
      <c r="BG401" s="1539">
        <f t="shared" si="93"/>
        <v>0</v>
      </c>
      <c r="BH401" s="1539">
        <f t="shared" si="94"/>
        <v>13000</v>
      </c>
      <c r="BI401" s="1539">
        <f t="shared" si="95"/>
        <v>13000</v>
      </c>
      <c r="BJ401" s="1539">
        <f t="shared" si="96"/>
        <v>0</v>
      </c>
      <c r="BK401" s="1539">
        <f t="shared" si="97"/>
        <v>0</v>
      </c>
      <c r="BL401" s="1539">
        <f t="shared" si="98"/>
        <v>0</v>
      </c>
      <c r="BM401" s="1539">
        <f t="shared" si="99"/>
        <v>13000</v>
      </c>
      <c r="BO401" s="1183"/>
      <c r="BQ401" s="1182">
        <f t="shared" si="100"/>
        <v>0</v>
      </c>
      <c r="BR401" s="1182">
        <f t="shared" si="101"/>
        <v>0</v>
      </c>
    </row>
    <row r="402" spans="1:70" ht="13.5" customHeight="1">
      <c r="A402" s="1182" t="s">
        <v>1803</v>
      </c>
      <c r="B402" s="1182" t="s">
        <v>1804</v>
      </c>
      <c r="C402" s="1182" t="s">
        <v>1639</v>
      </c>
      <c r="D402" s="1182" t="s">
        <v>2590</v>
      </c>
      <c r="E402" s="1182" t="s">
        <v>2591</v>
      </c>
      <c r="F402" s="1182" t="s">
        <v>2319</v>
      </c>
      <c r="G402" s="1182" t="s">
        <v>2319</v>
      </c>
      <c r="H402" s="1182" t="s">
        <v>2945</v>
      </c>
      <c r="I402" s="1182" t="s">
        <v>1937</v>
      </c>
      <c r="J402" s="1182" t="s">
        <v>3019</v>
      </c>
      <c r="K402" s="1182" t="s">
        <v>1811</v>
      </c>
      <c r="L402" s="1182" t="s">
        <v>1812</v>
      </c>
      <c r="M402" s="1182" t="s">
        <v>1803</v>
      </c>
      <c r="N402" s="1182" t="s">
        <v>2922</v>
      </c>
      <c r="O402" s="1182" t="s">
        <v>1554</v>
      </c>
      <c r="P402" s="1182" t="s">
        <v>1563</v>
      </c>
      <c r="Q402" s="1182" t="s">
        <v>1562</v>
      </c>
      <c r="R402" s="1182" t="s">
        <v>1561</v>
      </c>
      <c r="S402" s="1182" t="s">
        <v>1639</v>
      </c>
      <c r="T402" s="1182" t="s">
        <v>1814</v>
      </c>
      <c r="U402" s="1182" t="s">
        <v>1815</v>
      </c>
      <c r="V402" s="1182">
        <v>0</v>
      </c>
      <c r="W402" s="1182">
        <v>0</v>
      </c>
      <c r="X402" s="1182">
        <v>0</v>
      </c>
      <c r="Y402" s="1183">
        <v>25100</v>
      </c>
      <c r="Z402" s="1182" t="s">
        <v>1940</v>
      </c>
      <c r="AA402" s="1182" t="s">
        <v>1941</v>
      </c>
      <c r="AB402" s="1182">
        <v>25100</v>
      </c>
      <c r="AC402" s="1182" t="s">
        <v>2925</v>
      </c>
      <c r="AD402" s="1182" t="s">
        <v>1561</v>
      </c>
      <c r="AE402" s="1182">
        <v>25100</v>
      </c>
      <c r="AF402" s="1182" t="s">
        <v>1943</v>
      </c>
      <c r="AG402" s="1182" t="s">
        <v>1944</v>
      </c>
      <c r="AH402" s="1182">
        <v>0</v>
      </c>
      <c r="AI402" s="1182">
        <v>25100</v>
      </c>
      <c r="AJ402" s="1182" t="s">
        <v>3015</v>
      </c>
      <c r="AL402" s="1186" t="s">
        <v>3020</v>
      </c>
      <c r="AM402" s="1182">
        <v>1</v>
      </c>
      <c r="AN402" s="1182">
        <v>0</v>
      </c>
      <c r="AO402" s="1182">
        <v>0</v>
      </c>
      <c r="AP402" s="1182" t="s">
        <v>2949</v>
      </c>
      <c r="AQ402" s="1182" t="s">
        <v>1639</v>
      </c>
      <c r="AS402" s="1186" t="s">
        <v>1943</v>
      </c>
      <c r="AT402" s="1186" t="s">
        <v>1944</v>
      </c>
      <c r="AV402" s="1183">
        <v>0</v>
      </c>
      <c r="AW402" s="1183">
        <v>0</v>
      </c>
      <c r="AX402" s="1183">
        <v>25100</v>
      </c>
      <c r="AY402" s="1538">
        <v>25100</v>
      </c>
      <c r="AZ402" s="1183">
        <v>0</v>
      </c>
      <c r="BA402" s="1183">
        <v>0</v>
      </c>
      <c r="BB402" s="1540">
        <v>0</v>
      </c>
      <c r="BC402" s="1540">
        <v>25100</v>
      </c>
      <c r="BD402" s="1540">
        <v>0</v>
      </c>
      <c r="BF402" s="1539">
        <f t="shared" si="92"/>
        <v>0</v>
      </c>
      <c r="BG402" s="1539">
        <f t="shared" si="93"/>
        <v>0</v>
      </c>
      <c r="BH402" s="1539">
        <f t="shared" si="94"/>
        <v>25100</v>
      </c>
      <c r="BI402" s="1539">
        <f t="shared" si="95"/>
        <v>25100</v>
      </c>
      <c r="BJ402" s="1539">
        <f t="shared" si="96"/>
        <v>0</v>
      </c>
      <c r="BK402" s="1539">
        <f t="shared" si="97"/>
        <v>0</v>
      </c>
      <c r="BL402" s="1539">
        <f t="shared" si="98"/>
        <v>0</v>
      </c>
      <c r="BM402" s="1539">
        <f t="shared" si="99"/>
        <v>25100</v>
      </c>
      <c r="BO402" s="1183"/>
      <c r="BQ402" s="1182">
        <f t="shared" si="100"/>
        <v>0</v>
      </c>
      <c r="BR402" s="1182">
        <f t="shared" si="101"/>
        <v>0</v>
      </c>
    </row>
    <row r="403" spans="1:70" ht="13.5" customHeight="1">
      <c r="A403" s="1182" t="s">
        <v>1803</v>
      </c>
      <c r="B403" s="1182" t="s">
        <v>1804</v>
      </c>
      <c r="C403" s="1182" t="s">
        <v>1639</v>
      </c>
      <c r="D403" s="1182" t="s">
        <v>2590</v>
      </c>
      <c r="E403" s="1182" t="s">
        <v>2591</v>
      </c>
      <c r="F403" s="1182" t="s">
        <v>2388</v>
      </c>
      <c r="G403" s="1182" t="s">
        <v>2388</v>
      </c>
      <c r="H403" s="1182" t="s">
        <v>2945</v>
      </c>
      <c r="I403" s="1182" t="s">
        <v>1937</v>
      </c>
      <c r="J403" s="1182" t="s">
        <v>3021</v>
      </c>
      <c r="K403" s="1182" t="s">
        <v>1811</v>
      </c>
      <c r="L403" s="1182" t="s">
        <v>1812</v>
      </c>
      <c r="M403" s="1182" t="s">
        <v>1803</v>
      </c>
      <c r="N403" s="1182" t="s">
        <v>2922</v>
      </c>
      <c r="O403" s="1182" t="s">
        <v>1554</v>
      </c>
      <c r="P403" s="1182" t="s">
        <v>1563</v>
      </c>
      <c r="Q403" s="1182" t="s">
        <v>1562</v>
      </c>
      <c r="R403" s="1182" t="s">
        <v>1561</v>
      </c>
      <c r="S403" s="1182" t="s">
        <v>1639</v>
      </c>
      <c r="T403" s="1182" t="s">
        <v>1814</v>
      </c>
      <c r="U403" s="1182" t="s">
        <v>1815</v>
      </c>
      <c r="V403" s="1182">
        <v>0</v>
      </c>
      <c r="W403" s="1182">
        <v>0</v>
      </c>
      <c r="X403" s="1182">
        <v>0</v>
      </c>
      <c r="Y403" s="1183">
        <v>12300</v>
      </c>
      <c r="Z403" s="1182" t="s">
        <v>1940</v>
      </c>
      <c r="AA403" s="1182" t="s">
        <v>1941</v>
      </c>
      <c r="AB403" s="1182">
        <v>12300</v>
      </c>
      <c r="AC403" s="1182" t="s">
        <v>2925</v>
      </c>
      <c r="AD403" s="1182" t="s">
        <v>1561</v>
      </c>
      <c r="AE403" s="1182">
        <v>12300</v>
      </c>
      <c r="AF403" s="1182" t="s">
        <v>1943</v>
      </c>
      <c r="AG403" s="1182" t="s">
        <v>1944</v>
      </c>
      <c r="AH403" s="1182">
        <v>0</v>
      </c>
      <c r="AI403" s="1182">
        <v>12300</v>
      </c>
      <c r="AJ403" s="1182" t="s">
        <v>2955</v>
      </c>
      <c r="AL403" s="1186" t="s">
        <v>3022</v>
      </c>
      <c r="AM403" s="1182">
        <v>1</v>
      </c>
      <c r="AN403" s="1182">
        <v>0</v>
      </c>
      <c r="AO403" s="1182">
        <v>0</v>
      </c>
      <c r="AP403" s="1182" t="s">
        <v>2949</v>
      </c>
      <c r="AQ403" s="1182" t="s">
        <v>1639</v>
      </c>
      <c r="AS403" s="1186" t="s">
        <v>1943</v>
      </c>
      <c r="AT403" s="1186" t="s">
        <v>1944</v>
      </c>
      <c r="AV403" s="1183">
        <v>0</v>
      </c>
      <c r="AW403" s="1183">
        <v>0</v>
      </c>
      <c r="AX403" s="1183">
        <v>12300</v>
      </c>
      <c r="AY403" s="1538">
        <v>12300</v>
      </c>
      <c r="AZ403" s="1183">
        <v>0</v>
      </c>
      <c r="BA403" s="1183">
        <v>0</v>
      </c>
      <c r="BB403" s="1540">
        <v>0</v>
      </c>
      <c r="BC403" s="1540">
        <v>12300</v>
      </c>
      <c r="BD403" s="1540">
        <v>0</v>
      </c>
      <c r="BF403" s="1539">
        <f t="shared" si="92"/>
        <v>0</v>
      </c>
      <c r="BG403" s="1539">
        <f t="shared" si="93"/>
        <v>0</v>
      </c>
      <c r="BH403" s="1539">
        <f t="shared" si="94"/>
        <v>12300</v>
      </c>
      <c r="BI403" s="1539">
        <f t="shared" si="95"/>
        <v>12300</v>
      </c>
      <c r="BJ403" s="1539">
        <f t="shared" si="96"/>
        <v>0</v>
      </c>
      <c r="BK403" s="1539">
        <f t="shared" si="97"/>
        <v>0</v>
      </c>
      <c r="BL403" s="1539">
        <f t="shared" si="98"/>
        <v>0</v>
      </c>
      <c r="BM403" s="1539">
        <f t="shared" si="99"/>
        <v>12300</v>
      </c>
      <c r="BO403" s="1183"/>
      <c r="BQ403" s="1182">
        <f t="shared" si="100"/>
        <v>0</v>
      </c>
      <c r="BR403" s="1182">
        <f t="shared" si="101"/>
        <v>0</v>
      </c>
    </row>
    <row r="404" spans="1:70" ht="13.5" customHeight="1">
      <c r="A404" s="1182" t="s">
        <v>1803</v>
      </c>
      <c r="B404" s="1182" t="s">
        <v>1804</v>
      </c>
      <c r="C404" s="1182" t="s">
        <v>1639</v>
      </c>
      <c r="D404" s="1182" t="s">
        <v>2590</v>
      </c>
      <c r="E404" s="1182" t="s">
        <v>2591</v>
      </c>
      <c r="F404" s="1182" t="s">
        <v>2315</v>
      </c>
      <c r="G404" s="1182" t="s">
        <v>2315</v>
      </c>
      <c r="H404" s="1182" t="s">
        <v>2945</v>
      </c>
      <c r="I404" s="1182" t="s">
        <v>1937</v>
      </c>
      <c r="J404" s="1182" t="s">
        <v>3023</v>
      </c>
      <c r="K404" s="1182" t="s">
        <v>1811</v>
      </c>
      <c r="L404" s="1182" t="s">
        <v>1812</v>
      </c>
      <c r="M404" s="1182" t="s">
        <v>1803</v>
      </c>
      <c r="N404" s="1182" t="s">
        <v>2922</v>
      </c>
      <c r="O404" s="1182" t="s">
        <v>1554</v>
      </c>
      <c r="P404" s="1182" t="s">
        <v>1563</v>
      </c>
      <c r="Q404" s="1182" t="s">
        <v>1562</v>
      </c>
      <c r="R404" s="1182" t="s">
        <v>1561</v>
      </c>
      <c r="S404" s="1182" t="s">
        <v>1639</v>
      </c>
      <c r="T404" s="1182" t="s">
        <v>1814</v>
      </c>
      <c r="U404" s="1182" t="s">
        <v>1815</v>
      </c>
      <c r="V404" s="1182">
        <v>0</v>
      </c>
      <c r="W404" s="1182">
        <v>0</v>
      </c>
      <c r="X404" s="1182">
        <v>0</v>
      </c>
      <c r="Y404" s="1183">
        <v>21200</v>
      </c>
      <c r="Z404" s="1182" t="s">
        <v>1940</v>
      </c>
      <c r="AA404" s="1182" t="s">
        <v>1941</v>
      </c>
      <c r="AB404" s="1182">
        <v>21200</v>
      </c>
      <c r="AC404" s="1182" t="s">
        <v>2925</v>
      </c>
      <c r="AD404" s="1182" t="s">
        <v>1561</v>
      </c>
      <c r="AE404" s="1182">
        <v>21200</v>
      </c>
      <c r="AF404" s="1182" t="s">
        <v>1943</v>
      </c>
      <c r="AG404" s="1182" t="s">
        <v>1944</v>
      </c>
      <c r="AH404" s="1182">
        <v>0</v>
      </c>
      <c r="AI404" s="1182">
        <v>21200</v>
      </c>
      <c r="AJ404" s="1182" t="s">
        <v>3006</v>
      </c>
      <c r="AL404" s="1186" t="s">
        <v>3024</v>
      </c>
      <c r="AM404" s="1182">
        <v>1</v>
      </c>
      <c r="AN404" s="1182">
        <v>0</v>
      </c>
      <c r="AO404" s="1182">
        <v>0</v>
      </c>
      <c r="AP404" s="1182" t="s">
        <v>2949</v>
      </c>
      <c r="AQ404" s="1182" t="s">
        <v>1639</v>
      </c>
      <c r="AS404" s="1186" t="s">
        <v>1943</v>
      </c>
      <c r="AT404" s="1186" t="s">
        <v>1944</v>
      </c>
      <c r="AV404" s="1183">
        <v>0</v>
      </c>
      <c r="AW404" s="1183">
        <v>0</v>
      </c>
      <c r="AX404" s="1183">
        <v>21200</v>
      </c>
      <c r="AY404" s="1538">
        <v>21200</v>
      </c>
      <c r="AZ404" s="1183">
        <v>0</v>
      </c>
      <c r="BA404" s="1183">
        <v>0</v>
      </c>
      <c r="BB404" s="1540">
        <v>0</v>
      </c>
      <c r="BC404" s="1540">
        <v>21200</v>
      </c>
      <c r="BD404" s="1540">
        <v>0</v>
      </c>
      <c r="BF404" s="1539">
        <f t="shared" si="92"/>
        <v>0</v>
      </c>
      <c r="BG404" s="1539">
        <f t="shared" si="93"/>
        <v>0</v>
      </c>
      <c r="BH404" s="1539">
        <f t="shared" si="94"/>
        <v>21200</v>
      </c>
      <c r="BI404" s="1539">
        <f t="shared" si="95"/>
        <v>21200</v>
      </c>
      <c r="BJ404" s="1539">
        <f t="shared" si="96"/>
        <v>0</v>
      </c>
      <c r="BK404" s="1539">
        <f t="shared" si="97"/>
        <v>0</v>
      </c>
      <c r="BL404" s="1539">
        <f t="shared" si="98"/>
        <v>0</v>
      </c>
      <c r="BM404" s="1539">
        <f t="shared" si="99"/>
        <v>21200</v>
      </c>
      <c r="BO404" s="1183"/>
      <c r="BQ404" s="1182">
        <f t="shared" si="100"/>
        <v>0</v>
      </c>
      <c r="BR404" s="1182">
        <f t="shared" si="101"/>
        <v>0</v>
      </c>
    </row>
    <row r="405" spans="1:70" ht="13.5" customHeight="1">
      <c r="A405" s="1182" t="s">
        <v>1803</v>
      </c>
      <c r="B405" s="1182" t="s">
        <v>1804</v>
      </c>
      <c r="C405" s="1182" t="s">
        <v>1639</v>
      </c>
      <c r="D405" s="1182" t="s">
        <v>2590</v>
      </c>
      <c r="E405" s="1182" t="s">
        <v>2591</v>
      </c>
      <c r="F405" s="1182" t="s">
        <v>2348</v>
      </c>
      <c r="G405" s="1182" t="s">
        <v>2348</v>
      </c>
      <c r="H405" s="1182" t="s">
        <v>2945</v>
      </c>
      <c r="I405" s="1182" t="s">
        <v>1937</v>
      </c>
      <c r="J405" s="1182" t="s">
        <v>3027</v>
      </c>
      <c r="K405" s="1182" t="s">
        <v>1811</v>
      </c>
      <c r="L405" s="1182" t="s">
        <v>1812</v>
      </c>
      <c r="M405" s="1182" t="s">
        <v>1803</v>
      </c>
      <c r="N405" s="1182" t="s">
        <v>2922</v>
      </c>
      <c r="O405" s="1182" t="s">
        <v>1554</v>
      </c>
      <c r="P405" s="1182" t="s">
        <v>1563</v>
      </c>
      <c r="Q405" s="1182" t="s">
        <v>1562</v>
      </c>
      <c r="R405" s="1182" t="s">
        <v>1561</v>
      </c>
      <c r="S405" s="1182" t="s">
        <v>1639</v>
      </c>
      <c r="T405" s="1182" t="s">
        <v>1814</v>
      </c>
      <c r="U405" s="1182" t="s">
        <v>1815</v>
      </c>
      <c r="V405" s="1182">
        <v>0</v>
      </c>
      <c r="W405" s="1182">
        <v>0</v>
      </c>
      <c r="X405" s="1182">
        <v>0</v>
      </c>
      <c r="Y405" s="1543">
        <v>25100</v>
      </c>
      <c r="Z405" s="1182" t="s">
        <v>1940</v>
      </c>
      <c r="AA405" s="1182" t="s">
        <v>1941</v>
      </c>
      <c r="AB405" s="1182">
        <v>25100</v>
      </c>
      <c r="AC405" s="1182" t="s">
        <v>2925</v>
      </c>
      <c r="AD405" s="1182" t="s">
        <v>1561</v>
      </c>
      <c r="AE405" s="1182">
        <v>25100</v>
      </c>
      <c r="AF405" s="1182" t="s">
        <v>1943</v>
      </c>
      <c r="AG405" s="1182" t="s">
        <v>1944</v>
      </c>
      <c r="AH405" s="1182">
        <v>0</v>
      </c>
      <c r="AI405" s="1182">
        <v>25100</v>
      </c>
      <c r="AJ405" s="1182" t="s">
        <v>3015</v>
      </c>
      <c r="AL405" s="1186" t="s">
        <v>3028</v>
      </c>
      <c r="AM405" s="1182">
        <v>1</v>
      </c>
      <c r="AN405" s="1182">
        <v>0</v>
      </c>
      <c r="AO405" s="1182">
        <v>0</v>
      </c>
      <c r="AP405" s="1182" t="s">
        <v>2949</v>
      </c>
      <c r="AQ405" s="1182" t="s">
        <v>1639</v>
      </c>
      <c r="AS405" s="1186" t="s">
        <v>1943</v>
      </c>
      <c r="AT405" s="1186" t="s">
        <v>1944</v>
      </c>
      <c r="AV405" s="1183">
        <v>0</v>
      </c>
      <c r="AW405" s="1183">
        <v>0</v>
      </c>
      <c r="AX405" s="1183">
        <v>25100</v>
      </c>
      <c r="AY405" s="1538">
        <v>25100</v>
      </c>
      <c r="AZ405" s="1183">
        <v>0</v>
      </c>
      <c r="BA405" s="1183">
        <v>0</v>
      </c>
      <c r="BB405" s="1540">
        <v>0</v>
      </c>
      <c r="BC405" s="1540">
        <v>25100</v>
      </c>
      <c r="BD405" s="1540">
        <v>0</v>
      </c>
      <c r="BF405" s="1539">
        <f t="shared" si="92"/>
        <v>0</v>
      </c>
      <c r="BG405" s="1539">
        <f t="shared" si="93"/>
        <v>0</v>
      </c>
      <c r="BH405" s="1539">
        <f t="shared" si="94"/>
        <v>25100</v>
      </c>
      <c r="BI405" s="1539">
        <f t="shared" si="95"/>
        <v>25100</v>
      </c>
      <c r="BJ405" s="1539">
        <f t="shared" si="96"/>
        <v>0</v>
      </c>
      <c r="BK405" s="1539">
        <f t="shared" si="97"/>
        <v>0</v>
      </c>
      <c r="BL405" s="1539">
        <f t="shared" si="98"/>
        <v>0</v>
      </c>
      <c r="BM405" s="1539">
        <f t="shared" si="99"/>
        <v>25100</v>
      </c>
      <c r="BO405" s="1183"/>
      <c r="BQ405" s="1182">
        <f t="shared" si="100"/>
        <v>0</v>
      </c>
      <c r="BR405" s="1182">
        <f t="shared" si="101"/>
        <v>0</v>
      </c>
    </row>
    <row r="406" spans="1:70" ht="13.5" customHeight="1">
      <c r="A406" s="1182" t="s">
        <v>1803</v>
      </c>
      <c r="B406" s="1182" t="s">
        <v>1804</v>
      </c>
      <c r="C406" s="1182" t="s">
        <v>1639</v>
      </c>
      <c r="D406" s="1182" t="s">
        <v>2590</v>
      </c>
      <c r="E406" s="1182" t="s">
        <v>2591</v>
      </c>
      <c r="F406" s="1182" t="s">
        <v>2047</v>
      </c>
      <c r="G406" s="1182" t="s">
        <v>2047</v>
      </c>
      <c r="H406" s="1182" t="s">
        <v>2945</v>
      </c>
      <c r="I406" s="1182" t="s">
        <v>1937</v>
      </c>
      <c r="J406" s="1182" t="s">
        <v>3011</v>
      </c>
      <c r="K406" s="1182" t="s">
        <v>1811</v>
      </c>
      <c r="L406" s="1182" t="s">
        <v>1812</v>
      </c>
      <c r="M406" s="1182" t="s">
        <v>1803</v>
      </c>
      <c r="N406" s="1182" t="s">
        <v>2922</v>
      </c>
      <c r="O406" s="1182" t="s">
        <v>1554</v>
      </c>
      <c r="P406" s="1182" t="s">
        <v>1563</v>
      </c>
      <c r="Q406" s="1182" t="s">
        <v>1562</v>
      </c>
      <c r="R406" s="1182" t="s">
        <v>1561</v>
      </c>
      <c r="S406" s="1182" t="s">
        <v>1639</v>
      </c>
      <c r="T406" s="1182" t="s">
        <v>1814</v>
      </c>
      <c r="U406" s="1182" t="s">
        <v>1815</v>
      </c>
      <c r="V406" s="1182">
        <v>0</v>
      </c>
      <c r="W406" s="1182">
        <v>0</v>
      </c>
      <c r="X406" s="1182">
        <v>0</v>
      </c>
      <c r="Y406" s="1183">
        <v>12200</v>
      </c>
      <c r="Z406" s="1182" t="s">
        <v>1940</v>
      </c>
      <c r="AA406" s="1182" t="s">
        <v>1941</v>
      </c>
      <c r="AB406" s="1182">
        <v>12200</v>
      </c>
      <c r="AC406" s="1182" t="s">
        <v>2925</v>
      </c>
      <c r="AD406" s="1182" t="s">
        <v>1561</v>
      </c>
      <c r="AE406" s="1182">
        <v>12200</v>
      </c>
      <c r="AF406" s="1182" t="s">
        <v>1943</v>
      </c>
      <c r="AG406" s="1182" t="s">
        <v>1944</v>
      </c>
      <c r="AH406" s="1182">
        <v>0</v>
      </c>
      <c r="AI406" s="1182">
        <v>12200</v>
      </c>
      <c r="AJ406" s="1182" t="s">
        <v>2969</v>
      </c>
      <c r="AL406" s="1186" t="s">
        <v>3012</v>
      </c>
      <c r="AM406" s="1182">
        <v>1</v>
      </c>
      <c r="AN406" s="1182">
        <v>0</v>
      </c>
      <c r="AO406" s="1182">
        <v>0</v>
      </c>
      <c r="AP406" s="1182" t="s">
        <v>2949</v>
      </c>
      <c r="AQ406" s="1182" t="s">
        <v>1639</v>
      </c>
      <c r="AS406" s="1186" t="s">
        <v>1943</v>
      </c>
      <c r="AT406" s="1186" t="s">
        <v>1944</v>
      </c>
      <c r="AV406" s="1183">
        <v>0</v>
      </c>
      <c r="AW406" s="1183">
        <v>0</v>
      </c>
      <c r="AX406" s="1183">
        <v>12200</v>
      </c>
      <c r="AY406" s="1538">
        <v>12200</v>
      </c>
      <c r="AZ406" s="1183">
        <v>0</v>
      </c>
      <c r="BA406" s="1183">
        <v>0</v>
      </c>
      <c r="BB406" s="1540">
        <v>0</v>
      </c>
      <c r="BC406" s="1540">
        <v>12200</v>
      </c>
      <c r="BD406" s="1540">
        <v>0</v>
      </c>
      <c r="BF406" s="1539">
        <f t="shared" si="92"/>
        <v>0</v>
      </c>
      <c r="BG406" s="1539">
        <f t="shared" si="93"/>
        <v>0</v>
      </c>
      <c r="BH406" s="1539">
        <f t="shared" si="94"/>
        <v>12200</v>
      </c>
      <c r="BI406" s="1539">
        <f t="shared" si="95"/>
        <v>12200</v>
      </c>
      <c r="BJ406" s="1539">
        <f t="shared" si="96"/>
        <v>0</v>
      </c>
      <c r="BK406" s="1539">
        <f t="shared" si="97"/>
        <v>0</v>
      </c>
      <c r="BL406" s="1539">
        <f t="shared" si="98"/>
        <v>0</v>
      </c>
      <c r="BM406" s="1539">
        <f t="shared" si="99"/>
        <v>12200</v>
      </c>
      <c r="BO406" s="1183"/>
      <c r="BQ406" s="1182">
        <f t="shared" si="100"/>
        <v>0</v>
      </c>
      <c r="BR406" s="1182">
        <f t="shared" si="101"/>
        <v>0</v>
      </c>
    </row>
    <row r="407" spans="1:70" ht="13.5" customHeight="1">
      <c r="A407" s="1182" t="s">
        <v>1803</v>
      </c>
      <c r="B407" s="1182" t="s">
        <v>1804</v>
      </c>
      <c r="C407" s="1182" t="s">
        <v>1639</v>
      </c>
      <c r="D407" s="1182" t="s">
        <v>2590</v>
      </c>
      <c r="E407" s="1182" t="s">
        <v>2591</v>
      </c>
      <c r="F407" s="1182" t="s">
        <v>3013</v>
      </c>
      <c r="G407" s="1182" t="s">
        <v>3013</v>
      </c>
      <c r="H407" s="1182" t="s">
        <v>2945</v>
      </c>
      <c r="I407" s="1182" t="s">
        <v>1937</v>
      </c>
      <c r="J407" s="1182" t="s">
        <v>3014</v>
      </c>
      <c r="K407" s="1182" t="s">
        <v>1811</v>
      </c>
      <c r="L407" s="1182" t="s">
        <v>1812</v>
      </c>
      <c r="M407" s="1182" t="s">
        <v>1803</v>
      </c>
      <c r="N407" s="1182" t="s">
        <v>2922</v>
      </c>
      <c r="O407" s="1182" t="s">
        <v>1554</v>
      </c>
      <c r="P407" s="1182" t="s">
        <v>1563</v>
      </c>
      <c r="Q407" s="1182" t="s">
        <v>1562</v>
      </c>
      <c r="R407" s="1182" t="s">
        <v>1561</v>
      </c>
      <c r="S407" s="1182" t="s">
        <v>1639</v>
      </c>
      <c r="T407" s="1182" t="s">
        <v>1814</v>
      </c>
      <c r="U407" s="1182" t="s">
        <v>1815</v>
      </c>
      <c r="V407" s="1182">
        <v>0</v>
      </c>
      <c r="W407" s="1182">
        <v>0</v>
      </c>
      <c r="X407" s="1182">
        <v>0</v>
      </c>
      <c r="Y407" s="1183">
        <v>24900</v>
      </c>
      <c r="Z407" s="1182" t="s">
        <v>1940</v>
      </c>
      <c r="AA407" s="1182" t="s">
        <v>1941</v>
      </c>
      <c r="AB407" s="1182">
        <v>24900</v>
      </c>
      <c r="AC407" s="1182" t="s">
        <v>2925</v>
      </c>
      <c r="AD407" s="1182" t="s">
        <v>1561</v>
      </c>
      <c r="AE407" s="1182">
        <v>24900</v>
      </c>
      <c r="AF407" s="1182" t="s">
        <v>1943</v>
      </c>
      <c r="AG407" s="1182" t="s">
        <v>1944</v>
      </c>
      <c r="AH407" s="1182">
        <v>0</v>
      </c>
      <c r="AI407" s="1182">
        <v>24900</v>
      </c>
      <c r="AJ407" s="1182" t="s">
        <v>3015</v>
      </c>
      <c r="AL407" s="1186" t="s">
        <v>3016</v>
      </c>
      <c r="AM407" s="1182">
        <v>1</v>
      </c>
      <c r="AN407" s="1182">
        <v>0</v>
      </c>
      <c r="AO407" s="1182">
        <v>0</v>
      </c>
      <c r="AP407" s="1182" t="s">
        <v>2949</v>
      </c>
      <c r="AQ407" s="1182" t="s">
        <v>1639</v>
      </c>
      <c r="AS407" s="1186" t="s">
        <v>1943</v>
      </c>
      <c r="AT407" s="1186" t="s">
        <v>1944</v>
      </c>
      <c r="AV407" s="1183">
        <v>0</v>
      </c>
      <c r="AW407" s="1183">
        <v>0</v>
      </c>
      <c r="AX407" s="1183">
        <v>24900</v>
      </c>
      <c r="AY407" s="1538">
        <v>24900</v>
      </c>
      <c r="AZ407" s="1183">
        <v>0</v>
      </c>
      <c r="BA407" s="1183">
        <v>0</v>
      </c>
      <c r="BB407" s="1540">
        <v>0</v>
      </c>
      <c r="BC407" s="1540">
        <v>24900</v>
      </c>
      <c r="BD407" s="1540">
        <v>0</v>
      </c>
      <c r="BF407" s="1539">
        <f t="shared" si="92"/>
        <v>0</v>
      </c>
      <c r="BG407" s="1539">
        <f t="shared" si="93"/>
        <v>0</v>
      </c>
      <c r="BH407" s="1539">
        <f t="shared" si="94"/>
        <v>24900</v>
      </c>
      <c r="BI407" s="1539">
        <f t="shared" si="95"/>
        <v>24900</v>
      </c>
      <c r="BJ407" s="1539">
        <f t="shared" si="96"/>
        <v>0</v>
      </c>
      <c r="BK407" s="1539">
        <f t="shared" si="97"/>
        <v>0</v>
      </c>
      <c r="BL407" s="1539">
        <f t="shared" si="98"/>
        <v>0</v>
      </c>
      <c r="BM407" s="1539">
        <f t="shared" si="99"/>
        <v>24900</v>
      </c>
      <c r="BO407" s="1183"/>
      <c r="BQ407" s="1182">
        <f t="shared" si="100"/>
        <v>0</v>
      </c>
      <c r="BR407" s="1182">
        <f t="shared" si="101"/>
        <v>0</v>
      </c>
    </row>
    <row r="408" spans="1:70" ht="13.5" customHeight="1">
      <c r="A408" s="1182" t="s">
        <v>1803</v>
      </c>
      <c r="B408" s="1182" t="s">
        <v>1804</v>
      </c>
      <c r="C408" s="1182" t="s">
        <v>1639</v>
      </c>
      <c r="D408" s="1182" t="s">
        <v>2590</v>
      </c>
      <c r="E408" s="1182" t="s">
        <v>2591</v>
      </c>
      <c r="F408" s="1182" t="s">
        <v>2088</v>
      </c>
      <c r="G408" s="1182" t="s">
        <v>2088</v>
      </c>
      <c r="H408" s="1182" t="s">
        <v>2945</v>
      </c>
      <c r="I408" s="1182" t="s">
        <v>1937</v>
      </c>
      <c r="J408" s="1182" t="s">
        <v>2971</v>
      </c>
      <c r="K408" s="1182" t="s">
        <v>1811</v>
      </c>
      <c r="L408" s="1182" t="s">
        <v>1812</v>
      </c>
      <c r="M408" s="1182" t="s">
        <v>1803</v>
      </c>
      <c r="N408" s="1182" t="s">
        <v>2922</v>
      </c>
      <c r="O408" s="1182" t="s">
        <v>1554</v>
      </c>
      <c r="P408" s="1182" t="s">
        <v>1563</v>
      </c>
      <c r="Q408" s="1182" t="s">
        <v>1562</v>
      </c>
      <c r="R408" s="1182" t="s">
        <v>1561</v>
      </c>
      <c r="S408" s="1182" t="s">
        <v>1639</v>
      </c>
      <c r="T408" s="1182" t="s">
        <v>1814</v>
      </c>
      <c r="U408" s="1182" t="s">
        <v>1815</v>
      </c>
      <c r="V408" s="1182">
        <v>0</v>
      </c>
      <c r="W408" s="1182">
        <v>0</v>
      </c>
      <c r="X408" s="1182">
        <v>0</v>
      </c>
      <c r="Y408" s="1183">
        <v>17800</v>
      </c>
      <c r="Z408" s="1182" t="s">
        <v>1940</v>
      </c>
      <c r="AA408" s="1182" t="s">
        <v>1941</v>
      </c>
      <c r="AB408" s="1182">
        <v>17800</v>
      </c>
      <c r="AC408" s="1182" t="s">
        <v>2925</v>
      </c>
      <c r="AD408" s="1182" t="s">
        <v>1561</v>
      </c>
      <c r="AE408" s="1182">
        <v>17800</v>
      </c>
      <c r="AF408" s="1182" t="s">
        <v>1943</v>
      </c>
      <c r="AG408" s="1182" t="s">
        <v>1944</v>
      </c>
      <c r="AH408" s="1182">
        <v>0</v>
      </c>
      <c r="AI408" s="1182">
        <v>17800</v>
      </c>
      <c r="AJ408" s="1182" t="s">
        <v>2972</v>
      </c>
      <c r="AL408" s="1186" t="s">
        <v>2973</v>
      </c>
      <c r="AM408" s="1182">
        <v>1</v>
      </c>
      <c r="AN408" s="1182">
        <v>0</v>
      </c>
      <c r="AO408" s="1182">
        <v>0</v>
      </c>
      <c r="AP408" s="1182" t="s">
        <v>2949</v>
      </c>
      <c r="AQ408" s="1182" t="s">
        <v>1639</v>
      </c>
      <c r="AS408" s="1186" t="s">
        <v>1943</v>
      </c>
      <c r="AT408" s="1186" t="s">
        <v>1944</v>
      </c>
      <c r="AV408" s="1183">
        <v>0</v>
      </c>
      <c r="AW408" s="1183">
        <v>0</v>
      </c>
      <c r="AX408" s="1183">
        <v>17800</v>
      </c>
      <c r="AY408" s="1538">
        <v>17800</v>
      </c>
      <c r="AZ408" s="1183">
        <v>0</v>
      </c>
      <c r="BA408" s="1183">
        <v>0</v>
      </c>
      <c r="BB408" s="1540">
        <v>0</v>
      </c>
      <c r="BC408" s="1540">
        <v>17800</v>
      </c>
      <c r="BD408" s="1540">
        <v>0</v>
      </c>
      <c r="BF408" s="1539">
        <f t="shared" si="92"/>
        <v>0</v>
      </c>
      <c r="BG408" s="1539">
        <f t="shared" si="93"/>
        <v>0</v>
      </c>
      <c r="BH408" s="1539">
        <f t="shared" si="94"/>
        <v>17800</v>
      </c>
      <c r="BI408" s="1539">
        <f t="shared" si="95"/>
        <v>17800</v>
      </c>
      <c r="BJ408" s="1539">
        <f t="shared" si="96"/>
        <v>0</v>
      </c>
      <c r="BK408" s="1539">
        <f t="shared" si="97"/>
        <v>0</v>
      </c>
      <c r="BL408" s="1539">
        <f t="shared" si="98"/>
        <v>0</v>
      </c>
      <c r="BM408" s="1539">
        <f t="shared" si="99"/>
        <v>17800</v>
      </c>
      <c r="BO408" s="1183"/>
      <c r="BQ408" s="1182">
        <f t="shared" si="100"/>
        <v>0</v>
      </c>
      <c r="BR408" s="1182">
        <f t="shared" si="101"/>
        <v>0</v>
      </c>
    </row>
    <row r="409" spans="1:70" ht="13.5" customHeight="1">
      <c r="A409" s="1182" t="s">
        <v>1803</v>
      </c>
      <c r="B409" s="1182" t="s">
        <v>1804</v>
      </c>
      <c r="C409" s="1182" t="s">
        <v>1639</v>
      </c>
      <c r="D409" s="1182" t="s">
        <v>2590</v>
      </c>
      <c r="E409" s="1182" t="s">
        <v>2591</v>
      </c>
      <c r="F409" s="1182" t="s">
        <v>2868</v>
      </c>
      <c r="G409" s="1182" t="s">
        <v>2868</v>
      </c>
      <c r="H409" s="1182" t="s">
        <v>2945</v>
      </c>
      <c r="I409" s="1182" t="s">
        <v>1937</v>
      </c>
      <c r="J409" s="1182" t="s">
        <v>3017</v>
      </c>
      <c r="K409" s="1182" t="s">
        <v>1811</v>
      </c>
      <c r="L409" s="1182" t="s">
        <v>1812</v>
      </c>
      <c r="M409" s="1182" t="s">
        <v>1803</v>
      </c>
      <c r="N409" s="1182" t="s">
        <v>2922</v>
      </c>
      <c r="O409" s="1182" t="s">
        <v>1554</v>
      </c>
      <c r="P409" s="1182" t="s">
        <v>1563</v>
      </c>
      <c r="Q409" s="1182" t="s">
        <v>1562</v>
      </c>
      <c r="R409" s="1182" t="s">
        <v>1561</v>
      </c>
      <c r="S409" s="1182" t="s">
        <v>1639</v>
      </c>
      <c r="T409" s="1182" t="s">
        <v>1814</v>
      </c>
      <c r="U409" s="1182" t="s">
        <v>1815</v>
      </c>
      <c r="V409" s="1182">
        <v>0</v>
      </c>
      <c r="W409" s="1182">
        <v>0</v>
      </c>
      <c r="X409" s="1182">
        <v>0</v>
      </c>
      <c r="Y409" s="1183">
        <v>24900</v>
      </c>
      <c r="Z409" s="1182" t="s">
        <v>1940</v>
      </c>
      <c r="AA409" s="1182" t="s">
        <v>1941</v>
      </c>
      <c r="AB409" s="1182">
        <v>24900</v>
      </c>
      <c r="AC409" s="1182" t="s">
        <v>2925</v>
      </c>
      <c r="AD409" s="1182" t="s">
        <v>1561</v>
      </c>
      <c r="AE409" s="1182">
        <v>24900</v>
      </c>
      <c r="AF409" s="1182" t="s">
        <v>1943</v>
      </c>
      <c r="AG409" s="1182" t="s">
        <v>1944</v>
      </c>
      <c r="AH409" s="1182">
        <v>0</v>
      </c>
      <c r="AI409" s="1182">
        <v>24900</v>
      </c>
      <c r="AJ409" s="1182" t="s">
        <v>3015</v>
      </c>
      <c r="AL409" s="1186" t="s">
        <v>3018</v>
      </c>
      <c r="AM409" s="1182">
        <v>1</v>
      </c>
      <c r="AN409" s="1182">
        <v>0</v>
      </c>
      <c r="AO409" s="1182">
        <v>0</v>
      </c>
      <c r="AP409" s="1182" t="s">
        <v>2949</v>
      </c>
      <c r="AQ409" s="1182" t="s">
        <v>1639</v>
      </c>
      <c r="AS409" s="1186" t="s">
        <v>1943</v>
      </c>
      <c r="AT409" s="1186" t="s">
        <v>1944</v>
      </c>
      <c r="AV409" s="1183">
        <v>0</v>
      </c>
      <c r="AW409" s="1183">
        <v>0</v>
      </c>
      <c r="AX409" s="1183">
        <v>24900</v>
      </c>
      <c r="AY409" s="1538">
        <v>24900</v>
      </c>
      <c r="AZ409" s="1183">
        <v>0</v>
      </c>
      <c r="BA409" s="1183">
        <v>0</v>
      </c>
      <c r="BB409" s="1540">
        <v>0</v>
      </c>
      <c r="BC409" s="1540">
        <v>24900</v>
      </c>
      <c r="BD409" s="1540">
        <v>0</v>
      </c>
      <c r="BF409" s="1539">
        <f t="shared" si="92"/>
        <v>0</v>
      </c>
      <c r="BG409" s="1539">
        <f t="shared" si="93"/>
        <v>0</v>
      </c>
      <c r="BH409" s="1539">
        <f t="shared" si="94"/>
        <v>24900</v>
      </c>
      <c r="BI409" s="1539">
        <f t="shared" si="95"/>
        <v>24900</v>
      </c>
      <c r="BJ409" s="1539">
        <f t="shared" si="96"/>
        <v>0</v>
      </c>
      <c r="BK409" s="1539">
        <f t="shared" si="97"/>
        <v>0</v>
      </c>
      <c r="BL409" s="1539">
        <f t="shared" si="98"/>
        <v>0</v>
      </c>
      <c r="BM409" s="1539">
        <f t="shared" si="99"/>
        <v>24900</v>
      </c>
      <c r="BO409" s="1183"/>
      <c r="BQ409" s="1182">
        <f t="shared" si="100"/>
        <v>0</v>
      </c>
      <c r="BR409" s="1182">
        <f t="shared" si="101"/>
        <v>0</v>
      </c>
    </row>
    <row r="410" spans="1:70" ht="13.5" customHeight="1">
      <c r="A410" s="1182" t="s">
        <v>1803</v>
      </c>
      <c r="B410" s="1182" t="s">
        <v>1804</v>
      </c>
      <c r="C410" s="1182" t="s">
        <v>1639</v>
      </c>
      <c r="D410" s="1182" t="s">
        <v>2590</v>
      </c>
      <c r="E410" s="1182" t="s">
        <v>2591</v>
      </c>
      <c r="F410" s="1182" t="s">
        <v>2241</v>
      </c>
      <c r="G410" s="1182" t="s">
        <v>2241</v>
      </c>
      <c r="H410" s="1182" t="s">
        <v>2945</v>
      </c>
      <c r="I410" s="1182" t="s">
        <v>1937</v>
      </c>
      <c r="J410" s="1182" t="s">
        <v>2974</v>
      </c>
      <c r="K410" s="1182" t="s">
        <v>1811</v>
      </c>
      <c r="L410" s="1182" t="s">
        <v>1812</v>
      </c>
      <c r="M410" s="1182" t="s">
        <v>1803</v>
      </c>
      <c r="N410" s="1182" t="s">
        <v>2922</v>
      </c>
      <c r="O410" s="1182" t="s">
        <v>1554</v>
      </c>
      <c r="P410" s="1182" t="s">
        <v>1563</v>
      </c>
      <c r="Q410" s="1182" t="s">
        <v>1562</v>
      </c>
      <c r="R410" s="1182" t="s">
        <v>1561</v>
      </c>
      <c r="S410" s="1182" t="s">
        <v>1639</v>
      </c>
      <c r="T410" s="1182" t="s">
        <v>1814</v>
      </c>
      <c r="U410" s="1182" t="s">
        <v>1815</v>
      </c>
      <c r="V410" s="1182">
        <v>0</v>
      </c>
      <c r="W410" s="1182">
        <v>0</v>
      </c>
      <c r="X410" s="1182">
        <v>0</v>
      </c>
      <c r="Y410" s="1183">
        <v>17300</v>
      </c>
      <c r="Z410" s="1182" t="s">
        <v>1940</v>
      </c>
      <c r="AA410" s="1182" t="s">
        <v>1941</v>
      </c>
      <c r="AB410" s="1182">
        <v>17300</v>
      </c>
      <c r="AC410" s="1182" t="s">
        <v>2925</v>
      </c>
      <c r="AD410" s="1182" t="s">
        <v>1561</v>
      </c>
      <c r="AE410" s="1182">
        <v>17300</v>
      </c>
      <c r="AF410" s="1182" t="s">
        <v>1943</v>
      </c>
      <c r="AG410" s="1182" t="s">
        <v>1944</v>
      </c>
      <c r="AH410" s="1182">
        <v>0</v>
      </c>
      <c r="AI410" s="1182">
        <v>17300</v>
      </c>
      <c r="AJ410" s="1182" t="s">
        <v>2975</v>
      </c>
      <c r="AL410" s="1186" t="s">
        <v>2976</v>
      </c>
      <c r="AM410" s="1182">
        <v>1</v>
      </c>
      <c r="AN410" s="1182">
        <v>0</v>
      </c>
      <c r="AO410" s="1182">
        <v>0</v>
      </c>
      <c r="AP410" s="1182" t="s">
        <v>2949</v>
      </c>
      <c r="AQ410" s="1182" t="s">
        <v>1639</v>
      </c>
      <c r="AS410" s="1186" t="s">
        <v>1943</v>
      </c>
      <c r="AT410" s="1186" t="s">
        <v>1944</v>
      </c>
      <c r="AV410" s="1183">
        <v>0</v>
      </c>
      <c r="AW410" s="1183">
        <v>0</v>
      </c>
      <c r="AX410" s="1183">
        <v>17300</v>
      </c>
      <c r="AY410" s="1538">
        <v>17300</v>
      </c>
      <c r="AZ410" s="1183">
        <v>0</v>
      </c>
      <c r="BA410" s="1183">
        <v>0</v>
      </c>
      <c r="BB410" s="1540">
        <v>0</v>
      </c>
      <c r="BC410" s="1540">
        <v>17300</v>
      </c>
      <c r="BD410" s="1540">
        <v>0</v>
      </c>
      <c r="BF410" s="1539">
        <f t="shared" si="92"/>
        <v>0</v>
      </c>
      <c r="BG410" s="1539">
        <f t="shared" si="93"/>
        <v>0</v>
      </c>
      <c r="BH410" s="1539">
        <f t="shared" si="94"/>
        <v>17300</v>
      </c>
      <c r="BI410" s="1539">
        <f t="shared" si="95"/>
        <v>17300</v>
      </c>
      <c r="BJ410" s="1539">
        <f t="shared" si="96"/>
        <v>0</v>
      </c>
      <c r="BK410" s="1539">
        <f t="shared" si="97"/>
        <v>0</v>
      </c>
      <c r="BL410" s="1539">
        <f t="shared" si="98"/>
        <v>0</v>
      </c>
      <c r="BM410" s="1539">
        <f t="shared" si="99"/>
        <v>17300</v>
      </c>
      <c r="BO410" s="1183"/>
      <c r="BQ410" s="1182">
        <f t="shared" si="100"/>
        <v>0</v>
      </c>
      <c r="BR410" s="1182">
        <f t="shared" si="101"/>
        <v>0</v>
      </c>
    </row>
    <row r="411" spans="1:70" ht="13.5" customHeight="1">
      <c r="A411" s="1182" t="s">
        <v>1803</v>
      </c>
      <c r="B411" s="1182" t="s">
        <v>1804</v>
      </c>
      <c r="C411" s="1182" t="s">
        <v>1639</v>
      </c>
      <c r="D411" s="1182" t="s">
        <v>2590</v>
      </c>
      <c r="E411" s="1182" t="s">
        <v>2591</v>
      </c>
      <c r="F411" s="1182" t="s">
        <v>2977</v>
      </c>
      <c r="G411" s="1182" t="s">
        <v>2977</v>
      </c>
      <c r="H411" s="1182" t="s">
        <v>2945</v>
      </c>
      <c r="I411" s="1182" t="s">
        <v>1937</v>
      </c>
      <c r="J411" s="1182" t="s">
        <v>2978</v>
      </c>
      <c r="K411" s="1182" t="s">
        <v>1811</v>
      </c>
      <c r="L411" s="1182" t="s">
        <v>1812</v>
      </c>
      <c r="M411" s="1182" t="s">
        <v>1803</v>
      </c>
      <c r="N411" s="1182" t="s">
        <v>2922</v>
      </c>
      <c r="O411" s="1182" t="s">
        <v>1554</v>
      </c>
      <c r="P411" s="1182" t="s">
        <v>1563</v>
      </c>
      <c r="Q411" s="1182" t="s">
        <v>1562</v>
      </c>
      <c r="R411" s="1182" t="s">
        <v>1561</v>
      </c>
      <c r="S411" s="1182" t="s">
        <v>1639</v>
      </c>
      <c r="T411" s="1182" t="s">
        <v>1814</v>
      </c>
      <c r="U411" s="1182" t="s">
        <v>1815</v>
      </c>
      <c r="V411" s="1182">
        <v>0</v>
      </c>
      <c r="W411" s="1182">
        <v>0</v>
      </c>
      <c r="X411" s="1182">
        <v>0</v>
      </c>
      <c r="Y411" s="1183">
        <v>25500</v>
      </c>
      <c r="Z411" s="1182" t="s">
        <v>1940</v>
      </c>
      <c r="AA411" s="1182" t="s">
        <v>1941</v>
      </c>
      <c r="AB411" s="1182">
        <v>25500</v>
      </c>
      <c r="AC411" s="1182" t="s">
        <v>2925</v>
      </c>
      <c r="AD411" s="1182" t="s">
        <v>1561</v>
      </c>
      <c r="AE411" s="1182">
        <v>25500</v>
      </c>
      <c r="AF411" s="1182" t="s">
        <v>1943</v>
      </c>
      <c r="AG411" s="1182" t="s">
        <v>1944</v>
      </c>
      <c r="AH411" s="1182">
        <v>0</v>
      </c>
      <c r="AI411" s="1182">
        <v>25500</v>
      </c>
      <c r="AJ411" s="1182" t="s">
        <v>2959</v>
      </c>
      <c r="AL411" s="1186" t="s">
        <v>2979</v>
      </c>
      <c r="AM411" s="1182">
        <v>1</v>
      </c>
      <c r="AN411" s="1182">
        <v>0</v>
      </c>
      <c r="AO411" s="1182">
        <v>0</v>
      </c>
      <c r="AP411" s="1182" t="s">
        <v>2949</v>
      </c>
      <c r="AQ411" s="1182" t="s">
        <v>1639</v>
      </c>
      <c r="AS411" s="1186" t="s">
        <v>1943</v>
      </c>
      <c r="AT411" s="1186" t="s">
        <v>1944</v>
      </c>
      <c r="AV411" s="1183">
        <v>0</v>
      </c>
      <c r="AW411" s="1183">
        <v>0</v>
      </c>
      <c r="AX411" s="1183">
        <v>25500</v>
      </c>
      <c r="AY411" s="1538">
        <v>25500</v>
      </c>
      <c r="AZ411" s="1183">
        <v>0</v>
      </c>
      <c r="BA411" s="1183">
        <v>0</v>
      </c>
      <c r="BB411" s="1540">
        <v>0</v>
      </c>
      <c r="BC411" s="1540">
        <v>25500</v>
      </c>
      <c r="BD411" s="1540">
        <v>0</v>
      </c>
      <c r="BF411" s="1539">
        <f t="shared" si="92"/>
        <v>0</v>
      </c>
      <c r="BG411" s="1539">
        <f t="shared" si="93"/>
        <v>0</v>
      </c>
      <c r="BH411" s="1539">
        <f t="shared" si="94"/>
        <v>25500</v>
      </c>
      <c r="BI411" s="1539">
        <f t="shared" si="95"/>
        <v>25500</v>
      </c>
      <c r="BJ411" s="1539">
        <f t="shared" si="96"/>
        <v>0</v>
      </c>
      <c r="BK411" s="1539">
        <f t="shared" si="97"/>
        <v>0</v>
      </c>
      <c r="BL411" s="1539">
        <f t="shared" si="98"/>
        <v>0</v>
      </c>
      <c r="BM411" s="1539">
        <f t="shared" si="99"/>
        <v>25500</v>
      </c>
      <c r="BO411" s="1183"/>
      <c r="BQ411" s="1182">
        <f t="shared" si="100"/>
        <v>0</v>
      </c>
      <c r="BR411" s="1182">
        <f t="shared" si="101"/>
        <v>0</v>
      </c>
    </row>
    <row r="412" spans="1:70" ht="13.5" customHeight="1">
      <c r="A412" s="1182" t="s">
        <v>3049</v>
      </c>
      <c r="B412" s="1182" t="s">
        <v>1804</v>
      </c>
      <c r="C412" s="1182" t="s">
        <v>1639</v>
      </c>
      <c r="D412" s="1182" t="s">
        <v>2590</v>
      </c>
      <c r="E412" s="1182" t="s">
        <v>2591</v>
      </c>
      <c r="F412" s="1182" t="s">
        <v>2876</v>
      </c>
      <c r="G412" s="1182" t="s">
        <v>2876</v>
      </c>
      <c r="H412" s="1182" t="s">
        <v>2945</v>
      </c>
      <c r="I412" s="1182" t="s">
        <v>1937</v>
      </c>
      <c r="J412" s="1182" t="s">
        <v>3050</v>
      </c>
      <c r="K412" s="1182" t="s">
        <v>1811</v>
      </c>
      <c r="L412" s="1182" t="s">
        <v>1812</v>
      </c>
      <c r="M412" s="1182" t="s">
        <v>1803</v>
      </c>
      <c r="N412" s="1182" t="s">
        <v>2922</v>
      </c>
      <c r="O412" s="1182" t="s">
        <v>1554</v>
      </c>
      <c r="P412" s="1182" t="s">
        <v>1563</v>
      </c>
      <c r="Q412" s="1182" t="s">
        <v>1562</v>
      </c>
      <c r="R412" s="1182" t="s">
        <v>1561</v>
      </c>
      <c r="S412" s="1182" t="s">
        <v>1639</v>
      </c>
      <c r="T412" s="1182" t="s">
        <v>1814</v>
      </c>
      <c r="U412" s="1182" t="s">
        <v>1815</v>
      </c>
      <c r="V412" s="1182">
        <v>0</v>
      </c>
      <c r="W412" s="1182">
        <v>0</v>
      </c>
      <c r="X412" s="1182">
        <v>0</v>
      </c>
      <c r="Y412" s="1183">
        <v>24400</v>
      </c>
      <c r="Z412" s="1182" t="s">
        <v>1940</v>
      </c>
      <c r="AA412" s="1182" t="s">
        <v>1941</v>
      </c>
      <c r="AB412" s="1182">
        <v>24400</v>
      </c>
      <c r="AC412" s="1182" t="s">
        <v>2925</v>
      </c>
      <c r="AD412" s="1182" t="s">
        <v>1561</v>
      </c>
      <c r="AE412" s="1182">
        <v>24400</v>
      </c>
      <c r="AF412" s="1182" t="s">
        <v>1943</v>
      </c>
      <c r="AG412" s="1182" t="s">
        <v>1944</v>
      </c>
      <c r="AH412" s="1182">
        <v>0</v>
      </c>
      <c r="AI412" s="1182">
        <v>24400</v>
      </c>
      <c r="AJ412" s="1182" t="s">
        <v>3051</v>
      </c>
      <c r="AL412" s="1186" t="s">
        <v>3052</v>
      </c>
      <c r="AM412" s="1182">
        <v>1</v>
      </c>
      <c r="AN412" s="1182">
        <v>0</v>
      </c>
      <c r="AO412" s="1182">
        <v>0</v>
      </c>
      <c r="AP412" s="1182" t="s">
        <v>2949</v>
      </c>
      <c r="AQ412" s="1182" t="s">
        <v>1639</v>
      </c>
      <c r="AS412" s="1186" t="s">
        <v>1943</v>
      </c>
      <c r="AT412" s="1186" t="s">
        <v>1944</v>
      </c>
      <c r="AV412" s="1183">
        <v>0</v>
      </c>
      <c r="AW412" s="1183">
        <v>0</v>
      </c>
      <c r="AX412" s="1183">
        <v>24400</v>
      </c>
      <c r="AY412" s="1538">
        <v>24400</v>
      </c>
      <c r="AZ412" s="1183">
        <v>0</v>
      </c>
      <c r="BA412" s="1183">
        <v>0</v>
      </c>
      <c r="BB412" s="1540">
        <v>0</v>
      </c>
      <c r="BC412" s="1540">
        <v>24400</v>
      </c>
      <c r="BD412" s="1540">
        <v>0</v>
      </c>
      <c r="BF412" s="1539">
        <f t="shared" si="92"/>
        <v>0</v>
      </c>
      <c r="BG412" s="1539">
        <f t="shared" si="93"/>
        <v>0</v>
      </c>
      <c r="BH412" s="1539">
        <f t="shared" si="94"/>
        <v>24400</v>
      </c>
      <c r="BI412" s="1539">
        <f t="shared" si="95"/>
        <v>24400</v>
      </c>
      <c r="BJ412" s="1539">
        <f t="shared" si="96"/>
        <v>0</v>
      </c>
      <c r="BK412" s="1539">
        <f t="shared" si="97"/>
        <v>0</v>
      </c>
      <c r="BL412" s="1539">
        <f t="shared" si="98"/>
        <v>0</v>
      </c>
      <c r="BM412" s="1539">
        <f t="shared" si="99"/>
        <v>24400</v>
      </c>
      <c r="BO412" s="1183"/>
      <c r="BQ412" s="1182">
        <f t="shared" si="100"/>
        <v>0</v>
      </c>
      <c r="BR412" s="1182">
        <f t="shared" si="101"/>
        <v>0</v>
      </c>
    </row>
    <row r="413" spans="1:70" ht="13.5" customHeight="1">
      <c r="A413" s="1182" t="s">
        <v>3049</v>
      </c>
      <c r="B413" s="1182" t="s">
        <v>1804</v>
      </c>
      <c r="C413" s="1182" t="s">
        <v>1639</v>
      </c>
      <c r="D413" s="1182" t="s">
        <v>2590</v>
      </c>
      <c r="E413" s="1182" t="s">
        <v>2591</v>
      </c>
      <c r="F413" s="1182" t="s">
        <v>2876</v>
      </c>
      <c r="G413" s="1182" t="s">
        <v>2876</v>
      </c>
      <c r="H413" s="1182" t="s">
        <v>2945</v>
      </c>
      <c r="I413" s="1182" t="s">
        <v>1937</v>
      </c>
      <c r="J413" s="1182" t="s">
        <v>3053</v>
      </c>
      <c r="K413" s="1182" t="s">
        <v>1811</v>
      </c>
      <c r="L413" s="1182" t="s">
        <v>1812</v>
      </c>
      <c r="M413" s="1182" t="s">
        <v>1803</v>
      </c>
      <c r="N413" s="1182" t="s">
        <v>2922</v>
      </c>
      <c r="O413" s="1182" t="s">
        <v>1554</v>
      </c>
      <c r="P413" s="1182" t="s">
        <v>1563</v>
      </c>
      <c r="Q413" s="1182" t="s">
        <v>1562</v>
      </c>
      <c r="R413" s="1182" t="s">
        <v>1561</v>
      </c>
      <c r="S413" s="1182" t="s">
        <v>1639</v>
      </c>
      <c r="T413" s="1182" t="s">
        <v>1814</v>
      </c>
      <c r="U413" s="1182" t="s">
        <v>1815</v>
      </c>
      <c r="V413" s="1182">
        <v>0</v>
      </c>
      <c r="W413" s="1182">
        <v>0</v>
      </c>
      <c r="X413" s="1182">
        <v>0</v>
      </c>
      <c r="Y413" s="1183">
        <v>5200</v>
      </c>
      <c r="Z413" s="1182" t="s">
        <v>1940</v>
      </c>
      <c r="AA413" s="1182" t="s">
        <v>1941</v>
      </c>
      <c r="AB413" s="1182">
        <v>5200</v>
      </c>
      <c r="AC413" s="1182" t="s">
        <v>2925</v>
      </c>
      <c r="AD413" s="1182" t="s">
        <v>1561</v>
      </c>
      <c r="AE413" s="1182">
        <v>5200</v>
      </c>
      <c r="AF413" s="1182" t="s">
        <v>1943</v>
      </c>
      <c r="AG413" s="1182" t="s">
        <v>1944</v>
      </c>
      <c r="AH413" s="1182">
        <v>0</v>
      </c>
      <c r="AI413" s="1182">
        <v>5200</v>
      </c>
      <c r="AJ413" s="1182" t="s">
        <v>3054</v>
      </c>
      <c r="AL413" s="1186" t="s">
        <v>3055</v>
      </c>
      <c r="AM413" s="1182">
        <v>1</v>
      </c>
      <c r="AN413" s="1182">
        <v>0</v>
      </c>
      <c r="AO413" s="1182">
        <v>0</v>
      </c>
      <c r="AP413" s="1182" t="s">
        <v>2949</v>
      </c>
      <c r="AQ413" s="1182" t="s">
        <v>1639</v>
      </c>
      <c r="AS413" s="1186" t="s">
        <v>1943</v>
      </c>
      <c r="AT413" s="1186" t="s">
        <v>1944</v>
      </c>
      <c r="AV413" s="1183">
        <v>0</v>
      </c>
      <c r="AW413" s="1183">
        <v>0</v>
      </c>
      <c r="AX413" s="1183">
        <v>5200</v>
      </c>
      <c r="AY413" s="1538">
        <v>5200</v>
      </c>
      <c r="AZ413" s="1183">
        <v>0</v>
      </c>
      <c r="BA413" s="1183">
        <v>0</v>
      </c>
      <c r="BB413" s="1540">
        <v>0</v>
      </c>
      <c r="BC413" s="1540">
        <v>5200</v>
      </c>
      <c r="BD413" s="1540">
        <v>0</v>
      </c>
      <c r="BF413" s="1539">
        <f t="shared" si="92"/>
        <v>0</v>
      </c>
      <c r="BG413" s="1539">
        <f t="shared" si="93"/>
        <v>0</v>
      </c>
      <c r="BH413" s="1539">
        <f t="shared" si="94"/>
        <v>5200</v>
      </c>
      <c r="BI413" s="1539">
        <f t="shared" si="95"/>
        <v>5200</v>
      </c>
      <c r="BJ413" s="1539">
        <f t="shared" si="96"/>
        <v>0</v>
      </c>
      <c r="BK413" s="1539">
        <f t="shared" si="97"/>
        <v>0</v>
      </c>
      <c r="BL413" s="1539">
        <f t="shared" si="98"/>
        <v>0</v>
      </c>
      <c r="BM413" s="1539">
        <f t="shared" si="99"/>
        <v>5200</v>
      </c>
      <c r="BO413" s="1183"/>
      <c r="BQ413" s="1182">
        <f t="shared" si="100"/>
        <v>0</v>
      </c>
      <c r="BR413" s="1182">
        <f t="shared" si="101"/>
        <v>0</v>
      </c>
    </row>
    <row r="414" spans="1:70" ht="13.5" customHeight="1">
      <c r="A414" s="1182" t="s">
        <v>1803</v>
      </c>
      <c r="B414" s="1182" t="s">
        <v>1804</v>
      </c>
      <c r="C414" s="1182" t="s">
        <v>1639</v>
      </c>
      <c r="D414" s="1182" t="s">
        <v>3056</v>
      </c>
      <c r="E414" s="1182" t="s">
        <v>3057</v>
      </c>
      <c r="F414" s="1182" t="s">
        <v>3058</v>
      </c>
      <c r="G414" s="1182" t="s">
        <v>3058</v>
      </c>
      <c r="H414" s="1182" t="s">
        <v>3059</v>
      </c>
      <c r="I414" s="1182" t="s">
        <v>1809</v>
      </c>
      <c r="J414" s="1182" t="s">
        <v>3060</v>
      </c>
      <c r="K414" s="1182" t="s">
        <v>1811</v>
      </c>
      <c r="L414" s="1182" t="s">
        <v>1812</v>
      </c>
      <c r="M414" s="1182" t="s">
        <v>1803</v>
      </c>
      <c r="N414" s="1182" t="s">
        <v>2922</v>
      </c>
      <c r="O414" s="1182" t="s">
        <v>1554</v>
      </c>
      <c r="P414" s="1182" t="s">
        <v>1563</v>
      </c>
      <c r="Q414" s="1182" t="s">
        <v>1562</v>
      </c>
      <c r="R414" s="1182" t="s">
        <v>1561</v>
      </c>
      <c r="S414" s="1182" t="s">
        <v>1639</v>
      </c>
      <c r="T414" s="1182" t="s">
        <v>1814</v>
      </c>
      <c r="U414" s="1182" t="s">
        <v>1815</v>
      </c>
      <c r="V414" s="1182">
        <v>0</v>
      </c>
      <c r="W414" s="1182">
        <v>0</v>
      </c>
      <c r="X414" s="1182">
        <v>0</v>
      </c>
      <c r="Y414" s="1183">
        <v>5811</v>
      </c>
      <c r="Z414" s="1182" t="s">
        <v>2923</v>
      </c>
      <c r="AA414" s="1182" t="s">
        <v>2924</v>
      </c>
      <c r="AB414" s="1182">
        <v>5811</v>
      </c>
      <c r="AC414" s="1182" t="s">
        <v>2925</v>
      </c>
      <c r="AD414" s="1182" t="s">
        <v>1561</v>
      </c>
      <c r="AE414" s="1182">
        <v>5811</v>
      </c>
      <c r="AF414" s="1182" t="s">
        <v>1819</v>
      </c>
      <c r="AG414" s="1182" t="s">
        <v>1820</v>
      </c>
      <c r="AH414" s="1182">
        <v>528</v>
      </c>
      <c r="AI414" s="1182">
        <v>5283</v>
      </c>
      <c r="AJ414" s="1182" t="s">
        <v>3061</v>
      </c>
      <c r="AL414" s="1186" t="s">
        <v>3062</v>
      </c>
      <c r="AM414" s="1182">
        <v>1</v>
      </c>
      <c r="AN414" s="1182">
        <v>0</v>
      </c>
      <c r="AO414" s="1182">
        <v>0</v>
      </c>
      <c r="AP414" s="1182">
        <v>0</v>
      </c>
      <c r="AQ414" s="1182" t="s">
        <v>1639</v>
      </c>
      <c r="AS414" s="1186" t="s">
        <v>1819</v>
      </c>
      <c r="AT414" s="1186" t="s">
        <v>1820</v>
      </c>
      <c r="AV414" s="1183">
        <v>1046</v>
      </c>
      <c r="AW414" s="1183">
        <v>0</v>
      </c>
      <c r="AX414" s="1183">
        <v>0</v>
      </c>
      <c r="AY414" s="1538">
        <v>1046</v>
      </c>
      <c r="AZ414" s="1183">
        <v>0</v>
      </c>
      <c r="BA414" s="1183">
        <v>4765</v>
      </c>
      <c r="BB414" s="1540">
        <v>4765</v>
      </c>
      <c r="BC414" s="1540">
        <v>5811</v>
      </c>
      <c r="BD414" s="1540">
        <v>0</v>
      </c>
      <c r="BF414" s="1539">
        <f t="shared" si="92"/>
        <v>951</v>
      </c>
      <c r="BG414" s="1539">
        <f t="shared" si="93"/>
        <v>0</v>
      </c>
      <c r="BH414" s="1539">
        <f t="shared" si="94"/>
        <v>0</v>
      </c>
      <c r="BI414" s="1539">
        <f t="shared" si="95"/>
        <v>951</v>
      </c>
      <c r="BJ414" s="1539">
        <f t="shared" si="96"/>
        <v>0</v>
      </c>
      <c r="BK414" s="1539">
        <f t="shared" si="97"/>
        <v>4332</v>
      </c>
      <c r="BL414" s="1539">
        <f t="shared" si="98"/>
        <v>4332</v>
      </c>
      <c r="BM414" s="1539">
        <f t="shared" si="99"/>
        <v>5283</v>
      </c>
      <c r="BO414" s="1183"/>
      <c r="BQ414" s="1182">
        <f t="shared" si="100"/>
        <v>-9.0909090909121915E-2</v>
      </c>
      <c r="BR414" s="1182">
        <f t="shared" si="101"/>
        <v>-0.18181818181801646</v>
      </c>
    </row>
    <row r="415" spans="1:70" ht="13.5" customHeight="1">
      <c r="A415" s="1182" t="s">
        <v>1803</v>
      </c>
      <c r="B415" s="1182" t="s">
        <v>1804</v>
      </c>
      <c r="C415" s="1182" t="s">
        <v>1639</v>
      </c>
      <c r="D415" s="1182" t="s">
        <v>3056</v>
      </c>
      <c r="E415" s="1182" t="s">
        <v>3057</v>
      </c>
      <c r="F415" s="1182" t="s">
        <v>3063</v>
      </c>
      <c r="G415" s="1182" t="s">
        <v>3063</v>
      </c>
      <c r="H415" s="1182" t="s">
        <v>3064</v>
      </c>
      <c r="I415" s="1182" t="s">
        <v>1809</v>
      </c>
      <c r="J415" s="1182" t="s">
        <v>3065</v>
      </c>
      <c r="K415" s="1182" t="s">
        <v>1811</v>
      </c>
      <c r="L415" s="1182" t="s">
        <v>1812</v>
      </c>
      <c r="M415" s="1182" t="s">
        <v>1803</v>
      </c>
      <c r="N415" s="1182" t="s">
        <v>2922</v>
      </c>
      <c r="O415" s="1182" t="s">
        <v>1554</v>
      </c>
      <c r="P415" s="1182" t="s">
        <v>1563</v>
      </c>
      <c r="Q415" s="1182" t="s">
        <v>1562</v>
      </c>
      <c r="R415" s="1182" t="s">
        <v>1561</v>
      </c>
      <c r="S415" s="1182" t="s">
        <v>1639</v>
      </c>
      <c r="T415" s="1182" t="s">
        <v>1814</v>
      </c>
      <c r="U415" s="1182" t="s">
        <v>1815</v>
      </c>
      <c r="V415" s="1182">
        <v>0</v>
      </c>
      <c r="W415" s="1182">
        <v>0</v>
      </c>
      <c r="X415" s="1182">
        <v>0</v>
      </c>
      <c r="Y415" s="1183">
        <v>7723</v>
      </c>
      <c r="Z415" s="1182" t="s">
        <v>2923</v>
      </c>
      <c r="AA415" s="1182" t="s">
        <v>2924</v>
      </c>
      <c r="AB415" s="1182">
        <v>7723</v>
      </c>
      <c r="AC415" s="1182" t="s">
        <v>2925</v>
      </c>
      <c r="AD415" s="1182" t="s">
        <v>1561</v>
      </c>
      <c r="AE415" s="1182">
        <v>7723</v>
      </c>
      <c r="AF415" s="1182" t="s">
        <v>1819</v>
      </c>
      <c r="AG415" s="1182" t="s">
        <v>1820</v>
      </c>
      <c r="AH415" s="1182">
        <v>702</v>
      </c>
      <c r="AI415" s="1182">
        <v>7021</v>
      </c>
      <c r="AJ415" s="1182" t="s">
        <v>3061</v>
      </c>
      <c r="AL415" s="1186" t="s">
        <v>3066</v>
      </c>
      <c r="AM415" s="1182">
        <v>1</v>
      </c>
      <c r="AN415" s="1182">
        <v>0</v>
      </c>
      <c r="AO415" s="1182">
        <v>0</v>
      </c>
      <c r="AP415" s="1182">
        <v>0</v>
      </c>
      <c r="AQ415" s="1182" t="s">
        <v>1639</v>
      </c>
      <c r="AS415" s="1186" t="s">
        <v>1819</v>
      </c>
      <c r="AT415" s="1186" t="s">
        <v>1820</v>
      </c>
      <c r="AV415" s="1183">
        <v>1390</v>
      </c>
      <c r="AW415" s="1183">
        <v>0</v>
      </c>
      <c r="AX415" s="1183">
        <v>0</v>
      </c>
      <c r="AY415" s="1538">
        <v>1390</v>
      </c>
      <c r="AZ415" s="1183">
        <v>0</v>
      </c>
      <c r="BA415" s="1183">
        <v>6333</v>
      </c>
      <c r="BB415" s="1540">
        <v>6333</v>
      </c>
      <c r="BC415" s="1540">
        <v>7723</v>
      </c>
      <c r="BD415" s="1540">
        <v>0</v>
      </c>
      <c r="BF415" s="1539">
        <f t="shared" si="92"/>
        <v>1264</v>
      </c>
      <c r="BG415" s="1539">
        <f t="shared" si="93"/>
        <v>0</v>
      </c>
      <c r="BH415" s="1539">
        <f t="shared" si="94"/>
        <v>0</v>
      </c>
      <c r="BI415" s="1539">
        <f t="shared" si="95"/>
        <v>1264</v>
      </c>
      <c r="BJ415" s="1539">
        <f t="shared" si="96"/>
        <v>0</v>
      </c>
      <c r="BK415" s="1539">
        <f t="shared" si="97"/>
        <v>5757</v>
      </c>
      <c r="BL415" s="1539">
        <f t="shared" si="98"/>
        <v>5757</v>
      </c>
      <c r="BM415" s="1539">
        <f t="shared" si="99"/>
        <v>7021</v>
      </c>
      <c r="BO415" s="1183"/>
      <c r="BQ415" s="1182">
        <f t="shared" si="100"/>
        <v>-0.36363636363626028</v>
      </c>
      <c r="BR415" s="1182">
        <f t="shared" si="101"/>
        <v>0.27272727272702468</v>
      </c>
    </row>
    <row r="416" spans="1:70" ht="13.5" customHeight="1">
      <c r="A416" s="1182" t="s">
        <v>1803</v>
      </c>
      <c r="B416" s="1182" t="s">
        <v>1804</v>
      </c>
      <c r="C416" s="1182" t="s">
        <v>1639</v>
      </c>
      <c r="D416" s="1182" t="s">
        <v>3056</v>
      </c>
      <c r="E416" s="1182" t="s">
        <v>3057</v>
      </c>
      <c r="F416" s="1182" t="s">
        <v>1864</v>
      </c>
      <c r="G416" s="1182" t="s">
        <v>1864</v>
      </c>
      <c r="H416" s="1182" t="s">
        <v>3067</v>
      </c>
      <c r="I416" s="1182" t="s">
        <v>1809</v>
      </c>
      <c r="J416" s="1182" t="s">
        <v>3068</v>
      </c>
      <c r="K416" s="1182" t="s">
        <v>1811</v>
      </c>
      <c r="L416" s="1182" t="s">
        <v>1812</v>
      </c>
      <c r="M416" s="1182" t="s">
        <v>1803</v>
      </c>
      <c r="N416" s="1182" t="s">
        <v>2922</v>
      </c>
      <c r="O416" s="1182" t="s">
        <v>1554</v>
      </c>
      <c r="P416" s="1182" t="s">
        <v>1563</v>
      </c>
      <c r="Q416" s="1182" t="s">
        <v>1562</v>
      </c>
      <c r="R416" s="1182" t="s">
        <v>1561</v>
      </c>
      <c r="S416" s="1182" t="s">
        <v>1639</v>
      </c>
      <c r="T416" s="1182" t="s">
        <v>1814</v>
      </c>
      <c r="U416" s="1182" t="s">
        <v>1815</v>
      </c>
      <c r="V416" s="1182">
        <v>0</v>
      </c>
      <c r="W416" s="1182">
        <v>0</v>
      </c>
      <c r="X416" s="1182">
        <v>0</v>
      </c>
      <c r="Y416" s="1183">
        <v>7041</v>
      </c>
      <c r="Z416" s="1182" t="s">
        <v>2923</v>
      </c>
      <c r="AA416" s="1182" t="s">
        <v>2924</v>
      </c>
      <c r="AB416" s="1182">
        <v>7041</v>
      </c>
      <c r="AC416" s="1182" t="s">
        <v>2925</v>
      </c>
      <c r="AD416" s="1182" t="s">
        <v>1561</v>
      </c>
      <c r="AE416" s="1182">
        <v>7041</v>
      </c>
      <c r="AF416" s="1182" t="s">
        <v>1819</v>
      </c>
      <c r="AG416" s="1182" t="s">
        <v>1820</v>
      </c>
      <c r="AH416" s="1182">
        <v>640</v>
      </c>
      <c r="AI416" s="1182">
        <v>6401</v>
      </c>
      <c r="AJ416" s="1182" t="s">
        <v>3061</v>
      </c>
      <c r="AL416" s="1186" t="s">
        <v>3069</v>
      </c>
      <c r="AM416" s="1182">
        <v>1</v>
      </c>
      <c r="AN416" s="1182">
        <v>0</v>
      </c>
      <c r="AO416" s="1182">
        <v>0</v>
      </c>
      <c r="AP416" s="1182">
        <v>0</v>
      </c>
      <c r="AQ416" s="1182" t="s">
        <v>1639</v>
      </c>
      <c r="AS416" s="1186" t="s">
        <v>1819</v>
      </c>
      <c r="AT416" s="1186" t="s">
        <v>1820</v>
      </c>
      <c r="AV416" s="1183">
        <v>1267</v>
      </c>
      <c r="AW416" s="1183">
        <v>0</v>
      </c>
      <c r="AX416" s="1183">
        <v>0</v>
      </c>
      <c r="AY416" s="1538">
        <v>1267</v>
      </c>
      <c r="AZ416" s="1183">
        <v>0</v>
      </c>
      <c r="BA416" s="1183">
        <v>5774</v>
      </c>
      <c r="BB416" s="1540">
        <v>5774</v>
      </c>
      <c r="BC416" s="1540">
        <v>7041</v>
      </c>
      <c r="BD416" s="1540">
        <v>0</v>
      </c>
      <c r="BF416" s="1539">
        <f t="shared" si="92"/>
        <v>1152</v>
      </c>
      <c r="BG416" s="1539">
        <f t="shared" si="93"/>
        <v>0</v>
      </c>
      <c r="BH416" s="1539">
        <f t="shared" si="94"/>
        <v>0</v>
      </c>
      <c r="BI416" s="1539">
        <f t="shared" si="95"/>
        <v>1152</v>
      </c>
      <c r="BJ416" s="1539">
        <f t="shared" si="96"/>
        <v>0</v>
      </c>
      <c r="BK416" s="1539">
        <f t="shared" si="97"/>
        <v>5249</v>
      </c>
      <c r="BL416" s="1539">
        <f t="shared" si="98"/>
        <v>5249</v>
      </c>
      <c r="BM416" s="1539">
        <f t="shared" si="99"/>
        <v>6401</v>
      </c>
      <c r="BO416" s="1183"/>
      <c r="BQ416" s="1182">
        <f t="shared" si="100"/>
        <v>-0.18181818181824383</v>
      </c>
      <c r="BR416" s="1182">
        <f t="shared" si="101"/>
        <v>9.0909090909008228E-2</v>
      </c>
    </row>
    <row r="417" spans="1:70" ht="13.5" customHeight="1">
      <c r="A417" s="1182" t="s">
        <v>1803</v>
      </c>
      <c r="B417" s="1182" t="s">
        <v>1804</v>
      </c>
      <c r="C417" s="1182" t="s">
        <v>1639</v>
      </c>
      <c r="D417" s="1182" t="s">
        <v>3056</v>
      </c>
      <c r="E417" s="1182" t="s">
        <v>3057</v>
      </c>
      <c r="F417" s="1182" t="s">
        <v>1988</v>
      </c>
      <c r="G417" s="1182" t="s">
        <v>1988</v>
      </c>
      <c r="H417" s="1182" t="s">
        <v>3070</v>
      </c>
      <c r="I417" s="1182" t="s">
        <v>1809</v>
      </c>
      <c r="J417" s="1182" t="s">
        <v>3071</v>
      </c>
      <c r="K417" s="1182" t="s">
        <v>1811</v>
      </c>
      <c r="L417" s="1182" t="s">
        <v>1812</v>
      </c>
      <c r="M417" s="1182" t="s">
        <v>1803</v>
      </c>
      <c r="N417" s="1182" t="s">
        <v>2922</v>
      </c>
      <c r="O417" s="1182" t="s">
        <v>1554</v>
      </c>
      <c r="P417" s="1182" t="s">
        <v>1563</v>
      </c>
      <c r="Q417" s="1182" t="s">
        <v>1562</v>
      </c>
      <c r="R417" s="1182" t="s">
        <v>1561</v>
      </c>
      <c r="S417" s="1182" t="s">
        <v>1639</v>
      </c>
      <c r="T417" s="1182" t="s">
        <v>1814</v>
      </c>
      <c r="U417" s="1182" t="s">
        <v>1815</v>
      </c>
      <c r="V417" s="1182">
        <v>0</v>
      </c>
      <c r="W417" s="1182">
        <v>0</v>
      </c>
      <c r="X417" s="1182">
        <v>0</v>
      </c>
      <c r="Y417" s="1183">
        <v>3201</v>
      </c>
      <c r="Z417" s="1182" t="s">
        <v>2923</v>
      </c>
      <c r="AA417" s="1182" t="s">
        <v>2924</v>
      </c>
      <c r="AB417" s="1182">
        <v>3201</v>
      </c>
      <c r="AC417" s="1182" t="s">
        <v>2925</v>
      </c>
      <c r="AD417" s="1182" t="s">
        <v>1561</v>
      </c>
      <c r="AE417" s="1182">
        <v>3201</v>
      </c>
      <c r="AF417" s="1182" t="s">
        <v>1819</v>
      </c>
      <c r="AG417" s="1182" t="s">
        <v>1820</v>
      </c>
      <c r="AH417" s="1182">
        <v>291</v>
      </c>
      <c r="AI417" s="1182">
        <v>2910</v>
      </c>
      <c r="AJ417" s="1182" t="s">
        <v>3061</v>
      </c>
      <c r="AL417" s="1186" t="s">
        <v>3072</v>
      </c>
      <c r="AM417" s="1182">
        <v>1</v>
      </c>
      <c r="AN417" s="1182">
        <v>0</v>
      </c>
      <c r="AO417" s="1182">
        <v>0</v>
      </c>
      <c r="AP417" s="1182">
        <v>0</v>
      </c>
      <c r="AQ417" s="1182" t="s">
        <v>1639</v>
      </c>
      <c r="AS417" s="1186" t="s">
        <v>1819</v>
      </c>
      <c r="AT417" s="1186" t="s">
        <v>1820</v>
      </c>
      <c r="AV417" s="1183">
        <v>576</v>
      </c>
      <c r="AW417" s="1183">
        <v>0</v>
      </c>
      <c r="AX417" s="1183">
        <v>0</v>
      </c>
      <c r="AY417" s="1538">
        <v>576</v>
      </c>
      <c r="AZ417" s="1183">
        <v>0</v>
      </c>
      <c r="BA417" s="1183">
        <v>2625</v>
      </c>
      <c r="BB417" s="1540">
        <v>2625</v>
      </c>
      <c r="BC417" s="1540">
        <v>3201</v>
      </c>
      <c r="BD417" s="1540">
        <v>0</v>
      </c>
      <c r="BF417" s="1539">
        <f t="shared" si="92"/>
        <v>524</v>
      </c>
      <c r="BG417" s="1539">
        <f t="shared" si="93"/>
        <v>0</v>
      </c>
      <c r="BH417" s="1539">
        <f t="shared" si="94"/>
        <v>0</v>
      </c>
      <c r="BI417" s="1539">
        <f t="shared" si="95"/>
        <v>524</v>
      </c>
      <c r="BJ417" s="1539">
        <f t="shared" si="96"/>
        <v>0</v>
      </c>
      <c r="BK417" s="1539">
        <f t="shared" si="97"/>
        <v>2386</v>
      </c>
      <c r="BL417" s="1539">
        <f t="shared" si="98"/>
        <v>2386</v>
      </c>
      <c r="BM417" s="1539">
        <f t="shared" si="99"/>
        <v>2910</v>
      </c>
      <c r="BO417" s="1183"/>
      <c r="BQ417" s="1182">
        <f t="shared" si="100"/>
        <v>-0.36363636363637397</v>
      </c>
      <c r="BR417" s="1182">
        <f t="shared" si="101"/>
        <v>0.36363636363648766</v>
      </c>
    </row>
    <row r="418" spans="1:70" ht="13.5" customHeight="1">
      <c r="A418" s="1182" t="s">
        <v>1803</v>
      </c>
      <c r="B418" s="1182" t="s">
        <v>1804</v>
      </c>
      <c r="C418" s="1182" t="s">
        <v>1639</v>
      </c>
      <c r="D418" s="1182" t="s">
        <v>3056</v>
      </c>
      <c r="E418" s="1182" t="s">
        <v>3057</v>
      </c>
      <c r="F418" s="1182" t="s">
        <v>3034</v>
      </c>
      <c r="G418" s="1182" t="s">
        <v>3034</v>
      </c>
      <c r="H418" s="1182" t="s">
        <v>3073</v>
      </c>
      <c r="I418" s="1182" t="s">
        <v>1809</v>
      </c>
      <c r="J418" s="1182" t="s">
        <v>3074</v>
      </c>
      <c r="K418" s="1182" t="s">
        <v>1811</v>
      </c>
      <c r="L418" s="1182" t="s">
        <v>1812</v>
      </c>
      <c r="M418" s="1182" t="s">
        <v>1803</v>
      </c>
      <c r="N418" s="1182" t="s">
        <v>2922</v>
      </c>
      <c r="O418" s="1182" t="s">
        <v>1554</v>
      </c>
      <c r="P418" s="1182" t="s">
        <v>1563</v>
      </c>
      <c r="Q418" s="1182" t="s">
        <v>1562</v>
      </c>
      <c r="R418" s="1182" t="s">
        <v>1561</v>
      </c>
      <c r="S418" s="1182" t="s">
        <v>1639</v>
      </c>
      <c r="T418" s="1182" t="s">
        <v>1814</v>
      </c>
      <c r="U418" s="1182" t="s">
        <v>1815</v>
      </c>
      <c r="V418" s="1182">
        <v>0</v>
      </c>
      <c r="W418" s="1182">
        <v>0</v>
      </c>
      <c r="X418" s="1182">
        <v>0</v>
      </c>
      <c r="Y418" s="1183">
        <v>4857</v>
      </c>
      <c r="Z418" s="1182" t="s">
        <v>2923</v>
      </c>
      <c r="AA418" s="1182" t="s">
        <v>2924</v>
      </c>
      <c r="AB418" s="1182">
        <v>4857</v>
      </c>
      <c r="AC418" s="1182" t="s">
        <v>2925</v>
      </c>
      <c r="AD418" s="1182" t="s">
        <v>1561</v>
      </c>
      <c r="AE418" s="1182">
        <v>4857</v>
      </c>
      <c r="AF418" s="1182" t="s">
        <v>1819</v>
      </c>
      <c r="AG418" s="1182" t="s">
        <v>1820</v>
      </c>
      <c r="AH418" s="1182">
        <v>441</v>
      </c>
      <c r="AI418" s="1182">
        <v>4416</v>
      </c>
      <c r="AJ418" s="1182" t="s">
        <v>3061</v>
      </c>
      <c r="AL418" s="1186" t="s">
        <v>3075</v>
      </c>
      <c r="AM418" s="1182">
        <v>1</v>
      </c>
      <c r="AN418" s="1182">
        <v>0</v>
      </c>
      <c r="AO418" s="1182">
        <v>0</v>
      </c>
      <c r="AP418" s="1182">
        <v>0</v>
      </c>
      <c r="AQ418" s="1182" t="s">
        <v>1639</v>
      </c>
      <c r="AS418" s="1186" t="s">
        <v>1819</v>
      </c>
      <c r="AT418" s="1186" t="s">
        <v>1820</v>
      </c>
      <c r="AV418" s="1183">
        <v>874</v>
      </c>
      <c r="AW418" s="1183">
        <v>0</v>
      </c>
      <c r="AX418" s="1183">
        <v>0</v>
      </c>
      <c r="AY418" s="1538">
        <v>874</v>
      </c>
      <c r="AZ418" s="1183">
        <v>0</v>
      </c>
      <c r="BA418" s="1183">
        <v>3983</v>
      </c>
      <c r="BB418" s="1540">
        <v>3983</v>
      </c>
      <c r="BC418" s="1540">
        <v>4857</v>
      </c>
      <c r="BD418" s="1540">
        <v>0</v>
      </c>
      <c r="BF418" s="1539">
        <f t="shared" si="92"/>
        <v>795</v>
      </c>
      <c r="BG418" s="1539">
        <f t="shared" si="93"/>
        <v>0</v>
      </c>
      <c r="BH418" s="1539">
        <f t="shared" si="94"/>
        <v>0</v>
      </c>
      <c r="BI418" s="1539">
        <f t="shared" si="95"/>
        <v>795</v>
      </c>
      <c r="BJ418" s="1539">
        <f t="shared" si="96"/>
        <v>0</v>
      </c>
      <c r="BK418" s="1539">
        <f t="shared" si="97"/>
        <v>3621</v>
      </c>
      <c r="BL418" s="1539">
        <f t="shared" si="98"/>
        <v>3621</v>
      </c>
      <c r="BM418" s="1539">
        <f t="shared" si="99"/>
        <v>4416</v>
      </c>
      <c r="BO418" s="1183"/>
      <c r="BQ418" s="1182">
        <f t="shared" si="100"/>
        <v>-0.45454545454549589</v>
      </c>
      <c r="BR418" s="1182">
        <f t="shared" si="101"/>
        <v>-9.0909090909008228E-2</v>
      </c>
    </row>
    <row r="419" spans="1:70" ht="13.5" customHeight="1">
      <c r="A419" s="1182" t="s">
        <v>1803</v>
      </c>
      <c r="B419" s="1182" t="s">
        <v>1804</v>
      </c>
      <c r="C419" s="1182" t="s">
        <v>1639</v>
      </c>
      <c r="D419" s="1182" t="s">
        <v>3056</v>
      </c>
      <c r="E419" s="1182" t="s">
        <v>3057</v>
      </c>
      <c r="F419" s="1182" t="s">
        <v>2336</v>
      </c>
      <c r="G419" s="1182" t="s">
        <v>2336</v>
      </c>
      <c r="H419" s="1182" t="s">
        <v>3076</v>
      </c>
      <c r="I419" s="1182" t="s">
        <v>1809</v>
      </c>
      <c r="J419" s="1182" t="s">
        <v>3077</v>
      </c>
      <c r="K419" s="1182" t="s">
        <v>1811</v>
      </c>
      <c r="L419" s="1182" t="s">
        <v>1812</v>
      </c>
      <c r="M419" s="1182" t="s">
        <v>1803</v>
      </c>
      <c r="N419" s="1182" t="s">
        <v>2922</v>
      </c>
      <c r="O419" s="1182" t="s">
        <v>1554</v>
      </c>
      <c r="P419" s="1182" t="s">
        <v>1563</v>
      </c>
      <c r="Q419" s="1182" t="s">
        <v>1562</v>
      </c>
      <c r="R419" s="1182" t="s">
        <v>1561</v>
      </c>
      <c r="S419" s="1182" t="s">
        <v>1639</v>
      </c>
      <c r="T419" s="1182" t="s">
        <v>1814</v>
      </c>
      <c r="U419" s="1182" t="s">
        <v>1815</v>
      </c>
      <c r="V419" s="1182">
        <v>0</v>
      </c>
      <c r="W419" s="1182">
        <v>0</v>
      </c>
      <c r="X419" s="1182">
        <v>0</v>
      </c>
      <c r="Y419" s="1183">
        <v>5644</v>
      </c>
      <c r="Z419" s="1182" t="s">
        <v>2923</v>
      </c>
      <c r="AA419" s="1182" t="s">
        <v>2924</v>
      </c>
      <c r="AB419" s="1182">
        <v>5644</v>
      </c>
      <c r="AC419" s="1182" t="s">
        <v>2925</v>
      </c>
      <c r="AD419" s="1182" t="s">
        <v>1561</v>
      </c>
      <c r="AE419" s="1182">
        <v>5644</v>
      </c>
      <c r="AF419" s="1182" t="s">
        <v>1819</v>
      </c>
      <c r="AG419" s="1182" t="s">
        <v>1820</v>
      </c>
      <c r="AH419" s="1182">
        <v>513</v>
      </c>
      <c r="AI419" s="1182">
        <v>5131</v>
      </c>
      <c r="AJ419" s="1182" t="s">
        <v>3061</v>
      </c>
      <c r="AL419" s="1186" t="s">
        <v>3078</v>
      </c>
      <c r="AM419" s="1182">
        <v>1</v>
      </c>
      <c r="AN419" s="1182">
        <v>0</v>
      </c>
      <c r="AO419" s="1182">
        <v>0</v>
      </c>
      <c r="AP419" s="1182">
        <v>0</v>
      </c>
      <c r="AQ419" s="1182" t="s">
        <v>1639</v>
      </c>
      <c r="AS419" s="1186" t="s">
        <v>1819</v>
      </c>
      <c r="AT419" s="1186" t="s">
        <v>1820</v>
      </c>
      <c r="AV419" s="1183">
        <v>1016</v>
      </c>
      <c r="AW419" s="1183">
        <v>0</v>
      </c>
      <c r="AX419" s="1183">
        <v>0</v>
      </c>
      <c r="AY419" s="1538">
        <v>1016</v>
      </c>
      <c r="AZ419" s="1183">
        <v>0</v>
      </c>
      <c r="BA419" s="1183">
        <v>4628</v>
      </c>
      <c r="BB419" s="1540">
        <v>4628</v>
      </c>
      <c r="BC419" s="1540">
        <v>5644</v>
      </c>
      <c r="BD419" s="1540">
        <v>0</v>
      </c>
      <c r="BF419" s="1539">
        <f t="shared" si="92"/>
        <v>924</v>
      </c>
      <c r="BG419" s="1539">
        <f t="shared" si="93"/>
        <v>0</v>
      </c>
      <c r="BH419" s="1539">
        <f t="shared" si="94"/>
        <v>0</v>
      </c>
      <c r="BI419" s="1539">
        <f t="shared" si="95"/>
        <v>924</v>
      </c>
      <c r="BJ419" s="1539">
        <f t="shared" si="96"/>
        <v>0</v>
      </c>
      <c r="BK419" s="1539">
        <f t="shared" si="97"/>
        <v>4207</v>
      </c>
      <c r="BL419" s="1539">
        <f t="shared" si="98"/>
        <v>4207</v>
      </c>
      <c r="BM419" s="1539">
        <f t="shared" si="99"/>
        <v>5131</v>
      </c>
      <c r="BO419" s="1183"/>
      <c r="BQ419" s="1182">
        <f t="shared" si="100"/>
        <v>-0.36363636363637397</v>
      </c>
      <c r="BR419" s="1182">
        <f t="shared" si="101"/>
        <v>0.27272727272702468</v>
      </c>
    </row>
    <row r="420" spans="1:70" ht="13.5" customHeight="1">
      <c r="A420" s="1182" t="s">
        <v>3049</v>
      </c>
      <c r="B420" s="1182" t="s">
        <v>1804</v>
      </c>
      <c r="C420" s="1182" t="s">
        <v>1639</v>
      </c>
      <c r="D420" s="1182" t="s">
        <v>2909</v>
      </c>
      <c r="E420" s="1182" t="s">
        <v>2910</v>
      </c>
      <c r="F420" s="1182" t="s">
        <v>3079</v>
      </c>
      <c r="G420" s="1182" t="s">
        <v>3079</v>
      </c>
      <c r="H420" s="1182" t="s">
        <v>3080</v>
      </c>
      <c r="I420" s="1182" t="s">
        <v>1937</v>
      </c>
      <c r="J420" s="1182" t="s">
        <v>3081</v>
      </c>
      <c r="K420" s="1182" t="s">
        <v>1811</v>
      </c>
      <c r="L420" s="1182" t="s">
        <v>1812</v>
      </c>
      <c r="M420" s="1182" t="s">
        <v>1803</v>
      </c>
      <c r="N420" s="1182" t="s">
        <v>2922</v>
      </c>
      <c r="O420" s="1182" t="s">
        <v>1554</v>
      </c>
      <c r="P420" s="1182" t="s">
        <v>1563</v>
      </c>
      <c r="Q420" s="1182" t="s">
        <v>1562</v>
      </c>
      <c r="R420" s="1182" t="s">
        <v>1561</v>
      </c>
      <c r="S420" s="1182" t="s">
        <v>1639</v>
      </c>
      <c r="T420" s="1182" t="s">
        <v>1814</v>
      </c>
      <c r="U420" s="1182" t="s">
        <v>1815</v>
      </c>
      <c r="V420" s="1182">
        <v>0</v>
      </c>
      <c r="W420" s="1182">
        <v>0</v>
      </c>
      <c r="X420" s="1182">
        <v>0</v>
      </c>
      <c r="Y420" s="1183">
        <v>6900</v>
      </c>
      <c r="Z420" s="1182" t="s">
        <v>1940</v>
      </c>
      <c r="AA420" s="1182" t="s">
        <v>1941</v>
      </c>
      <c r="AB420" s="1182">
        <v>6900</v>
      </c>
      <c r="AC420" s="1182" t="s">
        <v>2925</v>
      </c>
      <c r="AD420" s="1182" t="s">
        <v>1561</v>
      </c>
      <c r="AE420" s="1182">
        <v>6900</v>
      </c>
      <c r="AF420" s="1182" t="s">
        <v>3082</v>
      </c>
      <c r="AG420" s="1182" t="s">
        <v>1944</v>
      </c>
      <c r="AH420" s="1182">
        <v>0</v>
      </c>
      <c r="AI420" s="1182">
        <v>6900</v>
      </c>
      <c r="AJ420" s="1182" t="s">
        <v>3083</v>
      </c>
      <c r="AL420" s="1186" t="s">
        <v>3084</v>
      </c>
      <c r="AM420" s="1182">
        <v>2</v>
      </c>
      <c r="AN420" s="1182">
        <v>21</v>
      </c>
      <c r="AO420" s="1182">
        <v>0</v>
      </c>
      <c r="AP420" s="1182" t="s">
        <v>3085</v>
      </c>
      <c r="AQ420" s="1182" t="s">
        <v>1639</v>
      </c>
      <c r="AS420" s="1186">
        <v>21</v>
      </c>
      <c r="AT420" s="1186">
        <v>0</v>
      </c>
      <c r="AV420" s="1183">
        <v>0</v>
      </c>
      <c r="AW420" s="1183">
        <v>0</v>
      </c>
      <c r="AX420" s="1183">
        <v>0</v>
      </c>
      <c r="AY420" s="1538">
        <v>0</v>
      </c>
      <c r="AZ420" s="1183">
        <v>0</v>
      </c>
      <c r="BA420" s="1183">
        <v>6900</v>
      </c>
      <c r="BB420" s="1540">
        <v>6900</v>
      </c>
      <c r="BC420" s="1540">
        <v>6900</v>
      </c>
      <c r="BD420" s="1540">
        <v>0</v>
      </c>
      <c r="BF420" s="1539">
        <f t="shared" si="92"/>
        <v>0</v>
      </c>
      <c r="BG420" s="1539">
        <f t="shared" si="93"/>
        <v>0</v>
      </c>
      <c r="BH420" s="1539">
        <f t="shared" si="94"/>
        <v>0</v>
      </c>
      <c r="BI420" s="1539">
        <f t="shared" si="95"/>
        <v>0</v>
      </c>
      <c r="BJ420" s="1539">
        <f t="shared" si="96"/>
        <v>0</v>
      </c>
      <c r="BK420" s="1539">
        <f t="shared" si="97"/>
        <v>6900</v>
      </c>
      <c r="BL420" s="1539">
        <f t="shared" si="98"/>
        <v>6900</v>
      </c>
      <c r="BM420" s="1539">
        <f t="shared" si="99"/>
        <v>6900</v>
      </c>
      <c r="BO420" s="1183"/>
      <c r="BQ420" s="1182">
        <f t="shared" si="100"/>
        <v>0</v>
      </c>
      <c r="BR420" s="1182">
        <f t="shared" si="101"/>
        <v>0</v>
      </c>
    </row>
    <row r="421" spans="1:70" ht="13.5" customHeight="1">
      <c r="A421" s="1182" t="s">
        <v>3049</v>
      </c>
      <c r="B421" s="1182" t="s">
        <v>1804</v>
      </c>
      <c r="C421" s="1182" t="s">
        <v>1639</v>
      </c>
      <c r="D421" s="1182" t="s">
        <v>2909</v>
      </c>
      <c r="E421" s="1182" t="s">
        <v>2910</v>
      </c>
      <c r="F421" s="1182" t="s">
        <v>3086</v>
      </c>
      <c r="G421" s="1182" t="s">
        <v>3086</v>
      </c>
      <c r="H421" s="1182" t="s">
        <v>3080</v>
      </c>
      <c r="I421" s="1182" t="s">
        <v>1937</v>
      </c>
      <c r="J421" s="1182" t="s">
        <v>3087</v>
      </c>
      <c r="K421" s="1182" t="s">
        <v>1811</v>
      </c>
      <c r="L421" s="1182" t="s">
        <v>1812</v>
      </c>
      <c r="M421" s="1182" t="s">
        <v>1803</v>
      </c>
      <c r="N421" s="1182" t="s">
        <v>2922</v>
      </c>
      <c r="O421" s="1182" t="s">
        <v>1554</v>
      </c>
      <c r="P421" s="1182" t="s">
        <v>1563</v>
      </c>
      <c r="Q421" s="1182" t="s">
        <v>1562</v>
      </c>
      <c r="R421" s="1182" t="s">
        <v>1561</v>
      </c>
      <c r="S421" s="1182" t="s">
        <v>1639</v>
      </c>
      <c r="T421" s="1182" t="s">
        <v>1814</v>
      </c>
      <c r="U421" s="1182" t="s">
        <v>1815</v>
      </c>
      <c r="V421" s="1182">
        <v>0</v>
      </c>
      <c r="W421" s="1182">
        <v>0</v>
      </c>
      <c r="X421" s="1182">
        <v>0</v>
      </c>
      <c r="Y421" s="1183">
        <v>10000</v>
      </c>
      <c r="Z421" s="1182" t="s">
        <v>1940</v>
      </c>
      <c r="AA421" s="1182" t="s">
        <v>1941</v>
      </c>
      <c r="AB421" s="1182">
        <v>10000</v>
      </c>
      <c r="AC421" s="1182" t="s">
        <v>2925</v>
      </c>
      <c r="AD421" s="1182" t="s">
        <v>1561</v>
      </c>
      <c r="AE421" s="1182">
        <v>10000</v>
      </c>
      <c r="AF421" s="1182" t="s">
        <v>3082</v>
      </c>
      <c r="AG421" s="1182" t="s">
        <v>1944</v>
      </c>
      <c r="AH421" s="1182">
        <v>0</v>
      </c>
      <c r="AI421" s="1182">
        <v>10000</v>
      </c>
      <c r="AJ421" s="1182" t="s">
        <v>3083</v>
      </c>
      <c r="AL421" s="1186" t="s">
        <v>3088</v>
      </c>
      <c r="AM421" s="1182">
        <v>2</v>
      </c>
      <c r="AN421" s="1182">
        <v>21</v>
      </c>
      <c r="AO421" s="1182">
        <v>0</v>
      </c>
      <c r="AP421" s="1182" t="s">
        <v>3085</v>
      </c>
      <c r="AQ421" s="1182" t="s">
        <v>1639</v>
      </c>
      <c r="AS421" s="1186">
        <v>21</v>
      </c>
      <c r="AT421" s="1186">
        <v>0</v>
      </c>
      <c r="AV421" s="1183">
        <v>0</v>
      </c>
      <c r="AW421" s="1183">
        <v>0</v>
      </c>
      <c r="AX421" s="1183">
        <v>0</v>
      </c>
      <c r="AY421" s="1538">
        <v>0</v>
      </c>
      <c r="AZ421" s="1183">
        <v>0</v>
      </c>
      <c r="BA421" s="1183">
        <v>10000</v>
      </c>
      <c r="BB421" s="1540">
        <v>10000</v>
      </c>
      <c r="BC421" s="1540">
        <v>10000</v>
      </c>
      <c r="BD421" s="1540">
        <v>0</v>
      </c>
      <c r="BF421" s="1539">
        <f t="shared" si="92"/>
        <v>0</v>
      </c>
      <c r="BG421" s="1539">
        <f t="shared" si="93"/>
        <v>0</v>
      </c>
      <c r="BH421" s="1539">
        <f t="shared" si="94"/>
        <v>0</v>
      </c>
      <c r="BI421" s="1539">
        <f t="shared" si="95"/>
        <v>0</v>
      </c>
      <c r="BJ421" s="1539">
        <f t="shared" si="96"/>
        <v>0</v>
      </c>
      <c r="BK421" s="1539">
        <f t="shared" si="97"/>
        <v>10000</v>
      </c>
      <c r="BL421" s="1539">
        <f t="shared" si="98"/>
        <v>10000</v>
      </c>
      <c r="BM421" s="1539">
        <f t="shared" si="99"/>
        <v>10000</v>
      </c>
      <c r="BO421" s="1183"/>
      <c r="BQ421" s="1182">
        <f t="shared" si="100"/>
        <v>0</v>
      </c>
      <c r="BR421" s="1182">
        <f t="shared" si="101"/>
        <v>0</v>
      </c>
    </row>
    <row r="422" spans="1:70" ht="13.5" customHeight="1">
      <c r="A422" s="1182" t="s">
        <v>3049</v>
      </c>
      <c r="B422" s="1182" t="s">
        <v>1804</v>
      </c>
      <c r="C422" s="1182" t="s">
        <v>1639</v>
      </c>
      <c r="D422" s="1182" t="s">
        <v>2909</v>
      </c>
      <c r="E422" s="1182" t="s">
        <v>2910</v>
      </c>
      <c r="F422" s="1182" t="s">
        <v>2131</v>
      </c>
      <c r="G422" s="1182" t="s">
        <v>2131</v>
      </c>
      <c r="H422" s="1182" t="s">
        <v>3089</v>
      </c>
      <c r="I422" s="1182" t="s">
        <v>1937</v>
      </c>
      <c r="J422" s="1182" t="s">
        <v>3090</v>
      </c>
      <c r="K422" s="1182" t="s">
        <v>1811</v>
      </c>
      <c r="L422" s="1182" t="s">
        <v>1812</v>
      </c>
      <c r="M422" s="1182" t="s">
        <v>1803</v>
      </c>
      <c r="N422" s="1182" t="s">
        <v>2922</v>
      </c>
      <c r="O422" s="1182" t="s">
        <v>1554</v>
      </c>
      <c r="P422" s="1182" t="s">
        <v>1563</v>
      </c>
      <c r="Q422" s="1182" t="s">
        <v>1562</v>
      </c>
      <c r="R422" s="1182" t="s">
        <v>1561</v>
      </c>
      <c r="S422" s="1182" t="s">
        <v>1639</v>
      </c>
      <c r="T422" s="1182" t="s">
        <v>1814</v>
      </c>
      <c r="U422" s="1182" t="s">
        <v>1815</v>
      </c>
      <c r="V422" s="1182">
        <v>0</v>
      </c>
      <c r="W422" s="1182">
        <v>0</v>
      </c>
      <c r="X422" s="1182">
        <v>0</v>
      </c>
      <c r="Y422" s="1183">
        <v>1300</v>
      </c>
      <c r="Z422" s="1182" t="s">
        <v>1940</v>
      </c>
      <c r="AA422" s="1182" t="s">
        <v>1941</v>
      </c>
      <c r="AB422" s="1182">
        <v>1300</v>
      </c>
      <c r="AC422" s="1182" t="s">
        <v>2925</v>
      </c>
      <c r="AD422" s="1182" t="s">
        <v>1561</v>
      </c>
      <c r="AE422" s="1182">
        <v>1300</v>
      </c>
      <c r="AF422" s="1182" t="s">
        <v>1943</v>
      </c>
      <c r="AG422" s="1182" t="s">
        <v>1944</v>
      </c>
      <c r="AH422" s="1182">
        <v>0</v>
      </c>
      <c r="AI422" s="1182">
        <v>1300</v>
      </c>
      <c r="AJ422" s="1182" t="s">
        <v>3091</v>
      </c>
      <c r="AL422" s="1186" t="s">
        <v>3092</v>
      </c>
      <c r="AM422" s="1182">
        <v>1</v>
      </c>
      <c r="AN422" s="1182">
        <v>0</v>
      </c>
      <c r="AO422" s="1182">
        <v>0</v>
      </c>
      <c r="AP422" s="1182" t="s">
        <v>3085</v>
      </c>
      <c r="AQ422" s="1182" t="s">
        <v>1639</v>
      </c>
      <c r="AS422" s="1186" t="s">
        <v>1943</v>
      </c>
      <c r="AT422" s="1186" t="s">
        <v>1944</v>
      </c>
      <c r="AV422" s="1183">
        <v>0</v>
      </c>
      <c r="AW422" s="1183">
        <v>0</v>
      </c>
      <c r="AX422" s="1183">
        <v>0</v>
      </c>
      <c r="AY422" s="1538">
        <v>0</v>
      </c>
      <c r="AZ422" s="1183">
        <v>0</v>
      </c>
      <c r="BA422" s="1183">
        <v>1300</v>
      </c>
      <c r="BB422" s="1540">
        <v>1300</v>
      </c>
      <c r="BC422" s="1540">
        <v>1300</v>
      </c>
      <c r="BD422" s="1540">
        <v>0</v>
      </c>
      <c r="BF422" s="1539">
        <f t="shared" si="92"/>
        <v>0</v>
      </c>
      <c r="BG422" s="1539">
        <f t="shared" si="93"/>
        <v>0</v>
      </c>
      <c r="BH422" s="1539">
        <f t="shared" si="94"/>
        <v>0</v>
      </c>
      <c r="BI422" s="1539">
        <f t="shared" si="95"/>
        <v>0</v>
      </c>
      <c r="BJ422" s="1539">
        <f t="shared" si="96"/>
        <v>0</v>
      </c>
      <c r="BK422" s="1539">
        <f t="shared" si="97"/>
        <v>1300</v>
      </c>
      <c r="BL422" s="1539">
        <f t="shared" si="98"/>
        <v>1300</v>
      </c>
      <c r="BM422" s="1539">
        <f t="shared" si="99"/>
        <v>1300</v>
      </c>
      <c r="BO422" s="1183"/>
      <c r="BQ422" s="1182">
        <f t="shared" si="100"/>
        <v>0</v>
      </c>
      <c r="BR422" s="1182">
        <f t="shared" si="101"/>
        <v>0</v>
      </c>
    </row>
    <row r="423" spans="1:70" ht="13.5" customHeight="1">
      <c r="A423" s="1182" t="s">
        <v>1803</v>
      </c>
      <c r="B423" s="1182" t="s">
        <v>1804</v>
      </c>
      <c r="C423" s="1182" t="s">
        <v>1639</v>
      </c>
      <c r="D423" s="1182" t="s">
        <v>2534</v>
      </c>
      <c r="E423" s="1182" t="s">
        <v>2535</v>
      </c>
      <c r="F423" s="1182" t="s">
        <v>2862</v>
      </c>
      <c r="G423" s="1182" t="s">
        <v>2862</v>
      </c>
      <c r="H423" s="1182" t="s">
        <v>3093</v>
      </c>
      <c r="I423" s="1182" t="s">
        <v>1809</v>
      </c>
      <c r="J423" s="1182" t="s">
        <v>3094</v>
      </c>
      <c r="K423" s="1182" t="s">
        <v>1811</v>
      </c>
      <c r="L423" s="1182" t="s">
        <v>1812</v>
      </c>
      <c r="M423" s="1182" t="s">
        <v>1803</v>
      </c>
      <c r="N423" s="1182" t="s">
        <v>2922</v>
      </c>
      <c r="O423" s="1182" t="s">
        <v>1554</v>
      </c>
      <c r="P423" s="1182" t="s">
        <v>1563</v>
      </c>
      <c r="Q423" s="1182" t="s">
        <v>1562</v>
      </c>
      <c r="R423" s="1182" t="s">
        <v>1561</v>
      </c>
      <c r="S423" s="1182" t="s">
        <v>1639</v>
      </c>
      <c r="T423" s="1182" t="s">
        <v>1814</v>
      </c>
      <c r="U423" s="1182" t="s">
        <v>1815</v>
      </c>
      <c r="V423" s="1182">
        <v>0</v>
      </c>
      <c r="W423" s="1182">
        <v>0</v>
      </c>
      <c r="X423" s="1182">
        <v>0</v>
      </c>
      <c r="Y423" s="1183">
        <v>78646</v>
      </c>
      <c r="Z423" s="1182" t="s">
        <v>2923</v>
      </c>
      <c r="AA423" s="1182" t="s">
        <v>2924</v>
      </c>
      <c r="AB423" s="1182">
        <v>78646</v>
      </c>
      <c r="AC423" s="1182" t="s">
        <v>2925</v>
      </c>
      <c r="AD423" s="1182" t="s">
        <v>1561</v>
      </c>
      <c r="AE423" s="1182">
        <v>78646</v>
      </c>
      <c r="AF423" s="1182" t="s">
        <v>2911</v>
      </c>
      <c r="AG423" s="1182" t="s">
        <v>1944</v>
      </c>
      <c r="AH423" s="1182">
        <v>0</v>
      </c>
      <c r="AI423" s="1182">
        <v>78646</v>
      </c>
      <c r="AJ423" s="1182" t="s">
        <v>3095</v>
      </c>
      <c r="AL423" s="1186" t="s">
        <v>3096</v>
      </c>
      <c r="AM423" s="1182">
        <v>1</v>
      </c>
      <c r="AN423" s="1182">
        <v>0</v>
      </c>
      <c r="AO423" s="1182">
        <v>0</v>
      </c>
      <c r="AP423" s="1182" t="s">
        <v>3097</v>
      </c>
      <c r="AQ423" s="1182" t="s">
        <v>1639</v>
      </c>
      <c r="AS423" s="1186" t="s">
        <v>2911</v>
      </c>
      <c r="AT423" s="1186" t="s">
        <v>1944</v>
      </c>
      <c r="AV423" s="1183">
        <v>36177</v>
      </c>
      <c r="AW423" s="1183">
        <v>0</v>
      </c>
      <c r="AX423" s="1183">
        <v>0</v>
      </c>
      <c r="AY423" s="1538">
        <v>36177</v>
      </c>
      <c r="AZ423" s="1183">
        <v>0</v>
      </c>
      <c r="BA423" s="1183">
        <v>42469</v>
      </c>
      <c r="BB423" s="1540">
        <v>42469</v>
      </c>
      <c r="BC423" s="1540">
        <v>78646</v>
      </c>
      <c r="BD423" s="1540">
        <v>0</v>
      </c>
      <c r="BF423" s="1539">
        <f t="shared" si="92"/>
        <v>36177</v>
      </c>
      <c r="BG423" s="1539">
        <f t="shared" si="93"/>
        <v>0</v>
      </c>
      <c r="BH423" s="1539">
        <f t="shared" si="94"/>
        <v>0</v>
      </c>
      <c r="BI423" s="1539">
        <f t="shared" si="95"/>
        <v>36177</v>
      </c>
      <c r="BJ423" s="1539">
        <f t="shared" si="96"/>
        <v>0</v>
      </c>
      <c r="BK423" s="1539">
        <f t="shared" si="97"/>
        <v>42469</v>
      </c>
      <c r="BL423" s="1539">
        <f t="shared" si="98"/>
        <v>42469</v>
      </c>
      <c r="BM423" s="1539">
        <f t="shared" si="99"/>
        <v>78646</v>
      </c>
      <c r="BO423" s="1183"/>
      <c r="BQ423" s="1182">
        <f t="shared" si="100"/>
        <v>0</v>
      </c>
      <c r="BR423" s="1182">
        <f t="shared" si="101"/>
        <v>0</v>
      </c>
    </row>
    <row r="424" spans="1:70" ht="13.5" customHeight="1">
      <c r="A424" s="1182" t="s">
        <v>1803</v>
      </c>
      <c r="B424" s="1182" t="s">
        <v>1804</v>
      </c>
      <c r="C424" s="1182" t="s">
        <v>1639</v>
      </c>
      <c r="D424" s="1182" t="s">
        <v>2909</v>
      </c>
      <c r="E424" s="1182" t="s">
        <v>2910</v>
      </c>
      <c r="F424" s="1182" t="s">
        <v>2749</v>
      </c>
      <c r="G424" s="1182" t="s">
        <v>2749</v>
      </c>
      <c r="H424" s="1182" t="s">
        <v>3098</v>
      </c>
      <c r="I424" s="1182" t="s">
        <v>1809</v>
      </c>
      <c r="J424" s="1182" t="s">
        <v>3099</v>
      </c>
      <c r="K424" s="1182" t="s">
        <v>1811</v>
      </c>
      <c r="L424" s="1182" t="s">
        <v>1812</v>
      </c>
      <c r="M424" s="1182" t="s">
        <v>1803</v>
      </c>
      <c r="N424" s="1182" t="s">
        <v>2922</v>
      </c>
      <c r="O424" s="1182" t="s">
        <v>1554</v>
      </c>
      <c r="P424" s="1182" t="s">
        <v>1563</v>
      </c>
      <c r="Q424" s="1182" t="s">
        <v>1562</v>
      </c>
      <c r="R424" s="1182" t="s">
        <v>1561</v>
      </c>
      <c r="S424" s="1182" t="s">
        <v>1639</v>
      </c>
      <c r="T424" s="1182" t="s">
        <v>1814</v>
      </c>
      <c r="U424" s="1182" t="s">
        <v>1815</v>
      </c>
      <c r="V424" s="1182">
        <v>0</v>
      </c>
      <c r="W424" s="1182">
        <v>0</v>
      </c>
      <c r="X424" s="1182">
        <v>0</v>
      </c>
      <c r="Y424" s="1543">
        <v>757700</v>
      </c>
      <c r="Z424" s="1182" t="s">
        <v>2923</v>
      </c>
      <c r="AA424" s="1182" t="s">
        <v>2924</v>
      </c>
      <c r="AB424" s="1182">
        <v>757700</v>
      </c>
      <c r="AC424" s="1182" t="s">
        <v>2925</v>
      </c>
      <c r="AD424" s="1182" t="s">
        <v>1561</v>
      </c>
      <c r="AE424" s="1182">
        <v>757700</v>
      </c>
      <c r="AF424" s="1182" t="s">
        <v>1819</v>
      </c>
      <c r="AG424" s="1182" t="s">
        <v>1820</v>
      </c>
      <c r="AH424" s="1182">
        <v>68881</v>
      </c>
      <c r="AI424" s="1182">
        <v>688819</v>
      </c>
      <c r="AJ424" s="1182" t="s">
        <v>3100</v>
      </c>
      <c r="AL424" s="1186" t="s">
        <v>3101</v>
      </c>
      <c r="AM424" s="1182">
        <v>1</v>
      </c>
      <c r="AN424" s="1182">
        <v>0</v>
      </c>
      <c r="AO424" s="1182">
        <v>0</v>
      </c>
      <c r="AP424" s="1182">
        <v>0</v>
      </c>
      <c r="AQ424" s="1182" t="s">
        <v>1639</v>
      </c>
      <c r="AS424" s="1186" t="s">
        <v>1819</v>
      </c>
      <c r="AT424" s="1186" t="s">
        <v>1820</v>
      </c>
      <c r="AV424" s="1183">
        <v>378850</v>
      </c>
      <c r="AW424" s="1183">
        <v>0</v>
      </c>
      <c r="AX424" s="1183">
        <v>0</v>
      </c>
      <c r="AY424" s="1538">
        <v>378850</v>
      </c>
      <c r="AZ424" s="1183">
        <v>0</v>
      </c>
      <c r="BA424" s="1183">
        <v>378850</v>
      </c>
      <c r="BB424" s="1540">
        <v>378850</v>
      </c>
      <c r="BC424" s="1540">
        <v>757700</v>
      </c>
      <c r="BD424" s="1540">
        <v>0</v>
      </c>
      <c r="BF424" s="1539">
        <f t="shared" si="92"/>
        <v>344409</v>
      </c>
      <c r="BG424" s="1539">
        <f t="shared" si="93"/>
        <v>0</v>
      </c>
      <c r="BH424" s="1539">
        <f t="shared" si="94"/>
        <v>0</v>
      </c>
      <c r="BI424" s="1539">
        <f t="shared" si="95"/>
        <v>344409</v>
      </c>
      <c r="BJ424" s="1539">
        <f t="shared" si="96"/>
        <v>0</v>
      </c>
      <c r="BK424" s="1539">
        <f t="shared" si="97"/>
        <v>344409</v>
      </c>
      <c r="BL424" s="1539">
        <f t="shared" si="98"/>
        <v>344409</v>
      </c>
      <c r="BM424" s="1539">
        <f t="shared" si="99"/>
        <v>688818</v>
      </c>
      <c r="BO424" s="1183"/>
      <c r="BQ424" s="1182">
        <f t="shared" si="100"/>
        <v>9.0909090882632881E-2</v>
      </c>
      <c r="BR424" s="1182">
        <f t="shared" si="101"/>
        <v>9.0909090882632881E-2</v>
      </c>
    </row>
    <row r="425" spans="1:70" ht="13.5" customHeight="1">
      <c r="A425" s="1182" t="s">
        <v>1803</v>
      </c>
      <c r="B425" s="1182" t="s">
        <v>1804</v>
      </c>
      <c r="C425" s="1182" t="s">
        <v>1639</v>
      </c>
      <c r="D425" s="1182" t="s">
        <v>2909</v>
      </c>
      <c r="E425" s="1182" t="s">
        <v>2910</v>
      </c>
      <c r="F425" s="1182" t="s">
        <v>2336</v>
      </c>
      <c r="G425" s="1182" t="s">
        <v>2336</v>
      </c>
      <c r="H425" s="1182" t="s">
        <v>3102</v>
      </c>
      <c r="I425" s="1182" t="s">
        <v>1809</v>
      </c>
      <c r="J425" s="1182" t="s">
        <v>3103</v>
      </c>
      <c r="K425" s="1182" t="s">
        <v>1811</v>
      </c>
      <c r="L425" s="1182" t="s">
        <v>1812</v>
      </c>
      <c r="M425" s="1182" t="s">
        <v>1803</v>
      </c>
      <c r="N425" s="1182" t="s">
        <v>2922</v>
      </c>
      <c r="O425" s="1182" t="s">
        <v>1554</v>
      </c>
      <c r="P425" s="1182" t="s">
        <v>1563</v>
      </c>
      <c r="Q425" s="1182" t="s">
        <v>1562</v>
      </c>
      <c r="R425" s="1182" t="s">
        <v>1561</v>
      </c>
      <c r="S425" s="1182" t="s">
        <v>1639</v>
      </c>
      <c r="T425" s="1182" t="s">
        <v>1814</v>
      </c>
      <c r="U425" s="1182" t="s">
        <v>1815</v>
      </c>
      <c r="V425" s="1182">
        <v>0</v>
      </c>
      <c r="W425" s="1182">
        <v>0</v>
      </c>
      <c r="X425" s="1182">
        <v>0</v>
      </c>
      <c r="Y425" s="1543">
        <v>608650</v>
      </c>
      <c r="Z425" s="1182" t="s">
        <v>2923</v>
      </c>
      <c r="AA425" s="1182" t="s">
        <v>2924</v>
      </c>
      <c r="AB425" s="1182">
        <v>608650</v>
      </c>
      <c r="AC425" s="1182" t="s">
        <v>2925</v>
      </c>
      <c r="AD425" s="1182" t="s">
        <v>1561</v>
      </c>
      <c r="AE425" s="1182">
        <v>608650</v>
      </c>
      <c r="AF425" s="1182" t="s">
        <v>1819</v>
      </c>
      <c r="AG425" s="1182" t="s">
        <v>1820</v>
      </c>
      <c r="AH425" s="1182">
        <v>55331</v>
      </c>
      <c r="AI425" s="1182">
        <v>553319</v>
      </c>
      <c r="AJ425" s="1182" t="s">
        <v>3100</v>
      </c>
      <c r="AL425" s="1186" t="s">
        <v>3104</v>
      </c>
      <c r="AM425" s="1182">
        <v>1</v>
      </c>
      <c r="AN425" s="1182">
        <v>0</v>
      </c>
      <c r="AO425" s="1182">
        <v>0</v>
      </c>
      <c r="AP425" s="1182">
        <v>0</v>
      </c>
      <c r="AQ425" s="1182" t="s">
        <v>1639</v>
      </c>
      <c r="AS425" s="1186" t="s">
        <v>1819</v>
      </c>
      <c r="AT425" s="1186" t="s">
        <v>1820</v>
      </c>
      <c r="AV425" s="1183">
        <v>304325</v>
      </c>
      <c r="AW425" s="1183">
        <v>0</v>
      </c>
      <c r="AX425" s="1183">
        <v>0</v>
      </c>
      <c r="AY425" s="1538">
        <v>304325</v>
      </c>
      <c r="AZ425" s="1183">
        <v>0</v>
      </c>
      <c r="BA425" s="1183">
        <v>304325</v>
      </c>
      <c r="BB425" s="1540">
        <v>304325</v>
      </c>
      <c r="BC425" s="1540">
        <v>608650</v>
      </c>
      <c r="BD425" s="1540">
        <v>0</v>
      </c>
      <c r="BF425" s="1539">
        <f t="shared" si="92"/>
        <v>276659</v>
      </c>
      <c r="BG425" s="1539">
        <f t="shared" si="93"/>
        <v>0</v>
      </c>
      <c r="BH425" s="1539">
        <f t="shared" si="94"/>
        <v>0</v>
      </c>
      <c r="BI425" s="1539">
        <f t="shared" si="95"/>
        <v>276659</v>
      </c>
      <c r="BJ425" s="1539">
        <f t="shared" si="96"/>
        <v>0</v>
      </c>
      <c r="BK425" s="1539">
        <f t="shared" si="97"/>
        <v>276659</v>
      </c>
      <c r="BL425" s="1539">
        <f t="shared" si="98"/>
        <v>276659</v>
      </c>
      <c r="BM425" s="1539">
        <f t="shared" si="99"/>
        <v>553318</v>
      </c>
      <c r="BO425" s="1183"/>
      <c r="BQ425" s="1182">
        <f t="shared" si="100"/>
        <v>9.0909090882632881E-2</v>
      </c>
      <c r="BR425" s="1182">
        <f t="shared" si="101"/>
        <v>9.0909090882632881E-2</v>
      </c>
    </row>
    <row r="426" spans="1:70" ht="13.5" customHeight="1">
      <c r="A426" s="1182" t="s">
        <v>1803</v>
      </c>
      <c r="B426" s="1182" t="s">
        <v>1804</v>
      </c>
      <c r="C426" s="1182" t="s">
        <v>1639</v>
      </c>
      <c r="D426" s="1182" t="s">
        <v>2866</v>
      </c>
      <c r="E426" s="1182" t="s">
        <v>2867</v>
      </c>
      <c r="F426" s="1182" t="s">
        <v>3105</v>
      </c>
      <c r="G426" s="1182" t="s">
        <v>3105</v>
      </c>
      <c r="H426" s="1182" t="s">
        <v>3106</v>
      </c>
      <c r="I426" s="1182" t="s">
        <v>1937</v>
      </c>
      <c r="J426" s="1182" t="s">
        <v>3107</v>
      </c>
      <c r="K426" s="1182" t="s">
        <v>1811</v>
      </c>
      <c r="L426" s="1182" t="s">
        <v>1812</v>
      </c>
      <c r="M426" s="1182" t="s">
        <v>1803</v>
      </c>
      <c r="N426" s="1182" t="s">
        <v>2922</v>
      </c>
      <c r="O426" s="1182" t="s">
        <v>1554</v>
      </c>
      <c r="P426" s="1182" t="s">
        <v>1563</v>
      </c>
      <c r="Q426" s="1182" t="s">
        <v>1562</v>
      </c>
      <c r="R426" s="1182" t="s">
        <v>1561</v>
      </c>
      <c r="S426" s="1182" t="s">
        <v>1639</v>
      </c>
      <c r="T426" s="1182" t="s">
        <v>1814</v>
      </c>
      <c r="U426" s="1182" t="s">
        <v>1815</v>
      </c>
      <c r="V426" s="1182">
        <v>0</v>
      </c>
      <c r="W426" s="1182">
        <v>0</v>
      </c>
      <c r="X426" s="1182">
        <v>0</v>
      </c>
      <c r="Y426" s="1183">
        <v>288588</v>
      </c>
      <c r="Z426" s="1182" t="s">
        <v>1940</v>
      </c>
      <c r="AA426" s="1182" t="s">
        <v>1941</v>
      </c>
      <c r="AB426" s="1182">
        <v>288588</v>
      </c>
      <c r="AC426" s="1182" t="s">
        <v>2925</v>
      </c>
      <c r="AD426" s="1182" t="s">
        <v>1561</v>
      </c>
      <c r="AE426" s="1182">
        <v>288588</v>
      </c>
      <c r="AF426" s="1182" t="s">
        <v>1943</v>
      </c>
      <c r="AG426" s="1182" t="s">
        <v>1944</v>
      </c>
      <c r="AH426" s="1182">
        <v>0</v>
      </c>
      <c r="AI426" s="1182">
        <v>288588</v>
      </c>
      <c r="AJ426" s="1182" t="s">
        <v>3108</v>
      </c>
      <c r="AL426" s="1186" t="s">
        <v>3109</v>
      </c>
      <c r="AM426" s="1182">
        <v>1</v>
      </c>
      <c r="AN426" s="1182">
        <v>0</v>
      </c>
      <c r="AO426" s="1182">
        <v>0</v>
      </c>
      <c r="AP426" s="1182">
        <v>0</v>
      </c>
      <c r="AQ426" s="1182" t="s">
        <v>1639</v>
      </c>
      <c r="AS426" s="1186" t="s">
        <v>1943</v>
      </c>
      <c r="AT426" s="1186" t="s">
        <v>1944</v>
      </c>
      <c r="AV426" s="1183">
        <v>0</v>
      </c>
      <c r="AW426" s="1183">
        <v>0</v>
      </c>
      <c r="AX426" s="1183">
        <v>0</v>
      </c>
      <c r="AY426" s="1538">
        <v>0</v>
      </c>
      <c r="AZ426" s="1183">
        <v>0</v>
      </c>
      <c r="BA426" s="1183">
        <v>288588</v>
      </c>
      <c r="BB426" s="1540">
        <v>288588</v>
      </c>
      <c r="BC426" s="1540">
        <v>288588</v>
      </c>
      <c r="BD426" s="1540">
        <v>0</v>
      </c>
      <c r="BF426" s="1539">
        <f t="shared" si="92"/>
        <v>0</v>
      </c>
      <c r="BG426" s="1539">
        <f t="shared" si="93"/>
        <v>0</v>
      </c>
      <c r="BH426" s="1539">
        <f t="shared" si="94"/>
        <v>0</v>
      </c>
      <c r="BI426" s="1539">
        <f t="shared" si="95"/>
        <v>0</v>
      </c>
      <c r="BJ426" s="1539">
        <f t="shared" si="96"/>
        <v>0</v>
      </c>
      <c r="BK426" s="1539">
        <f t="shared" si="97"/>
        <v>288588</v>
      </c>
      <c r="BL426" s="1539">
        <f t="shared" si="98"/>
        <v>288588</v>
      </c>
      <c r="BM426" s="1539">
        <f t="shared" si="99"/>
        <v>288588</v>
      </c>
      <c r="BO426" s="1183"/>
      <c r="BQ426" s="1182">
        <f t="shared" si="100"/>
        <v>0</v>
      </c>
      <c r="BR426" s="1182">
        <f t="shared" si="101"/>
        <v>0</v>
      </c>
    </row>
    <row r="427" spans="1:70" ht="13.5" customHeight="1">
      <c r="A427" s="1182" t="s">
        <v>1803</v>
      </c>
      <c r="B427" s="1182" t="s">
        <v>1804</v>
      </c>
      <c r="C427" s="1182" t="s">
        <v>1639</v>
      </c>
      <c r="D427" s="1182" t="s">
        <v>2866</v>
      </c>
      <c r="E427" s="1182" t="s">
        <v>2867</v>
      </c>
      <c r="F427" s="1182" t="s">
        <v>3110</v>
      </c>
      <c r="G427" s="1182" t="s">
        <v>3110</v>
      </c>
      <c r="H427" s="1182" t="s">
        <v>3111</v>
      </c>
      <c r="I427" s="1182" t="s">
        <v>2933</v>
      </c>
      <c r="J427" s="1182" t="s">
        <v>3112</v>
      </c>
      <c r="K427" s="1182" t="s">
        <v>1811</v>
      </c>
      <c r="L427" s="1182" t="s">
        <v>1812</v>
      </c>
      <c r="M427" s="1182" t="s">
        <v>1803</v>
      </c>
      <c r="N427" s="1182" t="s">
        <v>2922</v>
      </c>
      <c r="O427" s="1182" t="s">
        <v>1554</v>
      </c>
      <c r="P427" s="1182" t="s">
        <v>1563</v>
      </c>
      <c r="Q427" s="1182" t="s">
        <v>1562</v>
      </c>
      <c r="R427" s="1182" t="s">
        <v>1561</v>
      </c>
      <c r="S427" s="1182" t="s">
        <v>1639</v>
      </c>
      <c r="T427" s="1182" t="s">
        <v>1814</v>
      </c>
      <c r="U427" s="1182" t="s">
        <v>1815</v>
      </c>
      <c r="V427" s="1182">
        <v>0</v>
      </c>
      <c r="W427" s="1182">
        <v>0</v>
      </c>
      <c r="X427" s="1182">
        <v>0</v>
      </c>
      <c r="Y427" s="1183">
        <v>720000</v>
      </c>
      <c r="Z427" s="1182" t="s">
        <v>2935</v>
      </c>
      <c r="AA427" s="1182" t="s">
        <v>2936</v>
      </c>
      <c r="AB427" s="1182">
        <v>720000</v>
      </c>
      <c r="AC427" s="1182" t="s">
        <v>2925</v>
      </c>
      <c r="AD427" s="1182" t="s">
        <v>1561</v>
      </c>
      <c r="AE427" s="1182">
        <v>720000</v>
      </c>
      <c r="AF427" s="1182" t="s">
        <v>1943</v>
      </c>
      <c r="AG427" s="1182" t="s">
        <v>1944</v>
      </c>
      <c r="AH427" s="1182">
        <v>0</v>
      </c>
      <c r="AI427" s="1182">
        <v>720000</v>
      </c>
      <c r="AJ427" s="1182" t="s">
        <v>1639</v>
      </c>
      <c r="AL427" s="1186" t="s">
        <v>3113</v>
      </c>
      <c r="AM427" s="1182">
        <v>1</v>
      </c>
      <c r="AN427" s="1182">
        <v>0</v>
      </c>
      <c r="AO427" s="1182">
        <v>0</v>
      </c>
      <c r="AP427" s="1182">
        <v>0</v>
      </c>
      <c r="AQ427" s="1182" t="s">
        <v>1639</v>
      </c>
      <c r="AS427" s="1186" t="s">
        <v>1943</v>
      </c>
      <c r="AT427" s="1186" t="s">
        <v>1944</v>
      </c>
      <c r="AV427" s="1183">
        <v>0</v>
      </c>
      <c r="AW427" s="1183">
        <v>0</v>
      </c>
      <c r="AX427" s="1183">
        <v>0</v>
      </c>
      <c r="AY427" s="1538">
        <v>0</v>
      </c>
      <c r="AZ427" s="1183">
        <v>0</v>
      </c>
      <c r="BA427" s="1183">
        <v>720000</v>
      </c>
      <c r="BB427" s="1540">
        <v>720000</v>
      </c>
      <c r="BC427" s="1540">
        <v>720000</v>
      </c>
      <c r="BD427" s="1540">
        <v>0</v>
      </c>
      <c r="BF427" s="1539">
        <f t="shared" si="92"/>
        <v>0</v>
      </c>
      <c r="BG427" s="1539">
        <f t="shared" si="93"/>
        <v>0</v>
      </c>
      <c r="BH427" s="1539">
        <f t="shared" si="94"/>
        <v>0</v>
      </c>
      <c r="BI427" s="1539">
        <f t="shared" si="95"/>
        <v>0</v>
      </c>
      <c r="BJ427" s="1539">
        <f t="shared" si="96"/>
        <v>0</v>
      </c>
      <c r="BK427" s="1539">
        <f t="shared" si="97"/>
        <v>720000</v>
      </c>
      <c r="BL427" s="1539">
        <f t="shared" si="98"/>
        <v>720000</v>
      </c>
      <c r="BM427" s="1539">
        <f t="shared" si="99"/>
        <v>720000</v>
      </c>
      <c r="BO427" s="1183"/>
      <c r="BQ427" s="1182">
        <f t="shared" si="100"/>
        <v>0</v>
      </c>
      <c r="BR427" s="1182">
        <f t="shared" si="101"/>
        <v>0</v>
      </c>
    </row>
    <row r="428" spans="1:70" ht="13.5" customHeight="1">
      <c r="A428" s="1182" t="s">
        <v>1803</v>
      </c>
      <c r="B428" s="1182" t="s">
        <v>1804</v>
      </c>
      <c r="C428" s="1182" t="s">
        <v>1639</v>
      </c>
      <c r="D428" s="1182" t="s">
        <v>2866</v>
      </c>
      <c r="E428" s="1182" t="s">
        <v>2867</v>
      </c>
      <c r="F428" s="1182" t="s">
        <v>1864</v>
      </c>
      <c r="G428" s="1182" t="s">
        <v>1864</v>
      </c>
      <c r="H428" s="1182" t="s">
        <v>3114</v>
      </c>
      <c r="I428" s="1182" t="s">
        <v>2933</v>
      </c>
      <c r="J428" s="1182" t="s">
        <v>3115</v>
      </c>
      <c r="K428" s="1182" t="s">
        <v>1811</v>
      </c>
      <c r="L428" s="1182" t="s">
        <v>1812</v>
      </c>
      <c r="M428" s="1182" t="s">
        <v>1803</v>
      </c>
      <c r="N428" s="1182" t="s">
        <v>2922</v>
      </c>
      <c r="O428" s="1182" t="s">
        <v>1554</v>
      </c>
      <c r="P428" s="1182" t="s">
        <v>1563</v>
      </c>
      <c r="Q428" s="1182" t="s">
        <v>1562</v>
      </c>
      <c r="R428" s="1182" t="s">
        <v>1561</v>
      </c>
      <c r="S428" s="1182" t="s">
        <v>1639</v>
      </c>
      <c r="T428" s="1182" t="s">
        <v>1814</v>
      </c>
      <c r="U428" s="1182" t="s">
        <v>1815</v>
      </c>
      <c r="V428" s="1182">
        <v>0</v>
      </c>
      <c r="W428" s="1182">
        <v>0</v>
      </c>
      <c r="X428" s="1182">
        <v>0</v>
      </c>
      <c r="Y428" s="1183">
        <v>-865</v>
      </c>
      <c r="Z428" s="1182" t="s">
        <v>2925</v>
      </c>
      <c r="AA428" s="1182" t="s">
        <v>1561</v>
      </c>
      <c r="AB428" s="1182">
        <v>865</v>
      </c>
      <c r="AC428" s="1182" t="s">
        <v>3116</v>
      </c>
      <c r="AD428" s="1182" t="s">
        <v>3117</v>
      </c>
      <c r="AE428" s="1182">
        <v>865</v>
      </c>
      <c r="AF428" s="1182" t="s">
        <v>1943</v>
      </c>
      <c r="AG428" s="1182" t="s">
        <v>1944</v>
      </c>
      <c r="AH428" s="1182">
        <v>0</v>
      </c>
      <c r="AI428" s="1182">
        <v>-865</v>
      </c>
      <c r="AJ428" s="1182" t="s">
        <v>1639</v>
      </c>
      <c r="AL428" s="1186" t="s">
        <v>3118</v>
      </c>
      <c r="AM428" s="1182">
        <v>1</v>
      </c>
      <c r="AN428" s="1182">
        <v>0</v>
      </c>
      <c r="AO428" s="1182">
        <v>0</v>
      </c>
      <c r="AP428" s="1182" t="e">
        <v>#N/A</v>
      </c>
      <c r="AQ428" s="1182" t="s">
        <v>1639</v>
      </c>
      <c r="AS428" s="1186" t="s">
        <v>1943</v>
      </c>
      <c r="AT428" s="1186" t="s">
        <v>1944</v>
      </c>
      <c r="AV428" s="1183">
        <v>-432</v>
      </c>
      <c r="AW428" s="1183">
        <v>0</v>
      </c>
      <c r="AX428" s="1183">
        <v>0</v>
      </c>
      <c r="AY428" s="1538">
        <v>-432</v>
      </c>
      <c r="AZ428" s="1183">
        <v>0</v>
      </c>
      <c r="BA428" s="1183">
        <v>-433</v>
      </c>
      <c r="BB428" s="1540">
        <v>-433</v>
      </c>
      <c r="BC428" s="1540">
        <v>-865</v>
      </c>
      <c r="BD428" s="1540">
        <v>0</v>
      </c>
      <c r="BF428" s="1539">
        <f t="shared" si="92"/>
        <v>-432</v>
      </c>
      <c r="BG428" s="1539">
        <f t="shared" si="93"/>
        <v>0</v>
      </c>
      <c r="BH428" s="1539">
        <f t="shared" si="94"/>
        <v>0</v>
      </c>
      <c r="BI428" s="1539">
        <f t="shared" si="95"/>
        <v>-432</v>
      </c>
      <c r="BJ428" s="1539">
        <f t="shared" si="96"/>
        <v>0</v>
      </c>
      <c r="BK428" s="1539">
        <f t="shared" si="97"/>
        <v>-433</v>
      </c>
      <c r="BL428" s="1539">
        <f t="shared" si="98"/>
        <v>-433</v>
      </c>
      <c r="BM428" s="1539">
        <f t="shared" si="99"/>
        <v>-865</v>
      </c>
      <c r="BO428" s="1183"/>
      <c r="BQ428" s="1182">
        <f t="shared" si="100"/>
        <v>0</v>
      </c>
      <c r="BR428" s="1182">
        <f t="shared" si="101"/>
        <v>0</v>
      </c>
    </row>
    <row r="429" spans="1:70" ht="13.5" customHeight="1">
      <c r="A429" s="1182" t="s">
        <v>1803</v>
      </c>
      <c r="B429" s="1182" t="s">
        <v>1804</v>
      </c>
      <c r="C429" s="1182" t="s">
        <v>1639</v>
      </c>
      <c r="D429" s="1182" t="s">
        <v>2523</v>
      </c>
      <c r="E429" s="1182" t="s">
        <v>2524</v>
      </c>
      <c r="F429" s="1182" t="s">
        <v>3013</v>
      </c>
      <c r="G429" s="1182" t="s">
        <v>3013</v>
      </c>
      <c r="H429" s="1182" t="s">
        <v>3119</v>
      </c>
      <c r="I429" s="1182" t="s">
        <v>1809</v>
      </c>
      <c r="J429" s="1182" t="s">
        <v>3120</v>
      </c>
      <c r="K429" s="1182" t="s">
        <v>1811</v>
      </c>
      <c r="L429" s="1182" t="s">
        <v>1812</v>
      </c>
      <c r="M429" s="1182" t="s">
        <v>1803</v>
      </c>
      <c r="N429" s="1182" t="s">
        <v>2922</v>
      </c>
      <c r="O429" s="1182" t="s">
        <v>1554</v>
      </c>
      <c r="P429" s="1182" t="s">
        <v>1563</v>
      </c>
      <c r="Q429" s="1182" t="s">
        <v>1562</v>
      </c>
      <c r="R429" s="1182" t="s">
        <v>1561</v>
      </c>
      <c r="S429" s="1182" t="s">
        <v>1639</v>
      </c>
      <c r="T429" s="1182" t="s">
        <v>1814</v>
      </c>
      <c r="U429" s="1182" t="s">
        <v>1815</v>
      </c>
      <c r="V429" s="1182">
        <v>0</v>
      </c>
      <c r="W429" s="1182">
        <v>0</v>
      </c>
      <c r="X429" s="1182">
        <v>0</v>
      </c>
      <c r="Y429" s="1183">
        <v>402</v>
      </c>
      <c r="Z429" s="1182" t="s">
        <v>2923</v>
      </c>
      <c r="AA429" s="1182" t="s">
        <v>2924</v>
      </c>
      <c r="AB429" s="1182">
        <v>402</v>
      </c>
      <c r="AC429" s="1182" t="s">
        <v>2925</v>
      </c>
      <c r="AD429" s="1182" t="s">
        <v>1561</v>
      </c>
      <c r="AE429" s="1182">
        <v>402</v>
      </c>
      <c r="AF429" s="1182" t="s">
        <v>1819</v>
      </c>
      <c r="AG429" s="1182" t="s">
        <v>1820</v>
      </c>
      <c r="AH429" s="1182">
        <v>36</v>
      </c>
      <c r="AI429" s="1182">
        <v>366</v>
      </c>
      <c r="AJ429" s="1182" t="s">
        <v>3121</v>
      </c>
      <c r="AL429" s="1186" t="s">
        <v>3122</v>
      </c>
      <c r="AM429" s="1182">
        <v>1</v>
      </c>
      <c r="AN429" s="1182">
        <v>0</v>
      </c>
      <c r="AO429" s="1182">
        <v>0</v>
      </c>
      <c r="AP429" s="1182">
        <v>0</v>
      </c>
      <c r="AQ429" s="1182" t="s">
        <v>1639</v>
      </c>
      <c r="AS429" s="1186" t="s">
        <v>1819</v>
      </c>
      <c r="AT429" s="1186" t="s">
        <v>1820</v>
      </c>
      <c r="AV429" s="1183">
        <v>76</v>
      </c>
      <c r="AW429" s="1183">
        <v>0</v>
      </c>
      <c r="AX429" s="1183">
        <v>0</v>
      </c>
      <c r="AY429" s="1538">
        <v>76</v>
      </c>
      <c r="AZ429" s="1183">
        <v>0</v>
      </c>
      <c r="BA429" s="1183">
        <v>326</v>
      </c>
      <c r="BB429" s="1540">
        <v>326</v>
      </c>
      <c r="BC429" s="1540">
        <v>402</v>
      </c>
      <c r="BD429" s="1540">
        <v>0</v>
      </c>
      <c r="BF429" s="1539">
        <f t="shared" si="92"/>
        <v>69</v>
      </c>
      <c r="BG429" s="1539">
        <f t="shared" si="93"/>
        <v>0</v>
      </c>
      <c r="BH429" s="1539">
        <f t="shared" si="94"/>
        <v>0</v>
      </c>
      <c r="BI429" s="1539">
        <f t="shared" si="95"/>
        <v>69</v>
      </c>
      <c r="BJ429" s="1539">
        <f t="shared" si="96"/>
        <v>0</v>
      </c>
      <c r="BK429" s="1539">
        <f t="shared" si="97"/>
        <v>296</v>
      </c>
      <c r="BL429" s="1539">
        <f t="shared" si="98"/>
        <v>296</v>
      </c>
      <c r="BM429" s="1539">
        <f t="shared" si="99"/>
        <v>365</v>
      </c>
      <c r="BO429" s="1183"/>
      <c r="BQ429" s="1182">
        <f t="shared" si="100"/>
        <v>9.0909090909093493E-2</v>
      </c>
      <c r="BR429" s="1182">
        <f t="shared" si="101"/>
        <v>0.36363636363637397</v>
      </c>
    </row>
    <row r="430" spans="1:70" ht="13.5" customHeight="1">
      <c r="A430" s="1182" t="s">
        <v>1803</v>
      </c>
      <c r="B430" s="1182" t="s">
        <v>1804</v>
      </c>
      <c r="C430" s="1182" t="s">
        <v>1639</v>
      </c>
      <c r="D430" s="1182" t="s">
        <v>2523</v>
      </c>
      <c r="E430" s="1182" t="s">
        <v>2524</v>
      </c>
      <c r="F430" s="1182" t="s">
        <v>2841</v>
      </c>
      <c r="G430" s="1182" t="s">
        <v>2841</v>
      </c>
      <c r="H430" s="1182" t="s">
        <v>3123</v>
      </c>
      <c r="I430" s="1182" t="s">
        <v>1809</v>
      </c>
      <c r="J430" s="1182" t="s">
        <v>3124</v>
      </c>
      <c r="K430" s="1182" t="s">
        <v>1811</v>
      </c>
      <c r="L430" s="1182" t="s">
        <v>1812</v>
      </c>
      <c r="M430" s="1182" t="s">
        <v>1803</v>
      </c>
      <c r="N430" s="1182" t="s">
        <v>2922</v>
      </c>
      <c r="O430" s="1182" t="s">
        <v>1554</v>
      </c>
      <c r="P430" s="1182" t="s">
        <v>1563</v>
      </c>
      <c r="Q430" s="1182" t="s">
        <v>1562</v>
      </c>
      <c r="R430" s="1182" t="s">
        <v>1561</v>
      </c>
      <c r="S430" s="1182" t="s">
        <v>1639</v>
      </c>
      <c r="T430" s="1182" t="s">
        <v>1814</v>
      </c>
      <c r="U430" s="1182" t="s">
        <v>1815</v>
      </c>
      <c r="V430" s="1182">
        <v>0</v>
      </c>
      <c r="W430" s="1182">
        <v>0</v>
      </c>
      <c r="X430" s="1182">
        <v>0</v>
      </c>
      <c r="Y430" s="1183">
        <v>396</v>
      </c>
      <c r="Z430" s="1182" t="s">
        <v>2923</v>
      </c>
      <c r="AA430" s="1182" t="s">
        <v>2924</v>
      </c>
      <c r="AB430" s="1182">
        <v>396</v>
      </c>
      <c r="AC430" s="1182" t="s">
        <v>2925</v>
      </c>
      <c r="AD430" s="1182" t="s">
        <v>1561</v>
      </c>
      <c r="AE430" s="1182">
        <v>396</v>
      </c>
      <c r="AF430" s="1182" t="s">
        <v>1819</v>
      </c>
      <c r="AG430" s="1182" t="s">
        <v>1820</v>
      </c>
      <c r="AH430" s="1182">
        <v>36</v>
      </c>
      <c r="AI430" s="1182">
        <v>360</v>
      </c>
      <c r="AJ430" s="1182" t="s">
        <v>3121</v>
      </c>
      <c r="AL430" s="1186" t="s">
        <v>3125</v>
      </c>
      <c r="AM430" s="1182">
        <v>1</v>
      </c>
      <c r="AN430" s="1182">
        <v>0</v>
      </c>
      <c r="AO430" s="1182">
        <v>0</v>
      </c>
      <c r="AP430" s="1182">
        <v>0</v>
      </c>
      <c r="AQ430" s="1182" t="s">
        <v>1639</v>
      </c>
      <c r="AS430" s="1186" t="s">
        <v>1819</v>
      </c>
      <c r="AT430" s="1186" t="s">
        <v>1820</v>
      </c>
      <c r="AV430" s="1183">
        <v>75</v>
      </c>
      <c r="AW430" s="1183">
        <v>0</v>
      </c>
      <c r="AX430" s="1183">
        <v>0</v>
      </c>
      <c r="AY430" s="1538">
        <v>75</v>
      </c>
      <c r="AZ430" s="1183">
        <v>0</v>
      </c>
      <c r="BA430" s="1183">
        <v>321</v>
      </c>
      <c r="BB430" s="1540">
        <v>321</v>
      </c>
      <c r="BC430" s="1540">
        <v>396</v>
      </c>
      <c r="BD430" s="1540">
        <v>0</v>
      </c>
      <c r="BF430" s="1539">
        <f t="shared" si="92"/>
        <v>68</v>
      </c>
      <c r="BG430" s="1539">
        <f t="shared" si="93"/>
        <v>0</v>
      </c>
      <c r="BH430" s="1539">
        <f t="shared" si="94"/>
        <v>0</v>
      </c>
      <c r="BI430" s="1539">
        <f t="shared" si="95"/>
        <v>68</v>
      </c>
      <c r="BJ430" s="1539">
        <f t="shared" si="96"/>
        <v>0</v>
      </c>
      <c r="BK430" s="1539">
        <f t="shared" si="97"/>
        <v>292</v>
      </c>
      <c r="BL430" s="1539">
        <f t="shared" si="98"/>
        <v>292</v>
      </c>
      <c r="BM430" s="1539">
        <f t="shared" si="99"/>
        <v>360</v>
      </c>
      <c r="BO430" s="1183"/>
      <c r="BQ430" s="1182">
        <f t="shared" si="100"/>
        <v>0.18181818181818699</v>
      </c>
      <c r="BR430" s="1182">
        <f t="shared" si="101"/>
        <v>-0.18181818181818699</v>
      </c>
    </row>
    <row r="431" spans="1:70" ht="13.5" customHeight="1">
      <c r="A431" s="1182" t="s">
        <v>1803</v>
      </c>
      <c r="B431" s="1182" t="s">
        <v>1804</v>
      </c>
      <c r="C431" s="1182" t="s">
        <v>1639</v>
      </c>
      <c r="D431" s="1182" t="s">
        <v>2523</v>
      </c>
      <c r="E431" s="1182" t="s">
        <v>2524</v>
      </c>
      <c r="F431" s="1182" t="s">
        <v>1864</v>
      </c>
      <c r="G431" s="1182" t="s">
        <v>1864</v>
      </c>
      <c r="H431" s="1182" t="s">
        <v>3126</v>
      </c>
      <c r="I431" s="1182" t="s">
        <v>1809</v>
      </c>
      <c r="J431" s="1182" t="s">
        <v>3127</v>
      </c>
      <c r="K431" s="1182" t="s">
        <v>1811</v>
      </c>
      <c r="L431" s="1182" t="s">
        <v>1812</v>
      </c>
      <c r="M431" s="1182" t="s">
        <v>1803</v>
      </c>
      <c r="N431" s="1182" t="s">
        <v>2922</v>
      </c>
      <c r="O431" s="1182" t="s">
        <v>1554</v>
      </c>
      <c r="P431" s="1182" t="s">
        <v>1563</v>
      </c>
      <c r="Q431" s="1182" t="s">
        <v>1562</v>
      </c>
      <c r="R431" s="1182" t="s">
        <v>1561</v>
      </c>
      <c r="S431" s="1182" t="s">
        <v>1639</v>
      </c>
      <c r="T431" s="1182" t="s">
        <v>1814</v>
      </c>
      <c r="U431" s="1182" t="s">
        <v>1815</v>
      </c>
      <c r="V431" s="1182">
        <v>0</v>
      </c>
      <c r="W431" s="1182">
        <v>0</v>
      </c>
      <c r="X431" s="1182">
        <v>0</v>
      </c>
      <c r="Y431" s="1183">
        <v>399</v>
      </c>
      <c r="Z431" s="1182" t="s">
        <v>2923</v>
      </c>
      <c r="AA431" s="1182" t="s">
        <v>2924</v>
      </c>
      <c r="AB431" s="1182">
        <v>399</v>
      </c>
      <c r="AC431" s="1182" t="s">
        <v>2925</v>
      </c>
      <c r="AD431" s="1182" t="s">
        <v>1561</v>
      </c>
      <c r="AE431" s="1182">
        <v>399</v>
      </c>
      <c r="AF431" s="1182" t="s">
        <v>1819</v>
      </c>
      <c r="AG431" s="1182" t="s">
        <v>1820</v>
      </c>
      <c r="AH431" s="1182">
        <v>36</v>
      </c>
      <c r="AI431" s="1182">
        <v>363</v>
      </c>
      <c r="AJ431" s="1182" t="s">
        <v>3128</v>
      </c>
      <c r="AL431" s="1186" t="s">
        <v>3129</v>
      </c>
      <c r="AM431" s="1182">
        <v>1</v>
      </c>
      <c r="AN431" s="1182">
        <v>0</v>
      </c>
      <c r="AO431" s="1182">
        <v>0</v>
      </c>
      <c r="AP431" s="1182">
        <v>0</v>
      </c>
      <c r="AQ431" s="1182" t="s">
        <v>1639</v>
      </c>
      <c r="AS431" s="1186" t="s">
        <v>1819</v>
      </c>
      <c r="AT431" s="1186" t="s">
        <v>1820</v>
      </c>
      <c r="AV431" s="1183">
        <v>76</v>
      </c>
      <c r="AW431" s="1183">
        <v>0</v>
      </c>
      <c r="AX431" s="1183">
        <v>0</v>
      </c>
      <c r="AY431" s="1538">
        <v>76</v>
      </c>
      <c r="AZ431" s="1183">
        <v>0</v>
      </c>
      <c r="BA431" s="1183">
        <v>323</v>
      </c>
      <c r="BB431" s="1540">
        <v>323</v>
      </c>
      <c r="BC431" s="1540">
        <v>399</v>
      </c>
      <c r="BD431" s="1540">
        <v>0</v>
      </c>
      <c r="BF431" s="1539">
        <f t="shared" si="92"/>
        <v>69</v>
      </c>
      <c r="BG431" s="1539">
        <f t="shared" si="93"/>
        <v>0</v>
      </c>
      <c r="BH431" s="1539">
        <f t="shared" si="94"/>
        <v>0</v>
      </c>
      <c r="BI431" s="1539">
        <f t="shared" si="95"/>
        <v>69</v>
      </c>
      <c r="BJ431" s="1539">
        <f t="shared" si="96"/>
        <v>0</v>
      </c>
      <c r="BK431" s="1539">
        <f t="shared" si="97"/>
        <v>294</v>
      </c>
      <c r="BL431" s="1539">
        <f t="shared" si="98"/>
        <v>294</v>
      </c>
      <c r="BM431" s="1539">
        <f t="shared" si="99"/>
        <v>363</v>
      </c>
      <c r="BO431" s="1183"/>
      <c r="BQ431" s="1182">
        <f t="shared" si="100"/>
        <v>9.0909090909093493E-2</v>
      </c>
      <c r="BR431" s="1182">
        <f t="shared" si="101"/>
        <v>-0.36363636363637397</v>
      </c>
    </row>
    <row r="432" spans="1:70" ht="13.5" customHeight="1">
      <c r="A432" s="1182" t="s">
        <v>1803</v>
      </c>
      <c r="B432" s="1182" t="s">
        <v>1804</v>
      </c>
      <c r="C432" s="1182" t="s">
        <v>1639</v>
      </c>
      <c r="D432" s="1182" t="s">
        <v>2523</v>
      </c>
      <c r="E432" s="1182" t="s">
        <v>2524</v>
      </c>
      <c r="F432" s="1182" t="s">
        <v>3130</v>
      </c>
      <c r="G432" s="1182" t="s">
        <v>3130</v>
      </c>
      <c r="H432" s="1182" t="s">
        <v>3131</v>
      </c>
      <c r="I432" s="1182" t="s">
        <v>1809</v>
      </c>
      <c r="J432" s="1182" t="s">
        <v>3132</v>
      </c>
      <c r="K432" s="1182" t="s">
        <v>1811</v>
      </c>
      <c r="L432" s="1182" t="s">
        <v>1812</v>
      </c>
      <c r="M432" s="1182" t="s">
        <v>1803</v>
      </c>
      <c r="N432" s="1182" t="s">
        <v>2922</v>
      </c>
      <c r="O432" s="1182" t="s">
        <v>1554</v>
      </c>
      <c r="P432" s="1182" t="s">
        <v>1563</v>
      </c>
      <c r="Q432" s="1182" t="s">
        <v>1562</v>
      </c>
      <c r="R432" s="1182" t="s">
        <v>1561</v>
      </c>
      <c r="S432" s="1182" t="s">
        <v>1639</v>
      </c>
      <c r="T432" s="1182" t="s">
        <v>1814</v>
      </c>
      <c r="U432" s="1182" t="s">
        <v>1815</v>
      </c>
      <c r="V432" s="1182">
        <v>0</v>
      </c>
      <c r="W432" s="1182">
        <v>0</v>
      </c>
      <c r="X432" s="1182">
        <v>0</v>
      </c>
      <c r="Y432" s="1183">
        <v>527</v>
      </c>
      <c r="Z432" s="1182" t="s">
        <v>2923</v>
      </c>
      <c r="AA432" s="1182" t="s">
        <v>2924</v>
      </c>
      <c r="AB432" s="1182">
        <v>527</v>
      </c>
      <c r="AC432" s="1182" t="s">
        <v>2925</v>
      </c>
      <c r="AD432" s="1182" t="s">
        <v>1561</v>
      </c>
      <c r="AE432" s="1182">
        <v>527</v>
      </c>
      <c r="AF432" s="1182" t="s">
        <v>1819</v>
      </c>
      <c r="AG432" s="1182" t="s">
        <v>1820</v>
      </c>
      <c r="AH432" s="1182">
        <v>47</v>
      </c>
      <c r="AI432" s="1182">
        <v>480</v>
      </c>
      <c r="AJ432" s="1182" t="s">
        <v>3133</v>
      </c>
      <c r="AL432" s="1186" t="s">
        <v>3134</v>
      </c>
      <c r="AM432" s="1182">
        <v>1</v>
      </c>
      <c r="AN432" s="1182">
        <v>0</v>
      </c>
      <c r="AO432" s="1182">
        <v>0</v>
      </c>
      <c r="AP432" s="1182">
        <v>0</v>
      </c>
      <c r="AQ432" s="1182" t="s">
        <v>1639</v>
      </c>
      <c r="AS432" s="1186" t="s">
        <v>1819</v>
      </c>
      <c r="AT432" s="1186" t="s">
        <v>1820</v>
      </c>
      <c r="AV432" s="1183">
        <v>100</v>
      </c>
      <c r="AW432" s="1183">
        <v>0</v>
      </c>
      <c r="AX432" s="1183">
        <v>0</v>
      </c>
      <c r="AY432" s="1538">
        <v>100</v>
      </c>
      <c r="AZ432" s="1183">
        <v>0</v>
      </c>
      <c r="BA432" s="1183">
        <v>427</v>
      </c>
      <c r="BB432" s="1540">
        <v>427</v>
      </c>
      <c r="BC432" s="1540">
        <v>527</v>
      </c>
      <c r="BD432" s="1540">
        <v>0</v>
      </c>
      <c r="BF432" s="1539">
        <f t="shared" si="92"/>
        <v>91</v>
      </c>
      <c r="BG432" s="1539">
        <f t="shared" si="93"/>
        <v>0</v>
      </c>
      <c r="BH432" s="1539">
        <f t="shared" si="94"/>
        <v>0</v>
      </c>
      <c r="BI432" s="1539">
        <f t="shared" si="95"/>
        <v>91</v>
      </c>
      <c r="BJ432" s="1539">
        <f t="shared" si="96"/>
        <v>0</v>
      </c>
      <c r="BK432" s="1539">
        <f t="shared" si="97"/>
        <v>388</v>
      </c>
      <c r="BL432" s="1539">
        <f t="shared" si="98"/>
        <v>388</v>
      </c>
      <c r="BM432" s="1539">
        <f t="shared" si="99"/>
        <v>479</v>
      </c>
      <c r="BO432" s="1183"/>
      <c r="BQ432" s="1182">
        <f t="shared" si="100"/>
        <v>-9.0909090909093493E-2</v>
      </c>
      <c r="BR432" s="1182">
        <f t="shared" si="101"/>
        <v>0.18181818181818699</v>
      </c>
    </row>
    <row r="433" spans="1:70" ht="13.5" customHeight="1">
      <c r="A433" s="1182" t="s">
        <v>1803</v>
      </c>
      <c r="B433" s="1182" t="s">
        <v>1804</v>
      </c>
      <c r="C433" s="1182" t="s">
        <v>1639</v>
      </c>
      <c r="D433" s="1182" t="s">
        <v>2523</v>
      </c>
      <c r="E433" s="1182" t="s">
        <v>2524</v>
      </c>
      <c r="F433" s="1182" t="s">
        <v>2381</v>
      </c>
      <c r="G433" s="1182" t="s">
        <v>2381</v>
      </c>
      <c r="H433" s="1182" t="s">
        <v>3135</v>
      </c>
      <c r="I433" s="1182" t="s">
        <v>1809</v>
      </c>
      <c r="J433" s="1182" t="s">
        <v>3136</v>
      </c>
      <c r="K433" s="1182" t="s">
        <v>1811</v>
      </c>
      <c r="L433" s="1182" t="s">
        <v>1812</v>
      </c>
      <c r="M433" s="1182" t="s">
        <v>1803</v>
      </c>
      <c r="N433" s="1182" t="s">
        <v>2922</v>
      </c>
      <c r="O433" s="1182" t="s">
        <v>1554</v>
      </c>
      <c r="P433" s="1182" t="s">
        <v>1563</v>
      </c>
      <c r="Q433" s="1182" t="s">
        <v>1562</v>
      </c>
      <c r="R433" s="1182" t="s">
        <v>1561</v>
      </c>
      <c r="S433" s="1182" t="s">
        <v>1639</v>
      </c>
      <c r="T433" s="1182" t="s">
        <v>1814</v>
      </c>
      <c r="U433" s="1182" t="s">
        <v>1815</v>
      </c>
      <c r="V433" s="1182">
        <v>0</v>
      </c>
      <c r="W433" s="1182">
        <v>0</v>
      </c>
      <c r="X433" s="1182">
        <v>0</v>
      </c>
      <c r="Y433" s="1183">
        <v>463</v>
      </c>
      <c r="Z433" s="1182" t="s">
        <v>2923</v>
      </c>
      <c r="AA433" s="1182" t="s">
        <v>2924</v>
      </c>
      <c r="AB433" s="1182">
        <v>463</v>
      </c>
      <c r="AC433" s="1182" t="s">
        <v>2925</v>
      </c>
      <c r="AD433" s="1182" t="s">
        <v>1561</v>
      </c>
      <c r="AE433" s="1182">
        <v>463</v>
      </c>
      <c r="AF433" s="1182" t="s">
        <v>1819</v>
      </c>
      <c r="AG433" s="1182" t="s">
        <v>1820</v>
      </c>
      <c r="AH433" s="1182">
        <v>42</v>
      </c>
      <c r="AI433" s="1182">
        <v>421</v>
      </c>
      <c r="AJ433" s="1182" t="s">
        <v>3121</v>
      </c>
      <c r="AL433" s="1186" t="s">
        <v>3137</v>
      </c>
      <c r="AM433" s="1182">
        <v>1</v>
      </c>
      <c r="AN433" s="1182">
        <v>0</v>
      </c>
      <c r="AO433" s="1182">
        <v>0</v>
      </c>
      <c r="AP433" s="1182">
        <v>0</v>
      </c>
      <c r="AQ433" s="1182" t="s">
        <v>1639</v>
      </c>
      <c r="AS433" s="1186" t="s">
        <v>1819</v>
      </c>
      <c r="AT433" s="1186" t="s">
        <v>1820</v>
      </c>
      <c r="AV433" s="1183">
        <v>88</v>
      </c>
      <c r="AW433" s="1183">
        <v>0</v>
      </c>
      <c r="AX433" s="1183">
        <v>0</v>
      </c>
      <c r="AY433" s="1538">
        <v>88</v>
      </c>
      <c r="AZ433" s="1183">
        <v>0</v>
      </c>
      <c r="BA433" s="1183">
        <v>375</v>
      </c>
      <c r="BB433" s="1540">
        <v>375</v>
      </c>
      <c r="BC433" s="1540">
        <v>463</v>
      </c>
      <c r="BD433" s="1540">
        <v>0</v>
      </c>
      <c r="BF433" s="1539">
        <f t="shared" si="92"/>
        <v>80</v>
      </c>
      <c r="BG433" s="1539">
        <f t="shared" si="93"/>
        <v>0</v>
      </c>
      <c r="BH433" s="1539">
        <f t="shared" si="94"/>
        <v>0</v>
      </c>
      <c r="BI433" s="1539">
        <f t="shared" si="95"/>
        <v>80</v>
      </c>
      <c r="BJ433" s="1539">
        <f t="shared" si="96"/>
        <v>0</v>
      </c>
      <c r="BK433" s="1539">
        <f t="shared" si="97"/>
        <v>341</v>
      </c>
      <c r="BL433" s="1539">
        <f t="shared" si="98"/>
        <v>341</v>
      </c>
      <c r="BM433" s="1539">
        <f t="shared" si="99"/>
        <v>421</v>
      </c>
      <c r="BO433" s="1183"/>
      <c r="BQ433" s="1182">
        <f t="shared" si="100"/>
        <v>0</v>
      </c>
      <c r="BR433" s="1182">
        <f t="shared" si="101"/>
        <v>-9.0909090909065071E-2</v>
      </c>
    </row>
    <row r="434" spans="1:70" ht="13.5" customHeight="1">
      <c r="A434" s="1182" t="s">
        <v>1803</v>
      </c>
      <c r="B434" s="1182" t="s">
        <v>1804</v>
      </c>
      <c r="C434" s="1182" t="s">
        <v>1639</v>
      </c>
      <c r="D434" s="1182" t="s">
        <v>2523</v>
      </c>
      <c r="E434" s="1182" t="s">
        <v>2524</v>
      </c>
      <c r="F434" s="1182" t="s">
        <v>2679</v>
      </c>
      <c r="G434" s="1182" t="s">
        <v>2679</v>
      </c>
      <c r="H434" s="1182" t="s">
        <v>3138</v>
      </c>
      <c r="I434" s="1182" t="s">
        <v>1809</v>
      </c>
      <c r="J434" s="1182" t="s">
        <v>3139</v>
      </c>
      <c r="K434" s="1182" t="s">
        <v>1811</v>
      </c>
      <c r="L434" s="1182" t="s">
        <v>1812</v>
      </c>
      <c r="M434" s="1182" t="s">
        <v>1803</v>
      </c>
      <c r="N434" s="1182" t="s">
        <v>2922</v>
      </c>
      <c r="O434" s="1182" t="s">
        <v>1554</v>
      </c>
      <c r="P434" s="1182" t="s">
        <v>1563</v>
      </c>
      <c r="Q434" s="1182" t="s">
        <v>1562</v>
      </c>
      <c r="R434" s="1182" t="s">
        <v>1561</v>
      </c>
      <c r="S434" s="1182" t="s">
        <v>1639</v>
      </c>
      <c r="T434" s="1182" t="s">
        <v>1814</v>
      </c>
      <c r="U434" s="1182" t="s">
        <v>1815</v>
      </c>
      <c r="V434" s="1182">
        <v>0</v>
      </c>
      <c r="W434" s="1182">
        <v>0</v>
      </c>
      <c r="X434" s="1182">
        <v>0</v>
      </c>
      <c r="Y434" s="1185">
        <v>414</v>
      </c>
      <c r="Z434" s="1182" t="s">
        <v>2923</v>
      </c>
      <c r="AA434" s="1182" t="s">
        <v>2924</v>
      </c>
      <c r="AB434" s="1182">
        <v>414</v>
      </c>
      <c r="AC434" s="1182" t="s">
        <v>2925</v>
      </c>
      <c r="AD434" s="1182" t="s">
        <v>1561</v>
      </c>
      <c r="AE434" s="1182">
        <v>414</v>
      </c>
      <c r="AF434" s="1182" t="s">
        <v>1819</v>
      </c>
      <c r="AG434" s="1182" t="s">
        <v>1820</v>
      </c>
      <c r="AH434" s="1182">
        <v>37</v>
      </c>
      <c r="AI434" s="1182">
        <v>377</v>
      </c>
      <c r="AJ434" s="1182" t="s">
        <v>3121</v>
      </c>
      <c r="AL434" s="1186" t="s">
        <v>3140</v>
      </c>
      <c r="AM434" s="1182">
        <v>1</v>
      </c>
      <c r="AN434" s="1182">
        <v>0</v>
      </c>
      <c r="AO434" s="1182">
        <v>0</v>
      </c>
      <c r="AP434" s="1182">
        <v>0</v>
      </c>
      <c r="AQ434" s="1182" t="s">
        <v>1639</v>
      </c>
      <c r="AS434" s="1186" t="s">
        <v>1819</v>
      </c>
      <c r="AT434" s="1186" t="s">
        <v>1820</v>
      </c>
      <c r="AV434" s="1183">
        <v>79</v>
      </c>
      <c r="AW434" s="1183">
        <v>0</v>
      </c>
      <c r="AX434" s="1183">
        <v>0</v>
      </c>
      <c r="AY434" s="1538">
        <v>79</v>
      </c>
      <c r="AZ434" s="1183">
        <v>0</v>
      </c>
      <c r="BA434" s="1183">
        <v>335</v>
      </c>
      <c r="BB434" s="1540">
        <v>335</v>
      </c>
      <c r="BC434" s="1540">
        <v>414</v>
      </c>
      <c r="BD434" s="1540">
        <v>0</v>
      </c>
      <c r="BF434" s="1539">
        <f t="shared" si="92"/>
        <v>72</v>
      </c>
      <c r="BG434" s="1539">
        <f t="shared" si="93"/>
        <v>0</v>
      </c>
      <c r="BH434" s="1539">
        <f t="shared" si="94"/>
        <v>0</v>
      </c>
      <c r="BI434" s="1539">
        <f t="shared" si="95"/>
        <v>72</v>
      </c>
      <c r="BJ434" s="1539">
        <f t="shared" si="96"/>
        <v>0</v>
      </c>
      <c r="BK434" s="1539">
        <f t="shared" si="97"/>
        <v>305</v>
      </c>
      <c r="BL434" s="1539">
        <f t="shared" si="98"/>
        <v>305</v>
      </c>
      <c r="BM434" s="1539">
        <f t="shared" si="99"/>
        <v>377</v>
      </c>
      <c r="BO434" s="1183"/>
      <c r="BQ434" s="1182">
        <f t="shared" si="100"/>
        <v>-0.18181818181818699</v>
      </c>
      <c r="BR434" s="1182">
        <f t="shared" si="101"/>
        <v>-0.45454545454543904</v>
      </c>
    </row>
    <row r="435" spans="1:70" ht="13.5" customHeight="1">
      <c r="A435" s="1182" t="s">
        <v>1803</v>
      </c>
      <c r="B435" s="1182" t="s">
        <v>1804</v>
      </c>
      <c r="C435" s="1182" t="s">
        <v>1639</v>
      </c>
      <c r="D435" s="1182" t="s">
        <v>1933</v>
      </c>
      <c r="E435" s="1182" t="s">
        <v>1934</v>
      </c>
      <c r="F435" s="1182" t="s">
        <v>2234</v>
      </c>
      <c r="G435" s="1182" t="s">
        <v>2234</v>
      </c>
      <c r="H435" s="1182" t="s">
        <v>3141</v>
      </c>
      <c r="I435" s="1182" t="s">
        <v>1809</v>
      </c>
      <c r="J435" s="1182" t="s">
        <v>3148</v>
      </c>
      <c r="K435" s="1182" t="s">
        <v>1811</v>
      </c>
      <c r="L435" s="1182" t="s">
        <v>1812</v>
      </c>
      <c r="M435" s="1182" t="s">
        <v>1803</v>
      </c>
      <c r="N435" s="1182" t="s">
        <v>2922</v>
      </c>
      <c r="O435" s="1182" t="s">
        <v>1554</v>
      </c>
      <c r="P435" s="1182" t="s">
        <v>1563</v>
      </c>
      <c r="Q435" s="1182" t="s">
        <v>1562</v>
      </c>
      <c r="R435" s="1182" t="s">
        <v>1561</v>
      </c>
      <c r="S435" s="1182" t="s">
        <v>1639</v>
      </c>
      <c r="T435" s="1182" t="s">
        <v>1814</v>
      </c>
      <c r="U435" s="1182" t="s">
        <v>1815</v>
      </c>
      <c r="V435" s="1182">
        <v>0</v>
      </c>
      <c r="W435" s="1182">
        <v>0</v>
      </c>
      <c r="X435" s="1182">
        <v>0</v>
      </c>
      <c r="Y435" s="1543">
        <v>10751</v>
      </c>
      <c r="Z435" s="1182" t="s">
        <v>2923</v>
      </c>
      <c r="AA435" s="1182" t="s">
        <v>2924</v>
      </c>
      <c r="AB435" s="1182">
        <v>10751</v>
      </c>
      <c r="AC435" s="1182" t="s">
        <v>2925</v>
      </c>
      <c r="AD435" s="1182" t="s">
        <v>1561</v>
      </c>
      <c r="AE435" s="1182">
        <v>10751</v>
      </c>
      <c r="AF435" s="1182" t="s">
        <v>1943</v>
      </c>
      <c r="AG435" s="1182" t="s">
        <v>1944</v>
      </c>
      <c r="AH435" s="1182">
        <v>0</v>
      </c>
      <c r="AI435" s="1182">
        <v>10751</v>
      </c>
      <c r="AJ435" s="1182" t="s">
        <v>3149</v>
      </c>
      <c r="AL435" s="1186" t="s">
        <v>3150</v>
      </c>
      <c r="AM435" s="1182">
        <v>1</v>
      </c>
      <c r="AN435" s="1182">
        <v>0</v>
      </c>
      <c r="AO435" s="1182">
        <v>0</v>
      </c>
      <c r="AP435" s="1182">
        <v>0</v>
      </c>
      <c r="AQ435" s="1182" t="s">
        <v>1639</v>
      </c>
      <c r="AS435" s="1186" t="s">
        <v>1943</v>
      </c>
      <c r="AT435" s="1186" t="s">
        <v>1944</v>
      </c>
      <c r="AV435" s="1183">
        <v>10751</v>
      </c>
      <c r="AW435" s="1183">
        <v>0</v>
      </c>
      <c r="AX435" s="1183">
        <v>0</v>
      </c>
      <c r="AY435" s="1538">
        <v>10751</v>
      </c>
      <c r="AZ435" s="1183">
        <v>0</v>
      </c>
      <c r="BA435" s="1183">
        <v>0</v>
      </c>
      <c r="BB435" s="1540">
        <v>0</v>
      </c>
      <c r="BC435" s="1540">
        <v>10751</v>
      </c>
      <c r="BD435" s="1540">
        <v>0</v>
      </c>
      <c r="BF435" s="1539">
        <f t="shared" si="92"/>
        <v>10751</v>
      </c>
      <c r="BG435" s="1539">
        <f t="shared" si="93"/>
        <v>0</v>
      </c>
      <c r="BH435" s="1539">
        <f t="shared" si="94"/>
        <v>0</v>
      </c>
      <c r="BI435" s="1539">
        <f t="shared" si="95"/>
        <v>10751</v>
      </c>
      <c r="BJ435" s="1539">
        <f t="shared" si="96"/>
        <v>0</v>
      </c>
      <c r="BK435" s="1539">
        <f t="shared" si="97"/>
        <v>0</v>
      </c>
      <c r="BL435" s="1539">
        <f t="shared" si="98"/>
        <v>0</v>
      </c>
      <c r="BM435" s="1539">
        <f t="shared" si="99"/>
        <v>10751</v>
      </c>
      <c r="BO435" s="1183"/>
      <c r="BQ435" s="1182">
        <f t="shared" si="100"/>
        <v>0</v>
      </c>
      <c r="BR435" s="1182">
        <f t="shared" si="101"/>
        <v>0</v>
      </c>
    </row>
    <row r="436" spans="1:70" ht="13.5" customHeight="1">
      <c r="A436" s="1182" t="s">
        <v>1803</v>
      </c>
      <c r="B436" s="1182" t="s">
        <v>1804</v>
      </c>
      <c r="C436" s="1182" t="s">
        <v>1639</v>
      </c>
      <c r="D436" s="1182" t="s">
        <v>1933</v>
      </c>
      <c r="E436" s="1182" t="s">
        <v>1934</v>
      </c>
      <c r="F436" s="1182" t="s">
        <v>2738</v>
      </c>
      <c r="G436" s="1182" t="s">
        <v>2738</v>
      </c>
      <c r="H436" s="1182" t="s">
        <v>3141</v>
      </c>
      <c r="I436" s="1182" t="s">
        <v>1809</v>
      </c>
      <c r="J436" s="1182" t="s">
        <v>3142</v>
      </c>
      <c r="K436" s="1182" t="s">
        <v>1811</v>
      </c>
      <c r="L436" s="1182" t="s">
        <v>1812</v>
      </c>
      <c r="M436" s="1182" t="s">
        <v>1803</v>
      </c>
      <c r="N436" s="1182" t="s">
        <v>2922</v>
      </c>
      <c r="O436" s="1182" t="s">
        <v>1554</v>
      </c>
      <c r="P436" s="1182" t="s">
        <v>1563</v>
      </c>
      <c r="Q436" s="1182" t="s">
        <v>1562</v>
      </c>
      <c r="R436" s="1182" t="s">
        <v>1561</v>
      </c>
      <c r="S436" s="1182" t="s">
        <v>1639</v>
      </c>
      <c r="T436" s="1182" t="s">
        <v>1814</v>
      </c>
      <c r="U436" s="1182" t="s">
        <v>1815</v>
      </c>
      <c r="V436" s="1182">
        <v>0</v>
      </c>
      <c r="W436" s="1182">
        <v>0</v>
      </c>
      <c r="X436" s="1182">
        <v>0</v>
      </c>
      <c r="Y436" s="1183">
        <v>27234</v>
      </c>
      <c r="Z436" s="1182" t="s">
        <v>2923</v>
      </c>
      <c r="AA436" s="1182" t="s">
        <v>2924</v>
      </c>
      <c r="AB436" s="1182">
        <v>27234</v>
      </c>
      <c r="AC436" s="1182" t="s">
        <v>2925</v>
      </c>
      <c r="AD436" s="1182" t="s">
        <v>1561</v>
      </c>
      <c r="AE436" s="1182">
        <v>27234</v>
      </c>
      <c r="AF436" s="1182" t="s">
        <v>1943</v>
      </c>
      <c r="AG436" s="1182" t="s">
        <v>1944</v>
      </c>
      <c r="AH436" s="1182">
        <v>0</v>
      </c>
      <c r="AI436" s="1182">
        <v>27234</v>
      </c>
      <c r="AJ436" s="1182" t="s">
        <v>3143</v>
      </c>
      <c r="AL436" s="1186" t="s">
        <v>3144</v>
      </c>
      <c r="AM436" s="1182">
        <v>1</v>
      </c>
      <c r="AN436" s="1182">
        <v>0</v>
      </c>
      <c r="AO436" s="1182">
        <v>0</v>
      </c>
      <c r="AP436" s="1182">
        <v>0</v>
      </c>
      <c r="AQ436" s="1182" t="s">
        <v>1639</v>
      </c>
      <c r="AS436" s="1186" t="s">
        <v>1943</v>
      </c>
      <c r="AT436" s="1186" t="s">
        <v>1944</v>
      </c>
      <c r="AV436" s="1183">
        <v>27234</v>
      </c>
      <c r="AW436" s="1183">
        <v>0</v>
      </c>
      <c r="AX436" s="1183">
        <v>0</v>
      </c>
      <c r="AY436" s="1538">
        <v>27234</v>
      </c>
      <c r="AZ436" s="1183">
        <v>0</v>
      </c>
      <c r="BA436" s="1183">
        <v>0</v>
      </c>
      <c r="BB436" s="1540">
        <v>0</v>
      </c>
      <c r="BC436" s="1540">
        <v>27234</v>
      </c>
      <c r="BD436" s="1540">
        <v>0</v>
      </c>
      <c r="BF436" s="1539">
        <f t="shared" si="92"/>
        <v>27234</v>
      </c>
      <c r="BG436" s="1539">
        <f t="shared" si="93"/>
        <v>0</v>
      </c>
      <c r="BH436" s="1539">
        <f t="shared" si="94"/>
        <v>0</v>
      </c>
      <c r="BI436" s="1539">
        <f t="shared" si="95"/>
        <v>27234</v>
      </c>
      <c r="BJ436" s="1539">
        <f t="shared" si="96"/>
        <v>0</v>
      </c>
      <c r="BK436" s="1539">
        <f t="shared" si="97"/>
        <v>0</v>
      </c>
      <c r="BL436" s="1539">
        <f t="shared" si="98"/>
        <v>0</v>
      </c>
      <c r="BM436" s="1539">
        <f t="shared" si="99"/>
        <v>27234</v>
      </c>
      <c r="BO436" s="1183"/>
      <c r="BQ436" s="1182">
        <f t="shared" si="100"/>
        <v>0</v>
      </c>
      <c r="BR436" s="1182">
        <f t="shared" si="101"/>
        <v>0</v>
      </c>
    </row>
    <row r="437" spans="1:70" ht="13.5" customHeight="1">
      <c r="A437" s="1182" t="s">
        <v>1803</v>
      </c>
      <c r="B437" s="1182" t="s">
        <v>1804</v>
      </c>
      <c r="C437" s="1182" t="s">
        <v>1639</v>
      </c>
      <c r="D437" s="1182" t="s">
        <v>1933</v>
      </c>
      <c r="E437" s="1182" t="s">
        <v>1934</v>
      </c>
      <c r="F437" s="1182" t="s">
        <v>3110</v>
      </c>
      <c r="G437" s="1182" t="s">
        <v>3110</v>
      </c>
      <c r="H437" s="1182" t="s">
        <v>3141</v>
      </c>
      <c r="I437" s="1182" t="s">
        <v>1809</v>
      </c>
      <c r="J437" s="1182" t="s">
        <v>3145</v>
      </c>
      <c r="K437" s="1182" t="s">
        <v>1811</v>
      </c>
      <c r="L437" s="1182" t="s">
        <v>1812</v>
      </c>
      <c r="M437" s="1182" t="s">
        <v>1803</v>
      </c>
      <c r="N437" s="1182" t="s">
        <v>2922</v>
      </c>
      <c r="O437" s="1182" t="s">
        <v>1554</v>
      </c>
      <c r="P437" s="1182" t="s">
        <v>1563</v>
      </c>
      <c r="Q437" s="1182" t="s">
        <v>1562</v>
      </c>
      <c r="R437" s="1182" t="s">
        <v>1561</v>
      </c>
      <c r="S437" s="1182" t="s">
        <v>1639</v>
      </c>
      <c r="T437" s="1182" t="s">
        <v>1814</v>
      </c>
      <c r="U437" s="1182" t="s">
        <v>1815</v>
      </c>
      <c r="V437" s="1182">
        <v>0</v>
      </c>
      <c r="W437" s="1182">
        <v>0</v>
      </c>
      <c r="X437" s="1182">
        <v>0</v>
      </c>
      <c r="Y437" s="1183">
        <v>6300</v>
      </c>
      <c r="Z437" s="1182" t="s">
        <v>2923</v>
      </c>
      <c r="AA437" s="1182" t="s">
        <v>2924</v>
      </c>
      <c r="AB437" s="1182">
        <v>6300</v>
      </c>
      <c r="AC437" s="1182" t="s">
        <v>2925</v>
      </c>
      <c r="AD437" s="1182" t="s">
        <v>1561</v>
      </c>
      <c r="AE437" s="1182">
        <v>6300</v>
      </c>
      <c r="AF437" s="1182" t="s">
        <v>1943</v>
      </c>
      <c r="AG437" s="1182" t="s">
        <v>1944</v>
      </c>
      <c r="AH437" s="1182">
        <v>0</v>
      </c>
      <c r="AI437" s="1182">
        <v>6300</v>
      </c>
      <c r="AJ437" s="1182" t="s">
        <v>3146</v>
      </c>
      <c r="AL437" s="1186" t="s">
        <v>3147</v>
      </c>
      <c r="AM437" s="1182">
        <v>1</v>
      </c>
      <c r="AN437" s="1182">
        <v>0</v>
      </c>
      <c r="AO437" s="1182">
        <v>0</v>
      </c>
      <c r="AP437" s="1182">
        <v>0</v>
      </c>
      <c r="AQ437" s="1182" t="s">
        <v>1639</v>
      </c>
      <c r="AS437" s="1186" t="s">
        <v>1943</v>
      </c>
      <c r="AT437" s="1186" t="s">
        <v>1944</v>
      </c>
      <c r="AV437" s="1183">
        <v>6300</v>
      </c>
      <c r="AW437" s="1183">
        <v>0</v>
      </c>
      <c r="AX437" s="1183">
        <v>0</v>
      </c>
      <c r="AY437" s="1538">
        <v>6300</v>
      </c>
      <c r="AZ437" s="1183">
        <v>0</v>
      </c>
      <c r="BA437" s="1183">
        <v>0</v>
      </c>
      <c r="BB437" s="1540">
        <v>0</v>
      </c>
      <c r="BC437" s="1540">
        <v>6300</v>
      </c>
      <c r="BD437" s="1540">
        <v>0</v>
      </c>
      <c r="BF437" s="1539">
        <f t="shared" si="92"/>
        <v>6300</v>
      </c>
      <c r="BG437" s="1539">
        <f t="shared" si="93"/>
        <v>0</v>
      </c>
      <c r="BH437" s="1539">
        <f t="shared" si="94"/>
        <v>0</v>
      </c>
      <c r="BI437" s="1539">
        <f t="shared" si="95"/>
        <v>6300</v>
      </c>
      <c r="BJ437" s="1539">
        <f t="shared" si="96"/>
        <v>0</v>
      </c>
      <c r="BK437" s="1539">
        <f t="shared" si="97"/>
        <v>0</v>
      </c>
      <c r="BL437" s="1539">
        <f t="shared" si="98"/>
        <v>0</v>
      </c>
      <c r="BM437" s="1539">
        <f t="shared" si="99"/>
        <v>6300</v>
      </c>
      <c r="BO437" s="1183"/>
      <c r="BQ437" s="1182">
        <f t="shared" si="100"/>
        <v>0</v>
      </c>
      <c r="BR437" s="1182">
        <f t="shared" si="101"/>
        <v>0</v>
      </c>
    </row>
    <row r="438" spans="1:70" ht="13.5" customHeight="1">
      <c r="A438" s="1182" t="s">
        <v>1803</v>
      </c>
      <c r="B438" s="1182" t="s">
        <v>1804</v>
      </c>
      <c r="C438" s="1182" t="s">
        <v>1639</v>
      </c>
      <c r="D438" s="1182" t="s">
        <v>1933</v>
      </c>
      <c r="E438" s="1182" t="s">
        <v>1934</v>
      </c>
      <c r="F438" s="1182" t="s">
        <v>3110</v>
      </c>
      <c r="G438" s="1182" t="s">
        <v>3110</v>
      </c>
      <c r="H438" s="1182" t="s">
        <v>3151</v>
      </c>
      <c r="I438" s="1182" t="s">
        <v>2933</v>
      </c>
      <c r="J438" s="1182" t="s">
        <v>3152</v>
      </c>
      <c r="K438" s="1182" t="s">
        <v>1811</v>
      </c>
      <c r="L438" s="1182" t="s">
        <v>1812</v>
      </c>
      <c r="M438" s="1182" t="s">
        <v>1803</v>
      </c>
      <c r="N438" s="1182" t="s">
        <v>2922</v>
      </c>
      <c r="O438" s="1182" t="s">
        <v>1554</v>
      </c>
      <c r="P438" s="1182" t="s">
        <v>1563</v>
      </c>
      <c r="Q438" s="1182" t="s">
        <v>1562</v>
      </c>
      <c r="R438" s="1182" t="s">
        <v>1561</v>
      </c>
      <c r="S438" s="1182" t="s">
        <v>1639</v>
      </c>
      <c r="T438" s="1182" t="s">
        <v>1814</v>
      </c>
      <c r="U438" s="1182" t="s">
        <v>1815</v>
      </c>
      <c r="V438" s="1182">
        <v>0</v>
      </c>
      <c r="W438" s="1182">
        <v>0</v>
      </c>
      <c r="X438" s="1182">
        <v>0</v>
      </c>
      <c r="Y438" s="1183">
        <v>30560</v>
      </c>
      <c r="Z438" s="1182" t="s">
        <v>2935</v>
      </c>
      <c r="AA438" s="1182" t="s">
        <v>2936</v>
      </c>
      <c r="AB438" s="1182">
        <v>30560</v>
      </c>
      <c r="AC438" s="1182" t="s">
        <v>2925</v>
      </c>
      <c r="AD438" s="1182" t="s">
        <v>1561</v>
      </c>
      <c r="AE438" s="1182">
        <v>30560</v>
      </c>
      <c r="AF438" s="1182" t="s">
        <v>1943</v>
      </c>
      <c r="AG438" s="1182" t="s">
        <v>1944</v>
      </c>
      <c r="AH438" s="1182">
        <v>0</v>
      </c>
      <c r="AI438" s="1182">
        <v>30560</v>
      </c>
      <c r="AJ438" s="1182" t="s">
        <v>1639</v>
      </c>
      <c r="AL438" s="1186" t="s">
        <v>3153</v>
      </c>
      <c r="AM438" s="1182">
        <v>1</v>
      </c>
      <c r="AN438" s="1182">
        <v>0</v>
      </c>
      <c r="AO438" s="1182">
        <v>0</v>
      </c>
      <c r="AP438" s="1182">
        <v>0</v>
      </c>
      <c r="AQ438" s="1182" t="s">
        <v>1639</v>
      </c>
      <c r="AS438" s="1186" t="s">
        <v>1943</v>
      </c>
      <c r="AT438" s="1186" t="s">
        <v>1944</v>
      </c>
      <c r="AV438" s="1183">
        <v>30560</v>
      </c>
      <c r="AW438" s="1183">
        <v>0</v>
      </c>
      <c r="AX438" s="1183">
        <v>0</v>
      </c>
      <c r="AY438" s="1538">
        <v>30560</v>
      </c>
      <c r="AZ438" s="1183">
        <v>0</v>
      </c>
      <c r="BA438" s="1183">
        <v>0</v>
      </c>
      <c r="BB438" s="1540">
        <v>0</v>
      </c>
      <c r="BC438" s="1540">
        <v>30560</v>
      </c>
      <c r="BD438" s="1540">
        <v>0</v>
      </c>
      <c r="BF438" s="1539">
        <f t="shared" si="92"/>
        <v>30560</v>
      </c>
      <c r="BG438" s="1539">
        <f t="shared" si="93"/>
        <v>0</v>
      </c>
      <c r="BH438" s="1539">
        <f t="shared" si="94"/>
        <v>0</v>
      </c>
      <c r="BI438" s="1539">
        <f t="shared" si="95"/>
        <v>30560</v>
      </c>
      <c r="BJ438" s="1539">
        <f t="shared" si="96"/>
        <v>0</v>
      </c>
      <c r="BK438" s="1539">
        <f t="shared" si="97"/>
        <v>0</v>
      </c>
      <c r="BL438" s="1539">
        <f t="shared" si="98"/>
        <v>0</v>
      </c>
      <c r="BM438" s="1539">
        <f t="shared" si="99"/>
        <v>30560</v>
      </c>
      <c r="BO438" s="1183"/>
      <c r="BQ438" s="1182">
        <f t="shared" si="100"/>
        <v>0</v>
      </c>
      <c r="BR438" s="1182">
        <f t="shared" si="101"/>
        <v>0</v>
      </c>
    </row>
    <row r="439" spans="1:70" ht="13.5" customHeight="1">
      <c r="A439" s="1182" t="s">
        <v>1803</v>
      </c>
      <c r="B439" s="1182" t="s">
        <v>1804</v>
      </c>
      <c r="C439" s="1182" t="s">
        <v>1639</v>
      </c>
      <c r="D439" s="1182" t="s">
        <v>3154</v>
      </c>
      <c r="E439" s="1182" t="s">
        <v>3155</v>
      </c>
      <c r="F439" s="1182" t="s">
        <v>3110</v>
      </c>
      <c r="G439" s="1182" t="s">
        <v>3110</v>
      </c>
      <c r="H439" s="1182" t="s">
        <v>3156</v>
      </c>
      <c r="I439" s="1182" t="s">
        <v>1809</v>
      </c>
      <c r="J439" s="1182" t="s">
        <v>3157</v>
      </c>
      <c r="K439" s="1182" t="s">
        <v>1811</v>
      </c>
      <c r="L439" s="1182" t="s">
        <v>1812</v>
      </c>
      <c r="M439" s="1182" t="s">
        <v>1803</v>
      </c>
      <c r="N439" s="1182" t="s">
        <v>2922</v>
      </c>
      <c r="O439" s="1182" t="s">
        <v>1554</v>
      </c>
      <c r="P439" s="1182" t="s">
        <v>1563</v>
      </c>
      <c r="Q439" s="1182" t="s">
        <v>1562</v>
      </c>
      <c r="R439" s="1182" t="s">
        <v>1561</v>
      </c>
      <c r="S439" s="1182" t="s">
        <v>1639</v>
      </c>
      <c r="T439" s="1182" t="s">
        <v>1814</v>
      </c>
      <c r="U439" s="1182" t="s">
        <v>1815</v>
      </c>
      <c r="V439" s="1182">
        <v>0</v>
      </c>
      <c r="W439" s="1182">
        <v>0</v>
      </c>
      <c r="X439" s="1182">
        <v>0</v>
      </c>
      <c r="Y439" s="1183">
        <v>156</v>
      </c>
      <c r="Z439" s="1182" t="s">
        <v>2923</v>
      </c>
      <c r="AA439" s="1182" t="s">
        <v>2924</v>
      </c>
      <c r="AB439" s="1182">
        <v>156</v>
      </c>
      <c r="AC439" s="1182" t="s">
        <v>2925</v>
      </c>
      <c r="AD439" s="1182" t="s">
        <v>1561</v>
      </c>
      <c r="AE439" s="1182">
        <v>156</v>
      </c>
      <c r="AF439" s="1182" t="s">
        <v>1943</v>
      </c>
      <c r="AG439" s="1182" t="s">
        <v>1944</v>
      </c>
      <c r="AH439" s="1182">
        <v>0</v>
      </c>
      <c r="AI439" s="1182">
        <v>156</v>
      </c>
      <c r="AJ439" s="1182" t="s">
        <v>3158</v>
      </c>
      <c r="AL439" s="1186" t="s">
        <v>3159</v>
      </c>
      <c r="AM439" s="1182">
        <v>1</v>
      </c>
      <c r="AN439" s="1182">
        <v>0</v>
      </c>
      <c r="AO439" s="1182">
        <v>0</v>
      </c>
      <c r="AP439" s="1182">
        <v>0</v>
      </c>
      <c r="AQ439" s="1182" t="s">
        <v>1639</v>
      </c>
      <c r="AS439" s="1186" t="s">
        <v>1943</v>
      </c>
      <c r="AT439" s="1186" t="s">
        <v>1944</v>
      </c>
      <c r="AV439" s="1183">
        <v>47</v>
      </c>
      <c r="AW439" s="1183">
        <v>0</v>
      </c>
      <c r="AX439" s="1183">
        <v>0</v>
      </c>
      <c r="AY439" s="1538">
        <v>47</v>
      </c>
      <c r="AZ439" s="1183">
        <v>0</v>
      </c>
      <c r="BA439" s="1183">
        <v>109</v>
      </c>
      <c r="BB439" s="1540">
        <v>109</v>
      </c>
      <c r="BC439" s="1540">
        <v>156</v>
      </c>
      <c r="BD439" s="1540">
        <v>0</v>
      </c>
      <c r="BF439" s="1539">
        <f t="shared" si="92"/>
        <v>47</v>
      </c>
      <c r="BG439" s="1539">
        <f t="shared" si="93"/>
        <v>0</v>
      </c>
      <c r="BH439" s="1539">
        <f t="shared" si="94"/>
        <v>0</v>
      </c>
      <c r="BI439" s="1539">
        <f t="shared" si="95"/>
        <v>47</v>
      </c>
      <c r="BJ439" s="1539">
        <f t="shared" si="96"/>
        <v>0</v>
      </c>
      <c r="BK439" s="1539">
        <f t="shared" si="97"/>
        <v>109</v>
      </c>
      <c r="BL439" s="1539">
        <f t="shared" si="98"/>
        <v>109</v>
      </c>
      <c r="BM439" s="1539">
        <f t="shared" si="99"/>
        <v>156</v>
      </c>
      <c r="BO439" s="1183"/>
      <c r="BQ439" s="1182">
        <f t="shared" si="100"/>
        <v>0</v>
      </c>
      <c r="BR439" s="1182">
        <f t="shared" si="101"/>
        <v>0</v>
      </c>
    </row>
    <row r="440" spans="1:70" ht="13.5" customHeight="1">
      <c r="A440" s="1182" t="s">
        <v>1803</v>
      </c>
      <c r="B440" s="1182" t="s">
        <v>1804</v>
      </c>
      <c r="C440" s="1182" t="s">
        <v>1639</v>
      </c>
      <c r="D440" s="1182" t="s">
        <v>3154</v>
      </c>
      <c r="E440" s="1182" t="s">
        <v>3155</v>
      </c>
      <c r="F440" s="1182" t="s">
        <v>3110</v>
      </c>
      <c r="G440" s="1182" t="s">
        <v>3110</v>
      </c>
      <c r="H440" s="1182" t="s">
        <v>3160</v>
      </c>
      <c r="I440" s="1182" t="s">
        <v>1809</v>
      </c>
      <c r="J440" s="1182" t="s">
        <v>3161</v>
      </c>
      <c r="K440" s="1182" t="s">
        <v>1811</v>
      </c>
      <c r="L440" s="1182" t="s">
        <v>1812</v>
      </c>
      <c r="M440" s="1182" t="s">
        <v>1803</v>
      </c>
      <c r="N440" s="1182" t="s">
        <v>2922</v>
      </c>
      <c r="O440" s="1182" t="s">
        <v>1554</v>
      </c>
      <c r="P440" s="1182" t="s">
        <v>1563</v>
      </c>
      <c r="Q440" s="1182" t="s">
        <v>1562</v>
      </c>
      <c r="R440" s="1182" t="s">
        <v>1561</v>
      </c>
      <c r="S440" s="1182" t="s">
        <v>1639</v>
      </c>
      <c r="T440" s="1182" t="s">
        <v>1814</v>
      </c>
      <c r="U440" s="1182" t="s">
        <v>1815</v>
      </c>
      <c r="V440" s="1182">
        <v>0</v>
      </c>
      <c r="W440" s="1182">
        <v>0</v>
      </c>
      <c r="X440" s="1182">
        <v>0</v>
      </c>
      <c r="Y440" s="1183">
        <v>210</v>
      </c>
      <c r="Z440" s="1182" t="s">
        <v>2923</v>
      </c>
      <c r="AA440" s="1182" t="s">
        <v>2924</v>
      </c>
      <c r="AB440" s="1182">
        <v>210</v>
      </c>
      <c r="AC440" s="1182" t="s">
        <v>2925</v>
      </c>
      <c r="AD440" s="1182" t="s">
        <v>1561</v>
      </c>
      <c r="AE440" s="1182">
        <v>210</v>
      </c>
      <c r="AF440" s="1182" t="s">
        <v>1943</v>
      </c>
      <c r="AG440" s="1182" t="s">
        <v>1944</v>
      </c>
      <c r="AH440" s="1182">
        <v>0</v>
      </c>
      <c r="AI440" s="1182">
        <v>210</v>
      </c>
      <c r="AJ440" s="1182" t="s">
        <v>3162</v>
      </c>
      <c r="AL440" s="1186" t="s">
        <v>3163</v>
      </c>
      <c r="AM440" s="1182">
        <v>1</v>
      </c>
      <c r="AN440" s="1182">
        <v>0</v>
      </c>
      <c r="AO440" s="1182">
        <v>0</v>
      </c>
      <c r="AP440" s="1182">
        <v>0</v>
      </c>
      <c r="AQ440" s="1182" t="s">
        <v>1639</v>
      </c>
      <c r="AS440" s="1186" t="s">
        <v>1943</v>
      </c>
      <c r="AT440" s="1186" t="s">
        <v>1944</v>
      </c>
      <c r="AV440" s="1183">
        <v>63</v>
      </c>
      <c r="AW440" s="1183">
        <v>0</v>
      </c>
      <c r="AX440" s="1183">
        <v>0</v>
      </c>
      <c r="AY440" s="1538">
        <v>63</v>
      </c>
      <c r="AZ440" s="1183">
        <v>0</v>
      </c>
      <c r="BA440" s="1183">
        <v>147</v>
      </c>
      <c r="BB440" s="1540">
        <v>147</v>
      </c>
      <c r="BC440" s="1540">
        <v>210</v>
      </c>
      <c r="BD440" s="1540">
        <v>0</v>
      </c>
      <c r="BF440" s="1539">
        <f t="shared" si="92"/>
        <v>63</v>
      </c>
      <c r="BG440" s="1539">
        <f t="shared" si="93"/>
        <v>0</v>
      </c>
      <c r="BH440" s="1539">
        <f t="shared" si="94"/>
        <v>0</v>
      </c>
      <c r="BI440" s="1539">
        <f t="shared" si="95"/>
        <v>63</v>
      </c>
      <c r="BJ440" s="1539">
        <f t="shared" si="96"/>
        <v>0</v>
      </c>
      <c r="BK440" s="1539">
        <f t="shared" si="97"/>
        <v>147</v>
      </c>
      <c r="BL440" s="1539">
        <f t="shared" si="98"/>
        <v>147</v>
      </c>
      <c r="BM440" s="1539">
        <f t="shared" si="99"/>
        <v>210</v>
      </c>
      <c r="BO440" s="1183"/>
      <c r="BQ440" s="1182">
        <f t="shared" si="100"/>
        <v>0</v>
      </c>
      <c r="BR440" s="1182">
        <f t="shared" si="101"/>
        <v>0</v>
      </c>
    </row>
    <row r="441" spans="1:70" ht="13.5" customHeight="1">
      <c r="A441" s="1182" t="s">
        <v>1803</v>
      </c>
      <c r="B441" s="1182" t="s">
        <v>1804</v>
      </c>
      <c r="C441" s="1182" t="s">
        <v>1639</v>
      </c>
      <c r="D441" s="1182" t="s">
        <v>3154</v>
      </c>
      <c r="E441" s="1182" t="s">
        <v>3155</v>
      </c>
      <c r="F441" s="1182" t="s">
        <v>3110</v>
      </c>
      <c r="G441" s="1182" t="s">
        <v>3110</v>
      </c>
      <c r="H441" s="1182" t="s">
        <v>3164</v>
      </c>
      <c r="I441" s="1182" t="s">
        <v>1809</v>
      </c>
      <c r="J441" s="1182" t="s">
        <v>3165</v>
      </c>
      <c r="K441" s="1182" t="s">
        <v>1811</v>
      </c>
      <c r="L441" s="1182" t="s">
        <v>1812</v>
      </c>
      <c r="M441" s="1182" t="s">
        <v>1803</v>
      </c>
      <c r="N441" s="1182" t="s">
        <v>2922</v>
      </c>
      <c r="O441" s="1182" t="s">
        <v>1554</v>
      </c>
      <c r="P441" s="1182" t="s">
        <v>1563</v>
      </c>
      <c r="Q441" s="1182" t="s">
        <v>1562</v>
      </c>
      <c r="R441" s="1182" t="s">
        <v>1561</v>
      </c>
      <c r="S441" s="1182" t="s">
        <v>1639</v>
      </c>
      <c r="T441" s="1182" t="s">
        <v>1814</v>
      </c>
      <c r="U441" s="1182" t="s">
        <v>1815</v>
      </c>
      <c r="V441" s="1182">
        <v>0</v>
      </c>
      <c r="W441" s="1182">
        <v>0</v>
      </c>
      <c r="X441" s="1182">
        <v>0</v>
      </c>
      <c r="Y441" s="1544">
        <v>2604</v>
      </c>
      <c r="Z441" s="1182" t="s">
        <v>2923</v>
      </c>
      <c r="AA441" s="1182" t="s">
        <v>2924</v>
      </c>
      <c r="AB441" s="1182">
        <v>2604</v>
      </c>
      <c r="AC441" s="1182" t="s">
        <v>2925</v>
      </c>
      <c r="AD441" s="1182" t="s">
        <v>1561</v>
      </c>
      <c r="AE441" s="1182">
        <v>2604</v>
      </c>
      <c r="AF441" s="1182" t="s">
        <v>1943</v>
      </c>
      <c r="AG441" s="1182" t="s">
        <v>1944</v>
      </c>
      <c r="AH441" s="1182">
        <v>0</v>
      </c>
      <c r="AI441" s="1182">
        <v>2604</v>
      </c>
      <c r="AJ441" s="1182" t="s">
        <v>3162</v>
      </c>
      <c r="AL441" s="1186" t="s">
        <v>3166</v>
      </c>
      <c r="AM441" s="1182">
        <v>1</v>
      </c>
      <c r="AN441" s="1182">
        <v>0</v>
      </c>
      <c r="AO441" s="1182">
        <v>0</v>
      </c>
      <c r="AP441" s="1182">
        <v>0</v>
      </c>
      <c r="AQ441" s="1182" t="s">
        <v>1639</v>
      </c>
      <c r="AS441" s="1186" t="s">
        <v>1943</v>
      </c>
      <c r="AT441" s="1186" t="s">
        <v>1944</v>
      </c>
      <c r="AV441" s="1183">
        <v>781</v>
      </c>
      <c r="AW441" s="1183">
        <v>0</v>
      </c>
      <c r="AX441" s="1183">
        <v>0</v>
      </c>
      <c r="AY441" s="1538">
        <v>781</v>
      </c>
      <c r="AZ441" s="1183">
        <v>0</v>
      </c>
      <c r="BA441" s="1183">
        <v>1823</v>
      </c>
      <c r="BB441" s="1540">
        <v>1823</v>
      </c>
      <c r="BC441" s="1540">
        <v>2604</v>
      </c>
      <c r="BD441" s="1540">
        <v>0</v>
      </c>
      <c r="BF441" s="1539">
        <f t="shared" si="92"/>
        <v>781</v>
      </c>
      <c r="BG441" s="1539">
        <f t="shared" si="93"/>
        <v>0</v>
      </c>
      <c r="BH441" s="1539">
        <f t="shared" si="94"/>
        <v>0</v>
      </c>
      <c r="BI441" s="1539">
        <f t="shared" si="95"/>
        <v>781</v>
      </c>
      <c r="BJ441" s="1539">
        <f t="shared" si="96"/>
        <v>0</v>
      </c>
      <c r="BK441" s="1539">
        <f t="shared" si="97"/>
        <v>1823</v>
      </c>
      <c r="BL441" s="1539">
        <f t="shared" si="98"/>
        <v>1823</v>
      </c>
      <c r="BM441" s="1539">
        <f t="shared" si="99"/>
        <v>2604</v>
      </c>
      <c r="BO441" s="1183"/>
      <c r="BQ441" s="1182">
        <f t="shared" si="100"/>
        <v>0</v>
      </c>
      <c r="BR441" s="1182">
        <f t="shared" si="101"/>
        <v>0</v>
      </c>
    </row>
    <row r="442" spans="1:70" ht="13.5" customHeight="1">
      <c r="A442" s="1182" t="s">
        <v>1803</v>
      </c>
      <c r="B442" s="1182" t="s">
        <v>1804</v>
      </c>
      <c r="C442" s="1182" t="s">
        <v>1639</v>
      </c>
      <c r="D442" s="1182" t="s">
        <v>1915</v>
      </c>
      <c r="E442" s="1182" t="s">
        <v>1916</v>
      </c>
      <c r="F442" s="1182" t="s">
        <v>2388</v>
      </c>
      <c r="G442" s="1182" t="s">
        <v>2388</v>
      </c>
      <c r="H442" s="1182" t="s">
        <v>3167</v>
      </c>
      <c r="I442" s="1182" t="s">
        <v>1809</v>
      </c>
      <c r="J442" s="1182" t="s">
        <v>3168</v>
      </c>
      <c r="K442" s="1182" t="s">
        <v>1811</v>
      </c>
      <c r="L442" s="1182" t="s">
        <v>1812</v>
      </c>
      <c r="M442" s="1182" t="s">
        <v>1803</v>
      </c>
      <c r="N442" s="1182" t="s">
        <v>2922</v>
      </c>
      <c r="O442" s="1182" t="s">
        <v>1554</v>
      </c>
      <c r="P442" s="1182" t="s">
        <v>1563</v>
      </c>
      <c r="Q442" s="1182" t="s">
        <v>1562</v>
      </c>
      <c r="R442" s="1182" t="s">
        <v>1561</v>
      </c>
      <c r="S442" s="1182" t="s">
        <v>1639</v>
      </c>
      <c r="T442" s="1182" t="s">
        <v>1814</v>
      </c>
      <c r="U442" s="1182" t="s">
        <v>1815</v>
      </c>
      <c r="V442" s="1182">
        <v>0</v>
      </c>
      <c r="W442" s="1182">
        <v>0</v>
      </c>
      <c r="X442" s="1182">
        <v>0</v>
      </c>
      <c r="Y442" s="1183">
        <v>14960</v>
      </c>
      <c r="Z442" s="1182" t="s">
        <v>2923</v>
      </c>
      <c r="AA442" s="1182" t="s">
        <v>2924</v>
      </c>
      <c r="AB442" s="1182">
        <v>14960</v>
      </c>
      <c r="AC442" s="1182" t="s">
        <v>2925</v>
      </c>
      <c r="AD442" s="1182" t="s">
        <v>1561</v>
      </c>
      <c r="AE442" s="1182">
        <v>14960</v>
      </c>
      <c r="AF442" s="1182" t="s">
        <v>1943</v>
      </c>
      <c r="AG442" s="1182" t="s">
        <v>1944</v>
      </c>
      <c r="AH442" s="1182">
        <v>0</v>
      </c>
      <c r="AI442" s="1182">
        <v>14960</v>
      </c>
      <c r="AJ442" s="1182" t="s">
        <v>3169</v>
      </c>
      <c r="AL442" s="1186" t="s">
        <v>3170</v>
      </c>
      <c r="AM442" s="1182">
        <v>1</v>
      </c>
      <c r="AN442" s="1182">
        <v>0</v>
      </c>
      <c r="AO442" s="1182">
        <v>0</v>
      </c>
      <c r="AP442" s="1182">
        <v>0</v>
      </c>
      <c r="AQ442" s="1182" t="s">
        <v>1639</v>
      </c>
      <c r="AS442" s="1186" t="s">
        <v>1943</v>
      </c>
      <c r="AT442" s="1186" t="s">
        <v>1944</v>
      </c>
      <c r="AV442" s="1183">
        <v>14960</v>
      </c>
      <c r="AW442" s="1183">
        <v>0</v>
      </c>
      <c r="AX442" s="1183">
        <v>0</v>
      </c>
      <c r="AY442" s="1538">
        <v>14960</v>
      </c>
      <c r="AZ442" s="1183">
        <v>0</v>
      </c>
      <c r="BA442" s="1183">
        <v>0</v>
      </c>
      <c r="BB442" s="1540">
        <v>0</v>
      </c>
      <c r="BC442" s="1540">
        <v>14960</v>
      </c>
      <c r="BD442" s="1540">
        <v>0</v>
      </c>
      <c r="BF442" s="1539">
        <f t="shared" si="92"/>
        <v>14960</v>
      </c>
      <c r="BG442" s="1539">
        <f t="shared" si="93"/>
        <v>0</v>
      </c>
      <c r="BH442" s="1539">
        <f t="shared" si="94"/>
        <v>0</v>
      </c>
      <c r="BI442" s="1539">
        <f t="shared" si="95"/>
        <v>14960</v>
      </c>
      <c r="BJ442" s="1539">
        <f t="shared" si="96"/>
        <v>0</v>
      </c>
      <c r="BK442" s="1539">
        <f t="shared" si="97"/>
        <v>0</v>
      </c>
      <c r="BL442" s="1539">
        <f t="shared" si="98"/>
        <v>0</v>
      </c>
      <c r="BM442" s="1539">
        <f t="shared" si="99"/>
        <v>14960</v>
      </c>
      <c r="BO442" s="1183"/>
      <c r="BQ442" s="1182">
        <f t="shared" si="100"/>
        <v>0</v>
      </c>
      <c r="BR442" s="1182">
        <f t="shared" si="101"/>
        <v>0</v>
      </c>
    </row>
    <row r="443" spans="1:70" ht="13.5" customHeight="1">
      <c r="A443" s="1182" t="s">
        <v>1803</v>
      </c>
      <c r="B443" s="1182" t="s">
        <v>1804</v>
      </c>
      <c r="C443" s="1182" t="s">
        <v>1639</v>
      </c>
      <c r="D443" s="1182" t="s">
        <v>2534</v>
      </c>
      <c r="E443" s="1182" t="s">
        <v>2535</v>
      </c>
      <c r="F443" s="1182" t="s">
        <v>2738</v>
      </c>
      <c r="G443" s="1182" t="s">
        <v>2738</v>
      </c>
      <c r="H443" s="1182" t="s">
        <v>3171</v>
      </c>
      <c r="I443" s="1182" t="s">
        <v>1809</v>
      </c>
      <c r="J443" s="1182" t="s">
        <v>3172</v>
      </c>
      <c r="K443" s="1182" t="s">
        <v>1811</v>
      </c>
      <c r="L443" s="1182" t="s">
        <v>1812</v>
      </c>
      <c r="M443" s="1182" t="s">
        <v>1803</v>
      </c>
      <c r="N443" s="1182" t="s">
        <v>2922</v>
      </c>
      <c r="O443" s="1182" t="s">
        <v>1554</v>
      </c>
      <c r="P443" s="1182" t="s">
        <v>1563</v>
      </c>
      <c r="Q443" s="1182" t="s">
        <v>1562</v>
      </c>
      <c r="R443" s="1182" t="s">
        <v>1561</v>
      </c>
      <c r="S443" s="1182" t="s">
        <v>1639</v>
      </c>
      <c r="T443" s="1182" t="s">
        <v>1814</v>
      </c>
      <c r="U443" s="1182" t="s">
        <v>1815</v>
      </c>
      <c r="V443" s="1182">
        <v>0</v>
      </c>
      <c r="W443" s="1182">
        <v>0</v>
      </c>
      <c r="X443" s="1182">
        <v>0</v>
      </c>
      <c r="Y443" s="1183">
        <v>3888</v>
      </c>
      <c r="Z443" s="1182" t="s">
        <v>2923</v>
      </c>
      <c r="AA443" s="1182" t="s">
        <v>2924</v>
      </c>
      <c r="AB443" s="1182">
        <v>3888</v>
      </c>
      <c r="AC443" s="1182" t="s">
        <v>2925</v>
      </c>
      <c r="AD443" s="1182" t="s">
        <v>1561</v>
      </c>
      <c r="AE443" s="1182">
        <v>3888</v>
      </c>
      <c r="AF443" s="1182" t="s">
        <v>1943</v>
      </c>
      <c r="AG443" s="1182" t="s">
        <v>1944</v>
      </c>
      <c r="AH443" s="1182">
        <v>0</v>
      </c>
      <c r="AI443" s="1182">
        <v>3888</v>
      </c>
      <c r="AJ443" s="1182" t="s">
        <v>3173</v>
      </c>
      <c r="AL443" s="1186" t="s">
        <v>3174</v>
      </c>
      <c r="AM443" s="1182">
        <v>1</v>
      </c>
      <c r="AN443" s="1182">
        <v>0</v>
      </c>
      <c r="AO443" s="1182">
        <v>0</v>
      </c>
      <c r="AP443" s="1182">
        <v>0</v>
      </c>
      <c r="AQ443" s="1182" t="s">
        <v>1639</v>
      </c>
      <c r="AS443" s="1186" t="s">
        <v>1943</v>
      </c>
      <c r="AT443" s="1186" t="s">
        <v>1944</v>
      </c>
      <c r="AV443" s="1183">
        <v>3888</v>
      </c>
      <c r="AW443" s="1183">
        <v>0</v>
      </c>
      <c r="AX443" s="1183">
        <v>0</v>
      </c>
      <c r="AY443" s="1538">
        <v>3888</v>
      </c>
      <c r="AZ443" s="1183">
        <v>0</v>
      </c>
      <c r="BA443" s="1183">
        <v>0</v>
      </c>
      <c r="BB443" s="1540">
        <v>0</v>
      </c>
      <c r="BC443" s="1540">
        <v>3888</v>
      </c>
      <c r="BD443" s="1540">
        <v>0</v>
      </c>
      <c r="BF443" s="1539">
        <f t="shared" si="92"/>
        <v>3888</v>
      </c>
      <c r="BG443" s="1539">
        <f t="shared" si="93"/>
        <v>0</v>
      </c>
      <c r="BH443" s="1539">
        <f t="shared" si="94"/>
        <v>0</v>
      </c>
      <c r="BI443" s="1539">
        <f t="shared" si="95"/>
        <v>3888</v>
      </c>
      <c r="BJ443" s="1539">
        <f t="shared" si="96"/>
        <v>0</v>
      </c>
      <c r="BK443" s="1539">
        <f t="shared" si="97"/>
        <v>0</v>
      </c>
      <c r="BL443" s="1539">
        <f t="shared" si="98"/>
        <v>0</v>
      </c>
      <c r="BM443" s="1539">
        <f t="shared" si="99"/>
        <v>3888</v>
      </c>
      <c r="BO443" s="1183"/>
      <c r="BQ443" s="1182">
        <f t="shared" si="100"/>
        <v>0</v>
      </c>
      <c r="BR443" s="1182">
        <f t="shared" si="101"/>
        <v>0</v>
      </c>
    </row>
    <row r="444" spans="1:70" ht="13.5" customHeight="1">
      <c r="A444" s="1182" t="s">
        <v>1803</v>
      </c>
      <c r="B444" s="1182" t="s">
        <v>1804</v>
      </c>
      <c r="C444" s="1182" t="s">
        <v>1639</v>
      </c>
      <c r="D444" s="1182" t="s">
        <v>2590</v>
      </c>
      <c r="E444" s="1182" t="s">
        <v>2591</v>
      </c>
      <c r="F444" s="1182" t="s">
        <v>3110</v>
      </c>
      <c r="G444" s="1182" t="s">
        <v>3110</v>
      </c>
      <c r="H444" s="1182" t="s">
        <v>3175</v>
      </c>
      <c r="I444" s="1182" t="s">
        <v>1809</v>
      </c>
      <c r="J444" s="1182" t="s">
        <v>3176</v>
      </c>
      <c r="K444" s="1182" t="s">
        <v>1811</v>
      </c>
      <c r="L444" s="1182" t="s">
        <v>1812</v>
      </c>
      <c r="M444" s="1182" t="s">
        <v>1803</v>
      </c>
      <c r="N444" s="1182" t="s">
        <v>2922</v>
      </c>
      <c r="O444" s="1182" t="s">
        <v>1554</v>
      </c>
      <c r="P444" s="1182" t="s">
        <v>1563</v>
      </c>
      <c r="Q444" s="1182" t="s">
        <v>1562</v>
      </c>
      <c r="R444" s="1182" t="s">
        <v>1561</v>
      </c>
      <c r="S444" s="1182" t="s">
        <v>1639</v>
      </c>
      <c r="T444" s="1182" t="s">
        <v>1814</v>
      </c>
      <c r="U444" s="1182" t="s">
        <v>1815</v>
      </c>
      <c r="V444" s="1182">
        <v>0</v>
      </c>
      <c r="W444" s="1182">
        <v>0</v>
      </c>
      <c r="X444" s="1182">
        <v>0</v>
      </c>
      <c r="Y444" s="1183">
        <v>73</v>
      </c>
      <c r="Z444" s="1182" t="s">
        <v>2923</v>
      </c>
      <c r="AA444" s="1182" t="s">
        <v>2924</v>
      </c>
      <c r="AB444" s="1182">
        <v>73</v>
      </c>
      <c r="AC444" s="1182" t="s">
        <v>2925</v>
      </c>
      <c r="AD444" s="1182" t="s">
        <v>1561</v>
      </c>
      <c r="AE444" s="1182">
        <v>73</v>
      </c>
      <c r="AF444" s="1182" t="s">
        <v>1943</v>
      </c>
      <c r="AG444" s="1182" t="s">
        <v>1944</v>
      </c>
      <c r="AH444" s="1182">
        <v>0</v>
      </c>
      <c r="AI444" s="1182">
        <v>73</v>
      </c>
      <c r="AJ444" s="1182" t="s">
        <v>3177</v>
      </c>
      <c r="AL444" s="1186" t="s">
        <v>3178</v>
      </c>
      <c r="AM444" s="1182">
        <v>1</v>
      </c>
      <c r="AN444" s="1182">
        <v>0</v>
      </c>
      <c r="AO444" s="1182">
        <v>0</v>
      </c>
      <c r="AP444" s="1182">
        <v>0</v>
      </c>
      <c r="AQ444" s="1182" t="s">
        <v>1639</v>
      </c>
      <c r="AS444" s="1186" t="s">
        <v>1943</v>
      </c>
      <c r="AT444" s="1186" t="s">
        <v>1944</v>
      </c>
      <c r="AV444" s="1183">
        <v>0</v>
      </c>
      <c r="AW444" s="1183">
        <v>0</v>
      </c>
      <c r="AX444" s="1183">
        <v>0</v>
      </c>
      <c r="AY444" s="1538">
        <v>0</v>
      </c>
      <c r="AZ444" s="1183">
        <v>0</v>
      </c>
      <c r="BA444" s="1183">
        <v>73</v>
      </c>
      <c r="BB444" s="1540">
        <v>73</v>
      </c>
      <c r="BC444" s="1540">
        <v>73</v>
      </c>
      <c r="BD444" s="1540">
        <v>0</v>
      </c>
      <c r="BF444" s="1539">
        <f t="shared" si="92"/>
        <v>0</v>
      </c>
      <c r="BG444" s="1539">
        <f t="shared" si="93"/>
        <v>0</v>
      </c>
      <c r="BH444" s="1539">
        <f t="shared" si="94"/>
        <v>0</v>
      </c>
      <c r="BI444" s="1539">
        <f t="shared" si="95"/>
        <v>0</v>
      </c>
      <c r="BJ444" s="1539">
        <f t="shared" si="96"/>
        <v>0</v>
      </c>
      <c r="BK444" s="1539">
        <f t="shared" si="97"/>
        <v>73</v>
      </c>
      <c r="BL444" s="1539">
        <f t="shared" si="98"/>
        <v>73</v>
      </c>
      <c r="BM444" s="1539">
        <f t="shared" si="99"/>
        <v>73</v>
      </c>
      <c r="BO444" s="1183"/>
      <c r="BQ444" s="1182">
        <f t="shared" si="100"/>
        <v>0</v>
      </c>
      <c r="BR444" s="1182">
        <f t="shared" si="101"/>
        <v>0</v>
      </c>
    </row>
    <row r="445" spans="1:70" ht="13.5" customHeight="1">
      <c r="A445" s="1182" t="s">
        <v>3049</v>
      </c>
      <c r="B445" s="1182" t="s">
        <v>1804</v>
      </c>
      <c r="C445" s="1182" t="s">
        <v>1639</v>
      </c>
      <c r="D445" s="1182" t="s">
        <v>2590</v>
      </c>
      <c r="E445" s="1182" t="s">
        <v>2591</v>
      </c>
      <c r="F445" s="1182" t="s">
        <v>3110</v>
      </c>
      <c r="G445" s="1182" t="s">
        <v>3110</v>
      </c>
      <c r="H445" s="1182" t="s">
        <v>3179</v>
      </c>
      <c r="I445" s="1182" t="s">
        <v>1809</v>
      </c>
      <c r="J445" s="1182" t="s">
        <v>3180</v>
      </c>
      <c r="K445" s="1182" t="s">
        <v>1811</v>
      </c>
      <c r="L445" s="1182" t="s">
        <v>1812</v>
      </c>
      <c r="M445" s="1182" t="s">
        <v>1803</v>
      </c>
      <c r="N445" s="1182" t="s">
        <v>2922</v>
      </c>
      <c r="O445" s="1182" t="s">
        <v>1554</v>
      </c>
      <c r="P445" s="1182" t="s">
        <v>1563</v>
      </c>
      <c r="Q445" s="1182" t="s">
        <v>1562</v>
      </c>
      <c r="R445" s="1182" t="s">
        <v>1561</v>
      </c>
      <c r="S445" s="1182" t="s">
        <v>1639</v>
      </c>
      <c r="T445" s="1182" t="s">
        <v>1814</v>
      </c>
      <c r="U445" s="1182" t="s">
        <v>1815</v>
      </c>
      <c r="V445" s="1182">
        <v>0</v>
      </c>
      <c r="W445" s="1182">
        <v>0</v>
      </c>
      <c r="X445" s="1182">
        <v>0</v>
      </c>
      <c r="Y445" s="1183">
        <v>141</v>
      </c>
      <c r="Z445" s="1182" t="s">
        <v>2923</v>
      </c>
      <c r="AA445" s="1182" t="s">
        <v>2924</v>
      </c>
      <c r="AB445" s="1182">
        <v>141</v>
      </c>
      <c r="AC445" s="1182" t="s">
        <v>2925</v>
      </c>
      <c r="AD445" s="1182" t="s">
        <v>1561</v>
      </c>
      <c r="AE445" s="1182">
        <v>141</v>
      </c>
      <c r="AF445" s="1182" t="s">
        <v>1943</v>
      </c>
      <c r="AG445" s="1182" t="s">
        <v>1944</v>
      </c>
      <c r="AH445" s="1182">
        <v>0</v>
      </c>
      <c r="AI445" s="1182">
        <v>141</v>
      </c>
      <c r="AJ445" s="1182" t="s">
        <v>3181</v>
      </c>
      <c r="AL445" s="1186" t="s">
        <v>3182</v>
      </c>
      <c r="AM445" s="1182">
        <v>1</v>
      </c>
      <c r="AN445" s="1182">
        <v>0</v>
      </c>
      <c r="AO445" s="1182">
        <v>0</v>
      </c>
      <c r="AP445" s="1182">
        <v>0</v>
      </c>
      <c r="AQ445" s="1182" t="s">
        <v>1639</v>
      </c>
      <c r="AS445" s="1186" t="s">
        <v>1943</v>
      </c>
      <c r="AT445" s="1186" t="s">
        <v>1944</v>
      </c>
      <c r="AV445" s="1183">
        <v>0</v>
      </c>
      <c r="AW445" s="1183">
        <v>0</v>
      </c>
      <c r="AX445" s="1183">
        <v>0</v>
      </c>
      <c r="AY445" s="1538">
        <v>0</v>
      </c>
      <c r="AZ445" s="1183">
        <v>0</v>
      </c>
      <c r="BA445" s="1183">
        <v>141</v>
      </c>
      <c r="BB445" s="1540">
        <v>141</v>
      </c>
      <c r="BC445" s="1540">
        <v>141</v>
      </c>
      <c r="BD445" s="1540">
        <v>0</v>
      </c>
      <c r="BF445" s="1539">
        <f t="shared" si="92"/>
        <v>0</v>
      </c>
      <c r="BG445" s="1539">
        <f t="shared" si="93"/>
        <v>0</v>
      </c>
      <c r="BH445" s="1539">
        <f t="shared" si="94"/>
        <v>0</v>
      </c>
      <c r="BI445" s="1539">
        <f t="shared" si="95"/>
        <v>0</v>
      </c>
      <c r="BJ445" s="1539">
        <f t="shared" si="96"/>
        <v>0</v>
      </c>
      <c r="BK445" s="1539">
        <f t="shared" si="97"/>
        <v>141</v>
      </c>
      <c r="BL445" s="1539">
        <f t="shared" si="98"/>
        <v>141</v>
      </c>
      <c r="BM445" s="1539">
        <f t="shared" si="99"/>
        <v>141</v>
      </c>
      <c r="BO445" s="1183"/>
      <c r="BQ445" s="1182">
        <f t="shared" si="100"/>
        <v>0</v>
      </c>
      <c r="BR445" s="1182">
        <f t="shared" si="101"/>
        <v>0</v>
      </c>
    </row>
    <row r="446" spans="1:70" ht="13.5" customHeight="1">
      <c r="A446" s="1182" t="s">
        <v>3049</v>
      </c>
      <c r="B446" s="1182" t="s">
        <v>1804</v>
      </c>
      <c r="C446" s="1182" t="s">
        <v>1639</v>
      </c>
      <c r="D446" s="1182" t="s">
        <v>2590</v>
      </c>
      <c r="E446" s="1182" t="s">
        <v>2591</v>
      </c>
      <c r="F446" s="1182" t="s">
        <v>3110</v>
      </c>
      <c r="G446" s="1182" t="s">
        <v>3110</v>
      </c>
      <c r="H446" s="1182" t="s">
        <v>3179</v>
      </c>
      <c r="I446" s="1182" t="s">
        <v>1809</v>
      </c>
      <c r="J446" s="1182" t="s">
        <v>3183</v>
      </c>
      <c r="K446" s="1182" t="s">
        <v>1811</v>
      </c>
      <c r="L446" s="1182" t="s">
        <v>1812</v>
      </c>
      <c r="M446" s="1182" t="s">
        <v>1803</v>
      </c>
      <c r="N446" s="1182" t="s">
        <v>2922</v>
      </c>
      <c r="O446" s="1182" t="s">
        <v>1554</v>
      </c>
      <c r="P446" s="1182" t="s">
        <v>1563</v>
      </c>
      <c r="Q446" s="1182" t="s">
        <v>1562</v>
      </c>
      <c r="R446" s="1182" t="s">
        <v>1561</v>
      </c>
      <c r="S446" s="1182" t="s">
        <v>1639</v>
      </c>
      <c r="T446" s="1182" t="s">
        <v>1814</v>
      </c>
      <c r="U446" s="1182" t="s">
        <v>1815</v>
      </c>
      <c r="V446" s="1182">
        <v>0</v>
      </c>
      <c r="W446" s="1182">
        <v>0</v>
      </c>
      <c r="X446" s="1182">
        <v>0</v>
      </c>
      <c r="Y446" s="1183">
        <v>180</v>
      </c>
      <c r="Z446" s="1182" t="s">
        <v>2923</v>
      </c>
      <c r="AA446" s="1182" t="s">
        <v>2924</v>
      </c>
      <c r="AB446" s="1182">
        <v>180</v>
      </c>
      <c r="AC446" s="1182" t="s">
        <v>2925</v>
      </c>
      <c r="AD446" s="1182" t="s">
        <v>1561</v>
      </c>
      <c r="AE446" s="1182">
        <v>180</v>
      </c>
      <c r="AF446" s="1182" t="s">
        <v>1943</v>
      </c>
      <c r="AG446" s="1182" t="s">
        <v>1944</v>
      </c>
      <c r="AH446" s="1182">
        <v>0</v>
      </c>
      <c r="AI446" s="1182">
        <v>180</v>
      </c>
      <c r="AJ446" s="1182" t="s">
        <v>3181</v>
      </c>
      <c r="AL446" s="1186" t="s">
        <v>3184</v>
      </c>
      <c r="AM446" s="1182">
        <v>1</v>
      </c>
      <c r="AN446" s="1182">
        <v>0</v>
      </c>
      <c r="AO446" s="1182">
        <v>0</v>
      </c>
      <c r="AP446" s="1182">
        <v>0</v>
      </c>
      <c r="AQ446" s="1182" t="s">
        <v>1639</v>
      </c>
      <c r="AS446" s="1186" t="s">
        <v>1943</v>
      </c>
      <c r="AT446" s="1186" t="s">
        <v>1944</v>
      </c>
      <c r="AV446" s="1183">
        <v>0</v>
      </c>
      <c r="AW446" s="1183">
        <v>0</v>
      </c>
      <c r="AX446" s="1183">
        <v>0</v>
      </c>
      <c r="AY446" s="1538">
        <v>0</v>
      </c>
      <c r="AZ446" s="1183">
        <v>0</v>
      </c>
      <c r="BA446" s="1183">
        <v>180</v>
      </c>
      <c r="BB446" s="1540">
        <v>180</v>
      </c>
      <c r="BC446" s="1540">
        <v>180</v>
      </c>
      <c r="BD446" s="1540">
        <v>0</v>
      </c>
      <c r="BF446" s="1539">
        <f t="shared" si="92"/>
        <v>0</v>
      </c>
      <c r="BG446" s="1539">
        <f t="shared" si="93"/>
        <v>0</v>
      </c>
      <c r="BH446" s="1539">
        <f t="shared" si="94"/>
        <v>0</v>
      </c>
      <c r="BI446" s="1539">
        <f t="shared" si="95"/>
        <v>0</v>
      </c>
      <c r="BJ446" s="1539">
        <f t="shared" si="96"/>
        <v>0</v>
      </c>
      <c r="BK446" s="1539">
        <f t="shared" si="97"/>
        <v>180</v>
      </c>
      <c r="BL446" s="1539">
        <f t="shared" si="98"/>
        <v>180</v>
      </c>
      <c r="BM446" s="1539">
        <f t="shared" si="99"/>
        <v>180</v>
      </c>
      <c r="BO446" s="1183"/>
      <c r="BQ446" s="1182">
        <f t="shared" si="100"/>
        <v>0</v>
      </c>
      <c r="BR446" s="1182">
        <f t="shared" si="101"/>
        <v>0</v>
      </c>
    </row>
    <row r="447" spans="1:70" ht="13.5" customHeight="1">
      <c r="A447" s="1182" t="s">
        <v>3049</v>
      </c>
      <c r="B447" s="1182" t="s">
        <v>1804</v>
      </c>
      <c r="C447" s="1182" t="s">
        <v>1639</v>
      </c>
      <c r="D447" s="1182" t="s">
        <v>2590</v>
      </c>
      <c r="E447" s="1182" t="s">
        <v>2591</v>
      </c>
      <c r="F447" s="1182" t="s">
        <v>3110</v>
      </c>
      <c r="G447" s="1182" t="s">
        <v>3110</v>
      </c>
      <c r="H447" s="1182" t="s">
        <v>3185</v>
      </c>
      <c r="I447" s="1182" t="s">
        <v>1809</v>
      </c>
      <c r="J447" s="1182" t="s">
        <v>3186</v>
      </c>
      <c r="K447" s="1182" t="s">
        <v>1811</v>
      </c>
      <c r="L447" s="1182" t="s">
        <v>1812</v>
      </c>
      <c r="M447" s="1182" t="s">
        <v>1803</v>
      </c>
      <c r="N447" s="1182" t="s">
        <v>2922</v>
      </c>
      <c r="O447" s="1182" t="s">
        <v>1554</v>
      </c>
      <c r="P447" s="1182" t="s">
        <v>1563</v>
      </c>
      <c r="Q447" s="1182" t="s">
        <v>1562</v>
      </c>
      <c r="R447" s="1182" t="s">
        <v>1561</v>
      </c>
      <c r="S447" s="1182" t="s">
        <v>1639</v>
      </c>
      <c r="T447" s="1182" t="s">
        <v>1814</v>
      </c>
      <c r="U447" s="1182" t="s">
        <v>1815</v>
      </c>
      <c r="V447" s="1182">
        <v>0</v>
      </c>
      <c r="W447" s="1182">
        <v>0</v>
      </c>
      <c r="X447" s="1182">
        <v>0</v>
      </c>
      <c r="Y447" s="1183">
        <v>4350</v>
      </c>
      <c r="Z447" s="1182" t="s">
        <v>2923</v>
      </c>
      <c r="AA447" s="1182" t="s">
        <v>2924</v>
      </c>
      <c r="AB447" s="1182">
        <v>4350</v>
      </c>
      <c r="AC447" s="1182" t="s">
        <v>2925</v>
      </c>
      <c r="AD447" s="1182" t="s">
        <v>1561</v>
      </c>
      <c r="AE447" s="1182">
        <v>4350</v>
      </c>
      <c r="AF447" s="1182" t="s">
        <v>1943</v>
      </c>
      <c r="AG447" s="1182" t="s">
        <v>1944</v>
      </c>
      <c r="AH447" s="1182">
        <v>0</v>
      </c>
      <c r="AI447" s="1182">
        <v>4350</v>
      </c>
      <c r="AJ447" s="1182" t="s">
        <v>3177</v>
      </c>
      <c r="AL447" s="1186" t="s">
        <v>3187</v>
      </c>
      <c r="AM447" s="1182">
        <v>1</v>
      </c>
      <c r="AN447" s="1182">
        <v>0</v>
      </c>
      <c r="AO447" s="1182">
        <v>0</v>
      </c>
      <c r="AP447" s="1182">
        <v>0</v>
      </c>
      <c r="AQ447" s="1182" t="s">
        <v>1639</v>
      </c>
      <c r="AS447" s="1186" t="s">
        <v>1943</v>
      </c>
      <c r="AT447" s="1186" t="s">
        <v>1944</v>
      </c>
      <c r="AV447" s="1183">
        <v>0</v>
      </c>
      <c r="AW447" s="1183">
        <v>0</v>
      </c>
      <c r="AX447" s="1183">
        <v>0</v>
      </c>
      <c r="AY447" s="1538">
        <v>0</v>
      </c>
      <c r="AZ447" s="1183">
        <v>0</v>
      </c>
      <c r="BA447" s="1183">
        <v>4350</v>
      </c>
      <c r="BB447" s="1540">
        <v>4350</v>
      </c>
      <c r="BC447" s="1540">
        <v>4350</v>
      </c>
      <c r="BD447" s="1540">
        <v>0</v>
      </c>
      <c r="BF447" s="1539">
        <f t="shared" si="92"/>
        <v>0</v>
      </c>
      <c r="BG447" s="1539">
        <f t="shared" si="93"/>
        <v>0</v>
      </c>
      <c r="BH447" s="1539">
        <f t="shared" si="94"/>
        <v>0</v>
      </c>
      <c r="BI447" s="1539">
        <f t="shared" si="95"/>
        <v>0</v>
      </c>
      <c r="BJ447" s="1539">
        <f t="shared" si="96"/>
        <v>0</v>
      </c>
      <c r="BK447" s="1539">
        <f t="shared" si="97"/>
        <v>4350</v>
      </c>
      <c r="BL447" s="1539">
        <f t="shared" si="98"/>
        <v>4350</v>
      </c>
      <c r="BM447" s="1539">
        <f t="shared" si="99"/>
        <v>4350</v>
      </c>
      <c r="BO447" s="1183"/>
      <c r="BQ447" s="1182">
        <f t="shared" si="100"/>
        <v>0</v>
      </c>
      <c r="BR447" s="1182">
        <f t="shared" si="101"/>
        <v>0</v>
      </c>
    </row>
    <row r="448" spans="1:70" ht="13.5" customHeight="1">
      <c r="A448" s="1182" t="s">
        <v>3049</v>
      </c>
      <c r="B448" s="1182" t="s">
        <v>1804</v>
      </c>
      <c r="C448" s="1182" t="s">
        <v>1639</v>
      </c>
      <c r="D448" s="1182" t="s">
        <v>2590</v>
      </c>
      <c r="E448" s="1182" t="s">
        <v>2591</v>
      </c>
      <c r="F448" s="1182" t="s">
        <v>3110</v>
      </c>
      <c r="G448" s="1182" t="s">
        <v>3110</v>
      </c>
      <c r="H448" s="1182" t="s">
        <v>3188</v>
      </c>
      <c r="I448" s="1182" t="s">
        <v>1809</v>
      </c>
      <c r="J448" s="1182" t="s">
        <v>3189</v>
      </c>
      <c r="K448" s="1182" t="s">
        <v>1811</v>
      </c>
      <c r="L448" s="1182" t="s">
        <v>1812</v>
      </c>
      <c r="M448" s="1182" t="s">
        <v>1803</v>
      </c>
      <c r="N448" s="1182" t="s">
        <v>2922</v>
      </c>
      <c r="O448" s="1182" t="s">
        <v>1554</v>
      </c>
      <c r="P448" s="1182" t="s">
        <v>1563</v>
      </c>
      <c r="Q448" s="1182" t="s">
        <v>1562</v>
      </c>
      <c r="R448" s="1182" t="s">
        <v>1561</v>
      </c>
      <c r="S448" s="1182" t="s">
        <v>1639</v>
      </c>
      <c r="T448" s="1182" t="s">
        <v>1814</v>
      </c>
      <c r="U448" s="1182" t="s">
        <v>1815</v>
      </c>
      <c r="V448" s="1182">
        <v>0</v>
      </c>
      <c r="W448" s="1182">
        <v>0</v>
      </c>
      <c r="X448" s="1182">
        <v>0</v>
      </c>
      <c r="Y448" s="1183">
        <v>879</v>
      </c>
      <c r="Z448" s="1182" t="s">
        <v>2923</v>
      </c>
      <c r="AA448" s="1182" t="s">
        <v>2924</v>
      </c>
      <c r="AB448" s="1182">
        <v>879</v>
      </c>
      <c r="AC448" s="1182" t="s">
        <v>2925</v>
      </c>
      <c r="AD448" s="1182" t="s">
        <v>1561</v>
      </c>
      <c r="AE448" s="1182">
        <v>879</v>
      </c>
      <c r="AF448" s="1182" t="s">
        <v>1943</v>
      </c>
      <c r="AG448" s="1182" t="s">
        <v>1944</v>
      </c>
      <c r="AH448" s="1182">
        <v>0</v>
      </c>
      <c r="AI448" s="1182">
        <v>879</v>
      </c>
      <c r="AJ448" s="1182" t="s">
        <v>3177</v>
      </c>
      <c r="AL448" s="1186" t="s">
        <v>3190</v>
      </c>
      <c r="AM448" s="1182">
        <v>1</v>
      </c>
      <c r="AN448" s="1182">
        <v>0</v>
      </c>
      <c r="AO448" s="1182">
        <v>0</v>
      </c>
      <c r="AP448" s="1182">
        <v>0</v>
      </c>
      <c r="AQ448" s="1182" t="s">
        <v>1639</v>
      </c>
      <c r="AS448" s="1186" t="s">
        <v>1943</v>
      </c>
      <c r="AT448" s="1186" t="s">
        <v>1944</v>
      </c>
      <c r="AV448" s="1183">
        <v>0</v>
      </c>
      <c r="AW448" s="1183">
        <v>0</v>
      </c>
      <c r="AX448" s="1183">
        <v>0</v>
      </c>
      <c r="AY448" s="1538">
        <v>0</v>
      </c>
      <c r="AZ448" s="1183">
        <v>0</v>
      </c>
      <c r="BA448" s="1183">
        <v>879</v>
      </c>
      <c r="BB448" s="1540">
        <v>879</v>
      </c>
      <c r="BC448" s="1540">
        <v>879</v>
      </c>
      <c r="BD448" s="1540">
        <v>0</v>
      </c>
      <c r="BF448" s="1539">
        <f t="shared" si="92"/>
        <v>0</v>
      </c>
      <c r="BG448" s="1539">
        <f t="shared" si="93"/>
        <v>0</v>
      </c>
      <c r="BH448" s="1539">
        <f t="shared" si="94"/>
        <v>0</v>
      </c>
      <c r="BI448" s="1539">
        <f t="shared" si="95"/>
        <v>0</v>
      </c>
      <c r="BJ448" s="1539">
        <f t="shared" si="96"/>
        <v>0</v>
      </c>
      <c r="BK448" s="1539">
        <f t="shared" si="97"/>
        <v>879</v>
      </c>
      <c r="BL448" s="1539">
        <f t="shared" si="98"/>
        <v>879</v>
      </c>
      <c r="BM448" s="1539">
        <f t="shared" si="99"/>
        <v>879</v>
      </c>
      <c r="BO448" s="1183"/>
      <c r="BQ448" s="1182">
        <f t="shared" si="100"/>
        <v>0</v>
      </c>
      <c r="BR448" s="1182">
        <f t="shared" si="101"/>
        <v>0</v>
      </c>
    </row>
    <row r="449" spans="1:70" ht="13.5" customHeight="1">
      <c r="A449" s="1182" t="s">
        <v>3049</v>
      </c>
      <c r="B449" s="1182" t="s">
        <v>1804</v>
      </c>
      <c r="C449" s="1182" t="s">
        <v>1639</v>
      </c>
      <c r="D449" s="1182" t="s">
        <v>2590</v>
      </c>
      <c r="E449" s="1182" t="s">
        <v>2591</v>
      </c>
      <c r="F449" s="1182" t="s">
        <v>3110</v>
      </c>
      <c r="G449" s="1182" t="s">
        <v>3110</v>
      </c>
      <c r="H449" s="1182" t="s">
        <v>3188</v>
      </c>
      <c r="I449" s="1182" t="s">
        <v>1809</v>
      </c>
      <c r="J449" s="1182" t="s">
        <v>3191</v>
      </c>
      <c r="K449" s="1182" t="s">
        <v>1811</v>
      </c>
      <c r="L449" s="1182" t="s">
        <v>1812</v>
      </c>
      <c r="M449" s="1182" t="s">
        <v>1803</v>
      </c>
      <c r="N449" s="1182" t="s">
        <v>2922</v>
      </c>
      <c r="O449" s="1182" t="s">
        <v>1554</v>
      </c>
      <c r="P449" s="1182" t="s">
        <v>1563</v>
      </c>
      <c r="Q449" s="1182" t="s">
        <v>1562</v>
      </c>
      <c r="R449" s="1182" t="s">
        <v>1561</v>
      </c>
      <c r="S449" s="1182" t="s">
        <v>1639</v>
      </c>
      <c r="T449" s="1182" t="s">
        <v>1814</v>
      </c>
      <c r="U449" s="1182" t="s">
        <v>1815</v>
      </c>
      <c r="V449" s="1182">
        <v>0</v>
      </c>
      <c r="W449" s="1182">
        <v>0</v>
      </c>
      <c r="X449" s="1182">
        <v>0</v>
      </c>
      <c r="Y449" s="1183">
        <v>4560</v>
      </c>
      <c r="Z449" s="1182" t="s">
        <v>2923</v>
      </c>
      <c r="AA449" s="1182" t="s">
        <v>2924</v>
      </c>
      <c r="AB449" s="1182">
        <v>4560</v>
      </c>
      <c r="AC449" s="1182" t="s">
        <v>2925</v>
      </c>
      <c r="AD449" s="1182" t="s">
        <v>1561</v>
      </c>
      <c r="AE449" s="1182">
        <v>4560</v>
      </c>
      <c r="AF449" s="1182" t="s">
        <v>1943</v>
      </c>
      <c r="AG449" s="1182" t="s">
        <v>1944</v>
      </c>
      <c r="AH449" s="1182">
        <v>0</v>
      </c>
      <c r="AI449" s="1182">
        <v>4560</v>
      </c>
      <c r="AJ449" s="1182" t="s">
        <v>3177</v>
      </c>
      <c r="AL449" s="1186" t="s">
        <v>3192</v>
      </c>
      <c r="AM449" s="1182">
        <v>1</v>
      </c>
      <c r="AN449" s="1182">
        <v>0</v>
      </c>
      <c r="AO449" s="1182">
        <v>0</v>
      </c>
      <c r="AP449" s="1182">
        <v>0</v>
      </c>
      <c r="AQ449" s="1182" t="s">
        <v>1639</v>
      </c>
      <c r="AS449" s="1186" t="s">
        <v>1943</v>
      </c>
      <c r="AT449" s="1186" t="s">
        <v>1944</v>
      </c>
      <c r="AV449" s="1183">
        <v>0</v>
      </c>
      <c r="AW449" s="1183">
        <v>0</v>
      </c>
      <c r="AX449" s="1183">
        <v>0</v>
      </c>
      <c r="AY449" s="1538">
        <v>0</v>
      </c>
      <c r="AZ449" s="1183">
        <v>0</v>
      </c>
      <c r="BA449" s="1183">
        <v>4560</v>
      </c>
      <c r="BB449" s="1540">
        <v>4560</v>
      </c>
      <c r="BC449" s="1540">
        <v>4560</v>
      </c>
      <c r="BD449" s="1540">
        <v>0</v>
      </c>
      <c r="BF449" s="1539">
        <f t="shared" si="92"/>
        <v>0</v>
      </c>
      <c r="BG449" s="1539">
        <f t="shared" si="93"/>
        <v>0</v>
      </c>
      <c r="BH449" s="1539">
        <f t="shared" si="94"/>
        <v>0</v>
      </c>
      <c r="BI449" s="1539">
        <f t="shared" si="95"/>
        <v>0</v>
      </c>
      <c r="BJ449" s="1539">
        <f t="shared" si="96"/>
        <v>0</v>
      </c>
      <c r="BK449" s="1539">
        <f t="shared" si="97"/>
        <v>4560</v>
      </c>
      <c r="BL449" s="1539">
        <f t="shared" si="98"/>
        <v>4560</v>
      </c>
      <c r="BM449" s="1539">
        <f t="shared" si="99"/>
        <v>4560</v>
      </c>
      <c r="BO449" s="1183"/>
      <c r="BQ449" s="1182">
        <f t="shared" si="100"/>
        <v>0</v>
      </c>
      <c r="BR449" s="1182">
        <f t="shared" si="101"/>
        <v>0</v>
      </c>
    </row>
    <row r="450" spans="1:70" ht="13.5" customHeight="1">
      <c r="A450" s="1182" t="s">
        <v>3049</v>
      </c>
      <c r="B450" s="1182" t="s">
        <v>1804</v>
      </c>
      <c r="C450" s="1182" t="s">
        <v>1639</v>
      </c>
      <c r="D450" s="1182" t="s">
        <v>2590</v>
      </c>
      <c r="E450" s="1182" t="s">
        <v>2591</v>
      </c>
      <c r="F450" s="1182" t="s">
        <v>3110</v>
      </c>
      <c r="G450" s="1182" t="s">
        <v>3110</v>
      </c>
      <c r="H450" s="1182" t="s">
        <v>3188</v>
      </c>
      <c r="I450" s="1182" t="s">
        <v>1809</v>
      </c>
      <c r="J450" s="1182" t="s">
        <v>3193</v>
      </c>
      <c r="K450" s="1182" t="s">
        <v>1811</v>
      </c>
      <c r="L450" s="1182" t="s">
        <v>1812</v>
      </c>
      <c r="M450" s="1182" t="s">
        <v>1803</v>
      </c>
      <c r="N450" s="1182" t="s">
        <v>2922</v>
      </c>
      <c r="O450" s="1182" t="s">
        <v>1554</v>
      </c>
      <c r="P450" s="1182" t="s">
        <v>1563</v>
      </c>
      <c r="Q450" s="1182" t="s">
        <v>1562</v>
      </c>
      <c r="R450" s="1182" t="s">
        <v>1561</v>
      </c>
      <c r="S450" s="1182" t="s">
        <v>1639</v>
      </c>
      <c r="T450" s="1182" t="s">
        <v>1814</v>
      </c>
      <c r="U450" s="1182" t="s">
        <v>1815</v>
      </c>
      <c r="V450" s="1182">
        <v>0</v>
      </c>
      <c r="W450" s="1182">
        <v>0</v>
      </c>
      <c r="X450" s="1182">
        <v>0</v>
      </c>
      <c r="Y450" s="1183">
        <v>1740</v>
      </c>
      <c r="Z450" s="1182" t="s">
        <v>2923</v>
      </c>
      <c r="AA450" s="1182" t="s">
        <v>2924</v>
      </c>
      <c r="AB450" s="1182">
        <v>1740</v>
      </c>
      <c r="AC450" s="1182" t="s">
        <v>2925</v>
      </c>
      <c r="AD450" s="1182" t="s">
        <v>1561</v>
      </c>
      <c r="AE450" s="1182">
        <v>1740</v>
      </c>
      <c r="AF450" s="1182" t="s">
        <v>1943</v>
      </c>
      <c r="AG450" s="1182" t="s">
        <v>1944</v>
      </c>
      <c r="AH450" s="1182">
        <v>0</v>
      </c>
      <c r="AI450" s="1182">
        <v>1740</v>
      </c>
      <c r="AJ450" s="1182" t="s">
        <v>3177</v>
      </c>
      <c r="AL450" s="1186" t="s">
        <v>3194</v>
      </c>
      <c r="AM450" s="1182">
        <v>1</v>
      </c>
      <c r="AN450" s="1182">
        <v>0</v>
      </c>
      <c r="AO450" s="1182">
        <v>0</v>
      </c>
      <c r="AP450" s="1182">
        <v>0</v>
      </c>
      <c r="AQ450" s="1182" t="s">
        <v>1639</v>
      </c>
      <c r="AS450" s="1186" t="s">
        <v>1943</v>
      </c>
      <c r="AT450" s="1186" t="s">
        <v>1944</v>
      </c>
      <c r="AV450" s="1183">
        <v>0</v>
      </c>
      <c r="AW450" s="1183">
        <v>0</v>
      </c>
      <c r="AX450" s="1183">
        <v>0</v>
      </c>
      <c r="AY450" s="1538">
        <v>0</v>
      </c>
      <c r="AZ450" s="1183">
        <v>0</v>
      </c>
      <c r="BA450" s="1183">
        <v>1740</v>
      </c>
      <c r="BB450" s="1540">
        <v>1740</v>
      </c>
      <c r="BC450" s="1540">
        <v>1740</v>
      </c>
      <c r="BD450" s="1540">
        <v>0</v>
      </c>
      <c r="BF450" s="1539">
        <f t="shared" si="92"/>
        <v>0</v>
      </c>
      <c r="BG450" s="1539">
        <f t="shared" si="93"/>
        <v>0</v>
      </c>
      <c r="BH450" s="1539">
        <f t="shared" si="94"/>
        <v>0</v>
      </c>
      <c r="BI450" s="1539">
        <f t="shared" si="95"/>
        <v>0</v>
      </c>
      <c r="BJ450" s="1539">
        <f t="shared" si="96"/>
        <v>0</v>
      </c>
      <c r="BK450" s="1539">
        <f t="shared" si="97"/>
        <v>1740</v>
      </c>
      <c r="BL450" s="1539">
        <f t="shared" si="98"/>
        <v>1740</v>
      </c>
      <c r="BM450" s="1539">
        <f t="shared" si="99"/>
        <v>1740</v>
      </c>
      <c r="BO450" s="1183"/>
      <c r="BQ450" s="1182">
        <f t="shared" si="100"/>
        <v>0</v>
      </c>
      <c r="BR450" s="1182">
        <f t="shared" si="101"/>
        <v>0</v>
      </c>
    </row>
    <row r="451" spans="1:70" ht="13.5" customHeight="1">
      <c r="A451" s="1182" t="s">
        <v>1803</v>
      </c>
      <c r="B451" s="1182" t="s">
        <v>1804</v>
      </c>
      <c r="C451" s="1182" t="s">
        <v>1639</v>
      </c>
      <c r="D451" s="1182" t="s">
        <v>1967</v>
      </c>
      <c r="E451" s="1182" t="s">
        <v>1968</v>
      </c>
      <c r="F451" s="1182" t="s">
        <v>2738</v>
      </c>
      <c r="G451" s="1182" t="s">
        <v>2738</v>
      </c>
      <c r="H451" s="1182" t="s">
        <v>3195</v>
      </c>
      <c r="I451" s="1182" t="s">
        <v>1809</v>
      </c>
      <c r="J451" s="1182" t="s">
        <v>3196</v>
      </c>
      <c r="K451" s="1182" t="s">
        <v>1811</v>
      </c>
      <c r="L451" s="1182" t="s">
        <v>1812</v>
      </c>
      <c r="M451" s="1182" t="s">
        <v>1803</v>
      </c>
      <c r="N451" s="1182" t="s">
        <v>2922</v>
      </c>
      <c r="O451" s="1182" t="s">
        <v>1554</v>
      </c>
      <c r="P451" s="1182" t="s">
        <v>1563</v>
      </c>
      <c r="Q451" s="1182" t="s">
        <v>1562</v>
      </c>
      <c r="R451" s="1182" t="s">
        <v>1561</v>
      </c>
      <c r="S451" s="1182" t="s">
        <v>1639</v>
      </c>
      <c r="T451" s="1182" t="s">
        <v>1814</v>
      </c>
      <c r="U451" s="1182" t="s">
        <v>1815</v>
      </c>
      <c r="V451" s="1182">
        <v>0</v>
      </c>
      <c r="W451" s="1182">
        <v>0</v>
      </c>
      <c r="X451" s="1182">
        <v>0</v>
      </c>
      <c r="Y451" s="1183">
        <v>8736</v>
      </c>
      <c r="Z451" s="1182" t="s">
        <v>2923</v>
      </c>
      <c r="AA451" s="1182" t="s">
        <v>2924</v>
      </c>
      <c r="AB451" s="1182">
        <v>8736</v>
      </c>
      <c r="AC451" s="1182" t="s">
        <v>2925</v>
      </c>
      <c r="AD451" s="1182" t="s">
        <v>1561</v>
      </c>
      <c r="AE451" s="1182">
        <v>8736</v>
      </c>
      <c r="AF451" s="1182" t="s">
        <v>3082</v>
      </c>
      <c r="AG451" s="1182" t="s">
        <v>1944</v>
      </c>
      <c r="AH451" s="1182">
        <v>0</v>
      </c>
      <c r="AI451" s="1182">
        <v>8736</v>
      </c>
      <c r="AJ451" s="1182" t="s">
        <v>3197</v>
      </c>
      <c r="AL451" s="1186" t="s">
        <v>3198</v>
      </c>
      <c r="AM451" s="1182">
        <v>2</v>
      </c>
      <c r="AN451" s="1182">
        <v>21</v>
      </c>
      <c r="AO451" s="1182">
        <v>0</v>
      </c>
      <c r="AP451" s="1182">
        <v>0</v>
      </c>
      <c r="AQ451" s="1182" t="s">
        <v>1639</v>
      </c>
      <c r="AS451" s="1186">
        <v>21</v>
      </c>
      <c r="AT451" s="1186">
        <v>0</v>
      </c>
      <c r="AV451" s="1183">
        <v>8736</v>
      </c>
      <c r="AW451" s="1183">
        <v>0</v>
      </c>
      <c r="AX451" s="1183">
        <v>0</v>
      </c>
      <c r="AY451" s="1538">
        <v>8736</v>
      </c>
      <c r="AZ451" s="1183">
        <v>0</v>
      </c>
      <c r="BA451" s="1183">
        <v>0</v>
      </c>
      <c r="BB451" s="1540">
        <v>0</v>
      </c>
      <c r="BC451" s="1540">
        <v>8736</v>
      </c>
      <c r="BD451" s="1540">
        <v>0</v>
      </c>
      <c r="BF451" s="1539">
        <f t="shared" si="92"/>
        <v>8736</v>
      </c>
      <c r="BG451" s="1539">
        <f t="shared" si="93"/>
        <v>0</v>
      </c>
      <c r="BH451" s="1539">
        <f t="shared" si="94"/>
        <v>0</v>
      </c>
      <c r="BI451" s="1539">
        <f t="shared" si="95"/>
        <v>8736</v>
      </c>
      <c r="BJ451" s="1539">
        <f t="shared" si="96"/>
        <v>0</v>
      </c>
      <c r="BK451" s="1539">
        <f t="shared" si="97"/>
        <v>0</v>
      </c>
      <c r="BL451" s="1539">
        <f t="shared" si="98"/>
        <v>0</v>
      </c>
      <c r="BM451" s="1539">
        <f t="shared" si="99"/>
        <v>8736</v>
      </c>
      <c r="BO451" s="1183"/>
      <c r="BQ451" s="1182">
        <f t="shared" si="100"/>
        <v>0</v>
      </c>
      <c r="BR451" s="1182">
        <f t="shared" si="101"/>
        <v>0</v>
      </c>
    </row>
    <row r="452" spans="1:70" ht="13.5" customHeight="1">
      <c r="A452" s="1182" t="s">
        <v>1803</v>
      </c>
      <c r="B452" s="1182" t="s">
        <v>1804</v>
      </c>
      <c r="C452" s="1182" t="s">
        <v>1639</v>
      </c>
      <c r="D452" s="1182" t="s">
        <v>1967</v>
      </c>
      <c r="E452" s="1182" t="s">
        <v>1968</v>
      </c>
      <c r="F452" s="1182" t="s">
        <v>2738</v>
      </c>
      <c r="G452" s="1182" t="s">
        <v>2738</v>
      </c>
      <c r="H452" s="1182" t="s">
        <v>3199</v>
      </c>
      <c r="I452" s="1182" t="s">
        <v>1809</v>
      </c>
      <c r="J452" s="1182" t="s">
        <v>3200</v>
      </c>
      <c r="K452" s="1182" t="s">
        <v>1811</v>
      </c>
      <c r="L452" s="1182" t="s">
        <v>1812</v>
      </c>
      <c r="M452" s="1182" t="s">
        <v>1803</v>
      </c>
      <c r="N452" s="1182" t="s">
        <v>2922</v>
      </c>
      <c r="O452" s="1182" t="s">
        <v>1554</v>
      </c>
      <c r="P452" s="1182" t="s">
        <v>1563</v>
      </c>
      <c r="Q452" s="1182" t="s">
        <v>1562</v>
      </c>
      <c r="R452" s="1182" t="s">
        <v>1561</v>
      </c>
      <c r="S452" s="1182" t="s">
        <v>1639</v>
      </c>
      <c r="T452" s="1182" t="s">
        <v>1814</v>
      </c>
      <c r="U452" s="1182" t="s">
        <v>1815</v>
      </c>
      <c r="V452" s="1182">
        <v>0</v>
      </c>
      <c r="W452" s="1182">
        <v>0</v>
      </c>
      <c r="X452" s="1182">
        <v>0</v>
      </c>
      <c r="Y452" s="1183">
        <v>3120</v>
      </c>
      <c r="Z452" s="1182" t="s">
        <v>2923</v>
      </c>
      <c r="AA452" s="1182" t="s">
        <v>2924</v>
      </c>
      <c r="AB452" s="1182">
        <v>3120</v>
      </c>
      <c r="AC452" s="1182" t="s">
        <v>2925</v>
      </c>
      <c r="AD452" s="1182" t="s">
        <v>1561</v>
      </c>
      <c r="AE452" s="1182">
        <v>3120</v>
      </c>
      <c r="AF452" s="1182" t="s">
        <v>3082</v>
      </c>
      <c r="AG452" s="1182" t="s">
        <v>1944</v>
      </c>
      <c r="AH452" s="1182">
        <v>0</v>
      </c>
      <c r="AI452" s="1182">
        <v>3120</v>
      </c>
      <c r="AJ452" s="1182" t="s">
        <v>3201</v>
      </c>
      <c r="AL452" s="1186" t="s">
        <v>3202</v>
      </c>
      <c r="AM452" s="1182">
        <v>2</v>
      </c>
      <c r="AN452" s="1182">
        <v>21</v>
      </c>
      <c r="AO452" s="1182">
        <v>0</v>
      </c>
      <c r="AP452" s="1182">
        <v>0</v>
      </c>
      <c r="AQ452" s="1182" t="s">
        <v>1639</v>
      </c>
      <c r="AS452" s="1186">
        <v>21</v>
      </c>
      <c r="AT452" s="1186">
        <v>0</v>
      </c>
      <c r="AV452" s="1183">
        <v>3120</v>
      </c>
      <c r="AW452" s="1183">
        <v>0</v>
      </c>
      <c r="AX452" s="1183">
        <v>0</v>
      </c>
      <c r="AY452" s="1538">
        <v>3120</v>
      </c>
      <c r="AZ452" s="1183">
        <v>0</v>
      </c>
      <c r="BA452" s="1183">
        <v>0</v>
      </c>
      <c r="BB452" s="1540">
        <v>0</v>
      </c>
      <c r="BC452" s="1540">
        <v>3120</v>
      </c>
      <c r="BD452" s="1540">
        <v>0</v>
      </c>
      <c r="BF452" s="1539">
        <f t="shared" si="92"/>
        <v>3120</v>
      </c>
      <c r="BG452" s="1539">
        <f t="shared" si="93"/>
        <v>0</v>
      </c>
      <c r="BH452" s="1539">
        <f t="shared" si="94"/>
        <v>0</v>
      </c>
      <c r="BI452" s="1539">
        <f t="shared" si="95"/>
        <v>3120</v>
      </c>
      <c r="BJ452" s="1539">
        <f t="shared" si="96"/>
        <v>0</v>
      </c>
      <c r="BK452" s="1539">
        <f t="shared" si="97"/>
        <v>0</v>
      </c>
      <c r="BL452" s="1539">
        <f t="shared" si="98"/>
        <v>0</v>
      </c>
      <c r="BM452" s="1539">
        <f t="shared" si="99"/>
        <v>3120</v>
      </c>
      <c r="BO452" s="1183"/>
      <c r="BQ452" s="1182">
        <f t="shared" si="100"/>
        <v>0</v>
      </c>
      <c r="BR452" s="1182">
        <f t="shared" si="101"/>
        <v>0</v>
      </c>
    </row>
    <row r="453" spans="1:70" ht="13.5" customHeight="1">
      <c r="A453" s="1182" t="s">
        <v>1803</v>
      </c>
      <c r="B453" s="1182" t="s">
        <v>1804</v>
      </c>
      <c r="C453" s="1182" t="s">
        <v>1639</v>
      </c>
      <c r="D453" s="1182" t="s">
        <v>1967</v>
      </c>
      <c r="E453" s="1182" t="s">
        <v>1968</v>
      </c>
      <c r="F453" s="1182" t="s">
        <v>2388</v>
      </c>
      <c r="G453" s="1182" t="s">
        <v>2388</v>
      </c>
      <c r="H453" s="1182" t="s">
        <v>3203</v>
      </c>
      <c r="I453" s="1182" t="s">
        <v>1809</v>
      </c>
      <c r="J453" s="1182" t="s">
        <v>3204</v>
      </c>
      <c r="K453" s="1182" t="s">
        <v>1811</v>
      </c>
      <c r="L453" s="1182" t="s">
        <v>1812</v>
      </c>
      <c r="M453" s="1182" t="s">
        <v>1803</v>
      </c>
      <c r="N453" s="1182" t="s">
        <v>2922</v>
      </c>
      <c r="O453" s="1182" t="s">
        <v>1554</v>
      </c>
      <c r="P453" s="1182" t="s">
        <v>1563</v>
      </c>
      <c r="Q453" s="1182" t="s">
        <v>1562</v>
      </c>
      <c r="R453" s="1182" t="s">
        <v>1561</v>
      </c>
      <c r="S453" s="1182" t="s">
        <v>1639</v>
      </c>
      <c r="T453" s="1182" t="s">
        <v>1814</v>
      </c>
      <c r="U453" s="1182" t="s">
        <v>1815</v>
      </c>
      <c r="V453" s="1182">
        <v>0</v>
      </c>
      <c r="W453" s="1182">
        <v>0</v>
      </c>
      <c r="X453" s="1182">
        <v>0</v>
      </c>
      <c r="Y453" s="1183">
        <v>3099</v>
      </c>
      <c r="Z453" s="1182" t="s">
        <v>2923</v>
      </c>
      <c r="AA453" s="1182" t="s">
        <v>2924</v>
      </c>
      <c r="AB453" s="1182">
        <v>3099</v>
      </c>
      <c r="AC453" s="1182" t="s">
        <v>2925</v>
      </c>
      <c r="AD453" s="1182" t="s">
        <v>1561</v>
      </c>
      <c r="AE453" s="1182">
        <v>3099</v>
      </c>
      <c r="AF453" s="1182" t="s">
        <v>1943</v>
      </c>
      <c r="AG453" s="1182" t="s">
        <v>1944</v>
      </c>
      <c r="AH453" s="1182">
        <v>0</v>
      </c>
      <c r="AI453" s="1182">
        <v>3099</v>
      </c>
      <c r="AJ453" s="1182" t="s">
        <v>3162</v>
      </c>
      <c r="AL453" s="1186" t="s">
        <v>3205</v>
      </c>
      <c r="AM453" s="1182">
        <v>1</v>
      </c>
      <c r="AN453" s="1182">
        <v>0</v>
      </c>
      <c r="AO453" s="1182">
        <v>0</v>
      </c>
      <c r="AP453" s="1182">
        <v>0</v>
      </c>
      <c r="AQ453" s="1182" t="s">
        <v>1639</v>
      </c>
      <c r="AS453" s="1186" t="s">
        <v>1943</v>
      </c>
      <c r="AT453" s="1186" t="s">
        <v>1944</v>
      </c>
      <c r="AV453" s="1183">
        <v>3099</v>
      </c>
      <c r="AW453" s="1183">
        <v>0</v>
      </c>
      <c r="AX453" s="1183">
        <v>0</v>
      </c>
      <c r="AY453" s="1538">
        <v>3099</v>
      </c>
      <c r="AZ453" s="1183">
        <v>0</v>
      </c>
      <c r="BA453" s="1183">
        <v>0</v>
      </c>
      <c r="BB453" s="1540">
        <v>0</v>
      </c>
      <c r="BC453" s="1540">
        <v>3099</v>
      </c>
      <c r="BD453" s="1540">
        <v>0</v>
      </c>
      <c r="BF453" s="1539">
        <f t="shared" si="92"/>
        <v>3099</v>
      </c>
      <c r="BG453" s="1539">
        <f t="shared" si="93"/>
        <v>0</v>
      </c>
      <c r="BH453" s="1539">
        <f t="shared" si="94"/>
        <v>0</v>
      </c>
      <c r="BI453" s="1539">
        <f t="shared" si="95"/>
        <v>3099</v>
      </c>
      <c r="BJ453" s="1539">
        <f t="shared" si="96"/>
        <v>0</v>
      </c>
      <c r="BK453" s="1539">
        <f t="shared" si="97"/>
        <v>0</v>
      </c>
      <c r="BL453" s="1539">
        <f t="shared" si="98"/>
        <v>0</v>
      </c>
      <c r="BM453" s="1539">
        <f t="shared" si="99"/>
        <v>3099</v>
      </c>
      <c r="BO453" s="1183"/>
      <c r="BQ453" s="1182">
        <f t="shared" si="100"/>
        <v>0</v>
      </c>
      <c r="BR453" s="1182">
        <f t="shared" si="101"/>
        <v>0</v>
      </c>
    </row>
    <row r="454" spans="1:70" ht="13.5" customHeight="1">
      <c r="A454" s="1182" t="s">
        <v>1803</v>
      </c>
      <c r="B454" s="1182" t="s">
        <v>1804</v>
      </c>
      <c r="C454" s="1182" t="s">
        <v>1639</v>
      </c>
      <c r="D454" s="1182" t="s">
        <v>2422</v>
      </c>
      <c r="E454" s="1182" t="s">
        <v>2423</v>
      </c>
      <c r="F454" s="1182" t="s">
        <v>2557</v>
      </c>
      <c r="G454" s="1182" t="s">
        <v>2557</v>
      </c>
      <c r="H454" s="1182" t="s">
        <v>3206</v>
      </c>
      <c r="I454" s="1182" t="s">
        <v>1809</v>
      </c>
      <c r="J454" s="1182" t="s">
        <v>3218</v>
      </c>
      <c r="K454" s="1182" t="s">
        <v>1811</v>
      </c>
      <c r="L454" s="1182" t="s">
        <v>1812</v>
      </c>
      <c r="M454" s="1182" t="s">
        <v>1803</v>
      </c>
      <c r="N454" s="1182" t="s">
        <v>2922</v>
      </c>
      <c r="O454" s="1182" t="s">
        <v>1554</v>
      </c>
      <c r="P454" s="1182" t="s">
        <v>1563</v>
      </c>
      <c r="Q454" s="1182" t="s">
        <v>1562</v>
      </c>
      <c r="R454" s="1182" t="s">
        <v>1561</v>
      </c>
      <c r="S454" s="1182" t="s">
        <v>1639</v>
      </c>
      <c r="T454" s="1182" t="s">
        <v>1814</v>
      </c>
      <c r="U454" s="1182" t="s">
        <v>1815</v>
      </c>
      <c r="V454" s="1182">
        <v>0</v>
      </c>
      <c r="W454" s="1182">
        <v>0</v>
      </c>
      <c r="X454" s="1182">
        <v>0</v>
      </c>
      <c r="Y454" s="1183">
        <v>19368</v>
      </c>
      <c r="Z454" s="1182" t="s">
        <v>2923</v>
      </c>
      <c r="AA454" s="1182" t="s">
        <v>2924</v>
      </c>
      <c r="AB454" s="1182">
        <v>19368</v>
      </c>
      <c r="AC454" s="1182" t="s">
        <v>2925</v>
      </c>
      <c r="AD454" s="1182" t="s">
        <v>1561</v>
      </c>
      <c r="AE454" s="1182">
        <v>19368</v>
      </c>
      <c r="AF454" s="1182" t="s">
        <v>1943</v>
      </c>
      <c r="AG454" s="1182" t="s">
        <v>1944</v>
      </c>
      <c r="AH454" s="1182">
        <v>0</v>
      </c>
      <c r="AI454" s="1182">
        <v>19368</v>
      </c>
      <c r="AJ454" s="1182" t="s">
        <v>3216</v>
      </c>
      <c r="AL454" s="1186" t="s">
        <v>3219</v>
      </c>
      <c r="AM454" s="1182">
        <v>1</v>
      </c>
      <c r="AN454" s="1182">
        <v>0</v>
      </c>
      <c r="AO454" s="1182">
        <v>0</v>
      </c>
      <c r="AP454" s="1182">
        <v>0</v>
      </c>
      <c r="AQ454" s="1182" t="s">
        <v>1639</v>
      </c>
      <c r="AS454" s="1186" t="s">
        <v>1943</v>
      </c>
      <c r="AT454" s="1186" t="s">
        <v>1944</v>
      </c>
      <c r="AV454" s="1183">
        <v>19368</v>
      </c>
      <c r="AW454" s="1183">
        <v>0</v>
      </c>
      <c r="AX454" s="1183">
        <v>0</v>
      </c>
      <c r="AY454" s="1538">
        <v>19368</v>
      </c>
      <c r="AZ454" s="1183">
        <v>0</v>
      </c>
      <c r="BA454" s="1183">
        <v>0</v>
      </c>
      <c r="BB454" s="1540">
        <v>0</v>
      </c>
      <c r="BC454" s="1540">
        <v>19368</v>
      </c>
      <c r="BD454" s="1540">
        <v>0</v>
      </c>
      <c r="BF454" s="1539">
        <f t="shared" si="92"/>
        <v>19368</v>
      </c>
      <c r="BG454" s="1539">
        <f t="shared" si="93"/>
        <v>0</v>
      </c>
      <c r="BH454" s="1539">
        <f t="shared" si="94"/>
        <v>0</v>
      </c>
      <c r="BI454" s="1539">
        <f t="shared" si="95"/>
        <v>19368</v>
      </c>
      <c r="BJ454" s="1539">
        <f t="shared" si="96"/>
        <v>0</v>
      </c>
      <c r="BK454" s="1539">
        <f t="shared" si="97"/>
        <v>0</v>
      </c>
      <c r="BL454" s="1539">
        <f t="shared" si="98"/>
        <v>0</v>
      </c>
      <c r="BM454" s="1539">
        <f t="shared" si="99"/>
        <v>19368</v>
      </c>
      <c r="BO454" s="1183"/>
      <c r="BQ454" s="1182">
        <f t="shared" si="100"/>
        <v>0</v>
      </c>
      <c r="BR454" s="1182">
        <f t="shared" si="101"/>
        <v>0</v>
      </c>
    </row>
    <row r="455" spans="1:70" ht="13.5" customHeight="1">
      <c r="A455" s="1182" t="s">
        <v>1803</v>
      </c>
      <c r="B455" s="1182" t="s">
        <v>1804</v>
      </c>
      <c r="C455" s="1182" t="s">
        <v>1639</v>
      </c>
      <c r="D455" s="1182" t="s">
        <v>2422</v>
      </c>
      <c r="E455" s="1182" t="s">
        <v>2423</v>
      </c>
      <c r="F455" s="1182" t="s">
        <v>1988</v>
      </c>
      <c r="G455" s="1182" t="s">
        <v>1988</v>
      </c>
      <c r="H455" s="1182" t="s">
        <v>3206</v>
      </c>
      <c r="I455" s="1182" t="s">
        <v>1809</v>
      </c>
      <c r="J455" s="1182" t="s">
        <v>3212</v>
      </c>
      <c r="K455" s="1182" t="s">
        <v>1811</v>
      </c>
      <c r="L455" s="1182" t="s">
        <v>1812</v>
      </c>
      <c r="M455" s="1182" t="s">
        <v>1803</v>
      </c>
      <c r="N455" s="1182" t="s">
        <v>2922</v>
      </c>
      <c r="O455" s="1182" t="s">
        <v>1554</v>
      </c>
      <c r="P455" s="1182" t="s">
        <v>1563</v>
      </c>
      <c r="Q455" s="1182" t="s">
        <v>1562</v>
      </c>
      <c r="R455" s="1182" t="s">
        <v>1561</v>
      </c>
      <c r="S455" s="1182" t="s">
        <v>1639</v>
      </c>
      <c r="T455" s="1182" t="s">
        <v>1814</v>
      </c>
      <c r="U455" s="1182" t="s">
        <v>1815</v>
      </c>
      <c r="V455" s="1182">
        <v>0</v>
      </c>
      <c r="W455" s="1182">
        <v>0</v>
      </c>
      <c r="X455" s="1182">
        <v>0</v>
      </c>
      <c r="Y455" s="1183">
        <v>150272</v>
      </c>
      <c r="Z455" s="1182" t="s">
        <v>2923</v>
      </c>
      <c r="AA455" s="1182" t="s">
        <v>2924</v>
      </c>
      <c r="AB455" s="1182">
        <v>150272</v>
      </c>
      <c r="AC455" s="1182" t="s">
        <v>2925</v>
      </c>
      <c r="AD455" s="1182" t="s">
        <v>1561</v>
      </c>
      <c r="AE455" s="1182">
        <v>150272</v>
      </c>
      <c r="AF455" s="1182" t="s">
        <v>1943</v>
      </c>
      <c r="AG455" s="1182" t="s">
        <v>1944</v>
      </c>
      <c r="AH455" s="1182">
        <v>0</v>
      </c>
      <c r="AI455" s="1182">
        <v>150272</v>
      </c>
      <c r="AJ455" s="1182" t="s">
        <v>3210</v>
      </c>
      <c r="AL455" s="1186" t="s">
        <v>3213</v>
      </c>
      <c r="AM455" s="1182">
        <v>1</v>
      </c>
      <c r="AN455" s="1182">
        <v>0</v>
      </c>
      <c r="AO455" s="1182">
        <v>0</v>
      </c>
      <c r="AP455" s="1182">
        <v>0</v>
      </c>
      <c r="AQ455" s="1182" t="s">
        <v>1639</v>
      </c>
      <c r="AS455" s="1186" t="s">
        <v>1943</v>
      </c>
      <c r="AT455" s="1186" t="s">
        <v>1944</v>
      </c>
      <c r="AV455" s="1183">
        <v>150272</v>
      </c>
      <c r="AW455" s="1183">
        <v>0</v>
      </c>
      <c r="AX455" s="1183">
        <v>0</v>
      </c>
      <c r="AY455" s="1538">
        <v>150272</v>
      </c>
      <c r="AZ455" s="1183">
        <v>0</v>
      </c>
      <c r="BA455" s="1183">
        <v>0</v>
      </c>
      <c r="BB455" s="1540">
        <v>0</v>
      </c>
      <c r="BC455" s="1540">
        <v>150272</v>
      </c>
      <c r="BD455" s="1540">
        <v>0</v>
      </c>
      <c r="BF455" s="1539">
        <f t="shared" ref="BF455:BF518" si="102">+IFERROR(ROUND(AV455*100/(100+$AT455),0),AV455)</f>
        <v>150272</v>
      </c>
      <c r="BG455" s="1539">
        <f t="shared" ref="BG455:BG518" si="103">+IFERROR(ROUND(AW455*100/(100+$AT455),0),AW455)</f>
        <v>0</v>
      </c>
      <c r="BH455" s="1539">
        <f t="shared" ref="BH455:BH518" si="104">+IFERROR(ROUND(AX455*100/(100+$AT455),0),AX455)</f>
        <v>0</v>
      </c>
      <c r="BI455" s="1539">
        <f t="shared" ref="BI455:BI518" si="105">SUM(BF455:BH455)</f>
        <v>150272</v>
      </c>
      <c r="BJ455" s="1539">
        <f t="shared" ref="BJ455:BJ518" si="106">+IFERROR(ROUND(AZ455*100/(100+$AT455),0),AZ455)</f>
        <v>0</v>
      </c>
      <c r="BK455" s="1539">
        <f t="shared" ref="BK455:BK518" si="107">+IFERROR(ROUND(BA455*100/(100+$AT455),0),BA455)</f>
        <v>0</v>
      </c>
      <c r="BL455" s="1539">
        <f t="shared" ref="BL455:BL518" si="108">SUM(BJ455:BK455)</f>
        <v>0</v>
      </c>
      <c r="BM455" s="1539">
        <f t="shared" ref="BM455:BM518" si="109">+BI455+BL455</f>
        <v>150272</v>
      </c>
      <c r="BO455" s="1183"/>
      <c r="BQ455" s="1182">
        <f t="shared" ref="BQ455:BQ518" si="110">AY455*100/(100+$AT455)-BI455</f>
        <v>0</v>
      </c>
      <c r="BR455" s="1182">
        <f t="shared" ref="BR455:BR518" si="111">BB455*100/(100+$AT455)-BL455</f>
        <v>0</v>
      </c>
    </row>
    <row r="456" spans="1:70" ht="13.5" customHeight="1">
      <c r="A456" s="1182" t="s">
        <v>1803</v>
      </c>
      <c r="B456" s="1182" t="s">
        <v>1804</v>
      </c>
      <c r="C456" s="1182" t="s">
        <v>1639</v>
      </c>
      <c r="D456" s="1182" t="s">
        <v>2422</v>
      </c>
      <c r="E456" s="1182" t="s">
        <v>2423</v>
      </c>
      <c r="F456" s="1182" t="s">
        <v>2529</v>
      </c>
      <c r="G456" s="1182" t="s">
        <v>2529</v>
      </c>
      <c r="H456" s="1182" t="s">
        <v>3206</v>
      </c>
      <c r="I456" s="1182" t="s">
        <v>1809</v>
      </c>
      <c r="J456" s="1182" t="s">
        <v>3207</v>
      </c>
      <c r="K456" s="1182" t="s">
        <v>1811</v>
      </c>
      <c r="L456" s="1182" t="s">
        <v>1812</v>
      </c>
      <c r="M456" s="1182" t="s">
        <v>1803</v>
      </c>
      <c r="N456" s="1182" t="s">
        <v>2922</v>
      </c>
      <c r="O456" s="1182" t="s">
        <v>1554</v>
      </c>
      <c r="P456" s="1182" t="s">
        <v>1563</v>
      </c>
      <c r="Q456" s="1182" t="s">
        <v>1562</v>
      </c>
      <c r="R456" s="1182" t="s">
        <v>1561</v>
      </c>
      <c r="S456" s="1182" t="s">
        <v>1639</v>
      </c>
      <c r="T456" s="1182" t="s">
        <v>1814</v>
      </c>
      <c r="U456" s="1182" t="s">
        <v>1815</v>
      </c>
      <c r="V456" s="1182">
        <v>0</v>
      </c>
      <c r="W456" s="1182">
        <v>0</v>
      </c>
      <c r="X456" s="1182">
        <v>0</v>
      </c>
      <c r="Y456" s="1183">
        <v>116</v>
      </c>
      <c r="Z456" s="1182" t="s">
        <v>2923</v>
      </c>
      <c r="AA456" s="1182" t="s">
        <v>2924</v>
      </c>
      <c r="AB456" s="1182">
        <v>116</v>
      </c>
      <c r="AC456" s="1182" t="s">
        <v>2925</v>
      </c>
      <c r="AD456" s="1182" t="s">
        <v>1561</v>
      </c>
      <c r="AE456" s="1182">
        <v>116</v>
      </c>
      <c r="AF456" s="1182" t="s">
        <v>1943</v>
      </c>
      <c r="AG456" s="1182" t="s">
        <v>1944</v>
      </c>
      <c r="AH456" s="1182">
        <v>0</v>
      </c>
      <c r="AI456" s="1182">
        <v>116</v>
      </c>
      <c r="AJ456" s="1182" t="s">
        <v>3162</v>
      </c>
      <c r="AL456" s="1186" t="s">
        <v>3208</v>
      </c>
      <c r="AM456" s="1182">
        <v>1</v>
      </c>
      <c r="AN456" s="1182">
        <v>0</v>
      </c>
      <c r="AO456" s="1182">
        <v>0</v>
      </c>
      <c r="AP456" s="1182">
        <v>0</v>
      </c>
      <c r="AQ456" s="1182" t="s">
        <v>1639</v>
      </c>
      <c r="AS456" s="1186" t="s">
        <v>1943</v>
      </c>
      <c r="AT456" s="1186" t="s">
        <v>1944</v>
      </c>
      <c r="AV456" s="1183">
        <v>116</v>
      </c>
      <c r="AW456" s="1183">
        <v>0</v>
      </c>
      <c r="AX456" s="1183">
        <v>0</v>
      </c>
      <c r="AY456" s="1538">
        <v>116</v>
      </c>
      <c r="AZ456" s="1183">
        <v>0</v>
      </c>
      <c r="BA456" s="1183">
        <v>0</v>
      </c>
      <c r="BB456" s="1540">
        <v>0</v>
      </c>
      <c r="BC456" s="1540">
        <v>116</v>
      </c>
      <c r="BD456" s="1540">
        <v>0</v>
      </c>
      <c r="BF456" s="1539">
        <f t="shared" si="102"/>
        <v>116</v>
      </c>
      <c r="BG456" s="1539">
        <f t="shared" si="103"/>
        <v>0</v>
      </c>
      <c r="BH456" s="1539">
        <f t="shared" si="104"/>
        <v>0</v>
      </c>
      <c r="BI456" s="1539">
        <f t="shared" si="105"/>
        <v>116</v>
      </c>
      <c r="BJ456" s="1539">
        <f t="shared" si="106"/>
        <v>0</v>
      </c>
      <c r="BK456" s="1539">
        <f t="shared" si="107"/>
        <v>0</v>
      </c>
      <c r="BL456" s="1539">
        <f t="shared" si="108"/>
        <v>0</v>
      </c>
      <c r="BM456" s="1539">
        <f t="shared" si="109"/>
        <v>116</v>
      </c>
      <c r="BO456" s="1183"/>
      <c r="BQ456" s="1182">
        <f t="shared" si="110"/>
        <v>0</v>
      </c>
      <c r="BR456" s="1182">
        <f t="shared" si="111"/>
        <v>0</v>
      </c>
    </row>
    <row r="457" spans="1:70" ht="13.5" customHeight="1">
      <c r="A457" s="1182" t="s">
        <v>1803</v>
      </c>
      <c r="B457" s="1182" t="s">
        <v>1804</v>
      </c>
      <c r="C457" s="1182" t="s">
        <v>1639</v>
      </c>
      <c r="D457" s="1182" t="s">
        <v>2422</v>
      </c>
      <c r="E457" s="1182" t="s">
        <v>2423</v>
      </c>
      <c r="F457" s="1182" t="s">
        <v>3223</v>
      </c>
      <c r="G457" s="1182" t="s">
        <v>3223</v>
      </c>
      <c r="H457" s="1182" t="s">
        <v>3206</v>
      </c>
      <c r="I457" s="1182" t="s">
        <v>1809</v>
      </c>
      <c r="J457" s="1182" t="s">
        <v>3224</v>
      </c>
      <c r="K457" s="1182" t="s">
        <v>1811</v>
      </c>
      <c r="L457" s="1182" t="s">
        <v>1812</v>
      </c>
      <c r="M457" s="1182" t="s">
        <v>1803</v>
      </c>
      <c r="N457" s="1182" t="s">
        <v>2922</v>
      </c>
      <c r="O457" s="1182" t="s">
        <v>1554</v>
      </c>
      <c r="P457" s="1182" t="s">
        <v>1563</v>
      </c>
      <c r="Q457" s="1182" t="s">
        <v>1562</v>
      </c>
      <c r="R457" s="1182" t="s">
        <v>1561</v>
      </c>
      <c r="S457" s="1182" t="s">
        <v>1639</v>
      </c>
      <c r="T457" s="1182" t="s">
        <v>1814</v>
      </c>
      <c r="U457" s="1182" t="s">
        <v>1815</v>
      </c>
      <c r="V457" s="1182">
        <v>0</v>
      </c>
      <c r="W457" s="1182">
        <v>0</v>
      </c>
      <c r="X457" s="1182">
        <v>0</v>
      </c>
      <c r="Y457" s="1183">
        <v>48384</v>
      </c>
      <c r="Z457" s="1182" t="s">
        <v>2923</v>
      </c>
      <c r="AA457" s="1182" t="s">
        <v>2924</v>
      </c>
      <c r="AB457" s="1182">
        <v>48384</v>
      </c>
      <c r="AC457" s="1182" t="s">
        <v>2925</v>
      </c>
      <c r="AD457" s="1182" t="s">
        <v>1561</v>
      </c>
      <c r="AE457" s="1182">
        <v>48384</v>
      </c>
      <c r="AF457" s="1182" t="s">
        <v>1943</v>
      </c>
      <c r="AG457" s="1182" t="s">
        <v>1944</v>
      </c>
      <c r="AH457" s="1182">
        <v>0</v>
      </c>
      <c r="AI457" s="1182">
        <v>48384</v>
      </c>
      <c r="AJ457" s="1182" t="s">
        <v>3225</v>
      </c>
      <c r="AL457" s="1186" t="s">
        <v>3226</v>
      </c>
      <c r="AM457" s="1182">
        <v>1</v>
      </c>
      <c r="AN457" s="1182">
        <v>0</v>
      </c>
      <c r="AO457" s="1182">
        <v>0</v>
      </c>
      <c r="AP457" s="1182">
        <v>0</v>
      </c>
      <c r="AQ457" s="1182" t="s">
        <v>1639</v>
      </c>
      <c r="AS457" s="1186" t="s">
        <v>1943</v>
      </c>
      <c r="AT457" s="1186" t="s">
        <v>1944</v>
      </c>
      <c r="AV457" s="1183">
        <v>48384</v>
      </c>
      <c r="AW457" s="1183">
        <v>0</v>
      </c>
      <c r="AX457" s="1183">
        <v>0</v>
      </c>
      <c r="AY457" s="1538">
        <v>48384</v>
      </c>
      <c r="AZ457" s="1183">
        <v>0</v>
      </c>
      <c r="BA457" s="1183">
        <v>0</v>
      </c>
      <c r="BB457" s="1540">
        <v>0</v>
      </c>
      <c r="BC457" s="1540">
        <v>48384</v>
      </c>
      <c r="BD457" s="1540">
        <v>0</v>
      </c>
      <c r="BF457" s="1539">
        <f t="shared" si="102"/>
        <v>48384</v>
      </c>
      <c r="BG457" s="1539">
        <f t="shared" si="103"/>
        <v>0</v>
      </c>
      <c r="BH457" s="1539">
        <f t="shared" si="104"/>
        <v>0</v>
      </c>
      <c r="BI457" s="1539">
        <f t="shared" si="105"/>
        <v>48384</v>
      </c>
      <c r="BJ457" s="1539">
        <f t="shared" si="106"/>
        <v>0</v>
      </c>
      <c r="BK457" s="1539">
        <f t="shared" si="107"/>
        <v>0</v>
      </c>
      <c r="BL457" s="1539">
        <f t="shared" si="108"/>
        <v>0</v>
      </c>
      <c r="BM457" s="1539">
        <f t="shared" si="109"/>
        <v>48384</v>
      </c>
      <c r="BO457" s="1183"/>
      <c r="BQ457" s="1182">
        <f t="shared" si="110"/>
        <v>0</v>
      </c>
      <c r="BR457" s="1182">
        <f t="shared" si="111"/>
        <v>0</v>
      </c>
    </row>
    <row r="458" spans="1:70" ht="13.5" customHeight="1">
      <c r="A458" s="1182" t="s">
        <v>1803</v>
      </c>
      <c r="B458" s="1182" t="s">
        <v>1804</v>
      </c>
      <c r="C458" s="1182" t="s">
        <v>1639</v>
      </c>
      <c r="D458" s="1182" t="s">
        <v>2422</v>
      </c>
      <c r="E458" s="1182" t="s">
        <v>2423</v>
      </c>
      <c r="F458" s="1182" t="s">
        <v>3110</v>
      </c>
      <c r="G458" s="1182" t="s">
        <v>3110</v>
      </c>
      <c r="H458" s="1182" t="s">
        <v>3206</v>
      </c>
      <c r="I458" s="1182" t="s">
        <v>1809</v>
      </c>
      <c r="J458" s="1182" t="s">
        <v>3220</v>
      </c>
      <c r="K458" s="1182" t="s">
        <v>1811</v>
      </c>
      <c r="L458" s="1182" t="s">
        <v>1812</v>
      </c>
      <c r="M458" s="1182" t="s">
        <v>1803</v>
      </c>
      <c r="N458" s="1182" t="s">
        <v>2922</v>
      </c>
      <c r="O458" s="1182" t="s">
        <v>1554</v>
      </c>
      <c r="P458" s="1182" t="s">
        <v>1563</v>
      </c>
      <c r="Q458" s="1182" t="s">
        <v>1562</v>
      </c>
      <c r="R458" s="1182" t="s">
        <v>1561</v>
      </c>
      <c r="S458" s="1182" t="s">
        <v>1639</v>
      </c>
      <c r="T458" s="1182" t="s">
        <v>1814</v>
      </c>
      <c r="U458" s="1182" t="s">
        <v>1815</v>
      </c>
      <c r="V458" s="1182">
        <v>0</v>
      </c>
      <c r="W458" s="1182">
        <v>0</v>
      </c>
      <c r="X458" s="1182">
        <v>0</v>
      </c>
      <c r="Y458" s="1183">
        <v>166580</v>
      </c>
      <c r="Z458" s="1182" t="s">
        <v>2923</v>
      </c>
      <c r="AA458" s="1182" t="s">
        <v>2924</v>
      </c>
      <c r="AB458" s="1182">
        <v>166580</v>
      </c>
      <c r="AC458" s="1182" t="s">
        <v>2925</v>
      </c>
      <c r="AD458" s="1182" t="s">
        <v>1561</v>
      </c>
      <c r="AE458" s="1182">
        <v>166580</v>
      </c>
      <c r="AF458" s="1182" t="s">
        <v>1943</v>
      </c>
      <c r="AG458" s="1182" t="s">
        <v>1944</v>
      </c>
      <c r="AH458" s="1182">
        <v>0</v>
      </c>
      <c r="AI458" s="1182">
        <v>166580</v>
      </c>
      <c r="AJ458" s="1182" t="s">
        <v>3221</v>
      </c>
      <c r="AL458" s="1186" t="s">
        <v>3222</v>
      </c>
      <c r="AM458" s="1182">
        <v>1</v>
      </c>
      <c r="AN458" s="1182">
        <v>0</v>
      </c>
      <c r="AO458" s="1182">
        <v>0</v>
      </c>
      <c r="AP458" s="1182">
        <v>0</v>
      </c>
      <c r="AQ458" s="1182" t="s">
        <v>1639</v>
      </c>
      <c r="AS458" s="1186" t="s">
        <v>1943</v>
      </c>
      <c r="AT458" s="1186" t="s">
        <v>1944</v>
      </c>
      <c r="AV458" s="1183">
        <v>166580</v>
      </c>
      <c r="AW458" s="1183">
        <v>0</v>
      </c>
      <c r="AX458" s="1183">
        <v>0</v>
      </c>
      <c r="AY458" s="1538">
        <v>166580</v>
      </c>
      <c r="AZ458" s="1183">
        <v>0</v>
      </c>
      <c r="BA458" s="1183">
        <v>0</v>
      </c>
      <c r="BB458" s="1540">
        <v>0</v>
      </c>
      <c r="BC458" s="1540">
        <v>166580</v>
      </c>
      <c r="BD458" s="1540">
        <v>0</v>
      </c>
      <c r="BF458" s="1539">
        <f t="shared" si="102"/>
        <v>166580</v>
      </c>
      <c r="BG458" s="1539">
        <f t="shared" si="103"/>
        <v>0</v>
      </c>
      <c r="BH458" s="1539">
        <f t="shared" si="104"/>
        <v>0</v>
      </c>
      <c r="BI458" s="1539">
        <f t="shared" si="105"/>
        <v>166580</v>
      </c>
      <c r="BJ458" s="1539">
        <f t="shared" si="106"/>
        <v>0</v>
      </c>
      <c r="BK458" s="1539">
        <f t="shared" si="107"/>
        <v>0</v>
      </c>
      <c r="BL458" s="1539">
        <f t="shared" si="108"/>
        <v>0</v>
      </c>
      <c r="BM458" s="1539">
        <f t="shared" si="109"/>
        <v>166580</v>
      </c>
      <c r="BO458" s="1183"/>
      <c r="BQ458" s="1182">
        <f t="shared" si="110"/>
        <v>0</v>
      </c>
      <c r="BR458" s="1182">
        <f t="shared" si="111"/>
        <v>0</v>
      </c>
    </row>
    <row r="459" spans="1:70" ht="13.5" customHeight="1">
      <c r="A459" s="1182" t="s">
        <v>1803</v>
      </c>
      <c r="B459" s="1182" t="s">
        <v>1804</v>
      </c>
      <c r="C459" s="1182" t="s">
        <v>1639</v>
      </c>
      <c r="D459" s="1182" t="s">
        <v>2422</v>
      </c>
      <c r="E459" s="1182" t="s">
        <v>2423</v>
      </c>
      <c r="F459" s="1182" t="s">
        <v>3214</v>
      </c>
      <c r="G459" s="1182" t="s">
        <v>3214</v>
      </c>
      <c r="H459" s="1182" t="s">
        <v>3206</v>
      </c>
      <c r="I459" s="1182" t="s">
        <v>1809</v>
      </c>
      <c r="J459" s="1182" t="s">
        <v>3215</v>
      </c>
      <c r="K459" s="1182" t="s">
        <v>1811</v>
      </c>
      <c r="L459" s="1182" t="s">
        <v>1812</v>
      </c>
      <c r="M459" s="1182" t="s">
        <v>1803</v>
      </c>
      <c r="N459" s="1182" t="s">
        <v>2922</v>
      </c>
      <c r="O459" s="1182" t="s">
        <v>1554</v>
      </c>
      <c r="P459" s="1182" t="s">
        <v>1563</v>
      </c>
      <c r="Q459" s="1182" t="s">
        <v>1562</v>
      </c>
      <c r="R459" s="1182" t="s">
        <v>1561</v>
      </c>
      <c r="S459" s="1182" t="s">
        <v>1639</v>
      </c>
      <c r="T459" s="1182" t="s">
        <v>1814</v>
      </c>
      <c r="U459" s="1182" t="s">
        <v>1815</v>
      </c>
      <c r="V459" s="1182">
        <v>0</v>
      </c>
      <c r="W459" s="1182">
        <v>0</v>
      </c>
      <c r="X459" s="1182">
        <v>0</v>
      </c>
      <c r="Y459" s="1183">
        <v>33936</v>
      </c>
      <c r="Z459" s="1182" t="s">
        <v>2923</v>
      </c>
      <c r="AA459" s="1182" t="s">
        <v>2924</v>
      </c>
      <c r="AB459" s="1182">
        <v>33936</v>
      </c>
      <c r="AC459" s="1182" t="s">
        <v>2925</v>
      </c>
      <c r="AD459" s="1182" t="s">
        <v>1561</v>
      </c>
      <c r="AE459" s="1182">
        <v>33936</v>
      </c>
      <c r="AF459" s="1182" t="s">
        <v>1943</v>
      </c>
      <c r="AG459" s="1182" t="s">
        <v>1944</v>
      </c>
      <c r="AH459" s="1182">
        <v>0</v>
      </c>
      <c r="AI459" s="1182">
        <v>33936</v>
      </c>
      <c r="AJ459" s="1182" t="s">
        <v>3216</v>
      </c>
      <c r="AL459" s="1186" t="s">
        <v>3217</v>
      </c>
      <c r="AM459" s="1182">
        <v>1</v>
      </c>
      <c r="AN459" s="1182">
        <v>0</v>
      </c>
      <c r="AO459" s="1182">
        <v>0</v>
      </c>
      <c r="AP459" s="1182">
        <v>0</v>
      </c>
      <c r="AQ459" s="1182" t="s">
        <v>1639</v>
      </c>
      <c r="AS459" s="1186" t="s">
        <v>1943</v>
      </c>
      <c r="AT459" s="1186" t="s">
        <v>1944</v>
      </c>
      <c r="AV459" s="1183">
        <v>33936</v>
      </c>
      <c r="AW459" s="1183">
        <v>0</v>
      </c>
      <c r="AX459" s="1183">
        <v>0</v>
      </c>
      <c r="AY459" s="1538">
        <v>33936</v>
      </c>
      <c r="AZ459" s="1183">
        <v>0</v>
      </c>
      <c r="BA459" s="1183">
        <v>0</v>
      </c>
      <c r="BB459" s="1540">
        <v>0</v>
      </c>
      <c r="BC459" s="1540">
        <v>33936</v>
      </c>
      <c r="BD459" s="1540">
        <v>0</v>
      </c>
      <c r="BF459" s="1539">
        <f t="shared" si="102"/>
        <v>33936</v>
      </c>
      <c r="BG459" s="1539">
        <f t="shared" si="103"/>
        <v>0</v>
      </c>
      <c r="BH459" s="1539">
        <f t="shared" si="104"/>
        <v>0</v>
      </c>
      <c r="BI459" s="1539">
        <f t="shared" si="105"/>
        <v>33936</v>
      </c>
      <c r="BJ459" s="1539">
        <f t="shared" si="106"/>
        <v>0</v>
      </c>
      <c r="BK459" s="1539">
        <f t="shared" si="107"/>
        <v>0</v>
      </c>
      <c r="BL459" s="1539">
        <f t="shared" si="108"/>
        <v>0</v>
      </c>
      <c r="BM459" s="1539">
        <f t="shared" si="109"/>
        <v>33936</v>
      </c>
      <c r="BO459" s="1183"/>
      <c r="BQ459" s="1182">
        <f t="shared" si="110"/>
        <v>0</v>
      </c>
      <c r="BR459" s="1182">
        <f t="shared" si="111"/>
        <v>0</v>
      </c>
    </row>
    <row r="460" spans="1:70" ht="13.5" customHeight="1">
      <c r="A460" s="1182" t="s">
        <v>1803</v>
      </c>
      <c r="B460" s="1182" t="s">
        <v>1804</v>
      </c>
      <c r="C460" s="1182" t="s">
        <v>1639</v>
      </c>
      <c r="D460" s="1182" t="s">
        <v>2422</v>
      </c>
      <c r="E460" s="1182" t="s">
        <v>2423</v>
      </c>
      <c r="F460" s="1182" t="s">
        <v>2280</v>
      </c>
      <c r="G460" s="1182" t="s">
        <v>2280</v>
      </c>
      <c r="H460" s="1182" t="s">
        <v>3206</v>
      </c>
      <c r="I460" s="1182" t="s">
        <v>1809</v>
      </c>
      <c r="J460" s="1182" t="s">
        <v>3209</v>
      </c>
      <c r="K460" s="1182" t="s">
        <v>1811</v>
      </c>
      <c r="L460" s="1182" t="s">
        <v>1812</v>
      </c>
      <c r="M460" s="1182" t="s">
        <v>1803</v>
      </c>
      <c r="N460" s="1182" t="s">
        <v>2922</v>
      </c>
      <c r="O460" s="1182" t="s">
        <v>1554</v>
      </c>
      <c r="P460" s="1182" t="s">
        <v>1563</v>
      </c>
      <c r="Q460" s="1182" t="s">
        <v>1562</v>
      </c>
      <c r="R460" s="1182" t="s">
        <v>1561</v>
      </c>
      <c r="S460" s="1182" t="s">
        <v>1639</v>
      </c>
      <c r="T460" s="1182" t="s">
        <v>1814</v>
      </c>
      <c r="U460" s="1182" t="s">
        <v>1815</v>
      </c>
      <c r="V460" s="1182">
        <v>0</v>
      </c>
      <c r="W460" s="1182">
        <v>0</v>
      </c>
      <c r="X460" s="1182">
        <v>0</v>
      </c>
      <c r="Y460" s="1183">
        <v>56576</v>
      </c>
      <c r="Z460" s="1182" t="s">
        <v>2923</v>
      </c>
      <c r="AA460" s="1182" t="s">
        <v>2924</v>
      </c>
      <c r="AB460" s="1182">
        <v>56576</v>
      </c>
      <c r="AC460" s="1182" t="s">
        <v>2925</v>
      </c>
      <c r="AD460" s="1182" t="s">
        <v>1561</v>
      </c>
      <c r="AE460" s="1182">
        <v>56576</v>
      </c>
      <c r="AF460" s="1182" t="s">
        <v>1943</v>
      </c>
      <c r="AG460" s="1182" t="s">
        <v>1944</v>
      </c>
      <c r="AH460" s="1182">
        <v>0</v>
      </c>
      <c r="AI460" s="1182">
        <v>56576</v>
      </c>
      <c r="AJ460" s="1182" t="s">
        <v>3210</v>
      </c>
      <c r="AL460" s="1186" t="s">
        <v>3211</v>
      </c>
      <c r="AM460" s="1182">
        <v>1</v>
      </c>
      <c r="AN460" s="1182">
        <v>0</v>
      </c>
      <c r="AO460" s="1182">
        <v>0</v>
      </c>
      <c r="AP460" s="1182">
        <v>0</v>
      </c>
      <c r="AQ460" s="1182" t="s">
        <v>1639</v>
      </c>
      <c r="AS460" s="1186" t="s">
        <v>1943</v>
      </c>
      <c r="AT460" s="1186" t="s">
        <v>1944</v>
      </c>
      <c r="AV460" s="1183">
        <v>56576</v>
      </c>
      <c r="AW460" s="1183">
        <v>0</v>
      </c>
      <c r="AX460" s="1183">
        <v>0</v>
      </c>
      <c r="AY460" s="1538">
        <v>56576</v>
      </c>
      <c r="AZ460" s="1183">
        <v>0</v>
      </c>
      <c r="BA460" s="1183">
        <v>0</v>
      </c>
      <c r="BB460" s="1540">
        <v>0</v>
      </c>
      <c r="BC460" s="1540">
        <v>56576</v>
      </c>
      <c r="BD460" s="1540">
        <v>0</v>
      </c>
      <c r="BF460" s="1539">
        <f t="shared" si="102"/>
        <v>56576</v>
      </c>
      <c r="BG460" s="1539">
        <f t="shared" si="103"/>
        <v>0</v>
      </c>
      <c r="BH460" s="1539">
        <f t="shared" si="104"/>
        <v>0</v>
      </c>
      <c r="BI460" s="1539">
        <f t="shared" si="105"/>
        <v>56576</v>
      </c>
      <c r="BJ460" s="1539">
        <f t="shared" si="106"/>
        <v>0</v>
      </c>
      <c r="BK460" s="1539">
        <f t="shared" si="107"/>
        <v>0</v>
      </c>
      <c r="BL460" s="1539">
        <f t="shared" si="108"/>
        <v>0</v>
      </c>
      <c r="BM460" s="1539">
        <f t="shared" si="109"/>
        <v>56576</v>
      </c>
      <c r="BO460" s="1183"/>
      <c r="BQ460" s="1182">
        <f t="shared" si="110"/>
        <v>0</v>
      </c>
      <c r="BR460" s="1182">
        <f t="shared" si="111"/>
        <v>0</v>
      </c>
    </row>
    <row r="461" spans="1:70" ht="13.5" customHeight="1">
      <c r="A461" s="1182" t="s">
        <v>1803</v>
      </c>
      <c r="B461" s="1182" t="s">
        <v>1804</v>
      </c>
      <c r="C461" s="1182" t="s">
        <v>1639</v>
      </c>
      <c r="D461" s="1182" t="s">
        <v>2534</v>
      </c>
      <c r="E461" s="1182" t="s">
        <v>2535</v>
      </c>
      <c r="F461" s="1182" t="s">
        <v>2738</v>
      </c>
      <c r="G461" s="1182" t="s">
        <v>2738</v>
      </c>
      <c r="H461" s="1182" t="s">
        <v>3227</v>
      </c>
      <c r="I461" s="1182" t="s">
        <v>1809</v>
      </c>
      <c r="J461" s="1182" t="s">
        <v>3228</v>
      </c>
      <c r="K461" s="1182" t="s">
        <v>1811</v>
      </c>
      <c r="L461" s="1182" t="s">
        <v>1812</v>
      </c>
      <c r="M461" s="1182" t="s">
        <v>1803</v>
      </c>
      <c r="N461" s="1182" t="s">
        <v>2922</v>
      </c>
      <c r="O461" s="1182" t="s">
        <v>1554</v>
      </c>
      <c r="P461" s="1182" t="s">
        <v>1563</v>
      </c>
      <c r="Q461" s="1182" t="s">
        <v>1562</v>
      </c>
      <c r="R461" s="1182" t="s">
        <v>1561</v>
      </c>
      <c r="S461" s="1182" t="s">
        <v>1639</v>
      </c>
      <c r="T461" s="1182" t="s">
        <v>1814</v>
      </c>
      <c r="U461" s="1182" t="s">
        <v>1815</v>
      </c>
      <c r="V461" s="1182">
        <v>0</v>
      </c>
      <c r="W461" s="1182">
        <v>0</v>
      </c>
      <c r="X461" s="1182">
        <v>0</v>
      </c>
      <c r="Y461" s="1183">
        <v>87457</v>
      </c>
      <c r="Z461" s="1182" t="s">
        <v>2923</v>
      </c>
      <c r="AA461" s="1182" t="s">
        <v>2924</v>
      </c>
      <c r="AB461" s="1182">
        <v>87457</v>
      </c>
      <c r="AC461" s="1182" t="s">
        <v>2925</v>
      </c>
      <c r="AD461" s="1182" t="s">
        <v>1561</v>
      </c>
      <c r="AE461" s="1182">
        <v>87457</v>
      </c>
      <c r="AF461" s="1182" t="s">
        <v>1943</v>
      </c>
      <c r="AG461" s="1182" t="s">
        <v>1944</v>
      </c>
      <c r="AH461" s="1182">
        <v>0</v>
      </c>
      <c r="AI461" s="1182">
        <v>87457</v>
      </c>
      <c r="AJ461" s="1182" t="s">
        <v>3229</v>
      </c>
      <c r="AL461" s="1186" t="s">
        <v>3230</v>
      </c>
      <c r="AM461" s="1182">
        <v>1</v>
      </c>
      <c r="AN461" s="1182">
        <v>0</v>
      </c>
      <c r="AO461" s="1182">
        <v>0</v>
      </c>
      <c r="AP461" s="1182">
        <v>0</v>
      </c>
      <c r="AQ461" s="1182" t="s">
        <v>1639</v>
      </c>
      <c r="AS461" s="1186" t="s">
        <v>1943</v>
      </c>
      <c r="AT461" s="1186" t="s">
        <v>1944</v>
      </c>
      <c r="AV461" s="1183">
        <v>87457</v>
      </c>
      <c r="AW461" s="1183">
        <v>0</v>
      </c>
      <c r="AX461" s="1183">
        <v>0</v>
      </c>
      <c r="AY461" s="1538">
        <v>87457</v>
      </c>
      <c r="AZ461" s="1183">
        <v>0</v>
      </c>
      <c r="BA461" s="1183">
        <v>0</v>
      </c>
      <c r="BB461" s="1540">
        <v>0</v>
      </c>
      <c r="BC461" s="1540">
        <v>87457</v>
      </c>
      <c r="BD461" s="1540">
        <v>0</v>
      </c>
      <c r="BF461" s="1539">
        <f t="shared" si="102"/>
        <v>87457</v>
      </c>
      <c r="BG461" s="1539">
        <f t="shared" si="103"/>
        <v>0</v>
      </c>
      <c r="BH461" s="1539">
        <f t="shared" si="104"/>
        <v>0</v>
      </c>
      <c r="BI461" s="1539">
        <f t="shared" si="105"/>
        <v>87457</v>
      </c>
      <c r="BJ461" s="1539">
        <f t="shared" si="106"/>
        <v>0</v>
      </c>
      <c r="BK461" s="1539">
        <f t="shared" si="107"/>
        <v>0</v>
      </c>
      <c r="BL461" s="1539">
        <f t="shared" si="108"/>
        <v>0</v>
      </c>
      <c r="BM461" s="1539">
        <f t="shared" si="109"/>
        <v>87457</v>
      </c>
      <c r="BO461" s="1183"/>
      <c r="BQ461" s="1182">
        <f t="shared" si="110"/>
        <v>0</v>
      </c>
      <c r="BR461" s="1182">
        <f t="shared" si="111"/>
        <v>0</v>
      </c>
    </row>
    <row r="462" spans="1:70" ht="13.5" customHeight="1">
      <c r="A462" s="1182" t="s">
        <v>1803</v>
      </c>
      <c r="B462" s="1182" t="s">
        <v>1804</v>
      </c>
      <c r="C462" s="1182" t="s">
        <v>1639</v>
      </c>
      <c r="D462" s="1182" t="s">
        <v>2534</v>
      </c>
      <c r="E462" s="1182" t="s">
        <v>2535</v>
      </c>
      <c r="F462" s="1182" t="s">
        <v>2738</v>
      </c>
      <c r="G462" s="1182" t="s">
        <v>2738</v>
      </c>
      <c r="H462" s="1182" t="s">
        <v>3231</v>
      </c>
      <c r="I462" s="1182" t="s">
        <v>1809</v>
      </c>
      <c r="J462" s="1182" t="s">
        <v>3232</v>
      </c>
      <c r="K462" s="1182" t="s">
        <v>1811</v>
      </c>
      <c r="L462" s="1182" t="s">
        <v>1812</v>
      </c>
      <c r="M462" s="1182" t="s">
        <v>1803</v>
      </c>
      <c r="N462" s="1182" t="s">
        <v>2922</v>
      </c>
      <c r="O462" s="1182" t="s">
        <v>1554</v>
      </c>
      <c r="P462" s="1182" t="s">
        <v>1563</v>
      </c>
      <c r="Q462" s="1182" t="s">
        <v>1562</v>
      </c>
      <c r="R462" s="1182" t="s">
        <v>1561</v>
      </c>
      <c r="S462" s="1182" t="s">
        <v>1639</v>
      </c>
      <c r="T462" s="1182" t="s">
        <v>1814</v>
      </c>
      <c r="U462" s="1182" t="s">
        <v>1815</v>
      </c>
      <c r="V462" s="1182">
        <v>0</v>
      </c>
      <c r="W462" s="1182">
        <v>0</v>
      </c>
      <c r="X462" s="1182">
        <v>0</v>
      </c>
      <c r="Y462" s="1183">
        <v>1786</v>
      </c>
      <c r="Z462" s="1182" t="s">
        <v>2923</v>
      </c>
      <c r="AA462" s="1182" t="s">
        <v>2924</v>
      </c>
      <c r="AB462" s="1182">
        <v>1786</v>
      </c>
      <c r="AC462" s="1182" t="s">
        <v>2925</v>
      </c>
      <c r="AD462" s="1182" t="s">
        <v>1561</v>
      </c>
      <c r="AE462" s="1182">
        <v>1786</v>
      </c>
      <c r="AF462" s="1182" t="s">
        <v>1943</v>
      </c>
      <c r="AG462" s="1182" t="s">
        <v>1944</v>
      </c>
      <c r="AH462" s="1182">
        <v>0</v>
      </c>
      <c r="AI462" s="1182">
        <v>1786</v>
      </c>
      <c r="AJ462" s="1182" t="s">
        <v>3149</v>
      </c>
      <c r="AL462" s="1186" t="s">
        <v>3233</v>
      </c>
      <c r="AM462" s="1182">
        <v>1</v>
      </c>
      <c r="AN462" s="1182">
        <v>0</v>
      </c>
      <c r="AO462" s="1182">
        <v>0</v>
      </c>
      <c r="AP462" s="1182">
        <v>0</v>
      </c>
      <c r="AQ462" s="1182" t="s">
        <v>1639</v>
      </c>
      <c r="AS462" s="1186" t="s">
        <v>1943</v>
      </c>
      <c r="AT462" s="1186" t="s">
        <v>1944</v>
      </c>
      <c r="AV462" s="1183">
        <v>1786</v>
      </c>
      <c r="AW462" s="1183">
        <v>0</v>
      </c>
      <c r="AX462" s="1183">
        <v>0</v>
      </c>
      <c r="AY462" s="1538">
        <v>1786</v>
      </c>
      <c r="AZ462" s="1183">
        <v>0</v>
      </c>
      <c r="BA462" s="1183">
        <v>0</v>
      </c>
      <c r="BB462" s="1540">
        <v>0</v>
      </c>
      <c r="BC462" s="1540">
        <v>1786</v>
      </c>
      <c r="BD462" s="1540">
        <v>0</v>
      </c>
      <c r="BF462" s="1539">
        <f t="shared" si="102"/>
        <v>1786</v>
      </c>
      <c r="BG462" s="1539">
        <f t="shared" si="103"/>
        <v>0</v>
      </c>
      <c r="BH462" s="1539">
        <f t="shared" si="104"/>
        <v>0</v>
      </c>
      <c r="BI462" s="1539">
        <f t="shared" si="105"/>
        <v>1786</v>
      </c>
      <c r="BJ462" s="1539">
        <f t="shared" si="106"/>
        <v>0</v>
      </c>
      <c r="BK462" s="1539">
        <f t="shared" si="107"/>
        <v>0</v>
      </c>
      <c r="BL462" s="1539">
        <f t="shared" si="108"/>
        <v>0</v>
      </c>
      <c r="BM462" s="1539">
        <f t="shared" si="109"/>
        <v>1786</v>
      </c>
      <c r="BO462" s="1183"/>
      <c r="BQ462" s="1182">
        <f t="shared" si="110"/>
        <v>0</v>
      </c>
      <c r="BR462" s="1182">
        <f t="shared" si="111"/>
        <v>0</v>
      </c>
    </row>
    <row r="463" spans="1:70" ht="13.5" customHeight="1">
      <c r="A463" s="1182" t="s">
        <v>1803</v>
      </c>
      <c r="B463" s="1182" t="s">
        <v>1804</v>
      </c>
      <c r="C463" s="1182" t="s">
        <v>1639</v>
      </c>
      <c r="D463" s="1182" t="s">
        <v>2092</v>
      </c>
      <c r="E463" s="1182" t="s">
        <v>2093</v>
      </c>
      <c r="F463" s="1182" t="s">
        <v>2731</v>
      </c>
      <c r="G463" s="1182" t="s">
        <v>2731</v>
      </c>
      <c r="H463" s="1182" t="s">
        <v>3234</v>
      </c>
      <c r="I463" s="1182" t="s">
        <v>1809</v>
      </c>
      <c r="J463" s="1182" t="s">
        <v>3235</v>
      </c>
      <c r="K463" s="1182" t="s">
        <v>1811</v>
      </c>
      <c r="L463" s="1182" t="s">
        <v>1812</v>
      </c>
      <c r="M463" s="1182" t="s">
        <v>1803</v>
      </c>
      <c r="N463" s="1182" t="s">
        <v>2922</v>
      </c>
      <c r="O463" s="1182" t="s">
        <v>1554</v>
      </c>
      <c r="P463" s="1182" t="s">
        <v>1563</v>
      </c>
      <c r="Q463" s="1182" t="s">
        <v>1562</v>
      </c>
      <c r="R463" s="1182" t="s">
        <v>1561</v>
      </c>
      <c r="S463" s="1182" t="s">
        <v>1639</v>
      </c>
      <c r="T463" s="1182" t="s">
        <v>1814</v>
      </c>
      <c r="U463" s="1182" t="s">
        <v>1815</v>
      </c>
      <c r="V463" s="1182">
        <v>0</v>
      </c>
      <c r="W463" s="1182">
        <v>0</v>
      </c>
      <c r="X463" s="1182">
        <v>0</v>
      </c>
      <c r="Y463" s="1183">
        <v>229</v>
      </c>
      <c r="Z463" s="1182" t="s">
        <v>2923</v>
      </c>
      <c r="AA463" s="1182" t="s">
        <v>2924</v>
      </c>
      <c r="AB463" s="1182">
        <v>229</v>
      </c>
      <c r="AC463" s="1182" t="s">
        <v>2925</v>
      </c>
      <c r="AD463" s="1182" t="s">
        <v>1561</v>
      </c>
      <c r="AE463" s="1182">
        <v>229</v>
      </c>
      <c r="AF463" s="1182" t="s">
        <v>1943</v>
      </c>
      <c r="AG463" s="1182" t="s">
        <v>1944</v>
      </c>
      <c r="AH463" s="1182">
        <v>0</v>
      </c>
      <c r="AI463" s="1182">
        <v>229</v>
      </c>
      <c r="AJ463" s="1182" t="s">
        <v>3236</v>
      </c>
      <c r="AL463" s="1186" t="s">
        <v>3237</v>
      </c>
      <c r="AM463" s="1182">
        <v>1</v>
      </c>
      <c r="AN463" s="1182">
        <v>0</v>
      </c>
      <c r="AO463" s="1182">
        <v>0</v>
      </c>
      <c r="AP463" s="1182">
        <v>0</v>
      </c>
      <c r="AQ463" s="1182" t="s">
        <v>1639</v>
      </c>
      <c r="AS463" s="1186" t="s">
        <v>1943</v>
      </c>
      <c r="AT463" s="1186" t="s">
        <v>1944</v>
      </c>
      <c r="AV463" s="1183">
        <v>229</v>
      </c>
      <c r="AW463" s="1183">
        <v>0</v>
      </c>
      <c r="AX463" s="1183">
        <v>0</v>
      </c>
      <c r="AY463" s="1538">
        <v>229</v>
      </c>
      <c r="AZ463" s="1183">
        <v>0</v>
      </c>
      <c r="BA463" s="1183">
        <v>0</v>
      </c>
      <c r="BB463" s="1540">
        <v>0</v>
      </c>
      <c r="BC463" s="1540">
        <v>229</v>
      </c>
      <c r="BD463" s="1540">
        <v>0</v>
      </c>
      <c r="BF463" s="1539">
        <f t="shared" si="102"/>
        <v>229</v>
      </c>
      <c r="BG463" s="1539">
        <f t="shared" si="103"/>
        <v>0</v>
      </c>
      <c r="BH463" s="1539">
        <f t="shared" si="104"/>
        <v>0</v>
      </c>
      <c r="BI463" s="1539">
        <f t="shared" si="105"/>
        <v>229</v>
      </c>
      <c r="BJ463" s="1539">
        <f t="shared" si="106"/>
        <v>0</v>
      </c>
      <c r="BK463" s="1539">
        <f t="shared" si="107"/>
        <v>0</v>
      </c>
      <c r="BL463" s="1539">
        <f t="shared" si="108"/>
        <v>0</v>
      </c>
      <c r="BM463" s="1539">
        <f t="shared" si="109"/>
        <v>229</v>
      </c>
      <c r="BO463" s="1183"/>
      <c r="BQ463" s="1182">
        <f t="shared" si="110"/>
        <v>0</v>
      </c>
      <c r="BR463" s="1182">
        <f t="shared" si="111"/>
        <v>0</v>
      </c>
    </row>
    <row r="464" spans="1:70" ht="13.5" customHeight="1">
      <c r="A464" s="1182" t="s">
        <v>1803</v>
      </c>
      <c r="B464" s="1182" t="s">
        <v>1804</v>
      </c>
      <c r="C464" s="1182" t="s">
        <v>1639</v>
      </c>
      <c r="D464" s="1182" t="s">
        <v>2092</v>
      </c>
      <c r="E464" s="1182" t="s">
        <v>2093</v>
      </c>
      <c r="F464" s="1182" t="s">
        <v>3238</v>
      </c>
      <c r="G464" s="1182" t="s">
        <v>3238</v>
      </c>
      <c r="H464" s="1182" t="s">
        <v>3239</v>
      </c>
      <c r="I464" s="1182" t="s">
        <v>1809</v>
      </c>
      <c r="J464" s="1182" t="s">
        <v>3240</v>
      </c>
      <c r="K464" s="1182" t="s">
        <v>1811</v>
      </c>
      <c r="L464" s="1182" t="s">
        <v>1812</v>
      </c>
      <c r="M464" s="1182" t="s">
        <v>1803</v>
      </c>
      <c r="N464" s="1182" t="s">
        <v>2922</v>
      </c>
      <c r="O464" s="1182" t="s">
        <v>1554</v>
      </c>
      <c r="P464" s="1182" t="s">
        <v>1563</v>
      </c>
      <c r="Q464" s="1182" t="s">
        <v>1562</v>
      </c>
      <c r="R464" s="1182" t="s">
        <v>1561</v>
      </c>
      <c r="S464" s="1182" t="s">
        <v>1639</v>
      </c>
      <c r="T464" s="1182" t="s">
        <v>1814</v>
      </c>
      <c r="U464" s="1182" t="s">
        <v>1815</v>
      </c>
      <c r="V464" s="1182">
        <v>0</v>
      </c>
      <c r="W464" s="1182">
        <v>0</v>
      </c>
      <c r="X464" s="1182">
        <v>0</v>
      </c>
      <c r="Y464" s="1183">
        <v>59</v>
      </c>
      <c r="Z464" s="1182" t="s">
        <v>2923</v>
      </c>
      <c r="AA464" s="1182" t="s">
        <v>2924</v>
      </c>
      <c r="AB464" s="1182">
        <v>59</v>
      </c>
      <c r="AC464" s="1182" t="s">
        <v>2925</v>
      </c>
      <c r="AD464" s="1182" t="s">
        <v>1561</v>
      </c>
      <c r="AE464" s="1182">
        <v>59</v>
      </c>
      <c r="AF464" s="1182" t="s">
        <v>1943</v>
      </c>
      <c r="AG464" s="1182" t="s">
        <v>1944</v>
      </c>
      <c r="AH464" s="1182">
        <v>0</v>
      </c>
      <c r="AI464" s="1182">
        <v>59</v>
      </c>
      <c r="AJ464" s="1182" t="s">
        <v>3236</v>
      </c>
      <c r="AL464" s="1186" t="s">
        <v>3241</v>
      </c>
      <c r="AM464" s="1182">
        <v>1</v>
      </c>
      <c r="AN464" s="1182">
        <v>0</v>
      </c>
      <c r="AO464" s="1182">
        <v>0</v>
      </c>
      <c r="AP464" s="1182">
        <v>0</v>
      </c>
      <c r="AQ464" s="1182" t="s">
        <v>1639</v>
      </c>
      <c r="AS464" s="1186" t="s">
        <v>1943</v>
      </c>
      <c r="AT464" s="1186" t="s">
        <v>1944</v>
      </c>
      <c r="AV464" s="1183">
        <v>59</v>
      </c>
      <c r="AW464" s="1183">
        <v>0</v>
      </c>
      <c r="AX464" s="1183">
        <v>0</v>
      </c>
      <c r="AY464" s="1538">
        <v>59</v>
      </c>
      <c r="AZ464" s="1183">
        <v>0</v>
      </c>
      <c r="BA464" s="1183">
        <v>0</v>
      </c>
      <c r="BB464" s="1540">
        <v>0</v>
      </c>
      <c r="BC464" s="1540">
        <v>59</v>
      </c>
      <c r="BD464" s="1540">
        <v>0</v>
      </c>
      <c r="BF464" s="1539">
        <f t="shared" si="102"/>
        <v>59</v>
      </c>
      <c r="BG464" s="1539">
        <f t="shared" si="103"/>
        <v>0</v>
      </c>
      <c r="BH464" s="1539">
        <f t="shared" si="104"/>
        <v>0</v>
      </c>
      <c r="BI464" s="1539">
        <f t="shared" si="105"/>
        <v>59</v>
      </c>
      <c r="BJ464" s="1539">
        <f t="shared" si="106"/>
        <v>0</v>
      </c>
      <c r="BK464" s="1539">
        <f t="shared" si="107"/>
        <v>0</v>
      </c>
      <c r="BL464" s="1539">
        <f t="shared" si="108"/>
        <v>0</v>
      </c>
      <c r="BM464" s="1539">
        <f t="shared" si="109"/>
        <v>59</v>
      </c>
      <c r="BO464" s="1183"/>
      <c r="BQ464" s="1182">
        <f t="shared" si="110"/>
        <v>0</v>
      </c>
      <c r="BR464" s="1182">
        <f t="shared" si="111"/>
        <v>0</v>
      </c>
    </row>
    <row r="465" spans="1:70" ht="13.5" customHeight="1">
      <c r="A465" s="1182" t="s">
        <v>1803</v>
      </c>
      <c r="B465" s="1182" t="s">
        <v>1804</v>
      </c>
      <c r="C465" s="1182" t="s">
        <v>1639</v>
      </c>
      <c r="D465" s="1182" t="s">
        <v>2092</v>
      </c>
      <c r="E465" s="1182" t="s">
        <v>2093</v>
      </c>
      <c r="F465" s="1182" t="s">
        <v>2071</v>
      </c>
      <c r="G465" s="1182" t="s">
        <v>2071</v>
      </c>
      <c r="H465" s="1182" t="s">
        <v>3242</v>
      </c>
      <c r="I465" s="1182" t="s">
        <v>1809</v>
      </c>
      <c r="J465" s="1182" t="s">
        <v>3243</v>
      </c>
      <c r="K465" s="1182" t="s">
        <v>1811</v>
      </c>
      <c r="L465" s="1182" t="s">
        <v>1812</v>
      </c>
      <c r="M465" s="1182" t="s">
        <v>1803</v>
      </c>
      <c r="N465" s="1182" t="s">
        <v>2922</v>
      </c>
      <c r="O465" s="1182" t="s">
        <v>1554</v>
      </c>
      <c r="P465" s="1182" t="s">
        <v>1563</v>
      </c>
      <c r="Q465" s="1182" t="s">
        <v>1562</v>
      </c>
      <c r="R465" s="1182" t="s">
        <v>1561</v>
      </c>
      <c r="S465" s="1182" t="s">
        <v>1639</v>
      </c>
      <c r="T465" s="1182" t="s">
        <v>1814</v>
      </c>
      <c r="U465" s="1182" t="s">
        <v>1815</v>
      </c>
      <c r="V465" s="1182">
        <v>0</v>
      </c>
      <c r="W465" s="1182">
        <v>0</v>
      </c>
      <c r="X465" s="1182">
        <v>0</v>
      </c>
      <c r="Y465" s="1183">
        <v>183</v>
      </c>
      <c r="Z465" s="1182" t="s">
        <v>2923</v>
      </c>
      <c r="AA465" s="1182" t="s">
        <v>2924</v>
      </c>
      <c r="AB465" s="1182">
        <v>183</v>
      </c>
      <c r="AC465" s="1182" t="s">
        <v>2925</v>
      </c>
      <c r="AD465" s="1182" t="s">
        <v>1561</v>
      </c>
      <c r="AE465" s="1182">
        <v>183</v>
      </c>
      <c r="AF465" s="1182" t="s">
        <v>1943</v>
      </c>
      <c r="AG465" s="1182" t="s">
        <v>1944</v>
      </c>
      <c r="AH465" s="1182">
        <v>0</v>
      </c>
      <c r="AI465" s="1182">
        <v>183</v>
      </c>
      <c r="AJ465" s="1182" t="s">
        <v>3236</v>
      </c>
      <c r="AL465" s="1186" t="s">
        <v>3244</v>
      </c>
      <c r="AM465" s="1182">
        <v>1</v>
      </c>
      <c r="AN465" s="1182">
        <v>0</v>
      </c>
      <c r="AO465" s="1182">
        <v>0</v>
      </c>
      <c r="AP465" s="1182">
        <v>0</v>
      </c>
      <c r="AQ465" s="1182" t="s">
        <v>1639</v>
      </c>
      <c r="AS465" s="1186" t="s">
        <v>1943</v>
      </c>
      <c r="AT465" s="1186" t="s">
        <v>1944</v>
      </c>
      <c r="AV465" s="1183">
        <v>183</v>
      </c>
      <c r="AW465" s="1183">
        <v>0</v>
      </c>
      <c r="AX465" s="1183">
        <v>0</v>
      </c>
      <c r="AY465" s="1538">
        <v>183</v>
      </c>
      <c r="AZ465" s="1183">
        <v>0</v>
      </c>
      <c r="BA465" s="1183">
        <v>0</v>
      </c>
      <c r="BB465" s="1540">
        <v>0</v>
      </c>
      <c r="BC465" s="1540">
        <v>183</v>
      </c>
      <c r="BD465" s="1540">
        <v>0</v>
      </c>
      <c r="BF465" s="1539">
        <f t="shared" si="102"/>
        <v>183</v>
      </c>
      <c r="BG465" s="1539">
        <f t="shared" si="103"/>
        <v>0</v>
      </c>
      <c r="BH465" s="1539">
        <f t="shared" si="104"/>
        <v>0</v>
      </c>
      <c r="BI465" s="1539">
        <f t="shared" si="105"/>
        <v>183</v>
      </c>
      <c r="BJ465" s="1539">
        <f t="shared" si="106"/>
        <v>0</v>
      </c>
      <c r="BK465" s="1539">
        <f t="shared" si="107"/>
        <v>0</v>
      </c>
      <c r="BL465" s="1539">
        <f t="shared" si="108"/>
        <v>0</v>
      </c>
      <c r="BM465" s="1539">
        <f t="shared" si="109"/>
        <v>183</v>
      </c>
      <c r="BO465" s="1183"/>
      <c r="BQ465" s="1182">
        <f t="shared" si="110"/>
        <v>0</v>
      </c>
      <c r="BR465" s="1182">
        <f t="shared" si="111"/>
        <v>0</v>
      </c>
    </row>
    <row r="466" spans="1:70" ht="13.5" customHeight="1">
      <c r="A466" s="1182" t="s">
        <v>1803</v>
      </c>
      <c r="B466" s="1182" t="s">
        <v>1804</v>
      </c>
      <c r="C466" s="1182" t="s">
        <v>1639</v>
      </c>
      <c r="D466" s="1182" t="s">
        <v>2092</v>
      </c>
      <c r="E466" s="1182" t="s">
        <v>2093</v>
      </c>
      <c r="F466" s="1182" t="s">
        <v>2107</v>
      </c>
      <c r="G466" s="1182" t="s">
        <v>2107</v>
      </c>
      <c r="H466" s="1182" t="s">
        <v>3245</v>
      </c>
      <c r="I466" s="1182" t="s">
        <v>1809</v>
      </c>
      <c r="J466" s="1182" t="s">
        <v>3246</v>
      </c>
      <c r="K466" s="1182" t="s">
        <v>1811</v>
      </c>
      <c r="L466" s="1182" t="s">
        <v>1812</v>
      </c>
      <c r="M466" s="1182" t="s">
        <v>1803</v>
      </c>
      <c r="N466" s="1182" t="s">
        <v>2922</v>
      </c>
      <c r="O466" s="1182" t="s">
        <v>1554</v>
      </c>
      <c r="P466" s="1182" t="s">
        <v>1563</v>
      </c>
      <c r="Q466" s="1182" t="s">
        <v>1562</v>
      </c>
      <c r="R466" s="1182" t="s">
        <v>1561</v>
      </c>
      <c r="S466" s="1182" t="s">
        <v>1639</v>
      </c>
      <c r="T466" s="1182" t="s">
        <v>1814</v>
      </c>
      <c r="U466" s="1182" t="s">
        <v>1815</v>
      </c>
      <c r="V466" s="1182">
        <v>0</v>
      </c>
      <c r="W466" s="1182">
        <v>0</v>
      </c>
      <c r="X466" s="1182">
        <v>0</v>
      </c>
      <c r="Y466" s="1183">
        <v>19</v>
      </c>
      <c r="Z466" s="1182" t="s">
        <v>2923</v>
      </c>
      <c r="AA466" s="1182" t="s">
        <v>2924</v>
      </c>
      <c r="AB466" s="1182">
        <v>19</v>
      </c>
      <c r="AC466" s="1182" t="s">
        <v>2925</v>
      </c>
      <c r="AD466" s="1182" t="s">
        <v>1561</v>
      </c>
      <c r="AE466" s="1182">
        <v>19</v>
      </c>
      <c r="AF466" s="1182" t="s">
        <v>1943</v>
      </c>
      <c r="AG466" s="1182" t="s">
        <v>1944</v>
      </c>
      <c r="AH466" s="1182">
        <v>0</v>
      </c>
      <c r="AI466" s="1182">
        <v>19</v>
      </c>
      <c r="AJ466" s="1182" t="s">
        <v>3236</v>
      </c>
      <c r="AL466" s="1186" t="s">
        <v>3247</v>
      </c>
      <c r="AM466" s="1182">
        <v>1</v>
      </c>
      <c r="AN466" s="1182">
        <v>0</v>
      </c>
      <c r="AO466" s="1182">
        <v>0</v>
      </c>
      <c r="AP466" s="1182">
        <v>0</v>
      </c>
      <c r="AQ466" s="1182" t="s">
        <v>1639</v>
      </c>
      <c r="AS466" s="1186" t="s">
        <v>1943</v>
      </c>
      <c r="AT466" s="1186" t="s">
        <v>1944</v>
      </c>
      <c r="AV466" s="1183">
        <v>19</v>
      </c>
      <c r="AW466" s="1183">
        <v>0</v>
      </c>
      <c r="AX466" s="1183">
        <v>0</v>
      </c>
      <c r="AY466" s="1538">
        <v>19</v>
      </c>
      <c r="AZ466" s="1183">
        <v>0</v>
      </c>
      <c r="BA466" s="1183">
        <v>0</v>
      </c>
      <c r="BB466" s="1540">
        <v>0</v>
      </c>
      <c r="BC466" s="1540">
        <v>19</v>
      </c>
      <c r="BD466" s="1540">
        <v>0</v>
      </c>
      <c r="BF466" s="1539">
        <f t="shared" si="102"/>
        <v>19</v>
      </c>
      <c r="BG466" s="1539">
        <f t="shared" si="103"/>
        <v>0</v>
      </c>
      <c r="BH466" s="1539">
        <f t="shared" si="104"/>
        <v>0</v>
      </c>
      <c r="BI466" s="1539">
        <f t="shared" si="105"/>
        <v>19</v>
      </c>
      <c r="BJ466" s="1539">
        <f t="shared" si="106"/>
        <v>0</v>
      </c>
      <c r="BK466" s="1539">
        <f t="shared" si="107"/>
        <v>0</v>
      </c>
      <c r="BL466" s="1539">
        <f t="shared" si="108"/>
        <v>0</v>
      </c>
      <c r="BM466" s="1539">
        <f t="shared" si="109"/>
        <v>19</v>
      </c>
      <c r="BO466" s="1183"/>
      <c r="BQ466" s="1182">
        <f t="shared" si="110"/>
        <v>0</v>
      </c>
      <c r="BR466" s="1182">
        <f t="shared" si="111"/>
        <v>0</v>
      </c>
    </row>
    <row r="467" spans="1:70" ht="13.5" customHeight="1">
      <c r="A467" s="1182" t="s">
        <v>1803</v>
      </c>
      <c r="B467" s="1182" t="s">
        <v>1804</v>
      </c>
      <c r="C467" s="1182" t="s">
        <v>1639</v>
      </c>
      <c r="D467" s="1182" t="s">
        <v>2092</v>
      </c>
      <c r="E467" s="1182" t="s">
        <v>2093</v>
      </c>
      <c r="F467" s="1182" t="s">
        <v>2166</v>
      </c>
      <c r="G467" s="1182" t="s">
        <v>2166</v>
      </c>
      <c r="H467" s="1182" t="s">
        <v>3248</v>
      </c>
      <c r="I467" s="1182" t="s">
        <v>1809</v>
      </c>
      <c r="J467" s="1182" t="s">
        <v>3249</v>
      </c>
      <c r="K467" s="1182" t="s">
        <v>1811</v>
      </c>
      <c r="L467" s="1182" t="s">
        <v>1812</v>
      </c>
      <c r="M467" s="1182" t="s">
        <v>1803</v>
      </c>
      <c r="N467" s="1182" t="s">
        <v>2922</v>
      </c>
      <c r="O467" s="1182" t="s">
        <v>1554</v>
      </c>
      <c r="P467" s="1182" t="s">
        <v>1563</v>
      </c>
      <c r="Q467" s="1182" t="s">
        <v>1562</v>
      </c>
      <c r="R467" s="1182" t="s">
        <v>1561</v>
      </c>
      <c r="S467" s="1182" t="s">
        <v>1639</v>
      </c>
      <c r="T467" s="1182" t="s">
        <v>1814</v>
      </c>
      <c r="U467" s="1182" t="s">
        <v>1815</v>
      </c>
      <c r="V467" s="1182">
        <v>0</v>
      </c>
      <c r="W467" s="1182">
        <v>0</v>
      </c>
      <c r="X467" s="1182">
        <v>0</v>
      </c>
      <c r="Y467" s="1183">
        <v>2651</v>
      </c>
      <c r="Z467" s="1182" t="s">
        <v>2923</v>
      </c>
      <c r="AA467" s="1182" t="s">
        <v>2924</v>
      </c>
      <c r="AB467" s="1182">
        <v>2651</v>
      </c>
      <c r="AC467" s="1182" t="s">
        <v>2925</v>
      </c>
      <c r="AD467" s="1182" t="s">
        <v>1561</v>
      </c>
      <c r="AE467" s="1182">
        <v>2651</v>
      </c>
      <c r="AF467" s="1182" t="s">
        <v>1943</v>
      </c>
      <c r="AG467" s="1182" t="s">
        <v>1944</v>
      </c>
      <c r="AH467" s="1182">
        <v>0</v>
      </c>
      <c r="AI467" s="1182">
        <v>2651</v>
      </c>
      <c r="AJ467" s="1182" t="s">
        <v>3149</v>
      </c>
      <c r="AL467" s="1186" t="s">
        <v>3250</v>
      </c>
      <c r="AM467" s="1182">
        <v>1</v>
      </c>
      <c r="AN467" s="1182">
        <v>0</v>
      </c>
      <c r="AO467" s="1182">
        <v>0</v>
      </c>
      <c r="AP467" s="1182">
        <v>0</v>
      </c>
      <c r="AQ467" s="1182" t="s">
        <v>1639</v>
      </c>
      <c r="AS467" s="1186" t="s">
        <v>1943</v>
      </c>
      <c r="AT467" s="1186" t="s">
        <v>1944</v>
      </c>
      <c r="AV467" s="1183">
        <v>2651</v>
      </c>
      <c r="AW467" s="1183">
        <v>0</v>
      </c>
      <c r="AX467" s="1183">
        <v>0</v>
      </c>
      <c r="AY467" s="1538">
        <v>2651</v>
      </c>
      <c r="AZ467" s="1183">
        <v>0</v>
      </c>
      <c r="BA467" s="1183">
        <v>0</v>
      </c>
      <c r="BB467" s="1540">
        <v>0</v>
      </c>
      <c r="BC467" s="1540">
        <v>2651</v>
      </c>
      <c r="BD467" s="1540">
        <v>0</v>
      </c>
      <c r="BF467" s="1539">
        <f t="shared" si="102"/>
        <v>2651</v>
      </c>
      <c r="BG467" s="1539">
        <f t="shared" si="103"/>
        <v>0</v>
      </c>
      <c r="BH467" s="1539">
        <f t="shared" si="104"/>
        <v>0</v>
      </c>
      <c r="BI467" s="1539">
        <f t="shared" si="105"/>
        <v>2651</v>
      </c>
      <c r="BJ467" s="1539">
        <f t="shared" si="106"/>
        <v>0</v>
      </c>
      <c r="BK467" s="1539">
        <f t="shared" si="107"/>
        <v>0</v>
      </c>
      <c r="BL467" s="1539">
        <f t="shared" si="108"/>
        <v>0</v>
      </c>
      <c r="BM467" s="1539">
        <f t="shared" si="109"/>
        <v>2651</v>
      </c>
      <c r="BO467" s="1183"/>
      <c r="BQ467" s="1182">
        <f t="shared" si="110"/>
        <v>0</v>
      </c>
      <c r="BR467" s="1182">
        <f t="shared" si="111"/>
        <v>0</v>
      </c>
    </row>
    <row r="468" spans="1:70" ht="13.5" customHeight="1">
      <c r="A468" s="1182" t="s">
        <v>1803</v>
      </c>
      <c r="B468" s="1182" t="s">
        <v>1804</v>
      </c>
      <c r="C468" s="1182" t="s">
        <v>1639</v>
      </c>
      <c r="D468" s="1182" t="s">
        <v>2092</v>
      </c>
      <c r="E468" s="1182" t="s">
        <v>2093</v>
      </c>
      <c r="F468" s="1182" t="s">
        <v>2166</v>
      </c>
      <c r="G468" s="1182" t="s">
        <v>2166</v>
      </c>
      <c r="H468" s="1182" t="s">
        <v>3251</v>
      </c>
      <c r="I468" s="1182" t="s">
        <v>1809</v>
      </c>
      <c r="J468" s="1182" t="s">
        <v>3252</v>
      </c>
      <c r="K468" s="1182" t="s">
        <v>1811</v>
      </c>
      <c r="L468" s="1182" t="s">
        <v>1812</v>
      </c>
      <c r="M468" s="1182" t="s">
        <v>1803</v>
      </c>
      <c r="N468" s="1182" t="s">
        <v>2922</v>
      </c>
      <c r="O468" s="1182" t="s">
        <v>1554</v>
      </c>
      <c r="P468" s="1182" t="s">
        <v>1563</v>
      </c>
      <c r="Q468" s="1182" t="s">
        <v>1562</v>
      </c>
      <c r="R468" s="1182" t="s">
        <v>1561</v>
      </c>
      <c r="S468" s="1182" t="s">
        <v>1639</v>
      </c>
      <c r="T468" s="1182" t="s">
        <v>1814</v>
      </c>
      <c r="U468" s="1182" t="s">
        <v>1815</v>
      </c>
      <c r="V468" s="1182">
        <v>0</v>
      </c>
      <c r="W468" s="1182">
        <v>0</v>
      </c>
      <c r="X468" s="1182">
        <v>0</v>
      </c>
      <c r="Y468" s="1183">
        <v>11589</v>
      </c>
      <c r="Z468" s="1182" t="s">
        <v>2923</v>
      </c>
      <c r="AA468" s="1182" t="s">
        <v>2924</v>
      </c>
      <c r="AB468" s="1182">
        <v>11589</v>
      </c>
      <c r="AC468" s="1182" t="s">
        <v>2925</v>
      </c>
      <c r="AD468" s="1182" t="s">
        <v>1561</v>
      </c>
      <c r="AE468" s="1182">
        <v>11589</v>
      </c>
      <c r="AF468" s="1182" t="s">
        <v>1943</v>
      </c>
      <c r="AG468" s="1182" t="s">
        <v>1944</v>
      </c>
      <c r="AH468" s="1182">
        <v>0</v>
      </c>
      <c r="AI468" s="1182">
        <v>11589</v>
      </c>
      <c r="AJ468" s="1182" t="s">
        <v>3221</v>
      </c>
      <c r="AL468" s="1186" t="s">
        <v>3253</v>
      </c>
      <c r="AM468" s="1182">
        <v>1</v>
      </c>
      <c r="AN468" s="1182">
        <v>0</v>
      </c>
      <c r="AO468" s="1182">
        <v>0</v>
      </c>
      <c r="AP468" s="1182">
        <v>0</v>
      </c>
      <c r="AQ468" s="1182" t="s">
        <v>1639</v>
      </c>
      <c r="AS468" s="1186" t="s">
        <v>1943</v>
      </c>
      <c r="AT468" s="1186" t="s">
        <v>1944</v>
      </c>
      <c r="AV468" s="1183">
        <v>11589</v>
      </c>
      <c r="AW468" s="1183">
        <v>0</v>
      </c>
      <c r="AX468" s="1183">
        <v>0</v>
      </c>
      <c r="AY468" s="1538">
        <v>11589</v>
      </c>
      <c r="AZ468" s="1183">
        <v>0</v>
      </c>
      <c r="BA468" s="1183">
        <v>0</v>
      </c>
      <c r="BB468" s="1540">
        <v>0</v>
      </c>
      <c r="BC468" s="1540">
        <v>11589</v>
      </c>
      <c r="BD468" s="1540">
        <v>0</v>
      </c>
      <c r="BF468" s="1539">
        <f t="shared" si="102"/>
        <v>11589</v>
      </c>
      <c r="BG468" s="1539">
        <f t="shared" si="103"/>
        <v>0</v>
      </c>
      <c r="BH468" s="1539">
        <f t="shared" si="104"/>
        <v>0</v>
      </c>
      <c r="BI468" s="1539">
        <f t="shared" si="105"/>
        <v>11589</v>
      </c>
      <c r="BJ468" s="1539">
        <f t="shared" si="106"/>
        <v>0</v>
      </c>
      <c r="BK468" s="1539">
        <f t="shared" si="107"/>
        <v>0</v>
      </c>
      <c r="BL468" s="1539">
        <f t="shared" si="108"/>
        <v>0</v>
      </c>
      <c r="BM468" s="1539">
        <f t="shared" si="109"/>
        <v>11589</v>
      </c>
      <c r="BO468" s="1183"/>
      <c r="BQ468" s="1182">
        <f t="shared" si="110"/>
        <v>0</v>
      </c>
      <c r="BR468" s="1182">
        <f t="shared" si="111"/>
        <v>0</v>
      </c>
    </row>
    <row r="469" spans="1:70" ht="13.5" customHeight="1">
      <c r="A469" s="1182" t="s">
        <v>1803</v>
      </c>
      <c r="B469" s="1182" t="s">
        <v>1804</v>
      </c>
      <c r="C469" s="1182" t="s">
        <v>1639</v>
      </c>
      <c r="D469" s="1182" t="s">
        <v>2092</v>
      </c>
      <c r="E469" s="1182" t="s">
        <v>2093</v>
      </c>
      <c r="F469" s="1182" t="s">
        <v>2166</v>
      </c>
      <c r="G469" s="1182" t="s">
        <v>2166</v>
      </c>
      <c r="H469" s="1182" t="s">
        <v>3254</v>
      </c>
      <c r="I469" s="1182" t="s">
        <v>1809</v>
      </c>
      <c r="J469" s="1182" t="s">
        <v>3255</v>
      </c>
      <c r="K469" s="1182" t="s">
        <v>1811</v>
      </c>
      <c r="L469" s="1182" t="s">
        <v>1812</v>
      </c>
      <c r="M469" s="1182" t="s">
        <v>1803</v>
      </c>
      <c r="N469" s="1182" t="s">
        <v>2922</v>
      </c>
      <c r="O469" s="1182" t="s">
        <v>1554</v>
      </c>
      <c r="P469" s="1182" t="s">
        <v>1563</v>
      </c>
      <c r="Q469" s="1182" t="s">
        <v>1562</v>
      </c>
      <c r="R469" s="1182" t="s">
        <v>1561</v>
      </c>
      <c r="S469" s="1182" t="s">
        <v>1639</v>
      </c>
      <c r="T469" s="1182" t="s">
        <v>1814</v>
      </c>
      <c r="U469" s="1182" t="s">
        <v>1815</v>
      </c>
      <c r="V469" s="1182">
        <v>0</v>
      </c>
      <c r="W469" s="1182">
        <v>0</v>
      </c>
      <c r="X469" s="1182">
        <v>0</v>
      </c>
      <c r="Y469" s="1183">
        <v>15797</v>
      </c>
      <c r="Z469" s="1182" t="s">
        <v>2923</v>
      </c>
      <c r="AA469" s="1182" t="s">
        <v>2924</v>
      </c>
      <c r="AB469" s="1182">
        <v>15797</v>
      </c>
      <c r="AC469" s="1182" t="s">
        <v>2925</v>
      </c>
      <c r="AD469" s="1182" t="s">
        <v>1561</v>
      </c>
      <c r="AE469" s="1182">
        <v>15797</v>
      </c>
      <c r="AF469" s="1182" t="s">
        <v>1943</v>
      </c>
      <c r="AG469" s="1182" t="s">
        <v>1944</v>
      </c>
      <c r="AH469" s="1182">
        <v>0</v>
      </c>
      <c r="AI469" s="1182">
        <v>15797</v>
      </c>
      <c r="AJ469" s="1182" t="s">
        <v>3236</v>
      </c>
      <c r="AL469" s="1186" t="s">
        <v>3256</v>
      </c>
      <c r="AM469" s="1182">
        <v>1</v>
      </c>
      <c r="AN469" s="1182">
        <v>0</v>
      </c>
      <c r="AO469" s="1182">
        <v>0</v>
      </c>
      <c r="AP469" s="1182">
        <v>0</v>
      </c>
      <c r="AQ469" s="1182" t="s">
        <v>1639</v>
      </c>
      <c r="AS469" s="1186" t="s">
        <v>1943</v>
      </c>
      <c r="AT469" s="1186" t="s">
        <v>1944</v>
      </c>
      <c r="AV469" s="1183">
        <v>15797</v>
      </c>
      <c r="AW469" s="1183">
        <v>0</v>
      </c>
      <c r="AX469" s="1183">
        <v>0</v>
      </c>
      <c r="AY469" s="1538">
        <v>15797</v>
      </c>
      <c r="AZ469" s="1183">
        <v>0</v>
      </c>
      <c r="BA469" s="1183">
        <v>0</v>
      </c>
      <c r="BB469" s="1540">
        <v>0</v>
      </c>
      <c r="BC469" s="1540">
        <v>15797</v>
      </c>
      <c r="BD469" s="1540">
        <v>0</v>
      </c>
      <c r="BF469" s="1539">
        <f t="shared" si="102"/>
        <v>15797</v>
      </c>
      <c r="BG469" s="1539">
        <f t="shared" si="103"/>
        <v>0</v>
      </c>
      <c r="BH469" s="1539">
        <f t="shared" si="104"/>
        <v>0</v>
      </c>
      <c r="BI469" s="1539">
        <f t="shared" si="105"/>
        <v>15797</v>
      </c>
      <c r="BJ469" s="1539">
        <f t="shared" si="106"/>
        <v>0</v>
      </c>
      <c r="BK469" s="1539">
        <f t="shared" si="107"/>
        <v>0</v>
      </c>
      <c r="BL469" s="1539">
        <f t="shared" si="108"/>
        <v>0</v>
      </c>
      <c r="BM469" s="1539">
        <f t="shared" si="109"/>
        <v>15797</v>
      </c>
      <c r="BO469" s="1183"/>
      <c r="BQ469" s="1182">
        <f t="shared" si="110"/>
        <v>0</v>
      </c>
      <c r="BR469" s="1182">
        <f t="shared" si="111"/>
        <v>0</v>
      </c>
    </row>
    <row r="470" spans="1:70" ht="13.5" customHeight="1">
      <c r="A470" s="1182" t="s">
        <v>1803</v>
      </c>
      <c r="B470" s="1182" t="s">
        <v>1804</v>
      </c>
      <c r="C470" s="1182" t="s">
        <v>1639</v>
      </c>
      <c r="D470" s="1182" t="s">
        <v>2092</v>
      </c>
      <c r="E470" s="1182" t="s">
        <v>2093</v>
      </c>
      <c r="F470" s="1182" t="s">
        <v>2166</v>
      </c>
      <c r="G470" s="1182" t="s">
        <v>2166</v>
      </c>
      <c r="H470" s="1182" t="s">
        <v>3257</v>
      </c>
      <c r="I470" s="1182" t="s">
        <v>1809</v>
      </c>
      <c r="J470" s="1182" t="s">
        <v>3258</v>
      </c>
      <c r="K470" s="1182" t="s">
        <v>1811</v>
      </c>
      <c r="L470" s="1182" t="s">
        <v>1812</v>
      </c>
      <c r="M470" s="1182" t="s">
        <v>1803</v>
      </c>
      <c r="N470" s="1182" t="s">
        <v>2922</v>
      </c>
      <c r="O470" s="1182" t="s">
        <v>1554</v>
      </c>
      <c r="P470" s="1182" t="s">
        <v>1563</v>
      </c>
      <c r="Q470" s="1182" t="s">
        <v>1562</v>
      </c>
      <c r="R470" s="1182" t="s">
        <v>1561</v>
      </c>
      <c r="S470" s="1182" t="s">
        <v>1639</v>
      </c>
      <c r="T470" s="1182" t="s">
        <v>1814</v>
      </c>
      <c r="U470" s="1182" t="s">
        <v>1815</v>
      </c>
      <c r="V470" s="1182">
        <v>0</v>
      </c>
      <c r="W470" s="1182">
        <v>0</v>
      </c>
      <c r="X470" s="1182">
        <v>0</v>
      </c>
      <c r="Y470" s="1183">
        <v>381</v>
      </c>
      <c r="Z470" s="1182" t="s">
        <v>2923</v>
      </c>
      <c r="AA470" s="1182" t="s">
        <v>2924</v>
      </c>
      <c r="AB470" s="1182">
        <v>381</v>
      </c>
      <c r="AC470" s="1182" t="s">
        <v>2925</v>
      </c>
      <c r="AD470" s="1182" t="s">
        <v>1561</v>
      </c>
      <c r="AE470" s="1182">
        <v>381</v>
      </c>
      <c r="AF470" s="1182" t="s">
        <v>1943</v>
      </c>
      <c r="AG470" s="1182" t="s">
        <v>1944</v>
      </c>
      <c r="AH470" s="1182">
        <v>0</v>
      </c>
      <c r="AI470" s="1182">
        <v>381</v>
      </c>
      <c r="AJ470" s="1182" t="s">
        <v>3259</v>
      </c>
      <c r="AL470" s="1186" t="s">
        <v>3260</v>
      </c>
      <c r="AM470" s="1182">
        <v>1</v>
      </c>
      <c r="AN470" s="1182">
        <v>0</v>
      </c>
      <c r="AO470" s="1182">
        <v>0</v>
      </c>
      <c r="AP470" s="1182">
        <v>0</v>
      </c>
      <c r="AQ470" s="1182" t="s">
        <v>1639</v>
      </c>
      <c r="AS470" s="1186" t="s">
        <v>1943</v>
      </c>
      <c r="AT470" s="1186" t="s">
        <v>1944</v>
      </c>
      <c r="AV470" s="1183">
        <v>381</v>
      </c>
      <c r="AW470" s="1183">
        <v>0</v>
      </c>
      <c r="AX470" s="1183">
        <v>0</v>
      </c>
      <c r="AY470" s="1538">
        <v>381</v>
      </c>
      <c r="AZ470" s="1183">
        <v>0</v>
      </c>
      <c r="BA470" s="1183">
        <v>0</v>
      </c>
      <c r="BB470" s="1540">
        <v>0</v>
      </c>
      <c r="BC470" s="1540">
        <v>381</v>
      </c>
      <c r="BD470" s="1540">
        <v>0</v>
      </c>
      <c r="BF470" s="1539">
        <f t="shared" si="102"/>
        <v>381</v>
      </c>
      <c r="BG470" s="1539">
        <f t="shared" si="103"/>
        <v>0</v>
      </c>
      <c r="BH470" s="1539">
        <f t="shared" si="104"/>
        <v>0</v>
      </c>
      <c r="BI470" s="1539">
        <f t="shared" si="105"/>
        <v>381</v>
      </c>
      <c r="BJ470" s="1539">
        <f t="shared" si="106"/>
        <v>0</v>
      </c>
      <c r="BK470" s="1539">
        <f t="shared" si="107"/>
        <v>0</v>
      </c>
      <c r="BL470" s="1539">
        <f t="shared" si="108"/>
        <v>0</v>
      </c>
      <c r="BM470" s="1539">
        <f t="shared" si="109"/>
        <v>381</v>
      </c>
      <c r="BO470" s="1183"/>
      <c r="BQ470" s="1182">
        <f t="shared" si="110"/>
        <v>0</v>
      </c>
      <c r="BR470" s="1182">
        <f t="shared" si="111"/>
        <v>0</v>
      </c>
    </row>
    <row r="471" spans="1:70" ht="13.5" customHeight="1">
      <c r="A471" s="1182" t="s">
        <v>1803</v>
      </c>
      <c r="B471" s="1182" t="s">
        <v>1804</v>
      </c>
      <c r="C471" s="1182" t="s">
        <v>1639</v>
      </c>
      <c r="D471" s="1182" t="s">
        <v>2092</v>
      </c>
      <c r="E471" s="1182" t="s">
        <v>2093</v>
      </c>
      <c r="F471" s="1182" t="s">
        <v>2166</v>
      </c>
      <c r="G471" s="1182" t="s">
        <v>2166</v>
      </c>
      <c r="H471" s="1182" t="s">
        <v>3261</v>
      </c>
      <c r="I471" s="1182" t="s">
        <v>1809</v>
      </c>
      <c r="J471" s="1182" t="s">
        <v>3262</v>
      </c>
      <c r="K471" s="1182" t="s">
        <v>1811</v>
      </c>
      <c r="L471" s="1182" t="s">
        <v>1812</v>
      </c>
      <c r="M471" s="1182" t="s">
        <v>1803</v>
      </c>
      <c r="N471" s="1182" t="s">
        <v>2922</v>
      </c>
      <c r="O471" s="1182" t="s">
        <v>1554</v>
      </c>
      <c r="P471" s="1182" t="s">
        <v>1563</v>
      </c>
      <c r="Q471" s="1182" t="s">
        <v>1562</v>
      </c>
      <c r="R471" s="1182" t="s">
        <v>1561</v>
      </c>
      <c r="S471" s="1182" t="s">
        <v>1639</v>
      </c>
      <c r="T471" s="1182" t="s">
        <v>1814</v>
      </c>
      <c r="U471" s="1182" t="s">
        <v>1815</v>
      </c>
      <c r="V471" s="1182">
        <v>0</v>
      </c>
      <c r="W471" s="1182">
        <v>0</v>
      </c>
      <c r="X471" s="1182">
        <v>0</v>
      </c>
      <c r="Y471" s="1183">
        <v>13982</v>
      </c>
      <c r="Z471" s="1182" t="s">
        <v>2923</v>
      </c>
      <c r="AA471" s="1182" t="s">
        <v>2924</v>
      </c>
      <c r="AB471" s="1182">
        <v>13982</v>
      </c>
      <c r="AC471" s="1182" t="s">
        <v>2925</v>
      </c>
      <c r="AD471" s="1182" t="s">
        <v>1561</v>
      </c>
      <c r="AE471" s="1182">
        <v>13982</v>
      </c>
      <c r="AF471" s="1182" t="s">
        <v>1943</v>
      </c>
      <c r="AG471" s="1182" t="s">
        <v>1944</v>
      </c>
      <c r="AH471" s="1182">
        <v>0</v>
      </c>
      <c r="AI471" s="1182">
        <v>13982</v>
      </c>
      <c r="AJ471" s="1182" t="s">
        <v>3263</v>
      </c>
      <c r="AL471" s="1186" t="s">
        <v>3264</v>
      </c>
      <c r="AM471" s="1182">
        <v>1</v>
      </c>
      <c r="AN471" s="1182">
        <v>0</v>
      </c>
      <c r="AO471" s="1182">
        <v>0</v>
      </c>
      <c r="AP471" s="1182">
        <v>0</v>
      </c>
      <c r="AQ471" s="1182" t="s">
        <v>1639</v>
      </c>
      <c r="AS471" s="1186" t="s">
        <v>1943</v>
      </c>
      <c r="AT471" s="1186" t="s">
        <v>1944</v>
      </c>
      <c r="AV471" s="1185">
        <v>13982</v>
      </c>
      <c r="AW471" s="1185">
        <v>0</v>
      </c>
      <c r="AX471" s="1185">
        <v>0</v>
      </c>
      <c r="AY471" s="1539">
        <v>13982</v>
      </c>
      <c r="AZ471" s="1185">
        <v>0</v>
      </c>
      <c r="BA471" s="1185">
        <v>0</v>
      </c>
      <c r="BB471" s="1540">
        <v>0</v>
      </c>
      <c r="BC471" s="1540">
        <v>13982</v>
      </c>
      <c r="BD471" s="1540">
        <v>0</v>
      </c>
      <c r="BF471" s="1539">
        <f t="shared" si="102"/>
        <v>13982</v>
      </c>
      <c r="BG471" s="1539">
        <f t="shared" si="103"/>
        <v>0</v>
      </c>
      <c r="BH471" s="1539">
        <f t="shared" si="104"/>
        <v>0</v>
      </c>
      <c r="BI471" s="1539">
        <f t="shared" si="105"/>
        <v>13982</v>
      </c>
      <c r="BJ471" s="1539">
        <f t="shared" si="106"/>
        <v>0</v>
      </c>
      <c r="BK471" s="1539">
        <f t="shared" si="107"/>
        <v>0</v>
      </c>
      <c r="BL471" s="1539">
        <f t="shared" si="108"/>
        <v>0</v>
      </c>
      <c r="BM471" s="1539">
        <f t="shared" si="109"/>
        <v>13982</v>
      </c>
      <c r="BO471" s="1183"/>
      <c r="BQ471" s="1182">
        <f t="shared" si="110"/>
        <v>0</v>
      </c>
      <c r="BR471" s="1182">
        <f t="shared" si="111"/>
        <v>0</v>
      </c>
    </row>
    <row r="472" spans="1:70" ht="13.5" customHeight="1">
      <c r="A472" s="1182" t="s">
        <v>1803</v>
      </c>
      <c r="B472" s="1182" t="s">
        <v>1804</v>
      </c>
      <c r="C472" s="1182" t="s">
        <v>1639</v>
      </c>
      <c r="D472" s="1182" t="s">
        <v>1907</v>
      </c>
      <c r="E472" s="1182" t="s">
        <v>1908</v>
      </c>
      <c r="F472" s="1182" t="s">
        <v>3265</v>
      </c>
      <c r="G472" s="1182" t="s">
        <v>3265</v>
      </c>
      <c r="H472" s="1182" t="s">
        <v>3266</v>
      </c>
      <c r="I472" s="1182" t="s">
        <v>1809</v>
      </c>
      <c r="J472" s="1182" t="s">
        <v>3267</v>
      </c>
      <c r="K472" s="1182" t="s">
        <v>1811</v>
      </c>
      <c r="L472" s="1182" t="s">
        <v>1812</v>
      </c>
      <c r="M472" s="1182" t="s">
        <v>1803</v>
      </c>
      <c r="N472" s="1182" t="s">
        <v>2922</v>
      </c>
      <c r="O472" s="1182" t="s">
        <v>1554</v>
      </c>
      <c r="P472" s="1182" t="s">
        <v>1563</v>
      </c>
      <c r="Q472" s="1182" t="s">
        <v>1562</v>
      </c>
      <c r="R472" s="1182" t="s">
        <v>1561</v>
      </c>
      <c r="S472" s="1182" t="s">
        <v>1639</v>
      </c>
      <c r="T472" s="1182" t="s">
        <v>1814</v>
      </c>
      <c r="U472" s="1182" t="s">
        <v>1815</v>
      </c>
      <c r="V472" s="1182">
        <v>0</v>
      </c>
      <c r="W472" s="1182">
        <v>0</v>
      </c>
      <c r="X472" s="1182">
        <v>0</v>
      </c>
      <c r="Y472" s="1183">
        <v>2030</v>
      </c>
      <c r="Z472" s="1182" t="s">
        <v>2923</v>
      </c>
      <c r="AA472" s="1182" t="s">
        <v>2924</v>
      </c>
      <c r="AB472" s="1182">
        <v>2030</v>
      </c>
      <c r="AC472" s="1182" t="s">
        <v>2925</v>
      </c>
      <c r="AD472" s="1182" t="s">
        <v>1561</v>
      </c>
      <c r="AE472" s="1182">
        <v>2030</v>
      </c>
      <c r="AF472" s="1182" t="s">
        <v>1943</v>
      </c>
      <c r="AG472" s="1182" t="s">
        <v>1944</v>
      </c>
      <c r="AH472" s="1182">
        <v>0</v>
      </c>
      <c r="AI472" s="1182">
        <v>2030</v>
      </c>
      <c r="AJ472" s="1182" t="s">
        <v>3149</v>
      </c>
      <c r="AL472" s="1186" t="s">
        <v>3268</v>
      </c>
      <c r="AM472" s="1182">
        <v>1</v>
      </c>
      <c r="AN472" s="1182">
        <v>0</v>
      </c>
      <c r="AO472" s="1182">
        <v>0</v>
      </c>
      <c r="AP472" s="1182">
        <v>0</v>
      </c>
      <c r="AQ472" s="1182" t="s">
        <v>1639</v>
      </c>
      <c r="AS472" s="1186" t="s">
        <v>1943</v>
      </c>
      <c r="AT472" s="1186" t="s">
        <v>1944</v>
      </c>
      <c r="AV472" s="1185">
        <v>2030</v>
      </c>
      <c r="AW472" s="1185">
        <v>0</v>
      </c>
      <c r="AX472" s="1185">
        <v>0</v>
      </c>
      <c r="AY472" s="1539">
        <v>2030</v>
      </c>
      <c r="AZ472" s="1185">
        <v>0</v>
      </c>
      <c r="BA472" s="1185">
        <v>0</v>
      </c>
      <c r="BB472" s="1540">
        <v>0</v>
      </c>
      <c r="BC472" s="1540">
        <v>2030</v>
      </c>
      <c r="BD472" s="1540">
        <v>0</v>
      </c>
      <c r="BF472" s="1539">
        <f t="shared" si="102"/>
        <v>2030</v>
      </c>
      <c r="BG472" s="1539">
        <f t="shared" si="103"/>
        <v>0</v>
      </c>
      <c r="BH472" s="1539">
        <f t="shared" si="104"/>
        <v>0</v>
      </c>
      <c r="BI472" s="1539">
        <f t="shared" si="105"/>
        <v>2030</v>
      </c>
      <c r="BJ472" s="1539">
        <f t="shared" si="106"/>
        <v>0</v>
      </c>
      <c r="BK472" s="1539">
        <f t="shared" si="107"/>
        <v>0</v>
      </c>
      <c r="BL472" s="1539">
        <f t="shared" si="108"/>
        <v>0</v>
      </c>
      <c r="BM472" s="1539">
        <f t="shared" si="109"/>
        <v>2030</v>
      </c>
      <c r="BO472" s="1183"/>
      <c r="BQ472" s="1182">
        <f t="shared" si="110"/>
        <v>0</v>
      </c>
      <c r="BR472" s="1182">
        <f t="shared" si="111"/>
        <v>0</v>
      </c>
    </row>
    <row r="473" spans="1:70" ht="13.5" customHeight="1">
      <c r="A473" s="1182" t="s">
        <v>1803</v>
      </c>
      <c r="B473" s="1182" t="s">
        <v>1804</v>
      </c>
      <c r="C473" s="1182" t="s">
        <v>1639</v>
      </c>
      <c r="D473" s="1182" t="s">
        <v>1907</v>
      </c>
      <c r="E473" s="1182" t="s">
        <v>1908</v>
      </c>
      <c r="F473" s="1182" t="s">
        <v>3265</v>
      </c>
      <c r="G473" s="1182" t="s">
        <v>3265</v>
      </c>
      <c r="H473" s="1182" t="s">
        <v>3269</v>
      </c>
      <c r="I473" s="1182" t="s">
        <v>1809</v>
      </c>
      <c r="J473" s="1182" t="s">
        <v>3270</v>
      </c>
      <c r="K473" s="1182" t="s">
        <v>1811</v>
      </c>
      <c r="L473" s="1182" t="s">
        <v>1812</v>
      </c>
      <c r="M473" s="1182" t="s">
        <v>1803</v>
      </c>
      <c r="N473" s="1182" t="s">
        <v>2922</v>
      </c>
      <c r="O473" s="1182" t="s">
        <v>1554</v>
      </c>
      <c r="P473" s="1182" t="s">
        <v>1563</v>
      </c>
      <c r="Q473" s="1182" t="s">
        <v>1562</v>
      </c>
      <c r="R473" s="1182" t="s">
        <v>1561</v>
      </c>
      <c r="S473" s="1182" t="s">
        <v>1639</v>
      </c>
      <c r="T473" s="1182" t="s">
        <v>1814</v>
      </c>
      <c r="U473" s="1182" t="s">
        <v>1815</v>
      </c>
      <c r="V473" s="1182">
        <v>0</v>
      </c>
      <c r="W473" s="1182">
        <v>0</v>
      </c>
      <c r="X473" s="1182">
        <v>0</v>
      </c>
      <c r="Y473" s="1183">
        <v>8700</v>
      </c>
      <c r="Z473" s="1182" t="s">
        <v>2923</v>
      </c>
      <c r="AA473" s="1182" t="s">
        <v>2924</v>
      </c>
      <c r="AB473" s="1182">
        <v>8700</v>
      </c>
      <c r="AC473" s="1182" t="s">
        <v>2925</v>
      </c>
      <c r="AD473" s="1182" t="s">
        <v>1561</v>
      </c>
      <c r="AE473" s="1182">
        <v>8700</v>
      </c>
      <c r="AF473" s="1182" t="s">
        <v>1943</v>
      </c>
      <c r="AG473" s="1182" t="s">
        <v>1944</v>
      </c>
      <c r="AH473" s="1182">
        <v>0</v>
      </c>
      <c r="AI473" s="1182">
        <v>8700</v>
      </c>
      <c r="AJ473" s="1182" t="s">
        <v>3271</v>
      </c>
      <c r="AL473" s="1186" t="s">
        <v>3272</v>
      </c>
      <c r="AM473" s="1182">
        <v>1</v>
      </c>
      <c r="AN473" s="1182">
        <v>0</v>
      </c>
      <c r="AO473" s="1182">
        <v>0</v>
      </c>
      <c r="AP473" s="1182">
        <v>0</v>
      </c>
      <c r="AQ473" s="1182" t="s">
        <v>1639</v>
      </c>
      <c r="AS473" s="1186" t="s">
        <v>1943</v>
      </c>
      <c r="AT473" s="1186" t="s">
        <v>1944</v>
      </c>
      <c r="AV473" s="1185">
        <v>8700</v>
      </c>
      <c r="AW473" s="1185">
        <v>0</v>
      </c>
      <c r="AX473" s="1185">
        <v>0</v>
      </c>
      <c r="AY473" s="1539">
        <v>8700</v>
      </c>
      <c r="AZ473" s="1185">
        <v>0</v>
      </c>
      <c r="BA473" s="1185">
        <v>0</v>
      </c>
      <c r="BB473" s="1540">
        <v>0</v>
      </c>
      <c r="BC473" s="1540">
        <v>8700</v>
      </c>
      <c r="BD473" s="1540">
        <v>0</v>
      </c>
      <c r="BF473" s="1539">
        <f t="shared" si="102"/>
        <v>8700</v>
      </c>
      <c r="BG473" s="1539">
        <f t="shared" si="103"/>
        <v>0</v>
      </c>
      <c r="BH473" s="1539">
        <f t="shared" si="104"/>
        <v>0</v>
      </c>
      <c r="BI473" s="1539">
        <f t="shared" si="105"/>
        <v>8700</v>
      </c>
      <c r="BJ473" s="1539">
        <f t="shared" si="106"/>
        <v>0</v>
      </c>
      <c r="BK473" s="1539">
        <f t="shared" si="107"/>
        <v>0</v>
      </c>
      <c r="BL473" s="1539">
        <f t="shared" si="108"/>
        <v>0</v>
      </c>
      <c r="BM473" s="1539">
        <f t="shared" si="109"/>
        <v>8700</v>
      </c>
      <c r="BO473" s="1183"/>
      <c r="BQ473" s="1182">
        <f t="shared" si="110"/>
        <v>0</v>
      </c>
      <c r="BR473" s="1182">
        <f t="shared" si="111"/>
        <v>0</v>
      </c>
    </row>
    <row r="474" spans="1:70" ht="13.5" customHeight="1">
      <c r="A474" s="1182" t="s">
        <v>1803</v>
      </c>
      <c r="B474" s="1182" t="s">
        <v>1804</v>
      </c>
      <c r="C474" s="1182" t="s">
        <v>1639</v>
      </c>
      <c r="D474" s="1182" t="s">
        <v>1907</v>
      </c>
      <c r="E474" s="1182" t="s">
        <v>1908</v>
      </c>
      <c r="F474" s="1182" t="s">
        <v>3265</v>
      </c>
      <c r="G474" s="1182" t="s">
        <v>3265</v>
      </c>
      <c r="H474" s="1182" t="s">
        <v>3273</v>
      </c>
      <c r="I474" s="1182" t="s">
        <v>1809</v>
      </c>
      <c r="J474" s="1182" t="s">
        <v>3274</v>
      </c>
      <c r="K474" s="1182" t="s">
        <v>1811</v>
      </c>
      <c r="L474" s="1182" t="s">
        <v>1812</v>
      </c>
      <c r="M474" s="1182" t="s">
        <v>1803</v>
      </c>
      <c r="N474" s="1182" t="s">
        <v>2922</v>
      </c>
      <c r="O474" s="1182" t="s">
        <v>1554</v>
      </c>
      <c r="P474" s="1182" t="s">
        <v>1563</v>
      </c>
      <c r="Q474" s="1182" t="s">
        <v>1562</v>
      </c>
      <c r="R474" s="1182" t="s">
        <v>1561</v>
      </c>
      <c r="S474" s="1182" t="s">
        <v>1639</v>
      </c>
      <c r="T474" s="1182" t="s">
        <v>1814</v>
      </c>
      <c r="U474" s="1182" t="s">
        <v>1815</v>
      </c>
      <c r="V474" s="1182">
        <v>0</v>
      </c>
      <c r="W474" s="1182">
        <v>0</v>
      </c>
      <c r="X474" s="1182">
        <v>0</v>
      </c>
      <c r="Y474" s="1183">
        <v>2966</v>
      </c>
      <c r="Z474" s="1182" t="s">
        <v>2923</v>
      </c>
      <c r="AA474" s="1182" t="s">
        <v>2924</v>
      </c>
      <c r="AB474" s="1182">
        <v>2966</v>
      </c>
      <c r="AC474" s="1182" t="s">
        <v>2925</v>
      </c>
      <c r="AD474" s="1182" t="s">
        <v>1561</v>
      </c>
      <c r="AE474" s="1182">
        <v>2966</v>
      </c>
      <c r="AF474" s="1182" t="s">
        <v>1943</v>
      </c>
      <c r="AG474" s="1182" t="s">
        <v>1944</v>
      </c>
      <c r="AH474" s="1182">
        <v>0</v>
      </c>
      <c r="AI474" s="1182">
        <v>2966</v>
      </c>
      <c r="AJ474" s="1182" t="s">
        <v>3236</v>
      </c>
      <c r="AL474" s="1186" t="s">
        <v>3275</v>
      </c>
      <c r="AM474" s="1182">
        <v>1</v>
      </c>
      <c r="AN474" s="1182">
        <v>0</v>
      </c>
      <c r="AO474" s="1182">
        <v>0</v>
      </c>
      <c r="AP474" s="1182">
        <v>0</v>
      </c>
      <c r="AQ474" s="1182" t="s">
        <v>1639</v>
      </c>
      <c r="AS474" s="1186" t="s">
        <v>1943</v>
      </c>
      <c r="AT474" s="1186" t="s">
        <v>1944</v>
      </c>
      <c r="AV474" s="1185">
        <v>2966</v>
      </c>
      <c r="AW474" s="1185">
        <v>0</v>
      </c>
      <c r="AX474" s="1185">
        <v>0</v>
      </c>
      <c r="AY474" s="1539">
        <v>2966</v>
      </c>
      <c r="AZ474" s="1185">
        <v>0</v>
      </c>
      <c r="BA474" s="1185">
        <v>0</v>
      </c>
      <c r="BB474" s="1540">
        <v>0</v>
      </c>
      <c r="BC474" s="1540">
        <v>2966</v>
      </c>
      <c r="BD474" s="1540">
        <v>0</v>
      </c>
      <c r="BF474" s="1539">
        <f t="shared" si="102"/>
        <v>2966</v>
      </c>
      <c r="BG474" s="1539">
        <f t="shared" si="103"/>
        <v>0</v>
      </c>
      <c r="BH474" s="1539">
        <f t="shared" si="104"/>
        <v>0</v>
      </c>
      <c r="BI474" s="1539">
        <f t="shared" si="105"/>
        <v>2966</v>
      </c>
      <c r="BJ474" s="1539">
        <f t="shared" si="106"/>
        <v>0</v>
      </c>
      <c r="BK474" s="1539">
        <f t="shared" si="107"/>
        <v>0</v>
      </c>
      <c r="BL474" s="1539">
        <f t="shared" si="108"/>
        <v>0</v>
      </c>
      <c r="BM474" s="1539">
        <f t="shared" si="109"/>
        <v>2966</v>
      </c>
      <c r="BO474" s="1183"/>
      <c r="BQ474" s="1182">
        <f t="shared" si="110"/>
        <v>0</v>
      </c>
      <c r="BR474" s="1182">
        <f t="shared" si="111"/>
        <v>0</v>
      </c>
    </row>
    <row r="475" spans="1:70" ht="13.5" customHeight="1">
      <c r="A475" s="1182" t="s">
        <v>1803</v>
      </c>
      <c r="B475" s="1182" t="s">
        <v>1804</v>
      </c>
      <c r="C475" s="1182" t="s">
        <v>1639</v>
      </c>
      <c r="D475" s="1182" t="s">
        <v>1907</v>
      </c>
      <c r="E475" s="1182" t="s">
        <v>1908</v>
      </c>
      <c r="F475" s="1182" t="s">
        <v>3265</v>
      </c>
      <c r="G475" s="1182" t="s">
        <v>3265</v>
      </c>
      <c r="H475" s="1182" t="s">
        <v>3276</v>
      </c>
      <c r="I475" s="1182" t="s">
        <v>1809</v>
      </c>
      <c r="J475" s="1182" t="s">
        <v>3277</v>
      </c>
      <c r="K475" s="1182" t="s">
        <v>1811</v>
      </c>
      <c r="L475" s="1182" t="s">
        <v>1812</v>
      </c>
      <c r="M475" s="1182" t="s">
        <v>1803</v>
      </c>
      <c r="N475" s="1182" t="s">
        <v>2922</v>
      </c>
      <c r="O475" s="1182" t="s">
        <v>1554</v>
      </c>
      <c r="P475" s="1182" t="s">
        <v>1563</v>
      </c>
      <c r="Q475" s="1182" t="s">
        <v>1562</v>
      </c>
      <c r="R475" s="1182" t="s">
        <v>1561</v>
      </c>
      <c r="S475" s="1182" t="s">
        <v>1639</v>
      </c>
      <c r="T475" s="1182" t="s">
        <v>1814</v>
      </c>
      <c r="U475" s="1182" t="s">
        <v>1815</v>
      </c>
      <c r="V475" s="1182">
        <v>0</v>
      </c>
      <c r="W475" s="1182">
        <v>0</v>
      </c>
      <c r="X475" s="1182">
        <v>0</v>
      </c>
      <c r="Y475" s="1183">
        <v>1170</v>
      </c>
      <c r="Z475" s="1182" t="s">
        <v>2923</v>
      </c>
      <c r="AA475" s="1182" t="s">
        <v>2924</v>
      </c>
      <c r="AB475" s="1182">
        <v>1170</v>
      </c>
      <c r="AC475" s="1182" t="s">
        <v>2925</v>
      </c>
      <c r="AD475" s="1182" t="s">
        <v>1561</v>
      </c>
      <c r="AE475" s="1182">
        <v>1170</v>
      </c>
      <c r="AF475" s="1182" t="s">
        <v>1943</v>
      </c>
      <c r="AG475" s="1182" t="s">
        <v>1944</v>
      </c>
      <c r="AH475" s="1182">
        <v>0</v>
      </c>
      <c r="AI475" s="1182">
        <v>1170</v>
      </c>
      <c r="AJ475" s="1182" t="s">
        <v>3149</v>
      </c>
      <c r="AL475" s="1186" t="s">
        <v>3278</v>
      </c>
      <c r="AM475" s="1182">
        <v>1</v>
      </c>
      <c r="AN475" s="1182">
        <v>0</v>
      </c>
      <c r="AO475" s="1182">
        <v>0</v>
      </c>
      <c r="AP475" s="1182">
        <v>0</v>
      </c>
      <c r="AQ475" s="1182" t="s">
        <v>1639</v>
      </c>
      <c r="AS475" s="1186" t="s">
        <v>1943</v>
      </c>
      <c r="AT475" s="1186" t="s">
        <v>1944</v>
      </c>
      <c r="AV475" s="1185">
        <v>1170</v>
      </c>
      <c r="AW475" s="1185">
        <v>0</v>
      </c>
      <c r="AX475" s="1185">
        <v>0</v>
      </c>
      <c r="AY475" s="1539">
        <v>1170</v>
      </c>
      <c r="AZ475" s="1185">
        <v>0</v>
      </c>
      <c r="BA475" s="1185">
        <v>0</v>
      </c>
      <c r="BB475" s="1540">
        <v>0</v>
      </c>
      <c r="BC475" s="1540">
        <v>1170</v>
      </c>
      <c r="BD475" s="1540">
        <v>0</v>
      </c>
      <c r="BF475" s="1539">
        <f t="shared" si="102"/>
        <v>1170</v>
      </c>
      <c r="BG475" s="1539">
        <f t="shared" si="103"/>
        <v>0</v>
      </c>
      <c r="BH475" s="1539">
        <f t="shared" si="104"/>
        <v>0</v>
      </c>
      <c r="BI475" s="1539">
        <f t="shared" si="105"/>
        <v>1170</v>
      </c>
      <c r="BJ475" s="1539">
        <f t="shared" si="106"/>
        <v>0</v>
      </c>
      <c r="BK475" s="1539">
        <f t="shared" si="107"/>
        <v>0</v>
      </c>
      <c r="BL475" s="1539">
        <f t="shared" si="108"/>
        <v>0</v>
      </c>
      <c r="BM475" s="1539">
        <f t="shared" si="109"/>
        <v>1170</v>
      </c>
      <c r="BO475" s="1183"/>
      <c r="BQ475" s="1182">
        <f t="shared" si="110"/>
        <v>0</v>
      </c>
      <c r="BR475" s="1182">
        <f t="shared" si="111"/>
        <v>0</v>
      </c>
    </row>
    <row r="476" spans="1:70" ht="13.5" customHeight="1">
      <c r="A476" s="1182" t="s">
        <v>1803</v>
      </c>
      <c r="B476" s="1182" t="s">
        <v>1804</v>
      </c>
      <c r="C476" s="1182" t="s">
        <v>1639</v>
      </c>
      <c r="D476" s="1182" t="s">
        <v>1907</v>
      </c>
      <c r="E476" s="1182" t="s">
        <v>1908</v>
      </c>
      <c r="F476" s="1182" t="s">
        <v>3265</v>
      </c>
      <c r="G476" s="1182" t="s">
        <v>3265</v>
      </c>
      <c r="H476" s="1182" t="s">
        <v>3279</v>
      </c>
      <c r="I476" s="1182" t="s">
        <v>1809</v>
      </c>
      <c r="J476" s="1182" t="s">
        <v>3280</v>
      </c>
      <c r="K476" s="1182" t="s">
        <v>1811</v>
      </c>
      <c r="L476" s="1182" t="s">
        <v>1812</v>
      </c>
      <c r="M476" s="1182" t="s">
        <v>1803</v>
      </c>
      <c r="N476" s="1182" t="s">
        <v>2922</v>
      </c>
      <c r="O476" s="1182" t="s">
        <v>1554</v>
      </c>
      <c r="P476" s="1182" t="s">
        <v>1563</v>
      </c>
      <c r="Q476" s="1182" t="s">
        <v>1562</v>
      </c>
      <c r="R476" s="1182" t="s">
        <v>1561</v>
      </c>
      <c r="S476" s="1182" t="s">
        <v>1639</v>
      </c>
      <c r="T476" s="1182" t="s">
        <v>1814</v>
      </c>
      <c r="U476" s="1182" t="s">
        <v>1815</v>
      </c>
      <c r="V476" s="1182">
        <v>0</v>
      </c>
      <c r="W476" s="1182">
        <v>0</v>
      </c>
      <c r="X476" s="1182">
        <v>0</v>
      </c>
      <c r="Y476" s="1183">
        <v>1840</v>
      </c>
      <c r="Z476" s="1182" t="s">
        <v>2923</v>
      </c>
      <c r="AA476" s="1182" t="s">
        <v>2924</v>
      </c>
      <c r="AB476" s="1182">
        <v>1840</v>
      </c>
      <c r="AC476" s="1182" t="s">
        <v>2925</v>
      </c>
      <c r="AD476" s="1182" t="s">
        <v>1561</v>
      </c>
      <c r="AE476" s="1182">
        <v>1840</v>
      </c>
      <c r="AF476" s="1182" t="s">
        <v>1943</v>
      </c>
      <c r="AG476" s="1182" t="s">
        <v>1944</v>
      </c>
      <c r="AH476" s="1182">
        <v>0</v>
      </c>
      <c r="AI476" s="1182">
        <v>1840</v>
      </c>
      <c r="AJ476" s="1182" t="s">
        <v>3281</v>
      </c>
      <c r="AL476" s="1186" t="s">
        <v>3282</v>
      </c>
      <c r="AM476" s="1182">
        <v>1</v>
      </c>
      <c r="AN476" s="1182">
        <v>0</v>
      </c>
      <c r="AO476" s="1182">
        <v>0</v>
      </c>
      <c r="AP476" s="1182">
        <v>0</v>
      </c>
      <c r="AQ476" s="1182" t="s">
        <v>1639</v>
      </c>
      <c r="AS476" s="1186" t="s">
        <v>1943</v>
      </c>
      <c r="AT476" s="1186" t="s">
        <v>1944</v>
      </c>
      <c r="AV476" s="1185">
        <v>1840</v>
      </c>
      <c r="AW476" s="1185">
        <v>0</v>
      </c>
      <c r="AX476" s="1185">
        <v>0</v>
      </c>
      <c r="AY476" s="1539">
        <v>1840</v>
      </c>
      <c r="AZ476" s="1185">
        <v>0</v>
      </c>
      <c r="BA476" s="1185">
        <v>0</v>
      </c>
      <c r="BB476" s="1540">
        <v>0</v>
      </c>
      <c r="BC476" s="1540">
        <v>1840</v>
      </c>
      <c r="BD476" s="1540">
        <v>0</v>
      </c>
      <c r="BF476" s="1539">
        <f t="shared" si="102"/>
        <v>1840</v>
      </c>
      <c r="BG476" s="1539">
        <f t="shared" si="103"/>
        <v>0</v>
      </c>
      <c r="BH476" s="1539">
        <f t="shared" si="104"/>
        <v>0</v>
      </c>
      <c r="BI476" s="1539">
        <f t="shared" si="105"/>
        <v>1840</v>
      </c>
      <c r="BJ476" s="1539">
        <f t="shared" si="106"/>
        <v>0</v>
      </c>
      <c r="BK476" s="1539">
        <f t="shared" si="107"/>
        <v>0</v>
      </c>
      <c r="BL476" s="1539">
        <f t="shared" si="108"/>
        <v>0</v>
      </c>
      <c r="BM476" s="1539">
        <f t="shared" si="109"/>
        <v>1840</v>
      </c>
      <c r="BO476" s="1183"/>
      <c r="BQ476" s="1182">
        <f t="shared" si="110"/>
        <v>0</v>
      </c>
      <c r="BR476" s="1182">
        <f t="shared" si="111"/>
        <v>0</v>
      </c>
    </row>
    <row r="477" spans="1:70" ht="13.5" customHeight="1">
      <c r="A477" s="1182" t="s">
        <v>1803</v>
      </c>
      <c r="B477" s="1182" t="s">
        <v>1804</v>
      </c>
      <c r="C477" s="1182" t="s">
        <v>1639</v>
      </c>
      <c r="D477" s="1182" t="s">
        <v>1907</v>
      </c>
      <c r="E477" s="1182" t="s">
        <v>1908</v>
      </c>
      <c r="F477" s="1182" t="s">
        <v>2691</v>
      </c>
      <c r="G477" s="1182" t="s">
        <v>2691</v>
      </c>
      <c r="H477" s="1182" t="s">
        <v>3283</v>
      </c>
      <c r="I477" s="1182" t="s">
        <v>1809</v>
      </c>
      <c r="J477" s="1182" t="s">
        <v>3284</v>
      </c>
      <c r="K477" s="1182" t="s">
        <v>1811</v>
      </c>
      <c r="L477" s="1182" t="s">
        <v>1812</v>
      </c>
      <c r="M477" s="1182" t="s">
        <v>1803</v>
      </c>
      <c r="N477" s="1182" t="s">
        <v>2922</v>
      </c>
      <c r="O477" s="1182" t="s">
        <v>1554</v>
      </c>
      <c r="P477" s="1182" t="s">
        <v>1563</v>
      </c>
      <c r="Q477" s="1182" t="s">
        <v>1562</v>
      </c>
      <c r="R477" s="1182" t="s">
        <v>1561</v>
      </c>
      <c r="S477" s="1182" t="s">
        <v>1639</v>
      </c>
      <c r="T477" s="1182" t="s">
        <v>1814</v>
      </c>
      <c r="U477" s="1182" t="s">
        <v>1815</v>
      </c>
      <c r="V477" s="1182">
        <v>0</v>
      </c>
      <c r="W477" s="1182">
        <v>0</v>
      </c>
      <c r="X477" s="1182">
        <v>0</v>
      </c>
      <c r="Y477" s="1183">
        <v>880</v>
      </c>
      <c r="Z477" s="1182" t="s">
        <v>2923</v>
      </c>
      <c r="AA477" s="1182" t="s">
        <v>2924</v>
      </c>
      <c r="AB477" s="1182">
        <v>880</v>
      </c>
      <c r="AC477" s="1182" t="s">
        <v>2925</v>
      </c>
      <c r="AD477" s="1182" t="s">
        <v>1561</v>
      </c>
      <c r="AE477" s="1182">
        <v>880</v>
      </c>
      <c r="AF477" s="1182" t="s">
        <v>1943</v>
      </c>
      <c r="AG477" s="1182" t="s">
        <v>1944</v>
      </c>
      <c r="AH477" s="1182">
        <v>0</v>
      </c>
      <c r="AI477" s="1182">
        <v>880</v>
      </c>
      <c r="AJ477" s="1182" t="s">
        <v>3285</v>
      </c>
      <c r="AL477" s="1186" t="s">
        <v>3286</v>
      </c>
      <c r="AM477" s="1182">
        <v>1</v>
      </c>
      <c r="AN477" s="1182">
        <v>0</v>
      </c>
      <c r="AO477" s="1182">
        <v>0</v>
      </c>
      <c r="AP477" s="1182">
        <v>0</v>
      </c>
      <c r="AQ477" s="1182" t="s">
        <v>1639</v>
      </c>
      <c r="AS477" s="1186" t="s">
        <v>1943</v>
      </c>
      <c r="AT477" s="1186" t="s">
        <v>1944</v>
      </c>
      <c r="AV477" s="1183">
        <v>880</v>
      </c>
      <c r="AW477" s="1183">
        <v>0</v>
      </c>
      <c r="AX477" s="1183">
        <v>0</v>
      </c>
      <c r="AY477" s="1538">
        <v>880</v>
      </c>
      <c r="AZ477" s="1183">
        <v>0</v>
      </c>
      <c r="BA477" s="1183">
        <v>0</v>
      </c>
      <c r="BB477" s="1540">
        <v>0</v>
      </c>
      <c r="BC477" s="1540">
        <v>880</v>
      </c>
      <c r="BD477" s="1540">
        <v>0</v>
      </c>
      <c r="BF477" s="1539">
        <f t="shared" si="102"/>
        <v>880</v>
      </c>
      <c r="BG477" s="1539">
        <f t="shared" si="103"/>
        <v>0</v>
      </c>
      <c r="BH477" s="1539">
        <f t="shared" si="104"/>
        <v>0</v>
      </c>
      <c r="BI477" s="1539">
        <f t="shared" si="105"/>
        <v>880</v>
      </c>
      <c r="BJ477" s="1539">
        <f t="shared" si="106"/>
        <v>0</v>
      </c>
      <c r="BK477" s="1539">
        <f t="shared" si="107"/>
        <v>0</v>
      </c>
      <c r="BL477" s="1539">
        <f t="shared" si="108"/>
        <v>0</v>
      </c>
      <c r="BM477" s="1539">
        <f t="shared" si="109"/>
        <v>880</v>
      </c>
      <c r="BO477" s="1183"/>
      <c r="BQ477" s="1182">
        <f t="shared" si="110"/>
        <v>0</v>
      </c>
      <c r="BR477" s="1182">
        <f t="shared" si="111"/>
        <v>0</v>
      </c>
    </row>
    <row r="478" spans="1:70" ht="13.5" customHeight="1">
      <c r="A478" s="1182" t="s">
        <v>1803</v>
      </c>
      <c r="B478" s="1182" t="s">
        <v>1804</v>
      </c>
      <c r="C478" s="1182" t="s">
        <v>1639</v>
      </c>
      <c r="D478" s="1182" t="s">
        <v>1907</v>
      </c>
      <c r="E478" s="1182" t="s">
        <v>1908</v>
      </c>
      <c r="F478" s="1182" t="s">
        <v>2691</v>
      </c>
      <c r="G478" s="1182" t="s">
        <v>2691</v>
      </c>
      <c r="H478" s="1182" t="s">
        <v>3287</v>
      </c>
      <c r="I478" s="1182" t="s">
        <v>1809</v>
      </c>
      <c r="J478" s="1182" t="s">
        <v>3288</v>
      </c>
      <c r="K478" s="1182" t="s">
        <v>1811</v>
      </c>
      <c r="L478" s="1182" t="s">
        <v>1812</v>
      </c>
      <c r="M478" s="1182" t="s">
        <v>1803</v>
      </c>
      <c r="N478" s="1182" t="s">
        <v>2922</v>
      </c>
      <c r="O478" s="1182" t="s">
        <v>1554</v>
      </c>
      <c r="P478" s="1182" t="s">
        <v>1563</v>
      </c>
      <c r="Q478" s="1182" t="s">
        <v>1562</v>
      </c>
      <c r="R478" s="1182" t="s">
        <v>1561</v>
      </c>
      <c r="S478" s="1182" t="s">
        <v>1639</v>
      </c>
      <c r="T478" s="1182" t="s">
        <v>1814</v>
      </c>
      <c r="U478" s="1182" t="s">
        <v>1815</v>
      </c>
      <c r="V478" s="1182">
        <v>0</v>
      </c>
      <c r="W478" s="1182">
        <v>0</v>
      </c>
      <c r="X478" s="1182">
        <v>0</v>
      </c>
      <c r="Y478" s="1183">
        <v>2440</v>
      </c>
      <c r="Z478" s="1182" t="s">
        <v>2923</v>
      </c>
      <c r="AA478" s="1182" t="s">
        <v>2924</v>
      </c>
      <c r="AB478" s="1182">
        <v>2440</v>
      </c>
      <c r="AC478" s="1182" t="s">
        <v>2925</v>
      </c>
      <c r="AD478" s="1182" t="s">
        <v>1561</v>
      </c>
      <c r="AE478" s="1182">
        <v>2440</v>
      </c>
      <c r="AF478" s="1182" t="s">
        <v>1943</v>
      </c>
      <c r="AG478" s="1182" t="s">
        <v>1944</v>
      </c>
      <c r="AH478" s="1182">
        <v>0</v>
      </c>
      <c r="AI478" s="1182">
        <v>2440</v>
      </c>
      <c r="AJ478" s="1182" t="s">
        <v>3289</v>
      </c>
      <c r="AL478" s="1186" t="s">
        <v>3290</v>
      </c>
      <c r="AM478" s="1182">
        <v>1</v>
      </c>
      <c r="AN478" s="1182">
        <v>0</v>
      </c>
      <c r="AO478" s="1182">
        <v>0</v>
      </c>
      <c r="AP478" s="1182">
        <v>0</v>
      </c>
      <c r="AQ478" s="1182" t="s">
        <v>1639</v>
      </c>
      <c r="AS478" s="1186" t="s">
        <v>1943</v>
      </c>
      <c r="AT478" s="1186" t="s">
        <v>1944</v>
      </c>
      <c r="AV478" s="1183">
        <v>2440</v>
      </c>
      <c r="AW478" s="1183">
        <v>0</v>
      </c>
      <c r="AX478" s="1183">
        <v>0</v>
      </c>
      <c r="AY478" s="1538">
        <v>2440</v>
      </c>
      <c r="AZ478" s="1183">
        <v>0</v>
      </c>
      <c r="BA478" s="1183">
        <v>0</v>
      </c>
      <c r="BB478" s="1540">
        <v>0</v>
      </c>
      <c r="BC478" s="1540">
        <v>2440</v>
      </c>
      <c r="BD478" s="1540">
        <v>0</v>
      </c>
      <c r="BF478" s="1539">
        <f t="shared" si="102"/>
        <v>2440</v>
      </c>
      <c r="BG478" s="1539">
        <f t="shared" si="103"/>
        <v>0</v>
      </c>
      <c r="BH478" s="1539">
        <f t="shared" si="104"/>
        <v>0</v>
      </c>
      <c r="BI478" s="1539">
        <f t="shared" si="105"/>
        <v>2440</v>
      </c>
      <c r="BJ478" s="1539">
        <f t="shared" si="106"/>
        <v>0</v>
      </c>
      <c r="BK478" s="1539">
        <f t="shared" si="107"/>
        <v>0</v>
      </c>
      <c r="BL478" s="1539">
        <f t="shared" si="108"/>
        <v>0</v>
      </c>
      <c r="BM478" s="1539">
        <f t="shared" si="109"/>
        <v>2440</v>
      </c>
      <c r="BO478" s="1183"/>
      <c r="BQ478" s="1182">
        <f t="shared" si="110"/>
        <v>0</v>
      </c>
      <c r="BR478" s="1182">
        <f t="shared" si="111"/>
        <v>0</v>
      </c>
    </row>
    <row r="479" spans="1:70" ht="13.5" customHeight="1">
      <c r="A479" s="1182" t="s">
        <v>1803</v>
      </c>
      <c r="B479" s="1182" t="s">
        <v>1804</v>
      </c>
      <c r="C479" s="1182" t="s">
        <v>1639</v>
      </c>
      <c r="D479" s="1182" t="s">
        <v>1907</v>
      </c>
      <c r="E479" s="1182" t="s">
        <v>1908</v>
      </c>
      <c r="F479" s="1182" t="s">
        <v>3265</v>
      </c>
      <c r="G479" s="1182" t="s">
        <v>3265</v>
      </c>
      <c r="H479" s="1182" t="s">
        <v>3291</v>
      </c>
      <c r="I479" s="1182" t="s">
        <v>1809</v>
      </c>
      <c r="J479" s="1182" t="s">
        <v>3292</v>
      </c>
      <c r="K479" s="1182" t="s">
        <v>1811</v>
      </c>
      <c r="L479" s="1182" t="s">
        <v>1812</v>
      </c>
      <c r="M479" s="1182" t="s">
        <v>1803</v>
      </c>
      <c r="N479" s="1182" t="s">
        <v>2922</v>
      </c>
      <c r="O479" s="1182" t="s">
        <v>1554</v>
      </c>
      <c r="P479" s="1182" t="s">
        <v>1563</v>
      </c>
      <c r="Q479" s="1182" t="s">
        <v>1562</v>
      </c>
      <c r="R479" s="1182" t="s">
        <v>1561</v>
      </c>
      <c r="S479" s="1182" t="s">
        <v>1639</v>
      </c>
      <c r="T479" s="1182" t="s">
        <v>1814</v>
      </c>
      <c r="U479" s="1182" t="s">
        <v>1815</v>
      </c>
      <c r="V479" s="1182">
        <v>0</v>
      </c>
      <c r="W479" s="1182">
        <v>0</v>
      </c>
      <c r="X479" s="1182">
        <v>0</v>
      </c>
      <c r="Y479" s="1183">
        <v>2450</v>
      </c>
      <c r="Z479" s="1182" t="s">
        <v>2923</v>
      </c>
      <c r="AA479" s="1182" t="s">
        <v>2924</v>
      </c>
      <c r="AB479" s="1182">
        <v>2450</v>
      </c>
      <c r="AC479" s="1182" t="s">
        <v>2925</v>
      </c>
      <c r="AD479" s="1182" t="s">
        <v>1561</v>
      </c>
      <c r="AE479" s="1182">
        <v>2450</v>
      </c>
      <c r="AF479" s="1182" t="s">
        <v>1943</v>
      </c>
      <c r="AG479" s="1182" t="s">
        <v>1944</v>
      </c>
      <c r="AH479" s="1182">
        <v>0</v>
      </c>
      <c r="AI479" s="1182">
        <v>2450</v>
      </c>
      <c r="AJ479" s="1182" t="s">
        <v>3293</v>
      </c>
      <c r="AL479" s="1186" t="s">
        <v>3294</v>
      </c>
      <c r="AM479" s="1182">
        <v>1</v>
      </c>
      <c r="AN479" s="1182">
        <v>0</v>
      </c>
      <c r="AO479" s="1182">
        <v>0</v>
      </c>
      <c r="AP479" s="1182">
        <v>0</v>
      </c>
      <c r="AQ479" s="1182" t="s">
        <v>1639</v>
      </c>
      <c r="AS479" s="1186" t="s">
        <v>1943</v>
      </c>
      <c r="AT479" s="1186" t="s">
        <v>1944</v>
      </c>
      <c r="AV479" s="1183">
        <v>2450</v>
      </c>
      <c r="AW479" s="1183">
        <v>0</v>
      </c>
      <c r="AX479" s="1183">
        <v>0</v>
      </c>
      <c r="AY479" s="1538">
        <v>2450</v>
      </c>
      <c r="AZ479" s="1183">
        <v>0</v>
      </c>
      <c r="BA479" s="1183">
        <v>0</v>
      </c>
      <c r="BB479" s="1540">
        <v>0</v>
      </c>
      <c r="BC479" s="1540">
        <v>2450</v>
      </c>
      <c r="BD479" s="1540">
        <v>0</v>
      </c>
      <c r="BF479" s="1539">
        <f t="shared" si="102"/>
        <v>2450</v>
      </c>
      <c r="BG479" s="1539">
        <f t="shared" si="103"/>
        <v>0</v>
      </c>
      <c r="BH479" s="1539">
        <f t="shared" si="104"/>
        <v>0</v>
      </c>
      <c r="BI479" s="1539">
        <f t="shared" si="105"/>
        <v>2450</v>
      </c>
      <c r="BJ479" s="1539">
        <f t="shared" si="106"/>
        <v>0</v>
      </c>
      <c r="BK479" s="1539">
        <f t="shared" si="107"/>
        <v>0</v>
      </c>
      <c r="BL479" s="1539">
        <f t="shared" si="108"/>
        <v>0</v>
      </c>
      <c r="BM479" s="1539">
        <f t="shared" si="109"/>
        <v>2450</v>
      </c>
      <c r="BO479" s="1183"/>
      <c r="BQ479" s="1182">
        <f t="shared" si="110"/>
        <v>0</v>
      </c>
      <c r="BR479" s="1182">
        <f t="shared" si="111"/>
        <v>0</v>
      </c>
    </row>
    <row r="480" spans="1:70" ht="13.5" customHeight="1">
      <c r="A480" s="1182" t="s">
        <v>1803</v>
      </c>
      <c r="B480" s="1182" t="s">
        <v>1804</v>
      </c>
      <c r="C480" s="1182" t="s">
        <v>1639</v>
      </c>
      <c r="D480" s="1182" t="s">
        <v>1907</v>
      </c>
      <c r="E480" s="1182" t="s">
        <v>1908</v>
      </c>
      <c r="F480" s="1182" t="s">
        <v>3265</v>
      </c>
      <c r="G480" s="1182" t="s">
        <v>3265</v>
      </c>
      <c r="H480" s="1182" t="s">
        <v>3295</v>
      </c>
      <c r="I480" s="1182" t="s">
        <v>1809</v>
      </c>
      <c r="J480" s="1182" t="s">
        <v>3296</v>
      </c>
      <c r="K480" s="1182" t="s">
        <v>1811</v>
      </c>
      <c r="L480" s="1182" t="s">
        <v>1812</v>
      </c>
      <c r="M480" s="1182" t="s">
        <v>1803</v>
      </c>
      <c r="N480" s="1182" t="s">
        <v>2922</v>
      </c>
      <c r="O480" s="1182" t="s">
        <v>1554</v>
      </c>
      <c r="P480" s="1182" t="s">
        <v>1563</v>
      </c>
      <c r="Q480" s="1182" t="s">
        <v>1562</v>
      </c>
      <c r="R480" s="1182" t="s">
        <v>1561</v>
      </c>
      <c r="S480" s="1182" t="s">
        <v>1639</v>
      </c>
      <c r="T480" s="1182" t="s">
        <v>1814</v>
      </c>
      <c r="U480" s="1182" t="s">
        <v>1815</v>
      </c>
      <c r="V480" s="1182">
        <v>0</v>
      </c>
      <c r="W480" s="1182">
        <v>0</v>
      </c>
      <c r="X480" s="1182">
        <v>0</v>
      </c>
      <c r="Y480" s="1183">
        <v>620</v>
      </c>
      <c r="Z480" s="1182" t="s">
        <v>2923</v>
      </c>
      <c r="AA480" s="1182" t="s">
        <v>2924</v>
      </c>
      <c r="AB480" s="1182">
        <v>620</v>
      </c>
      <c r="AC480" s="1182" t="s">
        <v>2925</v>
      </c>
      <c r="AD480" s="1182" t="s">
        <v>1561</v>
      </c>
      <c r="AE480" s="1182">
        <v>620</v>
      </c>
      <c r="AF480" s="1182" t="s">
        <v>1943</v>
      </c>
      <c r="AG480" s="1182" t="s">
        <v>1944</v>
      </c>
      <c r="AH480" s="1182">
        <v>0</v>
      </c>
      <c r="AI480" s="1182">
        <v>620</v>
      </c>
      <c r="AJ480" s="1182" t="s">
        <v>3297</v>
      </c>
      <c r="AL480" s="1186" t="s">
        <v>3298</v>
      </c>
      <c r="AM480" s="1182">
        <v>1</v>
      </c>
      <c r="AN480" s="1182">
        <v>0</v>
      </c>
      <c r="AO480" s="1182">
        <v>0</v>
      </c>
      <c r="AP480" s="1182">
        <v>0</v>
      </c>
      <c r="AQ480" s="1182" t="s">
        <v>1639</v>
      </c>
      <c r="AS480" s="1186" t="s">
        <v>1943</v>
      </c>
      <c r="AT480" s="1186" t="s">
        <v>1944</v>
      </c>
      <c r="AV480" s="1185">
        <v>620</v>
      </c>
      <c r="AW480" s="1185">
        <v>0</v>
      </c>
      <c r="AX480" s="1185">
        <v>0</v>
      </c>
      <c r="AY480" s="1539">
        <v>620</v>
      </c>
      <c r="AZ480" s="1185">
        <v>0</v>
      </c>
      <c r="BA480" s="1185">
        <v>0</v>
      </c>
      <c r="BB480" s="1540">
        <v>0</v>
      </c>
      <c r="BC480" s="1540">
        <v>620</v>
      </c>
      <c r="BD480" s="1540">
        <v>0</v>
      </c>
      <c r="BF480" s="1539">
        <f t="shared" si="102"/>
        <v>620</v>
      </c>
      <c r="BG480" s="1539">
        <f t="shared" si="103"/>
        <v>0</v>
      </c>
      <c r="BH480" s="1539">
        <f t="shared" si="104"/>
        <v>0</v>
      </c>
      <c r="BI480" s="1539">
        <f t="shared" si="105"/>
        <v>620</v>
      </c>
      <c r="BJ480" s="1539">
        <f t="shared" si="106"/>
        <v>0</v>
      </c>
      <c r="BK480" s="1539">
        <f t="shared" si="107"/>
        <v>0</v>
      </c>
      <c r="BL480" s="1539">
        <f t="shared" si="108"/>
        <v>0</v>
      </c>
      <c r="BM480" s="1539">
        <f t="shared" si="109"/>
        <v>620</v>
      </c>
      <c r="BO480" s="1183"/>
      <c r="BQ480" s="1182">
        <f t="shared" si="110"/>
        <v>0</v>
      </c>
      <c r="BR480" s="1182">
        <f t="shared" si="111"/>
        <v>0</v>
      </c>
    </row>
    <row r="481" spans="1:70" ht="13.5" customHeight="1">
      <c r="A481" s="1182" t="s">
        <v>1803</v>
      </c>
      <c r="B481" s="1182" t="s">
        <v>1804</v>
      </c>
      <c r="C481" s="1182" t="s">
        <v>1639</v>
      </c>
      <c r="D481" s="1182" t="s">
        <v>1907</v>
      </c>
      <c r="E481" s="1182" t="s">
        <v>1908</v>
      </c>
      <c r="F481" s="1182" t="s">
        <v>3110</v>
      </c>
      <c r="G481" s="1182" t="s">
        <v>3110</v>
      </c>
      <c r="H481" s="1182" t="s">
        <v>3299</v>
      </c>
      <c r="I481" s="1182" t="s">
        <v>1809</v>
      </c>
      <c r="J481" s="1182" t="s">
        <v>3300</v>
      </c>
      <c r="K481" s="1182" t="s">
        <v>1811</v>
      </c>
      <c r="L481" s="1182" t="s">
        <v>1812</v>
      </c>
      <c r="M481" s="1182" t="s">
        <v>1803</v>
      </c>
      <c r="N481" s="1182" t="s">
        <v>2922</v>
      </c>
      <c r="O481" s="1182" t="s">
        <v>1554</v>
      </c>
      <c r="P481" s="1182" t="s">
        <v>1563</v>
      </c>
      <c r="Q481" s="1182" t="s">
        <v>1562</v>
      </c>
      <c r="R481" s="1182" t="s">
        <v>1561</v>
      </c>
      <c r="S481" s="1182" t="s">
        <v>1639</v>
      </c>
      <c r="T481" s="1182" t="s">
        <v>1814</v>
      </c>
      <c r="U481" s="1182" t="s">
        <v>1815</v>
      </c>
      <c r="V481" s="1182">
        <v>0</v>
      </c>
      <c r="W481" s="1182">
        <v>0</v>
      </c>
      <c r="X481" s="1182">
        <v>0</v>
      </c>
      <c r="Y481" s="1183">
        <v>640</v>
      </c>
      <c r="Z481" s="1182" t="s">
        <v>2923</v>
      </c>
      <c r="AA481" s="1182" t="s">
        <v>2924</v>
      </c>
      <c r="AB481" s="1182">
        <v>640</v>
      </c>
      <c r="AC481" s="1182" t="s">
        <v>2925</v>
      </c>
      <c r="AD481" s="1182" t="s">
        <v>1561</v>
      </c>
      <c r="AE481" s="1182">
        <v>640</v>
      </c>
      <c r="AF481" s="1182" t="s">
        <v>1943</v>
      </c>
      <c r="AG481" s="1182" t="s">
        <v>1944</v>
      </c>
      <c r="AH481" s="1182">
        <v>0</v>
      </c>
      <c r="AI481" s="1182">
        <v>640</v>
      </c>
      <c r="AJ481" s="1182" t="s">
        <v>3271</v>
      </c>
      <c r="AL481" s="1186" t="s">
        <v>3301</v>
      </c>
      <c r="AM481" s="1182">
        <v>1</v>
      </c>
      <c r="AN481" s="1182">
        <v>0</v>
      </c>
      <c r="AO481" s="1182">
        <v>0</v>
      </c>
      <c r="AP481" s="1182">
        <v>0</v>
      </c>
      <c r="AQ481" s="1182" t="s">
        <v>1639</v>
      </c>
      <c r="AS481" s="1186" t="s">
        <v>1943</v>
      </c>
      <c r="AT481" s="1186" t="s">
        <v>1944</v>
      </c>
      <c r="AV481" s="1185">
        <v>640</v>
      </c>
      <c r="AW481" s="1185">
        <v>0</v>
      </c>
      <c r="AX481" s="1185">
        <v>0</v>
      </c>
      <c r="AY481" s="1539">
        <v>640</v>
      </c>
      <c r="AZ481" s="1185">
        <v>0</v>
      </c>
      <c r="BA481" s="1185">
        <v>0</v>
      </c>
      <c r="BB481" s="1540">
        <v>0</v>
      </c>
      <c r="BC481" s="1540">
        <v>640</v>
      </c>
      <c r="BD481" s="1540">
        <v>0</v>
      </c>
      <c r="BF481" s="1539">
        <f t="shared" si="102"/>
        <v>640</v>
      </c>
      <c r="BG481" s="1539">
        <f t="shared" si="103"/>
        <v>0</v>
      </c>
      <c r="BH481" s="1539">
        <f t="shared" si="104"/>
        <v>0</v>
      </c>
      <c r="BI481" s="1539">
        <f t="shared" si="105"/>
        <v>640</v>
      </c>
      <c r="BJ481" s="1539">
        <f t="shared" si="106"/>
        <v>0</v>
      </c>
      <c r="BK481" s="1539">
        <f t="shared" si="107"/>
        <v>0</v>
      </c>
      <c r="BL481" s="1539">
        <f t="shared" si="108"/>
        <v>0</v>
      </c>
      <c r="BM481" s="1539">
        <f t="shared" si="109"/>
        <v>640</v>
      </c>
      <c r="BO481" s="1183"/>
      <c r="BQ481" s="1182">
        <f t="shared" si="110"/>
        <v>0</v>
      </c>
      <c r="BR481" s="1182">
        <f t="shared" si="111"/>
        <v>0</v>
      </c>
    </row>
    <row r="482" spans="1:70" ht="13.5" customHeight="1">
      <c r="A482" s="1182" t="s">
        <v>1803</v>
      </c>
      <c r="B482" s="1182" t="s">
        <v>1804</v>
      </c>
      <c r="C482" s="1182" t="s">
        <v>1639</v>
      </c>
      <c r="D482" s="1182" t="s">
        <v>1907</v>
      </c>
      <c r="E482" s="1182" t="s">
        <v>1908</v>
      </c>
      <c r="F482" s="1182" t="s">
        <v>3265</v>
      </c>
      <c r="G482" s="1182" t="s">
        <v>3265</v>
      </c>
      <c r="H482" s="1182" t="s">
        <v>3302</v>
      </c>
      <c r="I482" s="1182" t="s">
        <v>1809</v>
      </c>
      <c r="J482" s="1182" t="s">
        <v>3303</v>
      </c>
      <c r="K482" s="1182" t="s">
        <v>1811</v>
      </c>
      <c r="L482" s="1182" t="s">
        <v>1812</v>
      </c>
      <c r="M482" s="1182" t="s">
        <v>1803</v>
      </c>
      <c r="N482" s="1182" t="s">
        <v>2922</v>
      </c>
      <c r="O482" s="1182" t="s">
        <v>1554</v>
      </c>
      <c r="P482" s="1182" t="s">
        <v>1563</v>
      </c>
      <c r="Q482" s="1182" t="s">
        <v>1562</v>
      </c>
      <c r="R482" s="1182" t="s">
        <v>1561</v>
      </c>
      <c r="S482" s="1182" t="s">
        <v>1639</v>
      </c>
      <c r="T482" s="1182" t="s">
        <v>1814</v>
      </c>
      <c r="U482" s="1182" t="s">
        <v>1815</v>
      </c>
      <c r="V482" s="1182">
        <v>0</v>
      </c>
      <c r="W482" s="1182">
        <v>0</v>
      </c>
      <c r="X482" s="1182">
        <v>0</v>
      </c>
      <c r="Y482" s="1183">
        <v>4680</v>
      </c>
      <c r="Z482" s="1182" t="s">
        <v>2923</v>
      </c>
      <c r="AA482" s="1182" t="s">
        <v>2924</v>
      </c>
      <c r="AB482" s="1182">
        <v>4680</v>
      </c>
      <c r="AC482" s="1182" t="s">
        <v>2925</v>
      </c>
      <c r="AD482" s="1182" t="s">
        <v>1561</v>
      </c>
      <c r="AE482" s="1182">
        <v>4680</v>
      </c>
      <c r="AF482" s="1182" t="s">
        <v>1943</v>
      </c>
      <c r="AG482" s="1182" t="s">
        <v>1944</v>
      </c>
      <c r="AH482" s="1182">
        <v>0</v>
      </c>
      <c r="AI482" s="1182">
        <v>4680</v>
      </c>
      <c r="AJ482" s="1182" t="s">
        <v>3304</v>
      </c>
      <c r="AL482" s="1186" t="s">
        <v>3305</v>
      </c>
      <c r="AM482" s="1182">
        <v>1</v>
      </c>
      <c r="AN482" s="1182">
        <v>0</v>
      </c>
      <c r="AO482" s="1182">
        <v>0</v>
      </c>
      <c r="AP482" s="1182">
        <v>0</v>
      </c>
      <c r="AQ482" s="1182" t="s">
        <v>1639</v>
      </c>
      <c r="AS482" s="1186" t="s">
        <v>1943</v>
      </c>
      <c r="AT482" s="1186" t="s">
        <v>1944</v>
      </c>
      <c r="AV482" s="1185">
        <v>4680</v>
      </c>
      <c r="AW482" s="1185">
        <v>0</v>
      </c>
      <c r="AX482" s="1185">
        <v>0</v>
      </c>
      <c r="AY482" s="1539">
        <v>4680</v>
      </c>
      <c r="AZ482" s="1185">
        <v>0</v>
      </c>
      <c r="BA482" s="1185">
        <v>0</v>
      </c>
      <c r="BB482" s="1540">
        <v>0</v>
      </c>
      <c r="BC482" s="1540">
        <v>4680</v>
      </c>
      <c r="BD482" s="1540">
        <v>0</v>
      </c>
      <c r="BF482" s="1539">
        <f t="shared" si="102"/>
        <v>4680</v>
      </c>
      <c r="BG482" s="1539">
        <f t="shared" si="103"/>
        <v>0</v>
      </c>
      <c r="BH482" s="1539">
        <f t="shared" si="104"/>
        <v>0</v>
      </c>
      <c r="BI482" s="1539">
        <f t="shared" si="105"/>
        <v>4680</v>
      </c>
      <c r="BJ482" s="1539">
        <f t="shared" si="106"/>
        <v>0</v>
      </c>
      <c r="BK482" s="1539">
        <f t="shared" si="107"/>
        <v>0</v>
      </c>
      <c r="BL482" s="1539">
        <f t="shared" si="108"/>
        <v>0</v>
      </c>
      <c r="BM482" s="1539">
        <f t="shared" si="109"/>
        <v>4680</v>
      </c>
      <c r="BO482" s="1183"/>
      <c r="BQ482" s="1182">
        <f t="shared" si="110"/>
        <v>0</v>
      </c>
      <c r="BR482" s="1182">
        <f t="shared" si="111"/>
        <v>0</v>
      </c>
    </row>
    <row r="483" spans="1:70" ht="13.5" customHeight="1">
      <c r="A483" s="1182" t="s">
        <v>1803</v>
      </c>
      <c r="B483" s="1182" t="s">
        <v>1804</v>
      </c>
      <c r="C483" s="1182" t="s">
        <v>1639</v>
      </c>
      <c r="D483" s="1182" t="s">
        <v>1907</v>
      </c>
      <c r="E483" s="1182" t="s">
        <v>1908</v>
      </c>
      <c r="F483" s="1182" t="s">
        <v>2691</v>
      </c>
      <c r="G483" s="1182" t="s">
        <v>2691</v>
      </c>
      <c r="H483" s="1182" t="s">
        <v>3306</v>
      </c>
      <c r="I483" s="1182" t="s">
        <v>1809</v>
      </c>
      <c r="J483" s="1182" t="s">
        <v>3307</v>
      </c>
      <c r="K483" s="1182" t="s">
        <v>1811</v>
      </c>
      <c r="L483" s="1182" t="s">
        <v>1812</v>
      </c>
      <c r="M483" s="1182" t="s">
        <v>1803</v>
      </c>
      <c r="N483" s="1182" t="s">
        <v>2922</v>
      </c>
      <c r="O483" s="1182" t="s">
        <v>1554</v>
      </c>
      <c r="P483" s="1182" t="s">
        <v>1563</v>
      </c>
      <c r="Q483" s="1182" t="s">
        <v>1562</v>
      </c>
      <c r="R483" s="1182" t="s">
        <v>1561</v>
      </c>
      <c r="S483" s="1182" t="s">
        <v>1639</v>
      </c>
      <c r="T483" s="1182" t="s">
        <v>1814</v>
      </c>
      <c r="U483" s="1182" t="s">
        <v>1815</v>
      </c>
      <c r="V483" s="1182">
        <v>0</v>
      </c>
      <c r="W483" s="1182">
        <v>0</v>
      </c>
      <c r="X483" s="1182">
        <v>0</v>
      </c>
      <c r="Y483" s="1183">
        <v>14880</v>
      </c>
      <c r="Z483" s="1182" t="s">
        <v>2923</v>
      </c>
      <c r="AA483" s="1182" t="s">
        <v>2924</v>
      </c>
      <c r="AB483" s="1182">
        <v>14880</v>
      </c>
      <c r="AC483" s="1182" t="s">
        <v>2925</v>
      </c>
      <c r="AD483" s="1182" t="s">
        <v>1561</v>
      </c>
      <c r="AE483" s="1182">
        <v>14880</v>
      </c>
      <c r="AF483" s="1182" t="s">
        <v>1943</v>
      </c>
      <c r="AG483" s="1182" t="s">
        <v>1944</v>
      </c>
      <c r="AH483" s="1182">
        <v>0</v>
      </c>
      <c r="AI483" s="1182">
        <v>14880</v>
      </c>
      <c r="AJ483" s="1182" t="s">
        <v>3308</v>
      </c>
      <c r="AL483" s="1186" t="s">
        <v>3309</v>
      </c>
      <c r="AM483" s="1182">
        <v>1</v>
      </c>
      <c r="AN483" s="1182">
        <v>0</v>
      </c>
      <c r="AO483" s="1182">
        <v>0</v>
      </c>
      <c r="AP483" s="1182">
        <v>0</v>
      </c>
      <c r="AQ483" s="1182" t="s">
        <v>1639</v>
      </c>
      <c r="AS483" s="1186" t="s">
        <v>1943</v>
      </c>
      <c r="AT483" s="1186" t="s">
        <v>1944</v>
      </c>
      <c r="AV483" s="1183">
        <v>14880</v>
      </c>
      <c r="AW483" s="1183">
        <v>0</v>
      </c>
      <c r="AX483" s="1183">
        <v>0</v>
      </c>
      <c r="AY483" s="1538">
        <v>14880</v>
      </c>
      <c r="AZ483" s="1183">
        <v>0</v>
      </c>
      <c r="BA483" s="1183">
        <v>0</v>
      </c>
      <c r="BB483" s="1540">
        <v>0</v>
      </c>
      <c r="BC483" s="1540">
        <v>14880</v>
      </c>
      <c r="BD483" s="1540">
        <v>0</v>
      </c>
      <c r="BF483" s="1539">
        <f t="shared" si="102"/>
        <v>14880</v>
      </c>
      <c r="BG483" s="1539">
        <f t="shared" si="103"/>
        <v>0</v>
      </c>
      <c r="BH483" s="1539">
        <f t="shared" si="104"/>
        <v>0</v>
      </c>
      <c r="BI483" s="1539">
        <f t="shared" si="105"/>
        <v>14880</v>
      </c>
      <c r="BJ483" s="1539">
        <f t="shared" si="106"/>
        <v>0</v>
      </c>
      <c r="BK483" s="1539">
        <f t="shared" si="107"/>
        <v>0</v>
      </c>
      <c r="BL483" s="1539">
        <f t="shared" si="108"/>
        <v>0</v>
      </c>
      <c r="BM483" s="1539">
        <f t="shared" si="109"/>
        <v>14880</v>
      </c>
      <c r="BO483" s="1183"/>
      <c r="BQ483" s="1182">
        <f t="shared" si="110"/>
        <v>0</v>
      </c>
      <c r="BR483" s="1182">
        <f t="shared" si="111"/>
        <v>0</v>
      </c>
    </row>
    <row r="484" spans="1:70" ht="13.5" customHeight="1">
      <c r="A484" s="1182" t="s">
        <v>1803</v>
      </c>
      <c r="B484" s="1182" t="s">
        <v>1804</v>
      </c>
      <c r="C484" s="1182" t="s">
        <v>1639</v>
      </c>
      <c r="D484" s="1182" t="s">
        <v>1907</v>
      </c>
      <c r="E484" s="1182" t="s">
        <v>1908</v>
      </c>
      <c r="F484" s="1182" t="s">
        <v>2691</v>
      </c>
      <c r="G484" s="1182" t="s">
        <v>2691</v>
      </c>
      <c r="H484" s="1182" t="s">
        <v>3310</v>
      </c>
      <c r="I484" s="1182" t="s">
        <v>1809</v>
      </c>
      <c r="J484" s="1182" t="s">
        <v>3311</v>
      </c>
      <c r="K484" s="1182" t="s">
        <v>1811</v>
      </c>
      <c r="L484" s="1182" t="s">
        <v>1812</v>
      </c>
      <c r="M484" s="1182" t="s">
        <v>1803</v>
      </c>
      <c r="N484" s="1182" t="s">
        <v>2922</v>
      </c>
      <c r="O484" s="1182" t="s">
        <v>1554</v>
      </c>
      <c r="P484" s="1182" t="s">
        <v>1563</v>
      </c>
      <c r="Q484" s="1182" t="s">
        <v>1562</v>
      </c>
      <c r="R484" s="1182" t="s">
        <v>1561</v>
      </c>
      <c r="S484" s="1182" t="s">
        <v>1639</v>
      </c>
      <c r="T484" s="1182" t="s">
        <v>1814</v>
      </c>
      <c r="U484" s="1182" t="s">
        <v>1815</v>
      </c>
      <c r="V484" s="1182">
        <v>0</v>
      </c>
      <c r="W484" s="1182">
        <v>0</v>
      </c>
      <c r="X484" s="1182">
        <v>0</v>
      </c>
      <c r="Y484" s="1183">
        <v>12972</v>
      </c>
      <c r="Z484" s="1182" t="s">
        <v>2923</v>
      </c>
      <c r="AA484" s="1182" t="s">
        <v>2924</v>
      </c>
      <c r="AB484" s="1182">
        <v>12972</v>
      </c>
      <c r="AC484" s="1182" t="s">
        <v>2925</v>
      </c>
      <c r="AD484" s="1182" t="s">
        <v>1561</v>
      </c>
      <c r="AE484" s="1182">
        <v>12972</v>
      </c>
      <c r="AF484" s="1182" t="s">
        <v>1943</v>
      </c>
      <c r="AG484" s="1182" t="s">
        <v>1944</v>
      </c>
      <c r="AH484" s="1182">
        <v>0</v>
      </c>
      <c r="AI484" s="1182">
        <v>12972</v>
      </c>
      <c r="AJ484" s="1182" t="s">
        <v>3312</v>
      </c>
      <c r="AL484" s="1186" t="s">
        <v>3313</v>
      </c>
      <c r="AM484" s="1182">
        <v>1</v>
      </c>
      <c r="AN484" s="1182">
        <v>0</v>
      </c>
      <c r="AO484" s="1182">
        <v>0</v>
      </c>
      <c r="AP484" s="1182">
        <v>0</v>
      </c>
      <c r="AQ484" s="1182" t="s">
        <v>1639</v>
      </c>
      <c r="AS484" s="1186" t="s">
        <v>1943</v>
      </c>
      <c r="AT484" s="1186" t="s">
        <v>1944</v>
      </c>
      <c r="AV484" s="1183">
        <v>12972</v>
      </c>
      <c r="AW484" s="1183">
        <v>0</v>
      </c>
      <c r="AX484" s="1183">
        <v>0</v>
      </c>
      <c r="AY484" s="1538">
        <v>12972</v>
      </c>
      <c r="AZ484" s="1183">
        <v>0</v>
      </c>
      <c r="BA484" s="1183">
        <v>0</v>
      </c>
      <c r="BB484" s="1540">
        <v>0</v>
      </c>
      <c r="BC484" s="1540">
        <v>12972</v>
      </c>
      <c r="BD484" s="1540">
        <v>0</v>
      </c>
      <c r="BF484" s="1539">
        <f t="shared" si="102"/>
        <v>12972</v>
      </c>
      <c r="BG484" s="1539">
        <f t="shared" si="103"/>
        <v>0</v>
      </c>
      <c r="BH484" s="1539">
        <f t="shared" si="104"/>
        <v>0</v>
      </c>
      <c r="BI484" s="1539">
        <f t="shared" si="105"/>
        <v>12972</v>
      </c>
      <c r="BJ484" s="1539">
        <f t="shared" si="106"/>
        <v>0</v>
      </c>
      <c r="BK484" s="1539">
        <f t="shared" si="107"/>
        <v>0</v>
      </c>
      <c r="BL484" s="1539">
        <f t="shared" si="108"/>
        <v>0</v>
      </c>
      <c r="BM484" s="1539">
        <f t="shared" si="109"/>
        <v>12972</v>
      </c>
      <c r="BO484" s="1183"/>
      <c r="BQ484" s="1182">
        <f t="shared" si="110"/>
        <v>0</v>
      </c>
      <c r="BR484" s="1182">
        <f t="shared" si="111"/>
        <v>0</v>
      </c>
    </row>
    <row r="485" spans="1:70" ht="13.5" customHeight="1">
      <c r="A485" s="1182" t="s">
        <v>1803</v>
      </c>
      <c r="B485" s="1182" t="s">
        <v>1804</v>
      </c>
      <c r="C485" s="1182" t="s">
        <v>1639</v>
      </c>
      <c r="D485" s="1182" t="s">
        <v>1907</v>
      </c>
      <c r="E485" s="1182" t="s">
        <v>1908</v>
      </c>
      <c r="F485" s="1182" t="s">
        <v>2691</v>
      </c>
      <c r="G485" s="1182" t="s">
        <v>2691</v>
      </c>
      <c r="H485" s="1182" t="s">
        <v>3314</v>
      </c>
      <c r="I485" s="1182" t="s">
        <v>1809</v>
      </c>
      <c r="J485" s="1182" t="s">
        <v>3315</v>
      </c>
      <c r="K485" s="1182" t="s">
        <v>1811</v>
      </c>
      <c r="L485" s="1182" t="s">
        <v>1812</v>
      </c>
      <c r="M485" s="1182" t="s">
        <v>1803</v>
      </c>
      <c r="N485" s="1182" t="s">
        <v>2922</v>
      </c>
      <c r="O485" s="1182" t="s">
        <v>1554</v>
      </c>
      <c r="P485" s="1182" t="s">
        <v>1563</v>
      </c>
      <c r="Q485" s="1182" t="s">
        <v>1562</v>
      </c>
      <c r="R485" s="1182" t="s">
        <v>1561</v>
      </c>
      <c r="S485" s="1182" t="s">
        <v>1639</v>
      </c>
      <c r="T485" s="1182" t="s">
        <v>1814</v>
      </c>
      <c r="U485" s="1182" t="s">
        <v>1815</v>
      </c>
      <c r="V485" s="1182">
        <v>0</v>
      </c>
      <c r="W485" s="1182">
        <v>0</v>
      </c>
      <c r="X485" s="1182">
        <v>0</v>
      </c>
      <c r="Y485" s="1183">
        <v>10210</v>
      </c>
      <c r="Z485" s="1182" t="s">
        <v>2923</v>
      </c>
      <c r="AA485" s="1182" t="s">
        <v>2924</v>
      </c>
      <c r="AB485" s="1182">
        <v>10210</v>
      </c>
      <c r="AC485" s="1182" t="s">
        <v>2925</v>
      </c>
      <c r="AD485" s="1182" t="s">
        <v>1561</v>
      </c>
      <c r="AE485" s="1182">
        <v>10210</v>
      </c>
      <c r="AF485" s="1182" t="s">
        <v>1943</v>
      </c>
      <c r="AG485" s="1182" t="s">
        <v>1944</v>
      </c>
      <c r="AH485" s="1182">
        <v>0</v>
      </c>
      <c r="AI485" s="1182">
        <v>10210</v>
      </c>
      <c r="AJ485" s="1182" t="s">
        <v>3316</v>
      </c>
      <c r="AL485" s="1186" t="s">
        <v>3317</v>
      </c>
      <c r="AM485" s="1182">
        <v>1</v>
      </c>
      <c r="AN485" s="1182">
        <v>0</v>
      </c>
      <c r="AO485" s="1182">
        <v>0</v>
      </c>
      <c r="AP485" s="1182">
        <v>0</v>
      </c>
      <c r="AQ485" s="1182" t="s">
        <v>1639</v>
      </c>
      <c r="AS485" s="1186" t="s">
        <v>1943</v>
      </c>
      <c r="AT485" s="1186" t="s">
        <v>1944</v>
      </c>
      <c r="AV485" s="1183">
        <v>10210</v>
      </c>
      <c r="AW485" s="1183">
        <v>0</v>
      </c>
      <c r="AX485" s="1183">
        <v>0</v>
      </c>
      <c r="AY485" s="1538">
        <v>10210</v>
      </c>
      <c r="AZ485" s="1183">
        <v>0</v>
      </c>
      <c r="BA485" s="1183">
        <v>0</v>
      </c>
      <c r="BB485" s="1540">
        <v>0</v>
      </c>
      <c r="BC485" s="1540">
        <v>10210</v>
      </c>
      <c r="BD485" s="1540">
        <v>0</v>
      </c>
      <c r="BF485" s="1539">
        <f t="shared" si="102"/>
        <v>10210</v>
      </c>
      <c r="BG485" s="1539">
        <f t="shared" si="103"/>
        <v>0</v>
      </c>
      <c r="BH485" s="1539">
        <f t="shared" si="104"/>
        <v>0</v>
      </c>
      <c r="BI485" s="1539">
        <f t="shared" si="105"/>
        <v>10210</v>
      </c>
      <c r="BJ485" s="1539">
        <f t="shared" si="106"/>
        <v>0</v>
      </c>
      <c r="BK485" s="1539">
        <f t="shared" si="107"/>
        <v>0</v>
      </c>
      <c r="BL485" s="1539">
        <f t="shared" si="108"/>
        <v>0</v>
      </c>
      <c r="BM485" s="1539">
        <f t="shared" si="109"/>
        <v>10210</v>
      </c>
      <c r="BO485" s="1183"/>
      <c r="BQ485" s="1182">
        <f t="shared" si="110"/>
        <v>0</v>
      </c>
      <c r="BR485" s="1182">
        <f t="shared" si="111"/>
        <v>0</v>
      </c>
    </row>
    <row r="486" spans="1:70" ht="13.5" customHeight="1">
      <c r="A486" s="1182" t="s">
        <v>1803</v>
      </c>
      <c r="B486" s="1182" t="s">
        <v>1804</v>
      </c>
      <c r="C486" s="1182" t="s">
        <v>1639</v>
      </c>
      <c r="D486" s="1182" t="s">
        <v>1907</v>
      </c>
      <c r="E486" s="1182" t="s">
        <v>1908</v>
      </c>
      <c r="F486" s="1182" t="s">
        <v>3265</v>
      </c>
      <c r="G486" s="1182" t="s">
        <v>3265</v>
      </c>
      <c r="H486" s="1182" t="s">
        <v>3318</v>
      </c>
      <c r="I486" s="1182" t="s">
        <v>1809</v>
      </c>
      <c r="J486" s="1182" t="s">
        <v>3319</v>
      </c>
      <c r="K486" s="1182" t="s">
        <v>1811</v>
      </c>
      <c r="L486" s="1182" t="s">
        <v>1812</v>
      </c>
      <c r="M486" s="1182" t="s">
        <v>1803</v>
      </c>
      <c r="N486" s="1182" t="s">
        <v>2922</v>
      </c>
      <c r="O486" s="1182" t="s">
        <v>1554</v>
      </c>
      <c r="P486" s="1182" t="s">
        <v>1563</v>
      </c>
      <c r="Q486" s="1182" t="s">
        <v>1562</v>
      </c>
      <c r="R486" s="1182" t="s">
        <v>1561</v>
      </c>
      <c r="S486" s="1182" t="s">
        <v>1639</v>
      </c>
      <c r="T486" s="1182" t="s">
        <v>1814</v>
      </c>
      <c r="U486" s="1182" t="s">
        <v>1815</v>
      </c>
      <c r="V486" s="1182">
        <v>0</v>
      </c>
      <c r="W486" s="1182">
        <v>0</v>
      </c>
      <c r="X486" s="1182">
        <v>0</v>
      </c>
      <c r="Y486" s="1183">
        <v>18800</v>
      </c>
      <c r="Z486" s="1182" t="s">
        <v>2923</v>
      </c>
      <c r="AA486" s="1182" t="s">
        <v>2924</v>
      </c>
      <c r="AB486" s="1182">
        <v>18800</v>
      </c>
      <c r="AC486" s="1182" t="s">
        <v>2925</v>
      </c>
      <c r="AD486" s="1182" t="s">
        <v>1561</v>
      </c>
      <c r="AE486" s="1182">
        <v>18800</v>
      </c>
      <c r="AF486" s="1182" t="s">
        <v>1943</v>
      </c>
      <c r="AG486" s="1182" t="s">
        <v>1944</v>
      </c>
      <c r="AH486" s="1182">
        <v>0</v>
      </c>
      <c r="AI486" s="1182">
        <v>18800</v>
      </c>
      <c r="AJ486" s="1182" t="s">
        <v>3320</v>
      </c>
      <c r="AL486" s="1186" t="s">
        <v>3321</v>
      </c>
      <c r="AM486" s="1182">
        <v>1</v>
      </c>
      <c r="AN486" s="1182">
        <v>0</v>
      </c>
      <c r="AO486" s="1182">
        <v>0</v>
      </c>
      <c r="AP486" s="1182">
        <v>0</v>
      </c>
      <c r="AQ486" s="1182" t="s">
        <v>1639</v>
      </c>
      <c r="AS486" s="1186" t="s">
        <v>1943</v>
      </c>
      <c r="AT486" s="1186" t="s">
        <v>1944</v>
      </c>
      <c r="AV486" s="1183">
        <v>18800</v>
      </c>
      <c r="AW486" s="1183">
        <v>0</v>
      </c>
      <c r="AX486" s="1183">
        <v>0</v>
      </c>
      <c r="AY486" s="1538">
        <v>18800</v>
      </c>
      <c r="AZ486" s="1183">
        <v>0</v>
      </c>
      <c r="BA486" s="1183">
        <v>0</v>
      </c>
      <c r="BB486" s="1540">
        <v>0</v>
      </c>
      <c r="BC486" s="1540">
        <v>18800</v>
      </c>
      <c r="BD486" s="1540">
        <v>0</v>
      </c>
      <c r="BF486" s="1539">
        <f t="shared" si="102"/>
        <v>18800</v>
      </c>
      <c r="BG486" s="1539">
        <f t="shared" si="103"/>
        <v>0</v>
      </c>
      <c r="BH486" s="1539">
        <f t="shared" si="104"/>
        <v>0</v>
      </c>
      <c r="BI486" s="1539">
        <f t="shared" si="105"/>
        <v>18800</v>
      </c>
      <c r="BJ486" s="1539">
        <f t="shared" si="106"/>
        <v>0</v>
      </c>
      <c r="BK486" s="1539">
        <f t="shared" si="107"/>
        <v>0</v>
      </c>
      <c r="BL486" s="1539">
        <f t="shared" si="108"/>
        <v>0</v>
      </c>
      <c r="BM486" s="1539">
        <f t="shared" si="109"/>
        <v>18800</v>
      </c>
      <c r="BO486" s="1183"/>
      <c r="BQ486" s="1182">
        <f t="shared" si="110"/>
        <v>0</v>
      </c>
      <c r="BR486" s="1182">
        <f t="shared" si="111"/>
        <v>0</v>
      </c>
    </row>
    <row r="487" spans="1:70" ht="13.5" customHeight="1">
      <c r="A487" s="1182" t="s">
        <v>1803</v>
      </c>
      <c r="B487" s="1182" t="s">
        <v>1804</v>
      </c>
      <c r="C487" s="1182" t="s">
        <v>1639</v>
      </c>
      <c r="D487" s="1182" t="s">
        <v>1907</v>
      </c>
      <c r="E487" s="1182" t="s">
        <v>1908</v>
      </c>
      <c r="F487" s="1182" t="s">
        <v>3265</v>
      </c>
      <c r="G487" s="1182" t="s">
        <v>3265</v>
      </c>
      <c r="H487" s="1182" t="s">
        <v>3322</v>
      </c>
      <c r="I487" s="1182" t="s">
        <v>1809</v>
      </c>
      <c r="J487" s="1182" t="s">
        <v>3323</v>
      </c>
      <c r="K487" s="1182" t="s">
        <v>1811</v>
      </c>
      <c r="L487" s="1182" t="s">
        <v>1812</v>
      </c>
      <c r="M487" s="1182" t="s">
        <v>1803</v>
      </c>
      <c r="N487" s="1182" t="s">
        <v>2922</v>
      </c>
      <c r="O487" s="1182" t="s">
        <v>1554</v>
      </c>
      <c r="P487" s="1182" t="s">
        <v>1563</v>
      </c>
      <c r="Q487" s="1182" t="s">
        <v>1562</v>
      </c>
      <c r="R487" s="1182" t="s">
        <v>1561</v>
      </c>
      <c r="S487" s="1182" t="s">
        <v>1639</v>
      </c>
      <c r="T487" s="1182" t="s">
        <v>1814</v>
      </c>
      <c r="U487" s="1182" t="s">
        <v>1815</v>
      </c>
      <c r="V487" s="1182">
        <v>0</v>
      </c>
      <c r="W487" s="1182">
        <v>0</v>
      </c>
      <c r="X487" s="1182">
        <v>0</v>
      </c>
      <c r="Y487" s="1183">
        <v>5920</v>
      </c>
      <c r="Z487" s="1182" t="s">
        <v>2923</v>
      </c>
      <c r="AA487" s="1182" t="s">
        <v>2924</v>
      </c>
      <c r="AB487" s="1182">
        <v>5920</v>
      </c>
      <c r="AC487" s="1182" t="s">
        <v>2925</v>
      </c>
      <c r="AD487" s="1182" t="s">
        <v>1561</v>
      </c>
      <c r="AE487" s="1182">
        <v>5920</v>
      </c>
      <c r="AF487" s="1182" t="s">
        <v>1943</v>
      </c>
      <c r="AG487" s="1182" t="s">
        <v>1944</v>
      </c>
      <c r="AH487" s="1182">
        <v>0</v>
      </c>
      <c r="AI487" s="1182">
        <v>5920</v>
      </c>
      <c r="AJ487" s="1182" t="s">
        <v>3324</v>
      </c>
      <c r="AL487" s="1186" t="s">
        <v>3325</v>
      </c>
      <c r="AM487" s="1182">
        <v>1</v>
      </c>
      <c r="AN487" s="1182">
        <v>0</v>
      </c>
      <c r="AO487" s="1182">
        <v>0</v>
      </c>
      <c r="AP487" s="1182">
        <v>0</v>
      </c>
      <c r="AQ487" s="1182" t="s">
        <v>1639</v>
      </c>
      <c r="AS487" s="1186" t="s">
        <v>1943</v>
      </c>
      <c r="AT487" s="1186" t="s">
        <v>1944</v>
      </c>
      <c r="AV487" s="1183">
        <v>5920</v>
      </c>
      <c r="AW487" s="1183">
        <v>0</v>
      </c>
      <c r="AX487" s="1183">
        <v>0</v>
      </c>
      <c r="AY487" s="1538">
        <v>5920</v>
      </c>
      <c r="AZ487" s="1183">
        <v>0</v>
      </c>
      <c r="BA487" s="1183">
        <v>0</v>
      </c>
      <c r="BB487" s="1540">
        <v>0</v>
      </c>
      <c r="BC487" s="1540">
        <v>5920</v>
      </c>
      <c r="BD487" s="1540">
        <v>0</v>
      </c>
      <c r="BF487" s="1539">
        <f t="shared" si="102"/>
        <v>5920</v>
      </c>
      <c r="BG487" s="1539">
        <f t="shared" si="103"/>
        <v>0</v>
      </c>
      <c r="BH487" s="1539">
        <f t="shared" si="104"/>
        <v>0</v>
      </c>
      <c r="BI487" s="1539">
        <f t="shared" si="105"/>
        <v>5920</v>
      </c>
      <c r="BJ487" s="1539">
        <f t="shared" si="106"/>
        <v>0</v>
      </c>
      <c r="BK487" s="1539">
        <f t="shared" si="107"/>
        <v>0</v>
      </c>
      <c r="BL487" s="1539">
        <f t="shared" si="108"/>
        <v>0</v>
      </c>
      <c r="BM487" s="1539">
        <f t="shared" si="109"/>
        <v>5920</v>
      </c>
      <c r="BO487" s="1183"/>
      <c r="BQ487" s="1182">
        <f t="shared" si="110"/>
        <v>0</v>
      </c>
      <c r="BR487" s="1182">
        <f t="shared" si="111"/>
        <v>0</v>
      </c>
    </row>
    <row r="488" spans="1:70" ht="13.5" customHeight="1">
      <c r="A488" s="1182" t="s">
        <v>1803</v>
      </c>
      <c r="B488" s="1182" t="s">
        <v>1804</v>
      </c>
      <c r="C488" s="1182" t="s">
        <v>1639</v>
      </c>
      <c r="D488" s="1182" t="s">
        <v>1907</v>
      </c>
      <c r="E488" s="1182" t="s">
        <v>1908</v>
      </c>
      <c r="F488" s="1182" t="s">
        <v>2180</v>
      </c>
      <c r="G488" s="1182" t="s">
        <v>2180</v>
      </c>
      <c r="H488" s="1182" t="s">
        <v>3326</v>
      </c>
      <c r="I488" s="1182" t="s">
        <v>1809</v>
      </c>
      <c r="J488" s="1182" t="s">
        <v>3327</v>
      </c>
      <c r="K488" s="1182" t="s">
        <v>1811</v>
      </c>
      <c r="L488" s="1182" t="s">
        <v>1812</v>
      </c>
      <c r="M488" s="1182" t="s">
        <v>1803</v>
      </c>
      <c r="N488" s="1182" t="s">
        <v>2922</v>
      </c>
      <c r="O488" s="1182" t="s">
        <v>1554</v>
      </c>
      <c r="P488" s="1182" t="s">
        <v>1563</v>
      </c>
      <c r="Q488" s="1182" t="s">
        <v>1562</v>
      </c>
      <c r="R488" s="1182" t="s">
        <v>1561</v>
      </c>
      <c r="S488" s="1182" t="s">
        <v>1639</v>
      </c>
      <c r="T488" s="1182" t="s">
        <v>1814</v>
      </c>
      <c r="U488" s="1182" t="s">
        <v>1815</v>
      </c>
      <c r="V488" s="1182">
        <v>0</v>
      </c>
      <c r="W488" s="1182">
        <v>0</v>
      </c>
      <c r="X488" s="1182">
        <v>0</v>
      </c>
      <c r="Y488" s="1183">
        <v>3366</v>
      </c>
      <c r="Z488" s="1182" t="s">
        <v>2923</v>
      </c>
      <c r="AA488" s="1182" t="s">
        <v>2924</v>
      </c>
      <c r="AB488" s="1182">
        <v>3366</v>
      </c>
      <c r="AC488" s="1182" t="s">
        <v>2925</v>
      </c>
      <c r="AD488" s="1182" t="s">
        <v>1561</v>
      </c>
      <c r="AE488" s="1182">
        <v>3366</v>
      </c>
      <c r="AF488" s="1182" t="s">
        <v>1943</v>
      </c>
      <c r="AG488" s="1182" t="s">
        <v>1944</v>
      </c>
      <c r="AH488" s="1182">
        <v>0</v>
      </c>
      <c r="AI488" s="1182">
        <v>3366</v>
      </c>
      <c r="AJ488" s="1182" t="s">
        <v>3328</v>
      </c>
      <c r="AL488" s="1186" t="s">
        <v>3329</v>
      </c>
      <c r="AM488" s="1182">
        <v>1</v>
      </c>
      <c r="AN488" s="1182">
        <v>0</v>
      </c>
      <c r="AO488" s="1182">
        <v>0</v>
      </c>
      <c r="AP488" s="1182">
        <v>0</v>
      </c>
      <c r="AQ488" s="1182" t="s">
        <v>1639</v>
      </c>
      <c r="AS488" s="1186" t="s">
        <v>1943</v>
      </c>
      <c r="AT488" s="1186" t="s">
        <v>1944</v>
      </c>
      <c r="AV488" s="1183">
        <v>3366</v>
      </c>
      <c r="AW488" s="1183">
        <v>0</v>
      </c>
      <c r="AX488" s="1183">
        <v>0</v>
      </c>
      <c r="AY488" s="1538">
        <v>3366</v>
      </c>
      <c r="AZ488" s="1183">
        <v>0</v>
      </c>
      <c r="BA488" s="1183">
        <v>0</v>
      </c>
      <c r="BB488" s="1540">
        <v>0</v>
      </c>
      <c r="BC488" s="1540">
        <v>3366</v>
      </c>
      <c r="BD488" s="1540">
        <v>0</v>
      </c>
      <c r="BF488" s="1539">
        <f t="shared" si="102"/>
        <v>3366</v>
      </c>
      <c r="BG488" s="1539">
        <f t="shared" si="103"/>
        <v>0</v>
      </c>
      <c r="BH488" s="1539">
        <f t="shared" si="104"/>
        <v>0</v>
      </c>
      <c r="BI488" s="1539">
        <f t="shared" si="105"/>
        <v>3366</v>
      </c>
      <c r="BJ488" s="1539">
        <f t="shared" si="106"/>
        <v>0</v>
      </c>
      <c r="BK488" s="1539">
        <f t="shared" si="107"/>
        <v>0</v>
      </c>
      <c r="BL488" s="1539">
        <f t="shared" si="108"/>
        <v>0</v>
      </c>
      <c r="BM488" s="1539">
        <f t="shared" si="109"/>
        <v>3366</v>
      </c>
      <c r="BO488" s="1183"/>
      <c r="BQ488" s="1182">
        <f t="shared" si="110"/>
        <v>0</v>
      </c>
      <c r="BR488" s="1182">
        <f t="shared" si="111"/>
        <v>0</v>
      </c>
    </row>
    <row r="489" spans="1:70" ht="13.5" customHeight="1">
      <c r="A489" s="1182" t="s">
        <v>1803</v>
      </c>
      <c r="B489" s="1182" t="s">
        <v>1804</v>
      </c>
      <c r="C489" s="1182" t="s">
        <v>1639</v>
      </c>
      <c r="D489" s="1182" t="s">
        <v>1907</v>
      </c>
      <c r="E489" s="1182" t="s">
        <v>1908</v>
      </c>
      <c r="F489" s="1182" t="s">
        <v>3265</v>
      </c>
      <c r="G489" s="1182" t="s">
        <v>3265</v>
      </c>
      <c r="H489" s="1182" t="s">
        <v>3330</v>
      </c>
      <c r="I489" s="1182" t="s">
        <v>1809</v>
      </c>
      <c r="J489" s="1182" t="s">
        <v>3331</v>
      </c>
      <c r="K489" s="1182" t="s">
        <v>1811</v>
      </c>
      <c r="L489" s="1182" t="s">
        <v>1812</v>
      </c>
      <c r="M489" s="1182" t="s">
        <v>1803</v>
      </c>
      <c r="N489" s="1182" t="s">
        <v>2922</v>
      </c>
      <c r="O489" s="1182" t="s">
        <v>1554</v>
      </c>
      <c r="P489" s="1182" t="s">
        <v>1563</v>
      </c>
      <c r="Q489" s="1182" t="s">
        <v>1562</v>
      </c>
      <c r="R489" s="1182" t="s">
        <v>1561</v>
      </c>
      <c r="S489" s="1182" t="s">
        <v>1639</v>
      </c>
      <c r="T489" s="1182" t="s">
        <v>1814</v>
      </c>
      <c r="U489" s="1182" t="s">
        <v>1815</v>
      </c>
      <c r="V489" s="1182">
        <v>0</v>
      </c>
      <c r="W489" s="1182">
        <v>0</v>
      </c>
      <c r="X489" s="1182">
        <v>0</v>
      </c>
      <c r="Y489" s="1183">
        <v>22</v>
      </c>
      <c r="Z489" s="1182" t="s">
        <v>2923</v>
      </c>
      <c r="AA489" s="1182" t="s">
        <v>2924</v>
      </c>
      <c r="AB489" s="1182">
        <v>22</v>
      </c>
      <c r="AC489" s="1182" t="s">
        <v>2925</v>
      </c>
      <c r="AD489" s="1182" t="s">
        <v>1561</v>
      </c>
      <c r="AE489" s="1182">
        <v>22</v>
      </c>
      <c r="AF489" s="1182" t="s">
        <v>1943</v>
      </c>
      <c r="AG489" s="1182" t="s">
        <v>1944</v>
      </c>
      <c r="AH489" s="1182">
        <v>0</v>
      </c>
      <c r="AI489" s="1182">
        <v>22</v>
      </c>
      <c r="AJ489" s="1182" t="s">
        <v>2247</v>
      </c>
      <c r="AL489" s="1186" t="s">
        <v>3332</v>
      </c>
      <c r="AM489" s="1182">
        <v>1</v>
      </c>
      <c r="AN489" s="1182">
        <v>0</v>
      </c>
      <c r="AO489" s="1182">
        <v>0</v>
      </c>
      <c r="AP489" s="1182">
        <v>0</v>
      </c>
      <c r="AQ489" s="1182" t="s">
        <v>1639</v>
      </c>
      <c r="AS489" s="1186" t="s">
        <v>1943</v>
      </c>
      <c r="AT489" s="1186" t="s">
        <v>1944</v>
      </c>
      <c r="AV489" s="1183">
        <v>22</v>
      </c>
      <c r="AW489" s="1183">
        <v>0</v>
      </c>
      <c r="AX489" s="1183">
        <v>0</v>
      </c>
      <c r="AY489" s="1538">
        <v>22</v>
      </c>
      <c r="AZ489" s="1183">
        <v>0</v>
      </c>
      <c r="BA489" s="1183">
        <v>0</v>
      </c>
      <c r="BB489" s="1540">
        <v>0</v>
      </c>
      <c r="BC489" s="1540">
        <v>22</v>
      </c>
      <c r="BD489" s="1540">
        <v>0</v>
      </c>
      <c r="BF489" s="1539">
        <f t="shared" si="102"/>
        <v>22</v>
      </c>
      <c r="BG489" s="1539">
        <f t="shared" si="103"/>
        <v>0</v>
      </c>
      <c r="BH489" s="1539">
        <f t="shared" si="104"/>
        <v>0</v>
      </c>
      <c r="BI489" s="1539">
        <f t="shared" si="105"/>
        <v>22</v>
      </c>
      <c r="BJ489" s="1539">
        <f t="shared" si="106"/>
        <v>0</v>
      </c>
      <c r="BK489" s="1539">
        <f t="shared" si="107"/>
        <v>0</v>
      </c>
      <c r="BL489" s="1539">
        <f t="shared" si="108"/>
        <v>0</v>
      </c>
      <c r="BM489" s="1539">
        <f t="shared" si="109"/>
        <v>22</v>
      </c>
      <c r="BO489" s="1183"/>
      <c r="BQ489" s="1182">
        <f t="shared" si="110"/>
        <v>0</v>
      </c>
      <c r="BR489" s="1182">
        <f t="shared" si="111"/>
        <v>0</v>
      </c>
    </row>
    <row r="490" spans="1:70" ht="13.5" customHeight="1">
      <c r="A490" s="1182" t="s">
        <v>1803</v>
      </c>
      <c r="B490" s="1182" t="s">
        <v>1804</v>
      </c>
      <c r="C490" s="1182" t="s">
        <v>1639</v>
      </c>
      <c r="D490" s="1182" t="s">
        <v>1907</v>
      </c>
      <c r="E490" s="1182" t="s">
        <v>1908</v>
      </c>
      <c r="F490" s="1182" t="s">
        <v>2127</v>
      </c>
      <c r="G490" s="1182" t="s">
        <v>2127</v>
      </c>
      <c r="H490" s="1182" t="s">
        <v>3333</v>
      </c>
      <c r="I490" s="1182" t="s">
        <v>1809</v>
      </c>
      <c r="J490" s="1182" t="s">
        <v>3334</v>
      </c>
      <c r="K490" s="1182" t="s">
        <v>1811</v>
      </c>
      <c r="L490" s="1182" t="s">
        <v>1812</v>
      </c>
      <c r="M490" s="1182" t="s">
        <v>1803</v>
      </c>
      <c r="N490" s="1182" t="s">
        <v>2922</v>
      </c>
      <c r="O490" s="1182" t="s">
        <v>1554</v>
      </c>
      <c r="P490" s="1182" t="s">
        <v>1563</v>
      </c>
      <c r="Q490" s="1182" t="s">
        <v>1562</v>
      </c>
      <c r="R490" s="1182" t="s">
        <v>1561</v>
      </c>
      <c r="S490" s="1182" t="s">
        <v>1639</v>
      </c>
      <c r="T490" s="1182" t="s">
        <v>1814</v>
      </c>
      <c r="U490" s="1182" t="s">
        <v>1815</v>
      </c>
      <c r="V490" s="1182">
        <v>0</v>
      </c>
      <c r="W490" s="1182">
        <v>0</v>
      </c>
      <c r="X490" s="1182">
        <v>0</v>
      </c>
      <c r="Y490" s="1183">
        <v>121</v>
      </c>
      <c r="Z490" s="1182" t="s">
        <v>2923</v>
      </c>
      <c r="AA490" s="1182" t="s">
        <v>2924</v>
      </c>
      <c r="AB490" s="1182">
        <v>121</v>
      </c>
      <c r="AC490" s="1182" t="s">
        <v>2925</v>
      </c>
      <c r="AD490" s="1182" t="s">
        <v>1561</v>
      </c>
      <c r="AE490" s="1182">
        <v>121</v>
      </c>
      <c r="AF490" s="1182" t="s">
        <v>1943</v>
      </c>
      <c r="AG490" s="1182" t="s">
        <v>1944</v>
      </c>
      <c r="AH490" s="1182">
        <v>0</v>
      </c>
      <c r="AI490" s="1182">
        <v>121</v>
      </c>
      <c r="AJ490" s="1182" t="s">
        <v>3335</v>
      </c>
      <c r="AL490" s="1186" t="s">
        <v>3336</v>
      </c>
      <c r="AM490" s="1182">
        <v>1</v>
      </c>
      <c r="AN490" s="1182">
        <v>0</v>
      </c>
      <c r="AO490" s="1182">
        <v>0</v>
      </c>
      <c r="AP490" s="1182">
        <v>0</v>
      </c>
      <c r="AQ490" s="1182" t="s">
        <v>1639</v>
      </c>
      <c r="AS490" s="1186" t="s">
        <v>1943</v>
      </c>
      <c r="AT490" s="1186" t="s">
        <v>1944</v>
      </c>
      <c r="AV490" s="1183">
        <v>121</v>
      </c>
      <c r="AW490" s="1183">
        <v>0</v>
      </c>
      <c r="AX490" s="1183">
        <v>0</v>
      </c>
      <c r="AY490" s="1538">
        <v>121</v>
      </c>
      <c r="AZ490" s="1183">
        <v>0</v>
      </c>
      <c r="BA490" s="1183">
        <v>0</v>
      </c>
      <c r="BB490" s="1540">
        <v>0</v>
      </c>
      <c r="BC490" s="1540">
        <v>121</v>
      </c>
      <c r="BD490" s="1540">
        <v>0</v>
      </c>
      <c r="BF490" s="1539">
        <f t="shared" si="102"/>
        <v>121</v>
      </c>
      <c r="BG490" s="1539">
        <f t="shared" si="103"/>
        <v>0</v>
      </c>
      <c r="BH490" s="1539">
        <f t="shared" si="104"/>
        <v>0</v>
      </c>
      <c r="BI490" s="1539">
        <f t="shared" si="105"/>
        <v>121</v>
      </c>
      <c r="BJ490" s="1539">
        <f t="shared" si="106"/>
        <v>0</v>
      </c>
      <c r="BK490" s="1539">
        <f t="shared" si="107"/>
        <v>0</v>
      </c>
      <c r="BL490" s="1539">
        <f t="shared" si="108"/>
        <v>0</v>
      </c>
      <c r="BM490" s="1539">
        <f t="shared" si="109"/>
        <v>121</v>
      </c>
      <c r="BO490" s="1183"/>
      <c r="BQ490" s="1182">
        <f t="shared" si="110"/>
        <v>0</v>
      </c>
      <c r="BR490" s="1182">
        <f t="shared" si="111"/>
        <v>0</v>
      </c>
    </row>
    <row r="491" spans="1:70" ht="13.5" customHeight="1">
      <c r="A491" s="1182" t="s">
        <v>1803</v>
      </c>
      <c r="B491" s="1182" t="s">
        <v>1804</v>
      </c>
      <c r="C491" s="1182" t="s">
        <v>1639</v>
      </c>
      <c r="D491" s="1182" t="s">
        <v>1907</v>
      </c>
      <c r="E491" s="1182" t="s">
        <v>1908</v>
      </c>
      <c r="F491" s="1182" t="s">
        <v>3265</v>
      </c>
      <c r="G491" s="1182" t="s">
        <v>3265</v>
      </c>
      <c r="H491" s="1182" t="s">
        <v>3337</v>
      </c>
      <c r="I491" s="1182" t="s">
        <v>1809</v>
      </c>
      <c r="J491" s="1182" t="s">
        <v>3338</v>
      </c>
      <c r="K491" s="1182" t="s">
        <v>1811</v>
      </c>
      <c r="L491" s="1182" t="s">
        <v>1812</v>
      </c>
      <c r="M491" s="1182" t="s">
        <v>1803</v>
      </c>
      <c r="N491" s="1182" t="s">
        <v>2922</v>
      </c>
      <c r="O491" s="1182" t="s">
        <v>1554</v>
      </c>
      <c r="P491" s="1182" t="s">
        <v>1563</v>
      </c>
      <c r="Q491" s="1182" t="s">
        <v>1562</v>
      </c>
      <c r="R491" s="1182" t="s">
        <v>1561</v>
      </c>
      <c r="S491" s="1182" t="s">
        <v>1639</v>
      </c>
      <c r="T491" s="1182" t="s">
        <v>1814</v>
      </c>
      <c r="U491" s="1182" t="s">
        <v>1815</v>
      </c>
      <c r="V491" s="1182">
        <v>0</v>
      </c>
      <c r="W491" s="1182">
        <v>0</v>
      </c>
      <c r="X491" s="1182">
        <v>0</v>
      </c>
      <c r="Y491" s="1183">
        <v>4500</v>
      </c>
      <c r="Z491" s="1182" t="s">
        <v>2923</v>
      </c>
      <c r="AA491" s="1182" t="s">
        <v>2924</v>
      </c>
      <c r="AB491" s="1182">
        <v>4500</v>
      </c>
      <c r="AC491" s="1182" t="s">
        <v>2925</v>
      </c>
      <c r="AD491" s="1182" t="s">
        <v>1561</v>
      </c>
      <c r="AE491" s="1182">
        <v>4500</v>
      </c>
      <c r="AF491" s="1182" t="s">
        <v>1943</v>
      </c>
      <c r="AG491" s="1182" t="s">
        <v>1944</v>
      </c>
      <c r="AH491" s="1182">
        <v>0</v>
      </c>
      <c r="AI491" s="1182">
        <v>4500</v>
      </c>
      <c r="AJ491" s="1182" t="s">
        <v>3320</v>
      </c>
      <c r="AL491" s="1186" t="s">
        <v>3339</v>
      </c>
      <c r="AM491" s="1182">
        <v>1</v>
      </c>
      <c r="AN491" s="1182">
        <v>0</v>
      </c>
      <c r="AO491" s="1182">
        <v>0</v>
      </c>
      <c r="AP491" s="1182">
        <v>0</v>
      </c>
      <c r="AQ491" s="1182" t="s">
        <v>1639</v>
      </c>
      <c r="AS491" s="1186" t="s">
        <v>1943</v>
      </c>
      <c r="AT491" s="1186" t="s">
        <v>1944</v>
      </c>
      <c r="AV491" s="1183">
        <v>4500</v>
      </c>
      <c r="AW491" s="1183">
        <v>0</v>
      </c>
      <c r="AX491" s="1183">
        <v>0</v>
      </c>
      <c r="AY491" s="1538">
        <v>4500</v>
      </c>
      <c r="AZ491" s="1183">
        <v>0</v>
      </c>
      <c r="BA491" s="1183">
        <v>0</v>
      </c>
      <c r="BB491" s="1540">
        <v>0</v>
      </c>
      <c r="BC491" s="1540">
        <v>4500</v>
      </c>
      <c r="BD491" s="1540">
        <v>0</v>
      </c>
      <c r="BF491" s="1539">
        <f t="shared" si="102"/>
        <v>4500</v>
      </c>
      <c r="BG491" s="1539">
        <f t="shared" si="103"/>
        <v>0</v>
      </c>
      <c r="BH491" s="1539">
        <f t="shared" si="104"/>
        <v>0</v>
      </c>
      <c r="BI491" s="1539">
        <f t="shared" si="105"/>
        <v>4500</v>
      </c>
      <c r="BJ491" s="1539">
        <f t="shared" si="106"/>
        <v>0</v>
      </c>
      <c r="BK491" s="1539">
        <f t="shared" si="107"/>
        <v>0</v>
      </c>
      <c r="BL491" s="1539">
        <f t="shared" si="108"/>
        <v>0</v>
      </c>
      <c r="BM491" s="1539">
        <f t="shared" si="109"/>
        <v>4500</v>
      </c>
      <c r="BO491" s="1183"/>
      <c r="BQ491" s="1182">
        <f t="shared" si="110"/>
        <v>0</v>
      </c>
      <c r="BR491" s="1182">
        <f t="shared" si="111"/>
        <v>0</v>
      </c>
    </row>
    <row r="492" spans="1:70" ht="13.5" customHeight="1">
      <c r="A492" s="1182" t="s">
        <v>1803</v>
      </c>
      <c r="B492" s="1182" t="s">
        <v>1804</v>
      </c>
      <c r="C492" s="1182" t="s">
        <v>1639</v>
      </c>
      <c r="D492" s="1182" t="s">
        <v>1907</v>
      </c>
      <c r="E492" s="1182" t="s">
        <v>1908</v>
      </c>
      <c r="F492" s="1182" t="s">
        <v>3265</v>
      </c>
      <c r="G492" s="1182" t="s">
        <v>3265</v>
      </c>
      <c r="H492" s="1182" t="s">
        <v>3340</v>
      </c>
      <c r="I492" s="1182" t="s">
        <v>1809</v>
      </c>
      <c r="J492" s="1182" t="s">
        <v>3341</v>
      </c>
      <c r="K492" s="1182" t="s">
        <v>1811</v>
      </c>
      <c r="L492" s="1182" t="s">
        <v>1812</v>
      </c>
      <c r="M492" s="1182" t="s">
        <v>1803</v>
      </c>
      <c r="N492" s="1182" t="s">
        <v>2922</v>
      </c>
      <c r="O492" s="1182" t="s">
        <v>1554</v>
      </c>
      <c r="P492" s="1182" t="s">
        <v>1563</v>
      </c>
      <c r="Q492" s="1182" t="s">
        <v>1562</v>
      </c>
      <c r="R492" s="1182" t="s">
        <v>1561</v>
      </c>
      <c r="S492" s="1182" t="s">
        <v>1639</v>
      </c>
      <c r="T492" s="1182" t="s">
        <v>1814</v>
      </c>
      <c r="U492" s="1182" t="s">
        <v>1815</v>
      </c>
      <c r="V492" s="1182">
        <v>0</v>
      </c>
      <c r="W492" s="1182">
        <v>0</v>
      </c>
      <c r="X492" s="1182">
        <v>0</v>
      </c>
      <c r="Y492" s="1183">
        <v>7590</v>
      </c>
      <c r="Z492" s="1182" t="s">
        <v>2923</v>
      </c>
      <c r="AA492" s="1182" t="s">
        <v>2924</v>
      </c>
      <c r="AB492" s="1182">
        <v>7590</v>
      </c>
      <c r="AC492" s="1182" t="s">
        <v>2925</v>
      </c>
      <c r="AD492" s="1182" t="s">
        <v>1561</v>
      </c>
      <c r="AE492" s="1182">
        <v>7590</v>
      </c>
      <c r="AF492" s="1182" t="s">
        <v>1943</v>
      </c>
      <c r="AG492" s="1182" t="s">
        <v>1944</v>
      </c>
      <c r="AH492" s="1182">
        <v>0</v>
      </c>
      <c r="AI492" s="1182">
        <v>7590</v>
      </c>
      <c r="AJ492" s="1182" t="s">
        <v>3342</v>
      </c>
      <c r="AL492" s="1186" t="s">
        <v>3343</v>
      </c>
      <c r="AM492" s="1182">
        <v>1</v>
      </c>
      <c r="AN492" s="1182">
        <v>0</v>
      </c>
      <c r="AO492" s="1182">
        <v>0</v>
      </c>
      <c r="AP492" s="1182">
        <v>0</v>
      </c>
      <c r="AQ492" s="1182" t="s">
        <v>1639</v>
      </c>
      <c r="AS492" s="1186" t="s">
        <v>1943</v>
      </c>
      <c r="AT492" s="1186" t="s">
        <v>1944</v>
      </c>
      <c r="AV492" s="1183">
        <v>7590</v>
      </c>
      <c r="AW492" s="1183">
        <v>0</v>
      </c>
      <c r="AX492" s="1183">
        <v>0</v>
      </c>
      <c r="AY492" s="1538">
        <v>7590</v>
      </c>
      <c r="AZ492" s="1183">
        <v>0</v>
      </c>
      <c r="BA492" s="1183">
        <v>0</v>
      </c>
      <c r="BB492" s="1540">
        <v>0</v>
      </c>
      <c r="BC492" s="1540">
        <v>7590</v>
      </c>
      <c r="BD492" s="1540">
        <v>0</v>
      </c>
      <c r="BF492" s="1539">
        <f t="shared" si="102"/>
        <v>7590</v>
      </c>
      <c r="BG492" s="1539">
        <f t="shared" si="103"/>
        <v>0</v>
      </c>
      <c r="BH492" s="1539">
        <f t="shared" si="104"/>
        <v>0</v>
      </c>
      <c r="BI492" s="1539">
        <f t="shared" si="105"/>
        <v>7590</v>
      </c>
      <c r="BJ492" s="1539">
        <f t="shared" si="106"/>
        <v>0</v>
      </c>
      <c r="BK492" s="1539">
        <f t="shared" si="107"/>
        <v>0</v>
      </c>
      <c r="BL492" s="1539">
        <f t="shared" si="108"/>
        <v>0</v>
      </c>
      <c r="BM492" s="1539">
        <f t="shared" si="109"/>
        <v>7590</v>
      </c>
      <c r="BO492" s="1183"/>
      <c r="BQ492" s="1182">
        <f t="shared" si="110"/>
        <v>0</v>
      </c>
      <c r="BR492" s="1182">
        <f t="shared" si="111"/>
        <v>0</v>
      </c>
    </row>
    <row r="493" spans="1:70" ht="13.5" customHeight="1">
      <c r="A493" s="1182" t="s">
        <v>1803</v>
      </c>
      <c r="B493" s="1182" t="s">
        <v>1804</v>
      </c>
      <c r="C493" s="1182" t="s">
        <v>1639</v>
      </c>
      <c r="D493" s="1182" t="s">
        <v>1907</v>
      </c>
      <c r="E493" s="1182" t="s">
        <v>1908</v>
      </c>
      <c r="F493" s="1182" t="s">
        <v>3265</v>
      </c>
      <c r="G493" s="1182" t="s">
        <v>3265</v>
      </c>
      <c r="H493" s="1182" t="s">
        <v>3344</v>
      </c>
      <c r="I493" s="1182" t="s">
        <v>1809</v>
      </c>
      <c r="J493" s="1182" t="s">
        <v>3345</v>
      </c>
      <c r="K493" s="1182" t="s">
        <v>1811</v>
      </c>
      <c r="L493" s="1182" t="s">
        <v>1812</v>
      </c>
      <c r="M493" s="1182" t="s">
        <v>1803</v>
      </c>
      <c r="N493" s="1182" t="s">
        <v>2922</v>
      </c>
      <c r="O493" s="1182" t="s">
        <v>1554</v>
      </c>
      <c r="P493" s="1182" t="s">
        <v>1563</v>
      </c>
      <c r="Q493" s="1182" t="s">
        <v>1562</v>
      </c>
      <c r="R493" s="1182" t="s">
        <v>1561</v>
      </c>
      <c r="S493" s="1182" t="s">
        <v>1639</v>
      </c>
      <c r="T493" s="1182" t="s">
        <v>1814</v>
      </c>
      <c r="U493" s="1182" t="s">
        <v>1815</v>
      </c>
      <c r="V493" s="1182">
        <v>0</v>
      </c>
      <c r="W493" s="1182">
        <v>0</v>
      </c>
      <c r="X493" s="1182">
        <v>0</v>
      </c>
      <c r="Y493" s="1183">
        <v>40660</v>
      </c>
      <c r="Z493" s="1182" t="s">
        <v>2923</v>
      </c>
      <c r="AA493" s="1182" t="s">
        <v>2924</v>
      </c>
      <c r="AB493" s="1182">
        <v>40660</v>
      </c>
      <c r="AC493" s="1182" t="s">
        <v>2925</v>
      </c>
      <c r="AD493" s="1182" t="s">
        <v>1561</v>
      </c>
      <c r="AE493" s="1182">
        <v>40660</v>
      </c>
      <c r="AF493" s="1182" t="s">
        <v>1943</v>
      </c>
      <c r="AG493" s="1182" t="s">
        <v>1944</v>
      </c>
      <c r="AH493" s="1182">
        <v>0</v>
      </c>
      <c r="AI493" s="1182">
        <v>40660</v>
      </c>
      <c r="AJ493" s="1182" t="s">
        <v>3320</v>
      </c>
      <c r="AL493" s="1186" t="s">
        <v>3346</v>
      </c>
      <c r="AM493" s="1182">
        <v>1</v>
      </c>
      <c r="AN493" s="1182">
        <v>0</v>
      </c>
      <c r="AO493" s="1182">
        <v>0</v>
      </c>
      <c r="AP493" s="1182">
        <v>0</v>
      </c>
      <c r="AQ493" s="1182" t="s">
        <v>1639</v>
      </c>
      <c r="AS493" s="1186" t="s">
        <v>1943</v>
      </c>
      <c r="AT493" s="1186" t="s">
        <v>1944</v>
      </c>
      <c r="AV493" s="1183">
        <v>40660</v>
      </c>
      <c r="AW493" s="1183">
        <v>0</v>
      </c>
      <c r="AX493" s="1183">
        <v>0</v>
      </c>
      <c r="AY493" s="1538">
        <v>40660</v>
      </c>
      <c r="AZ493" s="1183">
        <v>0</v>
      </c>
      <c r="BA493" s="1183">
        <v>0</v>
      </c>
      <c r="BB493" s="1540">
        <v>0</v>
      </c>
      <c r="BC493" s="1540">
        <v>40660</v>
      </c>
      <c r="BD493" s="1540">
        <v>0</v>
      </c>
      <c r="BF493" s="1539">
        <f t="shared" si="102"/>
        <v>40660</v>
      </c>
      <c r="BG493" s="1539">
        <f t="shared" si="103"/>
        <v>0</v>
      </c>
      <c r="BH493" s="1539">
        <f t="shared" si="104"/>
        <v>0</v>
      </c>
      <c r="BI493" s="1539">
        <f t="shared" si="105"/>
        <v>40660</v>
      </c>
      <c r="BJ493" s="1539">
        <f t="shared" si="106"/>
        <v>0</v>
      </c>
      <c r="BK493" s="1539">
        <f t="shared" si="107"/>
        <v>0</v>
      </c>
      <c r="BL493" s="1539">
        <f t="shared" si="108"/>
        <v>0</v>
      </c>
      <c r="BM493" s="1539">
        <f t="shared" si="109"/>
        <v>40660</v>
      </c>
      <c r="BO493" s="1183"/>
      <c r="BQ493" s="1182">
        <f t="shared" si="110"/>
        <v>0</v>
      </c>
      <c r="BR493" s="1182">
        <f t="shared" si="111"/>
        <v>0</v>
      </c>
    </row>
    <row r="494" spans="1:70" ht="13.5" customHeight="1">
      <c r="A494" s="1182" t="s">
        <v>1803</v>
      </c>
      <c r="B494" s="1182" t="s">
        <v>1804</v>
      </c>
      <c r="C494" s="1182" t="s">
        <v>1639</v>
      </c>
      <c r="D494" s="1182" t="s">
        <v>1907</v>
      </c>
      <c r="E494" s="1182" t="s">
        <v>1908</v>
      </c>
      <c r="F494" s="1182" t="s">
        <v>3265</v>
      </c>
      <c r="G494" s="1182" t="s">
        <v>3265</v>
      </c>
      <c r="H494" s="1182" t="s">
        <v>3347</v>
      </c>
      <c r="I494" s="1182" t="s">
        <v>1809</v>
      </c>
      <c r="J494" s="1182" t="s">
        <v>3348</v>
      </c>
      <c r="K494" s="1182" t="s">
        <v>1811</v>
      </c>
      <c r="L494" s="1182" t="s">
        <v>1812</v>
      </c>
      <c r="M494" s="1182" t="s">
        <v>1803</v>
      </c>
      <c r="N494" s="1182" t="s">
        <v>2922</v>
      </c>
      <c r="O494" s="1182" t="s">
        <v>1554</v>
      </c>
      <c r="P494" s="1182" t="s">
        <v>1563</v>
      </c>
      <c r="Q494" s="1182" t="s">
        <v>1562</v>
      </c>
      <c r="R494" s="1182" t="s">
        <v>1561</v>
      </c>
      <c r="S494" s="1182" t="s">
        <v>1639</v>
      </c>
      <c r="T494" s="1182" t="s">
        <v>1814</v>
      </c>
      <c r="U494" s="1182" t="s">
        <v>1815</v>
      </c>
      <c r="V494" s="1182">
        <v>0</v>
      </c>
      <c r="W494" s="1182">
        <v>0</v>
      </c>
      <c r="X494" s="1182">
        <v>0</v>
      </c>
      <c r="Y494" s="1183">
        <v>2480</v>
      </c>
      <c r="Z494" s="1182" t="s">
        <v>2923</v>
      </c>
      <c r="AA494" s="1182" t="s">
        <v>2924</v>
      </c>
      <c r="AB494" s="1182">
        <v>2480</v>
      </c>
      <c r="AC494" s="1182" t="s">
        <v>2925</v>
      </c>
      <c r="AD494" s="1182" t="s">
        <v>1561</v>
      </c>
      <c r="AE494" s="1182">
        <v>2480</v>
      </c>
      <c r="AF494" s="1182" t="s">
        <v>1943</v>
      </c>
      <c r="AG494" s="1182" t="s">
        <v>1944</v>
      </c>
      <c r="AH494" s="1182">
        <v>0</v>
      </c>
      <c r="AI494" s="1182">
        <v>2480</v>
      </c>
      <c r="AJ494" s="1182" t="s">
        <v>3349</v>
      </c>
      <c r="AL494" s="1186" t="s">
        <v>3350</v>
      </c>
      <c r="AM494" s="1182">
        <v>1</v>
      </c>
      <c r="AN494" s="1182">
        <v>0</v>
      </c>
      <c r="AO494" s="1182">
        <v>0</v>
      </c>
      <c r="AP494" s="1182">
        <v>0</v>
      </c>
      <c r="AQ494" s="1182" t="s">
        <v>1639</v>
      </c>
      <c r="AS494" s="1186" t="s">
        <v>1943</v>
      </c>
      <c r="AT494" s="1186" t="s">
        <v>1944</v>
      </c>
      <c r="AV494" s="1183">
        <v>2480</v>
      </c>
      <c r="AW494" s="1183">
        <v>0</v>
      </c>
      <c r="AX494" s="1183">
        <v>0</v>
      </c>
      <c r="AY494" s="1538">
        <v>2480</v>
      </c>
      <c r="AZ494" s="1183">
        <v>0</v>
      </c>
      <c r="BA494" s="1183">
        <v>0</v>
      </c>
      <c r="BB494" s="1540">
        <v>0</v>
      </c>
      <c r="BC494" s="1540">
        <v>2480</v>
      </c>
      <c r="BD494" s="1540">
        <v>0</v>
      </c>
      <c r="BF494" s="1539">
        <f t="shared" si="102"/>
        <v>2480</v>
      </c>
      <c r="BG494" s="1539">
        <f t="shared" si="103"/>
        <v>0</v>
      </c>
      <c r="BH494" s="1539">
        <f t="shared" si="104"/>
        <v>0</v>
      </c>
      <c r="BI494" s="1539">
        <f t="shared" si="105"/>
        <v>2480</v>
      </c>
      <c r="BJ494" s="1539">
        <f t="shared" si="106"/>
        <v>0</v>
      </c>
      <c r="BK494" s="1539">
        <f t="shared" si="107"/>
        <v>0</v>
      </c>
      <c r="BL494" s="1539">
        <f t="shared" si="108"/>
        <v>0</v>
      </c>
      <c r="BM494" s="1539">
        <f t="shared" si="109"/>
        <v>2480</v>
      </c>
      <c r="BO494" s="1183"/>
      <c r="BQ494" s="1182">
        <f t="shared" si="110"/>
        <v>0</v>
      </c>
      <c r="BR494" s="1182">
        <f t="shared" si="111"/>
        <v>0</v>
      </c>
    </row>
    <row r="495" spans="1:70" ht="13.5" customHeight="1">
      <c r="A495" s="1182" t="s">
        <v>1803</v>
      </c>
      <c r="B495" s="1182" t="s">
        <v>1804</v>
      </c>
      <c r="C495" s="1182" t="s">
        <v>1639</v>
      </c>
      <c r="D495" s="1182" t="s">
        <v>1907</v>
      </c>
      <c r="E495" s="1182" t="s">
        <v>1908</v>
      </c>
      <c r="F495" s="1182" t="s">
        <v>3265</v>
      </c>
      <c r="G495" s="1182" t="s">
        <v>3265</v>
      </c>
      <c r="H495" s="1182" t="s">
        <v>3351</v>
      </c>
      <c r="I495" s="1182" t="s">
        <v>1809</v>
      </c>
      <c r="J495" s="1182" t="s">
        <v>3352</v>
      </c>
      <c r="K495" s="1182" t="s">
        <v>1811</v>
      </c>
      <c r="L495" s="1182" t="s">
        <v>1812</v>
      </c>
      <c r="M495" s="1182" t="s">
        <v>1803</v>
      </c>
      <c r="N495" s="1182" t="s">
        <v>2922</v>
      </c>
      <c r="O495" s="1182" t="s">
        <v>1554</v>
      </c>
      <c r="P495" s="1182" t="s">
        <v>1563</v>
      </c>
      <c r="Q495" s="1182" t="s">
        <v>1562</v>
      </c>
      <c r="R495" s="1182" t="s">
        <v>1561</v>
      </c>
      <c r="S495" s="1182" t="s">
        <v>1639</v>
      </c>
      <c r="T495" s="1182" t="s">
        <v>1814</v>
      </c>
      <c r="U495" s="1182" t="s">
        <v>1815</v>
      </c>
      <c r="V495" s="1182">
        <v>0</v>
      </c>
      <c r="W495" s="1182">
        <v>0</v>
      </c>
      <c r="X495" s="1182">
        <v>0</v>
      </c>
      <c r="Y495" s="1183">
        <v>5730</v>
      </c>
      <c r="Z495" s="1182" t="s">
        <v>2923</v>
      </c>
      <c r="AA495" s="1182" t="s">
        <v>2924</v>
      </c>
      <c r="AB495" s="1182">
        <v>5730</v>
      </c>
      <c r="AC495" s="1182" t="s">
        <v>2925</v>
      </c>
      <c r="AD495" s="1182" t="s">
        <v>1561</v>
      </c>
      <c r="AE495" s="1182">
        <v>5730</v>
      </c>
      <c r="AF495" s="1182" t="s">
        <v>1943</v>
      </c>
      <c r="AG495" s="1182" t="s">
        <v>1944</v>
      </c>
      <c r="AH495" s="1182">
        <v>0</v>
      </c>
      <c r="AI495" s="1182">
        <v>5730</v>
      </c>
      <c r="AJ495" s="1182" t="s">
        <v>3353</v>
      </c>
      <c r="AL495" s="1186" t="s">
        <v>3354</v>
      </c>
      <c r="AM495" s="1182">
        <v>1</v>
      </c>
      <c r="AN495" s="1182">
        <v>0</v>
      </c>
      <c r="AO495" s="1182">
        <v>0</v>
      </c>
      <c r="AP495" s="1182">
        <v>0</v>
      </c>
      <c r="AQ495" s="1182" t="s">
        <v>1639</v>
      </c>
      <c r="AS495" s="1186" t="s">
        <v>1943</v>
      </c>
      <c r="AT495" s="1186" t="s">
        <v>1944</v>
      </c>
      <c r="AV495" s="1183">
        <v>5730</v>
      </c>
      <c r="AW495" s="1183">
        <v>0</v>
      </c>
      <c r="AX495" s="1183">
        <v>0</v>
      </c>
      <c r="AY495" s="1538">
        <v>5730</v>
      </c>
      <c r="AZ495" s="1183">
        <v>0</v>
      </c>
      <c r="BA495" s="1183">
        <v>0</v>
      </c>
      <c r="BB495" s="1540">
        <v>0</v>
      </c>
      <c r="BC495" s="1540">
        <v>5730</v>
      </c>
      <c r="BD495" s="1540">
        <v>0</v>
      </c>
      <c r="BF495" s="1539">
        <f t="shared" si="102"/>
        <v>5730</v>
      </c>
      <c r="BG495" s="1539">
        <f t="shared" si="103"/>
        <v>0</v>
      </c>
      <c r="BH495" s="1539">
        <f t="shared" si="104"/>
        <v>0</v>
      </c>
      <c r="BI495" s="1539">
        <f t="shared" si="105"/>
        <v>5730</v>
      </c>
      <c r="BJ495" s="1539">
        <f t="shared" si="106"/>
        <v>0</v>
      </c>
      <c r="BK495" s="1539">
        <f t="shared" si="107"/>
        <v>0</v>
      </c>
      <c r="BL495" s="1539">
        <f t="shared" si="108"/>
        <v>0</v>
      </c>
      <c r="BM495" s="1539">
        <f t="shared" si="109"/>
        <v>5730</v>
      </c>
      <c r="BO495" s="1183"/>
      <c r="BQ495" s="1182">
        <f t="shared" si="110"/>
        <v>0</v>
      </c>
      <c r="BR495" s="1182">
        <f t="shared" si="111"/>
        <v>0</v>
      </c>
    </row>
    <row r="496" spans="1:70" ht="13.5" customHeight="1">
      <c r="A496" s="1182" t="s">
        <v>1803</v>
      </c>
      <c r="B496" s="1182" t="s">
        <v>1804</v>
      </c>
      <c r="C496" s="1182" t="s">
        <v>1639</v>
      </c>
      <c r="D496" s="1182" t="s">
        <v>2092</v>
      </c>
      <c r="E496" s="1182" t="s">
        <v>2093</v>
      </c>
      <c r="F496" s="1182" t="s">
        <v>1988</v>
      </c>
      <c r="G496" s="1182" t="s">
        <v>1988</v>
      </c>
      <c r="H496" s="1182" t="s">
        <v>3355</v>
      </c>
      <c r="I496" s="1182" t="s">
        <v>1809</v>
      </c>
      <c r="J496" s="1182" t="s">
        <v>3356</v>
      </c>
      <c r="K496" s="1182" t="s">
        <v>1811</v>
      </c>
      <c r="L496" s="1182" t="s">
        <v>1812</v>
      </c>
      <c r="M496" s="1182" t="s">
        <v>1803</v>
      </c>
      <c r="N496" s="1182" t="s">
        <v>2922</v>
      </c>
      <c r="O496" s="1182" t="s">
        <v>1554</v>
      </c>
      <c r="P496" s="1182" t="s">
        <v>1563</v>
      </c>
      <c r="Q496" s="1182" t="s">
        <v>1562</v>
      </c>
      <c r="R496" s="1182" t="s">
        <v>1561</v>
      </c>
      <c r="S496" s="1182" t="s">
        <v>1639</v>
      </c>
      <c r="T496" s="1182" t="s">
        <v>1814</v>
      </c>
      <c r="U496" s="1182" t="s">
        <v>1815</v>
      </c>
      <c r="V496" s="1182">
        <v>0</v>
      </c>
      <c r="W496" s="1182">
        <v>0</v>
      </c>
      <c r="X496" s="1182">
        <v>0</v>
      </c>
      <c r="Y496" s="1183">
        <v>2104</v>
      </c>
      <c r="Z496" s="1182" t="s">
        <v>2923</v>
      </c>
      <c r="AA496" s="1182" t="s">
        <v>2924</v>
      </c>
      <c r="AB496" s="1182">
        <v>2104</v>
      </c>
      <c r="AC496" s="1182" t="s">
        <v>2925</v>
      </c>
      <c r="AD496" s="1182" t="s">
        <v>1561</v>
      </c>
      <c r="AE496" s="1182">
        <v>2104</v>
      </c>
      <c r="AF496" s="1182" t="s">
        <v>1943</v>
      </c>
      <c r="AG496" s="1182" t="s">
        <v>1944</v>
      </c>
      <c r="AH496" s="1182">
        <v>0</v>
      </c>
      <c r="AI496" s="1182">
        <v>2104</v>
      </c>
      <c r="AJ496" s="1182" t="s">
        <v>3357</v>
      </c>
      <c r="AL496" s="1186" t="s">
        <v>3358</v>
      </c>
      <c r="AM496" s="1182">
        <v>1</v>
      </c>
      <c r="AN496" s="1182">
        <v>0</v>
      </c>
      <c r="AO496" s="1182">
        <v>0</v>
      </c>
      <c r="AP496" s="1182">
        <v>0</v>
      </c>
      <c r="AQ496" s="1182" t="s">
        <v>1639</v>
      </c>
      <c r="AS496" s="1186" t="s">
        <v>1943</v>
      </c>
      <c r="AT496" s="1186" t="s">
        <v>1944</v>
      </c>
      <c r="AV496" s="1183">
        <v>2104</v>
      </c>
      <c r="AW496" s="1183">
        <v>0</v>
      </c>
      <c r="AX496" s="1183">
        <v>0</v>
      </c>
      <c r="AY496" s="1538">
        <v>2104</v>
      </c>
      <c r="AZ496" s="1183">
        <v>0</v>
      </c>
      <c r="BA496" s="1183">
        <v>0</v>
      </c>
      <c r="BB496" s="1540">
        <v>0</v>
      </c>
      <c r="BC496" s="1540">
        <v>2104</v>
      </c>
      <c r="BD496" s="1540">
        <v>0</v>
      </c>
      <c r="BF496" s="1539">
        <f t="shared" si="102"/>
        <v>2104</v>
      </c>
      <c r="BG496" s="1539">
        <f t="shared" si="103"/>
        <v>0</v>
      </c>
      <c r="BH496" s="1539">
        <f t="shared" si="104"/>
        <v>0</v>
      </c>
      <c r="BI496" s="1539">
        <f t="shared" si="105"/>
        <v>2104</v>
      </c>
      <c r="BJ496" s="1539">
        <f t="shared" si="106"/>
        <v>0</v>
      </c>
      <c r="BK496" s="1539">
        <f t="shared" si="107"/>
        <v>0</v>
      </c>
      <c r="BL496" s="1539">
        <f t="shared" si="108"/>
        <v>0</v>
      </c>
      <c r="BM496" s="1539">
        <f t="shared" si="109"/>
        <v>2104</v>
      </c>
      <c r="BO496" s="1183"/>
      <c r="BQ496" s="1182">
        <f t="shared" si="110"/>
        <v>0</v>
      </c>
      <c r="BR496" s="1182">
        <f t="shared" si="111"/>
        <v>0</v>
      </c>
    </row>
    <row r="497" spans="1:70" ht="13.5" customHeight="1">
      <c r="A497" s="1182" t="s">
        <v>1803</v>
      </c>
      <c r="B497" s="1182" t="s">
        <v>1804</v>
      </c>
      <c r="C497" s="1182" t="s">
        <v>1639</v>
      </c>
      <c r="D497" s="1182" t="s">
        <v>2092</v>
      </c>
      <c r="E497" s="1182" t="s">
        <v>2093</v>
      </c>
      <c r="F497" s="1182" t="s">
        <v>2611</v>
      </c>
      <c r="G497" s="1182" t="s">
        <v>2611</v>
      </c>
      <c r="H497" s="1182" t="s">
        <v>3359</v>
      </c>
      <c r="I497" s="1182" t="s">
        <v>1809</v>
      </c>
      <c r="J497" s="1182" t="s">
        <v>3360</v>
      </c>
      <c r="K497" s="1182" t="s">
        <v>1811</v>
      </c>
      <c r="L497" s="1182" t="s">
        <v>1812</v>
      </c>
      <c r="M497" s="1182" t="s">
        <v>1803</v>
      </c>
      <c r="N497" s="1182" t="s">
        <v>2922</v>
      </c>
      <c r="O497" s="1182" t="s">
        <v>1554</v>
      </c>
      <c r="P497" s="1182" t="s">
        <v>1563</v>
      </c>
      <c r="Q497" s="1182" t="s">
        <v>1562</v>
      </c>
      <c r="R497" s="1182" t="s">
        <v>1561</v>
      </c>
      <c r="S497" s="1182" t="s">
        <v>1639</v>
      </c>
      <c r="T497" s="1182" t="s">
        <v>1814</v>
      </c>
      <c r="U497" s="1182" t="s">
        <v>1815</v>
      </c>
      <c r="V497" s="1182">
        <v>0</v>
      </c>
      <c r="W497" s="1182">
        <v>0</v>
      </c>
      <c r="X497" s="1182">
        <v>0</v>
      </c>
      <c r="Y497" s="1183">
        <v>1052</v>
      </c>
      <c r="Z497" s="1182" t="s">
        <v>2923</v>
      </c>
      <c r="AA497" s="1182" t="s">
        <v>2924</v>
      </c>
      <c r="AB497" s="1182">
        <v>1052</v>
      </c>
      <c r="AC497" s="1182" t="s">
        <v>2925</v>
      </c>
      <c r="AD497" s="1182" t="s">
        <v>1561</v>
      </c>
      <c r="AE497" s="1182">
        <v>1052</v>
      </c>
      <c r="AF497" s="1182" t="s">
        <v>1943</v>
      </c>
      <c r="AG497" s="1182" t="s">
        <v>1944</v>
      </c>
      <c r="AH497" s="1182">
        <v>0</v>
      </c>
      <c r="AI497" s="1182">
        <v>1052</v>
      </c>
      <c r="AJ497" s="1182" t="s">
        <v>3361</v>
      </c>
      <c r="AL497" s="1186" t="s">
        <v>3362</v>
      </c>
      <c r="AM497" s="1182">
        <v>1</v>
      </c>
      <c r="AN497" s="1182">
        <v>0</v>
      </c>
      <c r="AO497" s="1182">
        <v>0</v>
      </c>
      <c r="AP497" s="1182">
        <v>0</v>
      </c>
      <c r="AQ497" s="1182" t="s">
        <v>1639</v>
      </c>
      <c r="AS497" s="1186" t="s">
        <v>1943</v>
      </c>
      <c r="AT497" s="1186" t="s">
        <v>1944</v>
      </c>
      <c r="AV497" s="1183">
        <v>1052</v>
      </c>
      <c r="AW497" s="1183">
        <v>0</v>
      </c>
      <c r="AX497" s="1183">
        <v>0</v>
      </c>
      <c r="AY497" s="1538">
        <v>1052</v>
      </c>
      <c r="AZ497" s="1183">
        <v>0</v>
      </c>
      <c r="BA497" s="1183">
        <v>0</v>
      </c>
      <c r="BB497" s="1540">
        <v>0</v>
      </c>
      <c r="BC497" s="1540">
        <v>1052</v>
      </c>
      <c r="BD497" s="1540">
        <v>0</v>
      </c>
      <c r="BF497" s="1539">
        <f t="shared" si="102"/>
        <v>1052</v>
      </c>
      <c r="BG497" s="1539">
        <f t="shared" si="103"/>
        <v>0</v>
      </c>
      <c r="BH497" s="1539">
        <f t="shared" si="104"/>
        <v>0</v>
      </c>
      <c r="BI497" s="1539">
        <f t="shared" si="105"/>
        <v>1052</v>
      </c>
      <c r="BJ497" s="1539">
        <f t="shared" si="106"/>
        <v>0</v>
      </c>
      <c r="BK497" s="1539">
        <f t="shared" si="107"/>
        <v>0</v>
      </c>
      <c r="BL497" s="1539">
        <f t="shared" si="108"/>
        <v>0</v>
      </c>
      <c r="BM497" s="1539">
        <f t="shared" si="109"/>
        <v>1052</v>
      </c>
      <c r="BO497" s="1183"/>
      <c r="BQ497" s="1182">
        <f t="shared" si="110"/>
        <v>0</v>
      </c>
      <c r="BR497" s="1182">
        <f t="shared" si="111"/>
        <v>0</v>
      </c>
    </row>
    <row r="498" spans="1:70" ht="13.5" customHeight="1">
      <c r="A498" s="1182" t="s">
        <v>1803</v>
      </c>
      <c r="B498" s="1182" t="s">
        <v>1804</v>
      </c>
      <c r="C498" s="1182" t="s">
        <v>1639</v>
      </c>
      <c r="D498" s="1182" t="s">
        <v>2092</v>
      </c>
      <c r="E498" s="1182" t="s">
        <v>2093</v>
      </c>
      <c r="F498" s="1182" t="s">
        <v>2529</v>
      </c>
      <c r="G498" s="1182" t="s">
        <v>2529</v>
      </c>
      <c r="H498" s="1182" t="s">
        <v>3363</v>
      </c>
      <c r="I498" s="1182" t="s">
        <v>1809</v>
      </c>
      <c r="J498" s="1182" t="s">
        <v>3364</v>
      </c>
      <c r="K498" s="1182" t="s">
        <v>1811</v>
      </c>
      <c r="L498" s="1182" t="s">
        <v>1812</v>
      </c>
      <c r="M498" s="1182" t="s">
        <v>1803</v>
      </c>
      <c r="N498" s="1182" t="s">
        <v>2922</v>
      </c>
      <c r="O498" s="1182" t="s">
        <v>1554</v>
      </c>
      <c r="P498" s="1182" t="s">
        <v>1563</v>
      </c>
      <c r="Q498" s="1182" t="s">
        <v>1562</v>
      </c>
      <c r="R498" s="1182" t="s">
        <v>1561</v>
      </c>
      <c r="S498" s="1182" t="s">
        <v>1639</v>
      </c>
      <c r="T498" s="1182" t="s">
        <v>1814</v>
      </c>
      <c r="U498" s="1182" t="s">
        <v>1815</v>
      </c>
      <c r="V498" s="1182">
        <v>0</v>
      </c>
      <c r="W498" s="1182">
        <v>0</v>
      </c>
      <c r="X498" s="1182">
        <v>0</v>
      </c>
      <c r="Y498" s="1183">
        <v>24000</v>
      </c>
      <c r="Z498" s="1182" t="s">
        <v>2923</v>
      </c>
      <c r="AA498" s="1182" t="s">
        <v>2924</v>
      </c>
      <c r="AB498" s="1182">
        <v>24000</v>
      </c>
      <c r="AC498" s="1182" t="s">
        <v>2925</v>
      </c>
      <c r="AD498" s="1182" t="s">
        <v>1561</v>
      </c>
      <c r="AE498" s="1182">
        <v>24000</v>
      </c>
      <c r="AF498" s="1182" t="s">
        <v>1943</v>
      </c>
      <c r="AG498" s="1182" t="s">
        <v>1944</v>
      </c>
      <c r="AH498" s="1182">
        <v>0</v>
      </c>
      <c r="AI498" s="1182">
        <v>24000</v>
      </c>
      <c r="AJ498" s="1182" t="s">
        <v>3365</v>
      </c>
      <c r="AL498" s="1186" t="s">
        <v>3366</v>
      </c>
      <c r="AM498" s="1182">
        <v>1</v>
      </c>
      <c r="AN498" s="1182">
        <v>0</v>
      </c>
      <c r="AO498" s="1182">
        <v>0</v>
      </c>
      <c r="AP498" s="1182">
        <v>0</v>
      </c>
      <c r="AQ498" s="1182" t="s">
        <v>1639</v>
      </c>
      <c r="AS498" s="1186" t="s">
        <v>1943</v>
      </c>
      <c r="AT498" s="1186" t="s">
        <v>1944</v>
      </c>
      <c r="AV498" s="1183">
        <v>24000</v>
      </c>
      <c r="AW498" s="1183">
        <v>0</v>
      </c>
      <c r="AX498" s="1183">
        <v>0</v>
      </c>
      <c r="AY498" s="1538">
        <v>24000</v>
      </c>
      <c r="AZ498" s="1183">
        <v>0</v>
      </c>
      <c r="BA498" s="1183">
        <v>0</v>
      </c>
      <c r="BB498" s="1540">
        <v>0</v>
      </c>
      <c r="BC498" s="1540">
        <v>24000</v>
      </c>
      <c r="BD498" s="1540">
        <v>0</v>
      </c>
      <c r="BF498" s="1539">
        <f t="shared" si="102"/>
        <v>24000</v>
      </c>
      <c r="BG498" s="1539">
        <f t="shared" si="103"/>
        <v>0</v>
      </c>
      <c r="BH498" s="1539">
        <f t="shared" si="104"/>
        <v>0</v>
      </c>
      <c r="BI498" s="1539">
        <f t="shared" si="105"/>
        <v>24000</v>
      </c>
      <c r="BJ498" s="1539">
        <f t="shared" si="106"/>
        <v>0</v>
      </c>
      <c r="BK498" s="1539">
        <f t="shared" si="107"/>
        <v>0</v>
      </c>
      <c r="BL498" s="1539">
        <f t="shared" si="108"/>
        <v>0</v>
      </c>
      <c r="BM498" s="1539">
        <f t="shared" si="109"/>
        <v>24000</v>
      </c>
      <c r="BO498" s="1183"/>
      <c r="BQ498" s="1182">
        <f t="shared" si="110"/>
        <v>0</v>
      </c>
      <c r="BR498" s="1182">
        <f t="shared" si="111"/>
        <v>0</v>
      </c>
    </row>
    <row r="499" spans="1:70" ht="13.5" customHeight="1">
      <c r="A499" s="1182" t="s">
        <v>1803</v>
      </c>
      <c r="B499" s="1182" t="s">
        <v>1804</v>
      </c>
      <c r="C499" s="1182" t="s">
        <v>1639</v>
      </c>
      <c r="D499" s="1182" t="s">
        <v>2092</v>
      </c>
      <c r="E499" s="1182" t="s">
        <v>2093</v>
      </c>
      <c r="F499" s="1182" t="s">
        <v>3041</v>
      </c>
      <c r="G499" s="1182" t="s">
        <v>3041</v>
      </c>
      <c r="H499" s="1182" t="s">
        <v>3367</v>
      </c>
      <c r="I499" s="1182" t="s">
        <v>1809</v>
      </c>
      <c r="J499" s="1182" t="s">
        <v>3368</v>
      </c>
      <c r="K499" s="1182" t="s">
        <v>1811</v>
      </c>
      <c r="L499" s="1182" t="s">
        <v>1812</v>
      </c>
      <c r="M499" s="1182" t="s">
        <v>1803</v>
      </c>
      <c r="N499" s="1182" t="s">
        <v>2922</v>
      </c>
      <c r="O499" s="1182" t="s">
        <v>1554</v>
      </c>
      <c r="P499" s="1182" t="s">
        <v>1563</v>
      </c>
      <c r="Q499" s="1182" t="s">
        <v>1562</v>
      </c>
      <c r="R499" s="1182" t="s">
        <v>1561</v>
      </c>
      <c r="S499" s="1182" t="s">
        <v>1639</v>
      </c>
      <c r="T499" s="1182" t="s">
        <v>1814</v>
      </c>
      <c r="U499" s="1182" t="s">
        <v>1815</v>
      </c>
      <c r="V499" s="1182">
        <v>0</v>
      </c>
      <c r="W499" s="1182">
        <v>0</v>
      </c>
      <c r="X499" s="1182">
        <v>0</v>
      </c>
      <c r="Y499" s="1183">
        <v>17760</v>
      </c>
      <c r="Z499" s="1182" t="s">
        <v>2923</v>
      </c>
      <c r="AA499" s="1182" t="s">
        <v>2924</v>
      </c>
      <c r="AB499" s="1182">
        <v>17760</v>
      </c>
      <c r="AC499" s="1182" t="s">
        <v>2925</v>
      </c>
      <c r="AD499" s="1182" t="s">
        <v>1561</v>
      </c>
      <c r="AE499" s="1182">
        <v>17760</v>
      </c>
      <c r="AF499" s="1182" t="s">
        <v>1943</v>
      </c>
      <c r="AG499" s="1182" t="s">
        <v>1944</v>
      </c>
      <c r="AH499" s="1182">
        <v>0</v>
      </c>
      <c r="AI499" s="1182">
        <v>17760</v>
      </c>
      <c r="AJ499" s="1182" t="s">
        <v>3365</v>
      </c>
      <c r="AL499" s="1186" t="s">
        <v>3369</v>
      </c>
      <c r="AM499" s="1182">
        <v>1</v>
      </c>
      <c r="AN499" s="1182">
        <v>0</v>
      </c>
      <c r="AO499" s="1182">
        <v>0</v>
      </c>
      <c r="AP499" s="1182">
        <v>0</v>
      </c>
      <c r="AQ499" s="1182" t="s">
        <v>1639</v>
      </c>
      <c r="AS499" s="1186" t="s">
        <v>1943</v>
      </c>
      <c r="AT499" s="1186" t="s">
        <v>1944</v>
      </c>
      <c r="AV499" s="1185">
        <v>17760</v>
      </c>
      <c r="AW499" s="1185">
        <v>0</v>
      </c>
      <c r="AX499" s="1185">
        <v>0</v>
      </c>
      <c r="AY499" s="1539">
        <v>17760</v>
      </c>
      <c r="AZ499" s="1185">
        <v>0</v>
      </c>
      <c r="BA499" s="1185">
        <v>0</v>
      </c>
      <c r="BB499" s="1540">
        <v>0</v>
      </c>
      <c r="BC499" s="1540">
        <v>17760</v>
      </c>
      <c r="BD499" s="1540">
        <v>0</v>
      </c>
      <c r="BF499" s="1539">
        <f t="shared" si="102"/>
        <v>17760</v>
      </c>
      <c r="BG499" s="1539">
        <f t="shared" si="103"/>
        <v>0</v>
      </c>
      <c r="BH499" s="1539">
        <f t="shared" si="104"/>
        <v>0</v>
      </c>
      <c r="BI499" s="1539">
        <f t="shared" si="105"/>
        <v>17760</v>
      </c>
      <c r="BJ499" s="1539">
        <f t="shared" si="106"/>
        <v>0</v>
      </c>
      <c r="BK499" s="1539">
        <f t="shared" si="107"/>
        <v>0</v>
      </c>
      <c r="BL499" s="1539">
        <f t="shared" si="108"/>
        <v>0</v>
      </c>
      <c r="BM499" s="1539">
        <f t="shared" si="109"/>
        <v>17760</v>
      </c>
      <c r="BO499" s="1183"/>
      <c r="BQ499" s="1182">
        <f t="shared" si="110"/>
        <v>0</v>
      </c>
      <c r="BR499" s="1182">
        <f t="shared" si="111"/>
        <v>0</v>
      </c>
    </row>
    <row r="500" spans="1:70" ht="13.5" customHeight="1">
      <c r="A500" s="1182" t="s">
        <v>1803</v>
      </c>
      <c r="B500" s="1182" t="s">
        <v>1804</v>
      </c>
      <c r="C500" s="1182" t="s">
        <v>1639</v>
      </c>
      <c r="D500" s="1182" t="s">
        <v>2092</v>
      </c>
      <c r="E500" s="1182" t="s">
        <v>2093</v>
      </c>
      <c r="F500" s="1182" t="s">
        <v>2358</v>
      </c>
      <c r="G500" s="1182" t="s">
        <v>2358</v>
      </c>
      <c r="H500" s="1182" t="s">
        <v>3370</v>
      </c>
      <c r="I500" s="1182" t="s">
        <v>1809</v>
      </c>
      <c r="J500" s="1182" t="s">
        <v>3371</v>
      </c>
      <c r="K500" s="1182" t="s">
        <v>1811</v>
      </c>
      <c r="L500" s="1182" t="s">
        <v>1812</v>
      </c>
      <c r="M500" s="1182" t="s">
        <v>1803</v>
      </c>
      <c r="N500" s="1182" t="s">
        <v>2922</v>
      </c>
      <c r="O500" s="1182" t="s">
        <v>1554</v>
      </c>
      <c r="P500" s="1182" t="s">
        <v>1563</v>
      </c>
      <c r="Q500" s="1182" t="s">
        <v>1562</v>
      </c>
      <c r="R500" s="1182" t="s">
        <v>1561</v>
      </c>
      <c r="S500" s="1182" t="s">
        <v>1639</v>
      </c>
      <c r="T500" s="1182" t="s">
        <v>1814</v>
      </c>
      <c r="U500" s="1182" t="s">
        <v>1815</v>
      </c>
      <c r="V500" s="1182">
        <v>0</v>
      </c>
      <c r="W500" s="1182">
        <v>0</v>
      </c>
      <c r="X500" s="1182">
        <v>0</v>
      </c>
      <c r="Y500" s="1183">
        <v>24648</v>
      </c>
      <c r="Z500" s="1182" t="s">
        <v>2923</v>
      </c>
      <c r="AA500" s="1182" t="s">
        <v>2924</v>
      </c>
      <c r="AB500" s="1182">
        <v>24648</v>
      </c>
      <c r="AC500" s="1182" t="s">
        <v>2925</v>
      </c>
      <c r="AD500" s="1182" t="s">
        <v>1561</v>
      </c>
      <c r="AE500" s="1182">
        <v>24648</v>
      </c>
      <c r="AF500" s="1182" t="s">
        <v>1943</v>
      </c>
      <c r="AG500" s="1182" t="s">
        <v>1944</v>
      </c>
      <c r="AH500" s="1182">
        <v>0</v>
      </c>
      <c r="AI500" s="1182">
        <v>24648</v>
      </c>
      <c r="AJ500" s="1182" t="s">
        <v>3372</v>
      </c>
      <c r="AL500" s="1186" t="s">
        <v>3373</v>
      </c>
      <c r="AM500" s="1182">
        <v>1</v>
      </c>
      <c r="AN500" s="1182">
        <v>0</v>
      </c>
      <c r="AO500" s="1182">
        <v>0</v>
      </c>
      <c r="AP500" s="1182">
        <v>0</v>
      </c>
      <c r="AQ500" s="1182" t="s">
        <v>1639</v>
      </c>
      <c r="AS500" s="1186" t="s">
        <v>1943</v>
      </c>
      <c r="AT500" s="1186" t="s">
        <v>1944</v>
      </c>
      <c r="AV500" s="1185">
        <v>24648</v>
      </c>
      <c r="AW500" s="1185">
        <v>0</v>
      </c>
      <c r="AX500" s="1185">
        <v>0</v>
      </c>
      <c r="AY500" s="1539">
        <v>24648</v>
      </c>
      <c r="AZ500" s="1185">
        <v>0</v>
      </c>
      <c r="BA500" s="1185">
        <v>0</v>
      </c>
      <c r="BB500" s="1540">
        <v>0</v>
      </c>
      <c r="BC500" s="1540">
        <v>24648</v>
      </c>
      <c r="BD500" s="1540">
        <v>0</v>
      </c>
      <c r="BF500" s="1539">
        <f t="shared" si="102"/>
        <v>24648</v>
      </c>
      <c r="BG500" s="1539">
        <f t="shared" si="103"/>
        <v>0</v>
      </c>
      <c r="BH500" s="1539">
        <f t="shared" si="104"/>
        <v>0</v>
      </c>
      <c r="BI500" s="1539">
        <f t="shared" si="105"/>
        <v>24648</v>
      </c>
      <c r="BJ500" s="1539">
        <f t="shared" si="106"/>
        <v>0</v>
      </c>
      <c r="BK500" s="1539">
        <f t="shared" si="107"/>
        <v>0</v>
      </c>
      <c r="BL500" s="1539">
        <f t="shared" si="108"/>
        <v>0</v>
      </c>
      <c r="BM500" s="1539">
        <f t="shared" si="109"/>
        <v>24648</v>
      </c>
      <c r="BO500" s="1183"/>
      <c r="BQ500" s="1182">
        <f t="shared" si="110"/>
        <v>0</v>
      </c>
      <c r="BR500" s="1182">
        <f t="shared" si="111"/>
        <v>0</v>
      </c>
    </row>
    <row r="501" spans="1:70" ht="13.5" customHeight="1">
      <c r="A501" s="1182" t="s">
        <v>1803</v>
      </c>
      <c r="B501" s="1182" t="s">
        <v>1804</v>
      </c>
      <c r="C501" s="1182" t="s">
        <v>1639</v>
      </c>
      <c r="D501" s="1182" t="s">
        <v>2092</v>
      </c>
      <c r="E501" s="1182" t="s">
        <v>2093</v>
      </c>
      <c r="F501" s="1182" t="s">
        <v>1969</v>
      </c>
      <c r="G501" s="1182" t="s">
        <v>1969</v>
      </c>
      <c r="H501" s="1182" t="s">
        <v>3374</v>
      </c>
      <c r="I501" s="1182" t="s">
        <v>1809</v>
      </c>
      <c r="J501" s="1182" t="s">
        <v>3375</v>
      </c>
      <c r="K501" s="1182" t="s">
        <v>1811</v>
      </c>
      <c r="L501" s="1182" t="s">
        <v>1812</v>
      </c>
      <c r="M501" s="1182" t="s">
        <v>1803</v>
      </c>
      <c r="N501" s="1182" t="s">
        <v>2922</v>
      </c>
      <c r="O501" s="1182" t="s">
        <v>1554</v>
      </c>
      <c r="P501" s="1182" t="s">
        <v>1563</v>
      </c>
      <c r="Q501" s="1182" t="s">
        <v>1562</v>
      </c>
      <c r="R501" s="1182" t="s">
        <v>1561</v>
      </c>
      <c r="S501" s="1182" t="s">
        <v>1639</v>
      </c>
      <c r="T501" s="1182" t="s">
        <v>1814</v>
      </c>
      <c r="U501" s="1182" t="s">
        <v>1815</v>
      </c>
      <c r="V501" s="1182">
        <v>0</v>
      </c>
      <c r="W501" s="1182">
        <v>0</v>
      </c>
      <c r="X501" s="1182">
        <v>0</v>
      </c>
      <c r="Y501" s="1183">
        <v>1072</v>
      </c>
      <c r="Z501" s="1182" t="s">
        <v>2923</v>
      </c>
      <c r="AA501" s="1182" t="s">
        <v>2924</v>
      </c>
      <c r="AB501" s="1182">
        <v>1072</v>
      </c>
      <c r="AC501" s="1182" t="s">
        <v>2925</v>
      </c>
      <c r="AD501" s="1182" t="s">
        <v>1561</v>
      </c>
      <c r="AE501" s="1182">
        <v>1072</v>
      </c>
      <c r="AF501" s="1182" t="s">
        <v>1943</v>
      </c>
      <c r="AG501" s="1182" t="s">
        <v>1944</v>
      </c>
      <c r="AH501" s="1182">
        <v>0</v>
      </c>
      <c r="AI501" s="1182">
        <v>1072</v>
      </c>
      <c r="AJ501" s="1182" t="s">
        <v>3376</v>
      </c>
      <c r="AL501" s="1186" t="s">
        <v>3377</v>
      </c>
      <c r="AM501" s="1182">
        <v>1</v>
      </c>
      <c r="AN501" s="1182">
        <v>0</v>
      </c>
      <c r="AO501" s="1182">
        <v>0</v>
      </c>
      <c r="AP501" s="1182">
        <v>0</v>
      </c>
      <c r="AQ501" s="1182" t="s">
        <v>1639</v>
      </c>
      <c r="AS501" s="1186" t="s">
        <v>1943</v>
      </c>
      <c r="AT501" s="1186" t="s">
        <v>1944</v>
      </c>
      <c r="AV501" s="1185">
        <v>1072</v>
      </c>
      <c r="AW501" s="1185">
        <v>0</v>
      </c>
      <c r="AX501" s="1185">
        <v>0</v>
      </c>
      <c r="AY501" s="1539">
        <v>1072</v>
      </c>
      <c r="AZ501" s="1185">
        <v>0</v>
      </c>
      <c r="BA501" s="1185">
        <v>0</v>
      </c>
      <c r="BB501" s="1540">
        <v>0</v>
      </c>
      <c r="BC501" s="1540">
        <v>1072</v>
      </c>
      <c r="BD501" s="1540">
        <v>0</v>
      </c>
      <c r="BF501" s="1539">
        <f t="shared" si="102"/>
        <v>1072</v>
      </c>
      <c r="BG501" s="1539">
        <f t="shared" si="103"/>
        <v>0</v>
      </c>
      <c r="BH501" s="1539">
        <f t="shared" si="104"/>
        <v>0</v>
      </c>
      <c r="BI501" s="1539">
        <f t="shared" si="105"/>
        <v>1072</v>
      </c>
      <c r="BJ501" s="1539">
        <f t="shared" si="106"/>
        <v>0</v>
      </c>
      <c r="BK501" s="1539">
        <f t="shared" si="107"/>
        <v>0</v>
      </c>
      <c r="BL501" s="1539">
        <f t="shared" si="108"/>
        <v>0</v>
      </c>
      <c r="BM501" s="1539">
        <f t="shared" si="109"/>
        <v>1072</v>
      </c>
      <c r="BO501" s="1183"/>
      <c r="BQ501" s="1182">
        <f t="shared" si="110"/>
        <v>0</v>
      </c>
      <c r="BR501" s="1182">
        <f t="shared" si="111"/>
        <v>0</v>
      </c>
    </row>
    <row r="502" spans="1:70" ht="13.5" customHeight="1">
      <c r="A502" s="1182" t="s">
        <v>1803</v>
      </c>
      <c r="B502" s="1182" t="s">
        <v>1804</v>
      </c>
      <c r="C502" s="1182" t="s">
        <v>1639</v>
      </c>
      <c r="D502" s="1182" t="s">
        <v>2092</v>
      </c>
      <c r="E502" s="1182" t="s">
        <v>2093</v>
      </c>
      <c r="F502" s="1182" t="s">
        <v>3378</v>
      </c>
      <c r="G502" s="1182" t="s">
        <v>3378</v>
      </c>
      <c r="H502" s="1182" t="s">
        <v>3379</v>
      </c>
      <c r="I502" s="1182" t="s">
        <v>1809</v>
      </c>
      <c r="J502" s="1182" t="s">
        <v>3380</v>
      </c>
      <c r="K502" s="1182" t="s">
        <v>1811</v>
      </c>
      <c r="L502" s="1182" t="s">
        <v>1812</v>
      </c>
      <c r="M502" s="1182" t="s">
        <v>1803</v>
      </c>
      <c r="N502" s="1182" t="s">
        <v>2922</v>
      </c>
      <c r="O502" s="1182" t="s">
        <v>1554</v>
      </c>
      <c r="P502" s="1182" t="s">
        <v>1563</v>
      </c>
      <c r="Q502" s="1182" t="s">
        <v>1562</v>
      </c>
      <c r="R502" s="1182" t="s">
        <v>1561</v>
      </c>
      <c r="S502" s="1182" t="s">
        <v>1639</v>
      </c>
      <c r="T502" s="1182" t="s">
        <v>1814</v>
      </c>
      <c r="U502" s="1182" t="s">
        <v>1815</v>
      </c>
      <c r="V502" s="1182">
        <v>0</v>
      </c>
      <c r="W502" s="1182">
        <v>0</v>
      </c>
      <c r="X502" s="1182">
        <v>0</v>
      </c>
      <c r="Y502" s="1183">
        <v>14385</v>
      </c>
      <c r="Z502" s="1182" t="s">
        <v>2923</v>
      </c>
      <c r="AA502" s="1182" t="s">
        <v>2924</v>
      </c>
      <c r="AB502" s="1182">
        <v>14385</v>
      </c>
      <c r="AC502" s="1182" t="s">
        <v>2925</v>
      </c>
      <c r="AD502" s="1182" t="s">
        <v>1561</v>
      </c>
      <c r="AE502" s="1182">
        <v>14385</v>
      </c>
      <c r="AF502" s="1182" t="s">
        <v>1943</v>
      </c>
      <c r="AG502" s="1182" t="s">
        <v>1944</v>
      </c>
      <c r="AH502" s="1182">
        <v>0</v>
      </c>
      <c r="AI502" s="1182">
        <v>14385</v>
      </c>
      <c r="AJ502" s="1182" t="s">
        <v>3381</v>
      </c>
      <c r="AL502" s="1186" t="s">
        <v>3382</v>
      </c>
      <c r="AM502" s="1182">
        <v>1</v>
      </c>
      <c r="AN502" s="1182">
        <v>0</v>
      </c>
      <c r="AO502" s="1182">
        <v>0</v>
      </c>
      <c r="AP502" s="1182">
        <v>0</v>
      </c>
      <c r="AQ502" s="1182" t="s">
        <v>1639</v>
      </c>
      <c r="AS502" s="1186" t="s">
        <v>1943</v>
      </c>
      <c r="AT502" s="1186" t="s">
        <v>1944</v>
      </c>
      <c r="AV502" s="1185">
        <v>14385</v>
      </c>
      <c r="AW502" s="1185">
        <v>0</v>
      </c>
      <c r="AX502" s="1185">
        <v>0</v>
      </c>
      <c r="AY502" s="1539">
        <v>14385</v>
      </c>
      <c r="AZ502" s="1185">
        <v>0</v>
      </c>
      <c r="BA502" s="1185">
        <v>0</v>
      </c>
      <c r="BB502" s="1540">
        <v>0</v>
      </c>
      <c r="BC502" s="1540">
        <v>14385</v>
      </c>
      <c r="BD502" s="1540">
        <v>0</v>
      </c>
      <c r="BF502" s="1539">
        <f t="shared" si="102"/>
        <v>14385</v>
      </c>
      <c r="BG502" s="1539">
        <f t="shared" si="103"/>
        <v>0</v>
      </c>
      <c r="BH502" s="1539">
        <f t="shared" si="104"/>
        <v>0</v>
      </c>
      <c r="BI502" s="1539">
        <f t="shared" si="105"/>
        <v>14385</v>
      </c>
      <c r="BJ502" s="1539">
        <f t="shared" si="106"/>
        <v>0</v>
      </c>
      <c r="BK502" s="1539">
        <f t="shared" si="107"/>
        <v>0</v>
      </c>
      <c r="BL502" s="1539">
        <f t="shared" si="108"/>
        <v>0</v>
      </c>
      <c r="BM502" s="1539">
        <f t="shared" si="109"/>
        <v>14385</v>
      </c>
      <c r="BO502" s="1183"/>
      <c r="BQ502" s="1182">
        <f t="shared" si="110"/>
        <v>0</v>
      </c>
      <c r="BR502" s="1182">
        <f t="shared" si="111"/>
        <v>0</v>
      </c>
    </row>
    <row r="503" spans="1:70" ht="13.5" customHeight="1">
      <c r="A503" s="1182" t="s">
        <v>1803</v>
      </c>
      <c r="B503" s="1182" t="s">
        <v>1804</v>
      </c>
      <c r="C503" s="1182" t="s">
        <v>1639</v>
      </c>
      <c r="D503" s="1182" t="s">
        <v>2092</v>
      </c>
      <c r="E503" s="1182" t="s">
        <v>2093</v>
      </c>
      <c r="F503" s="1182" t="s">
        <v>3378</v>
      </c>
      <c r="G503" s="1182" t="s">
        <v>3378</v>
      </c>
      <c r="H503" s="1182" t="s">
        <v>3383</v>
      </c>
      <c r="I503" s="1182" t="s">
        <v>1809</v>
      </c>
      <c r="J503" s="1182" t="s">
        <v>3384</v>
      </c>
      <c r="K503" s="1182" t="s">
        <v>1811</v>
      </c>
      <c r="L503" s="1182" t="s">
        <v>1812</v>
      </c>
      <c r="M503" s="1182" t="s">
        <v>1803</v>
      </c>
      <c r="N503" s="1182" t="s">
        <v>2922</v>
      </c>
      <c r="O503" s="1182" t="s">
        <v>1554</v>
      </c>
      <c r="P503" s="1182" t="s">
        <v>1563</v>
      </c>
      <c r="Q503" s="1182" t="s">
        <v>1562</v>
      </c>
      <c r="R503" s="1182" t="s">
        <v>1561</v>
      </c>
      <c r="S503" s="1182" t="s">
        <v>1639</v>
      </c>
      <c r="T503" s="1182" t="s">
        <v>1814</v>
      </c>
      <c r="U503" s="1182" t="s">
        <v>1815</v>
      </c>
      <c r="V503" s="1182">
        <v>0</v>
      </c>
      <c r="W503" s="1182">
        <v>0</v>
      </c>
      <c r="X503" s="1182">
        <v>0</v>
      </c>
      <c r="Y503" s="1183">
        <v>16030</v>
      </c>
      <c r="Z503" s="1182" t="s">
        <v>2923</v>
      </c>
      <c r="AA503" s="1182" t="s">
        <v>2924</v>
      </c>
      <c r="AB503" s="1182">
        <v>16030</v>
      </c>
      <c r="AC503" s="1182" t="s">
        <v>2925</v>
      </c>
      <c r="AD503" s="1182" t="s">
        <v>1561</v>
      </c>
      <c r="AE503" s="1182">
        <v>16030</v>
      </c>
      <c r="AF503" s="1182" t="s">
        <v>1943</v>
      </c>
      <c r="AG503" s="1182" t="s">
        <v>1944</v>
      </c>
      <c r="AH503" s="1182">
        <v>0</v>
      </c>
      <c r="AI503" s="1182">
        <v>16030</v>
      </c>
      <c r="AJ503" s="1182" t="s">
        <v>3381</v>
      </c>
      <c r="AL503" s="1186" t="s">
        <v>3385</v>
      </c>
      <c r="AM503" s="1182">
        <v>1</v>
      </c>
      <c r="AN503" s="1182">
        <v>0</v>
      </c>
      <c r="AO503" s="1182">
        <v>0</v>
      </c>
      <c r="AP503" s="1182">
        <v>0</v>
      </c>
      <c r="AQ503" s="1182" t="s">
        <v>1639</v>
      </c>
      <c r="AS503" s="1186" t="s">
        <v>1943</v>
      </c>
      <c r="AT503" s="1186" t="s">
        <v>1944</v>
      </c>
      <c r="AV503" s="1185">
        <v>16030</v>
      </c>
      <c r="AW503" s="1185">
        <v>0</v>
      </c>
      <c r="AX503" s="1185">
        <v>0</v>
      </c>
      <c r="AY503" s="1539">
        <v>16030</v>
      </c>
      <c r="AZ503" s="1185">
        <v>0</v>
      </c>
      <c r="BA503" s="1185">
        <v>0</v>
      </c>
      <c r="BB503" s="1540">
        <v>0</v>
      </c>
      <c r="BC503" s="1540">
        <v>16030</v>
      </c>
      <c r="BD503" s="1540">
        <v>0</v>
      </c>
      <c r="BF503" s="1539">
        <f t="shared" si="102"/>
        <v>16030</v>
      </c>
      <c r="BG503" s="1539">
        <f t="shared" si="103"/>
        <v>0</v>
      </c>
      <c r="BH503" s="1539">
        <f t="shared" si="104"/>
        <v>0</v>
      </c>
      <c r="BI503" s="1539">
        <f t="shared" si="105"/>
        <v>16030</v>
      </c>
      <c r="BJ503" s="1539">
        <f t="shared" si="106"/>
        <v>0</v>
      </c>
      <c r="BK503" s="1539">
        <f t="shared" si="107"/>
        <v>0</v>
      </c>
      <c r="BL503" s="1539">
        <f t="shared" si="108"/>
        <v>0</v>
      </c>
      <c r="BM503" s="1539">
        <f t="shared" si="109"/>
        <v>16030</v>
      </c>
      <c r="BO503" s="1183"/>
      <c r="BQ503" s="1182">
        <f t="shared" si="110"/>
        <v>0</v>
      </c>
      <c r="BR503" s="1182">
        <f t="shared" si="111"/>
        <v>0</v>
      </c>
    </row>
    <row r="504" spans="1:70" ht="13.5" customHeight="1">
      <c r="A504" s="1182" t="s">
        <v>1803</v>
      </c>
      <c r="B504" s="1182" t="s">
        <v>1804</v>
      </c>
      <c r="C504" s="1182" t="s">
        <v>1639</v>
      </c>
      <c r="D504" s="1182" t="s">
        <v>2092</v>
      </c>
      <c r="E504" s="1182" t="s">
        <v>2093</v>
      </c>
      <c r="F504" s="1182" t="s">
        <v>2980</v>
      </c>
      <c r="G504" s="1182" t="s">
        <v>2980</v>
      </c>
      <c r="H504" s="1182" t="s">
        <v>3386</v>
      </c>
      <c r="I504" s="1182" t="s">
        <v>1809</v>
      </c>
      <c r="J504" s="1182" t="s">
        <v>3387</v>
      </c>
      <c r="K504" s="1182" t="s">
        <v>1811</v>
      </c>
      <c r="L504" s="1182" t="s">
        <v>1812</v>
      </c>
      <c r="M504" s="1182" t="s">
        <v>1803</v>
      </c>
      <c r="N504" s="1182" t="s">
        <v>2922</v>
      </c>
      <c r="O504" s="1182" t="s">
        <v>1554</v>
      </c>
      <c r="P504" s="1182" t="s">
        <v>1563</v>
      </c>
      <c r="Q504" s="1182" t="s">
        <v>1562</v>
      </c>
      <c r="R504" s="1182" t="s">
        <v>1561</v>
      </c>
      <c r="S504" s="1182" t="s">
        <v>1639</v>
      </c>
      <c r="T504" s="1182" t="s">
        <v>1814</v>
      </c>
      <c r="U504" s="1182" t="s">
        <v>1815</v>
      </c>
      <c r="V504" s="1182">
        <v>0</v>
      </c>
      <c r="W504" s="1182">
        <v>0</v>
      </c>
      <c r="X504" s="1182">
        <v>0</v>
      </c>
      <c r="Y504" s="1183">
        <v>225215</v>
      </c>
      <c r="Z504" s="1182" t="s">
        <v>2923</v>
      </c>
      <c r="AA504" s="1182" t="s">
        <v>2924</v>
      </c>
      <c r="AB504" s="1182">
        <v>225215</v>
      </c>
      <c r="AC504" s="1182" t="s">
        <v>2925</v>
      </c>
      <c r="AD504" s="1182" t="s">
        <v>1561</v>
      </c>
      <c r="AE504" s="1182">
        <v>225215</v>
      </c>
      <c r="AF504" s="1182" t="s">
        <v>1943</v>
      </c>
      <c r="AG504" s="1182" t="s">
        <v>1944</v>
      </c>
      <c r="AH504" s="1182">
        <v>0</v>
      </c>
      <c r="AI504" s="1182">
        <v>225215</v>
      </c>
      <c r="AJ504" s="1182" t="s">
        <v>3388</v>
      </c>
      <c r="AL504" s="1186" t="s">
        <v>3389</v>
      </c>
      <c r="AM504" s="1182">
        <v>1</v>
      </c>
      <c r="AN504" s="1182">
        <v>0</v>
      </c>
      <c r="AO504" s="1182">
        <v>0</v>
      </c>
      <c r="AP504" s="1182">
        <v>0</v>
      </c>
      <c r="AQ504" s="1182" t="s">
        <v>1639</v>
      </c>
      <c r="AS504" s="1186" t="s">
        <v>1943</v>
      </c>
      <c r="AT504" s="1186" t="s">
        <v>1944</v>
      </c>
      <c r="AV504" s="1185">
        <v>225215</v>
      </c>
      <c r="AW504" s="1185">
        <v>0</v>
      </c>
      <c r="AX504" s="1185">
        <v>0</v>
      </c>
      <c r="AY504" s="1539">
        <v>225215</v>
      </c>
      <c r="AZ504" s="1185">
        <v>0</v>
      </c>
      <c r="BA504" s="1185">
        <v>0</v>
      </c>
      <c r="BB504" s="1540">
        <v>0</v>
      </c>
      <c r="BC504" s="1540">
        <v>225215</v>
      </c>
      <c r="BD504" s="1540">
        <v>0</v>
      </c>
      <c r="BF504" s="1539">
        <f t="shared" si="102"/>
        <v>225215</v>
      </c>
      <c r="BG504" s="1539">
        <f t="shared" si="103"/>
        <v>0</v>
      </c>
      <c r="BH504" s="1539">
        <f t="shared" si="104"/>
        <v>0</v>
      </c>
      <c r="BI504" s="1539">
        <f t="shared" si="105"/>
        <v>225215</v>
      </c>
      <c r="BJ504" s="1539">
        <f t="shared" si="106"/>
        <v>0</v>
      </c>
      <c r="BK504" s="1539">
        <f t="shared" si="107"/>
        <v>0</v>
      </c>
      <c r="BL504" s="1539">
        <f t="shared" si="108"/>
        <v>0</v>
      </c>
      <c r="BM504" s="1539">
        <f t="shared" si="109"/>
        <v>225215</v>
      </c>
      <c r="BO504" s="1183"/>
      <c r="BQ504" s="1182">
        <f t="shared" si="110"/>
        <v>0</v>
      </c>
      <c r="BR504" s="1182">
        <f t="shared" si="111"/>
        <v>0</v>
      </c>
    </row>
    <row r="505" spans="1:70" ht="13.5" customHeight="1">
      <c r="A505" s="1182" t="s">
        <v>1803</v>
      </c>
      <c r="B505" s="1182" t="s">
        <v>1804</v>
      </c>
      <c r="C505" s="1182" t="s">
        <v>1639</v>
      </c>
      <c r="D505" s="1182" t="s">
        <v>2092</v>
      </c>
      <c r="E505" s="1182" t="s">
        <v>2093</v>
      </c>
      <c r="F505" s="1182" t="s">
        <v>2980</v>
      </c>
      <c r="G505" s="1182" t="s">
        <v>2980</v>
      </c>
      <c r="H505" s="1182" t="s">
        <v>3390</v>
      </c>
      <c r="I505" s="1182" t="s">
        <v>1809</v>
      </c>
      <c r="J505" s="1182" t="s">
        <v>3391</v>
      </c>
      <c r="K505" s="1182" t="s">
        <v>1811</v>
      </c>
      <c r="L505" s="1182" t="s">
        <v>1812</v>
      </c>
      <c r="M505" s="1182" t="s">
        <v>1803</v>
      </c>
      <c r="N505" s="1182" t="s">
        <v>2922</v>
      </c>
      <c r="O505" s="1182" t="s">
        <v>1554</v>
      </c>
      <c r="P505" s="1182" t="s">
        <v>1563</v>
      </c>
      <c r="Q505" s="1182" t="s">
        <v>1562</v>
      </c>
      <c r="R505" s="1182" t="s">
        <v>1561</v>
      </c>
      <c r="S505" s="1182" t="s">
        <v>1639</v>
      </c>
      <c r="T505" s="1182" t="s">
        <v>1814</v>
      </c>
      <c r="U505" s="1182" t="s">
        <v>1815</v>
      </c>
      <c r="V505" s="1182">
        <v>0</v>
      </c>
      <c r="W505" s="1182">
        <v>0</v>
      </c>
      <c r="X505" s="1182">
        <v>0</v>
      </c>
      <c r="Y505" s="1183">
        <v>22520</v>
      </c>
      <c r="Z505" s="1182" t="s">
        <v>2923</v>
      </c>
      <c r="AA505" s="1182" t="s">
        <v>2924</v>
      </c>
      <c r="AB505" s="1182">
        <v>22520</v>
      </c>
      <c r="AC505" s="1182" t="s">
        <v>2925</v>
      </c>
      <c r="AD505" s="1182" t="s">
        <v>1561</v>
      </c>
      <c r="AE505" s="1182">
        <v>22520</v>
      </c>
      <c r="AF505" s="1182" t="s">
        <v>1943</v>
      </c>
      <c r="AG505" s="1182" t="s">
        <v>1944</v>
      </c>
      <c r="AH505" s="1182">
        <v>0</v>
      </c>
      <c r="AI505" s="1182">
        <v>22520</v>
      </c>
      <c r="AJ505" s="1182" t="s">
        <v>3392</v>
      </c>
      <c r="AL505" s="1186" t="s">
        <v>3393</v>
      </c>
      <c r="AM505" s="1182">
        <v>1</v>
      </c>
      <c r="AN505" s="1182">
        <v>0</v>
      </c>
      <c r="AO505" s="1182">
        <v>0</v>
      </c>
      <c r="AP505" s="1182">
        <v>0</v>
      </c>
      <c r="AQ505" s="1182" t="s">
        <v>1639</v>
      </c>
      <c r="AS505" s="1186" t="s">
        <v>1943</v>
      </c>
      <c r="AT505" s="1186" t="s">
        <v>1944</v>
      </c>
      <c r="AV505" s="1185">
        <v>22520</v>
      </c>
      <c r="AW505" s="1185">
        <v>0</v>
      </c>
      <c r="AX505" s="1185">
        <v>0</v>
      </c>
      <c r="AY505" s="1539">
        <v>22520</v>
      </c>
      <c r="AZ505" s="1185">
        <v>0</v>
      </c>
      <c r="BA505" s="1185">
        <v>0</v>
      </c>
      <c r="BB505" s="1540">
        <v>0</v>
      </c>
      <c r="BC505" s="1540">
        <v>22520</v>
      </c>
      <c r="BD505" s="1540">
        <v>0</v>
      </c>
      <c r="BF505" s="1539">
        <f t="shared" si="102"/>
        <v>22520</v>
      </c>
      <c r="BG505" s="1539">
        <f t="shared" si="103"/>
        <v>0</v>
      </c>
      <c r="BH505" s="1539">
        <f t="shared" si="104"/>
        <v>0</v>
      </c>
      <c r="BI505" s="1539">
        <f t="shared" si="105"/>
        <v>22520</v>
      </c>
      <c r="BJ505" s="1539">
        <f t="shared" si="106"/>
        <v>0</v>
      </c>
      <c r="BK505" s="1539">
        <f t="shared" si="107"/>
        <v>0</v>
      </c>
      <c r="BL505" s="1539">
        <f t="shared" si="108"/>
        <v>0</v>
      </c>
      <c r="BM505" s="1539">
        <f t="shared" si="109"/>
        <v>22520</v>
      </c>
      <c r="BO505" s="1183"/>
      <c r="BQ505" s="1182">
        <f t="shared" si="110"/>
        <v>0</v>
      </c>
      <c r="BR505" s="1182">
        <f t="shared" si="111"/>
        <v>0</v>
      </c>
    </row>
    <row r="506" spans="1:70" ht="13.5" customHeight="1">
      <c r="A506" s="1182" t="s">
        <v>1803</v>
      </c>
      <c r="B506" s="1182" t="s">
        <v>1804</v>
      </c>
      <c r="C506" s="1182" t="s">
        <v>1639</v>
      </c>
      <c r="D506" s="1182" t="s">
        <v>2092</v>
      </c>
      <c r="E506" s="1182" t="s">
        <v>2093</v>
      </c>
      <c r="F506" s="1182" t="s">
        <v>2980</v>
      </c>
      <c r="G506" s="1182" t="s">
        <v>2980</v>
      </c>
      <c r="H506" s="1182" t="s">
        <v>3394</v>
      </c>
      <c r="I506" s="1182" t="s">
        <v>1809</v>
      </c>
      <c r="J506" s="1182" t="s">
        <v>3395</v>
      </c>
      <c r="K506" s="1182" t="s">
        <v>1811</v>
      </c>
      <c r="L506" s="1182" t="s">
        <v>1812</v>
      </c>
      <c r="M506" s="1182" t="s">
        <v>1803</v>
      </c>
      <c r="N506" s="1182" t="s">
        <v>2922</v>
      </c>
      <c r="O506" s="1182" t="s">
        <v>1554</v>
      </c>
      <c r="P506" s="1182" t="s">
        <v>1563</v>
      </c>
      <c r="Q506" s="1182" t="s">
        <v>1562</v>
      </c>
      <c r="R506" s="1182" t="s">
        <v>1561</v>
      </c>
      <c r="S506" s="1182" t="s">
        <v>1639</v>
      </c>
      <c r="T506" s="1182" t="s">
        <v>1814</v>
      </c>
      <c r="U506" s="1182" t="s">
        <v>1815</v>
      </c>
      <c r="V506" s="1182">
        <v>0</v>
      </c>
      <c r="W506" s="1182">
        <v>0</v>
      </c>
      <c r="X506" s="1182">
        <v>0</v>
      </c>
      <c r="Y506" s="1183">
        <v>22540</v>
      </c>
      <c r="Z506" s="1182" t="s">
        <v>2923</v>
      </c>
      <c r="AA506" s="1182" t="s">
        <v>2924</v>
      </c>
      <c r="AB506" s="1182">
        <v>22540</v>
      </c>
      <c r="AC506" s="1182" t="s">
        <v>2925</v>
      </c>
      <c r="AD506" s="1182" t="s">
        <v>1561</v>
      </c>
      <c r="AE506" s="1182">
        <v>22540</v>
      </c>
      <c r="AF506" s="1182" t="s">
        <v>1943</v>
      </c>
      <c r="AG506" s="1182" t="s">
        <v>1944</v>
      </c>
      <c r="AH506" s="1182">
        <v>0</v>
      </c>
      <c r="AI506" s="1182">
        <v>22540</v>
      </c>
      <c r="AJ506" s="1182" t="s">
        <v>3396</v>
      </c>
      <c r="AL506" s="1186" t="s">
        <v>3397</v>
      </c>
      <c r="AM506" s="1182">
        <v>1</v>
      </c>
      <c r="AN506" s="1182">
        <v>0</v>
      </c>
      <c r="AO506" s="1182">
        <v>0</v>
      </c>
      <c r="AP506" s="1182">
        <v>0</v>
      </c>
      <c r="AQ506" s="1182" t="s">
        <v>1639</v>
      </c>
      <c r="AS506" s="1186" t="s">
        <v>1943</v>
      </c>
      <c r="AT506" s="1186" t="s">
        <v>1944</v>
      </c>
      <c r="AV506" s="1185">
        <v>22540</v>
      </c>
      <c r="AW506" s="1185">
        <v>0</v>
      </c>
      <c r="AX506" s="1185">
        <v>0</v>
      </c>
      <c r="AY506" s="1539">
        <v>22540</v>
      </c>
      <c r="AZ506" s="1185">
        <v>0</v>
      </c>
      <c r="BA506" s="1185">
        <v>0</v>
      </c>
      <c r="BB506" s="1540">
        <v>0</v>
      </c>
      <c r="BC506" s="1540">
        <v>22540</v>
      </c>
      <c r="BD506" s="1540">
        <v>0</v>
      </c>
      <c r="BF506" s="1539">
        <f t="shared" si="102"/>
        <v>22540</v>
      </c>
      <c r="BG506" s="1539">
        <f t="shared" si="103"/>
        <v>0</v>
      </c>
      <c r="BH506" s="1539">
        <f t="shared" si="104"/>
        <v>0</v>
      </c>
      <c r="BI506" s="1539">
        <f t="shared" si="105"/>
        <v>22540</v>
      </c>
      <c r="BJ506" s="1539">
        <f t="shared" si="106"/>
        <v>0</v>
      </c>
      <c r="BK506" s="1539">
        <f t="shared" si="107"/>
        <v>0</v>
      </c>
      <c r="BL506" s="1539">
        <f t="shared" si="108"/>
        <v>0</v>
      </c>
      <c r="BM506" s="1539">
        <f t="shared" si="109"/>
        <v>22540</v>
      </c>
      <c r="BO506" s="1183"/>
      <c r="BQ506" s="1182">
        <f t="shared" si="110"/>
        <v>0</v>
      </c>
      <c r="BR506" s="1182">
        <f t="shared" si="111"/>
        <v>0</v>
      </c>
    </row>
    <row r="507" spans="1:70" ht="13.5" customHeight="1">
      <c r="A507" s="1182" t="s">
        <v>1803</v>
      </c>
      <c r="B507" s="1182" t="s">
        <v>1804</v>
      </c>
      <c r="C507" s="1182" t="s">
        <v>1639</v>
      </c>
      <c r="D507" s="1182" t="s">
        <v>2092</v>
      </c>
      <c r="E507" s="1182" t="s">
        <v>2093</v>
      </c>
      <c r="F507" s="1182" t="s">
        <v>2980</v>
      </c>
      <c r="G507" s="1182" t="s">
        <v>2980</v>
      </c>
      <c r="H507" s="1182" t="s">
        <v>3398</v>
      </c>
      <c r="I507" s="1182" t="s">
        <v>1809</v>
      </c>
      <c r="J507" s="1182" t="s">
        <v>3399</v>
      </c>
      <c r="K507" s="1182" t="s">
        <v>1811</v>
      </c>
      <c r="L507" s="1182" t="s">
        <v>1812</v>
      </c>
      <c r="M507" s="1182" t="s">
        <v>1803</v>
      </c>
      <c r="N507" s="1182" t="s">
        <v>2922</v>
      </c>
      <c r="O507" s="1182" t="s">
        <v>1554</v>
      </c>
      <c r="P507" s="1182" t="s">
        <v>1563</v>
      </c>
      <c r="Q507" s="1182" t="s">
        <v>1562</v>
      </c>
      <c r="R507" s="1182" t="s">
        <v>1561</v>
      </c>
      <c r="S507" s="1182" t="s">
        <v>1639</v>
      </c>
      <c r="T507" s="1182" t="s">
        <v>1814</v>
      </c>
      <c r="U507" s="1182" t="s">
        <v>1815</v>
      </c>
      <c r="V507" s="1182">
        <v>0</v>
      </c>
      <c r="W507" s="1182">
        <v>0</v>
      </c>
      <c r="X507" s="1182">
        <v>0</v>
      </c>
      <c r="Y507" s="1183">
        <v>22480</v>
      </c>
      <c r="Z507" s="1182" t="s">
        <v>2923</v>
      </c>
      <c r="AA507" s="1182" t="s">
        <v>2924</v>
      </c>
      <c r="AB507" s="1182">
        <v>22480</v>
      </c>
      <c r="AC507" s="1182" t="s">
        <v>2925</v>
      </c>
      <c r="AD507" s="1182" t="s">
        <v>1561</v>
      </c>
      <c r="AE507" s="1182">
        <v>22480</v>
      </c>
      <c r="AF507" s="1182" t="s">
        <v>1943</v>
      </c>
      <c r="AG507" s="1182" t="s">
        <v>1944</v>
      </c>
      <c r="AH507" s="1182">
        <v>0</v>
      </c>
      <c r="AI507" s="1182">
        <v>22480</v>
      </c>
      <c r="AJ507" s="1182" t="s">
        <v>3400</v>
      </c>
      <c r="AL507" s="1186" t="s">
        <v>3401</v>
      </c>
      <c r="AM507" s="1182">
        <v>1</v>
      </c>
      <c r="AN507" s="1182">
        <v>0</v>
      </c>
      <c r="AO507" s="1182">
        <v>0</v>
      </c>
      <c r="AP507" s="1182">
        <v>0</v>
      </c>
      <c r="AQ507" s="1182" t="s">
        <v>1639</v>
      </c>
      <c r="AS507" s="1186" t="s">
        <v>1943</v>
      </c>
      <c r="AT507" s="1186" t="s">
        <v>1944</v>
      </c>
      <c r="AV507" s="1183">
        <v>22480</v>
      </c>
      <c r="AW507" s="1183">
        <v>0</v>
      </c>
      <c r="AX507" s="1183">
        <v>0</v>
      </c>
      <c r="AY507" s="1538">
        <v>22480</v>
      </c>
      <c r="AZ507" s="1183">
        <v>0</v>
      </c>
      <c r="BA507" s="1183">
        <v>0</v>
      </c>
      <c r="BB507" s="1540">
        <v>0</v>
      </c>
      <c r="BC507" s="1540">
        <v>22480</v>
      </c>
      <c r="BD507" s="1540">
        <v>0</v>
      </c>
      <c r="BF507" s="1539">
        <f t="shared" si="102"/>
        <v>22480</v>
      </c>
      <c r="BG507" s="1539">
        <f t="shared" si="103"/>
        <v>0</v>
      </c>
      <c r="BH507" s="1539">
        <f t="shared" si="104"/>
        <v>0</v>
      </c>
      <c r="BI507" s="1539">
        <f t="shared" si="105"/>
        <v>22480</v>
      </c>
      <c r="BJ507" s="1539">
        <f t="shared" si="106"/>
        <v>0</v>
      </c>
      <c r="BK507" s="1539">
        <f t="shared" si="107"/>
        <v>0</v>
      </c>
      <c r="BL507" s="1539">
        <f t="shared" si="108"/>
        <v>0</v>
      </c>
      <c r="BM507" s="1539">
        <f t="shared" si="109"/>
        <v>22480</v>
      </c>
      <c r="BO507" s="1183"/>
      <c r="BQ507" s="1182">
        <f t="shared" si="110"/>
        <v>0</v>
      </c>
      <c r="BR507" s="1182">
        <f t="shared" si="111"/>
        <v>0</v>
      </c>
    </row>
    <row r="508" spans="1:70" ht="13.5" customHeight="1">
      <c r="A508" s="1182" t="s">
        <v>1803</v>
      </c>
      <c r="B508" s="1182" t="s">
        <v>1804</v>
      </c>
      <c r="C508" s="1182" t="s">
        <v>1639</v>
      </c>
      <c r="D508" s="1182" t="s">
        <v>2092</v>
      </c>
      <c r="E508" s="1182" t="s">
        <v>2093</v>
      </c>
      <c r="F508" s="1182" t="s">
        <v>2980</v>
      </c>
      <c r="G508" s="1182" t="s">
        <v>2980</v>
      </c>
      <c r="H508" s="1182" t="s">
        <v>3402</v>
      </c>
      <c r="I508" s="1182" t="s">
        <v>1809</v>
      </c>
      <c r="J508" s="1182" t="s">
        <v>3403</v>
      </c>
      <c r="K508" s="1182" t="s">
        <v>1811</v>
      </c>
      <c r="L508" s="1182" t="s">
        <v>1812</v>
      </c>
      <c r="M508" s="1182" t="s">
        <v>1803</v>
      </c>
      <c r="N508" s="1182" t="s">
        <v>2922</v>
      </c>
      <c r="O508" s="1182" t="s">
        <v>1554</v>
      </c>
      <c r="P508" s="1182" t="s">
        <v>1563</v>
      </c>
      <c r="Q508" s="1182" t="s">
        <v>1562</v>
      </c>
      <c r="R508" s="1182" t="s">
        <v>1561</v>
      </c>
      <c r="S508" s="1182" t="s">
        <v>1639</v>
      </c>
      <c r="T508" s="1182" t="s">
        <v>1814</v>
      </c>
      <c r="U508" s="1182" t="s">
        <v>1815</v>
      </c>
      <c r="V508" s="1182">
        <v>0</v>
      </c>
      <c r="W508" s="1182">
        <v>0</v>
      </c>
      <c r="X508" s="1182">
        <v>0</v>
      </c>
      <c r="Y508" s="1183">
        <v>8500</v>
      </c>
      <c r="Z508" s="1182" t="s">
        <v>2923</v>
      </c>
      <c r="AA508" s="1182" t="s">
        <v>2924</v>
      </c>
      <c r="AB508" s="1182">
        <v>8500</v>
      </c>
      <c r="AC508" s="1182" t="s">
        <v>2925</v>
      </c>
      <c r="AD508" s="1182" t="s">
        <v>1561</v>
      </c>
      <c r="AE508" s="1182">
        <v>8500</v>
      </c>
      <c r="AF508" s="1182" t="s">
        <v>1943</v>
      </c>
      <c r="AG508" s="1182" t="s">
        <v>1944</v>
      </c>
      <c r="AH508" s="1182">
        <v>0</v>
      </c>
      <c r="AI508" s="1182">
        <v>8500</v>
      </c>
      <c r="AJ508" s="1182" t="s">
        <v>3404</v>
      </c>
      <c r="AL508" s="1186" t="s">
        <v>3405</v>
      </c>
      <c r="AM508" s="1182">
        <v>1</v>
      </c>
      <c r="AN508" s="1182">
        <v>0</v>
      </c>
      <c r="AO508" s="1182">
        <v>0</v>
      </c>
      <c r="AP508" s="1182">
        <v>0</v>
      </c>
      <c r="AQ508" s="1182" t="s">
        <v>1639</v>
      </c>
      <c r="AS508" s="1186" t="s">
        <v>1943</v>
      </c>
      <c r="AT508" s="1186" t="s">
        <v>1944</v>
      </c>
      <c r="AV508" s="1183">
        <v>8500</v>
      </c>
      <c r="AW508" s="1183">
        <v>0</v>
      </c>
      <c r="AX508" s="1183">
        <v>0</v>
      </c>
      <c r="AY508" s="1538">
        <v>8500</v>
      </c>
      <c r="AZ508" s="1183">
        <v>0</v>
      </c>
      <c r="BA508" s="1183">
        <v>0</v>
      </c>
      <c r="BB508" s="1540">
        <v>0</v>
      </c>
      <c r="BC508" s="1540">
        <v>8500</v>
      </c>
      <c r="BD508" s="1540">
        <v>0</v>
      </c>
      <c r="BF508" s="1539">
        <f t="shared" si="102"/>
        <v>8500</v>
      </c>
      <c r="BG508" s="1539">
        <f t="shared" si="103"/>
        <v>0</v>
      </c>
      <c r="BH508" s="1539">
        <f t="shared" si="104"/>
        <v>0</v>
      </c>
      <c r="BI508" s="1539">
        <f t="shared" si="105"/>
        <v>8500</v>
      </c>
      <c r="BJ508" s="1539">
        <f t="shared" si="106"/>
        <v>0</v>
      </c>
      <c r="BK508" s="1539">
        <f t="shared" si="107"/>
        <v>0</v>
      </c>
      <c r="BL508" s="1539">
        <f t="shared" si="108"/>
        <v>0</v>
      </c>
      <c r="BM508" s="1539">
        <f t="shared" si="109"/>
        <v>8500</v>
      </c>
      <c r="BO508" s="1183"/>
      <c r="BQ508" s="1182">
        <f t="shared" si="110"/>
        <v>0</v>
      </c>
      <c r="BR508" s="1182">
        <f t="shared" si="111"/>
        <v>0</v>
      </c>
    </row>
    <row r="509" spans="1:70" ht="13.5" customHeight="1">
      <c r="A509" s="1182" t="s">
        <v>1803</v>
      </c>
      <c r="B509" s="1182" t="s">
        <v>1804</v>
      </c>
      <c r="C509" s="1182" t="s">
        <v>1639</v>
      </c>
      <c r="D509" s="1182" t="s">
        <v>3154</v>
      </c>
      <c r="E509" s="1182" t="s">
        <v>3155</v>
      </c>
      <c r="F509" s="1182" t="s">
        <v>2000</v>
      </c>
      <c r="G509" s="1182" t="s">
        <v>2000</v>
      </c>
      <c r="H509" s="1182" t="s">
        <v>3406</v>
      </c>
      <c r="I509" s="1182" t="s">
        <v>1809</v>
      </c>
      <c r="J509" s="1182" t="s">
        <v>3407</v>
      </c>
      <c r="K509" s="1182" t="s">
        <v>1811</v>
      </c>
      <c r="L509" s="1182" t="s">
        <v>1812</v>
      </c>
      <c r="M509" s="1182" t="s">
        <v>1803</v>
      </c>
      <c r="N509" s="1182" t="s">
        <v>2922</v>
      </c>
      <c r="O509" s="1182" t="s">
        <v>1554</v>
      </c>
      <c r="P509" s="1182" t="s">
        <v>1563</v>
      </c>
      <c r="Q509" s="1182" t="s">
        <v>1562</v>
      </c>
      <c r="R509" s="1182" t="s">
        <v>1561</v>
      </c>
      <c r="S509" s="1182" t="s">
        <v>1639</v>
      </c>
      <c r="T509" s="1182" t="s">
        <v>1814</v>
      </c>
      <c r="U509" s="1182" t="s">
        <v>1815</v>
      </c>
      <c r="V509" s="1182">
        <v>0</v>
      </c>
      <c r="W509" s="1182">
        <v>0</v>
      </c>
      <c r="X509" s="1182">
        <v>0</v>
      </c>
      <c r="Y509" s="1183">
        <v>4829</v>
      </c>
      <c r="Z509" s="1182" t="s">
        <v>2923</v>
      </c>
      <c r="AA509" s="1182" t="s">
        <v>2924</v>
      </c>
      <c r="AB509" s="1182">
        <v>4829</v>
      </c>
      <c r="AC509" s="1182" t="s">
        <v>2925</v>
      </c>
      <c r="AD509" s="1182" t="s">
        <v>1561</v>
      </c>
      <c r="AE509" s="1182">
        <v>4829</v>
      </c>
      <c r="AF509" s="1182" t="s">
        <v>1819</v>
      </c>
      <c r="AG509" s="1182" t="s">
        <v>1820</v>
      </c>
      <c r="AH509" s="1182">
        <v>439</v>
      </c>
      <c r="AI509" s="1182">
        <v>4390</v>
      </c>
      <c r="AJ509" s="1182" t="s">
        <v>3408</v>
      </c>
      <c r="AL509" s="1186" t="s">
        <v>3409</v>
      </c>
      <c r="AM509" s="1182">
        <v>1</v>
      </c>
      <c r="AN509" s="1182">
        <v>0</v>
      </c>
      <c r="AO509" s="1182">
        <v>0</v>
      </c>
      <c r="AP509" s="1182">
        <v>0</v>
      </c>
      <c r="AQ509" s="1182" t="s">
        <v>1639</v>
      </c>
      <c r="AS509" s="1186" t="s">
        <v>1819</v>
      </c>
      <c r="AT509" s="1186" t="s">
        <v>1820</v>
      </c>
      <c r="AV509" s="1183">
        <v>1111</v>
      </c>
      <c r="AW509" s="1183">
        <v>0</v>
      </c>
      <c r="AX509" s="1183">
        <v>0</v>
      </c>
      <c r="AY509" s="1538">
        <v>1111</v>
      </c>
      <c r="AZ509" s="1183">
        <v>0</v>
      </c>
      <c r="BA509" s="1183">
        <v>3718</v>
      </c>
      <c r="BB509" s="1540">
        <v>3718</v>
      </c>
      <c r="BC509" s="1540">
        <v>4829</v>
      </c>
      <c r="BD509" s="1540">
        <v>0</v>
      </c>
      <c r="BF509" s="1539">
        <f t="shared" si="102"/>
        <v>1010</v>
      </c>
      <c r="BG509" s="1539">
        <f t="shared" si="103"/>
        <v>0</v>
      </c>
      <c r="BH509" s="1539">
        <f t="shared" si="104"/>
        <v>0</v>
      </c>
      <c r="BI509" s="1539">
        <f t="shared" si="105"/>
        <v>1010</v>
      </c>
      <c r="BJ509" s="1539">
        <f t="shared" si="106"/>
        <v>0</v>
      </c>
      <c r="BK509" s="1539">
        <f t="shared" si="107"/>
        <v>3380</v>
      </c>
      <c r="BL509" s="1539">
        <f t="shared" si="108"/>
        <v>3380</v>
      </c>
      <c r="BM509" s="1539">
        <f t="shared" si="109"/>
        <v>4390</v>
      </c>
      <c r="BO509" s="1183"/>
      <c r="BQ509" s="1182">
        <f t="shared" si="110"/>
        <v>0</v>
      </c>
      <c r="BR509" s="1182">
        <f t="shared" si="111"/>
        <v>0</v>
      </c>
    </row>
    <row r="510" spans="1:70" ht="13.5" customHeight="1">
      <c r="A510" s="1182" t="s">
        <v>1803</v>
      </c>
      <c r="B510" s="1182" t="s">
        <v>1804</v>
      </c>
      <c r="C510" s="1182" t="s">
        <v>1639</v>
      </c>
      <c r="D510" s="1182" t="s">
        <v>3154</v>
      </c>
      <c r="E510" s="1182" t="s">
        <v>3155</v>
      </c>
      <c r="F510" s="1182" t="s">
        <v>2131</v>
      </c>
      <c r="G510" s="1182" t="s">
        <v>2131</v>
      </c>
      <c r="H510" s="1182" t="s">
        <v>3410</v>
      </c>
      <c r="I510" s="1182" t="s">
        <v>1809</v>
      </c>
      <c r="J510" s="1182" t="s">
        <v>3411</v>
      </c>
      <c r="K510" s="1182" t="s">
        <v>1811</v>
      </c>
      <c r="L510" s="1182" t="s">
        <v>1812</v>
      </c>
      <c r="M510" s="1182" t="s">
        <v>1803</v>
      </c>
      <c r="N510" s="1182" t="s">
        <v>2922</v>
      </c>
      <c r="O510" s="1182" t="s">
        <v>1554</v>
      </c>
      <c r="P510" s="1182" t="s">
        <v>1563</v>
      </c>
      <c r="Q510" s="1182" t="s">
        <v>1562</v>
      </c>
      <c r="R510" s="1182" t="s">
        <v>1561</v>
      </c>
      <c r="S510" s="1182" t="s">
        <v>1639</v>
      </c>
      <c r="T510" s="1182" t="s">
        <v>1814</v>
      </c>
      <c r="U510" s="1182" t="s">
        <v>1815</v>
      </c>
      <c r="V510" s="1182">
        <v>0</v>
      </c>
      <c r="W510" s="1182">
        <v>0</v>
      </c>
      <c r="X510" s="1182">
        <v>0</v>
      </c>
      <c r="Y510" s="1183">
        <v>6987</v>
      </c>
      <c r="Z510" s="1182" t="s">
        <v>2923</v>
      </c>
      <c r="AA510" s="1182" t="s">
        <v>2924</v>
      </c>
      <c r="AB510" s="1182">
        <v>6987</v>
      </c>
      <c r="AC510" s="1182" t="s">
        <v>2925</v>
      </c>
      <c r="AD510" s="1182" t="s">
        <v>1561</v>
      </c>
      <c r="AE510" s="1182">
        <v>6987</v>
      </c>
      <c r="AF510" s="1182" t="s">
        <v>1819</v>
      </c>
      <c r="AG510" s="1182" t="s">
        <v>1820</v>
      </c>
      <c r="AH510" s="1182">
        <v>635</v>
      </c>
      <c r="AI510" s="1182">
        <v>6352</v>
      </c>
      <c r="AJ510" s="1182" t="s">
        <v>3412</v>
      </c>
      <c r="AL510" s="1186" t="s">
        <v>3413</v>
      </c>
      <c r="AM510" s="1182">
        <v>1</v>
      </c>
      <c r="AN510" s="1182">
        <v>0</v>
      </c>
      <c r="AO510" s="1182">
        <v>0</v>
      </c>
      <c r="AP510" s="1182">
        <v>0</v>
      </c>
      <c r="AQ510" s="1182" t="s">
        <v>1639</v>
      </c>
      <c r="AS510" s="1186" t="s">
        <v>1819</v>
      </c>
      <c r="AT510" s="1186" t="s">
        <v>1820</v>
      </c>
      <c r="AV510" s="1183">
        <v>1607</v>
      </c>
      <c r="AW510" s="1183">
        <v>0</v>
      </c>
      <c r="AX510" s="1183">
        <v>0</v>
      </c>
      <c r="AY510" s="1538">
        <v>1607</v>
      </c>
      <c r="AZ510" s="1183">
        <v>0</v>
      </c>
      <c r="BA510" s="1183">
        <v>5380</v>
      </c>
      <c r="BB510" s="1540">
        <v>5380</v>
      </c>
      <c r="BC510" s="1540">
        <v>6987</v>
      </c>
      <c r="BD510" s="1540">
        <v>0</v>
      </c>
      <c r="BF510" s="1539">
        <f t="shared" si="102"/>
        <v>1461</v>
      </c>
      <c r="BG510" s="1539">
        <f t="shared" si="103"/>
        <v>0</v>
      </c>
      <c r="BH510" s="1539">
        <f t="shared" si="104"/>
        <v>0</v>
      </c>
      <c r="BI510" s="1539">
        <f t="shared" si="105"/>
        <v>1461</v>
      </c>
      <c r="BJ510" s="1539">
        <f t="shared" si="106"/>
        <v>0</v>
      </c>
      <c r="BK510" s="1539">
        <f t="shared" si="107"/>
        <v>4891</v>
      </c>
      <c r="BL510" s="1539">
        <f t="shared" si="108"/>
        <v>4891</v>
      </c>
      <c r="BM510" s="1539">
        <f t="shared" si="109"/>
        <v>6352</v>
      </c>
      <c r="BO510" s="1183"/>
      <c r="BQ510" s="1182">
        <f t="shared" si="110"/>
        <v>-9.0909090909008228E-2</v>
      </c>
      <c r="BR510" s="1182">
        <f t="shared" si="111"/>
        <v>-9.0909090909008228E-2</v>
      </c>
    </row>
    <row r="511" spans="1:70" ht="13.5" customHeight="1">
      <c r="A511" s="1182" t="s">
        <v>1803</v>
      </c>
      <c r="B511" s="1182" t="s">
        <v>1804</v>
      </c>
      <c r="C511" s="1182" t="s">
        <v>1639</v>
      </c>
      <c r="D511" s="1182" t="s">
        <v>3154</v>
      </c>
      <c r="E511" s="1182" t="s">
        <v>3155</v>
      </c>
      <c r="F511" s="1182" t="s">
        <v>1864</v>
      </c>
      <c r="G511" s="1182" t="s">
        <v>1864</v>
      </c>
      <c r="H511" s="1182" t="s">
        <v>3414</v>
      </c>
      <c r="I511" s="1182" t="s">
        <v>1809</v>
      </c>
      <c r="J511" s="1182" t="s">
        <v>3415</v>
      </c>
      <c r="K511" s="1182" t="s">
        <v>1811</v>
      </c>
      <c r="L511" s="1182" t="s">
        <v>1812</v>
      </c>
      <c r="M511" s="1182" t="s">
        <v>1803</v>
      </c>
      <c r="N511" s="1182" t="s">
        <v>2922</v>
      </c>
      <c r="O511" s="1182" t="s">
        <v>1554</v>
      </c>
      <c r="P511" s="1182" t="s">
        <v>1563</v>
      </c>
      <c r="Q511" s="1182" t="s">
        <v>1562</v>
      </c>
      <c r="R511" s="1182" t="s">
        <v>1561</v>
      </c>
      <c r="S511" s="1182" t="s">
        <v>1639</v>
      </c>
      <c r="T511" s="1182" t="s">
        <v>1814</v>
      </c>
      <c r="U511" s="1182" t="s">
        <v>1815</v>
      </c>
      <c r="V511" s="1182">
        <v>0</v>
      </c>
      <c r="W511" s="1182">
        <v>0</v>
      </c>
      <c r="X511" s="1182">
        <v>0</v>
      </c>
      <c r="Y511" s="1183">
        <v>6443</v>
      </c>
      <c r="Z511" s="1182" t="s">
        <v>2923</v>
      </c>
      <c r="AA511" s="1182" t="s">
        <v>2924</v>
      </c>
      <c r="AB511" s="1182">
        <v>6443</v>
      </c>
      <c r="AC511" s="1182" t="s">
        <v>2925</v>
      </c>
      <c r="AD511" s="1182" t="s">
        <v>1561</v>
      </c>
      <c r="AE511" s="1182">
        <v>6443</v>
      </c>
      <c r="AF511" s="1182" t="s">
        <v>1819</v>
      </c>
      <c r="AG511" s="1182" t="s">
        <v>1820</v>
      </c>
      <c r="AH511" s="1182">
        <v>585</v>
      </c>
      <c r="AI511" s="1182">
        <v>5858</v>
      </c>
      <c r="AJ511" s="1182" t="s">
        <v>3412</v>
      </c>
      <c r="AL511" s="1186" t="s">
        <v>3416</v>
      </c>
      <c r="AM511" s="1182">
        <v>1</v>
      </c>
      <c r="AN511" s="1182">
        <v>0</v>
      </c>
      <c r="AO511" s="1182">
        <v>0</v>
      </c>
      <c r="AP511" s="1182">
        <v>0</v>
      </c>
      <c r="AQ511" s="1182" t="s">
        <v>1639</v>
      </c>
      <c r="AS511" s="1186" t="s">
        <v>1819</v>
      </c>
      <c r="AT511" s="1186" t="s">
        <v>1820</v>
      </c>
      <c r="AV511" s="1183">
        <v>1482</v>
      </c>
      <c r="AW511" s="1183">
        <v>0</v>
      </c>
      <c r="AX511" s="1183">
        <v>0</v>
      </c>
      <c r="AY511" s="1538">
        <v>1482</v>
      </c>
      <c r="AZ511" s="1183">
        <v>0</v>
      </c>
      <c r="BA511" s="1183">
        <v>4961</v>
      </c>
      <c r="BB511" s="1540">
        <v>4961</v>
      </c>
      <c r="BC511" s="1540">
        <v>6443</v>
      </c>
      <c r="BD511" s="1540">
        <v>0</v>
      </c>
      <c r="BF511" s="1539">
        <f t="shared" si="102"/>
        <v>1347</v>
      </c>
      <c r="BG511" s="1539">
        <f t="shared" si="103"/>
        <v>0</v>
      </c>
      <c r="BH511" s="1539">
        <f t="shared" si="104"/>
        <v>0</v>
      </c>
      <c r="BI511" s="1539">
        <f t="shared" si="105"/>
        <v>1347</v>
      </c>
      <c r="BJ511" s="1539">
        <f t="shared" si="106"/>
        <v>0</v>
      </c>
      <c r="BK511" s="1539">
        <f t="shared" si="107"/>
        <v>4510</v>
      </c>
      <c r="BL511" s="1539">
        <f t="shared" si="108"/>
        <v>4510</v>
      </c>
      <c r="BM511" s="1539">
        <f t="shared" si="109"/>
        <v>5857</v>
      </c>
      <c r="BO511" s="1183"/>
      <c r="BQ511" s="1182">
        <f t="shared" si="110"/>
        <v>0.27272727272725206</v>
      </c>
      <c r="BR511" s="1182">
        <f t="shared" si="111"/>
        <v>0</v>
      </c>
    </row>
    <row r="512" spans="1:70" ht="13.5" customHeight="1">
      <c r="A512" s="1182" t="s">
        <v>1803</v>
      </c>
      <c r="B512" s="1182" t="s">
        <v>1804</v>
      </c>
      <c r="C512" s="1182" t="s">
        <v>1639</v>
      </c>
      <c r="D512" s="1182" t="s">
        <v>3154</v>
      </c>
      <c r="E512" s="1182" t="s">
        <v>3155</v>
      </c>
      <c r="F512" s="1182" t="s">
        <v>2184</v>
      </c>
      <c r="G512" s="1182" t="s">
        <v>2184</v>
      </c>
      <c r="H512" s="1182" t="s">
        <v>3417</v>
      </c>
      <c r="I512" s="1182" t="s">
        <v>1809</v>
      </c>
      <c r="J512" s="1182" t="s">
        <v>3418</v>
      </c>
      <c r="K512" s="1182" t="s">
        <v>1811</v>
      </c>
      <c r="L512" s="1182" t="s">
        <v>1812</v>
      </c>
      <c r="M512" s="1182" t="s">
        <v>1803</v>
      </c>
      <c r="N512" s="1182" t="s">
        <v>2922</v>
      </c>
      <c r="O512" s="1182" t="s">
        <v>1554</v>
      </c>
      <c r="P512" s="1182" t="s">
        <v>1563</v>
      </c>
      <c r="Q512" s="1182" t="s">
        <v>1562</v>
      </c>
      <c r="R512" s="1182" t="s">
        <v>1561</v>
      </c>
      <c r="S512" s="1182" t="s">
        <v>1639</v>
      </c>
      <c r="T512" s="1182" t="s">
        <v>1814</v>
      </c>
      <c r="U512" s="1182" t="s">
        <v>1815</v>
      </c>
      <c r="V512" s="1182">
        <v>0</v>
      </c>
      <c r="W512" s="1182">
        <v>0</v>
      </c>
      <c r="X512" s="1182">
        <v>0</v>
      </c>
      <c r="Y512" s="1183">
        <v>2775</v>
      </c>
      <c r="Z512" s="1182" t="s">
        <v>2923</v>
      </c>
      <c r="AA512" s="1182" t="s">
        <v>2924</v>
      </c>
      <c r="AB512" s="1182">
        <v>2775</v>
      </c>
      <c r="AC512" s="1182" t="s">
        <v>2925</v>
      </c>
      <c r="AD512" s="1182" t="s">
        <v>1561</v>
      </c>
      <c r="AE512" s="1182">
        <v>2775</v>
      </c>
      <c r="AF512" s="1182" t="s">
        <v>1819</v>
      </c>
      <c r="AG512" s="1182" t="s">
        <v>1820</v>
      </c>
      <c r="AH512" s="1182">
        <v>252</v>
      </c>
      <c r="AI512" s="1182">
        <v>2523</v>
      </c>
      <c r="AJ512" s="1182" t="s">
        <v>3408</v>
      </c>
      <c r="AL512" s="1186" t="s">
        <v>3419</v>
      </c>
      <c r="AM512" s="1182">
        <v>1</v>
      </c>
      <c r="AN512" s="1182">
        <v>0</v>
      </c>
      <c r="AO512" s="1182">
        <v>0</v>
      </c>
      <c r="AP512" s="1182">
        <v>0</v>
      </c>
      <c r="AQ512" s="1182" t="s">
        <v>1639</v>
      </c>
      <c r="AS512" s="1186" t="s">
        <v>1819</v>
      </c>
      <c r="AT512" s="1186" t="s">
        <v>1820</v>
      </c>
      <c r="AV512" s="1183">
        <v>638</v>
      </c>
      <c r="AW512" s="1183">
        <v>0</v>
      </c>
      <c r="AX512" s="1183">
        <v>0</v>
      </c>
      <c r="AY512" s="1538">
        <v>638</v>
      </c>
      <c r="AZ512" s="1183">
        <v>0</v>
      </c>
      <c r="BA512" s="1183">
        <v>2137</v>
      </c>
      <c r="BB512" s="1540">
        <v>2137</v>
      </c>
      <c r="BC512" s="1540">
        <v>2775</v>
      </c>
      <c r="BD512" s="1540">
        <v>0</v>
      </c>
      <c r="BF512" s="1539">
        <f t="shared" si="102"/>
        <v>580</v>
      </c>
      <c r="BG512" s="1539">
        <f t="shared" si="103"/>
        <v>0</v>
      </c>
      <c r="BH512" s="1539">
        <f t="shared" si="104"/>
        <v>0</v>
      </c>
      <c r="BI512" s="1539">
        <f t="shared" si="105"/>
        <v>580</v>
      </c>
      <c r="BJ512" s="1539">
        <f t="shared" si="106"/>
        <v>0</v>
      </c>
      <c r="BK512" s="1539">
        <f t="shared" si="107"/>
        <v>1943</v>
      </c>
      <c r="BL512" s="1539">
        <f t="shared" si="108"/>
        <v>1943</v>
      </c>
      <c r="BM512" s="1539">
        <f t="shared" si="109"/>
        <v>2523</v>
      </c>
      <c r="BO512" s="1183"/>
      <c r="BQ512" s="1182">
        <f t="shared" si="110"/>
        <v>0</v>
      </c>
      <c r="BR512" s="1182">
        <f t="shared" si="111"/>
        <v>-0.27272727272725206</v>
      </c>
    </row>
    <row r="513" spans="1:70" ht="13.5" customHeight="1">
      <c r="A513" s="1182" t="s">
        <v>1803</v>
      </c>
      <c r="B513" s="1182" t="s">
        <v>1804</v>
      </c>
      <c r="C513" s="1182" t="s">
        <v>1639</v>
      </c>
      <c r="D513" s="1182" t="s">
        <v>3154</v>
      </c>
      <c r="E513" s="1182" t="s">
        <v>3155</v>
      </c>
      <c r="F513" s="1182" t="s">
        <v>3420</v>
      </c>
      <c r="G513" s="1182" t="s">
        <v>3420</v>
      </c>
      <c r="H513" s="1182" t="s">
        <v>3421</v>
      </c>
      <c r="I513" s="1182" t="s">
        <v>1809</v>
      </c>
      <c r="J513" s="1182" t="s">
        <v>3422</v>
      </c>
      <c r="K513" s="1182" t="s">
        <v>1811</v>
      </c>
      <c r="L513" s="1182" t="s">
        <v>1812</v>
      </c>
      <c r="M513" s="1182" t="s">
        <v>1803</v>
      </c>
      <c r="N513" s="1182" t="s">
        <v>2922</v>
      </c>
      <c r="O513" s="1182" t="s">
        <v>1554</v>
      </c>
      <c r="P513" s="1182" t="s">
        <v>1563</v>
      </c>
      <c r="Q513" s="1182" t="s">
        <v>1562</v>
      </c>
      <c r="R513" s="1182" t="s">
        <v>1561</v>
      </c>
      <c r="S513" s="1182" t="s">
        <v>1639</v>
      </c>
      <c r="T513" s="1182" t="s">
        <v>1814</v>
      </c>
      <c r="U513" s="1182" t="s">
        <v>1815</v>
      </c>
      <c r="V513" s="1182">
        <v>0</v>
      </c>
      <c r="W513" s="1182">
        <v>0</v>
      </c>
      <c r="X513" s="1182">
        <v>0</v>
      </c>
      <c r="Y513" s="1183">
        <v>3757</v>
      </c>
      <c r="Z513" s="1182" t="s">
        <v>2923</v>
      </c>
      <c r="AA513" s="1182" t="s">
        <v>2924</v>
      </c>
      <c r="AB513" s="1182">
        <v>3757</v>
      </c>
      <c r="AC513" s="1182" t="s">
        <v>2925</v>
      </c>
      <c r="AD513" s="1182" t="s">
        <v>1561</v>
      </c>
      <c r="AE513" s="1182">
        <v>3757</v>
      </c>
      <c r="AF513" s="1182" t="s">
        <v>1819</v>
      </c>
      <c r="AG513" s="1182" t="s">
        <v>1820</v>
      </c>
      <c r="AH513" s="1182">
        <v>341</v>
      </c>
      <c r="AI513" s="1182">
        <v>3416</v>
      </c>
      <c r="AJ513" s="1182" t="s">
        <v>3408</v>
      </c>
      <c r="AL513" s="1186" t="s">
        <v>3423</v>
      </c>
      <c r="AM513" s="1182">
        <v>1</v>
      </c>
      <c r="AN513" s="1182">
        <v>0</v>
      </c>
      <c r="AO513" s="1182">
        <v>0</v>
      </c>
      <c r="AP513" s="1182">
        <v>0</v>
      </c>
      <c r="AQ513" s="1182" t="s">
        <v>1639</v>
      </c>
      <c r="AS513" s="1186" t="s">
        <v>1819</v>
      </c>
      <c r="AT513" s="1186" t="s">
        <v>1820</v>
      </c>
      <c r="AV513" s="1183">
        <v>864</v>
      </c>
      <c r="AW513" s="1183">
        <v>0</v>
      </c>
      <c r="AX513" s="1183">
        <v>0</v>
      </c>
      <c r="AY513" s="1538">
        <v>864</v>
      </c>
      <c r="AZ513" s="1183">
        <v>0</v>
      </c>
      <c r="BA513" s="1183">
        <v>2893</v>
      </c>
      <c r="BB513" s="1540">
        <v>2893</v>
      </c>
      <c r="BC513" s="1540">
        <v>3757</v>
      </c>
      <c r="BD513" s="1540">
        <v>0</v>
      </c>
      <c r="BF513" s="1539">
        <f t="shared" si="102"/>
        <v>785</v>
      </c>
      <c r="BG513" s="1539">
        <f t="shared" si="103"/>
        <v>0</v>
      </c>
      <c r="BH513" s="1539">
        <f t="shared" si="104"/>
        <v>0</v>
      </c>
      <c r="BI513" s="1539">
        <f t="shared" si="105"/>
        <v>785</v>
      </c>
      <c r="BJ513" s="1539">
        <f t="shared" si="106"/>
        <v>0</v>
      </c>
      <c r="BK513" s="1539">
        <f t="shared" si="107"/>
        <v>2630</v>
      </c>
      <c r="BL513" s="1539">
        <f t="shared" si="108"/>
        <v>2630</v>
      </c>
      <c r="BM513" s="1539">
        <f t="shared" si="109"/>
        <v>3415</v>
      </c>
      <c r="BO513" s="1183"/>
      <c r="BQ513" s="1182">
        <f t="shared" si="110"/>
        <v>0.45454545454549589</v>
      </c>
      <c r="BR513" s="1182">
        <f t="shared" si="111"/>
        <v>0</v>
      </c>
    </row>
    <row r="514" spans="1:70" ht="13.5" customHeight="1">
      <c r="A514" s="1182" t="s">
        <v>1803</v>
      </c>
      <c r="B514" s="1182" t="s">
        <v>1804</v>
      </c>
      <c r="C514" s="1182" t="s">
        <v>1639</v>
      </c>
      <c r="D514" s="1182" t="s">
        <v>3154</v>
      </c>
      <c r="E514" s="1182" t="s">
        <v>3155</v>
      </c>
      <c r="F514" s="1182" t="s">
        <v>2683</v>
      </c>
      <c r="G514" s="1182" t="s">
        <v>2683</v>
      </c>
      <c r="H514" s="1182" t="s">
        <v>3424</v>
      </c>
      <c r="I514" s="1182" t="s">
        <v>1809</v>
      </c>
      <c r="J514" s="1182" t="s">
        <v>3425</v>
      </c>
      <c r="K514" s="1182" t="s">
        <v>1811</v>
      </c>
      <c r="L514" s="1182" t="s">
        <v>1812</v>
      </c>
      <c r="M514" s="1182" t="s">
        <v>1803</v>
      </c>
      <c r="N514" s="1182" t="s">
        <v>2922</v>
      </c>
      <c r="O514" s="1182" t="s">
        <v>1554</v>
      </c>
      <c r="P514" s="1182" t="s">
        <v>1563</v>
      </c>
      <c r="Q514" s="1182" t="s">
        <v>1562</v>
      </c>
      <c r="R514" s="1182" t="s">
        <v>1561</v>
      </c>
      <c r="S514" s="1182" t="s">
        <v>1639</v>
      </c>
      <c r="T514" s="1182" t="s">
        <v>1814</v>
      </c>
      <c r="U514" s="1182" t="s">
        <v>1815</v>
      </c>
      <c r="V514" s="1182">
        <v>0</v>
      </c>
      <c r="W514" s="1182">
        <v>0</v>
      </c>
      <c r="X514" s="1182">
        <v>0</v>
      </c>
      <c r="Y514" s="1183">
        <v>4203</v>
      </c>
      <c r="Z514" s="1182" t="s">
        <v>2923</v>
      </c>
      <c r="AA514" s="1182" t="s">
        <v>2924</v>
      </c>
      <c r="AB514" s="1182">
        <v>4203</v>
      </c>
      <c r="AC514" s="1182" t="s">
        <v>2925</v>
      </c>
      <c r="AD514" s="1182" t="s">
        <v>1561</v>
      </c>
      <c r="AE514" s="1182">
        <v>4203</v>
      </c>
      <c r="AF514" s="1182" t="s">
        <v>1819</v>
      </c>
      <c r="AG514" s="1182" t="s">
        <v>1820</v>
      </c>
      <c r="AH514" s="1182">
        <v>382</v>
      </c>
      <c r="AI514" s="1182">
        <v>3821</v>
      </c>
      <c r="AJ514" s="1182" t="s">
        <v>3408</v>
      </c>
      <c r="AL514" s="1186" t="s">
        <v>3426</v>
      </c>
      <c r="AM514" s="1182">
        <v>1</v>
      </c>
      <c r="AN514" s="1182">
        <v>0</v>
      </c>
      <c r="AO514" s="1182">
        <v>0</v>
      </c>
      <c r="AP514" s="1182">
        <v>0</v>
      </c>
      <c r="AQ514" s="1182" t="s">
        <v>1639</v>
      </c>
      <c r="AS514" s="1186" t="s">
        <v>1819</v>
      </c>
      <c r="AT514" s="1186" t="s">
        <v>1820</v>
      </c>
      <c r="AV514" s="1183">
        <v>967</v>
      </c>
      <c r="AW514" s="1183">
        <v>0</v>
      </c>
      <c r="AX514" s="1183">
        <v>0</v>
      </c>
      <c r="AY514" s="1538">
        <v>967</v>
      </c>
      <c r="AZ514" s="1183">
        <v>0</v>
      </c>
      <c r="BA514" s="1183">
        <v>3236</v>
      </c>
      <c r="BB514" s="1540">
        <v>3236</v>
      </c>
      <c r="BC514" s="1540">
        <v>4203</v>
      </c>
      <c r="BD514" s="1540">
        <v>0</v>
      </c>
      <c r="BF514" s="1539">
        <f t="shared" si="102"/>
        <v>879</v>
      </c>
      <c r="BG514" s="1539">
        <f t="shared" si="103"/>
        <v>0</v>
      </c>
      <c r="BH514" s="1539">
        <f t="shared" si="104"/>
        <v>0</v>
      </c>
      <c r="BI514" s="1539">
        <f t="shared" si="105"/>
        <v>879</v>
      </c>
      <c r="BJ514" s="1539">
        <f t="shared" si="106"/>
        <v>0</v>
      </c>
      <c r="BK514" s="1539">
        <f t="shared" si="107"/>
        <v>2942</v>
      </c>
      <c r="BL514" s="1539">
        <f t="shared" si="108"/>
        <v>2942</v>
      </c>
      <c r="BM514" s="1539">
        <f t="shared" si="109"/>
        <v>3821</v>
      </c>
      <c r="BO514" s="1183"/>
      <c r="BQ514" s="1182">
        <f t="shared" si="110"/>
        <v>9.0909090909121915E-2</v>
      </c>
      <c r="BR514" s="1182">
        <f t="shared" si="111"/>
        <v>-0.18181818181801646</v>
      </c>
    </row>
    <row r="515" spans="1:70" ht="13.5" customHeight="1">
      <c r="A515" s="1182" t="s">
        <v>1803</v>
      </c>
      <c r="B515" s="1182" t="s">
        <v>1804</v>
      </c>
      <c r="C515" s="1182" t="s">
        <v>1639</v>
      </c>
      <c r="D515" s="1182" t="s">
        <v>3154</v>
      </c>
      <c r="E515" s="1182" t="s">
        <v>3155</v>
      </c>
      <c r="F515" s="1182" t="s">
        <v>2000</v>
      </c>
      <c r="G515" s="1182" t="s">
        <v>2000</v>
      </c>
      <c r="H515" s="1182" t="s">
        <v>3427</v>
      </c>
      <c r="I515" s="1182" t="s">
        <v>1809</v>
      </c>
      <c r="J515" s="1182" t="s">
        <v>3428</v>
      </c>
      <c r="K515" s="1182" t="s">
        <v>1811</v>
      </c>
      <c r="L515" s="1182" t="s">
        <v>1812</v>
      </c>
      <c r="M515" s="1182" t="s">
        <v>1803</v>
      </c>
      <c r="N515" s="1182" t="s">
        <v>2922</v>
      </c>
      <c r="O515" s="1182" t="s">
        <v>1554</v>
      </c>
      <c r="P515" s="1182" t="s">
        <v>1563</v>
      </c>
      <c r="Q515" s="1182" t="s">
        <v>1562</v>
      </c>
      <c r="R515" s="1182" t="s">
        <v>1561</v>
      </c>
      <c r="S515" s="1182" t="s">
        <v>1639</v>
      </c>
      <c r="T515" s="1182" t="s">
        <v>1814</v>
      </c>
      <c r="U515" s="1182" t="s">
        <v>1815</v>
      </c>
      <c r="V515" s="1182">
        <v>0</v>
      </c>
      <c r="W515" s="1182">
        <v>0</v>
      </c>
      <c r="X515" s="1182">
        <v>0</v>
      </c>
      <c r="Y515" s="1183">
        <v>4537</v>
      </c>
      <c r="Z515" s="1182" t="s">
        <v>2923</v>
      </c>
      <c r="AA515" s="1182" t="s">
        <v>2924</v>
      </c>
      <c r="AB515" s="1182">
        <v>4537</v>
      </c>
      <c r="AC515" s="1182" t="s">
        <v>2925</v>
      </c>
      <c r="AD515" s="1182" t="s">
        <v>1561</v>
      </c>
      <c r="AE515" s="1182">
        <v>4537</v>
      </c>
      <c r="AF515" s="1182" t="s">
        <v>1819</v>
      </c>
      <c r="AG515" s="1182" t="s">
        <v>1820</v>
      </c>
      <c r="AH515" s="1182">
        <v>412</v>
      </c>
      <c r="AI515" s="1182">
        <v>4125</v>
      </c>
      <c r="AJ515" s="1182" t="s">
        <v>3429</v>
      </c>
      <c r="AL515" s="1186" t="s">
        <v>3430</v>
      </c>
      <c r="AM515" s="1182">
        <v>1</v>
      </c>
      <c r="AN515" s="1182">
        <v>0</v>
      </c>
      <c r="AO515" s="1182">
        <v>0</v>
      </c>
      <c r="AP515" s="1182">
        <v>0</v>
      </c>
      <c r="AQ515" s="1182" t="s">
        <v>1639</v>
      </c>
      <c r="AS515" s="1186" t="s">
        <v>1819</v>
      </c>
      <c r="AT515" s="1186" t="s">
        <v>1820</v>
      </c>
      <c r="AV515" s="1183">
        <v>1044</v>
      </c>
      <c r="AW515" s="1183">
        <v>0</v>
      </c>
      <c r="AX515" s="1183">
        <v>0</v>
      </c>
      <c r="AY515" s="1538">
        <v>1044</v>
      </c>
      <c r="AZ515" s="1183">
        <v>0</v>
      </c>
      <c r="BA515" s="1183">
        <v>3493</v>
      </c>
      <c r="BB515" s="1540">
        <v>3493</v>
      </c>
      <c r="BC515" s="1540">
        <v>4537</v>
      </c>
      <c r="BD515" s="1540">
        <v>0</v>
      </c>
      <c r="BF515" s="1539">
        <f t="shared" si="102"/>
        <v>949</v>
      </c>
      <c r="BG515" s="1539">
        <f t="shared" si="103"/>
        <v>0</v>
      </c>
      <c r="BH515" s="1539">
        <f t="shared" si="104"/>
        <v>0</v>
      </c>
      <c r="BI515" s="1539">
        <f t="shared" si="105"/>
        <v>949</v>
      </c>
      <c r="BJ515" s="1539">
        <f t="shared" si="106"/>
        <v>0</v>
      </c>
      <c r="BK515" s="1539">
        <f t="shared" si="107"/>
        <v>3175</v>
      </c>
      <c r="BL515" s="1539">
        <f t="shared" si="108"/>
        <v>3175</v>
      </c>
      <c r="BM515" s="1539">
        <f t="shared" si="109"/>
        <v>4124</v>
      </c>
      <c r="BO515" s="1183"/>
      <c r="BQ515" s="1182">
        <f t="shared" si="110"/>
        <v>9.0909090909121915E-2</v>
      </c>
      <c r="BR515" s="1182">
        <f t="shared" si="111"/>
        <v>0.45454545454549589</v>
      </c>
    </row>
    <row r="516" spans="1:70" ht="13.5" customHeight="1">
      <c r="A516" s="1182" t="s">
        <v>1803</v>
      </c>
      <c r="B516" s="1182" t="s">
        <v>1804</v>
      </c>
      <c r="C516" s="1182" t="s">
        <v>1639</v>
      </c>
      <c r="D516" s="1182" t="s">
        <v>3154</v>
      </c>
      <c r="E516" s="1182" t="s">
        <v>3155</v>
      </c>
      <c r="F516" s="1182" t="s">
        <v>2131</v>
      </c>
      <c r="G516" s="1182" t="s">
        <v>2131</v>
      </c>
      <c r="H516" s="1182" t="s">
        <v>3431</v>
      </c>
      <c r="I516" s="1182" t="s">
        <v>1809</v>
      </c>
      <c r="J516" s="1182" t="s">
        <v>3432</v>
      </c>
      <c r="K516" s="1182" t="s">
        <v>1811</v>
      </c>
      <c r="L516" s="1182" t="s">
        <v>1812</v>
      </c>
      <c r="M516" s="1182" t="s">
        <v>1803</v>
      </c>
      <c r="N516" s="1182" t="s">
        <v>2922</v>
      </c>
      <c r="O516" s="1182" t="s">
        <v>1554</v>
      </c>
      <c r="P516" s="1182" t="s">
        <v>1563</v>
      </c>
      <c r="Q516" s="1182" t="s">
        <v>1562</v>
      </c>
      <c r="R516" s="1182" t="s">
        <v>1561</v>
      </c>
      <c r="S516" s="1182" t="s">
        <v>1639</v>
      </c>
      <c r="T516" s="1182" t="s">
        <v>1814</v>
      </c>
      <c r="U516" s="1182" t="s">
        <v>1815</v>
      </c>
      <c r="V516" s="1182">
        <v>0</v>
      </c>
      <c r="W516" s="1182">
        <v>0</v>
      </c>
      <c r="X516" s="1182">
        <v>0</v>
      </c>
      <c r="Y516" s="1183">
        <v>5574</v>
      </c>
      <c r="Z516" s="1182" t="s">
        <v>2923</v>
      </c>
      <c r="AA516" s="1182" t="s">
        <v>2924</v>
      </c>
      <c r="AB516" s="1182">
        <v>5574</v>
      </c>
      <c r="AC516" s="1182" t="s">
        <v>2925</v>
      </c>
      <c r="AD516" s="1182" t="s">
        <v>1561</v>
      </c>
      <c r="AE516" s="1182">
        <v>5574</v>
      </c>
      <c r="AF516" s="1182" t="s">
        <v>1819</v>
      </c>
      <c r="AG516" s="1182" t="s">
        <v>1820</v>
      </c>
      <c r="AH516" s="1182">
        <v>506</v>
      </c>
      <c r="AI516" s="1182">
        <v>5068</v>
      </c>
      <c r="AJ516" s="1182" t="s">
        <v>3433</v>
      </c>
      <c r="AL516" s="1186" t="s">
        <v>3434</v>
      </c>
      <c r="AM516" s="1182">
        <v>1</v>
      </c>
      <c r="AN516" s="1182">
        <v>0</v>
      </c>
      <c r="AO516" s="1182">
        <v>0</v>
      </c>
      <c r="AP516" s="1182">
        <v>0</v>
      </c>
      <c r="AQ516" s="1182" t="s">
        <v>1639</v>
      </c>
      <c r="AS516" s="1186" t="s">
        <v>1819</v>
      </c>
      <c r="AT516" s="1186" t="s">
        <v>1820</v>
      </c>
      <c r="AV516" s="1183">
        <v>1282</v>
      </c>
      <c r="AW516" s="1183">
        <v>0</v>
      </c>
      <c r="AX516" s="1183">
        <v>0</v>
      </c>
      <c r="AY516" s="1538">
        <v>1282</v>
      </c>
      <c r="AZ516" s="1183">
        <v>0</v>
      </c>
      <c r="BA516" s="1183">
        <v>4292</v>
      </c>
      <c r="BB516" s="1540">
        <v>4292</v>
      </c>
      <c r="BC516" s="1540">
        <v>5574</v>
      </c>
      <c r="BD516" s="1540">
        <v>0</v>
      </c>
      <c r="BF516" s="1539">
        <f t="shared" si="102"/>
        <v>1165</v>
      </c>
      <c r="BG516" s="1539">
        <f t="shared" si="103"/>
        <v>0</v>
      </c>
      <c r="BH516" s="1539">
        <f t="shared" si="104"/>
        <v>0</v>
      </c>
      <c r="BI516" s="1539">
        <f t="shared" si="105"/>
        <v>1165</v>
      </c>
      <c r="BJ516" s="1539">
        <f t="shared" si="106"/>
        <v>0</v>
      </c>
      <c r="BK516" s="1539">
        <f t="shared" si="107"/>
        <v>3902</v>
      </c>
      <c r="BL516" s="1539">
        <f t="shared" si="108"/>
        <v>3902</v>
      </c>
      <c r="BM516" s="1539">
        <f t="shared" si="109"/>
        <v>5067</v>
      </c>
      <c r="BO516" s="1183"/>
      <c r="BQ516" s="1182">
        <f t="shared" si="110"/>
        <v>0.45454545454549589</v>
      </c>
      <c r="BR516" s="1182">
        <f t="shared" si="111"/>
        <v>-0.18181818181801646</v>
      </c>
    </row>
    <row r="517" spans="1:70" ht="13.5" customHeight="1">
      <c r="A517" s="1182" t="s">
        <v>1803</v>
      </c>
      <c r="B517" s="1182" t="s">
        <v>1804</v>
      </c>
      <c r="C517" s="1182" t="s">
        <v>1639</v>
      </c>
      <c r="D517" s="1182" t="s">
        <v>3154</v>
      </c>
      <c r="E517" s="1182" t="s">
        <v>3155</v>
      </c>
      <c r="F517" s="1182" t="s">
        <v>1864</v>
      </c>
      <c r="G517" s="1182" t="s">
        <v>1864</v>
      </c>
      <c r="H517" s="1182" t="s">
        <v>3435</v>
      </c>
      <c r="I517" s="1182" t="s">
        <v>1809</v>
      </c>
      <c r="J517" s="1182" t="s">
        <v>3436</v>
      </c>
      <c r="K517" s="1182" t="s">
        <v>1811</v>
      </c>
      <c r="L517" s="1182" t="s">
        <v>1812</v>
      </c>
      <c r="M517" s="1182" t="s">
        <v>1803</v>
      </c>
      <c r="N517" s="1182" t="s">
        <v>2922</v>
      </c>
      <c r="O517" s="1182" t="s">
        <v>1554</v>
      </c>
      <c r="P517" s="1182" t="s">
        <v>1563</v>
      </c>
      <c r="Q517" s="1182" t="s">
        <v>1562</v>
      </c>
      <c r="R517" s="1182" t="s">
        <v>1561</v>
      </c>
      <c r="S517" s="1182" t="s">
        <v>1639</v>
      </c>
      <c r="T517" s="1182" t="s">
        <v>1814</v>
      </c>
      <c r="U517" s="1182" t="s">
        <v>1815</v>
      </c>
      <c r="V517" s="1182">
        <v>0</v>
      </c>
      <c r="W517" s="1182">
        <v>0</v>
      </c>
      <c r="X517" s="1182">
        <v>0</v>
      </c>
      <c r="Y517" s="1183">
        <v>5072</v>
      </c>
      <c r="Z517" s="1182" t="s">
        <v>2923</v>
      </c>
      <c r="AA517" s="1182" t="s">
        <v>2924</v>
      </c>
      <c r="AB517" s="1182">
        <v>5072</v>
      </c>
      <c r="AC517" s="1182" t="s">
        <v>2925</v>
      </c>
      <c r="AD517" s="1182" t="s">
        <v>1561</v>
      </c>
      <c r="AE517" s="1182">
        <v>5072</v>
      </c>
      <c r="AF517" s="1182" t="s">
        <v>1819</v>
      </c>
      <c r="AG517" s="1182" t="s">
        <v>1820</v>
      </c>
      <c r="AH517" s="1182">
        <v>461</v>
      </c>
      <c r="AI517" s="1182">
        <v>4611</v>
      </c>
      <c r="AJ517" s="1182" t="s">
        <v>3433</v>
      </c>
      <c r="AL517" s="1186" t="s">
        <v>3437</v>
      </c>
      <c r="AM517" s="1182">
        <v>1</v>
      </c>
      <c r="AN517" s="1182">
        <v>0</v>
      </c>
      <c r="AO517" s="1182">
        <v>0</v>
      </c>
      <c r="AP517" s="1182">
        <v>0</v>
      </c>
      <c r="AQ517" s="1182" t="s">
        <v>1639</v>
      </c>
      <c r="AS517" s="1186" t="s">
        <v>1819</v>
      </c>
      <c r="AT517" s="1186" t="s">
        <v>1820</v>
      </c>
      <c r="AV517" s="1183">
        <v>1167</v>
      </c>
      <c r="AW517" s="1183">
        <v>0</v>
      </c>
      <c r="AX517" s="1183">
        <v>0</v>
      </c>
      <c r="AY517" s="1538">
        <v>1167</v>
      </c>
      <c r="AZ517" s="1183">
        <v>0</v>
      </c>
      <c r="BA517" s="1183">
        <v>3905</v>
      </c>
      <c r="BB517" s="1540">
        <v>3905</v>
      </c>
      <c r="BC517" s="1540">
        <v>5072</v>
      </c>
      <c r="BD517" s="1540">
        <v>0</v>
      </c>
      <c r="BF517" s="1539">
        <f t="shared" si="102"/>
        <v>1061</v>
      </c>
      <c r="BG517" s="1539">
        <f t="shared" si="103"/>
        <v>0</v>
      </c>
      <c r="BH517" s="1539">
        <f t="shared" si="104"/>
        <v>0</v>
      </c>
      <c r="BI517" s="1539">
        <f t="shared" si="105"/>
        <v>1061</v>
      </c>
      <c r="BJ517" s="1539">
        <f t="shared" si="106"/>
        <v>0</v>
      </c>
      <c r="BK517" s="1539">
        <f t="shared" si="107"/>
        <v>3550</v>
      </c>
      <c r="BL517" s="1539">
        <f t="shared" si="108"/>
        <v>3550</v>
      </c>
      <c r="BM517" s="1539">
        <f t="shared" si="109"/>
        <v>4611</v>
      </c>
      <c r="BO517" s="1183"/>
      <c r="BQ517" s="1182">
        <f t="shared" si="110"/>
        <v>-9.0909090909008228E-2</v>
      </c>
      <c r="BR517" s="1182">
        <f t="shared" si="111"/>
        <v>0</v>
      </c>
    </row>
    <row r="518" spans="1:70" ht="13.5" customHeight="1">
      <c r="A518" s="1182" t="s">
        <v>1803</v>
      </c>
      <c r="B518" s="1182" t="s">
        <v>1804</v>
      </c>
      <c r="C518" s="1182" t="s">
        <v>1639</v>
      </c>
      <c r="D518" s="1182" t="s">
        <v>3154</v>
      </c>
      <c r="E518" s="1182" t="s">
        <v>3155</v>
      </c>
      <c r="F518" s="1182" t="s">
        <v>2184</v>
      </c>
      <c r="G518" s="1182" t="s">
        <v>2184</v>
      </c>
      <c r="H518" s="1182" t="s">
        <v>3438</v>
      </c>
      <c r="I518" s="1182" t="s">
        <v>1809</v>
      </c>
      <c r="J518" s="1182" t="s">
        <v>3439</v>
      </c>
      <c r="K518" s="1182" t="s">
        <v>1811</v>
      </c>
      <c r="L518" s="1182" t="s">
        <v>1812</v>
      </c>
      <c r="M518" s="1182" t="s">
        <v>1803</v>
      </c>
      <c r="N518" s="1182" t="s">
        <v>2922</v>
      </c>
      <c r="O518" s="1182" t="s">
        <v>1554</v>
      </c>
      <c r="P518" s="1182" t="s">
        <v>1563</v>
      </c>
      <c r="Q518" s="1182" t="s">
        <v>1562</v>
      </c>
      <c r="R518" s="1182" t="s">
        <v>1561</v>
      </c>
      <c r="S518" s="1182" t="s">
        <v>1639</v>
      </c>
      <c r="T518" s="1182" t="s">
        <v>1814</v>
      </c>
      <c r="U518" s="1182" t="s">
        <v>1815</v>
      </c>
      <c r="V518" s="1182">
        <v>0</v>
      </c>
      <c r="W518" s="1182">
        <v>0</v>
      </c>
      <c r="X518" s="1182">
        <v>0</v>
      </c>
      <c r="Y518" s="1183">
        <v>2874</v>
      </c>
      <c r="Z518" s="1182" t="s">
        <v>2923</v>
      </c>
      <c r="AA518" s="1182" t="s">
        <v>2924</v>
      </c>
      <c r="AB518" s="1182">
        <v>2874</v>
      </c>
      <c r="AC518" s="1182" t="s">
        <v>2925</v>
      </c>
      <c r="AD518" s="1182" t="s">
        <v>1561</v>
      </c>
      <c r="AE518" s="1182">
        <v>2874</v>
      </c>
      <c r="AF518" s="1182" t="s">
        <v>1819</v>
      </c>
      <c r="AG518" s="1182" t="s">
        <v>1820</v>
      </c>
      <c r="AH518" s="1182">
        <v>261</v>
      </c>
      <c r="AI518" s="1182">
        <v>2613</v>
      </c>
      <c r="AJ518" s="1182" t="s">
        <v>3429</v>
      </c>
      <c r="AL518" s="1186" t="s">
        <v>3440</v>
      </c>
      <c r="AM518" s="1182">
        <v>1</v>
      </c>
      <c r="AN518" s="1182">
        <v>0</v>
      </c>
      <c r="AO518" s="1182">
        <v>0</v>
      </c>
      <c r="AP518" s="1182">
        <v>0</v>
      </c>
      <c r="AQ518" s="1182" t="s">
        <v>1639</v>
      </c>
      <c r="AS518" s="1186" t="s">
        <v>1819</v>
      </c>
      <c r="AT518" s="1186" t="s">
        <v>1820</v>
      </c>
      <c r="AV518" s="1183">
        <v>661</v>
      </c>
      <c r="AW518" s="1183">
        <v>0</v>
      </c>
      <c r="AX518" s="1183">
        <v>0</v>
      </c>
      <c r="AY518" s="1538">
        <v>661</v>
      </c>
      <c r="AZ518" s="1183">
        <v>0</v>
      </c>
      <c r="BA518" s="1183">
        <v>2213</v>
      </c>
      <c r="BB518" s="1540">
        <v>2213</v>
      </c>
      <c r="BC518" s="1540">
        <v>2874</v>
      </c>
      <c r="BD518" s="1540">
        <v>0</v>
      </c>
      <c r="BF518" s="1539">
        <f t="shared" si="102"/>
        <v>601</v>
      </c>
      <c r="BG518" s="1539">
        <f t="shared" si="103"/>
        <v>0</v>
      </c>
      <c r="BH518" s="1539">
        <f t="shared" si="104"/>
        <v>0</v>
      </c>
      <c r="BI518" s="1539">
        <f t="shared" si="105"/>
        <v>601</v>
      </c>
      <c r="BJ518" s="1539">
        <f t="shared" si="106"/>
        <v>0</v>
      </c>
      <c r="BK518" s="1539">
        <f t="shared" si="107"/>
        <v>2012</v>
      </c>
      <c r="BL518" s="1539">
        <f t="shared" si="108"/>
        <v>2012</v>
      </c>
      <c r="BM518" s="1539">
        <f t="shared" si="109"/>
        <v>2613</v>
      </c>
      <c r="BO518" s="1183"/>
      <c r="BQ518" s="1182">
        <f t="shared" si="110"/>
        <v>-9.0909090909121915E-2</v>
      </c>
      <c r="BR518" s="1182">
        <f t="shared" si="111"/>
        <v>-0.18181818181824383</v>
      </c>
    </row>
    <row r="519" spans="1:70" ht="13.5" customHeight="1">
      <c r="A519" s="1182" t="s">
        <v>1803</v>
      </c>
      <c r="B519" s="1182" t="s">
        <v>1804</v>
      </c>
      <c r="C519" s="1182" t="s">
        <v>1639</v>
      </c>
      <c r="D519" s="1182" t="s">
        <v>3154</v>
      </c>
      <c r="E519" s="1182" t="s">
        <v>3155</v>
      </c>
      <c r="F519" s="1182" t="s">
        <v>3420</v>
      </c>
      <c r="G519" s="1182" t="s">
        <v>3420</v>
      </c>
      <c r="H519" s="1182" t="s">
        <v>3441</v>
      </c>
      <c r="I519" s="1182" t="s">
        <v>1809</v>
      </c>
      <c r="J519" s="1182" t="s">
        <v>3442</v>
      </c>
      <c r="K519" s="1182" t="s">
        <v>1811</v>
      </c>
      <c r="L519" s="1182" t="s">
        <v>1812</v>
      </c>
      <c r="M519" s="1182" t="s">
        <v>1803</v>
      </c>
      <c r="N519" s="1182" t="s">
        <v>2922</v>
      </c>
      <c r="O519" s="1182" t="s">
        <v>1554</v>
      </c>
      <c r="P519" s="1182" t="s">
        <v>1563</v>
      </c>
      <c r="Q519" s="1182" t="s">
        <v>1562</v>
      </c>
      <c r="R519" s="1182" t="s">
        <v>1561</v>
      </c>
      <c r="S519" s="1182" t="s">
        <v>1639</v>
      </c>
      <c r="T519" s="1182" t="s">
        <v>1814</v>
      </c>
      <c r="U519" s="1182" t="s">
        <v>1815</v>
      </c>
      <c r="V519" s="1182">
        <v>0</v>
      </c>
      <c r="W519" s="1182">
        <v>0</v>
      </c>
      <c r="X519" s="1182">
        <v>0</v>
      </c>
      <c r="Y519" s="1183">
        <v>4147</v>
      </c>
      <c r="Z519" s="1182" t="s">
        <v>2923</v>
      </c>
      <c r="AA519" s="1182" t="s">
        <v>2924</v>
      </c>
      <c r="AB519" s="1182">
        <v>4147</v>
      </c>
      <c r="AC519" s="1182" t="s">
        <v>2925</v>
      </c>
      <c r="AD519" s="1182" t="s">
        <v>1561</v>
      </c>
      <c r="AE519" s="1182">
        <v>4147</v>
      </c>
      <c r="AF519" s="1182" t="s">
        <v>1819</v>
      </c>
      <c r="AG519" s="1182" t="s">
        <v>1820</v>
      </c>
      <c r="AH519" s="1182">
        <v>377</v>
      </c>
      <c r="AI519" s="1182">
        <v>3770</v>
      </c>
      <c r="AJ519" s="1182" t="s">
        <v>3429</v>
      </c>
      <c r="AL519" s="1186" t="s">
        <v>3443</v>
      </c>
      <c r="AM519" s="1182">
        <v>1</v>
      </c>
      <c r="AN519" s="1182">
        <v>0</v>
      </c>
      <c r="AO519" s="1182">
        <v>0</v>
      </c>
      <c r="AP519" s="1182">
        <v>0</v>
      </c>
      <c r="AQ519" s="1182" t="s">
        <v>1639</v>
      </c>
      <c r="AS519" s="1186" t="s">
        <v>1819</v>
      </c>
      <c r="AT519" s="1186" t="s">
        <v>1820</v>
      </c>
      <c r="AV519" s="1183">
        <v>954</v>
      </c>
      <c r="AW519" s="1183">
        <v>0</v>
      </c>
      <c r="AX519" s="1183">
        <v>0</v>
      </c>
      <c r="AY519" s="1538">
        <v>954</v>
      </c>
      <c r="AZ519" s="1183">
        <v>0</v>
      </c>
      <c r="BA519" s="1183">
        <v>3193</v>
      </c>
      <c r="BB519" s="1540">
        <v>3193</v>
      </c>
      <c r="BC519" s="1540">
        <v>4147</v>
      </c>
      <c r="BD519" s="1540">
        <v>0</v>
      </c>
      <c r="BF519" s="1539">
        <f t="shared" ref="BF519:BF582" si="112">+IFERROR(ROUND(AV519*100/(100+$AT519),0),AV519)</f>
        <v>867</v>
      </c>
      <c r="BG519" s="1539">
        <f t="shared" ref="BG519:BG582" si="113">+IFERROR(ROUND(AW519*100/(100+$AT519),0),AW519)</f>
        <v>0</v>
      </c>
      <c r="BH519" s="1539">
        <f t="shared" ref="BH519:BH582" si="114">+IFERROR(ROUND(AX519*100/(100+$AT519),0),AX519)</f>
        <v>0</v>
      </c>
      <c r="BI519" s="1539">
        <f t="shared" ref="BI519:BI582" si="115">SUM(BF519:BH519)</f>
        <v>867</v>
      </c>
      <c r="BJ519" s="1539">
        <f t="shared" ref="BJ519:BJ582" si="116">+IFERROR(ROUND(AZ519*100/(100+$AT519),0),AZ519)</f>
        <v>0</v>
      </c>
      <c r="BK519" s="1539">
        <f t="shared" ref="BK519:BK582" si="117">+IFERROR(ROUND(BA519*100/(100+$AT519),0),BA519)</f>
        <v>2903</v>
      </c>
      <c r="BL519" s="1539">
        <f t="shared" ref="BL519:BL582" si="118">SUM(BJ519:BK519)</f>
        <v>2903</v>
      </c>
      <c r="BM519" s="1539">
        <f t="shared" ref="BM519:BM582" si="119">+BI519+BL519</f>
        <v>3770</v>
      </c>
      <c r="BO519" s="1183"/>
      <c r="BQ519" s="1182">
        <f t="shared" ref="BQ519:BQ582" si="120">AY519*100/(100+$AT519)-BI519</f>
        <v>0.27272727272725206</v>
      </c>
      <c r="BR519" s="1182">
        <f t="shared" ref="BR519:BR582" si="121">BB519*100/(100+$AT519)-BL519</f>
        <v>-0.27272727272747943</v>
      </c>
    </row>
    <row r="520" spans="1:70" ht="13.5" customHeight="1">
      <c r="A520" s="1182" t="s">
        <v>1803</v>
      </c>
      <c r="B520" s="1182" t="s">
        <v>1804</v>
      </c>
      <c r="C520" s="1182" t="s">
        <v>1639</v>
      </c>
      <c r="D520" s="1182" t="s">
        <v>3154</v>
      </c>
      <c r="E520" s="1182" t="s">
        <v>3155</v>
      </c>
      <c r="F520" s="1182" t="s">
        <v>2683</v>
      </c>
      <c r="G520" s="1182" t="s">
        <v>2683</v>
      </c>
      <c r="H520" s="1182" t="s">
        <v>3444</v>
      </c>
      <c r="I520" s="1182" t="s">
        <v>1809</v>
      </c>
      <c r="J520" s="1182" t="s">
        <v>3445</v>
      </c>
      <c r="K520" s="1182" t="s">
        <v>1811</v>
      </c>
      <c r="L520" s="1182" t="s">
        <v>1812</v>
      </c>
      <c r="M520" s="1182" t="s">
        <v>1803</v>
      </c>
      <c r="N520" s="1182" t="s">
        <v>2922</v>
      </c>
      <c r="O520" s="1182" t="s">
        <v>1554</v>
      </c>
      <c r="P520" s="1182" t="s">
        <v>1563</v>
      </c>
      <c r="Q520" s="1182" t="s">
        <v>1562</v>
      </c>
      <c r="R520" s="1182" t="s">
        <v>1561</v>
      </c>
      <c r="S520" s="1182" t="s">
        <v>1639</v>
      </c>
      <c r="T520" s="1182" t="s">
        <v>1814</v>
      </c>
      <c r="U520" s="1182" t="s">
        <v>1815</v>
      </c>
      <c r="V520" s="1182">
        <v>0</v>
      </c>
      <c r="W520" s="1182">
        <v>0</v>
      </c>
      <c r="X520" s="1182">
        <v>0</v>
      </c>
      <c r="Y520" s="1183">
        <v>4694</v>
      </c>
      <c r="Z520" s="1182" t="s">
        <v>2923</v>
      </c>
      <c r="AA520" s="1182" t="s">
        <v>2924</v>
      </c>
      <c r="AB520" s="1182">
        <v>4694</v>
      </c>
      <c r="AC520" s="1182" t="s">
        <v>2925</v>
      </c>
      <c r="AD520" s="1182" t="s">
        <v>1561</v>
      </c>
      <c r="AE520" s="1182">
        <v>4694</v>
      </c>
      <c r="AF520" s="1182" t="s">
        <v>1819</v>
      </c>
      <c r="AG520" s="1182" t="s">
        <v>1820</v>
      </c>
      <c r="AH520" s="1182">
        <v>426</v>
      </c>
      <c r="AI520" s="1182">
        <v>4268</v>
      </c>
      <c r="AJ520" s="1182" t="s">
        <v>3429</v>
      </c>
      <c r="AL520" s="1186" t="s">
        <v>3446</v>
      </c>
      <c r="AM520" s="1182">
        <v>1</v>
      </c>
      <c r="AN520" s="1182">
        <v>0</v>
      </c>
      <c r="AO520" s="1182">
        <v>0</v>
      </c>
      <c r="AP520" s="1182">
        <v>0</v>
      </c>
      <c r="AQ520" s="1182" t="s">
        <v>1639</v>
      </c>
      <c r="AS520" s="1186" t="s">
        <v>1819</v>
      </c>
      <c r="AT520" s="1186" t="s">
        <v>1820</v>
      </c>
      <c r="AV520" s="1183">
        <v>1080</v>
      </c>
      <c r="AW520" s="1183">
        <v>0</v>
      </c>
      <c r="AX520" s="1183">
        <v>0</v>
      </c>
      <c r="AY520" s="1538">
        <v>1080</v>
      </c>
      <c r="AZ520" s="1183">
        <v>0</v>
      </c>
      <c r="BA520" s="1183">
        <v>3614</v>
      </c>
      <c r="BB520" s="1540">
        <v>3614</v>
      </c>
      <c r="BC520" s="1540">
        <v>4694</v>
      </c>
      <c r="BD520" s="1540">
        <v>0</v>
      </c>
      <c r="BF520" s="1539">
        <f t="shared" si="112"/>
        <v>982</v>
      </c>
      <c r="BG520" s="1539">
        <f t="shared" si="113"/>
        <v>0</v>
      </c>
      <c r="BH520" s="1539">
        <f t="shared" si="114"/>
        <v>0</v>
      </c>
      <c r="BI520" s="1539">
        <f t="shared" si="115"/>
        <v>982</v>
      </c>
      <c r="BJ520" s="1539">
        <f t="shared" si="116"/>
        <v>0</v>
      </c>
      <c r="BK520" s="1539">
        <f t="shared" si="117"/>
        <v>3285</v>
      </c>
      <c r="BL520" s="1539">
        <f t="shared" si="118"/>
        <v>3285</v>
      </c>
      <c r="BM520" s="1539">
        <f t="shared" si="119"/>
        <v>4267</v>
      </c>
      <c r="BO520" s="1183"/>
      <c r="BQ520" s="1182">
        <f t="shared" si="120"/>
        <v>-0.18181818181813014</v>
      </c>
      <c r="BR520" s="1182">
        <f t="shared" si="121"/>
        <v>0.45454545454549589</v>
      </c>
    </row>
    <row r="521" spans="1:70" ht="13.5" customHeight="1">
      <c r="A521" s="1182" t="s">
        <v>1803</v>
      </c>
      <c r="B521" s="1182" t="s">
        <v>1804</v>
      </c>
      <c r="C521" s="1182" t="s">
        <v>1639</v>
      </c>
      <c r="D521" s="1182" t="s">
        <v>2909</v>
      </c>
      <c r="E521" s="1182" t="s">
        <v>2910</v>
      </c>
      <c r="F521" s="1182" t="s">
        <v>3110</v>
      </c>
      <c r="G521" s="1182" t="s">
        <v>3110</v>
      </c>
      <c r="H521" s="1182" t="s">
        <v>3447</v>
      </c>
      <c r="I521" s="1182" t="s">
        <v>1809</v>
      </c>
      <c r="J521" s="1182" t="s">
        <v>3448</v>
      </c>
      <c r="K521" s="1182" t="s">
        <v>1811</v>
      </c>
      <c r="L521" s="1182" t="s">
        <v>1812</v>
      </c>
      <c r="M521" s="1182" t="s">
        <v>1803</v>
      </c>
      <c r="N521" s="1182" t="s">
        <v>2922</v>
      </c>
      <c r="O521" s="1182" t="s">
        <v>1554</v>
      </c>
      <c r="P521" s="1182" t="s">
        <v>1563</v>
      </c>
      <c r="Q521" s="1182" t="s">
        <v>1562</v>
      </c>
      <c r="R521" s="1182" t="s">
        <v>1561</v>
      </c>
      <c r="S521" s="1182" t="s">
        <v>1639</v>
      </c>
      <c r="T521" s="1182" t="s">
        <v>1814</v>
      </c>
      <c r="U521" s="1182" t="s">
        <v>1815</v>
      </c>
      <c r="V521" s="1182">
        <v>0</v>
      </c>
      <c r="W521" s="1182">
        <v>0</v>
      </c>
      <c r="X521" s="1182">
        <v>0</v>
      </c>
      <c r="Y521" s="1183">
        <v>250575</v>
      </c>
      <c r="Z521" s="1182" t="s">
        <v>2923</v>
      </c>
      <c r="AA521" s="1182" t="s">
        <v>2924</v>
      </c>
      <c r="AB521" s="1182">
        <v>250575</v>
      </c>
      <c r="AC521" s="1182" t="s">
        <v>2925</v>
      </c>
      <c r="AD521" s="1182" t="s">
        <v>1561</v>
      </c>
      <c r="AE521" s="1182">
        <v>250575</v>
      </c>
      <c r="AF521" s="1182" t="s">
        <v>1819</v>
      </c>
      <c r="AG521" s="1182" t="s">
        <v>1820</v>
      </c>
      <c r="AH521" s="1182">
        <v>22779</v>
      </c>
      <c r="AI521" s="1182">
        <v>227796</v>
      </c>
      <c r="AJ521" s="1182" t="s">
        <v>3449</v>
      </c>
      <c r="AL521" s="1186" t="s">
        <v>3450</v>
      </c>
      <c r="AM521" s="1182">
        <v>1</v>
      </c>
      <c r="AN521" s="1182">
        <v>0</v>
      </c>
      <c r="AO521" s="1182">
        <v>0</v>
      </c>
      <c r="AP521" s="1182" t="s">
        <v>3451</v>
      </c>
      <c r="AQ521" s="1182" t="s">
        <v>1639</v>
      </c>
      <c r="AS521" s="1186" t="s">
        <v>1819</v>
      </c>
      <c r="AT521" s="1186" t="s">
        <v>1820</v>
      </c>
      <c r="AV521" s="1183">
        <v>250575</v>
      </c>
      <c r="AW521" s="1183">
        <v>0</v>
      </c>
      <c r="AX521" s="1183">
        <v>0</v>
      </c>
      <c r="AY521" s="1538">
        <v>250575</v>
      </c>
      <c r="AZ521" s="1183">
        <v>0</v>
      </c>
      <c r="BA521" s="1183">
        <v>0</v>
      </c>
      <c r="BB521" s="1540">
        <v>0</v>
      </c>
      <c r="BC521" s="1540">
        <v>250575</v>
      </c>
      <c r="BD521" s="1540">
        <v>0</v>
      </c>
      <c r="BF521" s="1539">
        <f t="shared" si="112"/>
        <v>227795</v>
      </c>
      <c r="BG521" s="1539">
        <f t="shared" si="113"/>
        <v>0</v>
      </c>
      <c r="BH521" s="1539">
        <f t="shared" si="114"/>
        <v>0</v>
      </c>
      <c r="BI521" s="1539">
        <f t="shared" si="115"/>
        <v>227795</v>
      </c>
      <c r="BJ521" s="1539">
        <f t="shared" si="116"/>
        <v>0</v>
      </c>
      <c r="BK521" s="1539">
        <f t="shared" si="117"/>
        <v>0</v>
      </c>
      <c r="BL521" s="1539">
        <f t="shared" si="118"/>
        <v>0</v>
      </c>
      <c r="BM521" s="1539">
        <f t="shared" si="119"/>
        <v>227795</v>
      </c>
      <c r="BO521" s="1183"/>
      <c r="BQ521" s="1182">
        <f t="shared" si="120"/>
        <v>0.45454545455868356</v>
      </c>
      <c r="BR521" s="1182">
        <f t="shared" si="121"/>
        <v>0</v>
      </c>
    </row>
    <row r="522" spans="1:70" ht="13.5" customHeight="1">
      <c r="A522" s="1182" t="s">
        <v>1803</v>
      </c>
      <c r="B522" s="1182" t="s">
        <v>1804</v>
      </c>
      <c r="C522" s="1182" t="s">
        <v>1639</v>
      </c>
      <c r="D522" s="1182" t="s">
        <v>2909</v>
      </c>
      <c r="E522" s="1182" t="s">
        <v>2910</v>
      </c>
      <c r="F522" s="1182" t="s">
        <v>3110</v>
      </c>
      <c r="G522" s="1182" t="s">
        <v>3110</v>
      </c>
      <c r="H522" s="1182" t="s">
        <v>3452</v>
      </c>
      <c r="I522" s="1182" t="s">
        <v>1809</v>
      </c>
      <c r="J522" s="1182" t="s">
        <v>3453</v>
      </c>
      <c r="K522" s="1182" t="s">
        <v>1811</v>
      </c>
      <c r="L522" s="1182" t="s">
        <v>1812</v>
      </c>
      <c r="M522" s="1182" t="s">
        <v>1803</v>
      </c>
      <c r="N522" s="1182" t="s">
        <v>2922</v>
      </c>
      <c r="O522" s="1182" t="s">
        <v>1554</v>
      </c>
      <c r="P522" s="1182" t="s">
        <v>1563</v>
      </c>
      <c r="Q522" s="1182" t="s">
        <v>1562</v>
      </c>
      <c r="R522" s="1182" t="s">
        <v>1561</v>
      </c>
      <c r="S522" s="1182" t="s">
        <v>1639</v>
      </c>
      <c r="T522" s="1182" t="s">
        <v>1814</v>
      </c>
      <c r="U522" s="1182" t="s">
        <v>1815</v>
      </c>
      <c r="V522" s="1182">
        <v>0</v>
      </c>
      <c r="W522" s="1182">
        <v>0</v>
      </c>
      <c r="X522" s="1182">
        <v>0</v>
      </c>
      <c r="Y522" s="1543">
        <v>289000</v>
      </c>
      <c r="Z522" s="1182" t="s">
        <v>2923</v>
      </c>
      <c r="AA522" s="1182" t="s">
        <v>2924</v>
      </c>
      <c r="AB522" s="1182">
        <v>289000</v>
      </c>
      <c r="AC522" s="1182" t="s">
        <v>2925</v>
      </c>
      <c r="AD522" s="1182" t="s">
        <v>1561</v>
      </c>
      <c r="AE522" s="1182">
        <v>289000</v>
      </c>
      <c r="AF522" s="1182" t="s">
        <v>1943</v>
      </c>
      <c r="AG522" s="1182" t="s">
        <v>1944</v>
      </c>
      <c r="AH522" s="1182">
        <v>0</v>
      </c>
      <c r="AI522" s="1182">
        <v>289000</v>
      </c>
      <c r="AJ522" s="1182" t="s">
        <v>3454</v>
      </c>
      <c r="AL522" s="1186" t="s">
        <v>3455</v>
      </c>
      <c r="AM522" s="1182">
        <v>1</v>
      </c>
      <c r="AN522" s="1182">
        <v>0</v>
      </c>
      <c r="AO522" s="1182">
        <v>0</v>
      </c>
      <c r="AP522" s="1182">
        <v>0</v>
      </c>
      <c r="AQ522" s="1182" t="s">
        <v>1639</v>
      </c>
      <c r="AS522" s="1186" t="s">
        <v>1943</v>
      </c>
      <c r="AT522" s="1186" t="s">
        <v>1944</v>
      </c>
      <c r="AV522" s="1185">
        <v>289000</v>
      </c>
      <c r="AW522" s="1185">
        <v>0</v>
      </c>
      <c r="AX522" s="1185">
        <v>0</v>
      </c>
      <c r="AY522" s="1539">
        <v>289000</v>
      </c>
      <c r="AZ522" s="1185">
        <v>0</v>
      </c>
      <c r="BA522" s="1185">
        <v>0</v>
      </c>
      <c r="BB522" s="1540">
        <v>0</v>
      </c>
      <c r="BC522" s="1540">
        <v>289000</v>
      </c>
      <c r="BD522" s="1540">
        <v>0</v>
      </c>
      <c r="BF522" s="1539">
        <f t="shared" si="112"/>
        <v>289000</v>
      </c>
      <c r="BG522" s="1539">
        <f t="shared" si="113"/>
        <v>0</v>
      </c>
      <c r="BH522" s="1539">
        <f t="shared" si="114"/>
        <v>0</v>
      </c>
      <c r="BI522" s="1539">
        <f t="shared" si="115"/>
        <v>289000</v>
      </c>
      <c r="BJ522" s="1539">
        <f t="shared" si="116"/>
        <v>0</v>
      </c>
      <c r="BK522" s="1539">
        <f t="shared" si="117"/>
        <v>0</v>
      </c>
      <c r="BL522" s="1539">
        <f t="shared" si="118"/>
        <v>0</v>
      </c>
      <c r="BM522" s="1539">
        <f t="shared" si="119"/>
        <v>289000</v>
      </c>
      <c r="BO522" s="1183"/>
      <c r="BQ522" s="1182">
        <f t="shared" si="120"/>
        <v>0</v>
      </c>
      <c r="BR522" s="1182">
        <f t="shared" si="121"/>
        <v>0</v>
      </c>
    </row>
    <row r="523" spans="1:70" ht="13.5" customHeight="1">
      <c r="A523" s="1182" t="s">
        <v>1803</v>
      </c>
      <c r="B523" s="1182" t="s">
        <v>1804</v>
      </c>
      <c r="C523" s="1182" t="s">
        <v>1639</v>
      </c>
      <c r="D523" s="1182" t="s">
        <v>2909</v>
      </c>
      <c r="E523" s="1182" t="s">
        <v>2910</v>
      </c>
      <c r="F523" s="1182" t="s">
        <v>2432</v>
      </c>
      <c r="G523" s="1182" t="s">
        <v>2432</v>
      </c>
      <c r="H523" s="1182" t="s">
        <v>3456</v>
      </c>
      <c r="I523" s="1182" t="s">
        <v>1809</v>
      </c>
      <c r="J523" s="1182" t="s">
        <v>3457</v>
      </c>
      <c r="K523" s="1182" t="s">
        <v>1811</v>
      </c>
      <c r="L523" s="1182" t="s">
        <v>1812</v>
      </c>
      <c r="M523" s="1182" t="s">
        <v>1803</v>
      </c>
      <c r="N523" s="1182" t="s">
        <v>2922</v>
      </c>
      <c r="O523" s="1182" t="s">
        <v>1554</v>
      </c>
      <c r="P523" s="1182" t="s">
        <v>1563</v>
      </c>
      <c r="Q523" s="1182" t="s">
        <v>1562</v>
      </c>
      <c r="R523" s="1182" t="s">
        <v>1561</v>
      </c>
      <c r="S523" s="1182" t="s">
        <v>1639</v>
      </c>
      <c r="T523" s="1182" t="s">
        <v>1814</v>
      </c>
      <c r="U523" s="1182" t="s">
        <v>1815</v>
      </c>
      <c r="V523" s="1182">
        <v>0</v>
      </c>
      <c r="W523" s="1182">
        <v>0</v>
      </c>
      <c r="X523" s="1182">
        <v>0</v>
      </c>
      <c r="Y523" s="1183">
        <v>244830</v>
      </c>
      <c r="Z523" s="1182" t="s">
        <v>2923</v>
      </c>
      <c r="AA523" s="1182" t="s">
        <v>2924</v>
      </c>
      <c r="AB523" s="1182">
        <v>244830</v>
      </c>
      <c r="AC523" s="1182" t="s">
        <v>2925</v>
      </c>
      <c r="AD523" s="1182" t="s">
        <v>1561</v>
      </c>
      <c r="AE523" s="1182">
        <v>244830</v>
      </c>
      <c r="AF523" s="1182" t="s">
        <v>1943</v>
      </c>
      <c r="AG523" s="1182" t="s">
        <v>1944</v>
      </c>
      <c r="AH523" s="1182">
        <v>0</v>
      </c>
      <c r="AI523" s="1182">
        <v>244830</v>
      </c>
      <c r="AJ523" s="1182" t="s">
        <v>3458</v>
      </c>
      <c r="AL523" s="1186" t="s">
        <v>3459</v>
      </c>
      <c r="AM523" s="1182">
        <v>1</v>
      </c>
      <c r="AN523" s="1182">
        <v>0</v>
      </c>
      <c r="AO523" s="1182">
        <v>0</v>
      </c>
      <c r="AP523" s="1182">
        <v>0</v>
      </c>
      <c r="AQ523" s="1182" t="s">
        <v>1639</v>
      </c>
      <c r="AS523" s="1186" t="s">
        <v>1943</v>
      </c>
      <c r="AT523" s="1186" t="s">
        <v>1944</v>
      </c>
      <c r="AV523" s="1185">
        <v>0</v>
      </c>
      <c r="AW523" s="1185">
        <v>0</v>
      </c>
      <c r="AX523" s="1185">
        <v>0</v>
      </c>
      <c r="AY523" s="1539">
        <v>0</v>
      </c>
      <c r="AZ523" s="1185">
        <v>0</v>
      </c>
      <c r="BA523" s="1185">
        <v>244830</v>
      </c>
      <c r="BB523" s="1540">
        <v>244830</v>
      </c>
      <c r="BC523" s="1540">
        <v>244830</v>
      </c>
      <c r="BD523" s="1540">
        <v>0</v>
      </c>
      <c r="BF523" s="1539">
        <f t="shared" si="112"/>
        <v>0</v>
      </c>
      <c r="BG523" s="1539">
        <f t="shared" si="113"/>
        <v>0</v>
      </c>
      <c r="BH523" s="1539">
        <f t="shared" si="114"/>
        <v>0</v>
      </c>
      <c r="BI523" s="1539">
        <f t="shared" si="115"/>
        <v>0</v>
      </c>
      <c r="BJ523" s="1539">
        <f t="shared" si="116"/>
        <v>0</v>
      </c>
      <c r="BK523" s="1539">
        <f t="shared" si="117"/>
        <v>244830</v>
      </c>
      <c r="BL523" s="1539">
        <f t="shared" si="118"/>
        <v>244830</v>
      </c>
      <c r="BM523" s="1539">
        <f t="shared" si="119"/>
        <v>244830</v>
      </c>
      <c r="BO523" s="1183"/>
      <c r="BQ523" s="1182">
        <f t="shared" si="120"/>
        <v>0</v>
      </c>
      <c r="BR523" s="1182">
        <f t="shared" si="121"/>
        <v>0</v>
      </c>
    </row>
    <row r="524" spans="1:70" ht="13.5" customHeight="1">
      <c r="A524" s="1182" t="s">
        <v>1803</v>
      </c>
      <c r="B524" s="1182" t="s">
        <v>1804</v>
      </c>
      <c r="C524" s="1182" t="s">
        <v>1639</v>
      </c>
      <c r="D524" s="1182" t="s">
        <v>2909</v>
      </c>
      <c r="E524" s="1182" t="s">
        <v>2910</v>
      </c>
      <c r="F524" s="1182" t="s">
        <v>3460</v>
      </c>
      <c r="G524" s="1182" t="s">
        <v>3460</v>
      </c>
      <c r="H524" s="1182" t="s">
        <v>3461</v>
      </c>
      <c r="I524" s="1182" t="s">
        <v>1937</v>
      </c>
      <c r="J524" s="1182" t="s">
        <v>3462</v>
      </c>
      <c r="K524" s="1182" t="s">
        <v>1811</v>
      </c>
      <c r="L524" s="1182" t="s">
        <v>1812</v>
      </c>
      <c r="M524" s="1182" t="s">
        <v>1803</v>
      </c>
      <c r="N524" s="1182" t="s">
        <v>2922</v>
      </c>
      <c r="O524" s="1182" t="s">
        <v>1554</v>
      </c>
      <c r="P524" s="1182" t="s">
        <v>1563</v>
      </c>
      <c r="Q524" s="1182" t="s">
        <v>1562</v>
      </c>
      <c r="R524" s="1182" t="s">
        <v>1561</v>
      </c>
      <c r="S524" s="1182" t="s">
        <v>1639</v>
      </c>
      <c r="T524" s="1182" t="s">
        <v>1814</v>
      </c>
      <c r="U524" s="1182" t="s">
        <v>1815</v>
      </c>
      <c r="V524" s="1182">
        <v>0</v>
      </c>
      <c r="W524" s="1182">
        <v>0</v>
      </c>
      <c r="X524" s="1182">
        <v>0</v>
      </c>
      <c r="Y524" s="1183">
        <v>758980</v>
      </c>
      <c r="Z524" s="1182" t="s">
        <v>1940</v>
      </c>
      <c r="AA524" s="1182" t="s">
        <v>1941</v>
      </c>
      <c r="AB524" s="1182">
        <v>758980</v>
      </c>
      <c r="AC524" s="1182" t="s">
        <v>2925</v>
      </c>
      <c r="AD524" s="1182" t="s">
        <v>1561</v>
      </c>
      <c r="AE524" s="1182">
        <v>758980</v>
      </c>
      <c r="AF524" s="1182" t="s">
        <v>1943</v>
      </c>
      <c r="AG524" s="1182" t="s">
        <v>1944</v>
      </c>
      <c r="AH524" s="1182">
        <v>0</v>
      </c>
      <c r="AI524" s="1182">
        <v>758980</v>
      </c>
      <c r="AJ524" s="1182" t="s">
        <v>3458</v>
      </c>
      <c r="AL524" s="1186" t="s">
        <v>3463</v>
      </c>
      <c r="AM524" s="1182">
        <v>1</v>
      </c>
      <c r="AN524" s="1182">
        <v>0</v>
      </c>
      <c r="AO524" s="1182">
        <v>0</v>
      </c>
      <c r="AP524" s="1182">
        <v>0</v>
      </c>
      <c r="AQ524" s="1182" t="s">
        <v>1639</v>
      </c>
      <c r="AS524" s="1186" t="s">
        <v>1943</v>
      </c>
      <c r="AT524" s="1186" t="s">
        <v>1944</v>
      </c>
      <c r="AV524" s="1185">
        <v>0</v>
      </c>
      <c r="AW524" s="1185">
        <v>0</v>
      </c>
      <c r="AX524" s="1185">
        <v>0</v>
      </c>
      <c r="AY524" s="1539">
        <v>0</v>
      </c>
      <c r="AZ524" s="1185">
        <v>0</v>
      </c>
      <c r="BA524" s="1185">
        <v>758980</v>
      </c>
      <c r="BB524" s="1540">
        <v>758980</v>
      </c>
      <c r="BC524" s="1540">
        <v>758980</v>
      </c>
      <c r="BD524" s="1540">
        <v>0</v>
      </c>
      <c r="BF524" s="1539">
        <f t="shared" si="112"/>
        <v>0</v>
      </c>
      <c r="BG524" s="1539">
        <f t="shared" si="113"/>
        <v>0</v>
      </c>
      <c r="BH524" s="1539">
        <f t="shared" si="114"/>
        <v>0</v>
      </c>
      <c r="BI524" s="1539">
        <f t="shared" si="115"/>
        <v>0</v>
      </c>
      <c r="BJ524" s="1539">
        <f t="shared" si="116"/>
        <v>0</v>
      </c>
      <c r="BK524" s="1539">
        <f t="shared" si="117"/>
        <v>758980</v>
      </c>
      <c r="BL524" s="1539">
        <f t="shared" si="118"/>
        <v>758980</v>
      </c>
      <c r="BM524" s="1539">
        <f t="shared" si="119"/>
        <v>758980</v>
      </c>
      <c r="BO524" s="1183"/>
      <c r="BQ524" s="1182">
        <f t="shared" si="120"/>
        <v>0</v>
      </c>
      <c r="BR524" s="1182">
        <f t="shared" si="121"/>
        <v>0</v>
      </c>
    </row>
    <row r="525" spans="1:70" ht="13.5" customHeight="1">
      <c r="A525" s="1182" t="s">
        <v>1803</v>
      </c>
      <c r="B525" s="1182" t="s">
        <v>1804</v>
      </c>
      <c r="C525" s="1182" t="s">
        <v>1639</v>
      </c>
      <c r="D525" s="1182" t="s">
        <v>2909</v>
      </c>
      <c r="E525" s="1182" t="s">
        <v>2910</v>
      </c>
      <c r="F525" s="1182" t="s">
        <v>1827</v>
      </c>
      <c r="G525" s="1182" t="s">
        <v>1827</v>
      </c>
      <c r="H525" s="1182" t="s">
        <v>3464</v>
      </c>
      <c r="I525" s="1182" t="s">
        <v>1809</v>
      </c>
      <c r="J525" s="1182" t="s">
        <v>3475</v>
      </c>
      <c r="K525" s="1182" t="s">
        <v>1811</v>
      </c>
      <c r="L525" s="1182" t="s">
        <v>1812</v>
      </c>
      <c r="M525" s="1182" t="s">
        <v>1803</v>
      </c>
      <c r="N525" s="1182" t="s">
        <v>2922</v>
      </c>
      <c r="O525" s="1182" t="s">
        <v>1554</v>
      </c>
      <c r="P525" s="1182" t="s">
        <v>1563</v>
      </c>
      <c r="Q525" s="1182" t="s">
        <v>1562</v>
      </c>
      <c r="R525" s="1182" t="s">
        <v>1561</v>
      </c>
      <c r="S525" s="1182" t="s">
        <v>1639</v>
      </c>
      <c r="T525" s="1182" t="s">
        <v>1814</v>
      </c>
      <c r="U525" s="1182" t="s">
        <v>1815</v>
      </c>
      <c r="V525" s="1182">
        <v>0</v>
      </c>
      <c r="W525" s="1182">
        <v>0</v>
      </c>
      <c r="X525" s="1182">
        <v>0</v>
      </c>
      <c r="Y525" s="1183">
        <v>2209710</v>
      </c>
      <c r="Z525" s="1182" t="s">
        <v>2923</v>
      </c>
      <c r="AA525" s="1182" t="s">
        <v>2924</v>
      </c>
      <c r="AB525" s="1182">
        <v>2209710</v>
      </c>
      <c r="AC525" s="1182" t="s">
        <v>2925</v>
      </c>
      <c r="AD525" s="1182" t="s">
        <v>1561</v>
      </c>
      <c r="AE525" s="1182">
        <v>2209710</v>
      </c>
      <c r="AF525" s="1182" t="s">
        <v>1943</v>
      </c>
      <c r="AG525" s="1182" t="s">
        <v>1944</v>
      </c>
      <c r="AH525" s="1182">
        <v>0</v>
      </c>
      <c r="AI525" s="1182">
        <v>2209710</v>
      </c>
      <c r="AJ525" s="1182" t="s">
        <v>3458</v>
      </c>
      <c r="AL525" s="1186" t="s">
        <v>3476</v>
      </c>
      <c r="AM525" s="1182">
        <v>1</v>
      </c>
      <c r="AN525" s="1182">
        <v>0</v>
      </c>
      <c r="AO525" s="1182">
        <v>0</v>
      </c>
      <c r="AP525" s="1182">
        <v>0</v>
      </c>
      <c r="AQ525" s="1182" t="s">
        <v>1639</v>
      </c>
      <c r="AS525" s="1186" t="s">
        <v>1943</v>
      </c>
      <c r="AT525" s="1186" t="s">
        <v>1944</v>
      </c>
      <c r="AV525" s="1183">
        <v>0</v>
      </c>
      <c r="AW525" s="1183">
        <v>0</v>
      </c>
      <c r="AX525" s="1183">
        <v>0</v>
      </c>
      <c r="AY525" s="1538">
        <v>0</v>
      </c>
      <c r="AZ525" s="1183">
        <v>0</v>
      </c>
      <c r="BA525" s="1183">
        <v>2209710</v>
      </c>
      <c r="BB525" s="1540">
        <v>2209710</v>
      </c>
      <c r="BC525" s="1540">
        <v>2209710</v>
      </c>
      <c r="BD525" s="1540">
        <v>0</v>
      </c>
      <c r="BF525" s="1539">
        <f t="shared" si="112"/>
        <v>0</v>
      </c>
      <c r="BG525" s="1539">
        <f t="shared" si="113"/>
        <v>0</v>
      </c>
      <c r="BH525" s="1539">
        <f t="shared" si="114"/>
        <v>0</v>
      </c>
      <c r="BI525" s="1539">
        <f t="shared" si="115"/>
        <v>0</v>
      </c>
      <c r="BJ525" s="1539">
        <f t="shared" si="116"/>
        <v>0</v>
      </c>
      <c r="BK525" s="1539">
        <f t="shared" si="117"/>
        <v>2209710</v>
      </c>
      <c r="BL525" s="1539">
        <f t="shared" si="118"/>
        <v>2209710</v>
      </c>
      <c r="BM525" s="1539">
        <f t="shared" si="119"/>
        <v>2209710</v>
      </c>
      <c r="BO525" s="1183"/>
      <c r="BQ525" s="1182">
        <f t="shared" si="120"/>
        <v>0</v>
      </c>
      <c r="BR525" s="1182">
        <f t="shared" si="121"/>
        <v>0</v>
      </c>
    </row>
    <row r="526" spans="1:70" ht="13.5" customHeight="1">
      <c r="A526" s="1182" t="s">
        <v>1803</v>
      </c>
      <c r="B526" s="1182" t="s">
        <v>1804</v>
      </c>
      <c r="C526" s="1182" t="s">
        <v>1639</v>
      </c>
      <c r="D526" s="1182" t="s">
        <v>2909</v>
      </c>
      <c r="E526" s="1182" t="s">
        <v>2910</v>
      </c>
      <c r="F526" s="1182" t="s">
        <v>3013</v>
      </c>
      <c r="G526" s="1182" t="s">
        <v>3013</v>
      </c>
      <c r="H526" s="1182" t="s">
        <v>3464</v>
      </c>
      <c r="I526" s="1182" t="s">
        <v>1809</v>
      </c>
      <c r="J526" s="1182" t="s">
        <v>3477</v>
      </c>
      <c r="K526" s="1182" t="s">
        <v>1811</v>
      </c>
      <c r="L526" s="1182" t="s">
        <v>1812</v>
      </c>
      <c r="M526" s="1182" t="s">
        <v>1803</v>
      </c>
      <c r="N526" s="1182" t="s">
        <v>2922</v>
      </c>
      <c r="O526" s="1182" t="s">
        <v>1554</v>
      </c>
      <c r="P526" s="1182" t="s">
        <v>1563</v>
      </c>
      <c r="Q526" s="1182" t="s">
        <v>1562</v>
      </c>
      <c r="R526" s="1182" t="s">
        <v>1561</v>
      </c>
      <c r="S526" s="1182" t="s">
        <v>1639</v>
      </c>
      <c r="T526" s="1182" t="s">
        <v>1814</v>
      </c>
      <c r="U526" s="1182" t="s">
        <v>1815</v>
      </c>
      <c r="V526" s="1182">
        <v>0</v>
      </c>
      <c r="W526" s="1182">
        <v>0</v>
      </c>
      <c r="X526" s="1182">
        <v>0</v>
      </c>
      <c r="Y526" s="1183">
        <v>48400</v>
      </c>
      <c r="Z526" s="1182" t="s">
        <v>2923</v>
      </c>
      <c r="AA526" s="1182" t="s">
        <v>2924</v>
      </c>
      <c r="AB526" s="1182">
        <v>48400</v>
      </c>
      <c r="AC526" s="1182" t="s">
        <v>2925</v>
      </c>
      <c r="AD526" s="1182" t="s">
        <v>1561</v>
      </c>
      <c r="AE526" s="1182">
        <v>48400</v>
      </c>
      <c r="AF526" s="1182" t="s">
        <v>1943</v>
      </c>
      <c r="AG526" s="1182" t="s">
        <v>1944</v>
      </c>
      <c r="AH526" s="1182">
        <v>0</v>
      </c>
      <c r="AI526" s="1182">
        <v>48400</v>
      </c>
      <c r="AJ526" s="1182" t="s">
        <v>3478</v>
      </c>
      <c r="AL526" s="1186" t="s">
        <v>3479</v>
      </c>
      <c r="AM526" s="1182">
        <v>1</v>
      </c>
      <c r="AN526" s="1182">
        <v>0</v>
      </c>
      <c r="AO526" s="1182">
        <v>0</v>
      </c>
      <c r="AP526" s="1182">
        <v>0</v>
      </c>
      <c r="AQ526" s="1182" t="s">
        <v>1639</v>
      </c>
      <c r="AS526" s="1186" t="s">
        <v>1943</v>
      </c>
      <c r="AT526" s="1186" t="s">
        <v>1944</v>
      </c>
      <c r="AV526" s="1183">
        <v>0</v>
      </c>
      <c r="AW526" s="1183">
        <v>0</v>
      </c>
      <c r="AX526" s="1183">
        <v>0</v>
      </c>
      <c r="AY526" s="1538">
        <v>0</v>
      </c>
      <c r="AZ526" s="1183">
        <v>0</v>
      </c>
      <c r="BA526" s="1183">
        <v>48400</v>
      </c>
      <c r="BB526" s="1540">
        <v>48400</v>
      </c>
      <c r="BC526" s="1540">
        <v>48400</v>
      </c>
      <c r="BD526" s="1540">
        <v>0</v>
      </c>
      <c r="BF526" s="1539">
        <f t="shared" si="112"/>
        <v>0</v>
      </c>
      <c r="BG526" s="1539">
        <f t="shared" si="113"/>
        <v>0</v>
      </c>
      <c r="BH526" s="1539">
        <f t="shared" si="114"/>
        <v>0</v>
      </c>
      <c r="BI526" s="1539">
        <f t="shared" si="115"/>
        <v>0</v>
      </c>
      <c r="BJ526" s="1539">
        <f t="shared" si="116"/>
        <v>0</v>
      </c>
      <c r="BK526" s="1539">
        <f t="shared" si="117"/>
        <v>48400</v>
      </c>
      <c r="BL526" s="1539">
        <f t="shared" si="118"/>
        <v>48400</v>
      </c>
      <c r="BM526" s="1539">
        <f t="shared" si="119"/>
        <v>48400</v>
      </c>
      <c r="BO526" s="1183"/>
      <c r="BQ526" s="1182">
        <f t="shared" si="120"/>
        <v>0</v>
      </c>
      <c r="BR526" s="1182">
        <f t="shared" si="121"/>
        <v>0</v>
      </c>
    </row>
    <row r="527" spans="1:70" ht="13.5" customHeight="1">
      <c r="A527" s="1182" t="s">
        <v>1803</v>
      </c>
      <c r="B527" s="1182" t="s">
        <v>1804</v>
      </c>
      <c r="C527" s="1182" t="s">
        <v>1639</v>
      </c>
      <c r="D527" s="1182" t="s">
        <v>2909</v>
      </c>
      <c r="E527" s="1182" t="s">
        <v>2910</v>
      </c>
      <c r="F527" s="1182" t="s">
        <v>2135</v>
      </c>
      <c r="G527" s="1182" t="s">
        <v>2135</v>
      </c>
      <c r="H527" s="1182" t="s">
        <v>3464</v>
      </c>
      <c r="I527" s="1182" t="s">
        <v>1809</v>
      </c>
      <c r="J527" s="1182" t="s">
        <v>3471</v>
      </c>
      <c r="K527" s="1182" t="s">
        <v>1811</v>
      </c>
      <c r="L527" s="1182" t="s">
        <v>1812</v>
      </c>
      <c r="M527" s="1182" t="s">
        <v>1803</v>
      </c>
      <c r="N527" s="1182" t="s">
        <v>2922</v>
      </c>
      <c r="O527" s="1182" t="s">
        <v>1554</v>
      </c>
      <c r="P527" s="1182" t="s">
        <v>1563</v>
      </c>
      <c r="Q527" s="1182" t="s">
        <v>1562</v>
      </c>
      <c r="R527" s="1182" t="s">
        <v>1561</v>
      </c>
      <c r="S527" s="1182" t="s">
        <v>1639</v>
      </c>
      <c r="T527" s="1182" t="s">
        <v>1814</v>
      </c>
      <c r="U527" s="1182" t="s">
        <v>1815</v>
      </c>
      <c r="V527" s="1182">
        <v>0</v>
      </c>
      <c r="W527" s="1182">
        <v>0</v>
      </c>
      <c r="X527" s="1182">
        <v>0</v>
      </c>
      <c r="Y527" s="1183">
        <v>795660</v>
      </c>
      <c r="Z527" s="1182" t="s">
        <v>2923</v>
      </c>
      <c r="AA527" s="1182" t="s">
        <v>2924</v>
      </c>
      <c r="AB527" s="1182">
        <v>795660</v>
      </c>
      <c r="AC527" s="1182" t="s">
        <v>2925</v>
      </c>
      <c r="AD527" s="1182" t="s">
        <v>1561</v>
      </c>
      <c r="AE527" s="1182">
        <v>795660</v>
      </c>
      <c r="AF527" s="1182" t="s">
        <v>1943</v>
      </c>
      <c r="AG527" s="1182" t="s">
        <v>1944</v>
      </c>
      <c r="AH527" s="1182">
        <v>0</v>
      </c>
      <c r="AI527" s="1182">
        <v>795660</v>
      </c>
      <c r="AJ527" s="1182" t="s">
        <v>3458</v>
      </c>
      <c r="AL527" s="1186" t="s">
        <v>3472</v>
      </c>
      <c r="AM527" s="1182">
        <v>1</v>
      </c>
      <c r="AN527" s="1182">
        <v>0</v>
      </c>
      <c r="AO527" s="1182">
        <v>0</v>
      </c>
      <c r="AP527" s="1182">
        <v>0</v>
      </c>
      <c r="AQ527" s="1182" t="s">
        <v>1639</v>
      </c>
      <c r="AS527" s="1186" t="s">
        <v>1943</v>
      </c>
      <c r="AT527" s="1186" t="s">
        <v>1944</v>
      </c>
      <c r="AV527" s="1183">
        <v>0</v>
      </c>
      <c r="AW527" s="1183">
        <v>0</v>
      </c>
      <c r="AX527" s="1183">
        <v>0</v>
      </c>
      <c r="AY527" s="1538">
        <v>0</v>
      </c>
      <c r="AZ527" s="1183">
        <v>0</v>
      </c>
      <c r="BA527" s="1183">
        <v>795660</v>
      </c>
      <c r="BB527" s="1540">
        <v>795660</v>
      </c>
      <c r="BC527" s="1540">
        <v>795660</v>
      </c>
      <c r="BD527" s="1540">
        <v>0</v>
      </c>
      <c r="BF527" s="1539">
        <f t="shared" si="112"/>
        <v>0</v>
      </c>
      <c r="BG527" s="1539">
        <f t="shared" si="113"/>
        <v>0</v>
      </c>
      <c r="BH527" s="1539">
        <f t="shared" si="114"/>
        <v>0</v>
      </c>
      <c r="BI527" s="1539">
        <f t="shared" si="115"/>
        <v>0</v>
      </c>
      <c r="BJ527" s="1539">
        <f t="shared" si="116"/>
        <v>0</v>
      </c>
      <c r="BK527" s="1539">
        <f t="shared" si="117"/>
        <v>795660</v>
      </c>
      <c r="BL527" s="1539">
        <f t="shared" si="118"/>
        <v>795660</v>
      </c>
      <c r="BM527" s="1539">
        <f t="shared" si="119"/>
        <v>795660</v>
      </c>
      <c r="BO527" s="1183"/>
      <c r="BQ527" s="1182">
        <f t="shared" si="120"/>
        <v>0</v>
      </c>
      <c r="BR527" s="1182">
        <f t="shared" si="121"/>
        <v>0</v>
      </c>
    </row>
    <row r="528" spans="1:70" ht="13.5" customHeight="1">
      <c r="A528" s="1182" t="s">
        <v>1803</v>
      </c>
      <c r="B528" s="1182" t="s">
        <v>1804</v>
      </c>
      <c r="C528" s="1182" t="s">
        <v>1639</v>
      </c>
      <c r="D528" s="1182" t="s">
        <v>2909</v>
      </c>
      <c r="E528" s="1182" t="s">
        <v>2910</v>
      </c>
      <c r="F528" s="1182" t="s">
        <v>2432</v>
      </c>
      <c r="G528" s="1182" t="s">
        <v>2432</v>
      </c>
      <c r="H528" s="1182" t="s">
        <v>3461</v>
      </c>
      <c r="I528" s="1182" t="s">
        <v>1809</v>
      </c>
      <c r="J528" s="1182" t="s">
        <v>3473</v>
      </c>
      <c r="K528" s="1182" t="s">
        <v>1811</v>
      </c>
      <c r="L528" s="1182" t="s">
        <v>1812</v>
      </c>
      <c r="M528" s="1182" t="s">
        <v>1803</v>
      </c>
      <c r="N528" s="1182" t="s">
        <v>2922</v>
      </c>
      <c r="O528" s="1182" t="s">
        <v>1554</v>
      </c>
      <c r="P528" s="1182" t="s">
        <v>1563</v>
      </c>
      <c r="Q528" s="1182" t="s">
        <v>1562</v>
      </c>
      <c r="R528" s="1182" t="s">
        <v>1561</v>
      </c>
      <c r="S528" s="1182" t="s">
        <v>1639</v>
      </c>
      <c r="T528" s="1182" t="s">
        <v>1814</v>
      </c>
      <c r="U528" s="1182" t="s">
        <v>1815</v>
      </c>
      <c r="V528" s="1182">
        <v>0</v>
      </c>
      <c r="W528" s="1182">
        <v>0</v>
      </c>
      <c r="X528" s="1182">
        <v>0</v>
      </c>
      <c r="Y528" s="1183">
        <v>244830</v>
      </c>
      <c r="Z528" s="1182" t="s">
        <v>2923</v>
      </c>
      <c r="AA528" s="1182" t="s">
        <v>2924</v>
      </c>
      <c r="AB528" s="1182">
        <v>244830</v>
      </c>
      <c r="AC528" s="1182" t="s">
        <v>2925</v>
      </c>
      <c r="AD528" s="1182" t="s">
        <v>1561</v>
      </c>
      <c r="AE528" s="1182">
        <v>244830</v>
      </c>
      <c r="AF528" s="1182" t="s">
        <v>1943</v>
      </c>
      <c r="AG528" s="1182" t="s">
        <v>1944</v>
      </c>
      <c r="AH528" s="1182">
        <v>0</v>
      </c>
      <c r="AI528" s="1182">
        <v>244830</v>
      </c>
      <c r="AJ528" s="1182" t="s">
        <v>3458</v>
      </c>
      <c r="AL528" s="1186" t="s">
        <v>3474</v>
      </c>
      <c r="AM528" s="1182">
        <v>1</v>
      </c>
      <c r="AN528" s="1182">
        <v>0</v>
      </c>
      <c r="AO528" s="1182">
        <v>0</v>
      </c>
      <c r="AP528" s="1182">
        <v>0</v>
      </c>
      <c r="AQ528" s="1182" t="s">
        <v>1639</v>
      </c>
      <c r="AS528" s="1186" t="s">
        <v>1943</v>
      </c>
      <c r="AT528" s="1186" t="s">
        <v>1944</v>
      </c>
      <c r="AV528" s="1183">
        <v>0</v>
      </c>
      <c r="AW528" s="1183">
        <v>0</v>
      </c>
      <c r="AX528" s="1183">
        <v>0</v>
      </c>
      <c r="AY528" s="1538">
        <v>0</v>
      </c>
      <c r="AZ528" s="1183">
        <v>0</v>
      </c>
      <c r="BA528" s="1183">
        <v>244830</v>
      </c>
      <c r="BB528" s="1540">
        <v>244830</v>
      </c>
      <c r="BC528" s="1540">
        <v>244830</v>
      </c>
      <c r="BD528" s="1540">
        <v>0</v>
      </c>
      <c r="BF528" s="1539">
        <f t="shared" si="112"/>
        <v>0</v>
      </c>
      <c r="BG528" s="1539">
        <f t="shared" si="113"/>
        <v>0</v>
      </c>
      <c r="BH528" s="1539">
        <f t="shared" si="114"/>
        <v>0</v>
      </c>
      <c r="BI528" s="1539">
        <f t="shared" si="115"/>
        <v>0</v>
      </c>
      <c r="BJ528" s="1539">
        <f t="shared" si="116"/>
        <v>0</v>
      </c>
      <c r="BK528" s="1539">
        <f t="shared" si="117"/>
        <v>244830</v>
      </c>
      <c r="BL528" s="1539">
        <f t="shared" si="118"/>
        <v>244830</v>
      </c>
      <c r="BM528" s="1539">
        <f t="shared" si="119"/>
        <v>244830</v>
      </c>
      <c r="BO528" s="1183"/>
      <c r="BQ528" s="1182">
        <f t="shared" si="120"/>
        <v>0</v>
      </c>
      <c r="BR528" s="1182">
        <f t="shared" si="121"/>
        <v>0</v>
      </c>
    </row>
    <row r="529" spans="1:70" ht="13.5" customHeight="1">
      <c r="A529" s="1182" t="s">
        <v>1803</v>
      </c>
      <c r="B529" s="1182" t="s">
        <v>1804</v>
      </c>
      <c r="C529" s="1182" t="s">
        <v>1639</v>
      </c>
      <c r="D529" s="1182" t="s">
        <v>2909</v>
      </c>
      <c r="E529" s="1182" t="s">
        <v>2910</v>
      </c>
      <c r="F529" s="1182" t="s">
        <v>2984</v>
      </c>
      <c r="G529" s="1182" t="s">
        <v>2984</v>
      </c>
      <c r="H529" s="1182" t="s">
        <v>3464</v>
      </c>
      <c r="I529" s="1182" t="s">
        <v>1809</v>
      </c>
      <c r="J529" s="1182" t="s">
        <v>3465</v>
      </c>
      <c r="K529" s="1182" t="s">
        <v>1811</v>
      </c>
      <c r="L529" s="1182" t="s">
        <v>1812</v>
      </c>
      <c r="M529" s="1182" t="s">
        <v>1803</v>
      </c>
      <c r="N529" s="1182" t="s">
        <v>2922</v>
      </c>
      <c r="O529" s="1182" t="s">
        <v>1554</v>
      </c>
      <c r="P529" s="1182" t="s">
        <v>1563</v>
      </c>
      <c r="Q529" s="1182" t="s">
        <v>1562</v>
      </c>
      <c r="R529" s="1182" t="s">
        <v>1561</v>
      </c>
      <c r="S529" s="1182" t="s">
        <v>1639</v>
      </c>
      <c r="T529" s="1182" t="s">
        <v>1814</v>
      </c>
      <c r="U529" s="1182" t="s">
        <v>1815</v>
      </c>
      <c r="V529" s="1182">
        <v>0</v>
      </c>
      <c r="W529" s="1182">
        <v>0</v>
      </c>
      <c r="X529" s="1182">
        <v>0</v>
      </c>
      <c r="Y529" s="1183">
        <v>3393100</v>
      </c>
      <c r="Z529" s="1182" t="s">
        <v>2923</v>
      </c>
      <c r="AA529" s="1182" t="s">
        <v>2924</v>
      </c>
      <c r="AB529" s="1182">
        <v>3393100</v>
      </c>
      <c r="AC529" s="1182" t="s">
        <v>2925</v>
      </c>
      <c r="AD529" s="1182" t="s">
        <v>1561</v>
      </c>
      <c r="AE529" s="1182">
        <v>3393100</v>
      </c>
      <c r="AF529" s="1182" t="s">
        <v>1943</v>
      </c>
      <c r="AG529" s="1182" t="s">
        <v>1944</v>
      </c>
      <c r="AH529" s="1182">
        <v>0</v>
      </c>
      <c r="AI529" s="1182">
        <v>3393100</v>
      </c>
      <c r="AJ529" s="1182" t="s">
        <v>3466</v>
      </c>
      <c r="AL529" s="1186" t="s">
        <v>3467</v>
      </c>
      <c r="AM529" s="1182">
        <v>1</v>
      </c>
      <c r="AN529" s="1182">
        <v>0</v>
      </c>
      <c r="AO529" s="1182">
        <v>0</v>
      </c>
      <c r="AP529" s="1182">
        <v>0</v>
      </c>
      <c r="AQ529" s="1182" t="s">
        <v>1639</v>
      </c>
      <c r="AS529" s="1186" t="s">
        <v>1943</v>
      </c>
      <c r="AT529" s="1186" t="s">
        <v>1944</v>
      </c>
      <c r="AV529" s="1183">
        <v>0</v>
      </c>
      <c r="AW529" s="1183">
        <v>0</v>
      </c>
      <c r="AX529" s="1183">
        <v>0</v>
      </c>
      <c r="AY529" s="1538">
        <v>0</v>
      </c>
      <c r="AZ529" s="1183">
        <v>0</v>
      </c>
      <c r="BA529" s="1183">
        <v>3393100</v>
      </c>
      <c r="BB529" s="1540">
        <v>3393100</v>
      </c>
      <c r="BC529" s="1540">
        <v>3393100</v>
      </c>
      <c r="BD529" s="1540">
        <v>0</v>
      </c>
      <c r="BF529" s="1539">
        <f t="shared" si="112"/>
        <v>0</v>
      </c>
      <c r="BG529" s="1539">
        <f t="shared" si="113"/>
        <v>0</v>
      </c>
      <c r="BH529" s="1539">
        <f t="shared" si="114"/>
        <v>0</v>
      </c>
      <c r="BI529" s="1539">
        <f t="shared" si="115"/>
        <v>0</v>
      </c>
      <c r="BJ529" s="1539">
        <f t="shared" si="116"/>
        <v>0</v>
      </c>
      <c r="BK529" s="1539">
        <f t="shared" si="117"/>
        <v>3393100</v>
      </c>
      <c r="BL529" s="1539">
        <f t="shared" si="118"/>
        <v>3393100</v>
      </c>
      <c r="BM529" s="1539">
        <f t="shared" si="119"/>
        <v>3393100</v>
      </c>
      <c r="BO529" s="1183"/>
      <c r="BQ529" s="1182">
        <f t="shared" si="120"/>
        <v>0</v>
      </c>
      <c r="BR529" s="1182">
        <f t="shared" si="121"/>
        <v>0</v>
      </c>
    </row>
    <row r="530" spans="1:70" ht="13.5" customHeight="1">
      <c r="A530" s="1182" t="s">
        <v>1803</v>
      </c>
      <c r="B530" s="1182" t="s">
        <v>1804</v>
      </c>
      <c r="C530" s="1182" t="s">
        <v>1639</v>
      </c>
      <c r="D530" s="1182" t="s">
        <v>2909</v>
      </c>
      <c r="E530" s="1182" t="s">
        <v>2910</v>
      </c>
      <c r="F530" s="1182" t="s">
        <v>2738</v>
      </c>
      <c r="G530" s="1182" t="s">
        <v>2738</v>
      </c>
      <c r="H530" s="1182" t="s">
        <v>3464</v>
      </c>
      <c r="I530" s="1182" t="s">
        <v>1809</v>
      </c>
      <c r="J530" s="1182" t="s">
        <v>3468</v>
      </c>
      <c r="K530" s="1182" t="s">
        <v>1811</v>
      </c>
      <c r="L530" s="1182" t="s">
        <v>1812</v>
      </c>
      <c r="M530" s="1182" t="s">
        <v>1803</v>
      </c>
      <c r="N530" s="1182" t="s">
        <v>2922</v>
      </c>
      <c r="O530" s="1182" t="s">
        <v>1554</v>
      </c>
      <c r="P530" s="1182" t="s">
        <v>1563</v>
      </c>
      <c r="Q530" s="1182" t="s">
        <v>1562</v>
      </c>
      <c r="R530" s="1182" t="s">
        <v>1561</v>
      </c>
      <c r="S530" s="1182" t="s">
        <v>1639</v>
      </c>
      <c r="T530" s="1182" t="s">
        <v>1814</v>
      </c>
      <c r="U530" s="1182" t="s">
        <v>1815</v>
      </c>
      <c r="V530" s="1182">
        <v>0</v>
      </c>
      <c r="W530" s="1182">
        <v>0</v>
      </c>
      <c r="X530" s="1182">
        <v>0</v>
      </c>
      <c r="Y530" s="1183">
        <v>3820</v>
      </c>
      <c r="Z530" s="1182" t="s">
        <v>2923</v>
      </c>
      <c r="AA530" s="1182" t="s">
        <v>2924</v>
      </c>
      <c r="AB530" s="1182">
        <v>3820</v>
      </c>
      <c r="AC530" s="1182" t="s">
        <v>2925</v>
      </c>
      <c r="AD530" s="1182" t="s">
        <v>1561</v>
      </c>
      <c r="AE530" s="1182">
        <v>3820</v>
      </c>
      <c r="AF530" s="1182" t="s">
        <v>1819</v>
      </c>
      <c r="AG530" s="1182" t="s">
        <v>1820</v>
      </c>
      <c r="AH530" s="1182">
        <v>347</v>
      </c>
      <c r="AI530" s="1182">
        <v>3473</v>
      </c>
      <c r="AJ530" s="1182" t="s">
        <v>3469</v>
      </c>
      <c r="AL530" s="1186" t="s">
        <v>3470</v>
      </c>
      <c r="AM530" s="1182">
        <v>1</v>
      </c>
      <c r="AN530" s="1182">
        <v>0</v>
      </c>
      <c r="AO530" s="1182">
        <v>0</v>
      </c>
      <c r="AP530" s="1182">
        <v>0</v>
      </c>
      <c r="AQ530" s="1182" t="s">
        <v>1639</v>
      </c>
      <c r="AS530" s="1186" t="s">
        <v>1819</v>
      </c>
      <c r="AT530" s="1186" t="s">
        <v>1820</v>
      </c>
      <c r="AV530" s="1183">
        <v>0</v>
      </c>
      <c r="AW530" s="1183">
        <v>0</v>
      </c>
      <c r="AX530" s="1183">
        <v>0</v>
      </c>
      <c r="AY530" s="1538">
        <v>0</v>
      </c>
      <c r="AZ530" s="1183">
        <v>0</v>
      </c>
      <c r="BA530" s="1183">
        <v>3820</v>
      </c>
      <c r="BB530" s="1540">
        <v>3820</v>
      </c>
      <c r="BC530" s="1540">
        <v>3820</v>
      </c>
      <c r="BD530" s="1540">
        <v>0</v>
      </c>
      <c r="BF530" s="1539">
        <f t="shared" si="112"/>
        <v>0</v>
      </c>
      <c r="BG530" s="1539">
        <f t="shared" si="113"/>
        <v>0</v>
      </c>
      <c r="BH530" s="1539">
        <f t="shared" si="114"/>
        <v>0</v>
      </c>
      <c r="BI530" s="1539">
        <f t="shared" si="115"/>
        <v>0</v>
      </c>
      <c r="BJ530" s="1539">
        <f t="shared" si="116"/>
        <v>0</v>
      </c>
      <c r="BK530" s="1539">
        <f t="shared" si="117"/>
        <v>3473</v>
      </c>
      <c r="BL530" s="1539">
        <f t="shared" si="118"/>
        <v>3473</v>
      </c>
      <c r="BM530" s="1539">
        <f t="shared" si="119"/>
        <v>3473</v>
      </c>
      <c r="BO530" s="1183"/>
      <c r="BQ530" s="1182">
        <f t="shared" si="120"/>
        <v>0</v>
      </c>
      <c r="BR530" s="1182">
        <f t="shared" si="121"/>
        <v>-0.27272727272747943</v>
      </c>
    </row>
    <row r="531" spans="1:70" ht="13.5" customHeight="1">
      <c r="A531" s="1182" t="s">
        <v>1803</v>
      </c>
      <c r="B531" s="1182" t="s">
        <v>1804</v>
      </c>
      <c r="C531" s="1182" t="s">
        <v>1639</v>
      </c>
      <c r="D531" s="1182" t="s">
        <v>2909</v>
      </c>
      <c r="E531" s="1182" t="s">
        <v>2910</v>
      </c>
      <c r="F531" s="1182" t="s">
        <v>3460</v>
      </c>
      <c r="G531" s="1182" t="s">
        <v>3460</v>
      </c>
      <c r="H531" s="1182" t="s">
        <v>3480</v>
      </c>
      <c r="I531" s="1182" t="s">
        <v>2933</v>
      </c>
      <c r="J531" s="1182" t="s">
        <v>3481</v>
      </c>
      <c r="K531" s="1182" t="s">
        <v>1811</v>
      </c>
      <c r="L531" s="1182" t="s">
        <v>1812</v>
      </c>
      <c r="M531" s="1182" t="s">
        <v>1803</v>
      </c>
      <c r="N531" s="1182" t="s">
        <v>2922</v>
      </c>
      <c r="O531" s="1182" t="s">
        <v>1554</v>
      </c>
      <c r="P531" s="1182" t="s">
        <v>1563</v>
      </c>
      <c r="Q531" s="1182" t="s">
        <v>1562</v>
      </c>
      <c r="R531" s="1182" t="s">
        <v>1561</v>
      </c>
      <c r="S531" s="1182" t="s">
        <v>1639</v>
      </c>
      <c r="T531" s="1182" t="s">
        <v>1814</v>
      </c>
      <c r="U531" s="1182" t="s">
        <v>1815</v>
      </c>
      <c r="V531" s="1182">
        <v>0</v>
      </c>
      <c r="W531" s="1182">
        <v>0</v>
      </c>
      <c r="X531" s="1182">
        <v>0</v>
      </c>
      <c r="Y531" s="1183">
        <v>-514150</v>
      </c>
      <c r="Z531" s="1182" t="s">
        <v>2925</v>
      </c>
      <c r="AA531" s="1182" t="s">
        <v>1561</v>
      </c>
      <c r="AB531" s="1182">
        <v>514150</v>
      </c>
      <c r="AC531" s="1182" t="s">
        <v>2935</v>
      </c>
      <c r="AD531" s="1182" t="s">
        <v>2936</v>
      </c>
      <c r="AE531" s="1182">
        <v>514150</v>
      </c>
      <c r="AF531" s="1182" t="s">
        <v>1943</v>
      </c>
      <c r="AG531" s="1182" t="s">
        <v>1944</v>
      </c>
      <c r="AH531" s="1182">
        <v>0</v>
      </c>
      <c r="AI531" s="1182">
        <v>-514150</v>
      </c>
      <c r="AJ531" s="1182" t="s">
        <v>1639</v>
      </c>
      <c r="AL531" s="1186" t="s">
        <v>3482</v>
      </c>
      <c r="AM531" s="1182">
        <v>1</v>
      </c>
      <c r="AN531" s="1182">
        <v>0</v>
      </c>
      <c r="AO531" s="1182">
        <v>0</v>
      </c>
      <c r="AP531" s="1182" t="s">
        <v>3483</v>
      </c>
      <c r="AQ531" s="1182" t="s">
        <v>1639</v>
      </c>
      <c r="AS531" s="1186" t="s">
        <v>1943</v>
      </c>
      <c r="AT531" s="1186" t="s">
        <v>1944</v>
      </c>
      <c r="AV531" s="1183">
        <v>0</v>
      </c>
      <c r="AW531" s="1183">
        <v>0</v>
      </c>
      <c r="AX531" s="1183">
        <v>0</v>
      </c>
      <c r="AY531" s="1538">
        <v>0</v>
      </c>
      <c r="AZ531" s="1183">
        <v>0</v>
      </c>
      <c r="BA531" s="1183">
        <v>-514150</v>
      </c>
      <c r="BB531" s="1540">
        <v>-514150</v>
      </c>
      <c r="BC531" s="1540">
        <v>-514150</v>
      </c>
      <c r="BD531" s="1540">
        <v>0</v>
      </c>
      <c r="BF531" s="1539">
        <f t="shared" si="112"/>
        <v>0</v>
      </c>
      <c r="BG531" s="1539">
        <f t="shared" si="113"/>
        <v>0</v>
      </c>
      <c r="BH531" s="1539">
        <f t="shared" si="114"/>
        <v>0</v>
      </c>
      <c r="BI531" s="1539">
        <f t="shared" si="115"/>
        <v>0</v>
      </c>
      <c r="BJ531" s="1539">
        <f t="shared" si="116"/>
        <v>0</v>
      </c>
      <c r="BK531" s="1539">
        <f t="shared" si="117"/>
        <v>-514150</v>
      </c>
      <c r="BL531" s="1539">
        <f t="shared" si="118"/>
        <v>-514150</v>
      </c>
      <c r="BM531" s="1539">
        <f t="shared" si="119"/>
        <v>-514150</v>
      </c>
      <c r="BO531" s="1183"/>
      <c r="BQ531" s="1182">
        <f t="shared" si="120"/>
        <v>0</v>
      </c>
      <c r="BR531" s="1182">
        <f t="shared" si="121"/>
        <v>0</v>
      </c>
    </row>
    <row r="532" spans="1:70" ht="13.5" customHeight="1">
      <c r="A532" s="1182" t="s">
        <v>1803</v>
      </c>
      <c r="B532" s="1182" t="s">
        <v>1804</v>
      </c>
      <c r="C532" s="1182" t="s">
        <v>1639</v>
      </c>
      <c r="D532" s="1182" t="s">
        <v>2909</v>
      </c>
      <c r="E532" s="1182" t="s">
        <v>2910</v>
      </c>
      <c r="F532" s="1182" t="s">
        <v>2950</v>
      </c>
      <c r="G532" s="1182" t="s">
        <v>2950</v>
      </c>
      <c r="H532" s="1182" t="s">
        <v>3480</v>
      </c>
      <c r="I532" s="1182" t="s">
        <v>2933</v>
      </c>
      <c r="J532" s="1182" t="s">
        <v>3484</v>
      </c>
      <c r="K532" s="1182" t="s">
        <v>1811</v>
      </c>
      <c r="L532" s="1182" t="s">
        <v>1812</v>
      </c>
      <c r="M532" s="1182" t="s">
        <v>1803</v>
      </c>
      <c r="N532" s="1182" t="s">
        <v>2922</v>
      </c>
      <c r="O532" s="1182" t="s">
        <v>1554</v>
      </c>
      <c r="P532" s="1182" t="s">
        <v>1563</v>
      </c>
      <c r="Q532" s="1182" t="s">
        <v>1562</v>
      </c>
      <c r="R532" s="1182" t="s">
        <v>1561</v>
      </c>
      <c r="S532" s="1182" t="s">
        <v>1639</v>
      </c>
      <c r="T532" s="1182" t="s">
        <v>1814</v>
      </c>
      <c r="U532" s="1182" t="s">
        <v>1815</v>
      </c>
      <c r="V532" s="1182">
        <v>0</v>
      </c>
      <c r="W532" s="1182">
        <v>0</v>
      </c>
      <c r="X532" s="1182">
        <v>0</v>
      </c>
      <c r="Y532" s="1183">
        <v>-1010920</v>
      </c>
      <c r="Z532" s="1182" t="s">
        <v>2925</v>
      </c>
      <c r="AA532" s="1182" t="s">
        <v>1561</v>
      </c>
      <c r="AB532" s="1182">
        <v>1010920</v>
      </c>
      <c r="AC532" s="1182" t="s">
        <v>2935</v>
      </c>
      <c r="AD532" s="1182" t="s">
        <v>2936</v>
      </c>
      <c r="AE532" s="1182">
        <v>1010920</v>
      </c>
      <c r="AF532" s="1182" t="s">
        <v>1943</v>
      </c>
      <c r="AG532" s="1182" t="s">
        <v>1944</v>
      </c>
      <c r="AH532" s="1182">
        <v>0</v>
      </c>
      <c r="AI532" s="1182">
        <v>-1010920</v>
      </c>
      <c r="AJ532" s="1182" t="s">
        <v>1639</v>
      </c>
      <c r="AL532" s="1186" t="s">
        <v>3485</v>
      </c>
      <c r="AM532" s="1182">
        <v>1</v>
      </c>
      <c r="AN532" s="1182">
        <v>0</v>
      </c>
      <c r="AO532" s="1182">
        <v>0</v>
      </c>
      <c r="AP532" s="1182" t="s">
        <v>3483</v>
      </c>
      <c r="AQ532" s="1182" t="s">
        <v>1639</v>
      </c>
      <c r="AS532" s="1186" t="s">
        <v>1943</v>
      </c>
      <c r="AT532" s="1186" t="s">
        <v>1944</v>
      </c>
      <c r="AV532" s="1183">
        <v>0</v>
      </c>
      <c r="AW532" s="1183">
        <v>0</v>
      </c>
      <c r="AX532" s="1183">
        <v>0</v>
      </c>
      <c r="AY532" s="1538">
        <v>0</v>
      </c>
      <c r="AZ532" s="1183">
        <v>0</v>
      </c>
      <c r="BA532" s="1183">
        <v>-1010920</v>
      </c>
      <c r="BB532" s="1540">
        <v>-1010920</v>
      </c>
      <c r="BC532" s="1540">
        <v>-1010920</v>
      </c>
      <c r="BD532" s="1540">
        <v>0</v>
      </c>
      <c r="BF532" s="1539">
        <f t="shared" si="112"/>
        <v>0</v>
      </c>
      <c r="BG532" s="1539">
        <f t="shared" si="113"/>
        <v>0</v>
      </c>
      <c r="BH532" s="1539">
        <f t="shared" si="114"/>
        <v>0</v>
      </c>
      <c r="BI532" s="1539">
        <f t="shared" si="115"/>
        <v>0</v>
      </c>
      <c r="BJ532" s="1539">
        <f t="shared" si="116"/>
        <v>0</v>
      </c>
      <c r="BK532" s="1539">
        <f t="shared" si="117"/>
        <v>-1010920</v>
      </c>
      <c r="BL532" s="1539">
        <f t="shared" si="118"/>
        <v>-1010920</v>
      </c>
      <c r="BM532" s="1539">
        <f t="shared" si="119"/>
        <v>-1010920</v>
      </c>
      <c r="BO532" s="1183"/>
      <c r="BQ532" s="1182">
        <f t="shared" si="120"/>
        <v>0</v>
      </c>
      <c r="BR532" s="1182">
        <f t="shared" si="121"/>
        <v>0</v>
      </c>
    </row>
    <row r="533" spans="1:70" ht="13.5" customHeight="1">
      <c r="A533" s="1182" t="s">
        <v>1803</v>
      </c>
      <c r="B533" s="1182" t="s">
        <v>1804</v>
      </c>
      <c r="C533" s="1182" t="s">
        <v>1639</v>
      </c>
      <c r="D533" s="1182" t="s">
        <v>2909</v>
      </c>
      <c r="E533" s="1182" t="s">
        <v>2910</v>
      </c>
      <c r="F533" s="1182" t="s">
        <v>2950</v>
      </c>
      <c r="G533" s="1182" t="s">
        <v>2950</v>
      </c>
      <c r="H533" s="1182" t="s">
        <v>3480</v>
      </c>
      <c r="I533" s="1182" t="s">
        <v>2933</v>
      </c>
      <c r="J533" s="1182" t="s">
        <v>3486</v>
      </c>
      <c r="K533" s="1182" t="s">
        <v>1811</v>
      </c>
      <c r="L533" s="1182" t="s">
        <v>1812</v>
      </c>
      <c r="M533" s="1182" t="s">
        <v>1803</v>
      </c>
      <c r="N533" s="1182" t="s">
        <v>2922</v>
      </c>
      <c r="O533" s="1182" t="s">
        <v>1554</v>
      </c>
      <c r="P533" s="1182" t="s">
        <v>1563</v>
      </c>
      <c r="Q533" s="1182" t="s">
        <v>1562</v>
      </c>
      <c r="R533" s="1182" t="s">
        <v>1561</v>
      </c>
      <c r="S533" s="1182" t="s">
        <v>1639</v>
      </c>
      <c r="T533" s="1182" t="s">
        <v>1814</v>
      </c>
      <c r="U533" s="1182" t="s">
        <v>1815</v>
      </c>
      <c r="V533" s="1182">
        <v>0</v>
      </c>
      <c r="W533" s="1182">
        <v>0</v>
      </c>
      <c r="X533" s="1182">
        <v>0</v>
      </c>
      <c r="Y533" s="1183">
        <v>-417720</v>
      </c>
      <c r="Z533" s="1182" t="s">
        <v>2925</v>
      </c>
      <c r="AA533" s="1182" t="s">
        <v>1561</v>
      </c>
      <c r="AB533" s="1182">
        <v>417720</v>
      </c>
      <c r="AC533" s="1182" t="s">
        <v>2935</v>
      </c>
      <c r="AD533" s="1182" t="s">
        <v>2936</v>
      </c>
      <c r="AE533" s="1182">
        <v>417720</v>
      </c>
      <c r="AF533" s="1182" t="s">
        <v>1943</v>
      </c>
      <c r="AG533" s="1182" t="s">
        <v>1944</v>
      </c>
      <c r="AH533" s="1182">
        <v>0</v>
      </c>
      <c r="AI533" s="1182">
        <v>-417720</v>
      </c>
      <c r="AJ533" s="1182" t="s">
        <v>1639</v>
      </c>
      <c r="AL533" s="1186" t="s">
        <v>3487</v>
      </c>
      <c r="AM533" s="1182">
        <v>1</v>
      </c>
      <c r="AN533" s="1182">
        <v>0</v>
      </c>
      <c r="AO533" s="1182">
        <v>0</v>
      </c>
      <c r="AP533" s="1182" t="s">
        <v>3483</v>
      </c>
      <c r="AQ533" s="1182" t="s">
        <v>1639</v>
      </c>
      <c r="AS533" s="1186" t="s">
        <v>1943</v>
      </c>
      <c r="AT533" s="1186" t="s">
        <v>1944</v>
      </c>
      <c r="AV533" s="1183">
        <v>0</v>
      </c>
      <c r="AW533" s="1183">
        <v>0</v>
      </c>
      <c r="AX533" s="1183">
        <v>0</v>
      </c>
      <c r="AY533" s="1538">
        <v>0</v>
      </c>
      <c r="AZ533" s="1183">
        <v>0</v>
      </c>
      <c r="BA533" s="1183">
        <v>-417720</v>
      </c>
      <c r="BB533" s="1540">
        <v>-417720</v>
      </c>
      <c r="BC533" s="1540">
        <v>-417720</v>
      </c>
      <c r="BD533" s="1540">
        <v>0</v>
      </c>
      <c r="BF533" s="1539">
        <f t="shared" si="112"/>
        <v>0</v>
      </c>
      <c r="BG533" s="1539">
        <f t="shared" si="113"/>
        <v>0</v>
      </c>
      <c r="BH533" s="1539">
        <f t="shared" si="114"/>
        <v>0</v>
      </c>
      <c r="BI533" s="1539">
        <f t="shared" si="115"/>
        <v>0</v>
      </c>
      <c r="BJ533" s="1539">
        <f t="shared" si="116"/>
        <v>0</v>
      </c>
      <c r="BK533" s="1539">
        <f t="shared" si="117"/>
        <v>-417720</v>
      </c>
      <c r="BL533" s="1539">
        <f t="shared" si="118"/>
        <v>-417720</v>
      </c>
      <c r="BM533" s="1539">
        <f t="shared" si="119"/>
        <v>-417720</v>
      </c>
      <c r="BO533" s="1183"/>
      <c r="BQ533" s="1182">
        <f t="shared" si="120"/>
        <v>0</v>
      </c>
      <c r="BR533" s="1182">
        <f t="shared" si="121"/>
        <v>0</v>
      </c>
    </row>
    <row r="534" spans="1:70" ht="13.5" customHeight="1">
      <c r="A534" s="1182" t="s">
        <v>1803</v>
      </c>
      <c r="B534" s="1182" t="s">
        <v>1804</v>
      </c>
      <c r="C534" s="1182" t="s">
        <v>1639</v>
      </c>
      <c r="D534" s="1182" t="s">
        <v>1933</v>
      </c>
      <c r="E534" s="1182" t="s">
        <v>1934</v>
      </c>
      <c r="F534" s="1182" t="s">
        <v>1856</v>
      </c>
      <c r="G534" s="1182" t="s">
        <v>1856</v>
      </c>
      <c r="H534" s="1182" t="s">
        <v>3495</v>
      </c>
      <c r="I534" s="1182" t="s">
        <v>1809</v>
      </c>
      <c r="J534" s="1182" t="s">
        <v>3496</v>
      </c>
      <c r="K534" s="1182" t="s">
        <v>1811</v>
      </c>
      <c r="L534" s="1182" t="s">
        <v>1812</v>
      </c>
      <c r="M534" s="1182" t="s">
        <v>1803</v>
      </c>
      <c r="N534" s="1182" t="s">
        <v>2922</v>
      </c>
      <c r="O534" s="1182" t="s">
        <v>1554</v>
      </c>
      <c r="P534" s="1182" t="s">
        <v>1563</v>
      </c>
      <c r="Q534" s="1182" t="s">
        <v>1562</v>
      </c>
      <c r="R534" s="1182" t="s">
        <v>1561</v>
      </c>
      <c r="S534" s="1182" t="s">
        <v>1639</v>
      </c>
      <c r="T534" s="1182" t="s">
        <v>1814</v>
      </c>
      <c r="U534" s="1182" t="s">
        <v>1815</v>
      </c>
      <c r="V534" s="1182">
        <v>0</v>
      </c>
      <c r="W534" s="1182">
        <v>0</v>
      </c>
      <c r="X534" s="1182">
        <v>0</v>
      </c>
      <c r="Y534" s="1183">
        <v>970</v>
      </c>
      <c r="Z534" s="1182" t="s">
        <v>2923</v>
      </c>
      <c r="AA534" s="1182" t="s">
        <v>2924</v>
      </c>
      <c r="AB534" s="1182">
        <v>970</v>
      </c>
      <c r="AC534" s="1182" t="s">
        <v>2925</v>
      </c>
      <c r="AD534" s="1182" t="s">
        <v>1561</v>
      </c>
      <c r="AE534" s="1182">
        <v>970</v>
      </c>
      <c r="AF534" s="1182" t="s">
        <v>1819</v>
      </c>
      <c r="AG534" s="1182" t="s">
        <v>1820</v>
      </c>
      <c r="AH534" s="1182">
        <v>88</v>
      </c>
      <c r="AI534" s="1182">
        <v>882</v>
      </c>
      <c r="AJ534" s="1182" t="s">
        <v>3497</v>
      </c>
      <c r="AL534" s="1186" t="s">
        <v>3498</v>
      </c>
      <c r="AM534" s="1182">
        <v>1</v>
      </c>
      <c r="AN534" s="1182">
        <v>0</v>
      </c>
      <c r="AO534" s="1182">
        <v>0</v>
      </c>
      <c r="AP534" s="1182">
        <v>0</v>
      </c>
      <c r="AQ534" s="1182" t="s">
        <v>1639</v>
      </c>
      <c r="AS534" s="1186" t="s">
        <v>1819</v>
      </c>
      <c r="AT534" s="1186" t="s">
        <v>1820</v>
      </c>
      <c r="AV534" s="1183">
        <v>970</v>
      </c>
      <c r="AW534" s="1183">
        <v>0</v>
      </c>
      <c r="AX534" s="1183">
        <v>0</v>
      </c>
      <c r="AY534" s="1538">
        <v>970</v>
      </c>
      <c r="AZ534" s="1183">
        <v>0</v>
      </c>
      <c r="BA534" s="1183">
        <v>0</v>
      </c>
      <c r="BB534" s="1540">
        <v>0</v>
      </c>
      <c r="BC534" s="1540">
        <v>970</v>
      </c>
      <c r="BD534" s="1540">
        <v>0</v>
      </c>
      <c r="BF534" s="1539">
        <f t="shared" si="112"/>
        <v>882</v>
      </c>
      <c r="BG534" s="1539">
        <f t="shared" si="113"/>
        <v>0</v>
      </c>
      <c r="BH534" s="1539">
        <f t="shared" si="114"/>
        <v>0</v>
      </c>
      <c r="BI534" s="1539">
        <f t="shared" si="115"/>
        <v>882</v>
      </c>
      <c r="BJ534" s="1539">
        <f t="shared" si="116"/>
        <v>0</v>
      </c>
      <c r="BK534" s="1539">
        <f t="shared" si="117"/>
        <v>0</v>
      </c>
      <c r="BL534" s="1539">
        <f t="shared" si="118"/>
        <v>0</v>
      </c>
      <c r="BM534" s="1539">
        <f t="shared" si="119"/>
        <v>882</v>
      </c>
      <c r="BO534" s="1183"/>
      <c r="BQ534" s="1182">
        <f t="shared" si="120"/>
        <v>-0.18181818181813014</v>
      </c>
      <c r="BR534" s="1182">
        <f t="shared" si="121"/>
        <v>0</v>
      </c>
    </row>
    <row r="535" spans="1:70" ht="13.5" customHeight="1">
      <c r="A535" s="1182" t="s">
        <v>1803</v>
      </c>
      <c r="B535" s="1182" t="s">
        <v>1804</v>
      </c>
      <c r="C535" s="1182" t="s">
        <v>1639</v>
      </c>
      <c r="D535" s="1182" t="s">
        <v>1933</v>
      </c>
      <c r="E535" s="1182" t="s">
        <v>1934</v>
      </c>
      <c r="F535" s="1182" t="s">
        <v>2575</v>
      </c>
      <c r="G535" s="1182" t="s">
        <v>2575</v>
      </c>
      <c r="H535" s="1182" t="s">
        <v>3488</v>
      </c>
      <c r="I535" s="1182" t="s">
        <v>1809</v>
      </c>
      <c r="J535" s="1182" t="s">
        <v>3499</v>
      </c>
      <c r="K535" s="1182" t="s">
        <v>1811</v>
      </c>
      <c r="L535" s="1182" t="s">
        <v>1812</v>
      </c>
      <c r="M535" s="1182" t="s">
        <v>1803</v>
      </c>
      <c r="N535" s="1182" t="s">
        <v>2922</v>
      </c>
      <c r="O535" s="1182" t="s">
        <v>1554</v>
      </c>
      <c r="P535" s="1182" t="s">
        <v>1563</v>
      </c>
      <c r="Q535" s="1182" t="s">
        <v>1562</v>
      </c>
      <c r="R535" s="1182" t="s">
        <v>1561</v>
      </c>
      <c r="S535" s="1182" t="s">
        <v>1639</v>
      </c>
      <c r="T535" s="1182" t="s">
        <v>1814</v>
      </c>
      <c r="U535" s="1182" t="s">
        <v>1815</v>
      </c>
      <c r="V535" s="1182">
        <v>0</v>
      </c>
      <c r="W535" s="1182">
        <v>0</v>
      </c>
      <c r="X535" s="1182">
        <v>0</v>
      </c>
      <c r="Y535" s="1183">
        <v>8880</v>
      </c>
      <c r="Z535" s="1182" t="s">
        <v>2923</v>
      </c>
      <c r="AA535" s="1182" t="s">
        <v>2924</v>
      </c>
      <c r="AB535" s="1182">
        <v>8880</v>
      </c>
      <c r="AC535" s="1182" t="s">
        <v>2925</v>
      </c>
      <c r="AD535" s="1182" t="s">
        <v>1561</v>
      </c>
      <c r="AE535" s="1182">
        <v>8880</v>
      </c>
      <c r="AF535" s="1182" t="s">
        <v>1943</v>
      </c>
      <c r="AG535" s="1182" t="s">
        <v>1944</v>
      </c>
      <c r="AH535" s="1182">
        <v>0</v>
      </c>
      <c r="AI535" s="1182">
        <v>8880</v>
      </c>
      <c r="AJ535" s="1182" t="s">
        <v>3500</v>
      </c>
      <c r="AL535" s="1186" t="s">
        <v>3501</v>
      </c>
      <c r="AM535" s="1182">
        <v>1</v>
      </c>
      <c r="AN535" s="1182">
        <v>0</v>
      </c>
      <c r="AO535" s="1182">
        <v>0</v>
      </c>
      <c r="AP535" s="1182">
        <v>0</v>
      </c>
      <c r="AQ535" s="1182" t="s">
        <v>1639</v>
      </c>
      <c r="AS535" s="1186" t="s">
        <v>1943</v>
      </c>
      <c r="AT535" s="1186" t="s">
        <v>1944</v>
      </c>
      <c r="AV535" s="1183">
        <v>8880</v>
      </c>
      <c r="AW535" s="1183">
        <v>0</v>
      </c>
      <c r="AX535" s="1183">
        <v>0</v>
      </c>
      <c r="AY535" s="1538">
        <v>8880</v>
      </c>
      <c r="AZ535" s="1183">
        <v>0</v>
      </c>
      <c r="BA535" s="1183">
        <v>0</v>
      </c>
      <c r="BB535" s="1540">
        <v>0</v>
      </c>
      <c r="BC535" s="1540">
        <v>8880</v>
      </c>
      <c r="BD535" s="1540">
        <v>0</v>
      </c>
      <c r="BF535" s="1539">
        <f t="shared" si="112"/>
        <v>8880</v>
      </c>
      <c r="BG535" s="1539">
        <f t="shared" si="113"/>
        <v>0</v>
      </c>
      <c r="BH535" s="1539">
        <f t="shared" si="114"/>
        <v>0</v>
      </c>
      <c r="BI535" s="1539">
        <f t="shared" si="115"/>
        <v>8880</v>
      </c>
      <c r="BJ535" s="1539">
        <f t="shared" si="116"/>
        <v>0</v>
      </c>
      <c r="BK535" s="1539">
        <f t="shared" si="117"/>
        <v>0</v>
      </c>
      <c r="BL535" s="1539">
        <f t="shared" si="118"/>
        <v>0</v>
      </c>
      <c r="BM535" s="1539">
        <f t="shared" si="119"/>
        <v>8880</v>
      </c>
      <c r="BO535" s="1183"/>
      <c r="BQ535" s="1182">
        <f t="shared" si="120"/>
        <v>0</v>
      </c>
      <c r="BR535" s="1182">
        <f t="shared" si="121"/>
        <v>0</v>
      </c>
    </row>
    <row r="536" spans="1:70" ht="13.5" customHeight="1">
      <c r="A536" s="1182" t="s">
        <v>1803</v>
      </c>
      <c r="B536" s="1182" t="s">
        <v>1804</v>
      </c>
      <c r="C536" s="1182" t="s">
        <v>1639</v>
      </c>
      <c r="D536" s="1182" t="s">
        <v>1933</v>
      </c>
      <c r="E536" s="1182" t="s">
        <v>1934</v>
      </c>
      <c r="F536" s="1182" t="s">
        <v>2561</v>
      </c>
      <c r="G536" s="1182" t="s">
        <v>2561</v>
      </c>
      <c r="H536" s="1182" t="s">
        <v>3488</v>
      </c>
      <c r="I536" s="1182" t="s">
        <v>1809</v>
      </c>
      <c r="J536" s="1182" t="s">
        <v>3492</v>
      </c>
      <c r="K536" s="1182" t="s">
        <v>1811</v>
      </c>
      <c r="L536" s="1182" t="s">
        <v>1812</v>
      </c>
      <c r="M536" s="1182" t="s">
        <v>1803</v>
      </c>
      <c r="N536" s="1182" t="s">
        <v>2922</v>
      </c>
      <c r="O536" s="1182" t="s">
        <v>1554</v>
      </c>
      <c r="P536" s="1182" t="s">
        <v>1563</v>
      </c>
      <c r="Q536" s="1182" t="s">
        <v>1562</v>
      </c>
      <c r="R536" s="1182" t="s">
        <v>1561</v>
      </c>
      <c r="S536" s="1182" t="s">
        <v>1639</v>
      </c>
      <c r="T536" s="1182" t="s">
        <v>1814</v>
      </c>
      <c r="U536" s="1182" t="s">
        <v>1815</v>
      </c>
      <c r="V536" s="1182">
        <v>0</v>
      </c>
      <c r="W536" s="1182">
        <v>0</v>
      </c>
      <c r="X536" s="1182">
        <v>0</v>
      </c>
      <c r="Y536" s="1183">
        <v>111000</v>
      </c>
      <c r="Z536" s="1182" t="s">
        <v>2923</v>
      </c>
      <c r="AA536" s="1182" t="s">
        <v>2924</v>
      </c>
      <c r="AB536" s="1182">
        <v>111000</v>
      </c>
      <c r="AC536" s="1182" t="s">
        <v>2925</v>
      </c>
      <c r="AD536" s="1182" t="s">
        <v>1561</v>
      </c>
      <c r="AE536" s="1182">
        <v>111000</v>
      </c>
      <c r="AF536" s="1182" t="s">
        <v>1943</v>
      </c>
      <c r="AG536" s="1182" t="s">
        <v>1944</v>
      </c>
      <c r="AH536" s="1182">
        <v>0</v>
      </c>
      <c r="AI536" s="1182">
        <v>111000</v>
      </c>
      <c r="AJ536" s="1182" t="s">
        <v>3493</v>
      </c>
      <c r="AL536" s="1186" t="s">
        <v>3494</v>
      </c>
      <c r="AM536" s="1182">
        <v>1</v>
      </c>
      <c r="AN536" s="1182">
        <v>0</v>
      </c>
      <c r="AO536" s="1182">
        <v>0</v>
      </c>
      <c r="AP536" s="1182">
        <v>0</v>
      </c>
      <c r="AQ536" s="1182" t="s">
        <v>1639</v>
      </c>
      <c r="AS536" s="1186" t="s">
        <v>1943</v>
      </c>
      <c r="AT536" s="1186" t="s">
        <v>1944</v>
      </c>
      <c r="AV536" s="1183">
        <v>111000</v>
      </c>
      <c r="AW536" s="1183">
        <v>0</v>
      </c>
      <c r="AX536" s="1183">
        <v>0</v>
      </c>
      <c r="AY536" s="1538">
        <v>111000</v>
      </c>
      <c r="AZ536" s="1183">
        <v>0</v>
      </c>
      <c r="BA536" s="1183">
        <v>0</v>
      </c>
      <c r="BB536" s="1540">
        <v>0</v>
      </c>
      <c r="BC536" s="1540">
        <v>111000</v>
      </c>
      <c r="BD536" s="1540">
        <v>0</v>
      </c>
      <c r="BF536" s="1539">
        <f t="shared" si="112"/>
        <v>111000</v>
      </c>
      <c r="BG536" s="1539">
        <f t="shared" si="113"/>
        <v>0</v>
      </c>
      <c r="BH536" s="1539">
        <f t="shared" si="114"/>
        <v>0</v>
      </c>
      <c r="BI536" s="1539">
        <f t="shared" si="115"/>
        <v>111000</v>
      </c>
      <c r="BJ536" s="1539">
        <f t="shared" si="116"/>
        <v>0</v>
      </c>
      <c r="BK536" s="1539">
        <f t="shared" si="117"/>
        <v>0</v>
      </c>
      <c r="BL536" s="1539">
        <f t="shared" si="118"/>
        <v>0</v>
      </c>
      <c r="BM536" s="1539">
        <f t="shared" si="119"/>
        <v>111000</v>
      </c>
      <c r="BO536" s="1183"/>
      <c r="BQ536" s="1182">
        <f t="shared" si="120"/>
        <v>0</v>
      </c>
      <c r="BR536" s="1182">
        <f t="shared" si="121"/>
        <v>0</v>
      </c>
    </row>
    <row r="537" spans="1:70" ht="13.5" customHeight="1">
      <c r="A537" s="1182" t="s">
        <v>1803</v>
      </c>
      <c r="B537" s="1182" t="s">
        <v>1804</v>
      </c>
      <c r="C537" s="1182" t="s">
        <v>1639</v>
      </c>
      <c r="D537" s="1182" t="s">
        <v>1933</v>
      </c>
      <c r="E537" s="1182" t="s">
        <v>1934</v>
      </c>
      <c r="F537" s="1182" t="s">
        <v>2707</v>
      </c>
      <c r="G537" s="1182" t="s">
        <v>2707</v>
      </c>
      <c r="H537" s="1182" t="s">
        <v>3488</v>
      </c>
      <c r="I537" s="1182" t="s">
        <v>1809</v>
      </c>
      <c r="J537" s="1182" t="s">
        <v>3489</v>
      </c>
      <c r="K537" s="1182" t="s">
        <v>1811</v>
      </c>
      <c r="L537" s="1182" t="s">
        <v>1812</v>
      </c>
      <c r="M537" s="1182" t="s">
        <v>1803</v>
      </c>
      <c r="N537" s="1182" t="s">
        <v>2922</v>
      </c>
      <c r="O537" s="1182" t="s">
        <v>1554</v>
      </c>
      <c r="P537" s="1182" t="s">
        <v>1563</v>
      </c>
      <c r="Q537" s="1182" t="s">
        <v>1562</v>
      </c>
      <c r="R537" s="1182" t="s">
        <v>1561</v>
      </c>
      <c r="S537" s="1182" t="s">
        <v>1639</v>
      </c>
      <c r="T537" s="1182" t="s">
        <v>1814</v>
      </c>
      <c r="U537" s="1182" t="s">
        <v>1815</v>
      </c>
      <c r="V537" s="1182">
        <v>0</v>
      </c>
      <c r="W537" s="1182">
        <v>0</v>
      </c>
      <c r="X537" s="1182">
        <v>0</v>
      </c>
      <c r="Y537" s="1183">
        <v>288600</v>
      </c>
      <c r="Z537" s="1182" t="s">
        <v>2923</v>
      </c>
      <c r="AA537" s="1182" t="s">
        <v>2924</v>
      </c>
      <c r="AB537" s="1182">
        <v>288600</v>
      </c>
      <c r="AC537" s="1182" t="s">
        <v>2925</v>
      </c>
      <c r="AD537" s="1182" t="s">
        <v>1561</v>
      </c>
      <c r="AE537" s="1182">
        <v>288600</v>
      </c>
      <c r="AF537" s="1182" t="s">
        <v>1943</v>
      </c>
      <c r="AG537" s="1182" t="s">
        <v>1944</v>
      </c>
      <c r="AH537" s="1182">
        <v>0</v>
      </c>
      <c r="AI537" s="1182">
        <v>288600</v>
      </c>
      <c r="AJ537" s="1182" t="s">
        <v>3490</v>
      </c>
      <c r="AL537" s="1186" t="s">
        <v>3491</v>
      </c>
      <c r="AM537" s="1182">
        <v>1</v>
      </c>
      <c r="AN537" s="1182">
        <v>0</v>
      </c>
      <c r="AO537" s="1182">
        <v>0</v>
      </c>
      <c r="AP537" s="1182">
        <v>0</v>
      </c>
      <c r="AQ537" s="1182" t="s">
        <v>1639</v>
      </c>
      <c r="AS537" s="1186" t="s">
        <v>1943</v>
      </c>
      <c r="AT537" s="1186" t="s">
        <v>1944</v>
      </c>
      <c r="AV537" s="1183">
        <v>288600</v>
      </c>
      <c r="AW537" s="1183">
        <v>0</v>
      </c>
      <c r="AX537" s="1183">
        <v>0</v>
      </c>
      <c r="AY537" s="1538">
        <v>288600</v>
      </c>
      <c r="AZ537" s="1183">
        <v>0</v>
      </c>
      <c r="BA537" s="1183">
        <v>0</v>
      </c>
      <c r="BB537" s="1540">
        <v>0</v>
      </c>
      <c r="BC537" s="1540">
        <v>288600</v>
      </c>
      <c r="BD537" s="1540">
        <v>0</v>
      </c>
      <c r="BF537" s="1539">
        <f t="shared" si="112"/>
        <v>288600</v>
      </c>
      <c r="BG537" s="1539">
        <f t="shared" si="113"/>
        <v>0</v>
      </c>
      <c r="BH537" s="1539">
        <f t="shared" si="114"/>
        <v>0</v>
      </c>
      <c r="BI537" s="1539">
        <f t="shared" si="115"/>
        <v>288600</v>
      </c>
      <c r="BJ537" s="1539">
        <f t="shared" si="116"/>
        <v>0</v>
      </c>
      <c r="BK537" s="1539">
        <f t="shared" si="117"/>
        <v>0</v>
      </c>
      <c r="BL537" s="1539">
        <f t="shared" si="118"/>
        <v>0</v>
      </c>
      <c r="BM537" s="1539">
        <f t="shared" si="119"/>
        <v>288600</v>
      </c>
      <c r="BO537" s="1183"/>
      <c r="BQ537" s="1182">
        <f t="shared" si="120"/>
        <v>0</v>
      </c>
      <c r="BR537" s="1182">
        <f t="shared" si="121"/>
        <v>0</v>
      </c>
    </row>
    <row r="538" spans="1:70" ht="13.5" customHeight="1">
      <c r="A538" s="1182" t="s">
        <v>1803</v>
      </c>
      <c r="B538" s="1182" t="s">
        <v>1804</v>
      </c>
      <c r="C538" s="1182" t="s">
        <v>1639</v>
      </c>
      <c r="D538" s="1182" t="s">
        <v>1933</v>
      </c>
      <c r="E538" s="1182" t="s">
        <v>1934</v>
      </c>
      <c r="F538" s="1182" t="s">
        <v>3110</v>
      </c>
      <c r="G538" s="1182" t="s">
        <v>3110</v>
      </c>
      <c r="H538" s="1182" t="s">
        <v>3502</v>
      </c>
      <c r="I538" s="1182" t="s">
        <v>1809</v>
      </c>
      <c r="J538" s="1182" t="s">
        <v>3503</v>
      </c>
      <c r="K538" s="1182" t="s">
        <v>1811</v>
      </c>
      <c r="L538" s="1182" t="s">
        <v>1812</v>
      </c>
      <c r="M538" s="1182" t="s">
        <v>1803</v>
      </c>
      <c r="N538" s="1182" t="s">
        <v>2922</v>
      </c>
      <c r="O538" s="1182" t="s">
        <v>1554</v>
      </c>
      <c r="P538" s="1182" t="s">
        <v>1563</v>
      </c>
      <c r="Q538" s="1182" t="s">
        <v>1562</v>
      </c>
      <c r="R538" s="1182" t="s">
        <v>1561</v>
      </c>
      <c r="S538" s="1182" t="s">
        <v>1639</v>
      </c>
      <c r="T538" s="1182" t="s">
        <v>1814</v>
      </c>
      <c r="U538" s="1182" t="s">
        <v>1815</v>
      </c>
      <c r="V538" s="1182">
        <v>0</v>
      </c>
      <c r="W538" s="1182">
        <v>0</v>
      </c>
      <c r="X538" s="1182">
        <v>0</v>
      </c>
      <c r="Y538" s="1183">
        <v>285</v>
      </c>
      <c r="Z538" s="1182" t="s">
        <v>2923</v>
      </c>
      <c r="AA538" s="1182" t="s">
        <v>2924</v>
      </c>
      <c r="AB538" s="1182">
        <v>285</v>
      </c>
      <c r="AC538" s="1182" t="s">
        <v>2925</v>
      </c>
      <c r="AD538" s="1182" t="s">
        <v>1561</v>
      </c>
      <c r="AE538" s="1182">
        <v>285</v>
      </c>
      <c r="AF538" s="1182" t="s">
        <v>1943</v>
      </c>
      <c r="AG538" s="1182" t="s">
        <v>1944</v>
      </c>
      <c r="AH538" s="1182">
        <v>0</v>
      </c>
      <c r="AI538" s="1182">
        <v>285</v>
      </c>
      <c r="AJ538" s="1182" t="s">
        <v>3504</v>
      </c>
      <c r="AL538" s="1186" t="s">
        <v>3505</v>
      </c>
      <c r="AM538" s="1182">
        <v>1</v>
      </c>
      <c r="AN538" s="1182">
        <v>0</v>
      </c>
      <c r="AO538" s="1182">
        <v>0</v>
      </c>
      <c r="AP538" s="1182">
        <v>0</v>
      </c>
      <c r="AQ538" s="1182" t="s">
        <v>1639</v>
      </c>
      <c r="AS538" s="1186" t="s">
        <v>1943</v>
      </c>
      <c r="AT538" s="1186" t="s">
        <v>1944</v>
      </c>
      <c r="AV538" s="1183">
        <v>285</v>
      </c>
      <c r="AW538" s="1183">
        <v>0</v>
      </c>
      <c r="AX538" s="1183">
        <v>0</v>
      </c>
      <c r="AY538" s="1538">
        <v>285</v>
      </c>
      <c r="AZ538" s="1183">
        <v>0</v>
      </c>
      <c r="BA538" s="1183">
        <v>0</v>
      </c>
      <c r="BB538" s="1540">
        <v>0</v>
      </c>
      <c r="BC538" s="1540">
        <v>285</v>
      </c>
      <c r="BD538" s="1540">
        <v>0</v>
      </c>
      <c r="BF538" s="1539">
        <f t="shared" si="112"/>
        <v>285</v>
      </c>
      <c r="BG538" s="1539">
        <f t="shared" si="113"/>
        <v>0</v>
      </c>
      <c r="BH538" s="1539">
        <f t="shared" si="114"/>
        <v>0</v>
      </c>
      <c r="BI538" s="1539">
        <f t="shared" si="115"/>
        <v>285</v>
      </c>
      <c r="BJ538" s="1539">
        <f t="shared" si="116"/>
        <v>0</v>
      </c>
      <c r="BK538" s="1539">
        <f t="shared" si="117"/>
        <v>0</v>
      </c>
      <c r="BL538" s="1539">
        <f t="shared" si="118"/>
        <v>0</v>
      </c>
      <c r="BM538" s="1539">
        <f t="shared" si="119"/>
        <v>285</v>
      </c>
      <c r="BO538" s="1183"/>
      <c r="BQ538" s="1182">
        <f t="shared" si="120"/>
        <v>0</v>
      </c>
      <c r="BR538" s="1182">
        <f t="shared" si="121"/>
        <v>0</v>
      </c>
    </row>
    <row r="539" spans="1:70" ht="13.5" customHeight="1">
      <c r="A539" s="1182" t="s">
        <v>1803</v>
      </c>
      <c r="B539" s="1182" t="s">
        <v>1804</v>
      </c>
      <c r="C539" s="1182" t="s">
        <v>1639</v>
      </c>
      <c r="D539" s="1182" t="s">
        <v>2866</v>
      </c>
      <c r="E539" s="1182" t="s">
        <v>2867</v>
      </c>
      <c r="F539" s="1182" t="s">
        <v>1984</v>
      </c>
      <c r="G539" s="1182" t="s">
        <v>1984</v>
      </c>
      <c r="H539" s="1182" t="s">
        <v>3506</v>
      </c>
      <c r="I539" s="1182" t="s">
        <v>1937</v>
      </c>
      <c r="J539" s="1182" t="s">
        <v>3507</v>
      </c>
      <c r="K539" s="1182" t="s">
        <v>1811</v>
      </c>
      <c r="L539" s="1182" t="s">
        <v>1812</v>
      </c>
      <c r="M539" s="1182" t="s">
        <v>1803</v>
      </c>
      <c r="N539" s="1182" t="s">
        <v>2922</v>
      </c>
      <c r="O539" s="1182" t="s">
        <v>1554</v>
      </c>
      <c r="P539" s="1182" t="s">
        <v>1563</v>
      </c>
      <c r="Q539" s="1182" t="s">
        <v>1562</v>
      </c>
      <c r="R539" s="1182" t="s">
        <v>1561</v>
      </c>
      <c r="S539" s="1182" t="s">
        <v>1639</v>
      </c>
      <c r="T539" s="1182" t="s">
        <v>1814</v>
      </c>
      <c r="U539" s="1182" t="s">
        <v>1815</v>
      </c>
      <c r="V539" s="1182">
        <v>0</v>
      </c>
      <c r="W539" s="1182">
        <v>0</v>
      </c>
      <c r="X539" s="1182">
        <v>0</v>
      </c>
      <c r="Y539" s="1183">
        <v>384960</v>
      </c>
      <c r="Z539" s="1182" t="s">
        <v>1940</v>
      </c>
      <c r="AA539" s="1182" t="s">
        <v>1941</v>
      </c>
      <c r="AB539" s="1182">
        <v>384960</v>
      </c>
      <c r="AC539" s="1182" t="s">
        <v>2925</v>
      </c>
      <c r="AD539" s="1182" t="s">
        <v>1561</v>
      </c>
      <c r="AE539" s="1182">
        <v>384960</v>
      </c>
      <c r="AF539" s="1182" t="s">
        <v>1819</v>
      </c>
      <c r="AG539" s="1182" t="s">
        <v>1820</v>
      </c>
      <c r="AH539" s="1182">
        <v>34996</v>
      </c>
      <c r="AI539" s="1182">
        <v>349964</v>
      </c>
      <c r="AJ539" s="1182" t="s">
        <v>3508</v>
      </c>
      <c r="AL539" s="1186" t="s">
        <v>3509</v>
      </c>
      <c r="AM539" s="1182">
        <v>1</v>
      </c>
      <c r="AN539" s="1182">
        <v>0</v>
      </c>
      <c r="AO539" s="1182">
        <v>0</v>
      </c>
      <c r="AP539" s="1182">
        <v>0</v>
      </c>
      <c r="AQ539" s="1182" t="s">
        <v>1639</v>
      </c>
      <c r="AS539" s="1186" t="s">
        <v>1819</v>
      </c>
      <c r="AT539" s="1186" t="s">
        <v>1820</v>
      </c>
      <c r="AV539" s="1183">
        <v>192480</v>
      </c>
      <c r="AW539" s="1183">
        <v>0</v>
      </c>
      <c r="AX539" s="1183">
        <v>0</v>
      </c>
      <c r="AY539" s="1538">
        <v>192480</v>
      </c>
      <c r="AZ539" s="1183">
        <v>0</v>
      </c>
      <c r="BA539" s="1183">
        <v>192480</v>
      </c>
      <c r="BB539" s="1540">
        <v>192480</v>
      </c>
      <c r="BC539" s="1540">
        <v>384960</v>
      </c>
      <c r="BD539" s="1540">
        <v>0</v>
      </c>
      <c r="BF539" s="1539">
        <f t="shared" si="112"/>
        <v>174982</v>
      </c>
      <c r="BG539" s="1539">
        <f t="shared" si="113"/>
        <v>0</v>
      </c>
      <c r="BH539" s="1539">
        <f t="shared" si="114"/>
        <v>0</v>
      </c>
      <c r="BI539" s="1539">
        <f t="shared" si="115"/>
        <v>174982</v>
      </c>
      <c r="BJ539" s="1539">
        <f t="shared" si="116"/>
        <v>0</v>
      </c>
      <c r="BK539" s="1539">
        <f t="shared" si="117"/>
        <v>174982</v>
      </c>
      <c r="BL539" s="1539">
        <f t="shared" si="118"/>
        <v>174982</v>
      </c>
      <c r="BM539" s="1539">
        <f t="shared" si="119"/>
        <v>349964</v>
      </c>
      <c r="BO539" s="1183"/>
      <c r="BQ539" s="1182">
        <f t="shared" si="120"/>
        <v>-0.18181818182347342</v>
      </c>
      <c r="BR539" s="1182">
        <f t="shared" si="121"/>
        <v>-0.18181818182347342</v>
      </c>
    </row>
    <row r="540" spans="1:70" ht="13.5" customHeight="1">
      <c r="A540" s="1182" t="s">
        <v>1803</v>
      </c>
      <c r="B540" s="1182" t="s">
        <v>1804</v>
      </c>
      <c r="C540" s="1182" t="s">
        <v>1639</v>
      </c>
      <c r="D540" s="1182" t="s">
        <v>2866</v>
      </c>
      <c r="E540" s="1182" t="s">
        <v>2867</v>
      </c>
      <c r="F540" s="1182" t="s">
        <v>2432</v>
      </c>
      <c r="G540" s="1182" t="s">
        <v>2432</v>
      </c>
      <c r="H540" s="1182" t="s">
        <v>3510</v>
      </c>
      <c r="I540" s="1182" t="s">
        <v>1937</v>
      </c>
      <c r="J540" s="1182" t="s">
        <v>3511</v>
      </c>
      <c r="K540" s="1182" t="s">
        <v>1811</v>
      </c>
      <c r="L540" s="1182" t="s">
        <v>1812</v>
      </c>
      <c r="M540" s="1182" t="s">
        <v>1803</v>
      </c>
      <c r="N540" s="1182" t="s">
        <v>2922</v>
      </c>
      <c r="O540" s="1182" t="s">
        <v>1554</v>
      </c>
      <c r="P540" s="1182" t="s">
        <v>1563</v>
      </c>
      <c r="Q540" s="1182" t="s">
        <v>1562</v>
      </c>
      <c r="R540" s="1182" t="s">
        <v>1561</v>
      </c>
      <c r="S540" s="1182" t="s">
        <v>1639</v>
      </c>
      <c r="T540" s="1182" t="s">
        <v>1814</v>
      </c>
      <c r="U540" s="1182" t="s">
        <v>1815</v>
      </c>
      <c r="V540" s="1182">
        <v>0</v>
      </c>
      <c r="W540" s="1182">
        <v>0</v>
      </c>
      <c r="X540" s="1182">
        <v>0</v>
      </c>
      <c r="Y540" s="1183">
        <v>396900</v>
      </c>
      <c r="Z540" s="1182" t="s">
        <v>1940</v>
      </c>
      <c r="AA540" s="1182" t="s">
        <v>1941</v>
      </c>
      <c r="AB540" s="1182">
        <v>396900</v>
      </c>
      <c r="AC540" s="1182" t="s">
        <v>2925</v>
      </c>
      <c r="AD540" s="1182" t="s">
        <v>1561</v>
      </c>
      <c r="AE540" s="1182">
        <v>396900</v>
      </c>
      <c r="AF540" s="1182" t="s">
        <v>1819</v>
      </c>
      <c r="AG540" s="1182" t="s">
        <v>1820</v>
      </c>
      <c r="AH540" s="1182">
        <v>36078</v>
      </c>
      <c r="AI540" s="1182">
        <v>360822</v>
      </c>
      <c r="AJ540" s="1182" t="s">
        <v>3512</v>
      </c>
      <c r="AL540" s="1186" t="s">
        <v>3513</v>
      </c>
      <c r="AM540" s="1182">
        <v>1</v>
      </c>
      <c r="AN540" s="1182">
        <v>0</v>
      </c>
      <c r="AO540" s="1182">
        <v>0</v>
      </c>
      <c r="AP540" s="1182">
        <v>0</v>
      </c>
      <c r="AQ540" s="1182" t="s">
        <v>1639</v>
      </c>
      <c r="AS540" s="1186" t="s">
        <v>1819</v>
      </c>
      <c r="AT540" s="1186" t="s">
        <v>1820</v>
      </c>
      <c r="AV540" s="1183">
        <v>198450</v>
      </c>
      <c r="AW540" s="1183">
        <v>0</v>
      </c>
      <c r="AX540" s="1183">
        <v>0</v>
      </c>
      <c r="AY540" s="1538">
        <v>198450</v>
      </c>
      <c r="AZ540" s="1183">
        <v>0</v>
      </c>
      <c r="BA540" s="1183">
        <v>198450</v>
      </c>
      <c r="BB540" s="1540">
        <v>198450</v>
      </c>
      <c r="BC540" s="1540">
        <v>396900</v>
      </c>
      <c r="BD540" s="1540">
        <v>0</v>
      </c>
      <c r="BF540" s="1539">
        <f t="shared" si="112"/>
        <v>180409</v>
      </c>
      <c r="BG540" s="1539">
        <f t="shared" si="113"/>
        <v>0</v>
      </c>
      <c r="BH540" s="1539">
        <f t="shared" si="114"/>
        <v>0</v>
      </c>
      <c r="BI540" s="1539">
        <f t="shared" si="115"/>
        <v>180409</v>
      </c>
      <c r="BJ540" s="1539">
        <f t="shared" si="116"/>
        <v>0</v>
      </c>
      <c r="BK540" s="1539">
        <f t="shared" si="117"/>
        <v>180409</v>
      </c>
      <c r="BL540" s="1539">
        <f t="shared" si="118"/>
        <v>180409</v>
      </c>
      <c r="BM540" s="1539">
        <f t="shared" si="119"/>
        <v>360818</v>
      </c>
      <c r="BO540" s="1183"/>
      <c r="BQ540" s="1182">
        <f t="shared" si="120"/>
        <v>9.0909090911736712E-2</v>
      </c>
      <c r="BR540" s="1182">
        <f t="shared" si="121"/>
        <v>9.0909090911736712E-2</v>
      </c>
    </row>
    <row r="541" spans="1:70" ht="13.5" customHeight="1">
      <c r="A541" s="1182" t="s">
        <v>1803</v>
      </c>
      <c r="B541" s="1182" t="s">
        <v>1804</v>
      </c>
      <c r="C541" s="1182" t="s">
        <v>1639</v>
      </c>
      <c r="D541" s="1182" t="s">
        <v>2866</v>
      </c>
      <c r="E541" s="1182" t="s">
        <v>2867</v>
      </c>
      <c r="F541" s="1182" t="s">
        <v>3514</v>
      </c>
      <c r="G541" s="1182" t="s">
        <v>3514</v>
      </c>
      <c r="H541" s="1182" t="s">
        <v>3515</v>
      </c>
      <c r="I541" s="1182" t="s">
        <v>1937</v>
      </c>
      <c r="J541" s="1182" t="s">
        <v>3516</v>
      </c>
      <c r="K541" s="1182" t="s">
        <v>1811</v>
      </c>
      <c r="L541" s="1182" t="s">
        <v>1812</v>
      </c>
      <c r="M541" s="1182" t="s">
        <v>1803</v>
      </c>
      <c r="N541" s="1182" t="s">
        <v>2922</v>
      </c>
      <c r="O541" s="1182" t="s">
        <v>1554</v>
      </c>
      <c r="P541" s="1182" t="s">
        <v>1563</v>
      </c>
      <c r="Q541" s="1182" t="s">
        <v>1562</v>
      </c>
      <c r="R541" s="1182" t="s">
        <v>1561</v>
      </c>
      <c r="S541" s="1182" t="s">
        <v>1639</v>
      </c>
      <c r="T541" s="1182" t="s">
        <v>1814</v>
      </c>
      <c r="U541" s="1182" t="s">
        <v>1815</v>
      </c>
      <c r="V541" s="1182">
        <v>0</v>
      </c>
      <c r="W541" s="1182">
        <v>0</v>
      </c>
      <c r="X541" s="1182">
        <v>0</v>
      </c>
      <c r="Y541" s="1183">
        <v>195</v>
      </c>
      <c r="Z541" s="1182" t="s">
        <v>1940</v>
      </c>
      <c r="AA541" s="1182" t="s">
        <v>1941</v>
      </c>
      <c r="AB541" s="1182">
        <v>195</v>
      </c>
      <c r="AC541" s="1182" t="s">
        <v>2925</v>
      </c>
      <c r="AD541" s="1182" t="s">
        <v>1561</v>
      </c>
      <c r="AE541" s="1182">
        <v>195</v>
      </c>
      <c r="AF541" s="1182" t="s">
        <v>1943</v>
      </c>
      <c r="AG541" s="1182" t="s">
        <v>1944</v>
      </c>
      <c r="AH541" s="1182">
        <v>0</v>
      </c>
      <c r="AI541" s="1182">
        <v>195</v>
      </c>
      <c r="AJ541" s="1182" t="s">
        <v>3149</v>
      </c>
      <c r="AL541" s="1186" t="s">
        <v>3517</v>
      </c>
      <c r="AM541" s="1182">
        <v>1</v>
      </c>
      <c r="AN541" s="1182">
        <v>0</v>
      </c>
      <c r="AO541" s="1182">
        <v>0</v>
      </c>
      <c r="AP541" s="1182">
        <v>0</v>
      </c>
      <c r="AQ541" s="1182" t="s">
        <v>1639</v>
      </c>
      <c r="AS541" s="1186" t="s">
        <v>1943</v>
      </c>
      <c r="AT541" s="1186" t="s">
        <v>1944</v>
      </c>
      <c r="AV541" s="1183">
        <v>0</v>
      </c>
      <c r="AW541" s="1183">
        <v>0</v>
      </c>
      <c r="AX541" s="1183">
        <v>0</v>
      </c>
      <c r="AY541" s="1538">
        <v>0</v>
      </c>
      <c r="AZ541" s="1183">
        <v>0</v>
      </c>
      <c r="BA541" s="1183">
        <v>195</v>
      </c>
      <c r="BB541" s="1540">
        <v>195</v>
      </c>
      <c r="BC541" s="1540">
        <v>195</v>
      </c>
      <c r="BD541" s="1540">
        <v>0</v>
      </c>
      <c r="BF541" s="1539">
        <f t="shared" si="112"/>
        <v>0</v>
      </c>
      <c r="BG541" s="1539">
        <f t="shared" si="113"/>
        <v>0</v>
      </c>
      <c r="BH541" s="1539">
        <f t="shared" si="114"/>
        <v>0</v>
      </c>
      <c r="BI541" s="1539">
        <f t="shared" si="115"/>
        <v>0</v>
      </c>
      <c r="BJ541" s="1539">
        <f t="shared" si="116"/>
        <v>0</v>
      </c>
      <c r="BK541" s="1539">
        <f t="shared" si="117"/>
        <v>195</v>
      </c>
      <c r="BL541" s="1539">
        <f t="shared" si="118"/>
        <v>195</v>
      </c>
      <c r="BM541" s="1539">
        <f t="shared" si="119"/>
        <v>195</v>
      </c>
      <c r="BO541" s="1183"/>
      <c r="BQ541" s="1182">
        <f t="shared" si="120"/>
        <v>0</v>
      </c>
      <c r="BR541" s="1182">
        <f t="shared" si="121"/>
        <v>0</v>
      </c>
    </row>
    <row r="542" spans="1:70" ht="13.5" customHeight="1">
      <c r="A542" s="1182" t="s">
        <v>1803</v>
      </c>
      <c r="B542" s="1182" t="s">
        <v>1804</v>
      </c>
      <c r="C542" s="1182" t="s">
        <v>1639</v>
      </c>
      <c r="D542" s="1182" t="s">
        <v>2866</v>
      </c>
      <c r="E542" s="1182" t="s">
        <v>2867</v>
      </c>
      <c r="F542" s="1182" t="s">
        <v>2961</v>
      </c>
      <c r="G542" s="1182" t="s">
        <v>2961</v>
      </c>
      <c r="H542" s="1182" t="s">
        <v>3518</v>
      </c>
      <c r="I542" s="1182" t="s">
        <v>1937</v>
      </c>
      <c r="J542" s="1182" t="s">
        <v>3519</v>
      </c>
      <c r="K542" s="1182" t="s">
        <v>1811</v>
      </c>
      <c r="L542" s="1182" t="s">
        <v>1812</v>
      </c>
      <c r="M542" s="1182" t="s">
        <v>1803</v>
      </c>
      <c r="N542" s="1182" t="s">
        <v>2922</v>
      </c>
      <c r="O542" s="1182" t="s">
        <v>1554</v>
      </c>
      <c r="P542" s="1182" t="s">
        <v>1563</v>
      </c>
      <c r="Q542" s="1182" t="s">
        <v>1562</v>
      </c>
      <c r="R542" s="1182" t="s">
        <v>1561</v>
      </c>
      <c r="S542" s="1182" t="s">
        <v>1639</v>
      </c>
      <c r="T542" s="1182" t="s">
        <v>1814</v>
      </c>
      <c r="U542" s="1182" t="s">
        <v>1815</v>
      </c>
      <c r="V542" s="1182">
        <v>0</v>
      </c>
      <c r="W542" s="1182">
        <v>0</v>
      </c>
      <c r="X542" s="1182">
        <v>0</v>
      </c>
      <c r="Y542" s="1183">
        <v>8295</v>
      </c>
      <c r="Z542" s="1182" t="s">
        <v>1940</v>
      </c>
      <c r="AA542" s="1182" t="s">
        <v>1941</v>
      </c>
      <c r="AB542" s="1182">
        <v>8295</v>
      </c>
      <c r="AC542" s="1182" t="s">
        <v>2925</v>
      </c>
      <c r="AD542" s="1182" t="s">
        <v>1561</v>
      </c>
      <c r="AE542" s="1182">
        <v>8295</v>
      </c>
      <c r="AF542" s="1182" t="s">
        <v>1943</v>
      </c>
      <c r="AG542" s="1182" t="s">
        <v>1944</v>
      </c>
      <c r="AH542" s="1182">
        <v>0</v>
      </c>
      <c r="AI542" s="1182">
        <v>8295</v>
      </c>
      <c r="AJ542" s="1182" t="s">
        <v>3520</v>
      </c>
      <c r="AL542" s="1186" t="s">
        <v>3521</v>
      </c>
      <c r="AM542" s="1182">
        <v>1</v>
      </c>
      <c r="AN542" s="1182">
        <v>0</v>
      </c>
      <c r="AO542" s="1182">
        <v>0</v>
      </c>
      <c r="AP542" s="1182">
        <v>0</v>
      </c>
      <c r="AQ542" s="1182" t="s">
        <v>1639</v>
      </c>
      <c r="AS542" s="1186" t="s">
        <v>1943</v>
      </c>
      <c r="AT542" s="1186" t="s">
        <v>1944</v>
      </c>
      <c r="AV542" s="1185">
        <v>0</v>
      </c>
      <c r="AW542" s="1185">
        <v>0</v>
      </c>
      <c r="AX542" s="1185">
        <v>0</v>
      </c>
      <c r="AY542" s="1539">
        <v>0</v>
      </c>
      <c r="AZ542" s="1185">
        <v>0</v>
      </c>
      <c r="BA542" s="1185">
        <v>8295</v>
      </c>
      <c r="BB542" s="1540">
        <v>8295</v>
      </c>
      <c r="BC542" s="1540">
        <v>8295</v>
      </c>
      <c r="BD542" s="1540">
        <v>0</v>
      </c>
      <c r="BF542" s="1539">
        <f t="shared" si="112"/>
        <v>0</v>
      </c>
      <c r="BG542" s="1539">
        <f t="shared" si="113"/>
        <v>0</v>
      </c>
      <c r="BH542" s="1539">
        <f t="shared" si="114"/>
        <v>0</v>
      </c>
      <c r="BI542" s="1539">
        <f t="shared" si="115"/>
        <v>0</v>
      </c>
      <c r="BJ542" s="1539">
        <f t="shared" si="116"/>
        <v>0</v>
      </c>
      <c r="BK542" s="1539">
        <f t="shared" si="117"/>
        <v>8295</v>
      </c>
      <c r="BL542" s="1539">
        <f t="shared" si="118"/>
        <v>8295</v>
      </c>
      <c r="BM542" s="1539">
        <f t="shared" si="119"/>
        <v>8295</v>
      </c>
      <c r="BO542" s="1183"/>
      <c r="BQ542" s="1182">
        <f t="shared" si="120"/>
        <v>0</v>
      </c>
      <c r="BR542" s="1182">
        <f t="shared" si="121"/>
        <v>0</v>
      </c>
    </row>
    <row r="543" spans="1:70" ht="13.5" customHeight="1">
      <c r="A543" s="1182" t="s">
        <v>1803</v>
      </c>
      <c r="B543" s="1182" t="s">
        <v>1804</v>
      </c>
      <c r="C543" s="1182" t="s">
        <v>1639</v>
      </c>
      <c r="D543" s="1182" t="s">
        <v>2866</v>
      </c>
      <c r="E543" s="1182" t="s">
        <v>2867</v>
      </c>
      <c r="F543" s="1182" t="s">
        <v>2540</v>
      </c>
      <c r="G543" s="1182" t="s">
        <v>2540</v>
      </c>
      <c r="H543" s="1182" t="s">
        <v>3522</v>
      </c>
      <c r="I543" s="1182" t="s">
        <v>1937</v>
      </c>
      <c r="J543" s="1182" t="s">
        <v>3523</v>
      </c>
      <c r="K543" s="1182" t="s">
        <v>1811</v>
      </c>
      <c r="L543" s="1182" t="s">
        <v>1812</v>
      </c>
      <c r="M543" s="1182" t="s">
        <v>1803</v>
      </c>
      <c r="N543" s="1182" t="s">
        <v>2922</v>
      </c>
      <c r="O543" s="1182" t="s">
        <v>1554</v>
      </c>
      <c r="P543" s="1182" t="s">
        <v>1563</v>
      </c>
      <c r="Q543" s="1182" t="s">
        <v>1562</v>
      </c>
      <c r="R543" s="1182" t="s">
        <v>1561</v>
      </c>
      <c r="S543" s="1182" t="s">
        <v>1639</v>
      </c>
      <c r="T543" s="1182" t="s">
        <v>1814</v>
      </c>
      <c r="U543" s="1182" t="s">
        <v>1815</v>
      </c>
      <c r="V543" s="1182">
        <v>0</v>
      </c>
      <c r="W543" s="1182">
        <v>0</v>
      </c>
      <c r="X543" s="1182">
        <v>0</v>
      </c>
      <c r="Y543" s="1183">
        <v>7800</v>
      </c>
      <c r="Z543" s="1182" t="s">
        <v>1940</v>
      </c>
      <c r="AA543" s="1182" t="s">
        <v>1941</v>
      </c>
      <c r="AB543" s="1182">
        <v>7800</v>
      </c>
      <c r="AC543" s="1182" t="s">
        <v>2925</v>
      </c>
      <c r="AD543" s="1182" t="s">
        <v>1561</v>
      </c>
      <c r="AE543" s="1182">
        <v>7800</v>
      </c>
      <c r="AF543" s="1182" t="s">
        <v>1943</v>
      </c>
      <c r="AG543" s="1182" t="s">
        <v>1944</v>
      </c>
      <c r="AH543" s="1182">
        <v>0</v>
      </c>
      <c r="AI543" s="1182">
        <v>7800</v>
      </c>
      <c r="AJ543" s="1182" t="s">
        <v>3524</v>
      </c>
      <c r="AL543" s="1186" t="s">
        <v>3525</v>
      </c>
      <c r="AM543" s="1182">
        <v>1</v>
      </c>
      <c r="AN543" s="1182">
        <v>0</v>
      </c>
      <c r="AO543" s="1182">
        <v>0</v>
      </c>
      <c r="AP543" s="1182">
        <v>0</v>
      </c>
      <c r="AQ543" s="1182" t="s">
        <v>1639</v>
      </c>
      <c r="AS543" s="1186" t="s">
        <v>1943</v>
      </c>
      <c r="AT543" s="1186" t="s">
        <v>1944</v>
      </c>
      <c r="AV543" s="1185">
        <v>7800</v>
      </c>
      <c r="AW543" s="1185">
        <v>0</v>
      </c>
      <c r="AX543" s="1185">
        <v>0</v>
      </c>
      <c r="AY543" s="1539">
        <v>7800</v>
      </c>
      <c r="AZ543" s="1185">
        <v>0</v>
      </c>
      <c r="BA543" s="1185">
        <v>0</v>
      </c>
      <c r="BB543" s="1540">
        <v>0</v>
      </c>
      <c r="BC543" s="1540">
        <v>7800</v>
      </c>
      <c r="BD543" s="1540">
        <v>0</v>
      </c>
      <c r="BF543" s="1539">
        <f t="shared" si="112"/>
        <v>7800</v>
      </c>
      <c r="BG543" s="1539">
        <f t="shared" si="113"/>
        <v>0</v>
      </c>
      <c r="BH543" s="1539">
        <f t="shared" si="114"/>
        <v>0</v>
      </c>
      <c r="BI543" s="1539">
        <f t="shared" si="115"/>
        <v>7800</v>
      </c>
      <c r="BJ543" s="1539">
        <f t="shared" si="116"/>
        <v>0</v>
      </c>
      <c r="BK543" s="1539">
        <f t="shared" si="117"/>
        <v>0</v>
      </c>
      <c r="BL543" s="1539">
        <f t="shared" si="118"/>
        <v>0</v>
      </c>
      <c r="BM543" s="1539">
        <f t="shared" si="119"/>
        <v>7800</v>
      </c>
      <c r="BO543" s="1183"/>
      <c r="BQ543" s="1182">
        <f t="shared" si="120"/>
        <v>0</v>
      </c>
      <c r="BR543" s="1182">
        <f t="shared" si="121"/>
        <v>0</v>
      </c>
    </row>
    <row r="544" spans="1:70" ht="13.5" customHeight="1">
      <c r="A544" s="1182" t="s">
        <v>1803</v>
      </c>
      <c r="B544" s="1182" t="s">
        <v>1804</v>
      </c>
      <c r="C544" s="1182" t="s">
        <v>1639</v>
      </c>
      <c r="D544" s="1182" t="s">
        <v>3056</v>
      </c>
      <c r="E544" s="1182" t="s">
        <v>3057</v>
      </c>
      <c r="F544" s="1182" t="s">
        <v>2720</v>
      </c>
      <c r="G544" s="1182" t="s">
        <v>2720</v>
      </c>
      <c r="H544" s="1182" t="s">
        <v>3526</v>
      </c>
      <c r="I544" s="1182" t="s">
        <v>1809</v>
      </c>
      <c r="J544" s="1182" t="s">
        <v>3527</v>
      </c>
      <c r="K544" s="1182" t="s">
        <v>1811</v>
      </c>
      <c r="L544" s="1182" t="s">
        <v>1812</v>
      </c>
      <c r="M544" s="1182" t="s">
        <v>1803</v>
      </c>
      <c r="N544" s="1182" t="s">
        <v>2922</v>
      </c>
      <c r="O544" s="1182" t="s">
        <v>1554</v>
      </c>
      <c r="P544" s="1182" t="s">
        <v>1563</v>
      </c>
      <c r="Q544" s="1182" t="s">
        <v>1562</v>
      </c>
      <c r="R544" s="1182" t="s">
        <v>1561</v>
      </c>
      <c r="S544" s="1182" t="s">
        <v>1639</v>
      </c>
      <c r="T544" s="1182" t="s">
        <v>1814</v>
      </c>
      <c r="U544" s="1182" t="s">
        <v>1815</v>
      </c>
      <c r="V544" s="1182">
        <v>0</v>
      </c>
      <c r="W544" s="1182">
        <v>0</v>
      </c>
      <c r="X544" s="1182">
        <v>0</v>
      </c>
      <c r="Y544" s="1183">
        <v>3433</v>
      </c>
      <c r="Z544" s="1182" t="s">
        <v>2923</v>
      </c>
      <c r="AA544" s="1182" t="s">
        <v>2924</v>
      </c>
      <c r="AB544" s="1182">
        <v>3433</v>
      </c>
      <c r="AC544" s="1182" t="s">
        <v>2925</v>
      </c>
      <c r="AD544" s="1182" t="s">
        <v>1561</v>
      </c>
      <c r="AE544" s="1182">
        <v>3433</v>
      </c>
      <c r="AF544" s="1182" t="s">
        <v>1819</v>
      </c>
      <c r="AG544" s="1182" t="s">
        <v>1820</v>
      </c>
      <c r="AH544" s="1182">
        <v>312</v>
      </c>
      <c r="AI544" s="1182">
        <v>3121</v>
      </c>
      <c r="AJ544" s="1182" t="s">
        <v>3528</v>
      </c>
      <c r="AL544" s="1186" t="s">
        <v>3529</v>
      </c>
      <c r="AM544" s="1182">
        <v>1</v>
      </c>
      <c r="AN544" s="1182">
        <v>0</v>
      </c>
      <c r="AO544" s="1182">
        <v>0</v>
      </c>
      <c r="AP544" s="1182">
        <v>0</v>
      </c>
      <c r="AQ544" s="1182" t="s">
        <v>1639</v>
      </c>
      <c r="AS544" s="1186" t="s">
        <v>1819</v>
      </c>
      <c r="AT544" s="1186" t="s">
        <v>1820</v>
      </c>
      <c r="AV544" s="1185">
        <v>618</v>
      </c>
      <c r="AW544" s="1185">
        <v>0</v>
      </c>
      <c r="AX544" s="1185">
        <v>0</v>
      </c>
      <c r="AY544" s="1539">
        <v>618</v>
      </c>
      <c r="AZ544" s="1185">
        <v>0</v>
      </c>
      <c r="BA544" s="1185">
        <v>2815</v>
      </c>
      <c r="BB544" s="1540">
        <v>2815</v>
      </c>
      <c r="BC544" s="1540">
        <v>3433</v>
      </c>
      <c r="BD544" s="1540">
        <v>0</v>
      </c>
      <c r="BF544" s="1539">
        <f t="shared" si="112"/>
        <v>562</v>
      </c>
      <c r="BG544" s="1539">
        <f t="shared" si="113"/>
        <v>0</v>
      </c>
      <c r="BH544" s="1539">
        <f t="shared" si="114"/>
        <v>0</v>
      </c>
      <c r="BI544" s="1539">
        <f t="shared" si="115"/>
        <v>562</v>
      </c>
      <c r="BJ544" s="1539">
        <f t="shared" si="116"/>
        <v>0</v>
      </c>
      <c r="BK544" s="1539">
        <f t="shared" si="117"/>
        <v>2559</v>
      </c>
      <c r="BL544" s="1539">
        <f t="shared" si="118"/>
        <v>2559</v>
      </c>
      <c r="BM544" s="1539">
        <f t="shared" si="119"/>
        <v>3121</v>
      </c>
      <c r="BO544" s="1183"/>
      <c r="BQ544" s="1182">
        <f t="shared" si="120"/>
        <v>-0.18181818181813014</v>
      </c>
      <c r="BR544" s="1182">
        <f t="shared" si="121"/>
        <v>9.0909090909008228E-2</v>
      </c>
    </row>
    <row r="545" spans="1:70" ht="13.5" customHeight="1">
      <c r="A545" s="1182" t="s">
        <v>1803</v>
      </c>
      <c r="B545" s="1182" t="s">
        <v>1804</v>
      </c>
      <c r="C545" s="1182" t="s">
        <v>1639</v>
      </c>
      <c r="D545" s="1182" t="s">
        <v>3056</v>
      </c>
      <c r="E545" s="1182" t="s">
        <v>3057</v>
      </c>
      <c r="F545" s="1182" t="s">
        <v>2841</v>
      </c>
      <c r="G545" s="1182" t="s">
        <v>2841</v>
      </c>
      <c r="H545" s="1182" t="s">
        <v>3530</v>
      </c>
      <c r="I545" s="1182" t="s">
        <v>1809</v>
      </c>
      <c r="J545" s="1182" t="s">
        <v>3531</v>
      </c>
      <c r="K545" s="1182" t="s">
        <v>1811</v>
      </c>
      <c r="L545" s="1182" t="s">
        <v>1812</v>
      </c>
      <c r="M545" s="1182" t="s">
        <v>1803</v>
      </c>
      <c r="N545" s="1182" t="s">
        <v>2922</v>
      </c>
      <c r="O545" s="1182" t="s">
        <v>1554</v>
      </c>
      <c r="P545" s="1182" t="s">
        <v>1563</v>
      </c>
      <c r="Q545" s="1182" t="s">
        <v>1562</v>
      </c>
      <c r="R545" s="1182" t="s">
        <v>1561</v>
      </c>
      <c r="S545" s="1182" t="s">
        <v>1639</v>
      </c>
      <c r="T545" s="1182" t="s">
        <v>1814</v>
      </c>
      <c r="U545" s="1182" t="s">
        <v>1815</v>
      </c>
      <c r="V545" s="1182">
        <v>0</v>
      </c>
      <c r="W545" s="1182">
        <v>0</v>
      </c>
      <c r="X545" s="1182">
        <v>0</v>
      </c>
      <c r="Y545" s="1183">
        <v>3587</v>
      </c>
      <c r="Z545" s="1182" t="s">
        <v>2923</v>
      </c>
      <c r="AA545" s="1182" t="s">
        <v>2924</v>
      </c>
      <c r="AB545" s="1182">
        <v>3587</v>
      </c>
      <c r="AC545" s="1182" t="s">
        <v>2925</v>
      </c>
      <c r="AD545" s="1182" t="s">
        <v>1561</v>
      </c>
      <c r="AE545" s="1182">
        <v>3587</v>
      </c>
      <c r="AF545" s="1182" t="s">
        <v>1819</v>
      </c>
      <c r="AG545" s="1182" t="s">
        <v>1820</v>
      </c>
      <c r="AH545" s="1182">
        <v>326</v>
      </c>
      <c r="AI545" s="1182">
        <v>3261</v>
      </c>
      <c r="AJ545" s="1182" t="s">
        <v>3528</v>
      </c>
      <c r="AL545" s="1186" t="s">
        <v>3532</v>
      </c>
      <c r="AM545" s="1182">
        <v>1</v>
      </c>
      <c r="AN545" s="1182">
        <v>0</v>
      </c>
      <c r="AO545" s="1182">
        <v>0</v>
      </c>
      <c r="AP545" s="1182">
        <v>0</v>
      </c>
      <c r="AQ545" s="1182" t="s">
        <v>1639</v>
      </c>
      <c r="AS545" s="1186" t="s">
        <v>1819</v>
      </c>
      <c r="AT545" s="1186" t="s">
        <v>1820</v>
      </c>
      <c r="AV545" s="1183">
        <v>646</v>
      </c>
      <c r="AW545" s="1183">
        <v>0</v>
      </c>
      <c r="AX545" s="1183">
        <v>0</v>
      </c>
      <c r="AY545" s="1538">
        <v>646</v>
      </c>
      <c r="AZ545" s="1183">
        <v>0</v>
      </c>
      <c r="BA545" s="1183">
        <v>2941</v>
      </c>
      <c r="BB545" s="1540">
        <v>2941</v>
      </c>
      <c r="BC545" s="1540">
        <v>3587</v>
      </c>
      <c r="BD545" s="1540">
        <v>0</v>
      </c>
      <c r="BF545" s="1539">
        <f t="shared" si="112"/>
        <v>587</v>
      </c>
      <c r="BG545" s="1539">
        <f t="shared" si="113"/>
        <v>0</v>
      </c>
      <c r="BH545" s="1539">
        <f t="shared" si="114"/>
        <v>0</v>
      </c>
      <c r="BI545" s="1539">
        <f t="shared" si="115"/>
        <v>587</v>
      </c>
      <c r="BJ545" s="1539">
        <f t="shared" si="116"/>
        <v>0</v>
      </c>
      <c r="BK545" s="1539">
        <f t="shared" si="117"/>
        <v>2674</v>
      </c>
      <c r="BL545" s="1539">
        <f t="shared" si="118"/>
        <v>2674</v>
      </c>
      <c r="BM545" s="1539">
        <f t="shared" si="119"/>
        <v>3261</v>
      </c>
      <c r="BO545" s="1183"/>
      <c r="BQ545" s="1182">
        <f t="shared" si="120"/>
        <v>0.27272727272725206</v>
      </c>
      <c r="BR545" s="1182">
        <f t="shared" si="121"/>
        <v>-0.36363636363648766</v>
      </c>
    </row>
    <row r="546" spans="1:70" ht="13.5" customHeight="1">
      <c r="A546" s="1182" t="s">
        <v>1803</v>
      </c>
      <c r="B546" s="1182" t="s">
        <v>1804</v>
      </c>
      <c r="C546" s="1182" t="s">
        <v>1639</v>
      </c>
      <c r="D546" s="1182" t="s">
        <v>3056</v>
      </c>
      <c r="E546" s="1182" t="s">
        <v>3057</v>
      </c>
      <c r="F546" s="1182" t="s">
        <v>1864</v>
      </c>
      <c r="G546" s="1182" t="s">
        <v>1864</v>
      </c>
      <c r="H546" s="1182" t="s">
        <v>3533</v>
      </c>
      <c r="I546" s="1182" t="s">
        <v>1809</v>
      </c>
      <c r="J546" s="1182" t="s">
        <v>3534</v>
      </c>
      <c r="K546" s="1182" t="s">
        <v>1811</v>
      </c>
      <c r="L546" s="1182" t="s">
        <v>1812</v>
      </c>
      <c r="M546" s="1182" t="s">
        <v>1803</v>
      </c>
      <c r="N546" s="1182" t="s">
        <v>2922</v>
      </c>
      <c r="O546" s="1182" t="s">
        <v>1554</v>
      </c>
      <c r="P546" s="1182" t="s">
        <v>1563</v>
      </c>
      <c r="Q546" s="1182" t="s">
        <v>1562</v>
      </c>
      <c r="R546" s="1182" t="s">
        <v>1561</v>
      </c>
      <c r="S546" s="1182" t="s">
        <v>1639</v>
      </c>
      <c r="T546" s="1182" t="s">
        <v>1814</v>
      </c>
      <c r="U546" s="1182" t="s">
        <v>1815</v>
      </c>
      <c r="V546" s="1182">
        <v>0</v>
      </c>
      <c r="W546" s="1182">
        <v>0</v>
      </c>
      <c r="X546" s="1182">
        <v>0</v>
      </c>
      <c r="Y546" s="1183">
        <v>3046</v>
      </c>
      <c r="Z546" s="1182" t="s">
        <v>2923</v>
      </c>
      <c r="AA546" s="1182" t="s">
        <v>2924</v>
      </c>
      <c r="AB546" s="1182">
        <v>3046</v>
      </c>
      <c r="AC546" s="1182" t="s">
        <v>2925</v>
      </c>
      <c r="AD546" s="1182" t="s">
        <v>1561</v>
      </c>
      <c r="AE546" s="1182">
        <v>3046</v>
      </c>
      <c r="AF546" s="1182" t="s">
        <v>1819</v>
      </c>
      <c r="AG546" s="1182" t="s">
        <v>1820</v>
      </c>
      <c r="AH546" s="1182">
        <v>276</v>
      </c>
      <c r="AI546" s="1182">
        <v>2770</v>
      </c>
      <c r="AJ546" s="1182" t="s">
        <v>3535</v>
      </c>
      <c r="AL546" s="1186" t="s">
        <v>3536</v>
      </c>
      <c r="AM546" s="1182">
        <v>1</v>
      </c>
      <c r="AN546" s="1182">
        <v>0</v>
      </c>
      <c r="AO546" s="1182">
        <v>0</v>
      </c>
      <c r="AP546" s="1182">
        <v>0</v>
      </c>
      <c r="AQ546" s="1182" t="s">
        <v>1639</v>
      </c>
      <c r="AS546" s="1186" t="s">
        <v>1819</v>
      </c>
      <c r="AT546" s="1186" t="s">
        <v>1820</v>
      </c>
      <c r="AV546" s="1183">
        <v>548</v>
      </c>
      <c r="AW546" s="1183">
        <v>0</v>
      </c>
      <c r="AX546" s="1183">
        <v>0</v>
      </c>
      <c r="AY546" s="1538">
        <v>548</v>
      </c>
      <c r="AZ546" s="1183">
        <v>0</v>
      </c>
      <c r="BA546" s="1183">
        <v>2498</v>
      </c>
      <c r="BB546" s="1540">
        <v>2498</v>
      </c>
      <c r="BC546" s="1540">
        <v>3046</v>
      </c>
      <c r="BD546" s="1540">
        <v>0</v>
      </c>
      <c r="BF546" s="1539">
        <f t="shared" si="112"/>
        <v>498</v>
      </c>
      <c r="BG546" s="1539">
        <f t="shared" si="113"/>
        <v>0</v>
      </c>
      <c r="BH546" s="1539">
        <f t="shared" si="114"/>
        <v>0</v>
      </c>
      <c r="BI546" s="1539">
        <f t="shared" si="115"/>
        <v>498</v>
      </c>
      <c r="BJ546" s="1539">
        <f t="shared" si="116"/>
        <v>0</v>
      </c>
      <c r="BK546" s="1539">
        <f t="shared" si="117"/>
        <v>2271</v>
      </c>
      <c r="BL546" s="1539">
        <f t="shared" si="118"/>
        <v>2271</v>
      </c>
      <c r="BM546" s="1539">
        <f t="shared" si="119"/>
        <v>2769</v>
      </c>
      <c r="BO546" s="1183"/>
      <c r="BQ546" s="1182">
        <f t="shared" si="120"/>
        <v>0.18181818181818699</v>
      </c>
      <c r="BR546" s="1182">
        <f t="shared" si="121"/>
        <v>-9.0909090909008228E-2</v>
      </c>
    </row>
    <row r="547" spans="1:70" ht="13.5" customHeight="1">
      <c r="A547" s="1182" t="s">
        <v>1803</v>
      </c>
      <c r="B547" s="1182" t="s">
        <v>1804</v>
      </c>
      <c r="C547" s="1182" t="s">
        <v>1639</v>
      </c>
      <c r="D547" s="1182" t="s">
        <v>3056</v>
      </c>
      <c r="E547" s="1182" t="s">
        <v>3057</v>
      </c>
      <c r="F547" s="1182" t="s">
        <v>1836</v>
      </c>
      <c r="G547" s="1182" t="s">
        <v>1836</v>
      </c>
      <c r="H547" s="1182" t="s">
        <v>3537</v>
      </c>
      <c r="I547" s="1182" t="s">
        <v>1809</v>
      </c>
      <c r="J547" s="1182" t="s">
        <v>3538</v>
      </c>
      <c r="K547" s="1182" t="s">
        <v>1811</v>
      </c>
      <c r="L547" s="1182" t="s">
        <v>1812</v>
      </c>
      <c r="M547" s="1182" t="s">
        <v>1803</v>
      </c>
      <c r="N547" s="1182" t="s">
        <v>2922</v>
      </c>
      <c r="O547" s="1182" t="s">
        <v>1554</v>
      </c>
      <c r="P547" s="1182" t="s">
        <v>1563</v>
      </c>
      <c r="Q547" s="1182" t="s">
        <v>1562</v>
      </c>
      <c r="R547" s="1182" t="s">
        <v>1561</v>
      </c>
      <c r="S547" s="1182" t="s">
        <v>1639</v>
      </c>
      <c r="T547" s="1182" t="s">
        <v>1814</v>
      </c>
      <c r="U547" s="1182" t="s">
        <v>1815</v>
      </c>
      <c r="V547" s="1182">
        <v>0</v>
      </c>
      <c r="W547" s="1182">
        <v>0</v>
      </c>
      <c r="X547" s="1182">
        <v>0</v>
      </c>
      <c r="Y547" s="1183">
        <v>3132</v>
      </c>
      <c r="Z547" s="1182" t="s">
        <v>2923</v>
      </c>
      <c r="AA547" s="1182" t="s">
        <v>2924</v>
      </c>
      <c r="AB547" s="1182">
        <v>3132</v>
      </c>
      <c r="AC547" s="1182" t="s">
        <v>2925</v>
      </c>
      <c r="AD547" s="1182" t="s">
        <v>1561</v>
      </c>
      <c r="AE547" s="1182">
        <v>3132</v>
      </c>
      <c r="AF547" s="1182" t="s">
        <v>1819</v>
      </c>
      <c r="AG547" s="1182" t="s">
        <v>1820</v>
      </c>
      <c r="AH547" s="1182">
        <v>284</v>
      </c>
      <c r="AI547" s="1182">
        <v>2848</v>
      </c>
      <c r="AJ547" s="1182" t="s">
        <v>3528</v>
      </c>
      <c r="AL547" s="1186" t="s">
        <v>3539</v>
      </c>
      <c r="AM547" s="1182">
        <v>1</v>
      </c>
      <c r="AN547" s="1182">
        <v>0</v>
      </c>
      <c r="AO547" s="1182">
        <v>0</v>
      </c>
      <c r="AP547" s="1182">
        <v>0</v>
      </c>
      <c r="AQ547" s="1182" t="s">
        <v>1639</v>
      </c>
      <c r="AS547" s="1186" t="s">
        <v>1819</v>
      </c>
      <c r="AT547" s="1186" t="s">
        <v>1820</v>
      </c>
      <c r="AV547" s="1183">
        <v>564</v>
      </c>
      <c r="AW547" s="1183">
        <v>0</v>
      </c>
      <c r="AX547" s="1183">
        <v>0</v>
      </c>
      <c r="AY547" s="1538">
        <v>564</v>
      </c>
      <c r="AZ547" s="1183">
        <v>0</v>
      </c>
      <c r="BA547" s="1183">
        <v>2568</v>
      </c>
      <c r="BB547" s="1540">
        <v>2568</v>
      </c>
      <c r="BC547" s="1540">
        <v>3132</v>
      </c>
      <c r="BD547" s="1540">
        <v>0</v>
      </c>
      <c r="BF547" s="1539">
        <f t="shared" si="112"/>
        <v>513</v>
      </c>
      <c r="BG547" s="1539">
        <f t="shared" si="113"/>
        <v>0</v>
      </c>
      <c r="BH547" s="1539">
        <f t="shared" si="114"/>
        <v>0</v>
      </c>
      <c r="BI547" s="1539">
        <f t="shared" si="115"/>
        <v>513</v>
      </c>
      <c r="BJ547" s="1539">
        <f t="shared" si="116"/>
        <v>0</v>
      </c>
      <c r="BK547" s="1539">
        <f t="shared" si="117"/>
        <v>2335</v>
      </c>
      <c r="BL547" s="1539">
        <f t="shared" si="118"/>
        <v>2335</v>
      </c>
      <c r="BM547" s="1539">
        <f t="shared" si="119"/>
        <v>2848</v>
      </c>
      <c r="BO547" s="1183"/>
      <c r="BQ547" s="1182">
        <f t="shared" si="120"/>
        <v>-0.27272727272725206</v>
      </c>
      <c r="BR547" s="1182">
        <f t="shared" si="121"/>
        <v>-0.45454545454549589</v>
      </c>
    </row>
    <row r="548" spans="1:70" ht="13.5" customHeight="1">
      <c r="A548" s="1182" t="s">
        <v>1803</v>
      </c>
      <c r="B548" s="1182" t="s">
        <v>1804</v>
      </c>
      <c r="C548" s="1182" t="s">
        <v>1639</v>
      </c>
      <c r="D548" s="1182" t="s">
        <v>3056</v>
      </c>
      <c r="E548" s="1182" t="s">
        <v>3057</v>
      </c>
      <c r="F548" s="1182" t="s">
        <v>2381</v>
      </c>
      <c r="G548" s="1182" t="s">
        <v>2381</v>
      </c>
      <c r="H548" s="1182" t="s">
        <v>3540</v>
      </c>
      <c r="I548" s="1182" t="s">
        <v>1809</v>
      </c>
      <c r="J548" s="1182" t="s">
        <v>3541</v>
      </c>
      <c r="K548" s="1182" t="s">
        <v>1811</v>
      </c>
      <c r="L548" s="1182" t="s">
        <v>1812</v>
      </c>
      <c r="M548" s="1182" t="s">
        <v>1803</v>
      </c>
      <c r="N548" s="1182" t="s">
        <v>2922</v>
      </c>
      <c r="O548" s="1182" t="s">
        <v>1554</v>
      </c>
      <c r="P548" s="1182" t="s">
        <v>1563</v>
      </c>
      <c r="Q548" s="1182" t="s">
        <v>1562</v>
      </c>
      <c r="R548" s="1182" t="s">
        <v>1561</v>
      </c>
      <c r="S548" s="1182" t="s">
        <v>1639</v>
      </c>
      <c r="T548" s="1182" t="s">
        <v>1814</v>
      </c>
      <c r="U548" s="1182" t="s">
        <v>1815</v>
      </c>
      <c r="V548" s="1182">
        <v>0</v>
      </c>
      <c r="W548" s="1182">
        <v>0</v>
      </c>
      <c r="X548" s="1182">
        <v>0</v>
      </c>
      <c r="Y548" s="1183">
        <v>3451</v>
      </c>
      <c r="Z548" s="1182" t="s">
        <v>2923</v>
      </c>
      <c r="AA548" s="1182" t="s">
        <v>2924</v>
      </c>
      <c r="AB548" s="1182">
        <v>3451</v>
      </c>
      <c r="AC548" s="1182" t="s">
        <v>2925</v>
      </c>
      <c r="AD548" s="1182" t="s">
        <v>1561</v>
      </c>
      <c r="AE548" s="1182">
        <v>3451</v>
      </c>
      <c r="AF548" s="1182" t="s">
        <v>1819</v>
      </c>
      <c r="AG548" s="1182" t="s">
        <v>1820</v>
      </c>
      <c r="AH548" s="1182">
        <v>313</v>
      </c>
      <c r="AI548" s="1182">
        <v>3138</v>
      </c>
      <c r="AJ548" s="1182" t="s">
        <v>3528</v>
      </c>
      <c r="AL548" s="1186" t="s">
        <v>3542</v>
      </c>
      <c r="AM548" s="1182">
        <v>1</v>
      </c>
      <c r="AN548" s="1182">
        <v>0</v>
      </c>
      <c r="AO548" s="1182">
        <v>0</v>
      </c>
      <c r="AP548" s="1182">
        <v>0</v>
      </c>
      <c r="AQ548" s="1182" t="s">
        <v>1639</v>
      </c>
      <c r="AS548" s="1186" t="s">
        <v>1819</v>
      </c>
      <c r="AT548" s="1186" t="s">
        <v>1820</v>
      </c>
      <c r="AV548" s="1183">
        <v>621</v>
      </c>
      <c r="AW548" s="1183">
        <v>0</v>
      </c>
      <c r="AX548" s="1183">
        <v>0</v>
      </c>
      <c r="AY548" s="1538">
        <v>621</v>
      </c>
      <c r="AZ548" s="1183">
        <v>0</v>
      </c>
      <c r="BA548" s="1183">
        <v>2830</v>
      </c>
      <c r="BB548" s="1540">
        <v>2830</v>
      </c>
      <c r="BC548" s="1540">
        <v>3451</v>
      </c>
      <c r="BD548" s="1540">
        <v>0</v>
      </c>
      <c r="BF548" s="1539">
        <f t="shared" si="112"/>
        <v>565</v>
      </c>
      <c r="BG548" s="1539">
        <f t="shared" si="113"/>
        <v>0</v>
      </c>
      <c r="BH548" s="1539">
        <f t="shared" si="114"/>
        <v>0</v>
      </c>
      <c r="BI548" s="1539">
        <f t="shared" si="115"/>
        <v>565</v>
      </c>
      <c r="BJ548" s="1539">
        <f t="shared" si="116"/>
        <v>0</v>
      </c>
      <c r="BK548" s="1539">
        <f t="shared" si="117"/>
        <v>2573</v>
      </c>
      <c r="BL548" s="1539">
        <f t="shared" si="118"/>
        <v>2573</v>
      </c>
      <c r="BM548" s="1539">
        <f t="shared" si="119"/>
        <v>3138</v>
      </c>
      <c r="BO548" s="1183"/>
      <c r="BQ548" s="1182">
        <f t="shared" si="120"/>
        <v>-0.45454545454549589</v>
      </c>
      <c r="BR548" s="1182">
        <f t="shared" si="121"/>
        <v>-0.27272727272747943</v>
      </c>
    </row>
    <row r="549" spans="1:70" ht="13.5" customHeight="1">
      <c r="A549" s="1182" t="s">
        <v>1803</v>
      </c>
      <c r="B549" s="1182" t="s">
        <v>1804</v>
      </c>
      <c r="C549" s="1182" t="s">
        <v>1639</v>
      </c>
      <c r="D549" s="1182" t="s">
        <v>3056</v>
      </c>
      <c r="E549" s="1182" t="s">
        <v>3057</v>
      </c>
      <c r="F549" s="1182" t="s">
        <v>2679</v>
      </c>
      <c r="G549" s="1182" t="s">
        <v>2679</v>
      </c>
      <c r="H549" s="1182" t="s">
        <v>3543</v>
      </c>
      <c r="I549" s="1182" t="s">
        <v>1809</v>
      </c>
      <c r="J549" s="1182" t="s">
        <v>3544</v>
      </c>
      <c r="K549" s="1182" t="s">
        <v>1811</v>
      </c>
      <c r="L549" s="1182" t="s">
        <v>1812</v>
      </c>
      <c r="M549" s="1182" t="s">
        <v>1803</v>
      </c>
      <c r="N549" s="1182" t="s">
        <v>2922</v>
      </c>
      <c r="O549" s="1182" t="s">
        <v>1554</v>
      </c>
      <c r="P549" s="1182" t="s">
        <v>1563</v>
      </c>
      <c r="Q549" s="1182" t="s">
        <v>1562</v>
      </c>
      <c r="R549" s="1182" t="s">
        <v>1561</v>
      </c>
      <c r="S549" s="1182" t="s">
        <v>1639</v>
      </c>
      <c r="T549" s="1182" t="s">
        <v>1814</v>
      </c>
      <c r="U549" s="1182" t="s">
        <v>1815</v>
      </c>
      <c r="V549" s="1182">
        <v>0</v>
      </c>
      <c r="W549" s="1182">
        <v>0</v>
      </c>
      <c r="X549" s="1182">
        <v>0</v>
      </c>
      <c r="Y549" s="1183">
        <v>3531</v>
      </c>
      <c r="Z549" s="1182" t="s">
        <v>2923</v>
      </c>
      <c r="AA549" s="1182" t="s">
        <v>2924</v>
      </c>
      <c r="AB549" s="1182">
        <v>3531</v>
      </c>
      <c r="AC549" s="1182" t="s">
        <v>2925</v>
      </c>
      <c r="AD549" s="1182" t="s">
        <v>1561</v>
      </c>
      <c r="AE549" s="1182">
        <v>3531</v>
      </c>
      <c r="AF549" s="1182" t="s">
        <v>1819</v>
      </c>
      <c r="AG549" s="1182" t="s">
        <v>1820</v>
      </c>
      <c r="AH549" s="1182">
        <v>321</v>
      </c>
      <c r="AI549" s="1182">
        <v>3210</v>
      </c>
      <c r="AJ549" s="1182" t="s">
        <v>3528</v>
      </c>
      <c r="AL549" s="1186" t="s">
        <v>3545</v>
      </c>
      <c r="AM549" s="1182">
        <v>1</v>
      </c>
      <c r="AN549" s="1182">
        <v>0</v>
      </c>
      <c r="AO549" s="1182">
        <v>0</v>
      </c>
      <c r="AP549" s="1182">
        <v>0</v>
      </c>
      <c r="AQ549" s="1182" t="s">
        <v>1639</v>
      </c>
      <c r="AS549" s="1186" t="s">
        <v>1819</v>
      </c>
      <c r="AT549" s="1186" t="s">
        <v>1820</v>
      </c>
      <c r="AV549" s="1183">
        <v>636</v>
      </c>
      <c r="AW549" s="1183">
        <v>0</v>
      </c>
      <c r="AX549" s="1183">
        <v>0</v>
      </c>
      <c r="AY549" s="1538">
        <v>636</v>
      </c>
      <c r="AZ549" s="1183">
        <v>0</v>
      </c>
      <c r="BA549" s="1183">
        <v>2895</v>
      </c>
      <c r="BB549" s="1540">
        <v>2895</v>
      </c>
      <c r="BC549" s="1540">
        <v>3531</v>
      </c>
      <c r="BD549" s="1540">
        <v>0</v>
      </c>
      <c r="BF549" s="1539">
        <f t="shared" si="112"/>
        <v>578</v>
      </c>
      <c r="BG549" s="1539">
        <f t="shared" si="113"/>
        <v>0</v>
      </c>
      <c r="BH549" s="1539">
        <f t="shared" si="114"/>
        <v>0</v>
      </c>
      <c r="BI549" s="1539">
        <f t="shared" si="115"/>
        <v>578</v>
      </c>
      <c r="BJ549" s="1539">
        <f t="shared" si="116"/>
        <v>0</v>
      </c>
      <c r="BK549" s="1539">
        <f t="shared" si="117"/>
        <v>2632</v>
      </c>
      <c r="BL549" s="1539">
        <f t="shared" si="118"/>
        <v>2632</v>
      </c>
      <c r="BM549" s="1539">
        <f t="shared" si="119"/>
        <v>3210</v>
      </c>
      <c r="BO549" s="1183"/>
      <c r="BQ549" s="1182">
        <f t="shared" si="120"/>
        <v>0.18181818181813014</v>
      </c>
      <c r="BR549" s="1182">
        <f t="shared" si="121"/>
        <v>-0.18181818181801646</v>
      </c>
    </row>
    <row r="550" spans="1:70" ht="13.5" customHeight="1">
      <c r="A550" s="1182" t="s">
        <v>1803</v>
      </c>
      <c r="B550" s="1182" t="s">
        <v>1804</v>
      </c>
      <c r="C550" s="1182" t="s">
        <v>1639</v>
      </c>
      <c r="D550" s="1182" t="s">
        <v>3056</v>
      </c>
      <c r="E550" s="1182" t="s">
        <v>3057</v>
      </c>
      <c r="F550" s="1182" t="s">
        <v>2720</v>
      </c>
      <c r="G550" s="1182" t="s">
        <v>2720</v>
      </c>
      <c r="H550" s="1182" t="s">
        <v>3546</v>
      </c>
      <c r="I550" s="1182" t="s">
        <v>1809</v>
      </c>
      <c r="J550" s="1182" t="s">
        <v>3547</v>
      </c>
      <c r="K550" s="1182" t="s">
        <v>1811</v>
      </c>
      <c r="L550" s="1182" t="s">
        <v>1812</v>
      </c>
      <c r="M550" s="1182" t="s">
        <v>1803</v>
      </c>
      <c r="N550" s="1182" t="s">
        <v>2922</v>
      </c>
      <c r="O550" s="1182" t="s">
        <v>1554</v>
      </c>
      <c r="P550" s="1182" t="s">
        <v>1563</v>
      </c>
      <c r="Q550" s="1182" t="s">
        <v>1562</v>
      </c>
      <c r="R550" s="1182" t="s">
        <v>1561</v>
      </c>
      <c r="S550" s="1182" t="s">
        <v>1639</v>
      </c>
      <c r="T550" s="1182" t="s">
        <v>1814</v>
      </c>
      <c r="U550" s="1182" t="s">
        <v>1815</v>
      </c>
      <c r="V550" s="1182">
        <v>0</v>
      </c>
      <c r="W550" s="1182">
        <v>0</v>
      </c>
      <c r="X550" s="1182">
        <v>0</v>
      </c>
      <c r="Y550" s="1183">
        <v>3869</v>
      </c>
      <c r="Z550" s="1182" t="s">
        <v>2923</v>
      </c>
      <c r="AA550" s="1182" t="s">
        <v>2924</v>
      </c>
      <c r="AB550" s="1182">
        <v>3869</v>
      </c>
      <c r="AC550" s="1182" t="s">
        <v>2925</v>
      </c>
      <c r="AD550" s="1182" t="s">
        <v>1561</v>
      </c>
      <c r="AE550" s="1182">
        <v>3869</v>
      </c>
      <c r="AF550" s="1182" t="s">
        <v>1819</v>
      </c>
      <c r="AG550" s="1182" t="s">
        <v>1820</v>
      </c>
      <c r="AH550" s="1182">
        <v>351</v>
      </c>
      <c r="AI550" s="1182">
        <v>3518</v>
      </c>
      <c r="AJ550" s="1182" t="s">
        <v>3528</v>
      </c>
      <c r="AL550" s="1186" t="s">
        <v>3548</v>
      </c>
      <c r="AM550" s="1182">
        <v>1</v>
      </c>
      <c r="AN550" s="1182">
        <v>0</v>
      </c>
      <c r="AO550" s="1182">
        <v>0</v>
      </c>
      <c r="AP550" s="1182">
        <v>0</v>
      </c>
      <c r="AQ550" s="1182" t="s">
        <v>1639</v>
      </c>
      <c r="AS550" s="1186" t="s">
        <v>1819</v>
      </c>
      <c r="AT550" s="1186" t="s">
        <v>1820</v>
      </c>
      <c r="AV550" s="1183">
        <v>696</v>
      </c>
      <c r="AW550" s="1183">
        <v>0</v>
      </c>
      <c r="AX550" s="1183">
        <v>0</v>
      </c>
      <c r="AY550" s="1538">
        <v>696</v>
      </c>
      <c r="AZ550" s="1183">
        <v>0</v>
      </c>
      <c r="BA550" s="1183">
        <v>3173</v>
      </c>
      <c r="BB550" s="1540">
        <v>3173</v>
      </c>
      <c r="BC550" s="1540">
        <v>3869</v>
      </c>
      <c r="BD550" s="1540">
        <v>0</v>
      </c>
      <c r="BF550" s="1539">
        <f t="shared" si="112"/>
        <v>633</v>
      </c>
      <c r="BG550" s="1539">
        <f t="shared" si="113"/>
        <v>0</v>
      </c>
      <c r="BH550" s="1539">
        <f t="shared" si="114"/>
        <v>0</v>
      </c>
      <c r="BI550" s="1539">
        <f t="shared" si="115"/>
        <v>633</v>
      </c>
      <c r="BJ550" s="1539">
        <f t="shared" si="116"/>
        <v>0</v>
      </c>
      <c r="BK550" s="1539">
        <f t="shared" si="117"/>
        <v>2885</v>
      </c>
      <c r="BL550" s="1539">
        <f t="shared" si="118"/>
        <v>2885</v>
      </c>
      <c r="BM550" s="1539">
        <f t="shared" si="119"/>
        <v>3518</v>
      </c>
      <c r="BO550" s="1183"/>
      <c r="BQ550" s="1182">
        <f t="shared" si="120"/>
        <v>-0.27272727272725206</v>
      </c>
      <c r="BR550" s="1182">
        <f t="shared" si="121"/>
        <v>-0.45454545454549589</v>
      </c>
    </row>
    <row r="551" spans="1:70" ht="13.5" customHeight="1">
      <c r="A551" s="1182" t="s">
        <v>1803</v>
      </c>
      <c r="B551" s="1182" t="s">
        <v>1804</v>
      </c>
      <c r="C551" s="1182" t="s">
        <v>1639</v>
      </c>
      <c r="D551" s="1182" t="s">
        <v>3056</v>
      </c>
      <c r="E551" s="1182" t="s">
        <v>3057</v>
      </c>
      <c r="F551" s="1182" t="s">
        <v>2841</v>
      </c>
      <c r="G551" s="1182" t="s">
        <v>2841</v>
      </c>
      <c r="H551" s="1182" t="s">
        <v>3549</v>
      </c>
      <c r="I551" s="1182" t="s">
        <v>1809</v>
      </c>
      <c r="J551" s="1182" t="s">
        <v>3550</v>
      </c>
      <c r="K551" s="1182" t="s">
        <v>1811</v>
      </c>
      <c r="L551" s="1182" t="s">
        <v>1812</v>
      </c>
      <c r="M551" s="1182" t="s">
        <v>1803</v>
      </c>
      <c r="N551" s="1182" t="s">
        <v>2922</v>
      </c>
      <c r="O551" s="1182" t="s">
        <v>1554</v>
      </c>
      <c r="P551" s="1182" t="s">
        <v>1563</v>
      </c>
      <c r="Q551" s="1182" t="s">
        <v>1562</v>
      </c>
      <c r="R551" s="1182" t="s">
        <v>1561</v>
      </c>
      <c r="S551" s="1182" t="s">
        <v>1639</v>
      </c>
      <c r="T551" s="1182" t="s">
        <v>1814</v>
      </c>
      <c r="U551" s="1182" t="s">
        <v>1815</v>
      </c>
      <c r="V551" s="1182">
        <v>0</v>
      </c>
      <c r="W551" s="1182">
        <v>0</v>
      </c>
      <c r="X551" s="1182">
        <v>0</v>
      </c>
      <c r="Y551" s="1183">
        <v>4180</v>
      </c>
      <c r="Z551" s="1182" t="s">
        <v>2923</v>
      </c>
      <c r="AA551" s="1182" t="s">
        <v>2924</v>
      </c>
      <c r="AB551" s="1182">
        <v>4180</v>
      </c>
      <c r="AC551" s="1182" t="s">
        <v>2925</v>
      </c>
      <c r="AD551" s="1182" t="s">
        <v>1561</v>
      </c>
      <c r="AE551" s="1182">
        <v>4180</v>
      </c>
      <c r="AF551" s="1182" t="s">
        <v>1819</v>
      </c>
      <c r="AG551" s="1182" t="s">
        <v>1820</v>
      </c>
      <c r="AH551" s="1182">
        <v>380</v>
      </c>
      <c r="AI551" s="1182">
        <v>3800</v>
      </c>
      <c r="AJ551" s="1182" t="s">
        <v>3528</v>
      </c>
      <c r="AL551" s="1186" t="s">
        <v>3551</v>
      </c>
      <c r="AM551" s="1182">
        <v>1</v>
      </c>
      <c r="AN551" s="1182">
        <v>0</v>
      </c>
      <c r="AO551" s="1182">
        <v>0</v>
      </c>
      <c r="AP551" s="1182">
        <v>0</v>
      </c>
      <c r="AQ551" s="1182" t="s">
        <v>1639</v>
      </c>
      <c r="AS551" s="1186" t="s">
        <v>1819</v>
      </c>
      <c r="AT551" s="1186" t="s">
        <v>1820</v>
      </c>
      <c r="AV551" s="1183">
        <v>752</v>
      </c>
      <c r="AW551" s="1183">
        <v>0</v>
      </c>
      <c r="AX551" s="1183">
        <v>0</v>
      </c>
      <c r="AY551" s="1538">
        <v>752</v>
      </c>
      <c r="AZ551" s="1183">
        <v>0</v>
      </c>
      <c r="BA551" s="1183">
        <v>3428</v>
      </c>
      <c r="BB551" s="1540">
        <v>3428</v>
      </c>
      <c r="BC551" s="1540">
        <v>4180</v>
      </c>
      <c r="BD551" s="1540">
        <v>0</v>
      </c>
      <c r="BF551" s="1539">
        <f t="shared" si="112"/>
        <v>684</v>
      </c>
      <c r="BG551" s="1539">
        <f t="shared" si="113"/>
        <v>0</v>
      </c>
      <c r="BH551" s="1539">
        <f t="shared" si="114"/>
        <v>0</v>
      </c>
      <c r="BI551" s="1539">
        <f t="shared" si="115"/>
        <v>684</v>
      </c>
      <c r="BJ551" s="1539">
        <f t="shared" si="116"/>
        <v>0</v>
      </c>
      <c r="BK551" s="1539">
        <f t="shared" si="117"/>
        <v>3116</v>
      </c>
      <c r="BL551" s="1539">
        <f t="shared" si="118"/>
        <v>3116</v>
      </c>
      <c r="BM551" s="1539">
        <f t="shared" si="119"/>
        <v>3800</v>
      </c>
      <c r="BO551" s="1183"/>
      <c r="BQ551" s="1182">
        <f t="shared" si="120"/>
        <v>-0.36363636363637397</v>
      </c>
      <c r="BR551" s="1182">
        <f t="shared" si="121"/>
        <v>0.36363636363648766</v>
      </c>
    </row>
    <row r="552" spans="1:70" ht="13.5" customHeight="1">
      <c r="A552" s="1182" t="s">
        <v>1803</v>
      </c>
      <c r="B552" s="1182" t="s">
        <v>1804</v>
      </c>
      <c r="C552" s="1182" t="s">
        <v>1639</v>
      </c>
      <c r="D552" s="1182" t="s">
        <v>3056</v>
      </c>
      <c r="E552" s="1182" t="s">
        <v>3057</v>
      </c>
      <c r="F552" s="1182" t="s">
        <v>1864</v>
      </c>
      <c r="G552" s="1182" t="s">
        <v>1864</v>
      </c>
      <c r="H552" s="1182" t="s">
        <v>3552</v>
      </c>
      <c r="I552" s="1182" t="s">
        <v>1809</v>
      </c>
      <c r="J552" s="1182" t="s">
        <v>3553</v>
      </c>
      <c r="K552" s="1182" t="s">
        <v>1811</v>
      </c>
      <c r="L552" s="1182" t="s">
        <v>1812</v>
      </c>
      <c r="M552" s="1182" t="s">
        <v>1803</v>
      </c>
      <c r="N552" s="1182" t="s">
        <v>2922</v>
      </c>
      <c r="O552" s="1182" t="s">
        <v>1554</v>
      </c>
      <c r="P552" s="1182" t="s">
        <v>1563</v>
      </c>
      <c r="Q552" s="1182" t="s">
        <v>1562</v>
      </c>
      <c r="R552" s="1182" t="s">
        <v>1561</v>
      </c>
      <c r="S552" s="1182" t="s">
        <v>1639</v>
      </c>
      <c r="T552" s="1182" t="s">
        <v>1814</v>
      </c>
      <c r="U552" s="1182" t="s">
        <v>1815</v>
      </c>
      <c r="V552" s="1182">
        <v>0</v>
      </c>
      <c r="W552" s="1182">
        <v>0</v>
      </c>
      <c r="X552" s="1182">
        <v>0</v>
      </c>
      <c r="Y552" s="1183">
        <v>3882</v>
      </c>
      <c r="Z552" s="1182" t="s">
        <v>2923</v>
      </c>
      <c r="AA552" s="1182" t="s">
        <v>2924</v>
      </c>
      <c r="AB552" s="1182">
        <v>3882</v>
      </c>
      <c r="AC552" s="1182" t="s">
        <v>2925</v>
      </c>
      <c r="AD552" s="1182" t="s">
        <v>1561</v>
      </c>
      <c r="AE552" s="1182">
        <v>3882</v>
      </c>
      <c r="AF552" s="1182" t="s">
        <v>1819</v>
      </c>
      <c r="AG552" s="1182" t="s">
        <v>1820</v>
      </c>
      <c r="AH552" s="1182">
        <v>352</v>
      </c>
      <c r="AI552" s="1182">
        <v>3530</v>
      </c>
      <c r="AJ552" s="1182" t="s">
        <v>3535</v>
      </c>
      <c r="AL552" s="1186" t="s">
        <v>3554</v>
      </c>
      <c r="AM552" s="1182">
        <v>1</v>
      </c>
      <c r="AN552" s="1182">
        <v>0</v>
      </c>
      <c r="AO552" s="1182">
        <v>0</v>
      </c>
      <c r="AP552" s="1182">
        <v>0</v>
      </c>
      <c r="AQ552" s="1182" t="s">
        <v>1639</v>
      </c>
      <c r="AS552" s="1186" t="s">
        <v>1819</v>
      </c>
      <c r="AT552" s="1186" t="s">
        <v>1820</v>
      </c>
      <c r="AV552" s="1185">
        <v>699</v>
      </c>
      <c r="AW552" s="1185">
        <v>0</v>
      </c>
      <c r="AX552" s="1185">
        <v>0</v>
      </c>
      <c r="AY552" s="1539">
        <v>699</v>
      </c>
      <c r="AZ552" s="1185">
        <v>0</v>
      </c>
      <c r="BA552" s="1185">
        <v>3183</v>
      </c>
      <c r="BB552" s="1541">
        <v>3183</v>
      </c>
      <c r="BC552" s="1540">
        <v>3882</v>
      </c>
      <c r="BD552" s="1540">
        <v>0</v>
      </c>
      <c r="BF552" s="1539">
        <f t="shared" si="112"/>
        <v>635</v>
      </c>
      <c r="BG552" s="1539">
        <f t="shared" si="113"/>
        <v>0</v>
      </c>
      <c r="BH552" s="1539">
        <f t="shared" si="114"/>
        <v>0</v>
      </c>
      <c r="BI552" s="1539">
        <f t="shared" si="115"/>
        <v>635</v>
      </c>
      <c r="BJ552" s="1539">
        <f t="shared" si="116"/>
        <v>0</v>
      </c>
      <c r="BK552" s="1539">
        <f t="shared" si="117"/>
        <v>2894</v>
      </c>
      <c r="BL552" s="1539">
        <f t="shared" si="118"/>
        <v>2894</v>
      </c>
      <c r="BM552" s="1539">
        <f t="shared" si="119"/>
        <v>3529</v>
      </c>
      <c r="BO552" s="1183"/>
      <c r="BQ552" s="1182">
        <f t="shared" si="120"/>
        <v>0.45454545454549589</v>
      </c>
      <c r="BR552" s="1182">
        <f t="shared" si="121"/>
        <v>-0.36363636363648766</v>
      </c>
    </row>
    <row r="553" spans="1:70" ht="13.5" customHeight="1">
      <c r="A553" s="1182" t="s">
        <v>1803</v>
      </c>
      <c r="B553" s="1182" t="s">
        <v>1804</v>
      </c>
      <c r="C553" s="1182" t="s">
        <v>1639</v>
      </c>
      <c r="D553" s="1182" t="s">
        <v>3056</v>
      </c>
      <c r="E553" s="1182" t="s">
        <v>3057</v>
      </c>
      <c r="F553" s="1182" t="s">
        <v>1836</v>
      </c>
      <c r="G553" s="1182" t="s">
        <v>1836</v>
      </c>
      <c r="H553" s="1182" t="s">
        <v>3555</v>
      </c>
      <c r="I553" s="1182" t="s">
        <v>1809</v>
      </c>
      <c r="J553" s="1182" t="s">
        <v>3556</v>
      </c>
      <c r="K553" s="1182" t="s">
        <v>1811</v>
      </c>
      <c r="L553" s="1182" t="s">
        <v>1812</v>
      </c>
      <c r="M553" s="1182" t="s">
        <v>1803</v>
      </c>
      <c r="N553" s="1182" t="s">
        <v>2922</v>
      </c>
      <c r="O553" s="1182" t="s">
        <v>1554</v>
      </c>
      <c r="P553" s="1182" t="s">
        <v>1563</v>
      </c>
      <c r="Q553" s="1182" t="s">
        <v>1562</v>
      </c>
      <c r="R553" s="1182" t="s">
        <v>1561</v>
      </c>
      <c r="S553" s="1182" t="s">
        <v>1639</v>
      </c>
      <c r="T553" s="1182" t="s">
        <v>1814</v>
      </c>
      <c r="U553" s="1182" t="s">
        <v>1815</v>
      </c>
      <c r="V553" s="1182">
        <v>0</v>
      </c>
      <c r="W553" s="1182">
        <v>0</v>
      </c>
      <c r="X553" s="1182">
        <v>0</v>
      </c>
      <c r="Y553" s="1183">
        <v>3708</v>
      </c>
      <c r="Z553" s="1182" t="s">
        <v>2923</v>
      </c>
      <c r="AA553" s="1182" t="s">
        <v>2924</v>
      </c>
      <c r="AB553" s="1182">
        <v>3708</v>
      </c>
      <c r="AC553" s="1182" t="s">
        <v>2925</v>
      </c>
      <c r="AD553" s="1182" t="s">
        <v>1561</v>
      </c>
      <c r="AE553" s="1182">
        <v>3708</v>
      </c>
      <c r="AF553" s="1182" t="s">
        <v>1819</v>
      </c>
      <c r="AG553" s="1182" t="s">
        <v>1820</v>
      </c>
      <c r="AH553" s="1182">
        <v>337</v>
      </c>
      <c r="AI553" s="1182">
        <v>3371</v>
      </c>
      <c r="AJ553" s="1182" t="s">
        <v>3528</v>
      </c>
      <c r="AL553" s="1186" t="s">
        <v>3557</v>
      </c>
      <c r="AM553" s="1182">
        <v>1</v>
      </c>
      <c r="AN553" s="1182">
        <v>0</v>
      </c>
      <c r="AO553" s="1182">
        <v>0</v>
      </c>
      <c r="AP553" s="1182">
        <v>0</v>
      </c>
      <c r="AQ553" s="1182" t="s">
        <v>1639</v>
      </c>
      <c r="AS553" s="1186" t="s">
        <v>1819</v>
      </c>
      <c r="AT553" s="1186" t="s">
        <v>1820</v>
      </c>
      <c r="AV553" s="1183">
        <v>667</v>
      </c>
      <c r="AW553" s="1183">
        <v>0</v>
      </c>
      <c r="AX553" s="1183">
        <v>0</v>
      </c>
      <c r="AY553" s="1538">
        <v>667</v>
      </c>
      <c r="AZ553" s="1183">
        <v>0</v>
      </c>
      <c r="BA553" s="1183">
        <v>3041</v>
      </c>
      <c r="BB553" s="1540">
        <v>3041</v>
      </c>
      <c r="BC553" s="1540">
        <v>3708</v>
      </c>
      <c r="BD553" s="1540">
        <v>0</v>
      </c>
      <c r="BF553" s="1539">
        <f t="shared" si="112"/>
        <v>606</v>
      </c>
      <c r="BG553" s="1539">
        <f t="shared" si="113"/>
        <v>0</v>
      </c>
      <c r="BH553" s="1539">
        <f t="shared" si="114"/>
        <v>0</v>
      </c>
      <c r="BI553" s="1539">
        <f t="shared" si="115"/>
        <v>606</v>
      </c>
      <c r="BJ553" s="1539">
        <f t="shared" si="116"/>
        <v>0</v>
      </c>
      <c r="BK553" s="1539">
        <f t="shared" si="117"/>
        <v>2765</v>
      </c>
      <c r="BL553" s="1539">
        <f t="shared" si="118"/>
        <v>2765</v>
      </c>
      <c r="BM553" s="1539">
        <f t="shared" si="119"/>
        <v>3371</v>
      </c>
      <c r="BO553" s="1183"/>
      <c r="BQ553" s="1182">
        <f t="shared" si="120"/>
        <v>0.36363636363637397</v>
      </c>
      <c r="BR553" s="1182">
        <f t="shared" si="121"/>
        <v>-0.45454545454549589</v>
      </c>
    </row>
    <row r="554" spans="1:70" ht="13.5" customHeight="1">
      <c r="A554" s="1182" t="s">
        <v>1803</v>
      </c>
      <c r="B554" s="1182" t="s">
        <v>1804</v>
      </c>
      <c r="C554" s="1182" t="s">
        <v>1639</v>
      </c>
      <c r="D554" s="1182" t="s">
        <v>3056</v>
      </c>
      <c r="E554" s="1182" t="s">
        <v>3057</v>
      </c>
      <c r="F554" s="1182" t="s">
        <v>2381</v>
      </c>
      <c r="G554" s="1182" t="s">
        <v>2381</v>
      </c>
      <c r="H554" s="1182" t="s">
        <v>3558</v>
      </c>
      <c r="I554" s="1182" t="s">
        <v>1809</v>
      </c>
      <c r="J554" s="1182" t="s">
        <v>3559</v>
      </c>
      <c r="K554" s="1182" t="s">
        <v>1811</v>
      </c>
      <c r="L554" s="1182" t="s">
        <v>1812</v>
      </c>
      <c r="M554" s="1182" t="s">
        <v>1803</v>
      </c>
      <c r="N554" s="1182" t="s">
        <v>2922</v>
      </c>
      <c r="O554" s="1182" t="s">
        <v>1554</v>
      </c>
      <c r="P554" s="1182" t="s">
        <v>1563</v>
      </c>
      <c r="Q554" s="1182" t="s">
        <v>1562</v>
      </c>
      <c r="R554" s="1182" t="s">
        <v>1561</v>
      </c>
      <c r="S554" s="1182" t="s">
        <v>1639</v>
      </c>
      <c r="T554" s="1182" t="s">
        <v>1814</v>
      </c>
      <c r="U554" s="1182" t="s">
        <v>1815</v>
      </c>
      <c r="V554" s="1182">
        <v>0</v>
      </c>
      <c r="W554" s="1182">
        <v>0</v>
      </c>
      <c r="X554" s="1182">
        <v>0</v>
      </c>
      <c r="Y554" s="1183">
        <v>4983</v>
      </c>
      <c r="Z554" s="1182" t="s">
        <v>2923</v>
      </c>
      <c r="AA554" s="1182" t="s">
        <v>2924</v>
      </c>
      <c r="AB554" s="1182">
        <v>4983</v>
      </c>
      <c r="AC554" s="1182" t="s">
        <v>2925</v>
      </c>
      <c r="AD554" s="1182" t="s">
        <v>1561</v>
      </c>
      <c r="AE554" s="1182">
        <v>4983</v>
      </c>
      <c r="AF554" s="1182" t="s">
        <v>1819</v>
      </c>
      <c r="AG554" s="1182" t="s">
        <v>1820</v>
      </c>
      <c r="AH554" s="1182">
        <v>453</v>
      </c>
      <c r="AI554" s="1182">
        <v>4530</v>
      </c>
      <c r="AJ554" s="1182" t="s">
        <v>3528</v>
      </c>
      <c r="AL554" s="1186" t="s">
        <v>3560</v>
      </c>
      <c r="AM554" s="1182">
        <v>1</v>
      </c>
      <c r="AN554" s="1182">
        <v>0</v>
      </c>
      <c r="AO554" s="1182">
        <v>0</v>
      </c>
      <c r="AP554" s="1182">
        <v>0</v>
      </c>
      <c r="AQ554" s="1182" t="s">
        <v>1639</v>
      </c>
      <c r="AS554" s="1186" t="s">
        <v>1819</v>
      </c>
      <c r="AT554" s="1186" t="s">
        <v>1820</v>
      </c>
      <c r="AV554" s="1183">
        <v>897</v>
      </c>
      <c r="AW554" s="1183">
        <v>0</v>
      </c>
      <c r="AX554" s="1183">
        <v>0</v>
      </c>
      <c r="AY554" s="1538">
        <v>897</v>
      </c>
      <c r="AZ554" s="1183">
        <v>0</v>
      </c>
      <c r="BA554" s="1183">
        <v>4086</v>
      </c>
      <c r="BB554" s="1540">
        <v>4086</v>
      </c>
      <c r="BC554" s="1540">
        <v>4983</v>
      </c>
      <c r="BD554" s="1540">
        <v>0</v>
      </c>
      <c r="BF554" s="1539">
        <f t="shared" si="112"/>
        <v>815</v>
      </c>
      <c r="BG554" s="1539">
        <f t="shared" si="113"/>
        <v>0</v>
      </c>
      <c r="BH554" s="1539">
        <f t="shared" si="114"/>
        <v>0</v>
      </c>
      <c r="BI554" s="1539">
        <f t="shared" si="115"/>
        <v>815</v>
      </c>
      <c r="BJ554" s="1539">
        <f t="shared" si="116"/>
        <v>0</v>
      </c>
      <c r="BK554" s="1563">
        <f>+IFERROR(ROUND(BA554*100/(100+$AT554),0),BA554)-1</f>
        <v>3714</v>
      </c>
      <c r="BL554" s="1539">
        <f t="shared" si="118"/>
        <v>3714</v>
      </c>
      <c r="BM554" s="1539">
        <f t="shared" si="119"/>
        <v>4529</v>
      </c>
      <c r="BO554" s="1183"/>
      <c r="BQ554" s="1182">
        <f t="shared" si="120"/>
        <v>0.45454545454549589</v>
      </c>
      <c r="BR554" s="1182">
        <f t="shared" si="121"/>
        <v>0.54545454545450411</v>
      </c>
    </row>
    <row r="555" spans="1:70" ht="13.5" customHeight="1">
      <c r="A555" s="1182" t="s">
        <v>1803</v>
      </c>
      <c r="B555" s="1182" t="s">
        <v>1804</v>
      </c>
      <c r="C555" s="1182" t="s">
        <v>1639</v>
      </c>
      <c r="D555" s="1182" t="s">
        <v>3056</v>
      </c>
      <c r="E555" s="1182" t="s">
        <v>3057</v>
      </c>
      <c r="F555" s="1182" t="s">
        <v>2679</v>
      </c>
      <c r="G555" s="1182" t="s">
        <v>2679</v>
      </c>
      <c r="H555" s="1182" t="s">
        <v>3561</v>
      </c>
      <c r="I555" s="1182" t="s">
        <v>1809</v>
      </c>
      <c r="J555" s="1182" t="s">
        <v>3562</v>
      </c>
      <c r="K555" s="1182" t="s">
        <v>1811</v>
      </c>
      <c r="L555" s="1182" t="s">
        <v>1812</v>
      </c>
      <c r="M555" s="1182" t="s">
        <v>1803</v>
      </c>
      <c r="N555" s="1182" t="s">
        <v>2922</v>
      </c>
      <c r="O555" s="1182" t="s">
        <v>1554</v>
      </c>
      <c r="P555" s="1182" t="s">
        <v>1563</v>
      </c>
      <c r="Q555" s="1182" t="s">
        <v>1562</v>
      </c>
      <c r="R555" s="1182" t="s">
        <v>1561</v>
      </c>
      <c r="S555" s="1182" t="s">
        <v>1639</v>
      </c>
      <c r="T555" s="1182" t="s">
        <v>1814</v>
      </c>
      <c r="U555" s="1182" t="s">
        <v>1815</v>
      </c>
      <c r="V555" s="1182">
        <v>0</v>
      </c>
      <c r="W555" s="1182">
        <v>0</v>
      </c>
      <c r="X555" s="1182">
        <v>0</v>
      </c>
      <c r="Y555" s="1183">
        <v>5905</v>
      </c>
      <c r="Z555" s="1182" t="s">
        <v>2923</v>
      </c>
      <c r="AA555" s="1182" t="s">
        <v>2924</v>
      </c>
      <c r="AB555" s="1182">
        <v>5905</v>
      </c>
      <c r="AC555" s="1182" t="s">
        <v>2925</v>
      </c>
      <c r="AD555" s="1182" t="s">
        <v>1561</v>
      </c>
      <c r="AE555" s="1182">
        <v>5905</v>
      </c>
      <c r="AF555" s="1182" t="s">
        <v>1819</v>
      </c>
      <c r="AG555" s="1182" t="s">
        <v>1820</v>
      </c>
      <c r="AH555" s="1182">
        <v>536</v>
      </c>
      <c r="AI555" s="1182">
        <v>5369</v>
      </c>
      <c r="AJ555" s="1182" t="s">
        <v>3528</v>
      </c>
      <c r="AL555" s="1186" t="s">
        <v>3563</v>
      </c>
      <c r="AM555" s="1182">
        <v>1</v>
      </c>
      <c r="AN555" s="1182">
        <v>0</v>
      </c>
      <c r="AO555" s="1182">
        <v>0</v>
      </c>
      <c r="AP555" s="1182">
        <v>0</v>
      </c>
      <c r="AQ555" s="1182" t="s">
        <v>1639</v>
      </c>
      <c r="AS555" s="1186" t="s">
        <v>1819</v>
      </c>
      <c r="AT555" s="1186" t="s">
        <v>1820</v>
      </c>
      <c r="AV555" s="1183">
        <v>1063</v>
      </c>
      <c r="AW555" s="1183">
        <v>0</v>
      </c>
      <c r="AX555" s="1183">
        <v>0</v>
      </c>
      <c r="AY555" s="1538">
        <v>1063</v>
      </c>
      <c r="AZ555" s="1183">
        <v>0</v>
      </c>
      <c r="BA555" s="1183">
        <v>4842</v>
      </c>
      <c r="BB555" s="1540">
        <v>4842</v>
      </c>
      <c r="BC555" s="1540">
        <v>5905</v>
      </c>
      <c r="BD555" s="1540">
        <v>0</v>
      </c>
      <c r="BF555" s="1539">
        <f t="shared" si="112"/>
        <v>966</v>
      </c>
      <c r="BG555" s="1539">
        <f t="shared" si="113"/>
        <v>0</v>
      </c>
      <c r="BH555" s="1539">
        <f t="shared" si="114"/>
        <v>0</v>
      </c>
      <c r="BI555" s="1539">
        <f t="shared" si="115"/>
        <v>966</v>
      </c>
      <c r="BJ555" s="1539">
        <f t="shared" si="116"/>
        <v>0</v>
      </c>
      <c r="BK555" s="1539">
        <f t="shared" si="117"/>
        <v>4402</v>
      </c>
      <c r="BL555" s="1539">
        <f t="shared" si="118"/>
        <v>4402</v>
      </c>
      <c r="BM555" s="1539">
        <f t="shared" si="119"/>
        <v>5368</v>
      </c>
      <c r="BO555" s="1183"/>
      <c r="BQ555" s="1182">
        <f t="shared" si="120"/>
        <v>0.36363636363637397</v>
      </c>
      <c r="BR555" s="1182">
        <f t="shared" si="121"/>
        <v>-0.18181818181801646</v>
      </c>
    </row>
    <row r="556" spans="1:70" ht="13.5" customHeight="1">
      <c r="A556" s="1182" t="s">
        <v>1803</v>
      </c>
      <c r="B556" s="1182" t="s">
        <v>1804</v>
      </c>
      <c r="C556" s="1182" t="s">
        <v>1639</v>
      </c>
      <c r="D556" s="1182" t="s">
        <v>3056</v>
      </c>
      <c r="E556" s="1182" t="s">
        <v>3057</v>
      </c>
      <c r="F556" s="1182" t="s">
        <v>2720</v>
      </c>
      <c r="G556" s="1182" t="s">
        <v>2720</v>
      </c>
      <c r="H556" s="1182" t="s">
        <v>3564</v>
      </c>
      <c r="I556" s="1182" t="s">
        <v>1809</v>
      </c>
      <c r="J556" s="1182" t="s">
        <v>3565</v>
      </c>
      <c r="K556" s="1182" t="s">
        <v>1811</v>
      </c>
      <c r="L556" s="1182" t="s">
        <v>1812</v>
      </c>
      <c r="M556" s="1182" t="s">
        <v>1803</v>
      </c>
      <c r="N556" s="1182" t="s">
        <v>2922</v>
      </c>
      <c r="O556" s="1182" t="s">
        <v>1554</v>
      </c>
      <c r="P556" s="1182" t="s">
        <v>1563</v>
      </c>
      <c r="Q556" s="1182" t="s">
        <v>1562</v>
      </c>
      <c r="R556" s="1182" t="s">
        <v>1561</v>
      </c>
      <c r="S556" s="1182" t="s">
        <v>1639</v>
      </c>
      <c r="T556" s="1182" t="s">
        <v>1814</v>
      </c>
      <c r="U556" s="1182" t="s">
        <v>1815</v>
      </c>
      <c r="V556" s="1182">
        <v>0</v>
      </c>
      <c r="W556" s="1182">
        <v>0</v>
      </c>
      <c r="X556" s="1182">
        <v>0</v>
      </c>
      <c r="Y556" s="1183">
        <v>6120</v>
      </c>
      <c r="Z556" s="1182" t="s">
        <v>2923</v>
      </c>
      <c r="AA556" s="1182" t="s">
        <v>2924</v>
      </c>
      <c r="AB556" s="1182">
        <v>6120</v>
      </c>
      <c r="AC556" s="1182" t="s">
        <v>2925</v>
      </c>
      <c r="AD556" s="1182" t="s">
        <v>1561</v>
      </c>
      <c r="AE556" s="1182">
        <v>6120</v>
      </c>
      <c r="AF556" s="1182" t="s">
        <v>1819</v>
      </c>
      <c r="AG556" s="1182" t="s">
        <v>1820</v>
      </c>
      <c r="AH556" s="1182">
        <v>556</v>
      </c>
      <c r="AI556" s="1182">
        <v>5564</v>
      </c>
      <c r="AJ556" s="1182" t="s">
        <v>3566</v>
      </c>
      <c r="AL556" s="1186" t="s">
        <v>3567</v>
      </c>
      <c r="AM556" s="1182">
        <v>1</v>
      </c>
      <c r="AN556" s="1182">
        <v>0</v>
      </c>
      <c r="AO556" s="1182">
        <v>0</v>
      </c>
      <c r="AP556" s="1182">
        <v>0</v>
      </c>
      <c r="AQ556" s="1182" t="s">
        <v>1639</v>
      </c>
      <c r="AS556" s="1186" t="s">
        <v>1819</v>
      </c>
      <c r="AT556" s="1186" t="s">
        <v>1820</v>
      </c>
      <c r="AV556" s="1183">
        <v>1102</v>
      </c>
      <c r="AW556" s="1183">
        <v>0</v>
      </c>
      <c r="AX556" s="1183">
        <v>0</v>
      </c>
      <c r="AY556" s="1538">
        <v>1102</v>
      </c>
      <c r="AZ556" s="1183">
        <v>0</v>
      </c>
      <c r="BA556" s="1183">
        <v>5018</v>
      </c>
      <c r="BB556" s="1540">
        <v>5018</v>
      </c>
      <c r="BC556" s="1540">
        <v>6120</v>
      </c>
      <c r="BD556" s="1540">
        <v>0</v>
      </c>
      <c r="BF556" s="1539">
        <f t="shared" si="112"/>
        <v>1002</v>
      </c>
      <c r="BG556" s="1539">
        <f t="shared" si="113"/>
        <v>0</v>
      </c>
      <c r="BH556" s="1539">
        <f t="shared" si="114"/>
        <v>0</v>
      </c>
      <c r="BI556" s="1539">
        <f t="shared" si="115"/>
        <v>1002</v>
      </c>
      <c r="BJ556" s="1539">
        <f t="shared" si="116"/>
        <v>0</v>
      </c>
      <c r="BK556" s="1539">
        <f t="shared" si="117"/>
        <v>4562</v>
      </c>
      <c r="BL556" s="1539">
        <f t="shared" si="118"/>
        <v>4562</v>
      </c>
      <c r="BM556" s="1539">
        <f t="shared" si="119"/>
        <v>5564</v>
      </c>
      <c r="BO556" s="1183"/>
      <c r="BQ556" s="1182">
        <f t="shared" si="120"/>
        <v>-0.18181818181813014</v>
      </c>
      <c r="BR556" s="1182">
        <f t="shared" si="121"/>
        <v>-0.18181818181801646</v>
      </c>
    </row>
    <row r="557" spans="1:70" ht="13.5" customHeight="1">
      <c r="A557" s="1182" t="s">
        <v>1803</v>
      </c>
      <c r="B557" s="1182" t="s">
        <v>1804</v>
      </c>
      <c r="C557" s="1182" t="s">
        <v>1639</v>
      </c>
      <c r="D557" s="1182" t="s">
        <v>3056</v>
      </c>
      <c r="E557" s="1182" t="s">
        <v>3057</v>
      </c>
      <c r="F557" s="1182" t="s">
        <v>2841</v>
      </c>
      <c r="G557" s="1182" t="s">
        <v>2841</v>
      </c>
      <c r="H557" s="1182" t="s">
        <v>3568</v>
      </c>
      <c r="I557" s="1182" t="s">
        <v>1809</v>
      </c>
      <c r="J557" s="1182" t="s">
        <v>3569</v>
      </c>
      <c r="K557" s="1182" t="s">
        <v>1811</v>
      </c>
      <c r="L557" s="1182" t="s">
        <v>1812</v>
      </c>
      <c r="M557" s="1182" t="s">
        <v>1803</v>
      </c>
      <c r="N557" s="1182" t="s">
        <v>2922</v>
      </c>
      <c r="O557" s="1182" t="s">
        <v>1554</v>
      </c>
      <c r="P557" s="1182" t="s">
        <v>1563</v>
      </c>
      <c r="Q557" s="1182" t="s">
        <v>1562</v>
      </c>
      <c r="R557" s="1182" t="s">
        <v>1561</v>
      </c>
      <c r="S557" s="1182" t="s">
        <v>1639</v>
      </c>
      <c r="T557" s="1182" t="s">
        <v>1814</v>
      </c>
      <c r="U557" s="1182" t="s">
        <v>1815</v>
      </c>
      <c r="V557" s="1182">
        <v>0</v>
      </c>
      <c r="W557" s="1182">
        <v>0</v>
      </c>
      <c r="X557" s="1182">
        <v>0</v>
      </c>
      <c r="Y557" s="1183">
        <v>6224</v>
      </c>
      <c r="Z557" s="1182" t="s">
        <v>2923</v>
      </c>
      <c r="AA557" s="1182" t="s">
        <v>2924</v>
      </c>
      <c r="AB557" s="1182">
        <v>6224</v>
      </c>
      <c r="AC557" s="1182" t="s">
        <v>2925</v>
      </c>
      <c r="AD557" s="1182" t="s">
        <v>1561</v>
      </c>
      <c r="AE557" s="1182">
        <v>6224</v>
      </c>
      <c r="AF557" s="1182" t="s">
        <v>1819</v>
      </c>
      <c r="AG557" s="1182" t="s">
        <v>1820</v>
      </c>
      <c r="AH557" s="1182">
        <v>565</v>
      </c>
      <c r="AI557" s="1182">
        <v>5659</v>
      </c>
      <c r="AJ557" s="1182" t="s">
        <v>3566</v>
      </c>
      <c r="AL557" s="1186" t="s">
        <v>3570</v>
      </c>
      <c r="AM557" s="1182">
        <v>1</v>
      </c>
      <c r="AN557" s="1182">
        <v>0</v>
      </c>
      <c r="AO557" s="1182">
        <v>0</v>
      </c>
      <c r="AP557" s="1182">
        <v>0</v>
      </c>
      <c r="AQ557" s="1182" t="s">
        <v>1639</v>
      </c>
      <c r="AS557" s="1186" t="s">
        <v>1819</v>
      </c>
      <c r="AT557" s="1186" t="s">
        <v>1820</v>
      </c>
      <c r="AV557" s="1183">
        <v>1120</v>
      </c>
      <c r="AW557" s="1183">
        <v>0</v>
      </c>
      <c r="AX557" s="1183">
        <v>0</v>
      </c>
      <c r="AY557" s="1538">
        <v>1120</v>
      </c>
      <c r="AZ557" s="1183">
        <v>0</v>
      </c>
      <c r="BA557" s="1183">
        <v>5104</v>
      </c>
      <c r="BB557" s="1540">
        <v>5104</v>
      </c>
      <c r="BC557" s="1540">
        <v>6224</v>
      </c>
      <c r="BD557" s="1540">
        <v>0</v>
      </c>
      <c r="BF557" s="1539">
        <f t="shared" si="112"/>
        <v>1018</v>
      </c>
      <c r="BG557" s="1539">
        <f t="shared" si="113"/>
        <v>0</v>
      </c>
      <c r="BH557" s="1539">
        <f t="shared" si="114"/>
        <v>0</v>
      </c>
      <c r="BI557" s="1539">
        <f t="shared" si="115"/>
        <v>1018</v>
      </c>
      <c r="BJ557" s="1539">
        <f t="shared" si="116"/>
        <v>0</v>
      </c>
      <c r="BK557" s="1539">
        <f t="shared" si="117"/>
        <v>4640</v>
      </c>
      <c r="BL557" s="1539">
        <f t="shared" si="118"/>
        <v>4640</v>
      </c>
      <c r="BM557" s="1539">
        <f t="shared" si="119"/>
        <v>5658</v>
      </c>
      <c r="BO557" s="1183"/>
      <c r="BQ557" s="1182">
        <f t="shared" si="120"/>
        <v>0.18181818181813014</v>
      </c>
      <c r="BR557" s="1182">
        <f t="shared" si="121"/>
        <v>0</v>
      </c>
    </row>
    <row r="558" spans="1:70" ht="13.5" customHeight="1">
      <c r="A558" s="1182" t="s">
        <v>1803</v>
      </c>
      <c r="B558" s="1182" t="s">
        <v>1804</v>
      </c>
      <c r="C558" s="1182" t="s">
        <v>1639</v>
      </c>
      <c r="D558" s="1182" t="s">
        <v>3056</v>
      </c>
      <c r="E558" s="1182" t="s">
        <v>3057</v>
      </c>
      <c r="F558" s="1182" t="s">
        <v>1864</v>
      </c>
      <c r="G558" s="1182" t="s">
        <v>1864</v>
      </c>
      <c r="H558" s="1182" t="s">
        <v>3571</v>
      </c>
      <c r="I558" s="1182" t="s">
        <v>1809</v>
      </c>
      <c r="J558" s="1182" t="s">
        <v>3572</v>
      </c>
      <c r="K558" s="1182" t="s">
        <v>1811</v>
      </c>
      <c r="L558" s="1182" t="s">
        <v>1812</v>
      </c>
      <c r="M558" s="1182" t="s">
        <v>1803</v>
      </c>
      <c r="N558" s="1182" t="s">
        <v>2922</v>
      </c>
      <c r="O558" s="1182" t="s">
        <v>1554</v>
      </c>
      <c r="P558" s="1182" t="s">
        <v>1563</v>
      </c>
      <c r="Q558" s="1182" t="s">
        <v>1562</v>
      </c>
      <c r="R558" s="1182" t="s">
        <v>1561</v>
      </c>
      <c r="S558" s="1182" t="s">
        <v>1639</v>
      </c>
      <c r="T558" s="1182" t="s">
        <v>1814</v>
      </c>
      <c r="U558" s="1182" t="s">
        <v>1815</v>
      </c>
      <c r="V558" s="1182">
        <v>0</v>
      </c>
      <c r="W558" s="1182">
        <v>0</v>
      </c>
      <c r="X558" s="1182">
        <v>0</v>
      </c>
      <c r="Y558" s="1183">
        <v>5614</v>
      </c>
      <c r="Z558" s="1182" t="s">
        <v>2923</v>
      </c>
      <c r="AA558" s="1182" t="s">
        <v>2924</v>
      </c>
      <c r="AB558" s="1182">
        <v>5614</v>
      </c>
      <c r="AC558" s="1182" t="s">
        <v>2925</v>
      </c>
      <c r="AD558" s="1182" t="s">
        <v>1561</v>
      </c>
      <c r="AE558" s="1182">
        <v>5614</v>
      </c>
      <c r="AF558" s="1182" t="s">
        <v>1819</v>
      </c>
      <c r="AG558" s="1182" t="s">
        <v>1820</v>
      </c>
      <c r="AH558" s="1182">
        <v>510</v>
      </c>
      <c r="AI558" s="1182">
        <v>5104</v>
      </c>
      <c r="AJ558" s="1182" t="s">
        <v>3412</v>
      </c>
      <c r="AL558" s="1186" t="s">
        <v>3573</v>
      </c>
      <c r="AM558" s="1182">
        <v>1</v>
      </c>
      <c r="AN558" s="1182">
        <v>0</v>
      </c>
      <c r="AO558" s="1182">
        <v>0</v>
      </c>
      <c r="AP558" s="1182">
        <v>0</v>
      </c>
      <c r="AQ558" s="1182" t="s">
        <v>1639</v>
      </c>
      <c r="AS558" s="1186" t="s">
        <v>1819</v>
      </c>
      <c r="AT558" s="1186" t="s">
        <v>1820</v>
      </c>
      <c r="AV558" s="1183">
        <v>1011</v>
      </c>
      <c r="AW558" s="1183">
        <v>0</v>
      </c>
      <c r="AX558" s="1183">
        <v>0</v>
      </c>
      <c r="AY558" s="1538">
        <v>1011</v>
      </c>
      <c r="AZ558" s="1183">
        <v>0</v>
      </c>
      <c r="BA558" s="1183">
        <v>4603</v>
      </c>
      <c r="BB558" s="1540">
        <v>4603</v>
      </c>
      <c r="BC558" s="1540">
        <v>5614</v>
      </c>
      <c r="BD558" s="1540">
        <v>0</v>
      </c>
      <c r="BF558" s="1539">
        <f t="shared" si="112"/>
        <v>919</v>
      </c>
      <c r="BG558" s="1539">
        <f t="shared" si="113"/>
        <v>0</v>
      </c>
      <c r="BH558" s="1539">
        <f t="shared" si="114"/>
        <v>0</v>
      </c>
      <c r="BI558" s="1539">
        <f t="shared" si="115"/>
        <v>919</v>
      </c>
      <c r="BJ558" s="1539">
        <f t="shared" si="116"/>
        <v>0</v>
      </c>
      <c r="BK558" s="1563">
        <f>+IFERROR(ROUND(BA558*100/(100+$AT558),0),BA558)-1</f>
        <v>4184</v>
      </c>
      <c r="BL558" s="1539">
        <f t="shared" si="118"/>
        <v>4184</v>
      </c>
      <c r="BM558" s="1539">
        <f t="shared" si="119"/>
        <v>5103</v>
      </c>
      <c r="BO558" s="1183"/>
      <c r="BQ558" s="1182">
        <f t="shared" si="120"/>
        <v>9.0909090909121915E-2</v>
      </c>
      <c r="BR558" s="1182">
        <f t="shared" si="121"/>
        <v>0.54545454545495886</v>
      </c>
    </row>
    <row r="559" spans="1:70" ht="13.5" customHeight="1">
      <c r="A559" s="1182" t="s">
        <v>1803</v>
      </c>
      <c r="B559" s="1182" t="s">
        <v>1804</v>
      </c>
      <c r="C559" s="1182" t="s">
        <v>1639</v>
      </c>
      <c r="D559" s="1182" t="s">
        <v>3056</v>
      </c>
      <c r="E559" s="1182" t="s">
        <v>3057</v>
      </c>
      <c r="F559" s="1182" t="s">
        <v>1836</v>
      </c>
      <c r="G559" s="1182" t="s">
        <v>1836</v>
      </c>
      <c r="H559" s="1182" t="s">
        <v>3574</v>
      </c>
      <c r="I559" s="1182" t="s">
        <v>1809</v>
      </c>
      <c r="J559" s="1182" t="s">
        <v>3575</v>
      </c>
      <c r="K559" s="1182" t="s">
        <v>1811</v>
      </c>
      <c r="L559" s="1182" t="s">
        <v>1812</v>
      </c>
      <c r="M559" s="1182" t="s">
        <v>1803</v>
      </c>
      <c r="N559" s="1182" t="s">
        <v>2922</v>
      </c>
      <c r="O559" s="1182" t="s">
        <v>1554</v>
      </c>
      <c r="P559" s="1182" t="s">
        <v>1563</v>
      </c>
      <c r="Q559" s="1182" t="s">
        <v>1562</v>
      </c>
      <c r="R559" s="1182" t="s">
        <v>1561</v>
      </c>
      <c r="S559" s="1182" t="s">
        <v>1639</v>
      </c>
      <c r="T559" s="1182" t="s">
        <v>1814</v>
      </c>
      <c r="U559" s="1182" t="s">
        <v>1815</v>
      </c>
      <c r="V559" s="1182">
        <v>0</v>
      </c>
      <c r="W559" s="1182">
        <v>0</v>
      </c>
      <c r="X559" s="1182">
        <v>0</v>
      </c>
      <c r="Y559" s="1183">
        <v>4341</v>
      </c>
      <c r="Z559" s="1182" t="s">
        <v>2923</v>
      </c>
      <c r="AA559" s="1182" t="s">
        <v>2924</v>
      </c>
      <c r="AB559" s="1182">
        <v>4341</v>
      </c>
      <c r="AC559" s="1182" t="s">
        <v>2925</v>
      </c>
      <c r="AD559" s="1182" t="s">
        <v>1561</v>
      </c>
      <c r="AE559" s="1182">
        <v>4341</v>
      </c>
      <c r="AF559" s="1182" t="s">
        <v>1819</v>
      </c>
      <c r="AG559" s="1182" t="s">
        <v>1820</v>
      </c>
      <c r="AH559" s="1182">
        <v>394</v>
      </c>
      <c r="AI559" s="1182">
        <v>3947</v>
      </c>
      <c r="AJ559" s="1182" t="s">
        <v>3566</v>
      </c>
      <c r="AL559" s="1186" t="s">
        <v>3576</v>
      </c>
      <c r="AM559" s="1182">
        <v>1</v>
      </c>
      <c r="AN559" s="1182">
        <v>0</v>
      </c>
      <c r="AO559" s="1182">
        <v>0</v>
      </c>
      <c r="AP559" s="1182">
        <v>0</v>
      </c>
      <c r="AQ559" s="1182" t="s">
        <v>1639</v>
      </c>
      <c r="AS559" s="1186" t="s">
        <v>1819</v>
      </c>
      <c r="AT559" s="1186" t="s">
        <v>1820</v>
      </c>
      <c r="AV559" s="1183">
        <v>781</v>
      </c>
      <c r="AW559" s="1183">
        <v>0</v>
      </c>
      <c r="AX559" s="1183">
        <v>0</v>
      </c>
      <c r="AY559" s="1538">
        <v>781</v>
      </c>
      <c r="AZ559" s="1183">
        <v>0</v>
      </c>
      <c r="BA559" s="1183">
        <v>3560</v>
      </c>
      <c r="BB559" s="1540">
        <v>3560</v>
      </c>
      <c r="BC559" s="1540">
        <v>4341</v>
      </c>
      <c r="BD559" s="1540">
        <v>0</v>
      </c>
      <c r="BF559" s="1539">
        <f t="shared" si="112"/>
        <v>710</v>
      </c>
      <c r="BG559" s="1539">
        <f t="shared" si="113"/>
        <v>0</v>
      </c>
      <c r="BH559" s="1539">
        <f t="shared" si="114"/>
        <v>0</v>
      </c>
      <c r="BI559" s="1539">
        <f t="shared" si="115"/>
        <v>710</v>
      </c>
      <c r="BJ559" s="1539">
        <f t="shared" si="116"/>
        <v>0</v>
      </c>
      <c r="BK559" s="1539">
        <f t="shared" si="117"/>
        <v>3236</v>
      </c>
      <c r="BL559" s="1539">
        <f t="shared" si="118"/>
        <v>3236</v>
      </c>
      <c r="BM559" s="1539">
        <f t="shared" si="119"/>
        <v>3946</v>
      </c>
      <c r="BO559" s="1183"/>
      <c r="BQ559" s="1182">
        <f t="shared" si="120"/>
        <v>0</v>
      </c>
      <c r="BR559" s="1182">
        <f t="shared" si="121"/>
        <v>0.36363636363648766</v>
      </c>
    </row>
    <row r="560" spans="1:70" ht="13.5" customHeight="1">
      <c r="A560" s="1182" t="s">
        <v>1803</v>
      </c>
      <c r="B560" s="1182" t="s">
        <v>1804</v>
      </c>
      <c r="C560" s="1182" t="s">
        <v>1639</v>
      </c>
      <c r="D560" s="1182" t="s">
        <v>3056</v>
      </c>
      <c r="E560" s="1182" t="s">
        <v>3057</v>
      </c>
      <c r="F560" s="1182" t="s">
        <v>2381</v>
      </c>
      <c r="G560" s="1182" t="s">
        <v>2381</v>
      </c>
      <c r="H560" s="1182" t="s">
        <v>3577</v>
      </c>
      <c r="I560" s="1182" t="s">
        <v>1809</v>
      </c>
      <c r="J560" s="1182" t="s">
        <v>3578</v>
      </c>
      <c r="K560" s="1182" t="s">
        <v>1811</v>
      </c>
      <c r="L560" s="1182" t="s">
        <v>1812</v>
      </c>
      <c r="M560" s="1182" t="s">
        <v>1803</v>
      </c>
      <c r="N560" s="1182" t="s">
        <v>2922</v>
      </c>
      <c r="O560" s="1182" t="s">
        <v>1554</v>
      </c>
      <c r="P560" s="1182" t="s">
        <v>1563</v>
      </c>
      <c r="Q560" s="1182" t="s">
        <v>1562</v>
      </c>
      <c r="R560" s="1182" t="s">
        <v>1561</v>
      </c>
      <c r="S560" s="1182" t="s">
        <v>1639</v>
      </c>
      <c r="T560" s="1182" t="s">
        <v>1814</v>
      </c>
      <c r="U560" s="1182" t="s">
        <v>1815</v>
      </c>
      <c r="V560" s="1182">
        <v>0</v>
      </c>
      <c r="W560" s="1182">
        <v>0</v>
      </c>
      <c r="X560" s="1182">
        <v>0</v>
      </c>
      <c r="Y560" s="1183">
        <v>5591</v>
      </c>
      <c r="Z560" s="1182" t="s">
        <v>2923</v>
      </c>
      <c r="AA560" s="1182" t="s">
        <v>2924</v>
      </c>
      <c r="AB560" s="1182">
        <v>5591</v>
      </c>
      <c r="AC560" s="1182" t="s">
        <v>2925</v>
      </c>
      <c r="AD560" s="1182" t="s">
        <v>1561</v>
      </c>
      <c r="AE560" s="1182">
        <v>5591</v>
      </c>
      <c r="AF560" s="1182" t="s">
        <v>1819</v>
      </c>
      <c r="AG560" s="1182" t="s">
        <v>1820</v>
      </c>
      <c r="AH560" s="1182">
        <v>508</v>
      </c>
      <c r="AI560" s="1182">
        <v>5083</v>
      </c>
      <c r="AJ560" s="1182" t="s">
        <v>3566</v>
      </c>
      <c r="AL560" s="1186" t="s">
        <v>3579</v>
      </c>
      <c r="AM560" s="1182">
        <v>1</v>
      </c>
      <c r="AN560" s="1182">
        <v>0</v>
      </c>
      <c r="AO560" s="1182">
        <v>0</v>
      </c>
      <c r="AP560" s="1182">
        <v>0</v>
      </c>
      <c r="AQ560" s="1182" t="s">
        <v>1639</v>
      </c>
      <c r="AS560" s="1186" t="s">
        <v>1819</v>
      </c>
      <c r="AT560" s="1186" t="s">
        <v>1820</v>
      </c>
      <c r="AV560" s="1183">
        <v>1006</v>
      </c>
      <c r="AW560" s="1183">
        <v>0</v>
      </c>
      <c r="AX560" s="1183">
        <v>0</v>
      </c>
      <c r="AY560" s="1538">
        <v>1006</v>
      </c>
      <c r="AZ560" s="1183">
        <v>0</v>
      </c>
      <c r="BA560" s="1183">
        <v>4585</v>
      </c>
      <c r="BB560" s="1540">
        <v>4585</v>
      </c>
      <c r="BC560" s="1540">
        <v>5591</v>
      </c>
      <c r="BD560" s="1540">
        <v>0</v>
      </c>
      <c r="BF560" s="1563">
        <f>+IFERROR(ROUND(AV560*100/(100+$AT560),0),AV560)-1</f>
        <v>914</v>
      </c>
      <c r="BG560" s="1539">
        <f t="shared" si="113"/>
        <v>0</v>
      </c>
      <c r="BH560" s="1539">
        <f t="shared" si="114"/>
        <v>0</v>
      </c>
      <c r="BI560" s="1539">
        <f t="shared" si="115"/>
        <v>914</v>
      </c>
      <c r="BJ560" s="1539">
        <f t="shared" si="116"/>
        <v>0</v>
      </c>
      <c r="BK560" s="1539">
        <f t="shared" si="117"/>
        <v>4168</v>
      </c>
      <c r="BL560" s="1539">
        <f t="shared" si="118"/>
        <v>4168</v>
      </c>
      <c r="BM560" s="1539">
        <f t="shared" si="119"/>
        <v>5082</v>
      </c>
      <c r="BO560" s="1183"/>
      <c r="BQ560" s="1182">
        <f t="shared" si="120"/>
        <v>0.54545454545450411</v>
      </c>
      <c r="BR560" s="1182">
        <f t="shared" si="121"/>
        <v>0.18181818181801646</v>
      </c>
    </row>
    <row r="561" spans="1:70" ht="13.5" customHeight="1">
      <c r="A561" s="1182" t="s">
        <v>1803</v>
      </c>
      <c r="B561" s="1182" t="s">
        <v>1804</v>
      </c>
      <c r="C561" s="1182" t="s">
        <v>1639</v>
      </c>
      <c r="D561" s="1182" t="s">
        <v>3056</v>
      </c>
      <c r="E561" s="1182" t="s">
        <v>3057</v>
      </c>
      <c r="F561" s="1182" t="s">
        <v>2679</v>
      </c>
      <c r="G561" s="1182" t="s">
        <v>2679</v>
      </c>
      <c r="H561" s="1182" t="s">
        <v>3580</v>
      </c>
      <c r="I561" s="1182" t="s">
        <v>1809</v>
      </c>
      <c r="J561" s="1182" t="s">
        <v>3581</v>
      </c>
      <c r="K561" s="1182" t="s">
        <v>1811</v>
      </c>
      <c r="L561" s="1182" t="s">
        <v>1812</v>
      </c>
      <c r="M561" s="1182" t="s">
        <v>1803</v>
      </c>
      <c r="N561" s="1182" t="s">
        <v>2922</v>
      </c>
      <c r="O561" s="1182" t="s">
        <v>1554</v>
      </c>
      <c r="P561" s="1182" t="s">
        <v>1563</v>
      </c>
      <c r="Q561" s="1182" t="s">
        <v>1562</v>
      </c>
      <c r="R561" s="1182" t="s">
        <v>1561</v>
      </c>
      <c r="S561" s="1182" t="s">
        <v>1639</v>
      </c>
      <c r="T561" s="1182" t="s">
        <v>1814</v>
      </c>
      <c r="U561" s="1182" t="s">
        <v>1815</v>
      </c>
      <c r="V561" s="1182">
        <v>0</v>
      </c>
      <c r="W561" s="1182">
        <v>0</v>
      </c>
      <c r="X561" s="1182">
        <v>0</v>
      </c>
      <c r="Y561" s="1183">
        <v>5892</v>
      </c>
      <c r="Z561" s="1182" t="s">
        <v>2923</v>
      </c>
      <c r="AA561" s="1182" t="s">
        <v>2924</v>
      </c>
      <c r="AB561" s="1182">
        <v>5892</v>
      </c>
      <c r="AC561" s="1182" t="s">
        <v>2925</v>
      </c>
      <c r="AD561" s="1182" t="s">
        <v>1561</v>
      </c>
      <c r="AE561" s="1182">
        <v>5892</v>
      </c>
      <c r="AF561" s="1182" t="s">
        <v>1819</v>
      </c>
      <c r="AG561" s="1182" t="s">
        <v>1820</v>
      </c>
      <c r="AH561" s="1182">
        <v>535</v>
      </c>
      <c r="AI561" s="1182">
        <v>5357</v>
      </c>
      <c r="AJ561" s="1182" t="s">
        <v>3566</v>
      </c>
      <c r="AL561" s="1186" t="s">
        <v>3582</v>
      </c>
      <c r="AM561" s="1182">
        <v>1</v>
      </c>
      <c r="AN561" s="1182">
        <v>0</v>
      </c>
      <c r="AO561" s="1182">
        <v>0</v>
      </c>
      <c r="AP561" s="1182">
        <v>0</v>
      </c>
      <c r="AQ561" s="1182" t="s">
        <v>1639</v>
      </c>
      <c r="AS561" s="1186" t="s">
        <v>1819</v>
      </c>
      <c r="AT561" s="1186" t="s">
        <v>1820</v>
      </c>
      <c r="AV561" s="1183">
        <v>1061</v>
      </c>
      <c r="AW561" s="1183">
        <v>0</v>
      </c>
      <c r="AX561" s="1183">
        <v>0</v>
      </c>
      <c r="AY561" s="1538">
        <v>1061</v>
      </c>
      <c r="AZ561" s="1183">
        <v>0</v>
      </c>
      <c r="BA561" s="1183">
        <v>4831</v>
      </c>
      <c r="BB561" s="1540">
        <v>4831</v>
      </c>
      <c r="BC561" s="1540">
        <v>5892</v>
      </c>
      <c r="BD561" s="1540">
        <v>0</v>
      </c>
      <c r="BF561" s="1563">
        <f>+IFERROR(ROUND(AV561*100/(100+$AT561),0),AV561)-1</f>
        <v>964</v>
      </c>
      <c r="BG561" s="1539">
        <f t="shared" si="113"/>
        <v>0</v>
      </c>
      <c r="BH561" s="1539">
        <f t="shared" si="114"/>
        <v>0</v>
      </c>
      <c r="BI561" s="1539">
        <f t="shared" si="115"/>
        <v>964</v>
      </c>
      <c r="BJ561" s="1539">
        <f t="shared" si="116"/>
        <v>0</v>
      </c>
      <c r="BK561" s="1539">
        <f t="shared" si="117"/>
        <v>4392</v>
      </c>
      <c r="BL561" s="1539">
        <f t="shared" si="118"/>
        <v>4392</v>
      </c>
      <c r="BM561" s="1539">
        <f t="shared" si="119"/>
        <v>5356</v>
      </c>
      <c r="BO561" s="1183"/>
      <c r="BQ561" s="1182">
        <f t="shared" si="120"/>
        <v>0.54545454545450411</v>
      </c>
      <c r="BR561" s="1182">
        <f t="shared" si="121"/>
        <v>-0.18181818181801646</v>
      </c>
    </row>
    <row r="562" spans="1:70" ht="13.5" customHeight="1">
      <c r="A562" s="1182" t="s">
        <v>1803</v>
      </c>
      <c r="B562" s="1182" t="s">
        <v>1804</v>
      </c>
      <c r="C562" s="1182" t="s">
        <v>1639</v>
      </c>
      <c r="D562" s="1182" t="s">
        <v>2523</v>
      </c>
      <c r="E562" s="1182" t="s">
        <v>2524</v>
      </c>
      <c r="F562" s="1182" t="s">
        <v>3013</v>
      </c>
      <c r="G562" s="1182" t="s">
        <v>3013</v>
      </c>
      <c r="H562" s="1182" t="s">
        <v>3583</v>
      </c>
      <c r="I562" s="1182" t="s">
        <v>1809</v>
      </c>
      <c r="J562" s="1182" t="s">
        <v>3584</v>
      </c>
      <c r="K562" s="1182" t="s">
        <v>1811</v>
      </c>
      <c r="L562" s="1182" t="s">
        <v>1812</v>
      </c>
      <c r="M562" s="1182" t="s">
        <v>1803</v>
      </c>
      <c r="N562" s="1182" t="s">
        <v>2922</v>
      </c>
      <c r="O562" s="1182" t="s">
        <v>1554</v>
      </c>
      <c r="P562" s="1182" t="s">
        <v>1563</v>
      </c>
      <c r="Q562" s="1182" t="s">
        <v>1562</v>
      </c>
      <c r="R562" s="1182" t="s">
        <v>1561</v>
      </c>
      <c r="S562" s="1182" t="s">
        <v>1639</v>
      </c>
      <c r="T562" s="1182" t="s">
        <v>1814</v>
      </c>
      <c r="U562" s="1182" t="s">
        <v>1815</v>
      </c>
      <c r="V562" s="1182">
        <v>0</v>
      </c>
      <c r="W562" s="1182">
        <v>0</v>
      </c>
      <c r="X562" s="1182">
        <v>0</v>
      </c>
      <c r="Y562" s="1183">
        <v>6347</v>
      </c>
      <c r="Z562" s="1182" t="s">
        <v>2923</v>
      </c>
      <c r="AA562" s="1182" t="s">
        <v>2924</v>
      </c>
      <c r="AB562" s="1182">
        <v>6347</v>
      </c>
      <c r="AC562" s="1182" t="s">
        <v>2925</v>
      </c>
      <c r="AD562" s="1182" t="s">
        <v>1561</v>
      </c>
      <c r="AE562" s="1182">
        <v>6347</v>
      </c>
      <c r="AF562" s="1182" t="s">
        <v>1819</v>
      </c>
      <c r="AG562" s="1182" t="s">
        <v>1820</v>
      </c>
      <c r="AH562" s="1182">
        <v>577</v>
      </c>
      <c r="AI562" s="1182">
        <v>5770</v>
      </c>
      <c r="AJ562" s="1182" t="s">
        <v>3585</v>
      </c>
      <c r="AL562" s="1186" t="s">
        <v>3586</v>
      </c>
      <c r="AM562" s="1182">
        <v>1</v>
      </c>
      <c r="AN562" s="1182">
        <v>0</v>
      </c>
      <c r="AO562" s="1182">
        <v>0</v>
      </c>
      <c r="AP562" s="1182">
        <v>0</v>
      </c>
      <c r="AQ562" s="1182" t="s">
        <v>1639</v>
      </c>
      <c r="AS562" s="1186" t="s">
        <v>1819</v>
      </c>
      <c r="AT562" s="1186" t="s">
        <v>1820</v>
      </c>
      <c r="AV562" s="1183">
        <v>1206</v>
      </c>
      <c r="AW562" s="1183">
        <v>0</v>
      </c>
      <c r="AX562" s="1183">
        <v>0</v>
      </c>
      <c r="AY562" s="1538">
        <v>1206</v>
      </c>
      <c r="AZ562" s="1183">
        <v>0</v>
      </c>
      <c r="BA562" s="1183">
        <v>5141</v>
      </c>
      <c r="BB562" s="1540">
        <v>5141</v>
      </c>
      <c r="BC562" s="1540">
        <v>6347</v>
      </c>
      <c r="BD562" s="1540">
        <v>0</v>
      </c>
      <c r="BF562" s="1539">
        <f t="shared" si="112"/>
        <v>1096</v>
      </c>
      <c r="BG562" s="1539">
        <f t="shared" si="113"/>
        <v>0</v>
      </c>
      <c r="BH562" s="1539">
        <f t="shared" si="114"/>
        <v>0</v>
      </c>
      <c r="BI562" s="1539">
        <f t="shared" si="115"/>
        <v>1096</v>
      </c>
      <c r="BJ562" s="1539">
        <f t="shared" si="116"/>
        <v>0</v>
      </c>
      <c r="BK562" s="1539">
        <f t="shared" si="117"/>
        <v>4674</v>
      </c>
      <c r="BL562" s="1539">
        <f t="shared" si="118"/>
        <v>4674</v>
      </c>
      <c r="BM562" s="1539">
        <f t="shared" si="119"/>
        <v>5770</v>
      </c>
      <c r="BO562" s="1183"/>
      <c r="BQ562" s="1182">
        <f t="shared" si="120"/>
        <v>0.36363636363626028</v>
      </c>
      <c r="BR562" s="1182">
        <f t="shared" si="121"/>
        <v>-0.36363636363603291</v>
      </c>
    </row>
    <row r="563" spans="1:70" ht="13.5" customHeight="1">
      <c r="A563" s="1182" t="s">
        <v>1803</v>
      </c>
      <c r="B563" s="1182" t="s">
        <v>1804</v>
      </c>
      <c r="C563" s="1182" t="s">
        <v>1639</v>
      </c>
      <c r="D563" s="1182" t="s">
        <v>2523</v>
      </c>
      <c r="E563" s="1182" t="s">
        <v>2524</v>
      </c>
      <c r="F563" s="1182" t="s">
        <v>3013</v>
      </c>
      <c r="G563" s="1182" t="s">
        <v>3013</v>
      </c>
      <c r="H563" s="1182" t="s">
        <v>3583</v>
      </c>
      <c r="I563" s="1182" t="s">
        <v>1809</v>
      </c>
      <c r="J563" s="1182" t="s">
        <v>3587</v>
      </c>
      <c r="K563" s="1182" t="s">
        <v>1811</v>
      </c>
      <c r="L563" s="1182" t="s">
        <v>1812</v>
      </c>
      <c r="M563" s="1182" t="s">
        <v>1803</v>
      </c>
      <c r="N563" s="1182" t="s">
        <v>2922</v>
      </c>
      <c r="O563" s="1182" t="s">
        <v>1554</v>
      </c>
      <c r="P563" s="1182" t="s">
        <v>1563</v>
      </c>
      <c r="Q563" s="1182" t="s">
        <v>1562</v>
      </c>
      <c r="R563" s="1182" t="s">
        <v>1561</v>
      </c>
      <c r="S563" s="1182" t="s">
        <v>1639</v>
      </c>
      <c r="T563" s="1182" t="s">
        <v>1814</v>
      </c>
      <c r="U563" s="1182" t="s">
        <v>1815</v>
      </c>
      <c r="V563" s="1182">
        <v>0</v>
      </c>
      <c r="W563" s="1182">
        <v>0</v>
      </c>
      <c r="X563" s="1182">
        <v>0</v>
      </c>
      <c r="Y563" s="1183">
        <v>9476</v>
      </c>
      <c r="Z563" s="1182" t="s">
        <v>2923</v>
      </c>
      <c r="AA563" s="1182" t="s">
        <v>2924</v>
      </c>
      <c r="AB563" s="1182">
        <v>9476</v>
      </c>
      <c r="AC563" s="1182" t="s">
        <v>2925</v>
      </c>
      <c r="AD563" s="1182" t="s">
        <v>1561</v>
      </c>
      <c r="AE563" s="1182">
        <v>9476</v>
      </c>
      <c r="AF563" s="1182" t="s">
        <v>1819</v>
      </c>
      <c r="AG563" s="1182" t="s">
        <v>1820</v>
      </c>
      <c r="AH563" s="1182">
        <v>861</v>
      </c>
      <c r="AI563" s="1182">
        <v>8615</v>
      </c>
      <c r="AJ563" s="1182" t="s">
        <v>3588</v>
      </c>
      <c r="AL563" s="1186" t="s">
        <v>3589</v>
      </c>
      <c r="AM563" s="1182">
        <v>1</v>
      </c>
      <c r="AN563" s="1182">
        <v>0</v>
      </c>
      <c r="AO563" s="1182">
        <v>0</v>
      </c>
      <c r="AP563" s="1182">
        <v>0</v>
      </c>
      <c r="AQ563" s="1182" t="s">
        <v>1639</v>
      </c>
      <c r="AS563" s="1186" t="s">
        <v>1819</v>
      </c>
      <c r="AT563" s="1186" t="s">
        <v>1820</v>
      </c>
      <c r="AV563" s="1183">
        <v>1800</v>
      </c>
      <c r="AW563" s="1183">
        <v>0</v>
      </c>
      <c r="AX563" s="1183">
        <v>0</v>
      </c>
      <c r="AY563" s="1538">
        <v>1800</v>
      </c>
      <c r="AZ563" s="1183">
        <v>0</v>
      </c>
      <c r="BA563" s="1183">
        <v>7676</v>
      </c>
      <c r="BB563" s="1540">
        <v>7676</v>
      </c>
      <c r="BC563" s="1540">
        <v>9476</v>
      </c>
      <c r="BD563" s="1540">
        <v>0</v>
      </c>
      <c r="BF563" s="1539">
        <f t="shared" si="112"/>
        <v>1636</v>
      </c>
      <c r="BG563" s="1539">
        <f t="shared" si="113"/>
        <v>0</v>
      </c>
      <c r="BH563" s="1539">
        <f t="shared" si="114"/>
        <v>0</v>
      </c>
      <c r="BI563" s="1539">
        <f t="shared" si="115"/>
        <v>1636</v>
      </c>
      <c r="BJ563" s="1539">
        <f t="shared" si="116"/>
        <v>0</v>
      </c>
      <c r="BK563" s="1539">
        <f t="shared" si="117"/>
        <v>6978</v>
      </c>
      <c r="BL563" s="1539">
        <f t="shared" si="118"/>
        <v>6978</v>
      </c>
      <c r="BM563" s="1539">
        <f t="shared" si="119"/>
        <v>8614</v>
      </c>
      <c r="BO563" s="1183"/>
      <c r="BQ563" s="1182">
        <f t="shared" si="120"/>
        <v>0.36363636363626028</v>
      </c>
      <c r="BR563" s="1182">
        <f t="shared" si="121"/>
        <v>0.18181818181801646</v>
      </c>
    </row>
    <row r="564" spans="1:70" ht="13.5" customHeight="1">
      <c r="A564" s="1182" t="s">
        <v>1803</v>
      </c>
      <c r="B564" s="1182" t="s">
        <v>1804</v>
      </c>
      <c r="C564" s="1182" t="s">
        <v>1639</v>
      </c>
      <c r="D564" s="1182" t="s">
        <v>2523</v>
      </c>
      <c r="E564" s="1182" t="s">
        <v>2524</v>
      </c>
      <c r="F564" s="1182" t="s">
        <v>3590</v>
      </c>
      <c r="G564" s="1182" t="s">
        <v>3590</v>
      </c>
      <c r="H564" s="1182" t="s">
        <v>3591</v>
      </c>
      <c r="I564" s="1182" t="s">
        <v>1809</v>
      </c>
      <c r="J564" s="1182" t="s">
        <v>3592</v>
      </c>
      <c r="K564" s="1182" t="s">
        <v>1811</v>
      </c>
      <c r="L564" s="1182" t="s">
        <v>1812</v>
      </c>
      <c r="M564" s="1182" t="s">
        <v>1803</v>
      </c>
      <c r="N564" s="1182" t="s">
        <v>2922</v>
      </c>
      <c r="O564" s="1182" t="s">
        <v>1554</v>
      </c>
      <c r="P564" s="1182" t="s">
        <v>1563</v>
      </c>
      <c r="Q564" s="1182" t="s">
        <v>1562</v>
      </c>
      <c r="R564" s="1182" t="s">
        <v>1561</v>
      </c>
      <c r="S564" s="1182" t="s">
        <v>1639</v>
      </c>
      <c r="T564" s="1182" t="s">
        <v>1814</v>
      </c>
      <c r="U564" s="1182" t="s">
        <v>1815</v>
      </c>
      <c r="V564" s="1182">
        <v>0</v>
      </c>
      <c r="W564" s="1182">
        <v>0</v>
      </c>
      <c r="X564" s="1182">
        <v>0</v>
      </c>
      <c r="Y564" s="1183">
        <v>6482</v>
      </c>
      <c r="Z564" s="1182" t="s">
        <v>2923</v>
      </c>
      <c r="AA564" s="1182" t="s">
        <v>2924</v>
      </c>
      <c r="AB564" s="1182">
        <v>6482</v>
      </c>
      <c r="AC564" s="1182" t="s">
        <v>2925</v>
      </c>
      <c r="AD564" s="1182" t="s">
        <v>1561</v>
      </c>
      <c r="AE564" s="1182">
        <v>6482</v>
      </c>
      <c r="AF564" s="1182" t="s">
        <v>1819</v>
      </c>
      <c r="AG564" s="1182" t="s">
        <v>1820</v>
      </c>
      <c r="AH564" s="1182">
        <v>589</v>
      </c>
      <c r="AI564" s="1182">
        <v>5893</v>
      </c>
      <c r="AJ564" s="1182" t="s">
        <v>3585</v>
      </c>
      <c r="AL564" s="1186" t="s">
        <v>3593</v>
      </c>
      <c r="AM564" s="1182">
        <v>1</v>
      </c>
      <c r="AN564" s="1182">
        <v>0</v>
      </c>
      <c r="AO564" s="1182">
        <v>0</v>
      </c>
      <c r="AP564" s="1182">
        <v>0</v>
      </c>
      <c r="AQ564" s="1182" t="s">
        <v>1639</v>
      </c>
      <c r="AS564" s="1186" t="s">
        <v>1819</v>
      </c>
      <c r="AT564" s="1186" t="s">
        <v>1820</v>
      </c>
      <c r="AV564" s="1183">
        <v>1232</v>
      </c>
      <c r="AW564" s="1183">
        <v>0</v>
      </c>
      <c r="AX564" s="1183">
        <v>0</v>
      </c>
      <c r="AY564" s="1538">
        <v>1232</v>
      </c>
      <c r="AZ564" s="1183">
        <v>0</v>
      </c>
      <c r="BA564" s="1183">
        <v>5250</v>
      </c>
      <c r="BB564" s="1540">
        <v>5250</v>
      </c>
      <c r="BC564" s="1540">
        <v>6482</v>
      </c>
      <c r="BD564" s="1540">
        <v>0</v>
      </c>
      <c r="BF564" s="1539">
        <f t="shared" si="112"/>
        <v>1120</v>
      </c>
      <c r="BG564" s="1539">
        <f t="shared" si="113"/>
        <v>0</v>
      </c>
      <c r="BH564" s="1539">
        <f t="shared" si="114"/>
        <v>0</v>
      </c>
      <c r="BI564" s="1539">
        <f t="shared" si="115"/>
        <v>1120</v>
      </c>
      <c r="BJ564" s="1539">
        <f t="shared" si="116"/>
        <v>0</v>
      </c>
      <c r="BK564" s="1539">
        <f t="shared" si="117"/>
        <v>4773</v>
      </c>
      <c r="BL564" s="1539">
        <f t="shared" si="118"/>
        <v>4773</v>
      </c>
      <c r="BM564" s="1539">
        <f t="shared" si="119"/>
        <v>5893</v>
      </c>
      <c r="BO564" s="1183"/>
      <c r="BQ564" s="1182">
        <f t="shared" si="120"/>
        <v>0</v>
      </c>
      <c r="BR564" s="1182">
        <f t="shared" si="121"/>
        <v>-0.27272727272702468</v>
      </c>
    </row>
    <row r="565" spans="1:70" ht="13.5" customHeight="1">
      <c r="A565" s="1182" t="s">
        <v>1803</v>
      </c>
      <c r="B565" s="1182" t="s">
        <v>1804</v>
      </c>
      <c r="C565" s="1182" t="s">
        <v>1639</v>
      </c>
      <c r="D565" s="1182" t="s">
        <v>2523</v>
      </c>
      <c r="E565" s="1182" t="s">
        <v>2524</v>
      </c>
      <c r="F565" s="1182" t="s">
        <v>3590</v>
      </c>
      <c r="G565" s="1182" t="s">
        <v>3590</v>
      </c>
      <c r="H565" s="1182" t="s">
        <v>3591</v>
      </c>
      <c r="I565" s="1182" t="s">
        <v>1809</v>
      </c>
      <c r="J565" s="1182" t="s">
        <v>3594</v>
      </c>
      <c r="K565" s="1182" t="s">
        <v>1811</v>
      </c>
      <c r="L565" s="1182" t="s">
        <v>1812</v>
      </c>
      <c r="M565" s="1182" t="s">
        <v>1803</v>
      </c>
      <c r="N565" s="1182" t="s">
        <v>2922</v>
      </c>
      <c r="O565" s="1182" t="s">
        <v>1554</v>
      </c>
      <c r="P565" s="1182" t="s">
        <v>1563</v>
      </c>
      <c r="Q565" s="1182" t="s">
        <v>1562</v>
      </c>
      <c r="R565" s="1182" t="s">
        <v>1561</v>
      </c>
      <c r="S565" s="1182" t="s">
        <v>1639</v>
      </c>
      <c r="T565" s="1182" t="s">
        <v>1814</v>
      </c>
      <c r="U565" s="1182" t="s">
        <v>1815</v>
      </c>
      <c r="V565" s="1182">
        <v>0</v>
      </c>
      <c r="W565" s="1182">
        <v>0</v>
      </c>
      <c r="X565" s="1182">
        <v>0</v>
      </c>
      <c r="Y565" s="1183">
        <v>8841</v>
      </c>
      <c r="Z565" s="1182" t="s">
        <v>2923</v>
      </c>
      <c r="AA565" s="1182" t="s">
        <v>2924</v>
      </c>
      <c r="AB565" s="1182">
        <v>8841</v>
      </c>
      <c r="AC565" s="1182" t="s">
        <v>2925</v>
      </c>
      <c r="AD565" s="1182" t="s">
        <v>1561</v>
      </c>
      <c r="AE565" s="1182">
        <v>8841</v>
      </c>
      <c r="AF565" s="1182" t="s">
        <v>1819</v>
      </c>
      <c r="AG565" s="1182" t="s">
        <v>1820</v>
      </c>
      <c r="AH565" s="1182">
        <v>803</v>
      </c>
      <c r="AI565" s="1182">
        <v>8038</v>
      </c>
      <c r="AJ565" s="1182" t="s">
        <v>3588</v>
      </c>
      <c r="AL565" s="1186" t="s">
        <v>3595</v>
      </c>
      <c r="AM565" s="1182">
        <v>1</v>
      </c>
      <c r="AN565" s="1182">
        <v>0</v>
      </c>
      <c r="AO565" s="1182">
        <v>0</v>
      </c>
      <c r="AP565" s="1182">
        <v>0</v>
      </c>
      <c r="AQ565" s="1182" t="s">
        <v>1639</v>
      </c>
      <c r="AS565" s="1186" t="s">
        <v>1819</v>
      </c>
      <c r="AT565" s="1186" t="s">
        <v>1820</v>
      </c>
      <c r="AV565" s="1183">
        <v>1680</v>
      </c>
      <c r="AW565" s="1183">
        <v>0</v>
      </c>
      <c r="AX565" s="1183">
        <v>0</v>
      </c>
      <c r="AY565" s="1538">
        <v>1680</v>
      </c>
      <c r="AZ565" s="1183">
        <v>0</v>
      </c>
      <c r="BA565" s="1183">
        <v>7161</v>
      </c>
      <c r="BB565" s="1540">
        <v>7161</v>
      </c>
      <c r="BC565" s="1540">
        <v>8841</v>
      </c>
      <c r="BD565" s="1540">
        <v>0</v>
      </c>
      <c r="BF565" s="1539">
        <f t="shared" si="112"/>
        <v>1527</v>
      </c>
      <c r="BG565" s="1539">
        <f t="shared" si="113"/>
        <v>0</v>
      </c>
      <c r="BH565" s="1539">
        <f t="shared" si="114"/>
        <v>0</v>
      </c>
      <c r="BI565" s="1539">
        <f t="shared" si="115"/>
        <v>1527</v>
      </c>
      <c r="BJ565" s="1539">
        <f t="shared" si="116"/>
        <v>0</v>
      </c>
      <c r="BK565" s="1539">
        <f t="shared" si="117"/>
        <v>6510</v>
      </c>
      <c r="BL565" s="1539">
        <f t="shared" si="118"/>
        <v>6510</v>
      </c>
      <c r="BM565" s="1539">
        <f t="shared" si="119"/>
        <v>8037</v>
      </c>
      <c r="BO565" s="1183"/>
      <c r="BQ565" s="1182">
        <f t="shared" si="120"/>
        <v>0.27272727272725206</v>
      </c>
      <c r="BR565" s="1182">
        <f t="shared" si="121"/>
        <v>0</v>
      </c>
    </row>
    <row r="566" spans="1:70" ht="13.5" customHeight="1">
      <c r="A566" s="1182" t="s">
        <v>1803</v>
      </c>
      <c r="B566" s="1182" t="s">
        <v>1804</v>
      </c>
      <c r="C566" s="1182" t="s">
        <v>1639</v>
      </c>
      <c r="D566" s="1182" t="s">
        <v>2523</v>
      </c>
      <c r="E566" s="1182" t="s">
        <v>2524</v>
      </c>
      <c r="F566" s="1182" t="s">
        <v>1864</v>
      </c>
      <c r="G566" s="1182" t="s">
        <v>1864</v>
      </c>
      <c r="H566" s="1182" t="s">
        <v>3596</v>
      </c>
      <c r="I566" s="1182" t="s">
        <v>1809</v>
      </c>
      <c r="J566" s="1182" t="s">
        <v>3597</v>
      </c>
      <c r="K566" s="1182" t="s">
        <v>1811</v>
      </c>
      <c r="L566" s="1182" t="s">
        <v>1812</v>
      </c>
      <c r="M566" s="1182" t="s">
        <v>1803</v>
      </c>
      <c r="N566" s="1182" t="s">
        <v>2922</v>
      </c>
      <c r="O566" s="1182" t="s">
        <v>1554</v>
      </c>
      <c r="P566" s="1182" t="s">
        <v>1563</v>
      </c>
      <c r="Q566" s="1182" t="s">
        <v>1562</v>
      </c>
      <c r="R566" s="1182" t="s">
        <v>1561</v>
      </c>
      <c r="S566" s="1182" t="s">
        <v>1639</v>
      </c>
      <c r="T566" s="1182" t="s">
        <v>1814</v>
      </c>
      <c r="U566" s="1182" t="s">
        <v>1815</v>
      </c>
      <c r="V566" s="1182">
        <v>0</v>
      </c>
      <c r="W566" s="1182">
        <v>0</v>
      </c>
      <c r="X566" s="1182">
        <v>0</v>
      </c>
      <c r="Y566" s="1183">
        <v>6076</v>
      </c>
      <c r="Z566" s="1182" t="s">
        <v>2923</v>
      </c>
      <c r="AA566" s="1182" t="s">
        <v>2924</v>
      </c>
      <c r="AB566" s="1182">
        <v>6076</v>
      </c>
      <c r="AC566" s="1182" t="s">
        <v>2925</v>
      </c>
      <c r="AD566" s="1182" t="s">
        <v>1561</v>
      </c>
      <c r="AE566" s="1182">
        <v>6076</v>
      </c>
      <c r="AF566" s="1182" t="s">
        <v>1819</v>
      </c>
      <c r="AG566" s="1182" t="s">
        <v>1820</v>
      </c>
      <c r="AH566" s="1182">
        <v>552</v>
      </c>
      <c r="AI566" s="1182">
        <v>5524</v>
      </c>
      <c r="AJ566" s="1182" t="s">
        <v>3585</v>
      </c>
      <c r="AL566" s="1186" t="s">
        <v>3598</v>
      </c>
      <c r="AM566" s="1182">
        <v>1</v>
      </c>
      <c r="AN566" s="1182">
        <v>0</v>
      </c>
      <c r="AO566" s="1182">
        <v>0</v>
      </c>
      <c r="AP566" s="1182">
        <v>0</v>
      </c>
      <c r="AQ566" s="1182" t="s">
        <v>1639</v>
      </c>
      <c r="AS566" s="1186" t="s">
        <v>1819</v>
      </c>
      <c r="AT566" s="1186" t="s">
        <v>1820</v>
      </c>
      <c r="AV566" s="1183">
        <v>1154</v>
      </c>
      <c r="AW566" s="1183">
        <v>0</v>
      </c>
      <c r="AX566" s="1183">
        <v>0</v>
      </c>
      <c r="AY566" s="1538">
        <v>1154</v>
      </c>
      <c r="AZ566" s="1183">
        <v>0</v>
      </c>
      <c r="BA566" s="1183">
        <v>4922</v>
      </c>
      <c r="BB566" s="1540">
        <v>4922</v>
      </c>
      <c r="BC566" s="1540">
        <v>6076</v>
      </c>
      <c r="BD566" s="1540">
        <v>0</v>
      </c>
      <c r="BF566" s="1539">
        <f t="shared" si="112"/>
        <v>1049</v>
      </c>
      <c r="BG566" s="1539">
        <f t="shared" si="113"/>
        <v>0</v>
      </c>
      <c r="BH566" s="1539">
        <f t="shared" si="114"/>
        <v>0</v>
      </c>
      <c r="BI566" s="1539">
        <f t="shared" si="115"/>
        <v>1049</v>
      </c>
      <c r="BJ566" s="1539">
        <f t="shared" si="116"/>
        <v>0</v>
      </c>
      <c r="BK566" s="1563">
        <f>+IFERROR(ROUND(BA566*100/(100+$AT566),0),BA566)-1</f>
        <v>4474</v>
      </c>
      <c r="BL566" s="1539">
        <f t="shared" si="118"/>
        <v>4474</v>
      </c>
      <c r="BM566" s="1539">
        <f t="shared" si="119"/>
        <v>5523</v>
      </c>
      <c r="BO566" s="1183"/>
      <c r="BQ566" s="1182">
        <f t="shared" si="120"/>
        <v>9.0909090909008228E-2</v>
      </c>
      <c r="BR566" s="1182">
        <f t="shared" si="121"/>
        <v>0.54545454545495886</v>
      </c>
    </row>
    <row r="567" spans="1:70" ht="13.5" customHeight="1">
      <c r="A567" s="1182" t="s">
        <v>1803</v>
      </c>
      <c r="B567" s="1182" t="s">
        <v>1804</v>
      </c>
      <c r="C567" s="1182" t="s">
        <v>1639</v>
      </c>
      <c r="D567" s="1182" t="s">
        <v>2523</v>
      </c>
      <c r="E567" s="1182" t="s">
        <v>2524</v>
      </c>
      <c r="F567" s="1182" t="s">
        <v>1864</v>
      </c>
      <c r="G567" s="1182" t="s">
        <v>1864</v>
      </c>
      <c r="H567" s="1182" t="s">
        <v>3596</v>
      </c>
      <c r="I567" s="1182" t="s">
        <v>1809</v>
      </c>
      <c r="J567" s="1182" t="s">
        <v>3599</v>
      </c>
      <c r="K567" s="1182" t="s">
        <v>1811</v>
      </c>
      <c r="L567" s="1182" t="s">
        <v>1812</v>
      </c>
      <c r="M567" s="1182" t="s">
        <v>1803</v>
      </c>
      <c r="N567" s="1182" t="s">
        <v>2922</v>
      </c>
      <c r="O567" s="1182" t="s">
        <v>1554</v>
      </c>
      <c r="P567" s="1182" t="s">
        <v>1563</v>
      </c>
      <c r="Q567" s="1182" t="s">
        <v>1562</v>
      </c>
      <c r="R567" s="1182" t="s">
        <v>1561</v>
      </c>
      <c r="S567" s="1182" t="s">
        <v>1639</v>
      </c>
      <c r="T567" s="1182" t="s">
        <v>1814</v>
      </c>
      <c r="U567" s="1182" t="s">
        <v>1815</v>
      </c>
      <c r="V567" s="1182">
        <v>0</v>
      </c>
      <c r="W567" s="1182">
        <v>0</v>
      </c>
      <c r="X567" s="1182">
        <v>0</v>
      </c>
      <c r="Y567" s="1183">
        <v>7450</v>
      </c>
      <c r="Z567" s="1182" t="s">
        <v>2923</v>
      </c>
      <c r="AA567" s="1182" t="s">
        <v>2924</v>
      </c>
      <c r="AB567" s="1182">
        <v>7450</v>
      </c>
      <c r="AC567" s="1182" t="s">
        <v>2925</v>
      </c>
      <c r="AD567" s="1182" t="s">
        <v>1561</v>
      </c>
      <c r="AE567" s="1182">
        <v>7450</v>
      </c>
      <c r="AF567" s="1182" t="s">
        <v>1819</v>
      </c>
      <c r="AG567" s="1182" t="s">
        <v>1820</v>
      </c>
      <c r="AH567" s="1182">
        <v>677</v>
      </c>
      <c r="AI567" s="1182">
        <v>6773</v>
      </c>
      <c r="AJ567" s="1182" t="s">
        <v>3600</v>
      </c>
      <c r="AL567" s="1186" t="s">
        <v>3601</v>
      </c>
      <c r="AM567" s="1182">
        <v>1</v>
      </c>
      <c r="AN567" s="1182">
        <v>0</v>
      </c>
      <c r="AO567" s="1182">
        <v>0</v>
      </c>
      <c r="AP567" s="1182">
        <v>0</v>
      </c>
      <c r="AQ567" s="1182" t="s">
        <v>1639</v>
      </c>
      <c r="AS567" s="1186" t="s">
        <v>1819</v>
      </c>
      <c r="AT567" s="1186" t="s">
        <v>1820</v>
      </c>
      <c r="AV567" s="1183">
        <v>1416</v>
      </c>
      <c r="AW567" s="1183">
        <v>0</v>
      </c>
      <c r="AX567" s="1183">
        <v>0</v>
      </c>
      <c r="AY567" s="1538">
        <v>1416</v>
      </c>
      <c r="AZ567" s="1183">
        <v>0</v>
      </c>
      <c r="BA567" s="1183">
        <v>6034</v>
      </c>
      <c r="BB567" s="1540">
        <v>6034</v>
      </c>
      <c r="BC567" s="1540">
        <v>7450</v>
      </c>
      <c r="BD567" s="1540">
        <v>0</v>
      </c>
      <c r="BF567" s="1539">
        <f t="shared" si="112"/>
        <v>1287</v>
      </c>
      <c r="BG567" s="1539">
        <f t="shared" si="113"/>
        <v>0</v>
      </c>
      <c r="BH567" s="1539">
        <f t="shared" si="114"/>
        <v>0</v>
      </c>
      <c r="BI567" s="1539">
        <f t="shared" si="115"/>
        <v>1287</v>
      </c>
      <c r="BJ567" s="1539">
        <f t="shared" si="116"/>
        <v>0</v>
      </c>
      <c r="BK567" s="1539">
        <f t="shared" si="117"/>
        <v>5485</v>
      </c>
      <c r="BL567" s="1539">
        <f t="shared" si="118"/>
        <v>5485</v>
      </c>
      <c r="BM567" s="1539">
        <f t="shared" si="119"/>
        <v>6772</v>
      </c>
      <c r="BO567" s="1183"/>
      <c r="BQ567" s="1182">
        <f t="shared" si="120"/>
        <v>0.27272727272725206</v>
      </c>
      <c r="BR567" s="1182">
        <f t="shared" si="121"/>
        <v>0.45454545454504114</v>
      </c>
    </row>
    <row r="568" spans="1:70" ht="13.5" customHeight="1">
      <c r="A568" s="1182" t="s">
        <v>1803</v>
      </c>
      <c r="B568" s="1182" t="s">
        <v>1804</v>
      </c>
      <c r="C568" s="1182" t="s">
        <v>1639</v>
      </c>
      <c r="D568" s="1182" t="s">
        <v>2523</v>
      </c>
      <c r="E568" s="1182" t="s">
        <v>2524</v>
      </c>
      <c r="F568" s="1182" t="s">
        <v>3130</v>
      </c>
      <c r="G568" s="1182" t="s">
        <v>3130</v>
      </c>
      <c r="H568" s="1182" t="s">
        <v>3602</v>
      </c>
      <c r="I568" s="1182" t="s">
        <v>1809</v>
      </c>
      <c r="J568" s="1182" t="s">
        <v>3603</v>
      </c>
      <c r="K568" s="1182" t="s">
        <v>1811</v>
      </c>
      <c r="L568" s="1182" t="s">
        <v>1812</v>
      </c>
      <c r="M568" s="1182" t="s">
        <v>1803</v>
      </c>
      <c r="N568" s="1182" t="s">
        <v>2922</v>
      </c>
      <c r="O568" s="1182" t="s">
        <v>1554</v>
      </c>
      <c r="P568" s="1182" t="s">
        <v>1563</v>
      </c>
      <c r="Q568" s="1182" t="s">
        <v>1562</v>
      </c>
      <c r="R568" s="1182" t="s">
        <v>1561</v>
      </c>
      <c r="S568" s="1182" t="s">
        <v>1639</v>
      </c>
      <c r="T568" s="1182" t="s">
        <v>1814</v>
      </c>
      <c r="U568" s="1182" t="s">
        <v>1815</v>
      </c>
      <c r="V568" s="1182">
        <v>0</v>
      </c>
      <c r="W568" s="1182">
        <v>0</v>
      </c>
      <c r="X568" s="1182">
        <v>0</v>
      </c>
      <c r="Y568" s="1183">
        <v>8328</v>
      </c>
      <c r="Z568" s="1182" t="s">
        <v>2923</v>
      </c>
      <c r="AA568" s="1182" t="s">
        <v>2924</v>
      </c>
      <c r="AB568" s="1182">
        <v>8328</v>
      </c>
      <c r="AC568" s="1182" t="s">
        <v>2925</v>
      </c>
      <c r="AD568" s="1182" t="s">
        <v>1561</v>
      </c>
      <c r="AE568" s="1182">
        <v>8328</v>
      </c>
      <c r="AF568" s="1182" t="s">
        <v>1819</v>
      </c>
      <c r="AG568" s="1182" t="s">
        <v>1820</v>
      </c>
      <c r="AH568" s="1182">
        <v>757</v>
      </c>
      <c r="AI568" s="1182">
        <v>7571</v>
      </c>
      <c r="AJ568" s="1182" t="s">
        <v>3585</v>
      </c>
      <c r="AL568" s="1186" t="s">
        <v>3604</v>
      </c>
      <c r="AM568" s="1182">
        <v>1</v>
      </c>
      <c r="AN568" s="1182">
        <v>0</v>
      </c>
      <c r="AO568" s="1182">
        <v>0</v>
      </c>
      <c r="AP568" s="1182">
        <v>0</v>
      </c>
      <c r="AQ568" s="1182" t="s">
        <v>1639</v>
      </c>
      <c r="AS568" s="1186" t="s">
        <v>1819</v>
      </c>
      <c r="AT568" s="1186" t="s">
        <v>1820</v>
      </c>
      <c r="AV568" s="1185">
        <v>1582</v>
      </c>
      <c r="AW568" s="1183">
        <v>0</v>
      </c>
      <c r="AX568" s="1183">
        <v>0</v>
      </c>
      <c r="AY568" s="1538">
        <v>1582</v>
      </c>
      <c r="AZ568" s="1183">
        <v>0</v>
      </c>
      <c r="BA568" s="1185">
        <v>6746</v>
      </c>
      <c r="BB568" s="1540">
        <v>6746</v>
      </c>
      <c r="BC568" s="1540">
        <v>8328</v>
      </c>
      <c r="BD568" s="1540">
        <v>0</v>
      </c>
      <c r="BF568" s="1539">
        <f t="shared" si="112"/>
        <v>1438</v>
      </c>
      <c r="BG568" s="1539">
        <f t="shared" si="113"/>
        <v>0</v>
      </c>
      <c r="BH568" s="1539">
        <f t="shared" si="114"/>
        <v>0</v>
      </c>
      <c r="BI568" s="1539">
        <f t="shared" si="115"/>
        <v>1438</v>
      </c>
      <c r="BJ568" s="1539">
        <f t="shared" si="116"/>
        <v>0</v>
      </c>
      <c r="BK568" s="1539">
        <f t="shared" si="117"/>
        <v>6133</v>
      </c>
      <c r="BL568" s="1539">
        <f t="shared" si="118"/>
        <v>6133</v>
      </c>
      <c r="BM568" s="1539">
        <f t="shared" si="119"/>
        <v>7571</v>
      </c>
      <c r="BO568" s="1183"/>
      <c r="BQ568" s="1182">
        <f t="shared" si="120"/>
        <v>0.18181818181824383</v>
      </c>
      <c r="BR568" s="1182">
        <f t="shared" si="121"/>
        <v>-0.27272727272702468</v>
      </c>
    </row>
    <row r="569" spans="1:70" ht="13.5" customHeight="1">
      <c r="A569" s="1182" t="s">
        <v>1803</v>
      </c>
      <c r="B569" s="1182" t="s">
        <v>1804</v>
      </c>
      <c r="C569" s="1182" t="s">
        <v>1639</v>
      </c>
      <c r="D569" s="1182" t="s">
        <v>2523</v>
      </c>
      <c r="E569" s="1182" t="s">
        <v>2524</v>
      </c>
      <c r="F569" s="1182" t="s">
        <v>3130</v>
      </c>
      <c r="G569" s="1182" t="s">
        <v>3130</v>
      </c>
      <c r="H569" s="1182" t="s">
        <v>3602</v>
      </c>
      <c r="I569" s="1182" t="s">
        <v>1809</v>
      </c>
      <c r="J569" s="1182" t="s">
        <v>3605</v>
      </c>
      <c r="K569" s="1182" t="s">
        <v>1811</v>
      </c>
      <c r="L569" s="1182" t="s">
        <v>1812</v>
      </c>
      <c r="M569" s="1182" t="s">
        <v>1803</v>
      </c>
      <c r="N569" s="1182" t="s">
        <v>2922</v>
      </c>
      <c r="O569" s="1182" t="s">
        <v>1554</v>
      </c>
      <c r="P569" s="1182" t="s">
        <v>1563</v>
      </c>
      <c r="Q569" s="1182" t="s">
        <v>1562</v>
      </c>
      <c r="R569" s="1182" t="s">
        <v>1561</v>
      </c>
      <c r="S569" s="1182" t="s">
        <v>1639</v>
      </c>
      <c r="T569" s="1182" t="s">
        <v>1814</v>
      </c>
      <c r="U569" s="1182" t="s">
        <v>1815</v>
      </c>
      <c r="V569" s="1182">
        <v>0</v>
      </c>
      <c r="W569" s="1182">
        <v>0</v>
      </c>
      <c r="X569" s="1182">
        <v>0</v>
      </c>
      <c r="Y569" s="1183">
        <v>6496</v>
      </c>
      <c r="Z569" s="1182" t="s">
        <v>2923</v>
      </c>
      <c r="AA569" s="1182" t="s">
        <v>2924</v>
      </c>
      <c r="AB569" s="1182">
        <v>6496</v>
      </c>
      <c r="AC569" s="1182" t="s">
        <v>2925</v>
      </c>
      <c r="AD569" s="1182" t="s">
        <v>1561</v>
      </c>
      <c r="AE569" s="1182">
        <v>6496</v>
      </c>
      <c r="AF569" s="1182" t="s">
        <v>1819</v>
      </c>
      <c r="AG569" s="1182" t="s">
        <v>1820</v>
      </c>
      <c r="AH569" s="1182">
        <v>590</v>
      </c>
      <c r="AI569" s="1182">
        <v>5906</v>
      </c>
      <c r="AJ569" s="1182" t="s">
        <v>3588</v>
      </c>
      <c r="AL569" s="1186" t="s">
        <v>3606</v>
      </c>
      <c r="AM569" s="1182">
        <v>1</v>
      </c>
      <c r="AN569" s="1182">
        <v>0</v>
      </c>
      <c r="AO569" s="1182">
        <v>0</v>
      </c>
      <c r="AP569" s="1182">
        <v>0</v>
      </c>
      <c r="AQ569" s="1182" t="s">
        <v>1639</v>
      </c>
      <c r="AS569" s="1186" t="s">
        <v>1819</v>
      </c>
      <c r="AT569" s="1186" t="s">
        <v>1820</v>
      </c>
      <c r="AV569" s="1183">
        <v>1234</v>
      </c>
      <c r="AW569" s="1183">
        <v>0</v>
      </c>
      <c r="AX569" s="1183">
        <v>0</v>
      </c>
      <c r="AY569" s="1538">
        <v>1234</v>
      </c>
      <c r="AZ569" s="1183">
        <v>0</v>
      </c>
      <c r="BA569" s="1183">
        <v>5262</v>
      </c>
      <c r="BB569" s="1540">
        <v>5262</v>
      </c>
      <c r="BC569" s="1540">
        <v>6496</v>
      </c>
      <c r="BD569" s="1540">
        <v>0</v>
      </c>
      <c r="BF569" s="1539">
        <f t="shared" si="112"/>
        <v>1122</v>
      </c>
      <c r="BG569" s="1539">
        <f t="shared" si="113"/>
        <v>0</v>
      </c>
      <c r="BH569" s="1539">
        <f t="shared" si="114"/>
        <v>0</v>
      </c>
      <c r="BI569" s="1539">
        <f t="shared" si="115"/>
        <v>1122</v>
      </c>
      <c r="BJ569" s="1539">
        <f t="shared" si="116"/>
        <v>0</v>
      </c>
      <c r="BK569" s="1539">
        <f t="shared" si="117"/>
        <v>4784</v>
      </c>
      <c r="BL569" s="1539">
        <f t="shared" si="118"/>
        <v>4784</v>
      </c>
      <c r="BM569" s="1539">
        <f t="shared" si="119"/>
        <v>5906</v>
      </c>
      <c r="BO569" s="1183"/>
      <c r="BQ569" s="1182">
        <f t="shared" si="120"/>
        <v>-0.18181818181824383</v>
      </c>
      <c r="BR569" s="1182">
        <f t="shared" si="121"/>
        <v>-0.36363636363603291</v>
      </c>
    </row>
    <row r="570" spans="1:70" ht="13.5" customHeight="1">
      <c r="A570" s="1182" t="s">
        <v>1803</v>
      </c>
      <c r="B570" s="1182" t="s">
        <v>1804</v>
      </c>
      <c r="C570" s="1182" t="s">
        <v>1639</v>
      </c>
      <c r="D570" s="1182" t="s">
        <v>2523</v>
      </c>
      <c r="E570" s="1182" t="s">
        <v>2524</v>
      </c>
      <c r="F570" s="1182" t="s">
        <v>2381</v>
      </c>
      <c r="G570" s="1182" t="s">
        <v>2381</v>
      </c>
      <c r="H570" s="1182" t="s">
        <v>3607</v>
      </c>
      <c r="I570" s="1182" t="s">
        <v>1809</v>
      </c>
      <c r="J570" s="1182" t="s">
        <v>3608</v>
      </c>
      <c r="K570" s="1182" t="s">
        <v>1811</v>
      </c>
      <c r="L570" s="1182" t="s">
        <v>1812</v>
      </c>
      <c r="M570" s="1182" t="s">
        <v>1803</v>
      </c>
      <c r="N570" s="1182" t="s">
        <v>2922</v>
      </c>
      <c r="O570" s="1182" t="s">
        <v>1554</v>
      </c>
      <c r="P570" s="1182" t="s">
        <v>1563</v>
      </c>
      <c r="Q570" s="1182" t="s">
        <v>1562</v>
      </c>
      <c r="R570" s="1182" t="s">
        <v>1561</v>
      </c>
      <c r="S570" s="1182" t="s">
        <v>1639</v>
      </c>
      <c r="T570" s="1182" t="s">
        <v>1814</v>
      </c>
      <c r="U570" s="1182" t="s">
        <v>1815</v>
      </c>
      <c r="V570" s="1182">
        <v>0</v>
      </c>
      <c r="W570" s="1182">
        <v>0</v>
      </c>
      <c r="X570" s="1182">
        <v>0</v>
      </c>
      <c r="Y570" s="1183">
        <v>3813</v>
      </c>
      <c r="Z570" s="1182" t="s">
        <v>2923</v>
      </c>
      <c r="AA570" s="1182" t="s">
        <v>2924</v>
      </c>
      <c r="AB570" s="1182">
        <v>3813</v>
      </c>
      <c r="AC570" s="1182" t="s">
        <v>2925</v>
      </c>
      <c r="AD570" s="1182" t="s">
        <v>1561</v>
      </c>
      <c r="AE570" s="1182">
        <v>3813</v>
      </c>
      <c r="AF570" s="1182" t="s">
        <v>1819</v>
      </c>
      <c r="AG570" s="1182" t="s">
        <v>1820</v>
      </c>
      <c r="AH570" s="1182">
        <v>346</v>
      </c>
      <c r="AI570" s="1182">
        <v>3467</v>
      </c>
      <c r="AJ570" s="1182" t="s">
        <v>3585</v>
      </c>
      <c r="AL570" s="1186" t="s">
        <v>3609</v>
      </c>
      <c r="AM570" s="1182">
        <v>1</v>
      </c>
      <c r="AN570" s="1182">
        <v>0</v>
      </c>
      <c r="AO570" s="1182">
        <v>0</v>
      </c>
      <c r="AP570" s="1182">
        <v>0</v>
      </c>
      <c r="AQ570" s="1182" t="s">
        <v>1639</v>
      </c>
      <c r="AS570" s="1186" t="s">
        <v>1819</v>
      </c>
      <c r="AT570" s="1186" t="s">
        <v>1820</v>
      </c>
      <c r="AV570" s="1183">
        <v>724</v>
      </c>
      <c r="AW570" s="1183">
        <v>0</v>
      </c>
      <c r="AX570" s="1183">
        <v>0</v>
      </c>
      <c r="AY570" s="1538">
        <v>724</v>
      </c>
      <c r="AZ570" s="1183">
        <v>0</v>
      </c>
      <c r="BA570" s="1183">
        <v>3089</v>
      </c>
      <c r="BB570" s="1540">
        <v>3089</v>
      </c>
      <c r="BC570" s="1540">
        <v>3813</v>
      </c>
      <c r="BD570" s="1540">
        <v>0</v>
      </c>
      <c r="BF570" s="1539">
        <f t="shared" si="112"/>
        <v>658</v>
      </c>
      <c r="BG570" s="1539">
        <f t="shared" si="113"/>
        <v>0</v>
      </c>
      <c r="BH570" s="1539">
        <f t="shared" si="114"/>
        <v>0</v>
      </c>
      <c r="BI570" s="1539">
        <f t="shared" si="115"/>
        <v>658</v>
      </c>
      <c r="BJ570" s="1539">
        <f t="shared" si="116"/>
        <v>0</v>
      </c>
      <c r="BK570" s="1539">
        <f t="shared" si="117"/>
        <v>2808</v>
      </c>
      <c r="BL570" s="1539">
        <f t="shared" si="118"/>
        <v>2808</v>
      </c>
      <c r="BM570" s="1539">
        <f t="shared" si="119"/>
        <v>3466</v>
      </c>
      <c r="BO570" s="1183"/>
      <c r="BQ570" s="1182">
        <f t="shared" si="120"/>
        <v>0.18181818181813014</v>
      </c>
      <c r="BR570" s="1182">
        <f t="shared" si="121"/>
        <v>0.18181818181801646</v>
      </c>
    </row>
    <row r="571" spans="1:70" ht="13.5" customHeight="1">
      <c r="A571" s="1182" t="s">
        <v>1803</v>
      </c>
      <c r="B571" s="1182" t="s">
        <v>1804</v>
      </c>
      <c r="C571" s="1182" t="s">
        <v>1639</v>
      </c>
      <c r="D571" s="1182" t="s">
        <v>2523</v>
      </c>
      <c r="E571" s="1182" t="s">
        <v>2524</v>
      </c>
      <c r="F571" s="1182" t="s">
        <v>2381</v>
      </c>
      <c r="G571" s="1182" t="s">
        <v>2381</v>
      </c>
      <c r="H571" s="1182" t="s">
        <v>3607</v>
      </c>
      <c r="I571" s="1182" t="s">
        <v>1809</v>
      </c>
      <c r="J571" s="1182" t="s">
        <v>3610</v>
      </c>
      <c r="K571" s="1182" t="s">
        <v>1811</v>
      </c>
      <c r="L571" s="1182" t="s">
        <v>1812</v>
      </c>
      <c r="M571" s="1182" t="s">
        <v>1803</v>
      </c>
      <c r="N571" s="1182" t="s">
        <v>2922</v>
      </c>
      <c r="O571" s="1182" t="s">
        <v>1554</v>
      </c>
      <c r="P571" s="1182" t="s">
        <v>1563</v>
      </c>
      <c r="Q571" s="1182" t="s">
        <v>1562</v>
      </c>
      <c r="R571" s="1182" t="s">
        <v>1561</v>
      </c>
      <c r="S571" s="1182" t="s">
        <v>1639</v>
      </c>
      <c r="T571" s="1182" t="s">
        <v>1814</v>
      </c>
      <c r="U571" s="1182" t="s">
        <v>1815</v>
      </c>
      <c r="V571" s="1182">
        <v>0</v>
      </c>
      <c r="W571" s="1182">
        <v>0</v>
      </c>
      <c r="X571" s="1182">
        <v>0</v>
      </c>
      <c r="Y571" s="1183">
        <v>4554</v>
      </c>
      <c r="Z571" s="1182" t="s">
        <v>2923</v>
      </c>
      <c r="AA571" s="1182" t="s">
        <v>2924</v>
      </c>
      <c r="AB571" s="1182">
        <v>4554</v>
      </c>
      <c r="AC571" s="1182" t="s">
        <v>2925</v>
      </c>
      <c r="AD571" s="1182" t="s">
        <v>1561</v>
      </c>
      <c r="AE571" s="1182">
        <v>4554</v>
      </c>
      <c r="AF571" s="1182" t="s">
        <v>1819</v>
      </c>
      <c r="AG571" s="1182" t="s">
        <v>1820</v>
      </c>
      <c r="AH571" s="1182">
        <v>414</v>
      </c>
      <c r="AI571" s="1182">
        <v>4140</v>
      </c>
      <c r="AJ571" s="1182" t="s">
        <v>3588</v>
      </c>
      <c r="AL571" s="1186" t="s">
        <v>3611</v>
      </c>
      <c r="AM571" s="1182">
        <v>1</v>
      </c>
      <c r="AN571" s="1182">
        <v>0</v>
      </c>
      <c r="AO571" s="1182">
        <v>0</v>
      </c>
      <c r="AP571" s="1182">
        <v>0</v>
      </c>
      <c r="AQ571" s="1182" t="s">
        <v>1639</v>
      </c>
      <c r="AS571" s="1186" t="s">
        <v>1819</v>
      </c>
      <c r="AT571" s="1186" t="s">
        <v>1820</v>
      </c>
      <c r="AV571" s="1183">
        <v>865</v>
      </c>
      <c r="AW571" s="1183">
        <v>0</v>
      </c>
      <c r="AX571" s="1183">
        <v>0</v>
      </c>
      <c r="AY571" s="1538">
        <v>865</v>
      </c>
      <c r="AZ571" s="1183">
        <v>0</v>
      </c>
      <c r="BA571" s="1183">
        <v>3689</v>
      </c>
      <c r="BB571" s="1540">
        <v>3689</v>
      </c>
      <c r="BC571" s="1540">
        <v>4554</v>
      </c>
      <c r="BD571" s="1540">
        <v>0</v>
      </c>
      <c r="BF571" s="1539">
        <f t="shared" si="112"/>
        <v>786</v>
      </c>
      <c r="BG571" s="1539">
        <f t="shared" si="113"/>
        <v>0</v>
      </c>
      <c r="BH571" s="1539">
        <f t="shared" si="114"/>
        <v>0</v>
      </c>
      <c r="BI571" s="1539">
        <f t="shared" si="115"/>
        <v>786</v>
      </c>
      <c r="BJ571" s="1539">
        <f t="shared" si="116"/>
        <v>0</v>
      </c>
      <c r="BK571" s="1539">
        <f t="shared" si="117"/>
        <v>3354</v>
      </c>
      <c r="BL571" s="1539">
        <f t="shared" si="118"/>
        <v>3354</v>
      </c>
      <c r="BM571" s="1539">
        <f t="shared" si="119"/>
        <v>4140</v>
      </c>
      <c r="BO571" s="1183"/>
      <c r="BQ571" s="1182">
        <f t="shared" si="120"/>
        <v>0.36363636363637397</v>
      </c>
      <c r="BR571" s="1182">
        <f t="shared" si="121"/>
        <v>-0.36363636363648766</v>
      </c>
    </row>
    <row r="572" spans="1:70" ht="13.5" customHeight="1">
      <c r="A572" s="1182" t="s">
        <v>1803</v>
      </c>
      <c r="B572" s="1182" t="s">
        <v>1804</v>
      </c>
      <c r="C572" s="1182" t="s">
        <v>1639</v>
      </c>
      <c r="D572" s="1182" t="s">
        <v>2523</v>
      </c>
      <c r="E572" s="1182" t="s">
        <v>2524</v>
      </c>
      <c r="F572" s="1182" t="s">
        <v>2679</v>
      </c>
      <c r="G572" s="1182" t="s">
        <v>2679</v>
      </c>
      <c r="H572" s="1182" t="s">
        <v>3612</v>
      </c>
      <c r="I572" s="1182" t="s">
        <v>1809</v>
      </c>
      <c r="J572" s="1182" t="s">
        <v>3613</v>
      </c>
      <c r="K572" s="1182" t="s">
        <v>1811</v>
      </c>
      <c r="L572" s="1182" t="s">
        <v>1812</v>
      </c>
      <c r="M572" s="1182" t="s">
        <v>1803</v>
      </c>
      <c r="N572" s="1182" t="s">
        <v>2922</v>
      </c>
      <c r="O572" s="1182" t="s">
        <v>1554</v>
      </c>
      <c r="P572" s="1182" t="s">
        <v>1563</v>
      </c>
      <c r="Q572" s="1182" t="s">
        <v>1562</v>
      </c>
      <c r="R572" s="1182" t="s">
        <v>1561</v>
      </c>
      <c r="S572" s="1182" t="s">
        <v>1639</v>
      </c>
      <c r="T572" s="1182" t="s">
        <v>1814</v>
      </c>
      <c r="U572" s="1182" t="s">
        <v>1815</v>
      </c>
      <c r="V572" s="1182">
        <v>0</v>
      </c>
      <c r="W572" s="1182">
        <v>0</v>
      </c>
      <c r="X572" s="1182">
        <v>0</v>
      </c>
      <c r="Y572" s="1183">
        <v>3691</v>
      </c>
      <c r="Z572" s="1182" t="s">
        <v>2923</v>
      </c>
      <c r="AA572" s="1182" t="s">
        <v>2924</v>
      </c>
      <c r="AB572" s="1182">
        <v>3691</v>
      </c>
      <c r="AC572" s="1182" t="s">
        <v>2925</v>
      </c>
      <c r="AD572" s="1182" t="s">
        <v>1561</v>
      </c>
      <c r="AE572" s="1182">
        <v>3691</v>
      </c>
      <c r="AF572" s="1182" t="s">
        <v>1819</v>
      </c>
      <c r="AG572" s="1182" t="s">
        <v>1820</v>
      </c>
      <c r="AH572" s="1182">
        <v>335</v>
      </c>
      <c r="AI572" s="1182">
        <v>3356</v>
      </c>
      <c r="AJ572" s="1182" t="s">
        <v>3585</v>
      </c>
      <c r="AL572" s="1186" t="s">
        <v>3614</v>
      </c>
      <c r="AM572" s="1182">
        <v>1</v>
      </c>
      <c r="AN572" s="1182">
        <v>0</v>
      </c>
      <c r="AO572" s="1182">
        <v>0</v>
      </c>
      <c r="AP572" s="1182">
        <v>0</v>
      </c>
      <c r="AQ572" s="1182" t="s">
        <v>1639</v>
      </c>
      <c r="AS572" s="1186" t="s">
        <v>1819</v>
      </c>
      <c r="AT572" s="1186" t="s">
        <v>1820</v>
      </c>
      <c r="AV572" s="1183">
        <v>701</v>
      </c>
      <c r="AW572" s="1183">
        <v>0</v>
      </c>
      <c r="AX572" s="1183">
        <v>0</v>
      </c>
      <c r="AY572" s="1538">
        <v>701</v>
      </c>
      <c r="AZ572" s="1183">
        <v>0</v>
      </c>
      <c r="BA572" s="1183">
        <v>2990</v>
      </c>
      <c r="BB572" s="1540">
        <v>2990</v>
      </c>
      <c r="BC572" s="1540">
        <v>3691</v>
      </c>
      <c r="BD572" s="1540">
        <v>0</v>
      </c>
      <c r="BF572" s="1539">
        <f t="shared" si="112"/>
        <v>637</v>
      </c>
      <c r="BG572" s="1539">
        <f t="shared" si="113"/>
        <v>0</v>
      </c>
      <c r="BH572" s="1539">
        <f t="shared" si="114"/>
        <v>0</v>
      </c>
      <c r="BI572" s="1539">
        <f t="shared" si="115"/>
        <v>637</v>
      </c>
      <c r="BJ572" s="1539">
        <f t="shared" si="116"/>
        <v>0</v>
      </c>
      <c r="BK572" s="1539">
        <f t="shared" si="117"/>
        <v>2718</v>
      </c>
      <c r="BL572" s="1539">
        <f t="shared" si="118"/>
        <v>2718</v>
      </c>
      <c r="BM572" s="1539">
        <f t="shared" si="119"/>
        <v>3355</v>
      </c>
      <c r="BO572" s="1183"/>
      <c r="BQ572" s="1182">
        <f t="shared" si="120"/>
        <v>0.27272727272725206</v>
      </c>
      <c r="BR572" s="1182">
        <f t="shared" si="121"/>
        <v>0.18181818181801646</v>
      </c>
    </row>
    <row r="573" spans="1:70" ht="13.5" customHeight="1">
      <c r="A573" s="1182" t="s">
        <v>1803</v>
      </c>
      <c r="B573" s="1182" t="s">
        <v>1804</v>
      </c>
      <c r="C573" s="1182" t="s">
        <v>1639</v>
      </c>
      <c r="D573" s="1182" t="s">
        <v>2523</v>
      </c>
      <c r="E573" s="1182" t="s">
        <v>2524</v>
      </c>
      <c r="F573" s="1182" t="s">
        <v>2679</v>
      </c>
      <c r="G573" s="1182" t="s">
        <v>2679</v>
      </c>
      <c r="H573" s="1182" t="s">
        <v>3612</v>
      </c>
      <c r="I573" s="1182" t="s">
        <v>1809</v>
      </c>
      <c r="J573" s="1182" t="s">
        <v>3615</v>
      </c>
      <c r="K573" s="1182" t="s">
        <v>1811</v>
      </c>
      <c r="L573" s="1182" t="s">
        <v>1812</v>
      </c>
      <c r="M573" s="1182" t="s">
        <v>1803</v>
      </c>
      <c r="N573" s="1182" t="s">
        <v>2922</v>
      </c>
      <c r="O573" s="1182" t="s">
        <v>1554</v>
      </c>
      <c r="P573" s="1182" t="s">
        <v>1563</v>
      </c>
      <c r="Q573" s="1182" t="s">
        <v>1562</v>
      </c>
      <c r="R573" s="1182" t="s">
        <v>1561</v>
      </c>
      <c r="S573" s="1182" t="s">
        <v>1639</v>
      </c>
      <c r="T573" s="1182" t="s">
        <v>1814</v>
      </c>
      <c r="U573" s="1182" t="s">
        <v>1815</v>
      </c>
      <c r="V573" s="1182">
        <v>0</v>
      </c>
      <c r="W573" s="1182">
        <v>0</v>
      </c>
      <c r="X573" s="1182">
        <v>0</v>
      </c>
      <c r="Y573" s="1183">
        <v>4427</v>
      </c>
      <c r="Z573" s="1182" t="s">
        <v>2923</v>
      </c>
      <c r="AA573" s="1182" t="s">
        <v>2924</v>
      </c>
      <c r="AB573" s="1182">
        <v>4427</v>
      </c>
      <c r="AC573" s="1182" t="s">
        <v>2925</v>
      </c>
      <c r="AD573" s="1182" t="s">
        <v>1561</v>
      </c>
      <c r="AE573" s="1182">
        <v>4427</v>
      </c>
      <c r="AF573" s="1182" t="s">
        <v>1819</v>
      </c>
      <c r="AG573" s="1182" t="s">
        <v>1820</v>
      </c>
      <c r="AH573" s="1182">
        <v>402</v>
      </c>
      <c r="AI573" s="1182">
        <v>4025</v>
      </c>
      <c r="AJ573" s="1182" t="s">
        <v>3588</v>
      </c>
      <c r="AL573" s="1186" t="s">
        <v>3616</v>
      </c>
      <c r="AM573" s="1182">
        <v>1</v>
      </c>
      <c r="AN573" s="1182">
        <v>0</v>
      </c>
      <c r="AO573" s="1182">
        <v>0</v>
      </c>
      <c r="AP573" s="1182">
        <v>0</v>
      </c>
      <c r="AQ573" s="1182" t="s">
        <v>1639</v>
      </c>
      <c r="AS573" s="1186" t="s">
        <v>1819</v>
      </c>
      <c r="AT573" s="1186" t="s">
        <v>1820</v>
      </c>
      <c r="AV573" s="1183">
        <v>841</v>
      </c>
      <c r="AW573" s="1183">
        <v>0</v>
      </c>
      <c r="AX573" s="1183">
        <v>0</v>
      </c>
      <c r="AY573" s="1538">
        <v>841</v>
      </c>
      <c r="AZ573" s="1183">
        <v>0</v>
      </c>
      <c r="BA573" s="1183">
        <v>3586</v>
      </c>
      <c r="BB573" s="1540">
        <v>3586</v>
      </c>
      <c r="BC573" s="1540">
        <v>4427</v>
      </c>
      <c r="BD573" s="1540">
        <v>0</v>
      </c>
      <c r="BF573" s="1539">
        <f t="shared" si="112"/>
        <v>765</v>
      </c>
      <c r="BG573" s="1539">
        <f t="shared" si="113"/>
        <v>0</v>
      </c>
      <c r="BH573" s="1539">
        <f t="shared" si="114"/>
        <v>0</v>
      </c>
      <c r="BI573" s="1539">
        <f t="shared" si="115"/>
        <v>765</v>
      </c>
      <c r="BJ573" s="1539">
        <f t="shared" si="116"/>
        <v>0</v>
      </c>
      <c r="BK573" s="1539">
        <f t="shared" si="117"/>
        <v>3260</v>
      </c>
      <c r="BL573" s="1539">
        <f t="shared" si="118"/>
        <v>3260</v>
      </c>
      <c r="BM573" s="1539">
        <f t="shared" si="119"/>
        <v>4025</v>
      </c>
      <c r="BO573" s="1183"/>
      <c r="BQ573" s="1182">
        <f t="shared" si="120"/>
        <v>-0.45454545454549589</v>
      </c>
      <c r="BR573" s="1182">
        <f t="shared" si="121"/>
        <v>0</v>
      </c>
    </row>
    <row r="574" spans="1:70" ht="13.5" customHeight="1">
      <c r="A574" s="1182" t="s">
        <v>1803</v>
      </c>
      <c r="B574" s="1182" t="s">
        <v>1804</v>
      </c>
      <c r="C574" s="1182" t="s">
        <v>1639</v>
      </c>
      <c r="D574" s="1182" t="s">
        <v>1805</v>
      </c>
      <c r="E574" s="1182" t="s">
        <v>1806</v>
      </c>
      <c r="F574" s="1182" t="s">
        <v>1823</v>
      </c>
      <c r="G574" s="1182" t="s">
        <v>1823</v>
      </c>
      <c r="H574" s="1182" t="s">
        <v>3617</v>
      </c>
      <c r="I574" s="1182" t="s">
        <v>1809</v>
      </c>
      <c r="J574" s="1182" t="s">
        <v>3618</v>
      </c>
      <c r="K574" s="1182" t="s">
        <v>1811</v>
      </c>
      <c r="L574" s="1182" t="s">
        <v>1812</v>
      </c>
      <c r="M574" s="1182" t="s">
        <v>1803</v>
      </c>
      <c r="N574" s="1182" t="s">
        <v>2922</v>
      </c>
      <c r="O574" s="1182" t="s">
        <v>1554</v>
      </c>
      <c r="P574" s="1182" t="s">
        <v>1563</v>
      </c>
      <c r="Q574" s="1182" t="s">
        <v>1562</v>
      </c>
      <c r="R574" s="1182" t="s">
        <v>1561</v>
      </c>
      <c r="S574" s="1182" t="s">
        <v>1639</v>
      </c>
      <c r="T574" s="1182" t="s">
        <v>1814</v>
      </c>
      <c r="U574" s="1182" t="s">
        <v>1815</v>
      </c>
      <c r="V574" s="1182">
        <v>0</v>
      </c>
      <c r="W574" s="1182">
        <v>0</v>
      </c>
      <c r="X574" s="1182">
        <v>0</v>
      </c>
      <c r="Y574" s="1183">
        <v>7242</v>
      </c>
      <c r="Z574" s="1182" t="s">
        <v>2923</v>
      </c>
      <c r="AA574" s="1182" t="s">
        <v>2924</v>
      </c>
      <c r="AB574" s="1182">
        <v>7242</v>
      </c>
      <c r="AC574" s="1182" t="s">
        <v>2925</v>
      </c>
      <c r="AD574" s="1182" t="s">
        <v>1561</v>
      </c>
      <c r="AE574" s="1182">
        <v>7242</v>
      </c>
      <c r="AF574" s="1182" t="s">
        <v>1819</v>
      </c>
      <c r="AG574" s="1182" t="s">
        <v>1820</v>
      </c>
      <c r="AH574" s="1182">
        <v>658</v>
      </c>
      <c r="AI574" s="1182">
        <v>6584</v>
      </c>
      <c r="AJ574" s="1182" t="s">
        <v>3619</v>
      </c>
      <c r="AL574" s="1186" t="s">
        <v>3620</v>
      </c>
      <c r="AM574" s="1182">
        <v>1</v>
      </c>
      <c r="AN574" s="1182">
        <v>0</v>
      </c>
      <c r="AO574" s="1182">
        <v>0</v>
      </c>
      <c r="AP574" s="1182">
        <v>0</v>
      </c>
      <c r="AQ574" s="1182" t="s">
        <v>1639</v>
      </c>
      <c r="AS574" s="1186" t="s">
        <v>1819</v>
      </c>
      <c r="AT574" s="1186" t="s">
        <v>1820</v>
      </c>
      <c r="AV574" s="1185">
        <v>0</v>
      </c>
      <c r="AW574" s="1185">
        <v>0</v>
      </c>
      <c r="AX574" s="1185">
        <v>0</v>
      </c>
      <c r="AY574" s="1539">
        <v>0</v>
      </c>
      <c r="AZ574" s="1185">
        <v>0</v>
      </c>
      <c r="BA574" s="1185">
        <v>7242</v>
      </c>
      <c r="BB574" s="1540">
        <v>7242</v>
      </c>
      <c r="BC574" s="1540">
        <v>7242</v>
      </c>
      <c r="BD574" s="1540">
        <v>0</v>
      </c>
      <c r="BF574" s="1539">
        <f t="shared" si="112"/>
        <v>0</v>
      </c>
      <c r="BG574" s="1539">
        <f t="shared" si="113"/>
        <v>0</v>
      </c>
      <c r="BH574" s="1539">
        <f t="shared" si="114"/>
        <v>0</v>
      </c>
      <c r="BI574" s="1539">
        <f t="shared" si="115"/>
        <v>0</v>
      </c>
      <c r="BJ574" s="1539">
        <f t="shared" si="116"/>
        <v>0</v>
      </c>
      <c r="BK574" s="1539">
        <f t="shared" si="117"/>
        <v>6584</v>
      </c>
      <c r="BL574" s="1539">
        <f t="shared" si="118"/>
        <v>6584</v>
      </c>
      <c r="BM574" s="1539">
        <f t="shared" si="119"/>
        <v>6584</v>
      </c>
      <c r="BO574" s="1183"/>
      <c r="BQ574" s="1182">
        <f t="shared" si="120"/>
        <v>0</v>
      </c>
      <c r="BR574" s="1182">
        <f t="shared" si="121"/>
        <v>-0.36363636363603291</v>
      </c>
    </row>
    <row r="575" spans="1:70" ht="13.5" customHeight="1">
      <c r="A575" s="1182" t="s">
        <v>1803</v>
      </c>
      <c r="B575" s="1182" t="s">
        <v>1804</v>
      </c>
      <c r="C575" s="1182" t="s">
        <v>1639</v>
      </c>
      <c r="D575" s="1182" t="s">
        <v>1805</v>
      </c>
      <c r="E575" s="1182" t="s">
        <v>1806</v>
      </c>
      <c r="F575" s="1182" t="s">
        <v>1823</v>
      </c>
      <c r="G575" s="1182" t="s">
        <v>1823</v>
      </c>
      <c r="H575" s="1182" t="s">
        <v>3617</v>
      </c>
      <c r="I575" s="1182" t="s">
        <v>1809</v>
      </c>
      <c r="J575" s="1182" t="s">
        <v>3621</v>
      </c>
      <c r="K575" s="1182" t="s">
        <v>1811</v>
      </c>
      <c r="L575" s="1182" t="s">
        <v>1812</v>
      </c>
      <c r="M575" s="1182" t="s">
        <v>1803</v>
      </c>
      <c r="N575" s="1182" t="s">
        <v>2922</v>
      </c>
      <c r="O575" s="1182" t="s">
        <v>1554</v>
      </c>
      <c r="P575" s="1182" t="s">
        <v>1563</v>
      </c>
      <c r="Q575" s="1182" t="s">
        <v>1562</v>
      </c>
      <c r="R575" s="1182" t="s">
        <v>1561</v>
      </c>
      <c r="S575" s="1182" t="s">
        <v>1639</v>
      </c>
      <c r="T575" s="1182" t="s">
        <v>1814</v>
      </c>
      <c r="U575" s="1182" t="s">
        <v>1815</v>
      </c>
      <c r="V575" s="1182">
        <v>0</v>
      </c>
      <c r="W575" s="1182">
        <v>0</v>
      </c>
      <c r="X575" s="1182">
        <v>0</v>
      </c>
      <c r="Y575" s="1183">
        <v>3791</v>
      </c>
      <c r="Z575" s="1182" t="s">
        <v>2923</v>
      </c>
      <c r="AA575" s="1182" t="s">
        <v>2924</v>
      </c>
      <c r="AB575" s="1182">
        <v>3791</v>
      </c>
      <c r="AC575" s="1182" t="s">
        <v>2925</v>
      </c>
      <c r="AD575" s="1182" t="s">
        <v>1561</v>
      </c>
      <c r="AE575" s="1182">
        <v>3791</v>
      </c>
      <c r="AF575" s="1182" t="s">
        <v>1819</v>
      </c>
      <c r="AG575" s="1182" t="s">
        <v>1820</v>
      </c>
      <c r="AH575" s="1182">
        <v>344</v>
      </c>
      <c r="AI575" s="1182">
        <v>3447</v>
      </c>
      <c r="AJ575" s="1182" t="s">
        <v>3619</v>
      </c>
      <c r="AL575" s="1186" t="s">
        <v>3622</v>
      </c>
      <c r="AM575" s="1182">
        <v>1</v>
      </c>
      <c r="AN575" s="1182">
        <v>0</v>
      </c>
      <c r="AO575" s="1182">
        <v>0</v>
      </c>
      <c r="AP575" s="1182">
        <v>0</v>
      </c>
      <c r="AQ575" s="1182" t="s">
        <v>1639</v>
      </c>
      <c r="AS575" s="1186" t="s">
        <v>1819</v>
      </c>
      <c r="AT575" s="1186" t="s">
        <v>1820</v>
      </c>
      <c r="AV575" s="1183">
        <v>0</v>
      </c>
      <c r="AW575" s="1183">
        <v>0</v>
      </c>
      <c r="AX575" s="1183">
        <v>0</v>
      </c>
      <c r="AY575" s="1538">
        <v>0</v>
      </c>
      <c r="AZ575" s="1183">
        <v>0</v>
      </c>
      <c r="BA575" s="1183">
        <v>3791</v>
      </c>
      <c r="BB575" s="1540">
        <v>3791</v>
      </c>
      <c r="BC575" s="1540">
        <v>3791</v>
      </c>
      <c r="BD575" s="1540">
        <v>0</v>
      </c>
      <c r="BF575" s="1539">
        <f t="shared" si="112"/>
        <v>0</v>
      </c>
      <c r="BG575" s="1539">
        <f t="shared" si="113"/>
        <v>0</v>
      </c>
      <c r="BH575" s="1539">
        <f t="shared" si="114"/>
        <v>0</v>
      </c>
      <c r="BI575" s="1539">
        <f t="shared" si="115"/>
        <v>0</v>
      </c>
      <c r="BJ575" s="1539">
        <f t="shared" si="116"/>
        <v>0</v>
      </c>
      <c r="BK575" s="1539">
        <f t="shared" si="117"/>
        <v>3446</v>
      </c>
      <c r="BL575" s="1539">
        <f t="shared" si="118"/>
        <v>3446</v>
      </c>
      <c r="BM575" s="1539">
        <f t="shared" si="119"/>
        <v>3446</v>
      </c>
      <c r="BO575" s="1183"/>
      <c r="BQ575" s="1182">
        <f t="shared" si="120"/>
        <v>0</v>
      </c>
      <c r="BR575" s="1182">
        <f t="shared" si="121"/>
        <v>0.36363636363648766</v>
      </c>
    </row>
    <row r="576" spans="1:70" ht="13.5" customHeight="1">
      <c r="A576" s="1182" t="s">
        <v>1803</v>
      </c>
      <c r="B576" s="1182" t="s">
        <v>1804</v>
      </c>
      <c r="C576" s="1182" t="s">
        <v>1639</v>
      </c>
      <c r="D576" s="1182" t="s">
        <v>1805</v>
      </c>
      <c r="E576" s="1182" t="s">
        <v>1806</v>
      </c>
      <c r="F576" s="1182" t="s">
        <v>1856</v>
      </c>
      <c r="G576" s="1182" t="s">
        <v>1856</v>
      </c>
      <c r="H576" s="1182" t="s">
        <v>3623</v>
      </c>
      <c r="I576" s="1182" t="s">
        <v>1809</v>
      </c>
      <c r="J576" s="1182" t="s">
        <v>3624</v>
      </c>
      <c r="K576" s="1182" t="s">
        <v>1811</v>
      </c>
      <c r="L576" s="1182" t="s">
        <v>1812</v>
      </c>
      <c r="M576" s="1182" t="s">
        <v>1803</v>
      </c>
      <c r="N576" s="1182" t="s">
        <v>2922</v>
      </c>
      <c r="O576" s="1182" t="s">
        <v>1554</v>
      </c>
      <c r="P576" s="1182" t="s">
        <v>1563</v>
      </c>
      <c r="Q576" s="1182" t="s">
        <v>1562</v>
      </c>
      <c r="R576" s="1182" t="s">
        <v>1561</v>
      </c>
      <c r="S576" s="1182" t="s">
        <v>1639</v>
      </c>
      <c r="T576" s="1182" t="s">
        <v>1814</v>
      </c>
      <c r="U576" s="1182" t="s">
        <v>1815</v>
      </c>
      <c r="V576" s="1182">
        <v>0</v>
      </c>
      <c r="W576" s="1182">
        <v>0</v>
      </c>
      <c r="X576" s="1182">
        <v>0</v>
      </c>
      <c r="Y576" s="1183">
        <v>7189</v>
      </c>
      <c r="Z576" s="1182" t="s">
        <v>2923</v>
      </c>
      <c r="AA576" s="1182" t="s">
        <v>2924</v>
      </c>
      <c r="AB576" s="1182">
        <v>7189</v>
      </c>
      <c r="AC576" s="1182" t="s">
        <v>2925</v>
      </c>
      <c r="AD576" s="1182" t="s">
        <v>1561</v>
      </c>
      <c r="AE576" s="1182">
        <v>7189</v>
      </c>
      <c r="AF576" s="1182" t="s">
        <v>1819</v>
      </c>
      <c r="AG576" s="1182" t="s">
        <v>1820</v>
      </c>
      <c r="AH576" s="1182">
        <v>653</v>
      </c>
      <c r="AI576" s="1182">
        <v>6536</v>
      </c>
      <c r="AJ576" s="1182" t="s">
        <v>3619</v>
      </c>
      <c r="AL576" s="1186" t="s">
        <v>3625</v>
      </c>
      <c r="AM576" s="1182">
        <v>1</v>
      </c>
      <c r="AN576" s="1182">
        <v>0</v>
      </c>
      <c r="AO576" s="1182">
        <v>0</v>
      </c>
      <c r="AP576" s="1182">
        <v>0</v>
      </c>
      <c r="AQ576" s="1182" t="s">
        <v>1639</v>
      </c>
      <c r="AS576" s="1186" t="s">
        <v>1819</v>
      </c>
      <c r="AT576" s="1186" t="s">
        <v>1820</v>
      </c>
      <c r="AV576" s="1183">
        <v>0</v>
      </c>
      <c r="AW576" s="1183">
        <v>0</v>
      </c>
      <c r="AX576" s="1183">
        <v>0</v>
      </c>
      <c r="AY576" s="1538">
        <v>0</v>
      </c>
      <c r="AZ576" s="1183">
        <v>0</v>
      </c>
      <c r="BA576" s="1183">
        <v>7189</v>
      </c>
      <c r="BB576" s="1540">
        <v>7189</v>
      </c>
      <c r="BC576" s="1540">
        <v>7189</v>
      </c>
      <c r="BD576" s="1540">
        <v>0</v>
      </c>
      <c r="BF576" s="1539">
        <f t="shared" si="112"/>
        <v>0</v>
      </c>
      <c r="BG576" s="1539">
        <f t="shared" si="113"/>
        <v>0</v>
      </c>
      <c r="BH576" s="1539">
        <f t="shared" si="114"/>
        <v>0</v>
      </c>
      <c r="BI576" s="1539">
        <f t="shared" si="115"/>
        <v>0</v>
      </c>
      <c r="BJ576" s="1539">
        <f t="shared" si="116"/>
        <v>0</v>
      </c>
      <c r="BK576" s="1539">
        <f t="shared" si="117"/>
        <v>6535</v>
      </c>
      <c r="BL576" s="1539">
        <f t="shared" si="118"/>
        <v>6535</v>
      </c>
      <c r="BM576" s="1539">
        <f t="shared" si="119"/>
        <v>6535</v>
      </c>
      <c r="BO576" s="1183"/>
      <c r="BQ576" s="1182">
        <f t="shared" si="120"/>
        <v>0</v>
      </c>
      <c r="BR576" s="1182">
        <f t="shared" si="121"/>
        <v>0.45454545454504114</v>
      </c>
    </row>
    <row r="577" spans="1:70" ht="13.5" customHeight="1">
      <c r="A577" s="1182" t="s">
        <v>1803</v>
      </c>
      <c r="B577" s="1182" t="s">
        <v>1804</v>
      </c>
      <c r="C577" s="1182" t="s">
        <v>1639</v>
      </c>
      <c r="D577" s="1182" t="s">
        <v>1805</v>
      </c>
      <c r="E577" s="1182" t="s">
        <v>1806</v>
      </c>
      <c r="F577" s="1182" t="s">
        <v>1856</v>
      </c>
      <c r="G577" s="1182" t="s">
        <v>1856</v>
      </c>
      <c r="H577" s="1182" t="s">
        <v>3623</v>
      </c>
      <c r="I577" s="1182" t="s">
        <v>1809</v>
      </c>
      <c r="J577" s="1182" t="s">
        <v>3626</v>
      </c>
      <c r="K577" s="1182" t="s">
        <v>1811</v>
      </c>
      <c r="L577" s="1182" t="s">
        <v>1812</v>
      </c>
      <c r="M577" s="1182" t="s">
        <v>1803</v>
      </c>
      <c r="N577" s="1182" t="s">
        <v>2922</v>
      </c>
      <c r="O577" s="1182" t="s">
        <v>1554</v>
      </c>
      <c r="P577" s="1182" t="s">
        <v>1563</v>
      </c>
      <c r="Q577" s="1182" t="s">
        <v>1562</v>
      </c>
      <c r="R577" s="1182" t="s">
        <v>1561</v>
      </c>
      <c r="S577" s="1182" t="s">
        <v>1639</v>
      </c>
      <c r="T577" s="1182" t="s">
        <v>1814</v>
      </c>
      <c r="U577" s="1182" t="s">
        <v>1815</v>
      </c>
      <c r="V577" s="1182">
        <v>0</v>
      </c>
      <c r="W577" s="1182">
        <v>0</v>
      </c>
      <c r="X577" s="1182">
        <v>0</v>
      </c>
      <c r="Y577" s="1183">
        <v>6124</v>
      </c>
      <c r="Z577" s="1182" t="s">
        <v>2923</v>
      </c>
      <c r="AA577" s="1182" t="s">
        <v>2924</v>
      </c>
      <c r="AB577" s="1182">
        <v>6124</v>
      </c>
      <c r="AC577" s="1182" t="s">
        <v>2925</v>
      </c>
      <c r="AD577" s="1182" t="s">
        <v>1561</v>
      </c>
      <c r="AE577" s="1182">
        <v>6124</v>
      </c>
      <c r="AF577" s="1182" t="s">
        <v>1819</v>
      </c>
      <c r="AG577" s="1182" t="s">
        <v>1820</v>
      </c>
      <c r="AH577" s="1182">
        <v>556</v>
      </c>
      <c r="AI577" s="1182">
        <v>5568</v>
      </c>
      <c r="AJ577" s="1182" t="s">
        <v>3619</v>
      </c>
      <c r="AL577" s="1186" t="s">
        <v>3627</v>
      </c>
      <c r="AM577" s="1182">
        <v>1</v>
      </c>
      <c r="AN577" s="1182">
        <v>0</v>
      </c>
      <c r="AO577" s="1182">
        <v>0</v>
      </c>
      <c r="AP577" s="1182">
        <v>0</v>
      </c>
      <c r="AQ577" s="1182" t="s">
        <v>1639</v>
      </c>
      <c r="AS577" s="1186" t="s">
        <v>1819</v>
      </c>
      <c r="AT577" s="1186" t="s">
        <v>1820</v>
      </c>
      <c r="AV577" s="1183">
        <v>0</v>
      </c>
      <c r="AW577" s="1183">
        <v>0</v>
      </c>
      <c r="AX577" s="1183">
        <v>0</v>
      </c>
      <c r="AY577" s="1538">
        <v>0</v>
      </c>
      <c r="AZ577" s="1183">
        <v>0</v>
      </c>
      <c r="BA577" s="1183">
        <v>6124</v>
      </c>
      <c r="BB577" s="1540">
        <v>6124</v>
      </c>
      <c r="BC577" s="1540">
        <v>6124</v>
      </c>
      <c r="BD577" s="1540">
        <v>0</v>
      </c>
      <c r="BF577" s="1539">
        <f t="shared" si="112"/>
        <v>0</v>
      </c>
      <c r="BG577" s="1539">
        <f t="shared" si="113"/>
        <v>0</v>
      </c>
      <c r="BH577" s="1539">
        <f t="shared" si="114"/>
        <v>0</v>
      </c>
      <c r="BI577" s="1539">
        <f t="shared" si="115"/>
        <v>0</v>
      </c>
      <c r="BJ577" s="1539">
        <f t="shared" si="116"/>
        <v>0</v>
      </c>
      <c r="BK577" s="1539">
        <f t="shared" si="117"/>
        <v>5567</v>
      </c>
      <c r="BL577" s="1539">
        <f t="shared" si="118"/>
        <v>5567</v>
      </c>
      <c r="BM577" s="1539">
        <f t="shared" si="119"/>
        <v>5567</v>
      </c>
      <c r="BO577" s="1183"/>
      <c r="BQ577" s="1182">
        <f t="shared" si="120"/>
        <v>0</v>
      </c>
      <c r="BR577" s="1182">
        <f t="shared" si="121"/>
        <v>0.27272727272702468</v>
      </c>
    </row>
    <row r="578" spans="1:70" ht="13.5" customHeight="1">
      <c r="A578" s="1182" t="s">
        <v>1803</v>
      </c>
      <c r="B578" s="1182" t="s">
        <v>1804</v>
      </c>
      <c r="C578" s="1182" t="s">
        <v>1639</v>
      </c>
      <c r="D578" s="1182" t="s">
        <v>1805</v>
      </c>
      <c r="E578" s="1182" t="s">
        <v>1806</v>
      </c>
      <c r="F578" s="1182" t="s">
        <v>1864</v>
      </c>
      <c r="G578" s="1182" t="s">
        <v>1864</v>
      </c>
      <c r="H578" s="1182" t="s">
        <v>3628</v>
      </c>
      <c r="I578" s="1182" t="s">
        <v>1809</v>
      </c>
      <c r="J578" s="1182" t="s">
        <v>3629</v>
      </c>
      <c r="K578" s="1182" t="s">
        <v>1811</v>
      </c>
      <c r="L578" s="1182" t="s">
        <v>1812</v>
      </c>
      <c r="M578" s="1182" t="s">
        <v>1803</v>
      </c>
      <c r="N578" s="1182" t="s">
        <v>2922</v>
      </c>
      <c r="O578" s="1182" t="s">
        <v>1554</v>
      </c>
      <c r="P578" s="1182" t="s">
        <v>1563</v>
      </c>
      <c r="Q578" s="1182" t="s">
        <v>1562</v>
      </c>
      <c r="R578" s="1182" t="s">
        <v>1561</v>
      </c>
      <c r="S578" s="1182" t="s">
        <v>1639</v>
      </c>
      <c r="T578" s="1182" t="s">
        <v>1814</v>
      </c>
      <c r="U578" s="1182" t="s">
        <v>1815</v>
      </c>
      <c r="V578" s="1182">
        <v>0</v>
      </c>
      <c r="W578" s="1182">
        <v>0</v>
      </c>
      <c r="X578" s="1182">
        <v>0</v>
      </c>
      <c r="Y578" s="1183">
        <v>6740</v>
      </c>
      <c r="Z578" s="1182" t="s">
        <v>2923</v>
      </c>
      <c r="AA578" s="1182" t="s">
        <v>2924</v>
      </c>
      <c r="AB578" s="1182">
        <v>6740</v>
      </c>
      <c r="AC578" s="1182" t="s">
        <v>2925</v>
      </c>
      <c r="AD578" s="1182" t="s">
        <v>1561</v>
      </c>
      <c r="AE578" s="1182">
        <v>6740</v>
      </c>
      <c r="AF578" s="1182" t="s">
        <v>1943</v>
      </c>
      <c r="AG578" s="1182" t="s">
        <v>1944</v>
      </c>
      <c r="AH578" s="1182">
        <v>0</v>
      </c>
      <c r="AI578" s="1182">
        <v>6740</v>
      </c>
      <c r="AJ578" s="1182" t="s">
        <v>3630</v>
      </c>
      <c r="AL578" s="1186" t="s">
        <v>3631</v>
      </c>
      <c r="AM578" s="1182">
        <v>2</v>
      </c>
      <c r="AN578" s="1182">
        <v>17</v>
      </c>
      <c r="AO578" s="1182">
        <v>10</v>
      </c>
      <c r="AP578" s="1182">
        <v>0</v>
      </c>
      <c r="AQ578" s="1182" t="s">
        <v>1639</v>
      </c>
      <c r="AS578" s="1186">
        <v>17</v>
      </c>
      <c r="AT578" s="1186">
        <v>10</v>
      </c>
      <c r="AV578" s="1183">
        <v>0</v>
      </c>
      <c r="AW578" s="1183">
        <v>0</v>
      </c>
      <c r="AX578" s="1183">
        <v>0</v>
      </c>
      <c r="AY578" s="1538">
        <v>0</v>
      </c>
      <c r="AZ578" s="1183">
        <v>0</v>
      </c>
      <c r="BA578" s="1183">
        <v>6740</v>
      </c>
      <c r="BB578" s="1540">
        <v>6740</v>
      </c>
      <c r="BC578" s="1540">
        <v>6740</v>
      </c>
      <c r="BD578" s="1540">
        <v>0</v>
      </c>
      <c r="BF578" s="1539">
        <f t="shared" si="112"/>
        <v>0</v>
      </c>
      <c r="BG578" s="1539">
        <f t="shared" si="113"/>
        <v>0</v>
      </c>
      <c r="BH578" s="1539">
        <f t="shared" si="114"/>
        <v>0</v>
      </c>
      <c r="BI578" s="1539">
        <f t="shared" si="115"/>
        <v>0</v>
      </c>
      <c r="BJ578" s="1539">
        <f t="shared" si="116"/>
        <v>0</v>
      </c>
      <c r="BK578" s="1539">
        <f t="shared" si="117"/>
        <v>6127</v>
      </c>
      <c r="BL578" s="1539">
        <f t="shared" si="118"/>
        <v>6127</v>
      </c>
      <c r="BM578" s="1539">
        <f t="shared" si="119"/>
        <v>6127</v>
      </c>
      <c r="BO578" s="1183"/>
      <c r="BQ578" s="1182">
        <f t="shared" si="120"/>
        <v>0</v>
      </c>
      <c r="BR578" s="1182">
        <f t="shared" si="121"/>
        <v>0.27272727272702468</v>
      </c>
    </row>
    <row r="579" spans="1:70" ht="13.5" customHeight="1">
      <c r="A579" s="1182" t="s">
        <v>1803</v>
      </c>
      <c r="B579" s="1182" t="s">
        <v>1804</v>
      </c>
      <c r="C579" s="1182" t="s">
        <v>1639</v>
      </c>
      <c r="D579" s="1182" t="s">
        <v>1805</v>
      </c>
      <c r="E579" s="1182" t="s">
        <v>1806</v>
      </c>
      <c r="F579" s="1182" t="s">
        <v>1864</v>
      </c>
      <c r="G579" s="1182" t="s">
        <v>1864</v>
      </c>
      <c r="H579" s="1182" t="s">
        <v>3628</v>
      </c>
      <c r="I579" s="1182" t="s">
        <v>1809</v>
      </c>
      <c r="J579" s="1182" t="s">
        <v>3632</v>
      </c>
      <c r="K579" s="1182" t="s">
        <v>1811</v>
      </c>
      <c r="L579" s="1182" t="s">
        <v>1812</v>
      </c>
      <c r="M579" s="1182" t="s">
        <v>1803</v>
      </c>
      <c r="N579" s="1182" t="s">
        <v>2922</v>
      </c>
      <c r="O579" s="1182" t="s">
        <v>1554</v>
      </c>
      <c r="P579" s="1182" t="s">
        <v>1563</v>
      </c>
      <c r="Q579" s="1182" t="s">
        <v>1562</v>
      </c>
      <c r="R579" s="1182" t="s">
        <v>1561</v>
      </c>
      <c r="S579" s="1182" t="s">
        <v>1639</v>
      </c>
      <c r="T579" s="1182" t="s">
        <v>1814</v>
      </c>
      <c r="U579" s="1182" t="s">
        <v>1815</v>
      </c>
      <c r="V579" s="1182">
        <v>0</v>
      </c>
      <c r="W579" s="1182">
        <v>0</v>
      </c>
      <c r="X579" s="1182">
        <v>0</v>
      </c>
      <c r="Y579" s="1183">
        <v>5444</v>
      </c>
      <c r="Z579" s="1182" t="s">
        <v>2923</v>
      </c>
      <c r="AA579" s="1182" t="s">
        <v>2924</v>
      </c>
      <c r="AB579" s="1182">
        <v>5444</v>
      </c>
      <c r="AC579" s="1182" t="s">
        <v>2925</v>
      </c>
      <c r="AD579" s="1182" t="s">
        <v>1561</v>
      </c>
      <c r="AE579" s="1182">
        <v>5444</v>
      </c>
      <c r="AF579" s="1182" t="s">
        <v>1943</v>
      </c>
      <c r="AG579" s="1182" t="s">
        <v>1944</v>
      </c>
      <c r="AH579" s="1182">
        <v>0</v>
      </c>
      <c r="AI579" s="1182">
        <v>5444</v>
      </c>
      <c r="AJ579" s="1182" t="s">
        <v>3630</v>
      </c>
      <c r="AL579" s="1186" t="s">
        <v>3633</v>
      </c>
      <c r="AM579" s="1182">
        <v>2</v>
      </c>
      <c r="AN579" s="1182">
        <v>17</v>
      </c>
      <c r="AO579" s="1182">
        <v>10</v>
      </c>
      <c r="AP579" s="1182">
        <v>0</v>
      </c>
      <c r="AQ579" s="1182" t="s">
        <v>1639</v>
      </c>
      <c r="AS579" s="1186">
        <v>17</v>
      </c>
      <c r="AT579" s="1186">
        <v>10</v>
      </c>
      <c r="AV579" s="1183">
        <v>0</v>
      </c>
      <c r="AW579" s="1183">
        <v>0</v>
      </c>
      <c r="AX579" s="1183">
        <v>0</v>
      </c>
      <c r="AY579" s="1538">
        <v>0</v>
      </c>
      <c r="AZ579" s="1183">
        <v>0</v>
      </c>
      <c r="BA579" s="1183">
        <v>5444</v>
      </c>
      <c r="BB579" s="1540">
        <v>5444</v>
      </c>
      <c r="BC579" s="1540">
        <v>5444</v>
      </c>
      <c r="BD579" s="1540">
        <v>0</v>
      </c>
      <c r="BF579" s="1539">
        <f t="shared" si="112"/>
        <v>0</v>
      </c>
      <c r="BG579" s="1539">
        <f t="shared" si="113"/>
        <v>0</v>
      </c>
      <c r="BH579" s="1539">
        <f t="shared" si="114"/>
        <v>0</v>
      </c>
      <c r="BI579" s="1539">
        <f t="shared" si="115"/>
        <v>0</v>
      </c>
      <c r="BJ579" s="1539">
        <f t="shared" si="116"/>
        <v>0</v>
      </c>
      <c r="BK579" s="1539">
        <f t="shared" si="117"/>
        <v>4949</v>
      </c>
      <c r="BL579" s="1539">
        <f t="shared" si="118"/>
        <v>4949</v>
      </c>
      <c r="BM579" s="1539">
        <f t="shared" si="119"/>
        <v>4949</v>
      </c>
      <c r="BO579" s="1183"/>
      <c r="BQ579" s="1182">
        <f t="shared" si="120"/>
        <v>0</v>
      </c>
      <c r="BR579" s="1182">
        <f t="shared" si="121"/>
        <v>9.0909090909008228E-2</v>
      </c>
    </row>
    <row r="580" spans="1:70" ht="13.5" customHeight="1">
      <c r="A580" s="1182" t="s">
        <v>1803</v>
      </c>
      <c r="B580" s="1182" t="s">
        <v>1804</v>
      </c>
      <c r="C580" s="1182" t="s">
        <v>1639</v>
      </c>
      <c r="D580" s="1182" t="s">
        <v>1805</v>
      </c>
      <c r="E580" s="1182" t="s">
        <v>1806</v>
      </c>
      <c r="F580" s="1182" t="s">
        <v>1836</v>
      </c>
      <c r="G580" s="1182" t="s">
        <v>1836</v>
      </c>
      <c r="H580" s="1182" t="s">
        <v>3634</v>
      </c>
      <c r="I580" s="1182" t="s">
        <v>1809</v>
      </c>
      <c r="J580" s="1182" t="s">
        <v>3635</v>
      </c>
      <c r="K580" s="1182" t="s">
        <v>1811</v>
      </c>
      <c r="L580" s="1182" t="s">
        <v>1812</v>
      </c>
      <c r="M580" s="1182" t="s">
        <v>1803</v>
      </c>
      <c r="N580" s="1182" t="s">
        <v>2922</v>
      </c>
      <c r="O580" s="1182" t="s">
        <v>1554</v>
      </c>
      <c r="P580" s="1182" t="s">
        <v>1563</v>
      </c>
      <c r="Q580" s="1182" t="s">
        <v>1562</v>
      </c>
      <c r="R580" s="1182" t="s">
        <v>1561</v>
      </c>
      <c r="S580" s="1182" t="s">
        <v>1639</v>
      </c>
      <c r="T580" s="1182" t="s">
        <v>1814</v>
      </c>
      <c r="U580" s="1182" t="s">
        <v>1815</v>
      </c>
      <c r="V580" s="1182">
        <v>0</v>
      </c>
      <c r="W580" s="1182">
        <v>0</v>
      </c>
      <c r="X580" s="1182">
        <v>0</v>
      </c>
      <c r="Y580" s="1183">
        <v>10111</v>
      </c>
      <c r="Z580" s="1182" t="s">
        <v>2923</v>
      </c>
      <c r="AA580" s="1182" t="s">
        <v>2924</v>
      </c>
      <c r="AB580" s="1182">
        <v>10111</v>
      </c>
      <c r="AC580" s="1182" t="s">
        <v>2925</v>
      </c>
      <c r="AD580" s="1182" t="s">
        <v>1561</v>
      </c>
      <c r="AE580" s="1182">
        <v>10111</v>
      </c>
      <c r="AF580" s="1182" t="s">
        <v>1819</v>
      </c>
      <c r="AG580" s="1182" t="s">
        <v>1820</v>
      </c>
      <c r="AH580" s="1182">
        <v>919</v>
      </c>
      <c r="AI580" s="1182">
        <v>9192</v>
      </c>
      <c r="AJ580" s="1182" t="s">
        <v>3636</v>
      </c>
      <c r="AL580" s="1186" t="s">
        <v>3637</v>
      </c>
      <c r="AM580" s="1182">
        <v>1</v>
      </c>
      <c r="AN580" s="1182">
        <v>0</v>
      </c>
      <c r="AO580" s="1182">
        <v>0</v>
      </c>
      <c r="AP580" s="1182">
        <v>0</v>
      </c>
      <c r="AQ580" s="1182" t="s">
        <v>1639</v>
      </c>
      <c r="AS580" s="1186" t="s">
        <v>1819</v>
      </c>
      <c r="AT580" s="1186" t="s">
        <v>1820</v>
      </c>
      <c r="AV580" s="1185">
        <v>0</v>
      </c>
      <c r="AW580" s="1185">
        <v>0</v>
      </c>
      <c r="AX580" s="1185">
        <v>0</v>
      </c>
      <c r="AY580" s="1539">
        <v>0</v>
      </c>
      <c r="AZ580" s="1185">
        <v>0</v>
      </c>
      <c r="BA580" s="1185">
        <v>10111</v>
      </c>
      <c r="BB580" s="1540">
        <v>10111</v>
      </c>
      <c r="BC580" s="1540">
        <v>10111</v>
      </c>
      <c r="BD580" s="1540">
        <v>0</v>
      </c>
      <c r="BF580" s="1539">
        <f t="shared" si="112"/>
        <v>0</v>
      </c>
      <c r="BG580" s="1539">
        <f t="shared" si="113"/>
        <v>0</v>
      </c>
      <c r="BH580" s="1539">
        <f t="shared" si="114"/>
        <v>0</v>
      </c>
      <c r="BI580" s="1539">
        <f t="shared" si="115"/>
        <v>0</v>
      </c>
      <c r="BJ580" s="1539">
        <f t="shared" si="116"/>
        <v>0</v>
      </c>
      <c r="BK580" s="1539">
        <f t="shared" si="117"/>
        <v>9192</v>
      </c>
      <c r="BL580" s="1539">
        <f t="shared" si="118"/>
        <v>9192</v>
      </c>
      <c r="BM580" s="1539">
        <f t="shared" si="119"/>
        <v>9192</v>
      </c>
      <c r="BO580" s="1183"/>
      <c r="BQ580" s="1182">
        <f t="shared" si="120"/>
        <v>0</v>
      </c>
      <c r="BR580" s="1182">
        <f t="shared" si="121"/>
        <v>-0.18181818181801646</v>
      </c>
    </row>
    <row r="581" spans="1:70" ht="13.5" customHeight="1">
      <c r="A581" s="1182" t="s">
        <v>1803</v>
      </c>
      <c r="B581" s="1182" t="s">
        <v>1804</v>
      </c>
      <c r="C581" s="1182" t="s">
        <v>1639</v>
      </c>
      <c r="D581" s="1182" t="s">
        <v>1805</v>
      </c>
      <c r="E581" s="1182" t="s">
        <v>1806</v>
      </c>
      <c r="F581" s="1182" t="s">
        <v>1836</v>
      </c>
      <c r="G581" s="1182" t="s">
        <v>1836</v>
      </c>
      <c r="H581" s="1182" t="s">
        <v>3634</v>
      </c>
      <c r="I581" s="1182" t="s">
        <v>1809</v>
      </c>
      <c r="J581" s="1182" t="s">
        <v>3638</v>
      </c>
      <c r="K581" s="1182" t="s">
        <v>1811</v>
      </c>
      <c r="L581" s="1182" t="s">
        <v>1812</v>
      </c>
      <c r="M581" s="1182" t="s">
        <v>1803</v>
      </c>
      <c r="N581" s="1182" t="s">
        <v>2922</v>
      </c>
      <c r="O581" s="1182" t="s">
        <v>1554</v>
      </c>
      <c r="P581" s="1182" t="s">
        <v>1563</v>
      </c>
      <c r="Q581" s="1182" t="s">
        <v>1562</v>
      </c>
      <c r="R581" s="1182" t="s">
        <v>1561</v>
      </c>
      <c r="S581" s="1182" t="s">
        <v>1639</v>
      </c>
      <c r="T581" s="1182" t="s">
        <v>1814</v>
      </c>
      <c r="U581" s="1182" t="s">
        <v>1815</v>
      </c>
      <c r="V581" s="1182">
        <v>0</v>
      </c>
      <c r="W581" s="1182">
        <v>0</v>
      </c>
      <c r="X581" s="1182">
        <v>0</v>
      </c>
      <c r="Y581" s="1183">
        <v>3133</v>
      </c>
      <c r="Z581" s="1182" t="s">
        <v>2923</v>
      </c>
      <c r="AA581" s="1182" t="s">
        <v>2924</v>
      </c>
      <c r="AB581" s="1182">
        <v>3133</v>
      </c>
      <c r="AC581" s="1182" t="s">
        <v>2925</v>
      </c>
      <c r="AD581" s="1182" t="s">
        <v>1561</v>
      </c>
      <c r="AE581" s="1182">
        <v>3133</v>
      </c>
      <c r="AF581" s="1182" t="s">
        <v>1819</v>
      </c>
      <c r="AG581" s="1182" t="s">
        <v>1820</v>
      </c>
      <c r="AH581" s="1182">
        <v>284</v>
      </c>
      <c r="AI581" s="1182">
        <v>2849</v>
      </c>
      <c r="AJ581" s="1182" t="s">
        <v>3636</v>
      </c>
      <c r="AL581" s="1186" t="s">
        <v>3639</v>
      </c>
      <c r="AM581" s="1182">
        <v>1</v>
      </c>
      <c r="AN581" s="1182">
        <v>0</v>
      </c>
      <c r="AO581" s="1182">
        <v>0</v>
      </c>
      <c r="AP581" s="1182">
        <v>0</v>
      </c>
      <c r="AQ581" s="1182" t="s">
        <v>1639</v>
      </c>
      <c r="AS581" s="1186" t="s">
        <v>1819</v>
      </c>
      <c r="AT581" s="1186" t="s">
        <v>1820</v>
      </c>
      <c r="AV581" s="1185">
        <v>0</v>
      </c>
      <c r="AW581" s="1185">
        <v>0</v>
      </c>
      <c r="AX581" s="1185">
        <v>0</v>
      </c>
      <c r="AY581" s="1539">
        <v>0</v>
      </c>
      <c r="AZ581" s="1185">
        <v>0</v>
      </c>
      <c r="BA581" s="1185">
        <v>3133</v>
      </c>
      <c r="BB581" s="1540">
        <v>3133</v>
      </c>
      <c r="BC581" s="1540">
        <v>3133</v>
      </c>
      <c r="BD581" s="1540">
        <v>0</v>
      </c>
      <c r="BF581" s="1539">
        <f t="shared" si="112"/>
        <v>0</v>
      </c>
      <c r="BG581" s="1539">
        <f t="shared" si="113"/>
        <v>0</v>
      </c>
      <c r="BH581" s="1539">
        <f t="shared" si="114"/>
        <v>0</v>
      </c>
      <c r="BI581" s="1539">
        <f t="shared" si="115"/>
        <v>0</v>
      </c>
      <c r="BJ581" s="1539">
        <f t="shared" si="116"/>
        <v>0</v>
      </c>
      <c r="BK581" s="1539">
        <f t="shared" si="117"/>
        <v>2848</v>
      </c>
      <c r="BL581" s="1539">
        <f t="shared" si="118"/>
        <v>2848</v>
      </c>
      <c r="BM581" s="1539">
        <f t="shared" si="119"/>
        <v>2848</v>
      </c>
      <c r="BO581" s="1183"/>
      <c r="BQ581" s="1182">
        <f t="shared" si="120"/>
        <v>0</v>
      </c>
      <c r="BR581" s="1182">
        <f t="shared" si="121"/>
        <v>0.18181818181801646</v>
      </c>
    </row>
    <row r="582" spans="1:70" ht="13.5" customHeight="1">
      <c r="A582" s="1182" t="s">
        <v>1803</v>
      </c>
      <c r="B582" s="1182" t="s">
        <v>1804</v>
      </c>
      <c r="C582" s="1182" t="s">
        <v>1639</v>
      </c>
      <c r="D582" s="1182" t="s">
        <v>1805</v>
      </c>
      <c r="E582" s="1182" t="s">
        <v>1806</v>
      </c>
      <c r="F582" s="1182" t="s">
        <v>1844</v>
      </c>
      <c r="G582" s="1182" t="s">
        <v>1844</v>
      </c>
      <c r="H582" s="1182" t="s">
        <v>3640</v>
      </c>
      <c r="I582" s="1182" t="s">
        <v>1809</v>
      </c>
      <c r="J582" s="1182" t="s">
        <v>3641</v>
      </c>
      <c r="K582" s="1182" t="s">
        <v>1811</v>
      </c>
      <c r="L582" s="1182" t="s">
        <v>1812</v>
      </c>
      <c r="M582" s="1182" t="s">
        <v>1803</v>
      </c>
      <c r="N582" s="1182" t="s">
        <v>2922</v>
      </c>
      <c r="O582" s="1182" t="s">
        <v>1554</v>
      </c>
      <c r="P582" s="1182" t="s">
        <v>1563</v>
      </c>
      <c r="Q582" s="1182" t="s">
        <v>1562</v>
      </c>
      <c r="R582" s="1182" t="s">
        <v>1561</v>
      </c>
      <c r="S582" s="1182" t="s">
        <v>1639</v>
      </c>
      <c r="T582" s="1182" t="s">
        <v>1814</v>
      </c>
      <c r="U582" s="1182" t="s">
        <v>1815</v>
      </c>
      <c r="V582" s="1182">
        <v>0</v>
      </c>
      <c r="W582" s="1182">
        <v>0</v>
      </c>
      <c r="X582" s="1182">
        <v>0</v>
      </c>
      <c r="Y582" s="1183">
        <v>6003</v>
      </c>
      <c r="Z582" s="1182" t="s">
        <v>2923</v>
      </c>
      <c r="AA582" s="1182" t="s">
        <v>2924</v>
      </c>
      <c r="AB582" s="1182">
        <v>6003</v>
      </c>
      <c r="AC582" s="1182" t="s">
        <v>2925</v>
      </c>
      <c r="AD582" s="1182" t="s">
        <v>1561</v>
      </c>
      <c r="AE582" s="1182">
        <v>6003</v>
      </c>
      <c r="AF582" s="1182" t="s">
        <v>1819</v>
      </c>
      <c r="AG582" s="1182" t="s">
        <v>1820</v>
      </c>
      <c r="AH582" s="1182">
        <v>545</v>
      </c>
      <c r="AI582" s="1182">
        <v>5458</v>
      </c>
      <c r="AJ582" s="1182" t="s">
        <v>3636</v>
      </c>
      <c r="AL582" s="1186" t="s">
        <v>3642</v>
      </c>
      <c r="AM582" s="1182">
        <v>1</v>
      </c>
      <c r="AN582" s="1182">
        <v>0</v>
      </c>
      <c r="AO582" s="1182">
        <v>0</v>
      </c>
      <c r="AP582" s="1182">
        <v>0</v>
      </c>
      <c r="AQ582" s="1182" t="s">
        <v>1639</v>
      </c>
      <c r="AS582" s="1186" t="s">
        <v>1819</v>
      </c>
      <c r="AT582" s="1186" t="s">
        <v>1820</v>
      </c>
      <c r="AV582" s="1185">
        <v>0</v>
      </c>
      <c r="AW582" s="1185">
        <v>0</v>
      </c>
      <c r="AX582" s="1185">
        <v>0</v>
      </c>
      <c r="AY582" s="1539">
        <v>0</v>
      </c>
      <c r="AZ582" s="1185">
        <v>0</v>
      </c>
      <c r="BA582" s="1185">
        <v>6003</v>
      </c>
      <c r="BB582" s="1540">
        <v>6003</v>
      </c>
      <c r="BC582" s="1540">
        <v>6003</v>
      </c>
      <c r="BD582" s="1540">
        <v>0</v>
      </c>
      <c r="BF582" s="1539">
        <f t="shared" si="112"/>
        <v>0</v>
      </c>
      <c r="BG582" s="1539">
        <f t="shared" si="113"/>
        <v>0</v>
      </c>
      <c r="BH582" s="1539">
        <f t="shared" si="114"/>
        <v>0</v>
      </c>
      <c r="BI582" s="1539">
        <f t="shared" si="115"/>
        <v>0</v>
      </c>
      <c r="BJ582" s="1539">
        <f t="shared" si="116"/>
        <v>0</v>
      </c>
      <c r="BK582" s="1539">
        <f t="shared" si="117"/>
        <v>5457</v>
      </c>
      <c r="BL582" s="1539">
        <f t="shared" si="118"/>
        <v>5457</v>
      </c>
      <c r="BM582" s="1539">
        <f t="shared" si="119"/>
        <v>5457</v>
      </c>
      <c r="BO582" s="1183"/>
      <c r="BQ582" s="1182">
        <f t="shared" si="120"/>
        <v>0</v>
      </c>
      <c r="BR582" s="1182">
        <f t="shared" si="121"/>
        <v>0.27272727272702468</v>
      </c>
    </row>
    <row r="583" spans="1:70" ht="13.5" customHeight="1">
      <c r="A583" s="1182" t="s">
        <v>1803</v>
      </c>
      <c r="B583" s="1182" t="s">
        <v>1804</v>
      </c>
      <c r="C583" s="1182" t="s">
        <v>1639</v>
      </c>
      <c r="D583" s="1182" t="s">
        <v>1805</v>
      </c>
      <c r="E583" s="1182" t="s">
        <v>1806</v>
      </c>
      <c r="F583" s="1182" t="s">
        <v>1844</v>
      </c>
      <c r="G583" s="1182" t="s">
        <v>1844</v>
      </c>
      <c r="H583" s="1182" t="s">
        <v>3640</v>
      </c>
      <c r="I583" s="1182" t="s">
        <v>1809</v>
      </c>
      <c r="J583" s="1182" t="s">
        <v>3643</v>
      </c>
      <c r="K583" s="1182" t="s">
        <v>1811</v>
      </c>
      <c r="L583" s="1182" t="s">
        <v>1812</v>
      </c>
      <c r="M583" s="1182" t="s">
        <v>1803</v>
      </c>
      <c r="N583" s="1182" t="s">
        <v>2922</v>
      </c>
      <c r="O583" s="1182" t="s">
        <v>1554</v>
      </c>
      <c r="P583" s="1182" t="s">
        <v>1563</v>
      </c>
      <c r="Q583" s="1182" t="s">
        <v>1562</v>
      </c>
      <c r="R583" s="1182" t="s">
        <v>1561</v>
      </c>
      <c r="S583" s="1182" t="s">
        <v>1639</v>
      </c>
      <c r="T583" s="1182" t="s">
        <v>1814</v>
      </c>
      <c r="U583" s="1182" t="s">
        <v>1815</v>
      </c>
      <c r="V583" s="1182">
        <v>0</v>
      </c>
      <c r="W583" s="1182">
        <v>0</v>
      </c>
      <c r="X583" s="1182">
        <v>0</v>
      </c>
      <c r="Y583" s="1183">
        <v>3838</v>
      </c>
      <c r="Z583" s="1182" t="s">
        <v>2923</v>
      </c>
      <c r="AA583" s="1182" t="s">
        <v>2924</v>
      </c>
      <c r="AB583" s="1182">
        <v>3838</v>
      </c>
      <c r="AC583" s="1182" t="s">
        <v>2925</v>
      </c>
      <c r="AD583" s="1182" t="s">
        <v>1561</v>
      </c>
      <c r="AE583" s="1182">
        <v>3838</v>
      </c>
      <c r="AF583" s="1182" t="s">
        <v>1819</v>
      </c>
      <c r="AG583" s="1182" t="s">
        <v>1820</v>
      </c>
      <c r="AH583" s="1182">
        <v>348</v>
      </c>
      <c r="AI583" s="1182">
        <v>3490</v>
      </c>
      <c r="AJ583" s="1182" t="s">
        <v>3636</v>
      </c>
      <c r="AL583" s="1186" t="s">
        <v>3644</v>
      </c>
      <c r="AM583" s="1182">
        <v>1</v>
      </c>
      <c r="AN583" s="1182">
        <v>0</v>
      </c>
      <c r="AO583" s="1182">
        <v>0</v>
      </c>
      <c r="AP583" s="1182">
        <v>0</v>
      </c>
      <c r="AQ583" s="1182" t="s">
        <v>1639</v>
      </c>
      <c r="AS583" s="1186" t="s">
        <v>1819</v>
      </c>
      <c r="AT583" s="1186" t="s">
        <v>1820</v>
      </c>
      <c r="AV583" s="1185">
        <v>0</v>
      </c>
      <c r="AW583" s="1185">
        <v>0</v>
      </c>
      <c r="AX583" s="1185">
        <v>0</v>
      </c>
      <c r="AY583" s="1539">
        <v>0</v>
      </c>
      <c r="AZ583" s="1185">
        <v>0</v>
      </c>
      <c r="BA583" s="1185">
        <v>3838</v>
      </c>
      <c r="BB583" s="1540">
        <v>3838</v>
      </c>
      <c r="BC583" s="1540">
        <v>3838</v>
      </c>
      <c r="BD583" s="1540">
        <v>0</v>
      </c>
      <c r="BF583" s="1539">
        <f t="shared" ref="BF583:BF646" si="122">+IFERROR(ROUND(AV583*100/(100+$AT583),0),AV583)</f>
        <v>0</v>
      </c>
      <c r="BG583" s="1539">
        <f t="shared" ref="BG583:BG646" si="123">+IFERROR(ROUND(AW583*100/(100+$AT583),0),AW583)</f>
        <v>0</v>
      </c>
      <c r="BH583" s="1539">
        <f t="shared" ref="BH583:BH646" si="124">+IFERROR(ROUND(AX583*100/(100+$AT583),0),AX583)</f>
        <v>0</v>
      </c>
      <c r="BI583" s="1539">
        <f t="shared" ref="BI583:BI646" si="125">SUM(BF583:BH583)</f>
        <v>0</v>
      </c>
      <c r="BJ583" s="1539">
        <f t="shared" ref="BJ583:BJ646" si="126">+IFERROR(ROUND(AZ583*100/(100+$AT583),0),AZ583)</f>
        <v>0</v>
      </c>
      <c r="BK583" s="1539">
        <f t="shared" ref="BK583:BK646" si="127">+IFERROR(ROUND(BA583*100/(100+$AT583),0),BA583)</f>
        <v>3489</v>
      </c>
      <c r="BL583" s="1539">
        <f t="shared" ref="BL583:BL646" si="128">SUM(BJ583:BK583)</f>
        <v>3489</v>
      </c>
      <c r="BM583" s="1539">
        <f t="shared" ref="BM583:BM646" si="129">+BI583+BL583</f>
        <v>3489</v>
      </c>
      <c r="BO583" s="1183"/>
      <c r="BQ583" s="1182">
        <f t="shared" ref="BQ583:BQ646" si="130">AY583*100/(100+$AT583)-BI583</f>
        <v>0</v>
      </c>
      <c r="BR583" s="1182">
        <f t="shared" ref="BR583:BR646" si="131">BB583*100/(100+$AT583)-BL583</f>
        <v>9.0909090909008228E-2</v>
      </c>
    </row>
    <row r="584" spans="1:70" ht="13.5" customHeight="1">
      <c r="A584" s="1182" t="s">
        <v>1803</v>
      </c>
      <c r="B584" s="1182" t="s">
        <v>1804</v>
      </c>
      <c r="C584" s="1182" t="s">
        <v>1639</v>
      </c>
      <c r="D584" s="1182" t="s">
        <v>1805</v>
      </c>
      <c r="E584" s="1182" t="s">
        <v>1806</v>
      </c>
      <c r="F584" s="1182" t="s">
        <v>1852</v>
      </c>
      <c r="G584" s="1182" t="s">
        <v>1852</v>
      </c>
      <c r="H584" s="1182" t="s">
        <v>3645</v>
      </c>
      <c r="I584" s="1182" t="s">
        <v>1809</v>
      </c>
      <c r="J584" s="1182" t="s">
        <v>3646</v>
      </c>
      <c r="K584" s="1182" t="s">
        <v>1811</v>
      </c>
      <c r="L584" s="1182" t="s">
        <v>1812</v>
      </c>
      <c r="M584" s="1182" t="s">
        <v>1803</v>
      </c>
      <c r="N584" s="1182" t="s">
        <v>2922</v>
      </c>
      <c r="O584" s="1182" t="s">
        <v>1554</v>
      </c>
      <c r="P584" s="1182" t="s">
        <v>1563</v>
      </c>
      <c r="Q584" s="1182" t="s">
        <v>1562</v>
      </c>
      <c r="R584" s="1182" t="s">
        <v>1561</v>
      </c>
      <c r="S584" s="1182" t="s">
        <v>1639</v>
      </c>
      <c r="T584" s="1182" t="s">
        <v>1814</v>
      </c>
      <c r="U584" s="1182" t="s">
        <v>1815</v>
      </c>
      <c r="V584" s="1182">
        <v>0</v>
      </c>
      <c r="W584" s="1182">
        <v>0</v>
      </c>
      <c r="X584" s="1182">
        <v>0</v>
      </c>
      <c r="Y584" s="1183">
        <v>3799</v>
      </c>
      <c r="Z584" s="1182" t="s">
        <v>2923</v>
      </c>
      <c r="AA584" s="1182" t="s">
        <v>2924</v>
      </c>
      <c r="AB584" s="1182">
        <v>3799</v>
      </c>
      <c r="AC584" s="1182" t="s">
        <v>2925</v>
      </c>
      <c r="AD584" s="1182" t="s">
        <v>1561</v>
      </c>
      <c r="AE584" s="1182">
        <v>3799</v>
      </c>
      <c r="AF584" s="1182" t="s">
        <v>1819</v>
      </c>
      <c r="AG584" s="1182" t="s">
        <v>1820</v>
      </c>
      <c r="AH584" s="1182">
        <v>345</v>
      </c>
      <c r="AI584" s="1182">
        <v>3454</v>
      </c>
      <c r="AJ584" s="1182" t="s">
        <v>3636</v>
      </c>
      <c r="AL584" s="1186" t="s">
        <v>3647</v>
      </c>
      <c r="AM584" s="1182">
        <v>1</v>
      </c>
      <c r="AN584" s="1182">
        <v>0</v>
      </c>
      <c r="AO584" s="1182">
        <v>0</v>
      </c>
      <c r="AP584" s="1182">
        <v>0</v>
      </c>
      <c r="AQ584" s="1182" t="s">
        <v>1639</v>
      </c>
      <c r="AS584" s="1186" t="s">
        <v>1819</v>
      </c>
      <c r="AT584" s="1186" t="s">
        <v>1820</v>
      </c>
      <c r="AV584" s="1185">
        <v>0</v>
      </c>
      <c r="AW584" s="1185">
        <v>0</v>
      </c>
      <c r="AX584" s="1185">
        <v>0</v>
      </c>
      <c r="AY584" s="1539">
        <v>0</v>
      </c>
      <c r="AZ584" s="1185">
        <v>0</v>
      </c>
      <c r="BA584" s="1185">
        <v>3799</v>
      </c>
      <c r="BB584" s="1540">
        <v>3799</v>
      </c>
      <c r="BC584" s="1540">
        <v>3799</v>
      </c>
      <c r="BD584" s="1540">
        <v>0</v>
      </c>
      <c r="BF584" s="1539">
        <f t="shared" si="122"/>
        <v>0</v>
      </c>
      <c r="BG584" s="1539">
        <f t="shared" si="123"/>
        <v>0</v>
      </c>
      <c r="BH584" s="1539">
        <f t="shared" si="124"/>
        <v>0</v>
      </c>
      <c r="BI584" s="1539">
        <f t="shared" si="125"/>
        <v>0</v>
      </c>
      <c r="BJ584" s="1539">
        <f t="shared" si="126"/>
        <v>0</v>
      </c>
      <c r="BK584" s="1539">
        <f t="shared" si="127"/>
        <v>3454</v>
      </c>
      <c r="BL584" s="1539">
        <f t="shared" si="128"/>
        <v>3454</v>
      </c>
      <c r="BM584" s="1539">
        <f t="shared" si="129"/>
        <v>3454</v>
      </c>
      <c r="BO584" s="1183"/>
      <c r="BQ584" s="1182">
        <f t="shared" si="130"/>
        <v>0</v>
      </c>
      <c r="BR584" s="1182">
        <f t="shared" si="131"/>
        <v>-0.36363636363648766</v>
      </c>
    </row>
    <row r="585" spans="1:70" ht="13.5" customHeight="1">
      <c r="A585" s="1182" t="s">
        <v>1803</v>
      </c>
      <c r="B585" s="1182" t="s">
        <v>1804</v>
      </c>
      <c r="C585" s="1182" t="s">
        <v>1639</v>
      </c>
      <c r="D585" s="1182" t="s">
        <v>1805</v>
      </c>
      <c r="E585" s="1182" t="s">
        <v>1806</v>
      </c>
      <c r="F585" s="1182" t="s">
        <v>1852</v>
      </c>
      <c r="G585" s="1182" t="s">
        <v>1852</v>
      </c>
      <c r="H585" s="1182" t="s">
        <v>3645</v>
      </c>
      <c r="I585" s="1182" t="s">
        <v>1809</v>
      </c>
      <c r="J585" s="1182" t="s">
        <v>3648</v>
      </c>
      <c r="K585" s="1182" t="s">
        <v>1811</v>
      </c>
      <c r="L585" s="1182" t="s">
        <v>1812</v>
      </c>
      <c r="M585" s="1182" t="s">
        <v>1803</v>
      </c>
      <c r="N585" s="1182" t="s">
        <v>2922</v>
      </c>
      <c r="O585" s="1182" t="s">
        <v>1554</v>
      </c>
      <c r="P585" s="1182" t="s">
        <v>1563</v>
      </c>
      <c r="Q585" s="1182" t="s">
        <v>1562</v>
      </c>
      <c r="R585" s="1182" t="s">
        <v>1561</v>
      </c>
      <c r="S585" s="1182" t="s">
        <v>1639</v>
      </c>
      <c r="T585" s="1182" t="s">
        <v>1814</v>
      </c>
      <c r="U585" s="1182" t="s">
        <v>1815</v>
      </c>
      <c r="V585" s="1182">
        <v>0</v>
      </c>
      <c r="W585" s="1182">
        <v>0</v>
      </c>
      <c r="X585" s="1182">
        <v>0</v>
      </c>
      <c r="Y585" s="1183">
        <v>3928</v>
      </c>
      <c r="Z585" s="1182" t="s">
        <v>2923</v>
      </c>
      <c r="AA585" s="1182" t="s">
        <v>2924</v>
      </c>
      <c r="AB585" s="1182">
        <v>3928</v>
      </c>
      <c r="AC585" s="1182" t="s">
        <v>2925</v>
      </c>
      <c r="AD585" s="1182" t="s">
        <v>1561</v>
      </c>
      <c r="AE585" s="1182">
        <v>3928</v>
      </c>
      <c r="AF585" s="1182" t="s">
        <v>1819</v>
      </c>
      <c r="AG585" s="1182" t="s">
        <v>1820</v>
      </c>
      <c r="AH585" s="1182">
        <v>357</v>
      </c>
      <c r="AI585" s="1182">
        <v>3571</v>
      </c>
      <c r="AJ585" s="1182" t="s">
        <v>3636</v>
      </c>
      <c r="AL585" s="1186" t="s">
        <v>3649</v>
      </c>
      <c r="AM585" s="1182">
        <v>1</v>
      </c>
      <c r="AN585" s="1182">
        <v>0</v>
      </c>
      <c r="AO585" s="1182">
        <v>0</v>
      </c>
      <c r="AP585" s="1182">
        <v>0</v>
      </c>
      <c r="AQ585" s="1182" t="s">
        <v>1639</v>
      </c>
      <c r="AS585" s="1186" t="s">
        <v>1819</v>
      </c>
      <c r="AT585" s="1186" t="s">
        <v>1820</v>
      </c>
      <c r="AV585" s="1185">
        <v>0</v>
      </c>
      <c r="AW585" s="1185">
        <v>0</v>
      </c>
      <c r="AX585" s="1185">
        <v>0</v>
      </c>
      <c r="AY585" s="1539">
        <v>0</v>
      </c>
      <c r="AZ585" s="1185">
        <v>0</v>
      </c>
      <c r="BA585" s="1185">
        <v>3928</v>
      </c>
      <c r="BB585" s="1540">
        <v>3928</v>
      </c>
      <c r="BC585" s="1540">
        <v>3928</v>
      </c>
      <c r="BD585" s="1540">
        <v>0</v>
      </c>
      <c r="BF585" s="1539">
        <f t="shared" si="122"/>
        <v>0</v>
      </c>
      <c r="BG585" s="1539">
        <f t="shared" si="123"/>
        <v>0</v>
      </c>
      <c r="BH585" s="1539">
        <f t="shared" si="124"/>
        <v>0</v>
      </c>
      <c r="BI585" s="1539">
        <f t="shared" si="125"/>
        <v>0</v>
      </c>
      <c r="BJ585" s="1539">
        <f t="shared" si="126"/>
        <v>0</v>
      </c>
      <c r="BK585" s="1539">
        <f t="shared" si="127"/>
        <v>3571</v>
      </c>
      <c r="BL585" s="1539">
        <f t="shared" si="128"/>
        <v>3571</v>
      </c>
      <c r="BM585" s="1539">
        <f t="shared" si="129"/>
        <v>3571</v>
      </c>
      <c r="BO585" s="1183"/>
      <c r="BQ585" s="1182">
        <f t="shared" si="130"/>
        <v>0</v>
      </c>
      <c r="BR585" s="1182">
        <f t="shared" si="131"/>
        <v>-9.0909090909008228E-2</v>
      </c>
    </row>
    <row r="586" spans="1:70" ht="13.5" customHeight="1">
      <c r="A586" s="1182" t="s">
        <v>1803</v>
      </c>
      <c r="B586" s="1182" t="s">
        <v>1804</v>
      </c>
      <c r="C586" s="1182" t="s">
        <v>1639</v>
      </c>
      <c r="D586" s="1182" t="s">
        <v>2909</v>
      </c>
      <c r="E586" s="1182" t="s">
        <v>2910</v>
      </c>
      <c r="F586" s="1182" t="s">
        <v>2657</v>
      </c>
      <c r="G586" s="1182" t="s">
        <v>2657</v>
      </c>
      <c r="H586" s="1182" t="s">
        <v>3650</v>
      </c>
      <c r="I586" s="1182" t="s">
        <v>1809</v>
      </c>
      <c r="J586" s="1182" t="s">
        <v>3651</v>
      </c>
      <c r="K586" s="1182" t="s">
        <v>1811</v>
      </c>
      <c r="L586" s="1182" t="s">
        <v>1812</v>
      </c>
      <c r="M586" s="1182" t="s">
        <v>1803</v>
      </c>
      <c r="N586" s="1182" t="s">
        <v>2922</v>
      </c>
      <c r="O586" s="1182" t="s">
        <v>1554</v>
      </c>
      <c r="P586" s="1182" t="s">
        <v>1563</v>
      </c>
      <c r="Q586" s="1182" t="s">
        <v>1562</v>
      </c>
      <c r="R586" s="1182" t="s">
        <v>1561</v>
      </c>
      <c r="S586" s="1182" t="s">
        <v>1639</v>
      </c>
      <c r="T586" s="1182" t="s">
        <v>1814</v>
      </c>
      <c r="U586" s="1182" t="s">
        <v>1815</v>
      </c>
      <c r="V586" s="1182">
        <v>0</v>
      </c>
      <c r="W586" s="1182">
        <v>0</v>
      </c>
      <c r="X586" s="1182">
        <v>0</v>
      </c>
      <c r="Y586" s="1183">
        <v>5000</v>
      </c>
      <c r="Z586" s="1182" t="s">
        <v>2923</v>
      </c>
      <c r="AA586" s="1182" t="s">
        <v>2924</v>
      </c>
      <c r="AB586" s="1182">
        <v>5000</v>
      </c>
      <c r="AC586" s="1182" t="s">
        <v>2925</v>
      </c>
      <c r="AD586" s="1182" t="s">
        <v>1561</v>
      </c>
      <c r="AE586" s="1182">
        <v>5000</v>
      </c>
      <c r="AF586" s="1182" t="s">
        <v>1819</v>
      </c>
      <c r="AG586" s="1182" t="s">
        <v>1820</v>
      </c>
      <c r="AH586" s="1182">
        <v>454</v>
      </c>
      <c r="AI586" s="1182">
        <v>4546</v>
      </c>
      <c r="AJ586" s="1182" t="s">
        <v>3652</v>
      </c>
      <c r="AL586" s="1186" t="s">
        <v>3653</v>
      </c>
      <c r="AM586" s="1182">
        <v>1</v>
      </c>
      <c r="AN586" s="1182">
        <v>0</v>
      </c>
      <c r="AO586" s="1182">
        <v>0</v>
      </c>
      <c r="AP586" s="1182">
        <v>0</v>
      </c>
      <c r="AQ586" s="1182" t="s">
        <v>1639</v>
      </c>
      <c r="AS586" s="1186" t="s">
        <v>1819</v>
      </c>
      <c r="AT586" s="1186" t="s">
        <v>1820</v>
      </c>
      <c r="AV586" s="1185">
        <v>2500</v>
      </c>
      <c r="AW586" s="1185">
        <v>0</v>
      </c>
      <c r="AX586" s="1185">
        <v>0</v>
      </c>
      <c r="AY586" s="1539">
        <v>2500</v>
      </c>
      <c r="AZ586" s="1185">
        <v>0</v>
      </c>
      <c r="BA586" s="1185">
        <v>2500</v>
      </c>
      <c r="BB586" s="1540">
        <v>2500</v>
      </c>
      <c r="BC586" s="1540">
        <v>5000</v>
      </c>
      <c r="BD586" s="1540">
        <v>0</v>
      </c>
      <c r="BF586" s="1539">
        <f t="shared" si="122"/>
        <v>2273</v>
      </c>
      <c r="BG586" s="1539">
        <f t="shared" si="123"/>
        <v>0</v>
      </c>
      <c r="BH586" s="1539">
        <f t="shared" si="124"/>
        <v>0</v>
      </c>
      <c r="BI586" s="1539">
        <f t="shared" si="125"/>
        <v>2273</v>
      </c>
      <c r="BJ586" s="1539">
        <f t="shared" si="126"/>
        <v>0</v>
      </c>
      <c r="BK586" s="1539">
        <f t="shared" si="127"/>
        <v>2273</v>
      </c>
      <c r="BL586" s="1539">
        <f t="shared" si="128"/>
        <v>2273</v>
      </c>
      <c r="BM586" s="1539">
        <f t="shared" si="129"/>
        <v>4546</v>
      </c>
      <c r="BO586" s="1183"/>
      <c r="BQ586" s="1182">
        <f t="shared" si="130"/>
        <v>-0.27272727272747943</v>
      </c>
      <c r="BR586" s="1182">
        <f t="shared" si="131"/>
        <v>-0.27272727272747943</v>
      </c>
    </row>
    <row r="587" spans="1:70" ht="13.5" customHeight="1">
      <c r="A587" s="1182" t="s">
        <v>1803</v>
      </c>
      <c r="B587" s="1182" t="s">
        <v>1804</v>
      </c>
      <c r="C587" s="1182" t="s">
        <v>1639</v>
      </c>
      <c r="D587" s="1182" t="s">
        <v>2909</v>
      </c>
      <c r="E587" s="1182" t="s">
        <v>2910</v>
      </c>
      <c r="F587" s="1182" t="s">
        <v>2868</v>
      </c>
      <c r="G587" s="1182" t="s">
        <v>2868</v>
      </c>
      <c r="H587" s="1182" t="s">
        <v>3650</v>
      </c>
      <c r="I587" s="1182" t="s">
        <v>1809</v>
      </c>
      <c r="J587" s="1182" t="s">
        <v>3654</v>
      </c>
      <c r="K587" s="1182" t="s">
        <v>1811</v>
      </c>
      <c r="L587" s="1182" t="s">
        <v>1812</v>
      </c>
      <c r="M587" s="1182" t="s">
        <v>1803</v>
      </c>
      <c r="N587" s="1182" t="s">
        <v>2922</v>
      </c>
      <c r="O587" s="1182" t="s">
        <v>1554</v>
      </c>
      <c r="P587" s="1182" t="s">
        <v>1563</v>
      </c>
      <c r="Q587" s="1182" t="s">
        <v>1562</v>
      </c>
      <c r="R587" s="1182" t="s">
        <v>1561</v>
      </c>
      <c r="S587" s="1182" t="s">
        <v>1639</v>
      </c>
      <c r="T587" s="1182" t="s">
        <v>1814</v>
      </c>
      <c r="U587" s="1182" t="s">
        <v>1815</v>
      </c>
      <c r="V587" s="1182">
        <v>0</v>
      </c>
      <c r="W587" s="1182">
        <v>0</v>
      </c>
      <c r="X587" s="1182">
        <v>0</v>
      </c>
      <c r="Y587" s="1183">
        <v>25000</v>
      </c>
      <c r="Z587" s="1182" t="s">
        <v>2923</v>
      </c>
      <c r="AA587" s="1182" t="s">
        <v>2924</v>
      </c>
      <c r="AB587" s="1182">
        <v>25000</v>
      </c>
      <c r="AC587" s="1182" t="s">
        <v>2925</v>
      </c>
      <c r="AD587" s="1182" t="s">
        <v>1561</v>
      </c>
      <c r="AE587" s="1182">
        <v>25000</v>
      </c>
      <c r="AF587" s="1182" t="s">
        <v>1819</v>
      </c>
      <c r="AG587" s="1182" t="s">
        <v>1820</v>
      </c>
      <c r="AH587" s="1182">
        <v>2272</v>
      </c>
      <c r="AI587" s="1182">
        <v>22728</v>
      </c>
      <c r="AJ587" s="1182" t="s">
        <v>3652</v>
      </c>
      <c r="AL587" s="1186" t="s">
        <v>3655</v>
      </c>
      <c r="AM587" s="1182">
        <v>1</v>
      </c>
      <c r="AN587" s="1182">
        <v>0</v>
      </c>
      <c r="AO587" s="1182">
        <v>0</v>
      </c>
      <c r="AP587" s="1182">
        <v>0</v>
      </c>
      <c r="AQ587" s="1182" t="s">
        <v>1639</v>
      </c>
      <c r="AS587" s="1186" t="s">
        <v>1819</v>
      </c>
      <c r="AT587" s="1186" t="s">
        <v>1820</v>
      </c>
      <c r="AV587" s="1183">
        <v>12500</v>
      </c>
      <c r="AW587" s="1183">
        <v>0</v>
      </c>
      <c r="AX587" s="1183">
        <v>0</v>
      </c>
      <c r="AY587" s="1538">
        <v>12500</v>
      </c>
      <c r="AZ587" s="1183">
        <v>0</v>
      </c>
      <c r="BA587" s="1183">
        <v>12500</v>
      </c>
      <c r="BB587" s="1540">
        <v>12500</v>
      </c>
      <c r="BC587" s="1540">
        <v>25000</v>
      </c>
      <c r="BD587" s="1540">
        <v>0</v>
      </c>
      <c r="BF587" s="1539">
        <f t="shared" si="122"/>
        <v>11364</v>
      </c>
      <c r="BG587" s="1539">
        <f t="shared" si="123"/>
        <v>0</v>
      </c>
      <c r="BH587" s="1539">
        <f t="shared" si="124"/>
        <v>0</v>
      </c>
      <c r="BI587" s="1539">
        <f t="shared" si="125"/>
        <v>11364</v>
      </c>
      <c r="BJ587" s="1539">
        <f t="shared" si="126"/>
        <v>0</v>
      </c>
      <c r="BK587" s="1539">
        <f t="shared" si="127"/>
        <v>11364</v>
      </c>
      <c r="BL587" s="1539">
        <f t="shared" si="128"/>
        <v>11364</v>
      </c>
      <c r="BM587" s="1539">
        <f t="shared" si="129"/>
        <v>22728</v>
      </c>
      <c r="BO587" s="1183"/>
      <c r="BQ587" s="1182">
        <f t="shared" si="130"/>
        <v>-0.36363636363603291</v>
      </c>
      <c r="BR587" s="1182">
        <f t="shared" si="131"/>
        <v>-0.36363636363603291</v>
      </c>
    </row>
    <row r="588" spans="1:70" ht="13.5" customHeight="1">
      <c r="A588" s="1182" t="s">
        <v>1803</v>
      </c>
      <c r="B588" s="1182" t="s">
        <v>1804</v>
      </c>
      <c r="C588" s="1182" t="s">
        <v>1639</v>
      </c>
      <c r="D588" s="1182" t="s">
        <v>2866</v>
      </c>
      <c r="E588" s="1182" t="s">
        <v>2867</v>
      </c>
      <c r="F588" s="1182" t="s">
        <v>1864</v>
      </c>
      <c r="G588" s="1182" t="s">
        <v>1864</v>
      </c>
      <c r="H588" s="1182" t="s">
        <v>3656</v>
      </c>
      <c r="I588" s="1182" t="s">
        <v>2933</v>
      </c>
      <c r="J588" s="1182" t="s">
        <v>3657</v>
      </c>
      <c r="K588" s="1182" t="s">
        <v>1811</v>
      </c>
      <c r="L588" s="1182" t="s">
        <v>1812</v>
      </c>
      <c r="M588" s="1182" t="s">
        <v>1803</v>
      </c>
      <c r="N588" s="1182" t="s">
        <v>2922</v>
      </c>
      <c r="O588" s="1182" t="s">
        <v>1554</v>
      </c>
      <c r="P588" s="1182" t="s">
        <v>1563</v>
      </c>
      <c r="Q588" s="1182" t="s">
        <v>1562</v>
      </c>
      <c r="R588" s="1182" t="s">
        <v>1561</v>
      </c>
      <c r="S588" s="1182" t="s">
        <v>1639</v>
      </c>
      <c r="T588" s="1182" t="s">
        <v>1814</v>
      </c>
      <c r="U588" s="1182" t="s">
        <v>1815</v>
      </c>
      <c r="V588" s="1182">
        <v>0</v>
      </c>
      <c r="W588" s="1182">
        <v>0</v>
      </c>
      <c r="X588" s="1182">
        <v>0</v>
      </c>
      <c r="Y588" s="1183">
        <v>-156</v>
      </c>
      <c r="Z588" s="1182" t="s">
        <v>2925</v>
      </c>
      <c r="AA588" s="1182" t="s">
        <v>1561</v>
      </c>
      <c r="AB588" s="1182">
        <v>156</v>
      </c>
      <c r="AC588" s="1182" t="s">
        <v>3116</v>
      </c>
      <c r="AD588" s="1182" t="s">
        <v>3117</v>
      </c>
      <c r="AE588" s="1182">
        <v>156</v>
      </c>
      <c r="AF588" s="1182" t="s">
        <v>1943</v>
      </c>
      <c r="AG588" s="1182" t="s">
        <v>1944</v>
      </c>
      <c r="AH588" s="1182">
        <v>0</v>
      </c>
      <c r="AI588" s="1182">
        <v>-156</v>
      </c>
      <c r="AJ588" s="1182" t="s">
        <v>1639</v>
      </c>
      <c r="AL588" s="1186" t="s">
        <v>3658</v>
      </c>
      <c r="AM588" s="1182">
        <v>1</v>
      </c>
      <c r="AN588" s="1182">
        <v>0</v>
      </c>
      <c r="AO588" s="1182">
        <v>0</v>
      </c>
      <c r="AP588" s="1182" t="s">
        <v>3659</v>
      </c>
      <c r="AQ588" s="1182" t="s">
        <v>1639</v>
      </c>
      <c r="AS588" s="1186" t="s">
        <v>1943</v>
      </c>
      <c r="AT588" s="1186" t="s">
        <v>1944</v>
      </c>
      <c r="AV588" s="1185">
        <v>0</v>
      </c>
      <c r="AW588" s="1185">
        <v>0</v>
      </c>
      <c r="AX588" s="1185">
        <v>0</v>
      </c>
      <c r="AY588" s="1539">
        <v>0</v>
      </c>
      <c r="AZ588" s="1185">
        <v>0</v>
      </c>
      <c r="BA588" s="1185">
        <v>-156</v>
      </c>
      <c r="BB588" s="1540">
        <v>-156</v>
      </c>
      <c r="BC588" s="1540">
        <v>-156</v>
      </c>
      <c r="BD588" s="1540">
        <v>0</v>
      </c>
      <c r="BF588" s="1539">
        <f t="shared" si="122"/>
        <v>0</v>
      </c>
      <c r="BG588" s="1539">
        <f t="shared" si="123"/>
        <v>0</v>
      </c>
      <c r="BH588" s="1539">
        <f t="shared" si="124"/>
        <v>0</v>
      </c>
      <c r="BI588" s="1539">
        <f t="shared" si="125"/>
        <v>0</v>
      </c>
      <c r="BJ588" s="1539">
        <f t="shared" si="126"/>
        <v>0</v>
      </c>
      <c r="BK588" s="1539">
        <f t="shared" si="127"/>
        <v>-156</v>
      </c>
      <c r="BL588" s="1539">
        <f t="shared" si="128"/>
        <v>-156</v>
      </c>
      <c r="BM588" s="1539">
        <f t="shared" si="129"/>
        <v>-156</v>
      </c>
      <c r="BO588" s="1183"/>
      <c r="BQ588" s="1182">
        <f t="shared" si="130"/>
        <v>0</v>
      </c>
      <c r="BR588" s="1182">
        <f t="shared" si="131"/>
        <v>0</v>
      </c>
    </row>
    <row r="589" spans="1:70" ht="13.5" customHeight="1">
      <c r="A589" s="1182" t="s">
        <v>1803</v>
      </c>
      <c r="B589" s="1182" t="s">
        <v>1804</v>
      </c>
      <c r="C589" s="1182" t="s">
        <v>1639</v>
      </c>
      <c r="D589" s="1182" t="s">
        <v>1805</v>
      </c>
      <c r="E589" s="1182" t="s">
        <v>1806</v>
      </c>
      <c r="F589" s="1182" t="s">
        <v>3004</v>
      </c>
      <c r="G589" s="1182" t="s">
        <v>3004</v>
      </c>
      <c r="H589" s="1182" t="s">
        <v>3660</v>
      </c>
      <c r="I589" s="1182" t="s">
        <v>1809</v>
      </c>
      <c r="J589" s="1182" t="s">
        <v>3661</v>
      </c>
      <c r="K589" s="1182" t="s">
        <v>1811</v>
      </c>
      <c r="L589" s="1182" t="s">
        <v>1812</v>
      </c>
      <c r="M589" s="1182" t="s">
        <v>1803</v>
      </c>
      <c r="N589" s="1182" t="s">
        <v>2922</v>
      </c>
      <c r="O589" s="1182" t="s">
        <v>1554</v>
      </c>
      <c r="P589" s="1182" t="s">
        <v>1563</v>
      </c>
      <c r="Q589" s="1182" t="s">
        <v>1562</v>
      </c>
      <c r="R589" s="1182" t="s">
        <v>1561</v>
      </c>
      <c r="S589" s="1182" t="s">
        <v>1639</v>
      </c>
      <c r="T589" s="1182" t="s">
        <v>1814</v>
      </c>
      <c r="U589" s="1182" t="s">
        <v>1815</v>
      </c>
      <c r="V589" s="1182">
        <v>0</v>
      </c>
      <c r="W589" s="1182">
        <v>0</v>
      </c>
      <c r="X589" s="1182">
        <v>0</v>
      </c>
      <c r="Y589" s="1183">
        <v>3841520</v>
      </c>
      <c r="Z589" s="1182" t="s">
        <v>2923</v>
      </c>
      <c r="AA589" s="1182" t="s">
        <v>2924</v>
      </c>
      <c r="AB589" s="1182">
        <v>3841520</v>
      </c>
      <c r="AC589" s="1182" t="s">
        <v>2925</v>
      </c>
      <c r="AD589" s="1182" t="s">
        <v>1561</v>
      </c>
      <c r="AE589" s="1182">
        <v>3841520</v>
      </c>
      <c r="AF589" s="1182" t="s">
        <v>1943</v>
      </c>
      <c r="AG589" s="1182" t="s">
        <v>1944</v>
      </c>
      <c r="AH589" s="1182">
        <v>0</v>
      </c>
      <c r="AI589" s="1182">
        <v>3841520</v>
      </c>
      <c r="AJ589" s="1182" t="s">
        <v>1834</v>
      </c>
      <c r="AL589" s="1186" t="s">
        <v>3662</v>
      </c>
      <c r="AM589" s="1182">
        <v>1</v>
      </c>
      <c r="AN589" s="1182">
        <v>0</v>
      </c>
      <c r="AO589" s="1182">
        <v>0</v>
      </c>
      <c r="AP589" s="1182">
        <v>0</v>
      </c>
      <c r="AQ589" s="1182" t="s">
        <v>1639</v>
      </c>
      <c r="AS589" s="1186" t="s">
        <v>1943</v>
      </c>
      <c r="AT589" s="1186" t="s">
        <v>1944</v>
      </c>
      <c r="AV589" s="1185">
        <v>0</v>
      </c>
      <c r="AW589" s="1185">
        <v>0</v>
      </c>
      <c r="AX589" s="1185">
        <v>0</v>
      </c>
      <c r="AY589" s="1539">
        <v>0</v>
      </c>
      <c r="AZ589" s="1185">
        <v>0</v>
      </c>
      <c r="BA589" s="1185">
        <v>3841520</v>
      </c>
      <c r="BB589" s="1540">
        <v>3841520</v>
      </c>
      <c r="BC589" s="1540">
        <v>3841520</v>
      </c>
      <c r="BD589" s="1540">
        <v>0</v>
      </c>
      <c r="BF589" s="1539">
        <f t="shared" si="122"/>
        <v>0</v>
      </c>
      <c r="BG589" s="1539">
        <f t="shared" si="123"/>
        <v>0</v>
      </c>
      <c r="BH589" s="1539">
        <f t="shared" si="124"/>
        <v>0</v>
      </c>
      <c r="BI589" s="1539">
        <f t="shared" si="125"/>
        <v>0</v>
      </c>
      <c r="BJ589" s="1539">
        <f t="shared" si="126"/>
        <v>0</v>
      </c>
      <c r="BK589" s="1539">
        <f t="shared" si="127"/>
        <v>3841520</v>
      </c>
      <c r="BL589" s="1539">
        <f t="shared" si="128"/>
        <v>3841520</v>
      </c>
      <c r="BM589" s="1539">
        <f t="shared" si="129"/>
        <v>3841520</v>
      </c>
      <c r="BO589" s="1183"/>
      <c r="BQ589" s="1182">
        <f t="shared" si="130"/>
        <v>0</v>
      </c>
      <c r="BR589" s="1182">
        <f t="shared" si="131"/>
        <v>0</v>
      </c>
    </row>
    <row r="590" spans="1:70" ht="13.5" customHeight="1">
      <c r="A590" s="1182" t="s">
        <v>1803</v>
      </c>
      <c r="B590" s="1182" t="s">
        <v>1804</v>
      </c>
      <c r="C590" s="1182" t="s">
        <v>1639</v>
      </c>
      <c r="D590" s="1182" t="s">
        <v>1805</v>
      </c>
      <c r="E590" s="1182" t="s">
        <v>1806</v>
      </c>
      <c r="F590" s="1182" t="s">
        <v>3110</v>
      </c>
      <c r="G590" s="1182" t="s">
        <v>3110</v>
      </c>
      <c r="H590" s="1182" t="s">
        <v>3663</v>
      </c>
      <c r="I590" s="1182" t="s">
        <v>2933</v>
      </c>
      <c r="J590" s="1182" t="s">
        <v>3664</v>
      </c>
      <c r="K590" s="1182" t="s">
        <v>1811</v>
      </c>
      <c r="L590" s="1182" t="s">
        <v>1812</v>
      </c>
      <c r="M590" s="1182" t="s">
        <v>1803</v>
      </c>
      <c r="N590" s="1182" t="s">
        <v>2922</v>
      </c>
      <c r="O590" s="1182" t="s">
        <v>1554</v>
      </c>
      <c r="P590" s="1182" t="s">
        <v>1563</v>
      </c>
      <c r="Q590" s="1182" t="s">
        <v>1562</v>
      </c>
      <c r="R590" s="1182" t="s">
        <v>1561</v>
      </c>
      <c r="S590" s="1182" t="s">
        <v>1639</v>
      </c>
      <c r="T590" s="1182" t="s">
        <v>1814</v>
      </c>
      <c r="U590" s="1182" t="s">
        <v>1815</v>
      </c>
      <c r="V590" s="1182">
        <v>0</v>
      </c>
      <c r="W590" s="1182">
        <v>0</v>
      </c>
      <c r="X590" s="1182">
        <v>0</v>
      </c>
      <c r="Y590" s="1183">
        <v>30120</v>
      </c>
      <c r="Z590" s="1182" t="s">
        <v>2923</v>
      </c>
      <c r="AA590" s="1182" t="s">
        <v>2924</v>
      </c>
      <c r="AB590" s="1182">
        <v>30120</v>
      </c>
      <c r="AC590" s="1182" t="s">
        <v>2925</v>
      </c>
      <c r="AD590" s="1182" t="s">
        <v>1561</v>
      </c>
      <c r="AE590" s="1182">
        <v>30120</v>
      </c>
      <c r="AF590" s="1182" t="s">
        <v>1943</v>
      </c>
      <c r="AG590" s="1182" t="s">
        <v>1944</v>
      </c>
      <c r="AH590" s="1182">
        <v>0</v>
      </c>
      <c r="AI590" s="1182">
        <v>30120</v>
      </c>
      <c r="AJ590" s="1182" t="s">
        <v>1639</v>
      </c>
      <c r="AL590" s="1186" t="s">
        <v>3665</v>
      </c>
      <c r="AM590" s="1182">
        <v>1</v>
      </c>
      <c r="AN590" s="1182">
        <v>0</v>
      </c>
      <c r="AO590" s="1182">
        <v>0</v>
      </c>
      <c r="AP590" s="1182">
        <v>0</v>
      </c>
      <c r="AQ590" s="1182" t="s">
        <v>1639</v>
      </c>
      <c r="AS590" s="1186" t="s">
        <v>1943</v>
      </c>
      <c r="AT590" s="1186" t="s">
        <v>1944</v>
      </c>
      <c r="AV590" s="1185">
        <v>0</v>
      </c>
      <c r="AW590" s="1185">
        <v>0</v>
      </c>
      <c r="AX590" s="1185">
        <v>0</v>
      </c>
      <c r="AY590" s="1539">
        <v>0</v>
      </c>
      <c r="AZ590" s="1185">
        <v>0</v>
      </c>
      <c r="BA590" s="1185">
        <v>30120</v>
      </c>
      <c r="BB590" s="1540">
        <v>30120</v>
      </c>
      <c r="BC590" s="1540">
        <v>30120</v>
      </c>
      <c r="BD590" s="1540">
        <v>0</v>
      </c>
      <c r="BF590" s="1539">
        <f t="shared" si="122"/>
        <v>0</v>
      </c>
      <c r="BG590" s="1539">
        <f t="shared" si="123"/>
        <v>0</v>
      </c>
      <c r="BH590" s="1539">
        <f t="shared" si="124"/>
        <v>0</v>
      </c>
      <c r="BI590" s="1539">
        <f t="shared" si="125"/>
        <v>0</v>
      </c>
      <c r="BJ590" s="1539">
        <f t="shared" si="126"/>
        <v>0</v>
      </c>
      <c r="BK590" s="1539">
        <f t="shared" si="127"/>
        <v>30120</v>
      </c>
      <c r="BL590" s="1539">
        <f t="shared" si="128"/>
        <v>30120</v>
      </c>
      <c r="BM590" s="1539">
        <f t="shared" si="129"/>
        <v>30120</v>
      </c>
      <c r="BO590" s="1183"/>
      <c r="BQ590" s="1182">
        <f t="shared" si="130"/>
        <v>0</v>
      </c>
      <c r="BR590" s="1182">
        <f t="shared" si="131"/>
        <v>0</v>
      </c>
    </row>
    <row r="591" spans="1:70" ht="13.5" customHeight="1">
      <c r="A591" s="1182" t="s">
        <v>1803</v>
      </c>
      <c r="B591" s="1182" t="s">
        <v>1804</v>
      </c>
      <c r="C591" s="1182" t="s">
        <v>1639</v>
      </c>
      <c r="D591" s="1182" t="s">
        <v>2590</v>
      </c>
      <c r="E591" s="1182" t="s">
        <v>2591</v>
      </c>
      <c r="F591" s="1182" t="s">
        <v>2270</v>
      </c>
      <c r="G591" s="1182" t="s">
        <v>2270</v>
      </c>
      <c r="H591" s="1182" t="s">
        <v>3666</v>
      </c>
      <c r="I591" s="1182" t="s">
        <v>1937</v>
      </c>
      <c r="J591" s="1182" t="s">
        <v>3667</v>
      </c>
      <c r="K591" s="1182" t="s">
        <v>1811</v>
      </c>
      <c r="L591" s="1182" t="s">
        <v>1812</v>
      </c>
      <c r="M591" s="1182" t="s">
        <v>1803</v>
      </c>
      <c r="N591" s="1182" t="s">
        <v>2922</v>
      </c>
      <c r="O591" s="1182" t="s">
        <v>1554</v>
      </c>
      <c r="P591" s="1182" t="s">
        <v>1563</v>
      </c>
      <c r="Q591" s="1182" t="s">
        <v>1562</v>
      </c>
      <c r="R591" s="1182" t="s">
        <v>1561</v>
      </c>
      <c r="S591" s="1182" t="s">
        <v>1639</v>
      </c>
      <c r="T591" s="1182" t="s">
        <v>1814</v>
      </c>
      <c r="U591" s="1182" t="s">
        <v>1815</v>
      </c>
      <c r="V591" s="1182">
        <v>0</v>
      </c>
      <c r="W591" s="1182">
        <v>0</v>
      </c>
      <c r="X591" s="1182">
        <v>0</v>
      </c>
      <c r="Y591" s="1183">
        <v>16700</v>
      </c>
      <c r="Z591" s="1182" t="s">
        <v>1940</v>
      </c>
      <c r="AA591" s="1182" t="s">
        <v>1941</v>
      </c>
      <c r="AB591" s="1182">
        <v>16700</v>
      </c>
      <c r="AC591" s="1182" t="s">
        <v>2925</v>
      </c>
      <c r="AD591" s="1182" t="s">
        <v>1561</v>
      </c>
      <c r="AE591" s="1182">
        <v>16700</v>
      </c>
      <c r="AF591" s="1182" t="s">
        <v>1943</v>
      </c>
      <c r="AG591" s="1182" t="s">
        <v>1944</v>
      </c>
      <c r="AH591" s="1182">
        <v>0</v>
      </c>
      <c r="AI591" s="1182">
        <v>16700</v>
      </c>
      <c r="AJ591" s="1182" t="s">
        <v>3668</v>
      </c>
      <c r="AL591" s="1186" t="s">
        <v>3669</v>
      </c>
      <c r="AM591" s="1182">
        <v>1</v>
      </c>
      <c r="AN591" s="1182">
        <v>0</v>
      </c>
      <c r="AO591" s="1182">
        <v>0</v>
      </c>
      <c r="AP591" s="1182" t="s">
        <v>2949</v>
      </c>
      <c r="AQ591" s="1182" t="s">
        <v>1639</v>
      </c>
      <c r="AS591" s="1186" t="s">
        <v>1943</v>
      </c>
      <c r="AT591" s="1186" t="s">
        <v>1944</v>
      </c>
      <c r="AV591" s="1185">
        <v>0</v>
      </c>
      <c r="AW591" s="1185">
        <v>0</v>
      </c>
      <c r="AX591" s="1185">
        <v>16700</v>
      </c>
      <c r="AY591" s="1539">
        <v>16700</v>
      </c>
      <c r="AZ591" s="1185">
        <v>0</v>
      </c>
      <c r="BA591" s="1185">
        <v>0</v>
      </c>
      <c r="BB591" s="1540">
        <v>0</v>
      </c>
      <c r="BC591" s="1540">
        <v>16700</v>
      </c>
      <c r="BD591" s="1540">
        <v>0</v>
      </c>
      <c r="BF591" s="1539">
        <f t="shared" si="122"/>
        <v>0</v>
      </c>
      <c r="BG591" s="1539">
        <f t="shared" si="123"/>
        <v>0</v>
      </c>
      <c r="BH591" s="1539">
        <f t="shared" si="124"/>
        <v>16700</v>
      </c>
      <c r="BI591" s="1539">
        <f t="shared" si="125"/>
        <v>16700</v>
      </c>
      <c r="BJ591" s="1539">
        <f t="shared" si="126"/>
        <v>0</v>
      </c>
      <c r="BK591" s="1539">
        <f t="shared" si="127"/>
        <v>0</v>
      </c>
      <c r="BL591" s="1539">
        <f t="shared" si="128"/>
        <v>0</v>
      </c>
      <c r="BM591" s="1539">
        <f t="shared" si="129"/>
        <v>16700</v>
      </c>
      <c r="BO591" s="1183"/>
      <c r="BQ591" s="1182">
        <f t="shared" si="130"/>
        <v>0</v>
      </c>
      <c r="BR591" s="1182">
        <f t="shared" si="131"/>
        <v>0</v>
      </c>
    </row>
    <row r="592" spans="1:70" ht="13.5" customHeight="1">
      <c r="A592" s="1182" t="s">
        <v>1803</v>
      </c>
      <c r="B592" s="1182" t="s">
        <v>1804</v>
      </c>
      <c r="C592" s="1182" t="s">
        <v>1639</v>
      </c>
      <c r="D592" s="1182" t="s">
        <v>2590</v>
      </c>
      <c r="E592" s="1182" t="s">
        <v>2591</v>
      </c>
      <c r="F592" s="1182" t="s">
        <v>2862</v>
      </c>
      <c r="G592" s="1182" t="s">
        <v>2862</v>
      </c>
      <c r="H592" s="1182" t="s">
        <v>3670</v>
      </c>
      <c r="I592" s="1182" t="s">
        <v>1937</v>
      </c>
      <c r="J592" s="1182" t="s">
        <v>3674</v>
      </c>
      <c r="K592" s="1182" t="s">
        <v>1811</v>
      </c>
      <c r="L592" s="1182" t="s">
        <v>1812</v>
      </c>
      <c r="M592" s="1182" t="s">
        <v>1803</v>
      </c>
      <c r="N592" s="1182" t="s">
        <v>2922</v>
      </c>
      <c r="O592" s="1182" t="s">
        <v>1554</v>
      </c>
      <c r="P592" s="1182" t="s">
        <v>1563</v>
      </c>
      <c r="Q592" s="1182" t="s">
        <v>1562</v>
      </c>
      <c r="R592" s="1182" t="s">
        <v>1561</v>
      </c>
      <c r="S592" s="1182" t="s">
        <v>1639</v>
      </c>
      <c r="T592" s="1182" t="s">
        <v>1814</v>
      </c>
      <c r="U592" s="1182" t="s">
        <v>1815</v>
      </c>
      <c r="V592" s="1182">
        <v>0</v>
      </c>
      <c r="W592" s="1182">
        <v>0</v>
      </c>
      <c r="X592" s="1182">
        <v>0</v>
      </c>
      <c r="Y592" s="1183">
        <v>7700</v>
      </c>
      <c r="Z592" s="1182" t="s">
        <v>1940</v>
      </c>
      <c r="AA592" s="1182" t="s">
        <v>1941</v>
      </c>
      <c r="AB592" s="1182">
        <v>7700</v>
      </c>
      <c r="AC592" s="1182" t="s">
        <v>2925</v>
      </c>
      <c r="AD592" s="1182" t="s">
        <v>1561</v>
      </c>
      <c r="AE592" s="1182">
        <v>7700</v>
      </c>
      <c r="AF592" s="1182" t="s">
        <v>1943</v>
      </c>
      <c r="AG592" s="1182" t="s">
        <v>1944</v>
      </c>
      <c r="AH592" s="1182">
        <v>0</v>
      </c>
      <c r="AI592" s="1182">
        <v>7700</v>
      </c>
      <c r="AJ592" s="1182" t="s">
        <v>3675</v>
      </c>
      <c r="AL592" s="1186" t="s">
        <v>3676</v>
      </c>
      <c r="AM592" s="1182">
        <v>1</v>
      </c>
      <c r="AN592" s="1182">
        <v>0</v>
      </c>
      <c r="AO592" s="1182">
        <v>0</v>
      </c>
      <c r="AP592" s="1182" t="s">
        <v>2949</v>
      </c>
      <c r="AQ592" s="1182" t="s">
        <v>1639</v>
      </c>
      <c r="AS592" s="1186" t="s">
        <v>1943</v>
      </c>
      <c r="AT592" s="1186" t="s">
        <v>1944</v>
      </c>
      <c r="AV592" s="1185">
        <v>0</v>
      </c>
      <c r="AW592" s="1185">
        <v>0</v>
      </c>
      <c r="AX592" s="1185">
        <v>7700</v>
      </c>
      <c r="AY592" s="1539">
        <v>7700</v>
      </c>
      <c r="AZ592" s="1185">
        <v>0</v>
      </c>
      <c r="BA592" s="1185">
        <v>0</v>
      </c>
      <c r="BB592" s="1540">
        <v>0</v>
      </c>
      <c r="BC592" s="1540">
        <v>7700</v>
      </c>
      <c r="BD592" s="1540">
        <v>0</v>
      </c>
      <c r="BF592" s="1539">
        <f t="shared" si="122"/>
        <v>0</v>
      </c>
      <c r="BG592" s="1539">
        <f t="shared" si="123"/>
        <v>0</v>
      </c>
      <c r="BH592" s="1539">
        <f t="shared" si="124"/>
        <v>7700</v>
      </c>
      <c r="BI592" s="1539">
        <f t="shared" si="125"/>
        <v>7700</v>
      </c>
      <c r="BJ592" s="1539">
        <f t="shared" si="126"/>
        <v>0</v>
      </c>
      <c r="BK592" s="1539">
        <f t="shared" si="127"/>
        <v>0</v>
      </c>
      <c r="BL592" s="1539">
        <f t="shared" si="128"/>
        <v>0</v>
      </c>
      <c r="BM592" s="1539">
        <f t="shared" si="129"/>
        <v>7700</v>
      </c>
      <c r="BO592" s="1183"/>
      <c r="BQ592" s="1182">
        <f t="shared" si="130"/>
        <v>0</v>
      </c>
      <c r="BR592" s="1182">
        <f t="shared" si="131"/>
        <v>0</v>
      </c>
    </row>
    <row r="593" spans="1:70" ht="13.5" customHeight="1">
      <c r="A593" s="1182" t="s">
        <v>1803</v>
      </c>
      <c r="B593" s="1182" t="s">
        <v>1804</v>
      </c>
      <c r="C593" s="1182" t="s">
        <v>1639</v>
      </c>
      <c r="D593" s="1182" t="s">
        <v>2590</v>
      </c>
      <c r="E593" s="1182" t="s">
        <v>2591</v>
      </c>
      <c r="F593" s="1182" t="s">
        <v>2821</v>
      </c>
      <c r="G593" s="1182" t="s">
        <v>2821</v>
      </c>
      <c r="H593" s="1182" t="s">
        <v>3670</v>
      </c>
      <c r="I593" s="1182" t="s">
        <v>1937</v>
      </c>
      <c r="J593" s="1182" t="s">
        <v>3671</v>
      </c>
      <c r="K593" s="1182" t="s">
        <v>1811</v>
      </c>
      <c r="L593" s="1182" t="s">
        <v>1812</v>
      </c>
      <c r="M593" s="1182" t="s">
        <v>1803</v>
      </c>
      <c r="N593" s="1182" t="s">
        <v>2922</v>
      </c>
      <c r="O593" s="1182" t="s">
        <v>1554</v>
      </c>
      <c r="P593" s="1182" t="s">
        <v>1563</v>
      </c>
      <c r="Q593" s="1182" t="s">
        <v>1562</v>
      </c>
      <c r="R593" s="1182" t="s">
        <v>1561</v>
      </c>
      <c r="S593" s="1182" t="s">
        <v>1639</v>
      </c>
      <c r="T593" s="1182" t="s">
        <v>1814</v>
      </c>
      <c r="U593" s="1182" t="s">
        <v>1815</v>
      </c>
      <c r="V593" s="1182">
        <v>0</v>
      </c>
      <c r="W593" s="1182">
        <v>0</v>
      </c>
      <c r="X593" s="1182">
        <v>0</v>
      </c>
      <c r="Y593" s="1183">
        <v>9000</v>
      </c>
      <c r="Z593" s="1182" t="s">
        <v>1940</v>
      </c>
      <c r="AA593" s="1182" t="s">
        <v>1941</v>
      </c>
      <c r="AB593" s="1182">
        <v>9000</v>
      </c>
      <c r="AC593" s="1182" t="s">
        <v>2925</v>
      </c>
      <c r="AD593" s="1182" t="s">
        <v>1561</v>
      </c>
      <c r="AE593" s="1182">
        <v>9000</v>
      </c>
      <c r="AF593" s="1182" t="s">
        <v>1943</v>
      </c>
      <c r="AG593" s="1182" t="s">
        <v>1944</v>
      </c>
      <c r="AH593" s="1182">
        <v>0</v>
      </c>
      <c r="AI593" s="1182">
        <v>9000</v>
      </c>
      <c r="AJ593" s="1182" t="s">
        <v>3672</v>
      </c>
      <c r="AL593" s="1186" t="s">
        <v>3673</v>
      </c>
      <c r="AM593" s="1182">
        <v>1</v>
      </c>
      <c r="AN593" s="1182">
        <v>0</v>
      </c>
      <c r="AO593" s="1182">
        <v>0</v>
      </c>
      <c r="AP593" s="1182" t="s">
        <v>2949</v>
      </c>
      <c r="AQ593" s="1182" t="s">
        <v>1639</v>
      </c>
      <c r="AS593" s="1186" t="s">
        <v>1943</v>
      </c>
      <c r="AT593" s="1186" t="s">
        <v>1944</v>
      </c>
      <c r="AV593" s="1185">
        <v>0</v>
      </c>
      <c r="AW593" s="1185">
        <v>0</v>
      </c>
      <c r="AX593" s="1185">
        <v>9000</v>
      </c>
      <c r="AY593" s="1539">
        <v>9000</v>
      </c>
      <c r="AZ593" s="1185">
        <v>0</v>
      </c>
      <c r="BA593" s="1185">
        <v>0</v>
      </c>
      <c r="BB593" s="1540">
        <v>0</v>
      </c>
      <c r="BC593" s="1540">
        <v>9000</v>
      </c>
      <c r="BD593" s="1540">
        <v>0</v>
      </c>
      <c r="BF593" s="1539">
        <f t="shared" si="122"/>
        <v>0</v>
      </c>
      <c r="BG593" s="1539">
        <f t="shared" si="123"/>
        <v>0</v>
      </c>
      <c r="BH593" s="1539">
        <f t="shared" si="124"/>
        <v>9000</v>
      </c>
      <c r="BI593" s="1539">
        <f t="shared" si="125"/>
        <v>9000</v>
      </c>
      <c r="BJ593" s="1539">
        <f t="shared" si="126"/>
        <v>0</v>
      </c>
      <c r="BK593" s="1539">
        <f t="shared" si="127"/>
        <v>0</v>
      </c>
      <c r="BL593" s="1539">
        <f t="shared" si="128"/>
        <v>0</v>
      </c>
      <c r="BM593" s="1539">
        <f t="shared" si="129"/>
        <v>9000</v>
      </c>
      <c r="BO593" s="1183"/>
      <c r="BQ593" s="1182">
        <f t="shared" si="130"/>
        <v>0</v>
      </c>
      <c r="BR593" s="1182">
        <f t="shared" si="131"/>
        <v>0</v>
      </c>
    </row>
    <row r="594" spans="1:70" ht="13.5" customHeight="1">
      <c r="A594" s="1182" t="s">
        <v>1803</v>
      </c>
      <c r="B594" s="1182" t="s">
        <v>1804</v>
      </c>
      <c r="C594" s="1182" t="s">
        <v>1639</v>
      </c>
      <c r="D594" s="1182" t="s">
        <v>2590</v>
      </c>
      <c r="E594" s="1182" t="s">
        <v>2591</v>
      </c>
      <c r="F594" s="1182" t="s">
        <v>2103</v>
      </c>
      <c r="G594" s="1182" t="s">
        <v>2103</v>
      </c>
      <c r="H594" s="1182" t="s">
        <v>3670</v>
      </c>
      <c r="I594" s="1182" t="s">
        <v>1937</v>
      </c>
      <c r="J594" s="1182" t="s">
        <v>3684</v>
      </c>
      <c r="K594" s="1182" t="s">
        <v>1811</v>
      </c>
      <c r="L594" s="1182" t="s">
        <v>1812</v>
      </c>
      <c r="M594" s="1182" t="s">
        <v>1803</v>
      </c>
      <c r="N594" s="1182" t="s">
        <v>2922</v>
      </c>
      <c r="O594" s="1182" t="s">
        <v>1554</v>
      </c>
      <c r="P594" s="1182" t="s">
        <v>1563</v>
      </c>
      <c r="Q594" s="1182" t="s">
        <v>1562</v>
      </c>
      <c r="R594" s="1182" t="s">
        <v>1561</v>
      </c>
      <c r="S594" s="1182" t="s">
        <v>1639</v>
      </c>
      <c r="T594" s="1182" t="s">
        <v>1814</v>
      </c>
      <c r="U594" s="1182" t="s">
        <v>1815</v>
      </c>
      <c r="V594" s="1182">
        <v>0</v>
      </c>
      <c r="W594" s="1182">
        <v>0</v>
      </c>
      <c r="X594" s="1182">
        <v>0</v>
      </c>
      <c r="Y594" s="1183">
        <v>27700</v>
      </c>
      <c r="Z594" s="1182" t="s">
        <v>1940</v>
      </c>
      <c r="AA594" s="1182" t="s">
        <v>1941</v>
      </c>
      <c r="AB594" s="1182">
        <v>27700</v>
      </c>
      <c r="AC594" s="1182" t="s">
        <v>2925</v>
      </c>
      <c r="AD594" s="1182" t="s">
        <v>1561</v>
      </c>
      <c r="AE594" s="1182">
        <v>27700</v>
      </c>
      <c r="AF594" s="1182" t="s">
        <v>1943</v>
      </c>
      <c r="AG594" s="1182" t="s">
        <v>1944</v>
      </c>
      <c r="AH594" s="1182">
        <v>0</v>
      </c>
      <c r="AI594" s="1182">
        <v>27700</v>
      </c>
      <c r="AJ594" s="1182" t="s">
        <v>3685</v>
      </c>
      <c r="AL594" s="1186" t="s">
        <v>3686</v>
      </c>
      <c r="AM594" s="1182">
        <v>1</v>
      </c>
      <c r="AN594" s="1182">
        <v>0</v>
      </c>
      <c r="AO594" s="1182">
        <v>0</v>
      </c>
      <c r="AP594" s="1182" t="s">
        <v>2949</v>
      </c>
      <c r="AQ594" s="1182" t="s">
        <v>1639</v>
      </c>
      <c r="AS594" s="1186" t="s">
        <v>1943</v>
      </c>
      <c r="AT594" s="1186" t="s">
        <v>1944</v>
      </c>
      <c r="AV594" s="1185">
        <v>0</v>
      </c>
      <c r="AW594" s="1185">
        <v>0</v>
      </c>
      <c r="AX594" s="1185">
        <v>27700</v>
      </c>
      <c r="AY594" s="1539">
        <v>27700</v>
      </c>
      <c r="AZ594" s="1185">
        <v>0</v>
      </c>
      <c r="BA594" s="1185">
        <v>0</v>
      </c>
      <c r="BB594" s="1540">
        <v>0</v>
      </c>
      <c r="BC594" s="1540">
        <v>27700</v>
      </c>
      <c r="BD594" s="1540">
        <v>0</v>
      </c>
      <c r="BF594" s="1539">
        <f t="shared" si="122"/>
        <v>0</v>
      </c>
      <c r="BG594" s="1539">
        <f t="shared" si="123"/>
        <v>0</v>
      </c>
      <c r="BH594" s="1539">
        <f t="shared" si="124"/>
        <v>27700</v>
      </c>
      <c r="BI594" s="1539">
        <f t="shared" si="125"/>
        <v>27700</v>
      </c>
      <c r="BJ594" s="1539">
        <f t="shared" si="126"/>
        <v>0</v>
      </c>
      <c r="BK594" s="1539">
        <f t="shared" si="127"/>
        <v>0</v>
      </c>
      <c r="BL594" s="1539">
        <f t="shared" si="128"/>
        <v>0</v>
      </c>
      <c r="BM594" s="1539">
        <f t="shared" si="129"/>
        <v>27700</v>
      </c>
      <c r="BO594" s="1183"/>
      <c r="BQ594" s="1182">
        <f t="shared" si="130"/>
        <v>0</v>
      </c>
      <c r="BR594" s="1182">
        <f t="shared" si="131"/>
        <v>0</v>
      </c>
    </row>
    <row r="595" spans="1:70" ht="13.5" customHeight="1">
      <c r="A595" s="1182" t="s">
        <v>1803</v>
      </c>
      <c r="B595" s="1182" t="s">
        <v>1804</v>
      </c>
      <c r="C595" s="1182" t="s">
        <v>1639</v>
      </c>
      <c r="D595" s="1182" t="s">
        <v>2590</v>
      </c>
      <c r="E595" s="1182" t="s">
        <v>2591</v>
      </c>
      <c r="F595" s="1182" t="s">
        <v>2362</v>
      </c>
      <c r="G595" s="1182" t="s">
        <v>2362</v>
      </c>
      <c r="H595" s="1182" t="s">
        <v>3670</v>
      </c>
      <c r="I595" s="1182" t="s">
        <v>1937</v>
      </c>
      <c r="J595" s="1182" t="s">
        <v>3741</v>
      </c>
      <c r="K595" s="1182" t="s">
        <v>1811</v>
      </c>
      <c r="L595" s="1182" t="s">
        <v>1812</v>
      </c>
      <c r="M595" s="1182" t="s">
        <v>1803</v>
      </c>
      <c r="N595" s="1182" t="s">
        <v>2922</v>
      </c>
      <c r="O595" s="1182" t="s">
        <v>1554</v>
      </c>
      <c r="P595" s="1182" t="s">
        <v>1563</v>
      </c>
      <c r="Q595" s="1182" t="s">
        <v>1562</v>
      </c>
      <c r="R595" s="1182" t="s">
        <v>1561</v>
      </c>
      <c r="S595" s="1182" t="s">
        <v>1639</v>
      </c>
      <c r="T595" s="1182" t="s">
        <v>1814</v>
      </c>
      <c r="U595" s="1182" t="s">
        <v>1815</v>
      </c>
      <c r="V595" s="1182">
        <v>0</v>
      </c>
      <c r="W595" s="1182">
        <v>0</v>
      </c>
      <c r="X595" s="1182">
        <v>0</v>
      </c>
      <c r="Y595" s="1183">
        <v>12500</v>
      </c>
      <c r="Z595" s="1182" t="s">
        <v>1940</v>
      </c>
      <c r="AA595" s="1182" t="s">
        <v>1941</v>
      </c>
      <c r="AB595" s="1182">
        <v>12500</v>
      </c>
      <c r="AC595" s="1182" t="s">
        <v>2925</v>
      </c>
      <c r="AD595" s="1182" t="s">
        <v>1561</v>
      </c>
      <c r="AE595" s="1182">
        <v>12500</v>
      </c>
      <c r="AF595" s="1182" t="s">
        <v>1943</v>
      </c>
      <c r="AG595" s="1182" t="s">
        <v>1944</v>
      </c>
      <c r="AH595" s="1182">
        <v>0</v>
      </c>
      <c r="AI595" s="1182">
        <v>12500</v>
      </c>
      <c r="AJ595" s="1182" t="s">
        <v>3710</v>
      </c>
      <c r="AL595" s="1186" t="s">
        <v>3742</v>
      </c>
      <c r="AM595" s="1182">
        <v>1</v>
      </c>
      <c r="AN595" s="1182">
        <v>0</v>
      </c>
      <c r="AO595" s="1182">
        <v>0</v>
      </c>
      <c r="AP595" s="1182" t="s">
        <v>2949</v>
      </c>
      <c r="AQ595" s="1182" t="s">
        <v>1639</v>
      </c>
      <c r="AS595" s="1186" t="s">
        <v>1943</v>
      </c>
      <c r="AT595" s="1186" t="s">
        <v>1944</v>
      </c>
      <c r="AV595" s="1185">
        <v>0</v>
      </c>
      <c r="AW595" s="1185">
        <v>0</v>
      </c>
      <c r="AX595" s="1185">
        <v>12500</v>
      </c>
      <c r="AY595" s="1539">
        <v>12500</v>
      </c>
      <c r="AZ595" s="1185">
        <v>0</v>
      </c>
      <c r="BA595" s="1185">
        <v>0</v>
      </c>
      <c r="BB595" s="1540">
        <v>0</v>
      </c>
      <c r="BC595" s="1540">
        <v>12500</v>
      </c>
      <c r="BD595" s="1540">
        <v>0</v>
      </c>
      <c r="BF595" s="1539">
        <f t="shared" si="122"/>
        <v>0</v>
      </c>
      <c r="BG595" s="1539">
        <f t="shared" si="123"/>
        <v>0</v>
      </c>
      <c r="BH595" s="1539">
        <f t="shared" si="124"/>
        <v>12500</v>
      </c>
      <c r="BI595" s="1539">
        <f t="shared" si="125"/>
        <v>12500</v>
      </c>
      <c r="BJ595" s="1539">
        <f t="shared" si="126"/>
        <v>0</v>
      </c>
      <c r="BK595" s="1539">
        <f t="shared" si="127"/>
        <v>0</v>
      </c>
      <c r="BL595" s="1539">
        <f t="shared" si="128"/>
        <v>0</v>
      </c>
      <c r="BM595" s="1539">
        <f t="shared" si="129"/>
        <v>12500</v>
      </c>
      <c r="BO595" s="1183"/>
      <c r="BQ595" s="1182">
        <f t="shared" si="130"/>
        <v>0</v>
      </c>
      <c r="BR595" s="1182">
        <f t="shared" si="131"/>
        <v>0</v>
      </c>
    </row>
    <row r="596" spans="1:70" ht="13.5" customHeight="1">
      <c r="A596" s="1182" t="s">
        <v>1803</v>
      </c>
      <c r="B596" s="1182" t="s">
        <v>1804</v>
      </c>
      <c r="C596" s="1182" t="s">
        <v>1639</v>
      </c>
      <c r="D596" s="1182" t="s">
        <v>2590</v>
      </c>
      <c r="E596" s="1182" t="s">
        <v>2591</v>
      </c>
      <c r="F596" s="1182" t="s">
        <v>2944</v>
      </c>
      <c r="G596" s="1182" t="s">
        <v>2944</v>
      </c>
      <c r="H596" s="1182" t="s">
        <v>3670</v>
      </c>
      <c r="I596" s="1182" t="s">
        <v>1937</v>
      </c>
      <c r="J596" s="1182" t="s">
        <v>3681</v>
      </c>
      <c r="K596" s="1182" t="s">
        <v>1811</v>
      </c>
      <c r="L596" s="1182" t="s">
        <v>1812</v>
      </c>
      <c r="M596" s="1182" t="s">
        <v>1803</v>
      </c>
      <c r="N596" s="1182" t="s">
        <v>2922</v>
      </c>
      <c r="O596" s="1182" t="s">
        <v>1554</v>
      </c>
      <c r="P596" s="1182" t="s">
        <v>1563</v>
      </c>
      <c r="Q596" s="1182" t="s">
        <v>1562</v>
      </c>
      <c r="R596" s="1182" t="s">
        <v>1561</v>
      </c>
      <c r="S596" s="1182" t="s">
        <v>1639</v>
      </c>
      <c r="T596" s="1182" t="s">
        <v>1814</v>
      </c>
      <c r="U596" s="1182" t="s">
        <v>1815</v>
      </c>
      <c r="V596" s="1182">
        <v>0</v>
      </c>
      <c r="W596" s="1182">
        <v>0</v>
      </c>
      <c r="X596" s="1182">
        <v>0</v>
      </c>
      <c r="Y596" s="1183">
        <v>37700</v>
      </c>
      <c r="Z596" s="1182" t="s">
        <v>1940</v>
      </c>
      <c r="AA596" s="1182" t="s">
        <v>1941</v>
      </c>
      <c r="AB596" s="1182">
        <v>37700</v>
      </c>
      <c r="AC596" s="1182" t="s">
        <v>2925</v>
      </c>
      <c r="AD596" s="1182" t="s">
        <v>1561</v>
      </c>
      <c r="AE596" s="1182">
        <v>37700</v>
      </c>
      <c r="AF596" s="1182" t="s">
        <v>1943</v>
      </c>
      <c r="AG596" s="1182" t="s">
        <v>1944</v>
      </c>
      <c r="AH596" s="1182">
        <v>0</v>
      </c>
      <c r="AI596" s="1182">
        <v>37700</v>
      </c>
      <c r="AJ596" s="1182" t="s">
        <v>3682</v>
      </c>
      <c r="AL596" s="1186" t="s">
        <v>3683</v>
      </c>
      <c r="AM596" s="1182">
        <v>1</v>
      </c>
      <c r="AN596" s="1182">
        <v>0</v>
      </c>
      <c r="AO596" s="1182">
        <v>0</v>
      </c>
      <c r="AP596" s="1182" t="s">
        <v>2949</v>
      </c>
      <c r="AQ596" s="1182" t="s">
        <v>1639</v>
      </c>
      <c r="AS596" s="1186" t="s">
        <v>1943</v>
      </c>
      <c r="AT596" s="1186" t="s">
        <v>1944</v>
      </c>
      <c r="AV596" s="1185">
        <v>0</v>
      </c>
      <c r="AW596" s="1185">
        <v>0</v>
      </c>
      <c r="AX596" s="1185">
        <v>37700</v>
      </c>
      <c r="AY596" s="1539">
        <v>37700</v>
      </c>
      <c r="AZ596" s="1185">
        <v>0</v>
      </c>
      <c r="BA596" s="1185">
        <v>0</v>
      </c>
      <c r="BB596" s="1540">
        <v>0</v>
      </c>
      <c r="BC596" s="1540">
        <v>37700</v>
      </c>
      <c r="BD596" s="1540">
        <v>0</v>
      </c>
      <c r="BF596" s="1539">
        <f t="shared" si="122"/>
        <v>0</v>
      </c>
      <c r="BG596" s="1539">
        <f t="shared" si="123"/>
        <v>0</v>
      </c>
      <c r="BH596" s="1539">
        <f t="shared" si="124"/>
        <v>37700</v>
      </c>
      <c r="BI596" s="1539">
        <f t="shared" si="125"/>
        <v>37700</v>
      </c>
      <c r="BJ596" s="1539">
        <f t="shared" si="126"/>
        <v>0</v>
      </c>
      <c r="BK596" s="1539">
        <f t="shared" si="127"/>
        <v>0</v>
      </c>
      <c r="BL596" s="1539">
        <f t="shared" si="128"/>
        <v>0</v>
      </c>
      <c r="BM596" s="1539">
        <f t="shared" si="129"/>
        <v>37700</v>
      </c>
      <c r="BO596" s="1183"/>
      <c r="BQ596" s="1182">
        <f t="shared" si="130"/>
        <v>0</v>
      </c>
      <c r="BR596" s="1182">
        <f t="shared" si="131"/>
        <v>0</v>
      </c>
    </row>
    <row r="597" spans="1:70" ht="13.5" customHeight="1">
      <c r="A597" s="1182" t="s">
        <v>1803</v>
      </c>
      <c r="B597" s="1182" t="s">
        <v>1804</v>
      </c>
      <c r="C597" s="1182" t="s">
        <v>1639</v>
      </c>
      <c r="D597" s="1182" t="s">
        <v>2590</v>
      </c>
      <c r="E597" s="1182" t="s">
        <v>2591</v>
      </c>
      <c r="F597" s="1182" t="s">
        <v>2432</v>
      </c>
      <c r="G597" s="1182" t="s">
        <v>2432</v>
      </c>
      <c r="H597" s="1182" t="s">
        <v>3677</v>
      </c>
      <c r="I597" s="1182" t="s">
        <v>1937</v>
      </c>
      <c r="J597" s="1182" t="s">
        <v>3678</v>
      </c>
      <c r="K597" s="1182" t="s">
        <v>1811</v>
      </c>
      <c r="L597" s="1182" t="s">
        <v>1812</v>
      </c>
      <c r="M597" s="1182" t="s">
        <v>1803</v>
      </c>
      <c r="N597" s="1182" t="s">
        <v>2922</v>
      </c>
      <c r="O597" s="1182" t="s">
        <v>1554</v>
      </c>
      <c r="P597" s="1182" t="s">
        <v>1563</v>
      </c>
      <c r="Q597" s="1182" t="s">
        <v>1562</v>
      </c>
      <c r="R597" s="1182" t="s">
        <v>1561</v>
      </c>
      <c r="S597" s="1182" t="s">
        <v>1639</v>
      </c>
      <c r="T597" s="1182" t="s">
        <v>1814</v>
      </c>
      <c r="U597" s="1182" t="s">
        <v>1815</v>
      </c>
      <c r="V597" s="1182">
        <v>0</v>
      </c>
      <c r="W597" s="1182">
        <v>0</v>
      </c>
      <c r="X597" s="1182">
        <v>0</v>
      </c>
      <c r="Y597" s="1183">
        <v>25700</v>
      </c>
      <c r="Z597" s="1182" t="s">
        <v>1940</v>
      </c>
      <c r="AA597" s="1182" t="s">
        <v>1941</v>
      </c>
      <c r="AB597" s="1182">
        <v>25700</v>
      </c>
      <c r="AC597" s="1182" t="s">
        <v>2925</v>
      </c>
      <c r="AD597" s="1182" t="s">
        <v>1561</v>
      </c>
      <c r="AE597" s="1182">
        <v>25700</v>
      </c>
      <c r="AF597" s="1182" t="s">
        <v>1943</v>
      </c>
      <c r="AG597" s="1182" t="s">
        <v>1944</v>
      </c>
      <c r="AH597" s="1182">
        <v>0</v>
      </c>
      <c r="AI597" s="1182">
        <v>25700</v>
      </c>
      <c r="AJ597" s="1182" t="s">
        <v>3679</v>
      </c>
      <c r="AL597" s="1186" t="s">
        <v>3680</v>
      </c>
      <c r="AM597" s="1182">
        <v>1</v>
      </c>
      <c r="AN597" s="1182">
        <v>0</v>
      </c>
      <c r="AO597" s="1182">
        <v>0</v>
      </c>
      <c r="AP597" s="1182" t="s">
        <v>2949</v>
      </c>
      <c r="AQ597" s="1182" t="s">
        <v>1639</v>
      </c>
      <c r="AS597" s="1186" t="s">
        <v>1943</v>
      </c>
      <c r="AT597" s="1186" t="s">
        <v>1944</v>
      </c>
      <c r="AV597" s="1185">
        <v>0</v>
      </c>
      <c r="AW597" s="1185">
        <v>0</v>
      </c>
      <c r="AX597" s="1185">
        <v>25700</v>
      </c>
      <c r="AY597" s="1539">
        <v>25700</v>
      </c>
      <c r="AZ597" s="1185">
        <v>0</v>
      </c>
      <c r="BA597" s="1185">
        <v>0</v>
      </c>
      <c r="BB597" s="1540">
        <v>0</v>
      </c>
      <c r="BC597" s="1540">
        <v>25700</v>
      </c>
      <c r="BD597" s="1540">
        <v>0</v>
      </c>
      <c r="BF597" s="1539">
        <f t="shared" si="122"/>
        <v>0</v>
      </c>
      <c r="BG597" s="1539">
        <f t="shared" si="123"/>
        <v>0</v>
      </c>
      <c r="BH597" s="1539">
        <f t="shared" si="124"/>
        <v>25700</v>
      </c>
      <c r="BI597" s="1539">
        <f t="shared" si="125"/>
        <v>25700</v>
      </c>
      <c r="BJ597" s="1539">
        <f t="shared" si="126"/>
        <v>0</v>
      </c>
      <c r="BK597" s="1539">
        <f t="shared" si="127"/>
        <v>0</v>
      </c>
      <c r="BL597" s="1539">
        <f t="shared" si="128"/>
        <v>0</v>
      </c>
      <c r="BM597" s="1539">
        <f t="shared" si="129"/>
        <v>25700</v>
      </c>
      <c r="BO597" s="1183"/>
      <c r="BQ597" s="1182">
        <f t="shared" si="130"/>
        <v>0</v>
      </c>
      <c r="BR597" s="1182">
        <f t="shared" si="131"/>
        <v>0</v>
      </c>
    </row>
    <row r="598" spans="1:70" ht="13.5" customHeight="1">
      <c r="A598" s="1182" t="s">
        <v>1803</v>
      </c>
      <c r="B598" s="1182" t="s">
        <v>1804</v>
      </c>
      <c r="C598" s="1182" t="s">
        <v>1639</v>
      </c>
      <c r="D598" s="1182" t="s">
        <v>2590</v>
      </c>
      <c r="E598" s="1182" t="s">
        <v>2591</v>
      </c>
      <c r="F598" s="1182" t="s">
        <v>2950</v>
      </c>
      <c r="G598" s="1182" t="s">
        <v>2950</v>
      </c>
      <c r="H598" s="1182" t="s">
        <v>3677</v>
      </c>
      <c r="I598" s="1182" t="s">
        <v>1937</v>
      </c>
      <c r="J598" s="1182" t="s">
        <v>3687</v>
      </c>
      <c r="K598" s="1182" t="s">
        <v>1811</v>
      </c>
      <c r="L598" s="1182" t="s">
        <v>1812</v>
      </c>
      <c r="M598" s="1182" t="s">
        <v>1803</v>
      </c>
      <c r="N598" s="1182" t="s">
        <v>2922</v>
      </c>
      <c r="O598" s="1182" t="s">
        <v>1554</v>
      </c>
      <c r="P598" s="1182" t="s">
        <v>1563</v>
      </c>
      <c r="Q598" s="1182" t="s">
        <v>1562</v>
      </c>
      <c r="R598" s="1182" t="s">
        <v>1561</v>
      </c>
      <c r="S598" s="1182" t="s">
        <v>1639</v>
      </c>
      <c r="T598" s="1182" t="s">
        <v>1814</v>
      </c>
      <c r="U598" s="1182" t="s">
        <v>1815</v>
      </c>
      <c r="V598" s="1182">
        <v>0</v>
      </c>
      <c r="W598" s="1182">
        <v>0</v>
      </c>
      <c r="X598" s="1182">
        <v>0</v>
      </c>
      <c r="Y598" s="1183">
        <v>32700</v>
      </c>
      <c r="Z598" s="1182" t="s">
        <v>1940</v>
      </c>
      <c r="AA598" s="1182" t="s">
        <v>1941</v>
      </c>
      <c r="AB598" s="1182">
        <v>32700</v>
      </c>
      <c r="AC598" s="1182" t="s">
        <v>2925</v>
      </c>
      <c r="AD598" s="1182" t="s">
        <v>1561</v>
      </c>
      <c r="AE598" s="1182">
        <v>32700</v>
      </c>
      <c r="AF598" s="1182" t="s">
        <v>1943</v>
      </c>
      <c r="AG598" s="1182" t="s">
        <v>1944</v>
      </c>
      <c r="AH598" s="1182">
        <v>0</v>
      </c>
      <c r="AI598" s="1182">
        <v>32700</v>
      </c>
      <c r="AJ598" s="1182" t="s">
        <v>3688</v>
      </c>
      <c r="AL598" s="1186" t="s">
        <v>3689</v>
      </c>
      <c r="AM598" s="1182">
        <v>1</v>
      </c>
      <c r="AN598" s="1182">
        <v>0</v>
      </c>
      <c r="AO598" s="1182">
        <v>0</v>
      </c>
      <c r="AP598" s="1182" t="s">
        <v>2949</v>
      </c>
      <c r="AQ598" s="1182" t="s">
        <v>1639</v>
      </c>
      <c r="AS598" s="1186" t="s">
        <v>1943</v>
      </c>
      <c r="AT598" s="1186" t="s">
        <v>1944</v>
      </c>
      <c r="AV598" s="1185">
        <v>0</v>
      </c>
      <c r="AW598" s="1185">
        <v>0</v>
      </c>
      <c r="AX598" s="1185">
        <v>32700</v>
      </c>
      <c r="AY598" s="1539">
        <v>32700</v>
      </c>
      <c r="AZ598" s="1185">
        <v>0</v>
      </c>
      <c r="BA598" s="1185">
        <v>0</v>
      </c>
      <c r="BB598" s="1540">
        <v>0</v>
      </c>
      <c r="BC598" s="1540">
        <v>32700</v>
      </c>
      <c r="BD598" s="1540">
        <v>0</v>
      </c>
      <c r="BF598" s="1539">
        <f t="shared" si="122"/>
        <v>0</v>
      </c>
      <c r="BG598" s="1539">
        <f t="shared" si="123"/>
        <v>0</v>
      </c>
      <c r="BH598" s="1539">
        <f t="shared" si="124"/>
        <v>32700</v>
      </c>
      <c r="BI598" s="1539">
        <f t="shared" si="125"/>
        <v>32700</v>
      </c>
      <c r="BJ598" s="1539">
        <f t="shared" si="126"/>
        <v>0</v>
      </c>
      <c r="BK598" s="1539">
        <f t="shared" si="127"/>
        <v>0</v>
      </c>
      <c r="BL598" s="1539">
        <f t="shared" si="128"/>
        <v>0</v>
      </c>
      <c r="BM598" s="1539">
        <f t="shared" si="129"/>
        <v>32700</v>
      </c>
      <c r="BO598" s="1183"/>
      <c r="BQ598" s="1182">
        <f t="shared" si="130"/>
        <v>0</v>
      </c>
      <c r="BR598" s="1182">
        <f t="shared" si="131"/>
        <v>0</v>
      </c>
    </row>
    <row r="599" spans="1:70" ht="13.5" customHeight="1">
      <c r="A599" s="1182" t="s">
        <v>1803</v>
      </c>
      <c r="B599" s="1182" t="s">
        <v>1804</v>
      </c>
      <c r="C599" s="1182" t="s">
        <v>1639</v>
      </c>
      <c r="D599" s="1182" t="s">
        <v>2590</v>
      </c>
      <c r="E599" s="1182" t="s">
        <v>2591</v>
      </c>
      <c r="F599" s="1182" t="s">
        <v>2796</v>
      </c>
      <c r="G599" s="1182" t="s">
        <v>2796</v>
      </c>
      <c r="H599" s="1182" t="s">
        <v>3677</v>
      </c>
      <c r="I599" s="1182" t="s">
        <v>1937</v>
      </c>
      <c r="J599" s="1182" t="s">
        <v>3690</v>
      </c>
      <c r="K599" s="1182" t="s">
        <v>1811</v>
      </c>
      <c r="L599" s="1182" t="s">
        <v>1812</v>
      </c>
      <c r="M599" s="1182" t="s">
        <v>1803</v>
      </c>
      <c r="N599" s="1182" t="s">
        <v>2922</v>
      </c>
      <c r="O599" s="1182" t="s">
        <v>1554</v>
      </c>
      <c r="P599" s="1182" t="s">
        <v>1563</v>
      </c>
      <c r="Q599" s="1182" t="s">
        <v>1562</v>
      </c>
      <c r="R599" s="1182" t="s">
        <v>1561</v>
      </c>
      <c r="S599" s="1182" t="s">
        <v>1639</v>
      </c>
      <c r="T599" s="1182" t="s">
        <v>1814</v>
      </c>
      <c r="U599" s="1182" t="s">
        <v>1815</v>
      </c>
      <c r="V599" s="1182">
        <v>0</v>
      </c>
      <c r="W599" s="1182">
        <v>0</v>
      </c>
      <c r="X599" s="1182">
        <v>0</v>
      </c>
      <c r="Y599" s="1183">
        <v>6200</v>
      </c>
      <c r="Z599" s="1182" t="s">
        <v>1940</v>
      </c>
      <c r="AA599" s="1182" t="s">
        <v>1941</v>
      </c>
      <c r="AB599" s="1182">
        <v>6200</v>
      </c>
      <c r="AC599" s="1182" t="s">
        <v>2925</v>
      </c>
      <c r="AD599" s="1182" t="s">
        <v>1561</v>
      </c>
      <c r="AE599" s="1182">
        <v>6200</v>
      </c>
      <c r="AF599" s="1182" t="s">
        <v>1943</v>
      </c>
      <c r="AG599" s="1182" t="s">
        <v>1944</v>
      </c>
      <c r="AH599" s="1182">
        <v>0</v>
      </c>
      <c r="AI599" s="1182">
        <v>6200</v>
      </c>
      <c r="AJ599" s="1182" t="s">
        <v>3691</v>
      </c>
      <c r="AL599" s="1186" t="s">
        <v>3692</v>
      </c>
      <c r="AM599" s="1182">
        <v>1</v>
      </c>
      <c r="AN599" s="1182">
        <v>0</v>
      </c>
      <c r="AO599" s="1182">
        <v>0</v>
      </c>
      <c r="AP599" s="1182" t="s">
        <v>2949</v>
      </c>
      <c r="AQ599" s="1182" t="s">
        <v>1639</v>
      </c>
      <c r="AS599" s="1186" t="s">
        <v>1943</v>
      </c>
      <c r="AT599" s="1186" t="s">
        <v>1944</v>
      </c>
      <c r="AV599" s="1185">
        <v>0</v>
      </c>
      <c r="AW599" s="1185">
        <v>0</v>
      </c>
      <c r="AX599" s="1185">
        <v>6200</v>
      </c>
      <c r="AY599" s="1539">
        <v>6200</v>
      </c>
      <c r="AZ599" s="1185">
        <v>0</v>
      </c>
      <c r="BA599" s="1185">
        <v>0</v>
      </c>
      <c r="BB599" s="1540">
        <v>0</v>
      </c>
      <c r="BC599" s="1540">
        <v>6200</v>
      </c>
      <c r="BD599" s="1540">
        <v>0</v>
      </c>
      <c r="BF599" s="1539">
        <f t="shared" si="122"/>
        <v>0</v>
      </c>
      <c r="BG599" s="1539">
        <f t="shared" si="123"/>
        <v>0</v>
      </c>
      <c r="BH599" s="1539">
        <f t="shared" si="124"/>
        <v>6200</v>
      </c>
      <c r="BI599" s="1539">
        <f t="shared" si="125"/>
        <v>6200</v>
      </c>
      <c r="BJ599" s="1539">
        <f t="shared" si="126"/>
        <v>0</v>
      </c>
      <c r="BK599" s="1539">
        <f t="shared" si="127"/>
        <v>0</v>
      </c>
      <c r="BL599" s="1539">
        <f t="shared" si="128"/>
        <v>0</v>
      </c>
      <c r="BM599" s="1539">
        <f t="shared" si="129"/>
        <v>6200</v>
      </c>
      <c r="BO599" s="1183"/>
      <c r="BQ599" s="1182">
        <f t="shared" si="130"/>
        <v>0</v>
      </c>
      <c r="BR599" s="1182">
        <f t="shared" si="131"/>
        <v>0</v>
      </c>
    </row>
    <row r="600" spans="1:70" ht="13.5" customHeight="1">
      <c r="A600" s="1182" t="s">
        <v>1803</v>
      </c>
      <c r="B600" s="1182" t="s">
        <v>1804</v>
      </c>
      <c r="C600" s="1182" t="s">
        <v>1639</v>
      </c>
      <c r="D600" s="1182" t="s">
        <v>2590</v>
      </c>
      <c r="E600" s="1182" t="s">
        <v>2591</v>
      </c>
      <c r="F600" s="1182" t="s">
        <v>3693</v>
      </c>
      <c r="G600" s="1182" t="s">
        <v>3693</v>
      </c>
      <c r="H600" s="1182" t="s">
        <v>3670</v>
      </c>
      <c r="I600" s="1182" t="s">
        <v>1937</v>
      </c>
      <c r="J600" s="1182" t="s">
        <v>3694</v>
      </c>
      <c r="K600" s="1182" t="s">
        <v>1811</v>
      </c>
      <c r="L600" s="1182" t="s">
        <v>1812</v>
      </c>
      <c r="M600" s="1182" t="s">
        <v>1803</v>
      </c>
      <c r="N600" s="1182" t="s">
        <v>2922</v>
      </c>
      <c r="O600" s="1182" t="s">
        <v>1554</v>
      </c>
      <c r="P600" s="1182" t="s">
        <v>1563</v>
      </c>
      <c r="Q600" s="1182" t="s">
        <v>1562</v>
      </c>
      <c r="R600" s="1182" t="s">
        <v>1561</v>
      </c>
      <c r="S600" s="1182" t="s">
        <v>1639</v>
      </c>
      <c r="T600" s="1182" t="s">
        <v>1814</v>
      </c>
      <c r="U600" s="1182" t="s">
        <v>1815</v>
      </c>
      <c r="V600" s="1182">
        <v>0</v>
      </c>
      <c r="W600" s="1182">
        <v>0</v>
      </c>
      <c r="X600" s="1182">
        <v>0</v>
      </c>
      <c r="Y600" s="1544">
        <v>8800</v>
      </c>
      <c r="Z600" s="1182" t="s">
        <v>1940</v>
      </c>
      <c r="AA600" s="1182" t="s">
        <v>1941</v>
      </c>
      <c r="AB600" s="1182">
        <v>8800</v>
      </c>
      <c r="AC600" s="1182" t="s">
        <v>2925</v>
      </c>
      <c r="AD600" s="1182" t="s">
        <v>1561</v>
      </c>
      <c r="AE600" s="1182">
        <v>8800</v>
      </c>
      <c r="AF600" s="1182" t="s">
        <v>1943</v>
      </c>
      <c r="AG600" s="1182" t="s">
        <v>1944</v>
      </c>
      <c r="AH600" s="1182">
        <v>0</v>
      </c>
      <c r="AI600" s="1182">
        <v>8800</v>
      </c>
      <c r="AJ600" s="1182" t="s">
        <v>3695</v>
      </c>
      <c r="AL600" s="1186" t="s">
        <v>3696</v>
      </c>
      <c r="AM600" s="1182">
        <v>1</v>
      </c>
      <c r="AN600" s="1182">
        <v>0</v>
      </c>
      <c r="AO600" s="1182">
        <v>0</v>
      </c>
      <c r="AP600" s="1182" t="s">
        <v>2949</v>
      </c>
      <c r="AQ600" s="1182" t="s">
        <v>1639</v>
      </c>
      <c r="AS600" s="1186" t="s">
        <v>1943</v>
      </c>
      <c r="AT600" s="1186" t="s">
        <v>1944</v>
      </c>
      <c r="AV600" s="1185">
        <v>0</v>
      </c>
      <c r="AW600" s="1185">
        <v>0</v>
      </c>
      <c r="AX600" s="1185">
        <v>8800</v>
      </c>
      <c r="AY600" s="1539">
        <v>8800</v>
      </c>
      <c r="AZ600" s="1185">
        <v>0</v>
      </c>
      <c r="BA600" s="1185">
        <v>0</v>
      </c>
      <c r="BB600" s="1540">
        <v>0</v>
      </c>
      <c r="BC600" s="1540">
        <v>8800</v>
      </c>
      <c r="BD600" s="1540">
        <v>0</v>
      </c>
      <c r="BF600" s="1539">
        <f t="shared" si="122"/>
        <v>0</v>
      </c>
      <c r="BG600" s="1539">
        <f t="shared" si="123"/>
        <v>0</v>
      </c>
      <c r="BH600" s="1539">
        <f t="shared" si="124"/>
        <v>8800</v>
      </c>
      <c r="BI600" s="1539">
        <f t="shared" si="125"/>
        <v>8800</v>
      </c>
      <c r="BJ600" s="1539">
        <f t="shared" si="126"/>
        <v>0</v>
      </c>
      <c r="BK600" s="1539">
        <f t="shared" si="127"/>
        <v>0</v>
      </c>
      <c r="BL600" s="1539">
        <f t="shared" si="128"/>
        <v>0</v>
      </c>
      <c r="BM600" s="1539">
        <f t="shared" si="129"/>
        <v>8800</v>
      </c>
      <c r="BO600" s="1183"/>
      <c r="BQ600" s="1182">
        <f t="shared" si="130"/>
        <v>0</v>
      </c>
      <c r="BR600" s="1182">
        <f t="shared" si="131"/>
        <v>0</v>
      </c>
    </row>
    <row r="601" spans="1:70" ht="13.5" customHeight="1">
      <c r="A601" s="1182" t="s">
        <v>1803</v>
      </c>
      <c r="B601" s="1182" t="s">
        <v>1804</v>
      </c>
      <c r="C601" s="1182" t="s">
        <v>1639</v>
      </c>
      <c r="D601" s="1182" t="s">
        <v>2590</v>
      </c>
      <c r="E601" s="1182" t="s">
        <v>2591</v>
      </c>
      <c r="F601" s="1182" t="s">
        <v>2166</v>
      </c>
      <c r="G601" s="1182" t="s">
        <v>2166</v>
      </c>
      <c r="H601" s="1182" t="s">
        <v>3670</v>
      </c>
      <c r="I601" s="1182" t="s">
        <v>1937</v>
      </c>
      <c r="J601" s="1182" t="s">
        <v>3712</v>
      </c>
      <c r="K601" s="1182" t="s">
        <v>1811</v>
      </c>
      <c r="L601" s="1182" t="s">
        <v>1812</v>
      </c>
      <c r="M601" s="1182" t="s">
        <v>1803</v>
      </c>
      <c r="N601" s="1182" t="s">
        <v>2922</v>
      </c>
      <c r="O601" s="1182" t="s">
        <v>1554</v>
      </c>
      <c r="P601" s="1182" t="s">
        <v>1563</v>
      </c>
      <c r="Q601" s="1182" t="s">
        <v>1562</v>
      </c>
      <c r="R601" s="1182" t="s">
        <v>1561</v>
      </c>
      <c r="S601" s="1182" t="s">
        <v>1639</v>
      </c>
      <c r="T601" s="1182" t="s">
        <v>1814</v>
      </c>
      <c r="U601" s="1182" t="s">
        <v>1815</v>
      </c>
      <c r="V601" s="1182">
        <v>0</v>
      </c>
      <c r="W601" s="1182">
        <v>0</v>
      </c>
      <c r="X601" s="1182">
        <v>0</v>
      </c>
      <c r="Y601" s="1544">
        <v>13000</v>
      </c>
      <c r="Z601" s="1182" t="s">
        <v>1940</v>
      </c>
      <c r="AA601" s="1182" t="s">
        <v>1941</v>
      </c>
      <c r="AB601" s="1182">
        <v>13000</v>
      </c>
      <c r="AC601" s="1182" t="s">
        <v>2925</v>
      </c>
      <c r="AD601" s="1182" t="s">
        <v>1561</v>
      </c>
      <c r="AE601" s="1182">
        <v>13000</v>
      </c>
      <c r="AF601" s="1182" t="s">
        <v>1943</v>
      </c>
      <c r="AG601" s="1182" t="s">
        <v>1944</v>
      </c>
      <c r="AH601" s="1182">
        <v>0</v>
      </c>
      <c r="AI601" s="1182">
        <v>13000</v>
      </c>
      <c r="AJ601" s="1182" t="s">
        <v>3713</v>
      </c>
      <c r="AL601" s="1186" t="s">
        <v>3714</v>
      </c>
      <c r="AM601" s="1182">
        <v>1</v>
      </c>
      <c r="AN601" s="1182">
        <v>0</v>
      </c>
      <c r="AO601" s="1182">
        <v>0</v>
      </c>
      <c r="AP601" s="1182" t="s">
        <v>2949</v>
      </c>
      <c r="AQ601" s="1182" t="s">
        <v>1639</v>
      </c>
      <c r="AS601" s="1186" t="s">
        <v>1943</v>
      </c>
      <c r="AT601" s="1186" t="s">
        <v>1944</v>
      </c>
      <c r="AV601" s="1185">
        <v>0</v>
      </c>
      <c r="AW601" s="1185">
        <v>0</v>
      </c>
      <c r="AX601" s="1185">
        <v>13000</v>
      </c>
      <c r="AY601" s="1539">
        <v>13000</v>
      </c>
      <c r="AZ601" s="1185">
        <v>0</v>
      </c>
      <c r="BA601" s="1185">
        <v>0</v>
      </c>
      <c r="BB601" s="1540">
        <v>0</v>
      </c>
      <c r="BC601" s="1540">
        <v>13000</v>
      </c>
      <c r="BD601" s="1540">
        <v>0</v>
      </c>
      <c r="BF601" s="1539">
        <f t="shared" si="122"/>
        <v>0</v>
      </c>
      <c r="BG601" s="1539">
        <f t="shared" si="123"/>
        <v>0</v>
      </c>
      <c r="BH601" s="1539">
        <f t="shared" si="124"/>
        <v>13000</v>
      </c>
      <c r="BI601" s="1539">
        <f t="shared" si="125"/>
        <v>13000</v>
      </c>
      <c r="BJ601" s="1539">
        <f t="shared" si="126"/>
        <v>0</v>
      </c>
      <c r="BK601" s="1539">
        <f t="shared" si="127"/>
        <v>0</v>
      </c>
      <c r="BL601" s="1539">
        <f t="shared" si="128"/>
        <v>0</v>
      </c>
      <c r="BM601" s="1539">
        <f t="shared" si="129"/>
        <v>13000</v>
      </c>
      <c r="BO601" s="1183"/>
      <c r="BQ601" s="1182">
        <f t="shared" si="130"/>
        <v>0</v>
      </c>
      <c r="BR601" s="1182">
        <f t="shared" si="131"/>
        <v>0</v>
      </c>
    </row>
    <row r="602" spans="1:70" ht="13.5" customHeight="1">
      <c r="A602" s="1182" t="s">
        <v>1803</v>
      </c>
      <c r="B602" s="1182" t="s">
        <v>1804</v>
      </c>
      <c r="C602" s="1182" t="s">
        <v>1639</v>
      </c>
      <c r="D602" s="1182" t="s">
        <v>2590</v>
      </c>
      <c r="E602" s="1182" t="s">
        <v>2591</v>
      </c>
      <c r="F602" s="1182" t="s">
        <v>2957</v>
      </c>
      <c r="G602" s="1182" t="s">
        <v>2957</v>
      </c>
      <c r="H602" s="1182" t="s">
        <v>3670</v>
      </c>
      <c r="I602" s="1182" t="s">
        <v>1937</v>
      </c>
      <c r="J602" s="1182" t="s">
        <v>3700</v>
      </c>
      <c r="K602" s="1182" t="s">
        <v>1811</v>
      </c>
      <c r="L602" s="1182" t="s">
        <v>1812</v>
      </c>
      <c r="M602" s="1182" t="s">
        <v>1803</v>
      </c>
      <c r="N602" s="1182" t="s">
        <v>2922</v>
      </c>
      <c r="O602" s="1182" t="s">
        <v>1554</v>
      </c>
      <c r="P602" s="1182" t="s">
        <v>1563</v>
      </c>
      <c r="Q602" s="1182" t="s">
        <v>1562</v>
      </c>
      <c r="R602" s="1182" t="s">
        <v>1561</v>
      </c>
      <c r="S602" s="1182" t="s">
        <v>1639</v>
      </c>
      <c r="T602" s="1182" t="s">
        <v>1814</v>
      </c>
      <c r="U602" s="1182" t="s">
        <v>1815</v>
      </c>
      <c r="V602" s="1182">
        <v>0</v>
      </c>
      <c r="W602" s="1182">
        <v>0</v>
      </c>
      <c r="X602" s="1182">
        <v>0</v>
      </c>
      <c r="Y602" s="1183">
        <v>24200</v>
      </c>
      <c r="Z602" s="1182" t="s">
        <v>1940</v>
      </c>
      <c r="AA602" s="1182" t="s">
        <v>1941</v>
      </c>
      <c r="AB602" s="1182">
        <v>24200</v>
      </c>
      <c r="AC602" s="1182" t="s">
        <v>2925</v>
      </c>
      <c r="AD602" s="1182" t="s">
        <v>1561</v>
      </c>
      <c r="AE602" s="1182">
        <v>24200</v>
      </c>
      <c r="AF602" s="1182" t="s">
        <v>1943</v>
      </c>
      <c r="AG602" s="1182" t="s">
        <v>1944</v>
      </c>
      <c r="AH602" s="1182">
        <v>0</v>
      </c>
      <c r="AI602" s="1182">
        <v>24200</v>
      </c>
      <c r="AJ602" s="1182" t="s">
        <v>3701</v>
      </c>
      <c r="AL602" s="1186" t="s">
        <v>3702</v>
      </c>
      <c r="AM602" s="1182">
        <v>1</v>
      </c>
      <c r="AN602" s="1182">
        <v>0</v>
      </c>
      <c r="AO602" s="1182">
        <v>0</v>
      </c>
      <c r="AP602" s="1182" t="s">
        <v>2949</v>
      </c>
      <c r="AQ602" s="1182" t="s">
        <v>1639</v>
      </c>
      <c r="AS602" s="1186" t="s">
        <v>1943</v>
      </c>
      <c r="AT602" s="1186" t="s">
        <v>1944</v>
      </c>
      <c r="AV602" s="1185">
        <v>0</v>
      </c>
      <c r="AW602" s="1185">
        <v>0</v>
      </c>
      <c r="AX602" s="1185">
        <v>24200</v>
      </c>
      <c r="AY602" s="1539">
        <v>24200</v>
      </c>
      <c r="AZ602" s="1185">
        <v>0</v>
      </c>
      <c r="BA602" s="1185">
        <v>0</v>
      </c>
      <c r="BB602" s="1540">
        <v>0</v>
      </c>
      <c r="BC602" s="1540">
        <v>24200</v>
      </c>
      <c r="BD602" s="1540">
        <v>0</v>
      </c>
      <c r="BF602" s="1539">
        <f t="shared" si="122"/>
        <v>0</v>
      </c>
      <c r="BG602" s="1539">
        <f t="shared" si="123"/>
        <v>0</v>
      </c>
      <c r="BH602" s="1539">
        <f t="shared" si="124"/>
        <v>24200</v>
      </c>
      <c r="BI602" s="1539">
        <f t="shared" si="125"/>
        <v>24200</v>
      </c>
      <c r="BJ602" s="1539">
        <f t="shared" si="126"/>
        <v>0</v>
      </c>
      <c r="BK602" s="1539">
        <f t="shared" si="127"/>
        <v>0</v>
      </c>
      <c r="BL602" s="1539">
        <f t="shared" si="128"/>
        <v>0</v>
      </c>
      <c r="BM602" s="1539">
        <f t="shared" si="129"/>
        <v>24200</v>
      </c>
      <c r="BO602" s="1183"/>
      <c r="BQ602" s="1182">
        <f t="shared" si="130"/>
        <v>0</v>
      </c>
      <c r="BR602" s="1182">
        <f t="shared" si="131"/>
        <v>0</v>
      </c>
    </row>
    <row r="603" spans="1:70" ht="13.5" customHeight="1">
      <c r="A603" s="1182" t="s">
        <v>1803</v>
      </c>
      <c r="B603" s="1182" t="s">
        <v>1804</v>
      </c>
      <c r="C603" s="1182" t="s">
        <v>1639</v>
      </c>
      <c r="D603" s="1182" t="s">
        <v>2590</v>
      </c>
      <c r="E603" s="1182" t="s">
        <v>2591</v>
      </c>
      <c r="F603" s="1182" t="s">
        <v>2452</v>
      </c>
      <c r="G603" s="1182" t="s">
        <v>2452</v>
      </c>
      <c r="H603" s="1182" t="s">
        <v>3670</v>
      </c>
      <c r="I603" s="1182" t="s">
        <v>1937</v>
      </c>
      <c r="J603" s="1182" t="s">
        <v>3706</v>
      </c>
      <c r="K603" s="1182" t="s">
        <v>1811</v>
      </c>
      <c r="L603" s="1182" t="s">
        <v>1812</v>
      </c>
      <c r="M603" s="1182" t="s">
        <v>1803</v>
      </c>
      <c r="N603" s="1182" t="s">
        <v>2922</v>
      </c>
      <c r="O603" s="1182" t="s">
        <v>1554</v>
      </c>
      <c r="P603" s="1182" t="s">
        <v>1563</v>
      </c>
      <c r="Q603" s="1182" t="s">
        <v>1562</v>
      </c>
      <c r="R603" s="1182" t="s">
        <v>1561</v>
      </c>
      <c r="S603" s="1182" t="s">
        <v>1639</v>
      </c>
      <c r="T603" s="1182" t="s">
        <v>1814</v>
      </c>
      <c r="U603" s="1182" t="s">
        <v>1815</v>
      </c>
      <c r="V603" s="1182">
        <v>0</v>
      </c>
      <c r="W603" s="1182">
        <v>0</v>
      </c>
      <c r="X603" s="1182">
        <v>0</v>
      </c>
      <c r="Y603" s="1183">
        <v>15600</v>
      </c>
      <c r="Z603" s="1182" t="s">
        <v>1940</v>
      </c>
      <c r="AA603" s="1182" t="s">
        <v>1941</v>
      </c>
      <c r="AB603" s="1182">
        <v>15600</v>
      </c>
      <c r="AC603" s="1182" t="s">
        <v>2925</v>
      </c>
      <c r="AD603" s="1182" t="s">
        <v>1561</v>
      </c>
      <c r="AE603" s="1182">
        <v>15600</v>
      </c>
      <c r="AF603" s="1182" t="s">
        <v>1943</v>
      </c>
      <c r="AG603" s="1182" t="s">
        <v>1944</v>
      </c>
      <c r="AH603" s="1182">
        <v>0</v>
      </c>
      <c r="AI603" s="1182">
        <v>15600</v>
      </c>
      <c r="AJ603" s="1182" t="s">
        <v>3668</v>
      </c>
      <c r="AL603" s="1186" t="s">
        <v>3707</v>
      </c>
      <c r="AM603" s="1182">
        <v>1</v>
      </c>
      <c r="AN603" s="1182">
        <v>0</v>
      </c>
      <c r="AO603" s="1182">
        <v>0</v>
      </c>
      <c r="AP603" s="1182" t="s">
        <v>2949</v>
      </c>
      <c r="AQ603" s="1182" t="s">
        <v>1639</v>
      </c>
      <c r="AS603" s="1186" t="s">
        <v>1943</v>
      </c>
      <c r="AT603" s="1186" t="s">
        <v>1944</v>
      </c>
      <c r="AV603" s="1185">
        <v>0</v>
      </c>
      <c r="AW603" s="1185">
        <v>0</v>
      </c>
      <c r="AX603" s="1185">
        <v>15600</v>
      </c>
      <c r="AY603" s="1539">
        <v>15600</v>
      </c>
      <c r="AZ603" s="1185">
        <v>0</v>
      </c>
      <c r="BA603" s="1185">
        <v>0</v>
      </c>
      <c r="BB603" s="1540">
        <v>0</v>
      </c>
      <c r="BC603" s="1540">
        <v>15600</v>
      </c>
      <c r="BD603" s="1540">
        <v>0</v>
      </c>
      <c r="BF603" s="1539">
        <f t="shared" si="122"/>
        <v>0</v>
      </c>
      <c r="BG603" s="1539">
        <f t="shared" si="123"/>
        <v>0</v>
      </c>
      <c r="BH603" s="1539">
        <f t="shared" si="124"/>
        <v>15600</v>
      </c>
      <c r="BI603" s="1539">
        <f t="shared" si="125"/>
        <v>15600</v>
      </c>
      <c r="BJ603" s="1539">
        <f t="shared" si="126"/>
        <v>0</v>
      </c>
      <c r="BK603" s="1539">
        <f t="shared" si="127"/>
        <v>0</v>
      </c>
      <c r="BL603" s="1539">
        <f t="shared" si="128"/>
        <v>0</v>
      </c>
      <c r="BM603" s="1539">
        <f t="shared" si="129"/>
        <v>15600</v>
      </c>
      <c r="BO603" s="1183"/>
      <c r="BQ603" s="1182">
        <f t="shared" si="130"/>
        <v>0</v>
      </c>
      <c r="BR603" s="1182">
        <f t="shared" si="131"/>
        <v>0</v>
      </c>
    </row>
    <row r="604" spans="1:70" ht="13.5" customHeight="1">
      <c r="A604" s="1182" t="s">
        <v>1803</v>
      </c>
      <c r="B604" s="1182" t="s">
        <v>1804</v>
      </c>
      <c r="C604" s="1182" t="s">
        <v>1639</v>
      </c>
      <c r="D604" s="1182" t="s">
        <v>2590</v>
      </c>
      <c r="E604" s="1182" t="s">
        <v>2591</v>
      </c>
      <c r="F604" s="1182" t="s">
        <v>3708</v>
      </c>
      <c r="G604" s="1182" t="s">
        <v>3708</v>
      </c>
      <c r="H604" s="1182" t="s">
        <v>3670</v>
      </c>
      <c r="I604" s="1182" t="s">
        <v>1937</v>
      </c>
      <c r="J604" s="1182" t="s">
        <v>3709</v>
      </c>
      <c r="K604" s="1182" t="s">
        <v>1811</v>
      </c>
      <c r="L604" s="1182" t="s">
        <v>1812</v>
      </c>
      <c r="M604" s="1182" t="s">
        <v>1803</v>
      </c>
      <c r="N604" s="1182" t="s">
        <v>2922</v>
      </c>
      <c r="O604" s="1182" t="s">
        <v>1554</v>
      </c>
      <c r="P604" s="1182" t="s">
        <v>1563</v>
      </c>
      <c r="Q604" s="1182" t="s">
        <v>1562</v>
      </c>
      <c r="R604" s="1182" t="s">
        <v>1561</v>
      </c>
      <c r="S604" s="1182" t="s">
        <v>1639</v>
      </c>
      <c r="T604" s="1182" t="s">
        <v>1814</v>
      </c>
      <c r="U604" s="1182" t="s">
        <v>1815</v>
      </c>
      <c r="V604" s="1182">
        <v>0</v>
      </c>
      <c r="W604" s="1182">
        <v>0</v>
      </c>
      <c r="X604" s="1182">
        <v>0</v>
      </c>
      <c r="Y604" s="1183">
        <v>12400</v>
      </c>
      <c r="Z604" s="1182" t="s">
        <v>1940</v>
      </c>
      <c r="AA604" s="1182" t="s">
        <v>1941</v>
      </c>
      <c r="AB604" s="1182">
        <v>12400</v>
      </c>
      <c r="AC604" s="1182" t="s">
        <v>2925</v>
      </c>
      <c r="AD604" s="1182" t="s">
        <v>1561</v>
      </c>
      <c r="AE604" s="1182">
        <v>12400</v>
      </c>
      <c r="AF604" s="1182" t="s">
        <v>1943</v>
      </c>
      <c r="AG604" s="1182" t="s">
        <v>1944</v>
      </c>
      <c r="AH604" s="1182">
        <v>0</v>
      </c>
      <c r="AI604" s="1182">
        <v>12400</v>
      </c>
      <c r="AJ604" s="1182" t="s">
        <v>3710</v>
      </c>
      <c r="AL604" s="1186" t="s">
        <v>3711</v>
      </c>
      <c r="AM604" s="1182">
        <v>1</v>
      </c>
      <c r="AN604" s="1182">
        <v>0</v>
      </c>
      <c r="AO604" s="1182">
        <v>0</v>
      </c>
      <c r="AP604" s="1182" t="s">
        <v>2949</v>
      </c>
      <c r="AQ604" s="1182" t="s">
        <v>1639</v>
      </c>
      <c r="AS604" s="1186" t="s">
        <v>1943</v>
      </c>
      <c r="AT604" s="1186" t="s">
        <v>1944</v>
      </c>
      <c r="AV604" s="1185">
        <v>0</v>
      </c>
      <c r="AW604" s="1185">
        <v>0</v>
      </c>
      <c r="AX604" s="1185">
        <v>12400</v>
      </c>
      <c r="AY604" s="1539">
        <v>12400</v>
      </c>
      <c r="AZ604" s="1185">
        <v>0</v>
      </c>
      <c r="BA604" s="1185">
        <v>0</v>
      </c>
      <c r="BB604" s="1540">
        <v>0</v>
      </c>
      <c r="BC604" s="1540">
        <v>12400</v>
      </c>
      <c r="BD604" s="1540">
        <v>0</v>
      </c>
      <c r="BF604" s="1539">
        <f t="shared" si="122"/>
        <v>0</v>
      </c>
      <c r="BG604" s="1539">
        <f t="shared" si="123"/>
        <v>0</v>
      </c>
      <c r="BH604" s="1539">
        <f t="shared" si="124"/>
        <v>12400</v>
      </c>
      <c r="BI604" s="1539">
        <f t="shared" si="125"/>
        <v>12400</v>
      </c>
      <c r="BJ604" s="1539">
        <f t="shared" si="126"/>
        <v>0</v>
      </c>
      <c r="BK604" s="1539">
        <f t="shared" si="127"/>
        <v>0</v>
      </c>
      <c r="BL604" s="1539">
        <f t="shared" si="128"/>
        <v>0</v>
      </c>
      <c r="BM604" s="1539">
        <f t="shared" si="129"/>
        <v>12400</v>
      </c>
      <c r="BO604" s="1183"/>
      <c r="BQ604" s="1182">
        <f t="shared" si="130"/>
        <v>0</v>
      </c>
      <c r="BR604" s="1182">
        <f t="shared" si="131"/>
        <v>0</v>
      </c>
    </row>
    <row r="605" spans="1:70" ht="13.5" customHeight="1">
      <c r="A605" s="1182" t="s">
        <v>1803</v>
      </c>
      <c r="B605" s="1182" t="s">
        <v>1804</v>
      </c>
      <c r="C605" s="1182" t="s">
        <v>1639</v>
      </c>
      <c r="D605" s="1182" t="s">
        <v>2590</v>
      </c>
      <c r="E605" s="1182" t="s">
        <v>2591</v>
      </c>
      <c r="F605" s="1182" t="s">
        <v>3703</v>
      </c>
      <c r="G605" s="1182" t="s">
        <v>3703</v>
      </c>
      <c r="H605" s="1182" t="s">
        <v>3670</v>
      </c>
      <c r="I605" s="1182" t="s">
        <v>1937</v>
      </c>
      <c r="J605" s="1182" t="s">
        <v>3704</v>
      </c>
      <c r="K605" s="1182" t="s">
        <v>1811</v>
      </c>
      <c r="L605" s="1182" t="s">
        <v>1812</v>
      </c>
      <c r="M605" s="1182" t="s">
        <v>1803</v>
      </c>
      <c r="N605" s="1182" t="s">
        <v>2922</v>
      </c>
      <c r="O605" s="1182" t="s">
        <v>1554</v>
      </c>
      <c r="P605" s="1182" t="s">
        <v>1563</v>
      </c>
      <c r="Q605" s="1182" t="s">
        <v>1562</v>
      </c>
      <c r="R605" s="1182" t="s">
        <v>1561</v>
      </c>
      <c r="S605" s="1182" t="s">
        <v>1639</v>
      </c>
      <c r="T605" s="1182" t="s">
        <v>1814</v>
      </c>
      <c r="U605" s="1182" t="s">
        <v>1815</v>
      </c>
      <c r="V605" s="1182">
        <v>0</v>
      </c>
      <c r="W605" s="1182">
        <v>0</v>
      </c>
      <c r="X605" s="1182">
        <v>0</v>
      </c>
      <c r="Y605" s="1183">
        <v>16000</v>
      </c>
      <c r="Z605" s="1182" t="s">
        <v>1940</v>
      </c>
      <c r="AA605" s="1182" t="s">
        <v>1941</v>
      </c>
      <c r="AB605" s="1182">
        <v>16000</v>
      </c>
      <c r="AC605" s="1182" t="s">
        <v>2925</v>
      </c>
      <c r="AD605" s="1182" t="s">
        <v>1561</v>
      </c>
      <c r="AE605" s="1182">
        <v>16000</v>
      </c>
      <c r="AF605" s="1182" t="s">
        <v>1943</v>
      </c>
      <c r="AG605" s="1182" t="s">
        <v>1944</v>
      </c>
      <c r="AH605" s="1182">
        <v>0</v>
      </c>
      <c r="AI605" s="1182">
        <v>16000</v>
      </c>
      <c r="AJ605" s="1182" t="s">
        <v>3668</v>
      </c>
      <c r="AL605" s="1186" t="s">
        <v>3705</v>
      </c>
      <c r="AM605" s="1182">
        <v>1</v>
      </c>
      <c r="AN605" s="1182">
        <v>0</v>
      </c>
      <c r="AO605" s="1182">
        <v>0</v>
      </c>
      <c r="AP605" s="1182" t="s">
        <v>2949</v>
      </c>
      <c r="AQ605" s="1182" t="s">
        <v>1639</v>
      </c>
      <c r="AS605" s="1186" t="s">
        <v>1943</v>
      </c>
      <c r="AT605" s="1186" t="s">
        <v>1944</v>
      </c>
      <c r="AV605" s="1185">
        <v>0</v>
      </c>
      <c r="AW605" s="1185">
        <v>0</v>
      </c>
      <c r="AX605" s="1185">
        <v>16000</v>
      </c>
      <c r="AY605" s="1539">
        <v>16000</v>
      </c>
      <c r="AZ605" s="1185">
        <v>0</v>
      </c>
      <c r="BA605" s="1185">
        <v>0</v>
      </c>
      <c r="BB605" s="1540">
        <v>0</v>
      </c>
      <c r="BC605" s="1540">
        <v>16000</v>
      </c>
      <c r="BD605" s="1540">
        <v>0</v>
      </c>
      <c r="BF605" s="1539">
        <f t="shared" si="122"/>
        <v>0</v>
      </c>
      <c r="BG605" s="1539">
        <f t="shared" si="123"/>
        <v>0</v>
      </c>
      <c r="BH605" s="1539">
        <f t="shared" si="124"/>
        <v>16000</v>
      </c>
      <c r="BI605" s="1539">
        <f t="shared" si="125"/>
        <v>16000</v>
      </c>
      <c r="BJ605" s="1539">
        <f t="shared" si="126"/>
        <v>0</v>
      </c>
      <c r="BK605" s="1539">
        <f t="shared" si="127"/>
        <v>0</v>
      </c>
      <c r="BL605" s="1539">
        <f t="shared" si="128"/>
        <v>0</v>
      </c>
      <c r="BM605" s="1539">
        <f t="shared" si="129"/>
        <v>16000</v>
      </c>
      <c r="BO605" s="1183"/>
      <c r="BQ605" s="1182">
        <f t="shared" si="130"/>
        <v>0</v>
      </c>
      <c r="BR605" s="1182">
        <f t="shared" si="131"/>
        <v>0</v>
      </c>
    </row>
    <row r="606" spans="1:70" ht="13.5" customHeight="1">
      <c r="A606" s="1182" t="s">
        <v>1803</v>
      </c>
      <c r="B606" s="1182" t="s">
        <v>1804</v>
      </c>
      <c r="C606" s="1182" t="s">
        <v>1639</v>
      </c>
      <c r="D606" s="1182" t="s">
        <v>2590</v>
      </c>
      <c r="E606" s="1182" t="s">
        <v>2591</v>
      </c>
      <c r="F606" s="1182" t="s">
        <v>2738</v>
      </c>
      <c r="G606" s="1182" t="s">
        <v>2738</v>
      </c>
      <c r="H606" s="1182" t="s">
        <v>3670</v>
      </c>
      <c r="I606" s="1182" t="s">
        <v>1937</v>
      </c>
      <c r="J606" s="1182" t="s">
        <v>3697</v>
      </c>
      <c r="K606" s="1182" t="s">
        <v>1811</v>
      </c>
      <c r="L606" s="1182" t="s">
        <v>1812</v>
      </c>
      <c r="M606" s="1182" t="s">
        <v>1803</v>
      </c>
      <c r="N606" s="1182" t="s">
        <v>2922</v>
      </c>
      <c r="O606" s="1182" t="s">
        <v>1554</v>
      </c>
      <c r="P606" s="1182" t="s">
        <v>1563</v>
      </c>
      <c r="Q606" s="1182" t="s">
        <v>1562</v>
      </c>
      <c r="R606" s="1182" t="s">
        <v>1561</v>
      </c>
      <c r="S606" s="1182" t="s">
        <v>1639</v>
      </c>
      <c r="T606" s="1182" t="s">
        <v>1814</v>
      </c>
      <c r="U606" s="1182" t="s">
        <v>1815</v>
      </c>
      <c r="V606" s="1182">
        <v>0</v>
      </c>
      <c r="W606" s="1182">
        <v>0</v>
      </c>
      <c r="X606" s="1182">
        <v>0</v>
      </c>
      <c r="Y606" s="1183">
        <v>13300</v>
      </c>
      <c r="Z606" s="1182" t="s">
        <v>1940</v>
      </c>
      <c r="AA606" s="1182" t="s">
        <v>1941</v>
      </c>
      <c r="AB606" s="1182">
        <v>13300</v>
      </c>
      <c r="AC606" s="1182" t="s">
        <v>2925</v>
      </c>
      <c r="AD606" s="1182" t="s">
        <v>1561</v>
      </c>
      <c r="AE606" s="1182">
        <v>13300</v>
      </c>
      <c r="AF606" s="1182" t="s">
        <v>1943</v>
      </c>
      <c r="AG606" s="1182" t="s">
        <v>1944</v>
      </c>
      <c r="AH606" s="1182">
        <v>0</v>
      </c>
      <c r="AI606" s="1182">
        <v>13300</v>
      </c>
      <c r="AJ606" s="1182" t="s">
        <v>3698</v>
      </c>
      <c r="AL606" s="1186" t="s">
        <v>3699</v>
      </c>
      <c r="AM606" s="1182">
        <v>1</v>
      </c>
      <c r="AN606" s="1182">
        <v>0</v>
      </c>
      <c r="AO606" s="1182">
        <v>0</v>
      </c>
      <c r="AP606" s="1182" t="s">
        <v>2949</v>
      </c>
      <c r="AQ606" s="1182" t="s">
        <v>1639</v>
      </c>
      <c r="AS606" s="1186" t="s">
        <v>1943</v>
      </c>
      <c r="AT606" s="1186" t="s">
        <v>1944</v>
      </c>
      <c r="AV606" s="1185">
        <v>0</v>
      </c>
      <c r="AW606" s="1185">
        <v>0</v>
      </c>
      <c r="AX606" s="1185">
        <v>13300</v>
      </c>
      <c r="AY606" s="1539">
        <v>13300</v>
      </c>
      <c r="AZ606" s="1185">
        <v>0</v>
      </c>
      <c r="BA606" s="1185">
        <v>0</v>
      </c>
      <c r="BB606" s="1540">
        <v>0</v>
      </c>
      <c r="BC606" s="1540">
        <v>13300</v>
      </c>
      <c r="BD606" s="1540">
        <v>0</v>
      </c>
      <c r="BF606" s="1539">
        <f t="shared" si="122"/>
        <v>0</v>
      </c>
      <c r="BG606" s="1539">
        <f t="shared" si="123"/>
        <v>0</v>
      </c>
      <c r="BH606" s="1539">
        <f t="shared" si="124"/>
        <v>13300</v>
      </c>
      <c r="BI606" s="1539">
        <f t="shared" si="125"/>
        <v>13300</v>
      </c>
      <c r="BJ606" s="1539">
        <f t="shared" si="126"/>
        <v>0</v>
      </c>
      <c r="BK606" s="1539">
        <f t="shared" si="127"/>
        <v>0</v>
      </c>
      <c r="BL606" s="1539">
        <f t="shared" si="128"/>
        <v>0</v>
      </c>
      <c r="BM606" s="1539">
        <f t="shared" si="129"/>
        <v>13300</v>
      </c>
      <c r="BO606" s="1183"/>
      <c r="BQ606" s="1182">
        <f t="shared" si="130"/>
        <v>0</v>
      </c>
      <c r="BR606" s="1182">
        <f t="shared" si="131"/>
        <v>0</v>
      </c>
    </row>
    <row r="607" spans="1:70" ht="13.5" customHeight="1">
      <c r="A607" s="1182" t="s">
        <v>1803</v>
      </c>
      <c r="B607" s="1182" t="s">
        <v>1804</v>
      </c>
      <c r="C607" s="1182" t="s">
        <v>1639</v>
      </c>
      <c r="D607" s="1182" t="s">
        <v>2590</v>
      </c>
      <c r="E607" s="1182" t="s">
        <v>2591</v>
      </c>
      <c r="F607" s="1182" t="s">
        <v>3004</v>
      </c>
      <c r="G607" s="1182" t="s">
        <v>3004</v>
      </c>
      <c r="H607" s="1182" t="s">
        <v>3670</v>
      </c>
      <c r="I607" s="1182" t="s">
        <v>1937</v>
      </c>
      <c r="J607" s="1182" t="s">
        <v>3729</v>
      </c>
      <c r="K607" s="1182" t="s">
        <v>1811</v>
      </c>
      <c r="L607" s="1182" t="s">
        <v>1812</v>
      </c>
      <c r="M607" s="1182" t="s">
        <v>1803</v>
      </c>
      <c r="N607" s="1182" t="s">
        <v>2922</v>
      </c>
      <c r="O607" s="1182" t="s">
        <v>1554</v>
      </c>
      <c r="P607" s="1182" t="s">
        <v>1563</v>
      </c>
      <c r="Q607" s="1182" t="s">
        <v>1562</v>
      </c>
      <c r="R607" s="1182" t="s">
        <v>1561</v>
      </c>
      <c r="S607" s="1182" t="s">
        <v>1639</v>
      </c>
      <c r="T607" s="1182" t="s">
        <v>1814</v>
      </c>
      <c r="U607" s="1182" t="s">
        <v>1815</v>
      </c>
      <c r="V607" s="1182">
        <v>0</v>
      </c>
      <c r="W607" s="1182">
        <v>0</v>
      </c>
      <c r="X607" s="1182">
        <v>0</v>
      </c>
      <c r="Y607" s="1183">
        <v>12400</v>
      </c>
      <c r="Z607" s="1182" t="s">
        <v>1940</v>
      </c>
      <c r="AA607" s="1182" t="s">
        <v>1941</v>
      </c>
      <c r="AB607" s="1182">
        <v>12400</v>
      </c>
      <c r="AC607" s="1182" t="s">
        <v>2925</v>
      </c>
      <c r="AD607" s="1182" t="s">
        <v>1561</v>
      </c>
      <c r="AE607" s="1182">
        <v>12400</v>
      </c>
      <c r="AF607" s="1182" t="s">
        <v>1943</v>
      </c>
      <c r="AG607" s="1182" t="s">
        <v>1944</v>
      </c>
      <c r="AH607" s="1182">
        <v>0</v>
      </c>
      <c r="AI607" s="1182">
        <v>12400</v>
      </c>
      <c r="AJ607" s="1182" t="s">
        <v>3710</v>
      </c>
      <c r="AL607" s="1186" t="s">
        <v>3730</v>
      </c>
      <c r="AM607" s="1182">
        <v>1</v>
      </c>
      <c r="AN607" s="1182">
        <v>0</v>
      </c>
      <c r="AO607" s="1182">
        <v>0</v>
      </c>
      <c r="AP607" s="1182" t="s">
        <v>2949</v>
      </c>
      <c r="AQ607" s="1182" t="s">
        <v>1639</v>
      </c>
      <c r="AS607" s="1186" t="s">
        <v>1943</v>
      </c>
      <c r="AT607" s="1186" t="s">
        <v>1944</v>
      </c>
      <c r="AV607" s="1183">
        <v>0</v>
      </c>
      <c r="AW607" s="1183">
        <v>0</v>
      </c>
      <c r="AX607" s="1183">
        <v>12400</v>
      </c>
      <c r="AY607" s="1538">
        <v>12400</v>
      </c>
      <c r="AZ607" s="1183">
        <v>0</v>
      </c>
      <c r="BA607" s="1183">
        <v>0</v>
      </c>
      <c r="BB607" s="1540">
        <v>0</v>
      </c>
      <c r="BC607" s="1540">
        <v>12400</v>
      </c>
      <c r="BD607" s="1540">
        <v>0</v>
      </c>
      <c r="BF607" s="1539">
        <f t="shared" si="122"/>
        <v>0</v>
      </c>
      <c r="BG607" s="1539">
        <f t="shared" si="123"/>
        <v>0</v>
      </c>
      <c r="BH607" s="1539">
        <f t="shared" si="124"/>
        <v>12400</v>
      </c>
      <c r="BI607" s="1539">
        <f t="shared" si="125"/>
        <v>12400</v>
      </c>
      <c r="BJ607" s="1539">
        <f t="shared" si="126"/>
        <v>0</v>
      </c>
      <c r="BK607" s="1539">
        <f t="shared" si="127"/>
        <v>0</v>
      </c>
      <c r="BL607" s="1539">
        <f t="shared" si="128"/>
        <v>0</v>
      </c>
      <c r="BM607" s="1539">
        <f t="shared" si="129"/>
        <v>12400</v>
      </c>
      <c r="BO607" s="1183"/>
      <c r="BQ607" s="1182">
        <f t="shared" si="130"/>
        <v>0</v>
      </c>
      <c r="BR607" s="1182">
        <f t="shared" si="131"/>
        <v>0</v>
      </c>
    </row>
    <row r="608" spans="1:70" ht="13.5" customHeight="1">
      <c r="A608" s="1182" t="s">
        <v>1803</v>
      </c>
      <c r="B608" s="1182" t="s">
        <v>1804</v>
      </c>
      <c r="C608" s="1182" t="s">
        <v>1639</v>
      </c>
      <c r="D608" s="1182" t="s">
        <v>2590</v>
      </c>
      <c r="E608" s="1182" t="s">
        <v>2591</v>
      </c>
      <c r="F608" s="1182" t="s">
        <v>2040</v>
      </c>
      <c r="G608" s="1182" t="s">
        <v>2040</v>
      </c>
      <c r="H608" s="1182" t="s">
        <v>3670</v>
      </c>
      <c r="I608" s="1182" t="s">
        <v>1937</v>
      </c>
      <c r="J608" s="1182" t="s">
        <v>3731</v>
      </c>
      <c r="K608" s="1182" t="s">
        <v>1811</v>
      </c>
      <c r="L608" s="1182" t="s">
        <v>1812</v>
      </c>
      <c r="M608" s="1182" t="s">
        <v>1803</v>
      </c>
      <c r="N608" s="1182" t="s">
        <v>2922</v>
      </c>
      <c r="O608" s="1182" t="s">
        <v>1554</v>
      </c>
      <c r="P608" s="1182" t="s">
        <v>1563</v>
      </c>
      <c r="Q608" s="1182" t="s">
        <v>1562</v>
      </c>
      <c r="R608" s="1182" t="s">
        <v>1561</v>
      </c>
      <c r="S608" s="1182" t="s">
        <v>1639</v>
      </c>
      <c r="T608" s="1182" t="s">
        <v>1814</v>
      </c>
      <c r="U608" s="1182" t="s">
        <v>1815</v>
      </c>
      <c r="V608" s="1182">
        <v>0</v>
      </c>
      <c r="W608" s="1182">
        <v>0</v>
      </c>
      <c r="X608" s="1182">
        <v>0</v>
      </c>
      <c r="Y608" s="1183">
        <v>33800</v>
      </c>
      <c r="Z608" s="1182" t="s">
        <v>1940</v>
      </c>
      <c r="AA608" s="1182" t="s">
        <v>1941</v>
      </c>
      <c r="AB608" s="1182">
        <v>33800</v>
      </c>
      <c r="AC608" s="1182" t="s">
        <v>2925</v>
      </c>
      <c r="AD608" s="1182" t="s">
        <v>1561</v>
      </c>
      <c r="AE608" s="1182">
        <v>33800</v>
      </c>
      <c r="AF608" s="1182" t="s">
        <v>1943</v>
      </c>
      <c r="AG608" s="1182" t="s">
        <v>1944</v>
      </c>
      <c r="AH608" s="1182">
        <v>0</v>
      </c>
      <c r="AI608" s="1182">
        <v>33800</v>
      </c>
      <c r="AJ608" s="1182" t="s">
        <v>3009</v>
      </c>
      <c r="AL608" s="1186" t="s">
        <v>3732</v>
      </c>
      <c r="AM608" s="1182">
        <v>1</v>
      </c>
      <c r="AN608" s="1182">
        <v>0</v>
      </c>
      <c r="AO608" s="1182">
        <v>0</v>
      </c>
      <c r="AP608" s="1182" t="s">
        <v>2949</v>
      </c>
      <c r="AQ608" s="1182" t="s">
        <v>1639</v>
      </c>
      <c r="AS608" s="1186" t="s">
        <v>1943</v>
      </c>
      <c r="AT608" s="1186" t="s">
        <v>1944</v>
      </c>
      <c r="AV608" s="1185">
        <v>0</v>
      </c>
      <c r="AW608" s="1185">
        <v>0</v>
      </c>
      <c r="AX608" s="1185">
        <v>33800</v>
      </c>
      <c r="AY608" s="1539">
        <v>33800</v>
      </c>
      <c r="AZ608" s="1185">
        <v>0</v>
      </c>
      <c r="BA608" s="1185">
        <v>0</v>
      </c>
      <c r="BB608" s="1540">
        <v>0</v>
      </c>
      <c r="BC608" s="1540">
        <v>33800</v>
      </c>
      <c r="BD608" s="1540">
        <v>0</v>
      </c>
      <c r="BF608" s="1539">
        <f t="shared" si="122"/>
        <v>0</v>
      </c>
      <c r="BG608" s="1539">
        <f t="shared" si="123"/>
        <v>0</v>
      </c>
      <c r="BH608" s="1539">
        <f t="shared" si="124"/>
        <v>33800</v>
      </c>
      <c r="BI608" s="1539">
        <f t="shared" si="125"/>
        <v>33800</v>
      </c>
      <c r="BJ608" s="1539">
        <f t="shared" si="126"/>
        <v>0</v>
      </c>
      <c r="BK608" s="1539">
        <f t="shared" si="127"/>
        <v>0</v>
      </c>
      <c r="BL608" s="1539">
        <f t="shared" si="128"/>
        <v>0</v>
      </c>
      <c r="BM608" s="1539">
        <f t="shared" si="129"/>
        <v>33800</v>
      </c>
      <c r="BO608" s="1183"/>
      <c r="BQ608" s="1182">
        <f t="shared" si="130"/>
        <v>0</v>
      </c>
      <c r="BR608" s="1182">
        <f t="shared" si="131"/>
        <v>0</v>
      </c>
    </row>
    <row r="609" spans="1:70" ht="13.5" customHeight="1">
      <c r="A609" s="1182" t="s">
        <v>1803</v>
      </c>
      <c r="B609" s="1182" t="s">
        <v>1804</v>
      </c>
      <c r="C609" s="1182" t="s">
        <v>1639</v>
      </c>
      <c r="D609" s="1182" t="s">
        <v>2590</v>
      </c>
      <c r="E609" s="1182" t="s">
        <v>2591</v>
      </c>
      <c r="F609" s="1182" t="s">
        <v>2008</v>
      </c>
      <c r="G609" s="1182" t="s">
        <v>2008</v>
      </c>
      <c r="H609" s="1182" t="s">
        <v>3670</v>
      </c>
      <c r="I609" s="1182" t="s">
        <v>1937</v>
      </c>
      <c r="J609" s="1182" t="s">
        <v>3715</v>
      </c>
      <c r="K609" s="1182" t="s">
        <v>1811</v>
      </c>
      <c r="L609" s="1182" t="s">
        <v>1812</v>
      </c>
      <c r="M609" s="1182" t="s">
        <v>1803</v>
      </c>
      <c r="N609" s="1182" t="s">
        <v>2922</v>
      </c>
      <c r="O609" s="1182" t="s">
        <v>1554</v>
      </c>
      <c r="P609" s="1182" t="s">
        <v>1563</v>
      </c>
      <c r="Q609" s="1182" t="s">
        <v>1562</v>
      </c>
      <c r="R609" s="1182" t="s">
        <v>1561</v>
      </c>
      <c r="S609" s="1182" t="s">
        <v>1639</v>
      </c>
      <c r="T609" s="1182" t="s">
        <v>1814</v>
      </c>
      <c r="U609" s="1182" t="s">
        <v>1815</v>
      </c>
      <c r="V609" s="1182">
        <v>0</v>
      </c>
      <c r="W609" s="1182">
        <v>0</v>
      </c>
      <c r="X609" s="1182">
        <v>0</v>
      </c>
      <c r="Y609" s="1183">
        <v>16600</v>
      </c>
      <c r="Z609" s="1182" t="s">
        <v>1940</v>
      </c>
      <c r="AA609" s="1182" t="s">
        <v>1941</v>
      </c>
      <c r="AB609" s="1182">
        <v>16600</v>
      </c>
      <c r="AC609" s="1182" t="s">
        <v>2925</v>
      </c>
      <c r="AD609" s="1182" t="s">
        <v>1561</v>
      </c>
      <c r="AE609" s="1182">
        <v>16600</v>
      </c>
      <c r="AF609" s="1182" t="s">
        <v>1943</v>
      </c>
      <c r="AG609" s="1182" t="s">
        <v>1944</v>
      </c>
      <c r="AH609" s="1182">
        <v>0</v>
      </c>
      <c r="AI609" s="1182">
        <v>16600</v>
      </c>
      <c r="AJ609" s="1182" t="s">
        <v>3716</v>
      </c>
      <c r="AL609" s="1186" t="s">
        <v>3717</v>
      </c>
      <c r="AM609" s="1182">
        <v>1</v>
      </c>
      <c r="AN609" s="1182">
        <v>0</v>
      </c>
      <c r="AO609" s="1182">
        <v>0</v>
      </c>
      <c r="AP609" s="1182" t="s">
        <v>2949</v>
      </c>
      <c r="AQ609" s="1182" t="s">
        <v>1639</v>
      </c>
      <c r="AS609" s="1186" t="s">
        <v>1943</v>
      </c>
      <c r="AT609" s="1186" t="s">
        <v>1944</v>
      </c>
      <c r="AV609" s="1185">
        <v>0</v>
      </c>
      <c r="AW609" s="1185">
        <v>0</v>
      </c>
      <c r="AX609" s="1185">
        <v>16600</v>
      </c>
      <c r="AY609" s="1539">
        <v>16600</v>
      </c>
      <c r="AZ609" s="1185">
        <v>0</v>
      </c>
      <c r="BA609" s="1185">
        <v>0</v>
      </c>
      <c r="BB609" s="1540">
        <v>0</v>
      </c>
      <c r="BC609" s="1540">
        <v>16600</v>
      </c>
      <c r="BD609" s="1540">
        <v>0</v>
      </c>
      <c r="BF609" s="1539">
        <f t="shared" si="122"/>
        <v>0</v>
      </c>
      <c r="BG609" s="1539">
        <f t="shared" si="123"/>
        <v>0</v>
      </c>
      <c r="BH609" s="1539">
        <f t="shared" si="124"/>
        <v>16600</v>
      </c>
      <c r="BI609" s="1539">
        <f t="shared" si="125"/>
        <v>16600</v>
      </c>
      <c r="BJ609" s="1539">
        <f t="shared" si="126"/>
        <v>0</v>
      </c>
      <c r="BK609" s="1539">
        <f t="shared" si="127"/>
        <v>0</v>
      </c>
      <c r="BL609" s="1539">
        <f t="shared" si="128"/>
        <v>0</v>
      </c>
      <c r="BM609" s="1539">
        <f t="shared" si="129"/>
        <v>16600</v>
      </c>
      <c r="BO609" s="1183"/>
      <c r="BQ609" s="1182">
        <f t="shared" si="130"/>
        <v>0</v>
      </c>
      <c r="BR609" s="1182">
        <f t="shared" si="131"/>
        <v>0</v>
      </c>
    </row>
    <row r="610" spans="1:70" ht="13.5" customHeight="1">
      <c r="A610" s="1182" t="s">
        <v>1803</v>
      </c>
      <c r="B610" s="1182" t="s">
        <v>1804</v>
      </c>
      <c r="C610" s="1182" t="s">
        <v>1639</v>
      </c>
      <c r="D610" s="1182" t="s">
        <v>2590</v>
      </c>
      <c r="E610" s="1182" t="s">
        <v>2591</v>
      </c>
      <c r="F610" s="1182" t="s">
        <v>3223</v>
      </c>
      <c r="G610" s="1182" t="s">
        <v>3223</v>
      </c>
      <c r="H610" s="1182" t="s">
        <v>3670</v>
      </c>
      <c r="I610" s="1182" t="s">
        <v>1937</v>
      </c>
      <c r="J610" s="1182" t="s">
        <v>3720</v>
      </c>
      <c r="K610" s="1182" t="s">
        <v>1811</v>
      </c>
      <c r="L610" s="1182" t="s">
        <v>1812</v>
      </c>
      <c r="M610" s="1182" t="s">
        <v>1803</v>
      </c>
      <c r="N610" s="1182" t="s">
        <v>2922</v>
      </c>
      <c r="O610" s="1182" t="s">
        <v>1554</v>
      </c>
      <c r="P610" s="1182" t="s">
        <v>1563</v>
      </c>
      <c r="Q610" s="1182" t="s">
        <v>1562</v>
      </c>
      <c r="R610" s="1182" t="s">
        <v>1561</v>
      </c>
      <c r="S610" s="1182" t="s">
        <v>1639</v>
      </c>
      <c r="T610" s="1182" t="s">
        <v>1814</v>
      </c>
      <c r="U610" s="1182" t="s">
        <v>1815</v>
      </c>
      <c r="V610" s="1182">
        <v>0</v>
      </c>
      <c r="W610" s="1182">
        <v>0</v>
      </c>
      <c r="X610" s="1182">
        <v>0</v>
      </c>
      <c r="Y610" s="1183">
        <v>16600</v>
      </c>
      <c r="Z610" s="1182" t="s">
        <v>1940</v>
      </c>
      <c r="AA610" s="1182" t="s">
        <v>1941</v>
      </c>
      <c r="AB610" s="1182">
        <v>16600</v>
      </c>
      <c r="AC610" s="1182" t="s">
        <v>2925</v>
      </c>
      <c r="AD610" s="1182" t="s">
        <v>1561</v>
      </c>
      <c r="AE610" s="1182">
        <v>16600</v>
      </c>
      <c r="AF610" s="1182" t="s">
        <v>1943</v>
      </c>
      <c r="AG610" s="1182" t="s">
        <v>1944</v>
      </c>
      <c r="AH610" s="1182">
        <v>0</v>
      </c>
      <c r="AI610" s="1182">
        <v>16600</v>
      </c>
      <c r="AJ610" s="1182" t="s">
        <v>3721</v>
      </c>
      <c r="AL610" s="1186" t="s">
        <v>3722</v>
      </c>
      <c r="AM610" s="1182">
        <v>1</v>
      </c>
      <c r="AN610" s="1182">
        <v>0</v>
      </c>
      <c r="AO610" s="1182">
        <v>0</v>
      </c>
      <c r="AP610" s="1182" t="s">
        <v>2949</v>
      </c>
      <c r="AQ610" s="1182" t="s">
        <v>1639</v>
      </c>
      <c r="AS610" s="1186" t="s">
        <v>1943</v>
      </c>
      <c r="AT610" s="1186" t="s">
        <v>1944</v>
      </c>
      <c r="AV610" s="1185">
        <v>0</v>
      </c>
      <c r="AW610" s="1185">
        <v>0</v>
      </c>
      <c r="AX610" s="1185">
        <v>16600</v>
      </c>
      <c r="AY610" s="1539">
        <v>16600</v>
      </c>
      <c r="AZ610" s="1185">
        <v>0</v>
      </c>
      <c r="BA610" s="1185">
        <v>0</v>
      </c>
      <c r="BB610" s="1540">
        <v>0</v>
      </c>
      <c r="BC610" s="1540">
        <v>16600</v>
      </c>
      <c r="BD610" s="1540">
        <v>0</v>
      </c>
      <c r="BF610" s="1539">
        <f t="shared" si="122"/>
        <v>0</v>
      </c>
      <c r="BG610" s="1539">
        <f t="shared" si="123"/>
        <v>0</v>
      </c>
      <c r="BH610" s="1539">
        <f t="shared" si="124"/>
        <v>16600</v>
      </c>
      <c r="BI610" s="1539">
        <f t="shared" si="125"/>
        <v>16600</v>
      </c>
      <c r="BJ610" s="1539">
        <f t="shared" si="126"/>
        <v>0</v>
      </c>
      <c r="BK610" s="1539">
        <f t="shared" si="127"/>
        <v>0</v>
      </c>
      <c r="BL610" s="1539">
        <f t="shared" si="128"/>
        <v>0</v>
      </c>
      <c r="BM610" s="1539">
        <f t="shared" si="129"/>
        <v>16600</v>
      </c>
      <c r="BO610" s="1183"/>
      <c r="BQ610" s="1182">
        <f t="shared" si="130"/>
        <v>0</v>
      </c>
      <c r="BR610" s="1182">
        <f t="shared" si="131"/>
        <v>0</v>
      </c>
    </row>
    <row r="611" spans="1:70" ht="13.5" customHeight="1">
      <c r="A611" s="1182" t="s">
        <v>1803</v>
      </c>
      <c r="B611" s="1182" t="s">
        <v>1804</v>
      </c>
      <c r="C611" s="1182" t="s">
        <v>1639</v>
      </c>
      <c r="D611" s="1182" t="s">
        <v>2590</v>
      </c>
      <c r="E611" s="1182" t="s">
        <v>2591</v>
      </c>
      <c r="F611" s="1182" t="s">
        <v>3723</v>
      </c>
      <c r="G611" s="1182" t="s">
        <v>3723</v>
      </c>
      <c r="H611" s="1182" t="s">
        <v>3670</v>
      </c>
      <c r="I611" s="1182" t="s">
        <v>1937</v>
      </c>
      <c r="J611" s="1182" t="s">
        <v>3724</v>
      </c>
      <c r="K611" s="1182" t="s">
        <v>1811</v>
      </c>
      <c r="L611" s="1182" t="s">
        <v>1812</v>
      </c>
      <c r="M611" s="1182" t="s">
        <v>1803</v>
      </c>
      <c r="N611" s="1182" t="s">
        <v>2922</v>
      </c>
      <c r="O611" s="1182" t="s">
        <v>1554</v>
      </c>
      <c r="P611" s="1182" t="s">
        <v>1563</v>
      </c>
      <c r="Q611" s="1182" t="s">
        <v>1562</v>
      </c>
      <c r="R611" s="1182" t="s">
        <v>1561</v>
      </c>
      <c r="S611" s="1182" t="s">
        <v>1639</v>
      </c>
      <c r="T611" s="1182" t="s">
        <v>1814</v>
      </c>
      <c r="U611" s="1182" t="s">
        <v>1815</v>
      </c>
      <c r="V611" s="1182">
        <v>0</v>
      </c>
      <c r="W611" s="1182">
        <v>0</v>
      </c>
      <c r="X611" s="1182">
        <v>0</v>
      </c>
      <c r="Y611" s="1183">
        <v>4800</v>
      </c>
      <c r="Z611" s="1182" t="s">
        <v>1940</v>
      </c>
      <c r="AA611" s="1182" t="s">
        <v>1941</v>
      </c>
      <c r="AB611" s="1182">
        <v>4800</v>
      </c>
      <c r="AC611" s="1182" t="s">
        <v>2925</v>
      </c>
      <c r="AD611" s="1182" t="s">
        <v>1561</v>
      </c>
      <c r="AE611" s="1182">
        <v>4800</v>
      </c>
      <c r="AF611" s="1182" t="s">
        <v>1943</v>
      </c>
      <c r="AG611" s="1182" t="s">
        <v>1944</v>
      </c>
      <c r="AH611" s="1182">
        <v>0</v>
      </c>
      <c r="AI611" s="1182">
        <v>4800</v>
      </c>
      <c r="AJ611" s="1182" t="s">
        <v>3725</v>
      </c>
      <c r="AL611" s="1186" t="s">
        <v>3726</v>
      </c>
      <c r="AM611" s="1182">
        <v>1</v>
      </c>
      <c r="AN611" s="1182">
        <v>0</v>
      </c>
      <c r="AO611" s="1182">
        <v>0</v>
      </c>
      <c r="AP611" s="1182" t="s">
        <v>2949</v>
      </c>
      <c r="AQ611" s="1182" t="s">
        <v>1639</v>
      </c>
      <c r="AS611" s="1186" t="s">
        <v>1943</v>
      </c>
      <c r="AT611" s="1186" t="s">
        <v>1944</v>
      </c>
      <c r="AV611" s="1185">
        <v>0</v>
      </c>
      <c r="AW611" s="1185">
        <v>0</v>
      </c>
      <c r="AX611" s="1185">
        <v>4800</v>
      </c>
      <c r="AY611" s="1539">
        <v>4800</v>
      </c>
      <c r="AZ611" s="1185">
        <v>0</v>
      </c>
      <c r="BA611" s="1185">
        <v>0</v>
      </c>
      <c r="BB611" s="1540">
        <v>0</v>
      </c>
      <c r="BC611" s="1540">
        <v>4800</v>
      </c>
      <c r="BD611" s="1540">
        <v>0</v>
      </c>
      <c r="BF611" s="1539">
        <f t="shared" si="122"/>
        <v>0</v>
      </c>
      <c r="BG611" s="1539">
        <f t="shared" si="123"/>
        <v>0</v>
      </c>
      <c r="BH611" s="1539">
        <f t="shared" si="124"/>
        <v>4800</v>
      </c>
      <c r="BI611" s="1539">
        <f t="shared" si="125"/>
        <v>4800</v>
      </c>
      <c r="BJ611" s="1539">
        <f t="shared" si="126"/>
        <v>0</v>
      </c>
      <c r="BK611" s="1539">
        <f t="shared" si="127"/>
        <v>0</v>
      </c>
      <c r="BL611" s="1539">
        <f t="shared" si="128"/>
        <v>0</v>
      </c>
      <c r="BM611" s="1539">
        <f t="shared" si="129"/>
        <v>4800</v>
      </c>
      <c r="BO611" s="1183"/>
      <c r="BQ611" s="1182">
        <f t="shared" si="130"/>
        <v>0</v>
      </c>
      <c r="BR611" s="1182">
        <f t="shared" si="131"/>
        <v>0</v>
      </c>
    </row>
    <row r="612" spans="1:70" ht="13.5" customHeight="1">
      <c r="A612" s="1182" t="s">
        <v>1803</v>
      </c>
      <c r="B612" s="1182" t="s">
        <v>1804</v>
      </c>
      <c r="C612" s="1182" t="s">
        <v>1639</v>
      </c>
      <c r="D612" s="1182" t="s">
        <v>2590</v>
      </c>
      <c r="E612" s="1182" t="s">
        <v>2591</v>
      </c>
      <c r="F612" s="1182" t="s">
        <v>2691</v>
      </c>
      <c r="G612" s="1182" t="s">
        <v>2691</v>
      </c>
      <c r="H612" s="1182" t="s">
        <v>3670</v>
      </c>
      <c r="I612" s="1182" t="s">
        <v>1937</v>
      </c>
      <c r="J612" s="1182" t="s">
        <v>3733</v>
      </c>
      <c r="K612" s="1182" t="s">
        <v>1811</v>
      </c>
      <c r="L612" s="1182" t="s">
        <v>1812</v>
      </c>
      <c r="M612" s="1182" t="s">
        <v>1803</v>
      </c>
      <c r="N612" s="1182" t="s">
        <v>2922</v>
      </c>
      <c r="O612" s="1182" t="s">
        <v>1554</v>
      </c>
      <c r="P612" s="1182" t="s">
        <v>1563</v>
      </c>
      <c r="Q612" s="1182" t="s">
        <v>1562</v>
      </c>
      <c r="R612" s="1182" t="s">
        <v>1561</v>
      </c>
      <c r="S612" s="1182" t="s">
        <v>1639</v>
      </c>
      <c r="T612" s="1182" t="s">
        <v>1814</v>
      </c>
      <c r="U612" s="1182" t="s">
        <v>1815</v>
      </c>
      <c r="V612" s="1182">
        <v>0</v>
      </c>
      <c r="W612" s="1182">
        <v>0</v>
      </c>
      <c r="X612" s="1182">
        <v>0</v>
      </c>
      <c r="Y612" s="1183">
        <v>11400</v>
      </c>
      <c r="Z612" s="1182" t="s">
        <v>1940</v>
      </c>
      <c r="AA612" s="1182" t="s">
        <v>1941</v>
      </c>
      <c r="AB612" s="1182">
        <v>11400</v>
      </c>
      <c r="AC612" s="1182" t="s">
        <v>2925</v>
      </c>
      <c r="AD612" s="1182" t="s">
        <v>1561</v>
      </c>
      <c r="AE612" s="1182">
        <v>11400</v>
      </c>
      <c r="AF612" s="1182" t="s">
        <v>1943</v>
      </c>
      <c r="AG612" s="1182" t="s">
        <v>1944</v>
      </c>
      <c r="AH612" s="1182">
        <v>0</v>
      </c>
      <c r="AI612" s="1182">
        <v>11400</v>
      </c>
      <c r="AJ612" s="1182" t="s">
        <v>3734</v>
      </c>
      <c r="AL612" s="1186" t="s">
        <v>3735</v>
      </c>
      <c r="AM612" s="1182">
        <v>1</v>
      </c>
      <c r="AN612" s="1182">
        <v>0</v>
      </c>
      <c r="AO612" s="1182">
        <v>0</v>
      </c>
      <c r="AP612" s="1182" t="s">
        <v>2949</v>
      </c>
      <c r="AQ612" s="1182" t="s">
        <v>1639</v>
      </c>
      <c r="AS612" s="1186" t="s">
        <v>1943</v>
      </c>
      <c r="AT612" s="1186" t="s">
        <v>1944</v>
      </c>
      <c r="AV612" s="1185">
        <v>0</v>
      </c>
      <c r="AW612" s="1185">
        <v>0</v>
      </c>
      <c r="AX612" s="1185">
        <v>11400</v>
      </c>
      <c r="AY612" s="1539">
        <v>11400</v>
      </c>
      <c r="AZ612" s="1185">
        <v>0</v>
      </c>
      <c r="BA612" s="1185">
        <v>0</v>
      </c>
      <c r="BB612" s="1540">
        <v>0</v>
      </c>
      <c r="BC612" s="1540">
        <v>11400</v>
      </c>
      <c r="BD612" s="1540">
        <v>0</v>
      </c>
      <c r="BF612" s="1539">
        <f t="shared" si="122"/>
        <v>0</v>
      </c>
      <c r="BG612" s="1539">
        <f t="shared" si="123"/>
        <v>0</v>
      </c>
      <c r="BH612" s="1539">
        <f t="shared" si="124"/>
        <v>11400</v>
      </c>
      <c r="BI612" s="1539">
        <f t="shared" si="125"/>
        <v>11400</v>
      </c>
      <c r="BJ612" s="1539">
        <f t="shared" si="126"/>
        <v>0</v>
      </c>
      <c r="BK612" s="1539">
        <f t="shared" si="127"/>
        <v>0</v>
      </c>
      <c r="BL612" s="1539">
        <f t="shared" si="128"/>
        <v>0</v>
      </c>
      <c r="BM612" s="1539">
        <f t="shared" si="129"/>
        <v>11400</v>
      </c>
      <c r="BO612" s="1183"/>
      <c r="BQ612" s="1182">
        <f t="shared" si="130"/>
        <v>0</v>
      </c>
      <c r="BR612" s="1182">
        <f t="shared" si="131"/>
        <v>0</v>
      </c>
    </row>
    <row r="613" spans="1:70" ht="13.5" customHeight="1">
      <c r="A613" s="1182" t="s">
        <v>1803</v>
      </c>
      <c r="B613" s="1182" t="s">
        <v>1804</v>
      </c>
      <c r="C613" s="1182" t="s">
        <v>1639</v>
      </c>
      <c r="D613" s="1182" t="s">
        <v>2590</v>
      </c>
      <c r="E613" s="1182" t="s">
        <v>2591</v>
      </c>
      <c r="F613" s="1182" t="s">
        <v>2568</v>
      </c>
      <c r="G613" s="1182" t="s">
        <v>2568</v>
      </c>
      <c r="H613" s="1182" t="s">
        <v>3670</v>
      </c>
      <c r="I613" s="1182" t="s">
        <v>1937</v>
      </c>
      <c r="J613" s="1182" t="s">
        <v>3727</v>
      </c>
      <c r="K613" s="1182" t="s">
        <v>1811</v>
      </c>
      <c r="L613" s="1182" t="s">
        <v>1812</v>
      </c>
      <c r="M613" s="1182" t="s">
        <v>1803</v>
      </c>
      <c r="N613" s="1182" t="s">
        <v>2922</v>
      </c>
      <c r="O613" s="1182" t="s">
        <v>1554</v>
      </c>
      <c r="P613" s="1182" t="s">
        <v>1563</v>
      </c>
      <c r="Q613" s="1182" t="s">
        <v>1562</v>
      </c>
      <c r="R613" s="1182" t="s">
        <v>1561</v>
      </c>
      <c r="S613" s="1182" t="s">
        <v>1639</v>
      </c>
      <c r="T613" s="1182" t="s">
        <v>1814</v>
      </c>
      <c r="U613" s="1182" t="s">
        <v>1815</v>
      </c>
      <c r="V613" s="1182">
        <v>0</v>
      </c>
      <c r="W613" s="1182">
        <v>0</v>
      </c>
      <c r="X613" s="1182">
        <v>0</v>
      </c>
      <c r="Y613" s="1183">
        <v>8900</v>
      </c>
      <c r="Z613" s="1182" t="s">
        <v>1940</v>
      </c>
      <c r="AA613" s="1182" t="s">
        <v>1941</v>
      </c>
      <c r="AB613" s="1182">
        <v>8900</v>
      </c>
      <c r="AC613" s="1182" t="s">
        <v>2925</v>
      </c>
      <c r="AD613" s="1182" t="s">
        <v>1561</v>
      </c>
      <c r="AE613" s="1182">
        <v>8900</v>
      </c>
      <c r="AF613" s="1182" t="s">
        <v>1943</v>
      </c>
      <c r="AG613" s="1182" t="s">
        <v>1944</v>
      </c>
      <c r="AH613" s="1182">
        <v>0</v>
      </c>
      <c r="AI613" s="1182">
        <v>8900</v>
      </c>
      <c r="AJ613" s="1182" t="s">
        <v>3695</v>
      </c>
      <c r="AL613" s="1186" t="s">
        <v>3728</v>
      </c>
      <c r="AM613" s="1182">
        <v>1</v>
      </c>
      <c r="AN613" s="1182">
        <v>0</v>
      </c>
      <c r="AO613" s="1182">
        <v>0</v>
      </c>
      <c r="AP613" s="1182" t="s">
        <v>2949</v>
      </c>
      <c r="AQ613" s="1182" t="s">
        <v>1639</v>
      </c>
      <c r="AS613" s="1186" t="s">
        <v>1943</v>
      </c>
      <c r="AT613" s="1186" t="s">
        <v>1944</v>
      </c>
      <c r="AV613" s="1185">
        <v>0</v>
      </c>
      <c r="AW613" s="1185">
        <v>0</v>
      </c>
      <c r="AX613" s="1185">
        <v>8900</v>
      </c>
      <c r="AY613" s="1539">
        <v>8900</v>
      </c>
      <c r="AZ613" s="1185">
        <v>0</v>
      </c>
      <c r="BA613" s="1185">
        <v>0</v>
      </c>
      <c r="BB613" s="1540">
        <v>0</v>
      </c>
      <c r="BC613" s="1540">
        <v>8900</v>
      </c>
      <c r="BD613" s="1540">
        <v>0</v>
      </c>
      <c r="BF613" s="1539">
        <f t="shared" si="122"/>
        <v>0</v>
      </c>
      <c r="BG613" s="1539">
        <f t="shared" si="123"/>
        <v>0</v>
      </c>
      <c r="BH613" s="1539">
        <f t="shared" si="124"/>
        <v>8900</v>
      </c>
      <c r="BI613" s="1539">
        <f t="shared" si="125"/>
        <v>8900</v>
      </c>
      <c r="BJ613" s="1539">
        <f t="shared" si="126"/>
        <v>0</v>
      </c>
      <c r="BK613" s="1539">
        <f t="shared" si="127"/>
        <v>0</v>
      </c>
      <c r="BL613" s="1539">
        <f t="shared" si="128"/>
        <v>0</v>
      </c>
      <c r="BM613" s="1539">
        <f t="shared" si="129"/>
        <v>8900</v>
      </c>
      <c r="BO613" s="1183"/>
      <c r="BQ613" s="1182">
        <f t="shared" si="130"/>
        <v>0</v>
      </c>
      <c r="BR613" s="1182">
        <f t="shared" si="131"/>
        <v>0</v>
      </c>
    </row>
    <row r="614" spans="1:70" ht="13.5" customHeight="1">
      <c r="A614" s="1182" t="s">
        <v>1803</v>
      </c>
      <c r="B614" s="1182" t="s">
        <v>1804</v>
      </c>
      <c r="C614" s="1182" t="s">
        <v>1639</v>
      </c>
      <c r="D614" s="1182" t="s">
        <v>2590</v>
      </c>
      <c r="E614" s="1182" t="s">
        <v>2591</v>
      </c>
      <c r="F614" s="1182" t="s">
        <v>2876</v>
      </c>
      <c r="G614" s="1182" t="s">
        <v>2876</v>
      </c>
      <c r="H614" s="1182" t="s">
        <v>3670</v>
      </c>
      <c r="I614" s="1182" t="s">
        <v>1937</v>
      </c>
      <c r="J614" s="1182" t="s">
        <v>3756</v>
      </c>
      <c r="K614" s="1182" t="s">
        <v>1811</v>
      </c>
      <c r="L614" s="1182" t="s">
        <v>1812</v>
      </c>
      <c r="M614" s="1182" t="s">
        <v>1803</v>
      </c>
      <c r="N614" s="1182" t="s">
        <v>2922</v>
      </c>
      <c r="O614" s="1182" t="s">
        <v>1554</v>
      </c>
      <c r="P614" s="1182" t="s">
        <v>1563</v>
      </c>
      <c r="Q614" s="1182" t="s">
        <v>1562</v>
      </c>
      <c r="R614" s="1182" t="s">
        <v>1561</v>
      </c>
      <c r="S614" s="1182" t="s">
        <v>1639</v>
      </c>
      <c r="T614" s="1182" t="s">
        <v>1814</v>
      </c>
      <c r="U614" s="1182" t="s">
        <v>1815</v>
      </c>
      <c r="V614" s="1182">
        <v>0</v>
      </c>
      <c r="W614" s="1182">
        <v>0</v>
      </c>
      <c r="X614" s="1182">
        <v>0</v>
      </c>
      <c r="Y614" s="1183">
        <v>5700</v>
      </c>
      <c r="Z614" s="1182" t="s">
        <v>1940</v>
      </c>
      <c r="AA614" s="1182" t="s">
        <v>1941</v>
      </c>
      <c r="AB614" s="1182">
        <v>5700</v>
      </c>
      <c r="AC614" s="1182" t="s">
        <v>2925</v>
      </c>
      <c r="AD614" s="1182" t="s">
        <v>1561</v>
      </c>
      <c r="AE614" s="1182">
        <v>5700</v>
      </c>
      <c r="AF614" s="1182" t="s">
        <v>1943</v>
      </c>
      <c r="AG614" s="1182" t="s">
        <v>1944</v>
      </c>
      <c r="AH614" s="1182">
        <v>0</v>
      </c>
      <c r="AI614" s="1182">
        <v>5700</v>
      </c>
      <c r="AJ614" s="1182" t="s">
        <v>3725</v>
      </c>
      <c r="AL614" s="1186" t="s">
        <v>3757</v>
      </c>
      <c r="AM614" s="1182">
        <v>1</v>
      </c>
      <c r="AN614" s="1182">
        <v>0</v>
      </c>
      <c r="AO614" s="1182">
        <v>0</v>
      </c>
      <c r="AP614" s="1182" t="s">
        <v>2949</v>
      </c>
      <c r="AQ614" s="1182" t="s">
        <v>1639</v>
      </c>
      <c r="AS614" s="1186" t="s">
        <v>1943</v>
      </c>
      <c r="AT614" s="1186" t="s">
        <v>1944</v>
      </c>
      <c r="AV614" s="1185">
        <v>0</v>
      </c>
      <c r="AW614" s="1185">
        <v>0</v>
      </c>
      <c r="AX614" s="1185">
        <v>5700</v>
      </c>
      <c r="AY614" s="1539">
        <v>5700</v>
      </c>
      <c r="AZ614" s="1185">
        <v>0</v>
      </c>
      <c r="BA614" s="1185">
        <v>0</v>
      </c>
      <c r="BB614" s="1540">
        <v>0</v>
      </c>
      <c r="BC614" s="1540">
        <v>5700</v>
      </c>
      <c r="BD614" s="1540">
        <v>0</v>
      </c>
      <c r="BF614" s="1539">
        <f t="shared" si="122"/>
        <v>0</v>
      </c>
      <c r="BG614" s="1539">
        <f t="shared" si="123"/>
        <v>0</v>
      </c>
      <c r="BH614" s="1539">
        <f t="shared" si="124"/>
        <v>5700</v>
      </c>
      <c r="BI614" s="1539">
        <f t="shared" si="125"/>
        <v>5700</v>
      </c>
      <c r="BJ614" s="1539">
        <f t="shared" si="126"/>
        <v>0</v>
      </c>
      <c r="BK614" s="1539">
        <f t="shared" si="127"/>
        <v>0</v>
      </c>
      <c r="BL614" s="1539">
        <f t="shared" si="128"/>
        <v>0</v>
      </c>
      <c r="BM614" s="1539">
        <f t="shared" si="129"/>
        <v>5700</v>
      </c>
      <c r="BO614" s="1183"/>
      <c r="BQ614" s="1182">
        <f t="shared" si="130"/>
        <v>0</v>
      </c>
      <c r="BR614" s="1182">
        <f t="shared" si="131"/>
        <v>0</v>
      </c>
    </row>
    <row r="615" spans="1:70" ht="13.5" customHeight="1">
      <c r="A615" s="1182" t="s">
        <v>1803</v>
      </c>
      <c r="B615" s="1182" t="s">
        <v>1804</v>
      </c>
      <c r="C615" s="1182" t="s">
        <v>1639</v>
      </c>
      <c r="D615" s="1182" t="s">
        <v>2590</v>
      </c>
      <c r="E615" s="1182" t="s">
        <v>2591</v>
      </c>
      <c r="F615" s="1182" t="s">
        <v>3034</v>
      </c>
      <c r="G615" s="1182" t="s">
        <v>3034</v>
      </c>
      <c r="H615" s="1182" t="s">
        <v>3670</v>
      </c>
      <c r="I615" s="1182" t="s">
        <v>1937</v>
      </c>
      <c r="J615" s="1182" t="s">
        <v>3745</v>
      </c>
      <c r="K615" s="1182" t="s">
        <v>1811</v>
      </c>
      <c r="L615" s="1182" t="s">
        <v>1812</v>
      </c>
      <c r="M615" s="1182" t="s">
        <v>1803</v>
      </c>
      <c r="N615" s="1182" t="s">
        <v>2922</v>
      </c>
      <c r="O615" s="1182" t="s">
        <v>1554</v>
      </c>
      <c r="P615" s="1182" t="s">
        <v>1563</v>
      </c>
      <c r="Q615" s="1182" t="s">
        <v>1562</v>
      </c>
      <c r="R615" s="1182" t="s">
        <v>1561</v>
      </c>
      <c r="S615" s="1182" t="s">
        <v>1639</v>
      </c>
      <c r="T615" s="1182" t="s">
        <v>1814</v>
      </c>
      <c r="U615" s="1182" t="s">
        <v>1815</v>
      </c>
      <c r="V615" s="1182">
        <v>0</v>
      </c>
      <c r="W615" s="1182">
        <v>0</v>
      </c>
      <c r="X615" s="1182">
        <v>0</v>
      </c>
      <c r="Y615" s="1183">
        <v>20500</v>
      </c>
      <c r="Z615" s="1182" t="s">
        <v>1940</v>
      </c>
      <c r="AA615" s="1182" t="s">
        <v>1941</v>
      </c>
      <c r="AB615" s="1182">
        <v>20500</v>
      </c>
      <c r="AC615" s="1182" t="s">
        <v>2925</v>
      </c>
      <c r="AD615" s="1182" t="s">
        <v>1561</v>
      </c>
      <c r="AE615" s="1182">
        <v>20500</v>
      </c>
      <c r="AF615" s="1182" t="s">
        <v>1943</v>
      </c>
      <c r="AG615" s="1182" t="s">
        <v>1944</v>
      </c>
      <c r="AH615" s="1182">
        <v>0</v>
      </c>
      <c r="AI615" s="1182">
        <v>20500</v>
      </c>
      <c r="AJ615" s="1182" t="s">
        <v>3679</v>
      </c>
      <c r="AL615" s="1186" t="s">
        <v>3746</v>
      </c>
      <c r="AM615" s="1182">
        <v>1</v>
      </c>
      <c r="AN615" s="1182">
        <v>0</v>
      </c>
      <c r="AO615" s="1182">
        <v>0</v>
      </c>
      <c r="AP615" s="1182" t="s">
        <v>2949</v>
      </c>
      <c r="AQ615" s="1182" t="s">
        <v>1639</v>
      </c>
      <c r="AS615" s="1186" t="s">
        <v>1943</v>
      </c>
      <c r="AT615" s="1186" t="s">
        <v>1944</v>
      </c>
      <c r="AV615" s="1185">
        <v>0</v>
      </c>
      <c r="AW615" s="1185">
        <v>0</v>
      </c>
      <c r="AX615" s="1185">
        <v>20500</v>
      </c>
      <c r="AY615" s="1539">
        <v>20500</v>
      </c>
      <c r="AZ615" s="1185">
        <v>0</v>
      </c>
      <c r="BA615" s="1185">
        <v>0</v>
      </c>
      <c r="BB615" s="1540">
        <v>0</v>
      </c>
      <c r="BC615" s="1540">
        <v>20500</v>
      </c>
      <c r="BD615" s="1540">
        <v>0</v>
      </c>
      <c r="BF615" s="1539">
        <f t="shared" si="122"/>
        <v>0</v>
      </c>
      <c r="BG615" s="1539">
        <f t="shared" si="123"/>
        <v>0</v>
      </c>
      <c r="BH615" s="1539">
        <f t="shared" si="124"/>
        <v>20500</v>
      </c>
      <c r="BI615" s="1539">
        <f t="shared" si="125"/>
        <v>20500</v>
      </c>
      <c r="BJ615" s="1539">
        <f t="shared" si="126"/>
        <v>0</v>
      </c>
      <c r="BK615" s="1539">
        <f t="shared" si="127"/>
        <v>0</v>
      </c>
      <c r="BL615" s="1539">
        <f t="shared" si="128"/>
        <v>0</v>
      </c>
      <c r="BM615" s="1539">
        <f t="shared" si="129"/>
        <v>20500</v>
      </c>
      <c r="BO615" s="1183"/>
      <c r="BQ615" s="1182">
        <f t="shared" si="130"/>
        <v>0</v>
      </c>
      <c r="BR615" s="1182">
        <f t="shared" si="131"/>
        <v>0</v>
      </c>
    </row>
    <row r="616" spans="1:70" ht="13.5" customHeight="1">
      <c r="A616" s="1182" t="s">
        <v>1803</v>
      </c>
      <c r="B616" s="1182" t="s">
        <v>1804</v>
      </c>
      <c r="C616" s="1182" t="s">
        <v>1639</v>
      </c>
      <c r="D616" s="1182" t="s">
        <v>2590</v>
      </c>
      <c r="E616" s="1182" t="s">
        <v>2591</v>
      </c>
      <c r="F616" s="1182" t="s">
        <v>2575</v>
      </c>
      <c r="G616" s="1182" t="s">
        <v>2575</v>
      </c>
      <c r="H616" s="1182" t="s">
        <v>3670</v>
      </c>
      <c r="I616" s="1182" t="s">
        <v>1937</v>
      </c>
      <c r="J616" s="1182" t="s">
        <v>3751</v>
      </c>
      <c r="K616" s="1182" t="s">
        <v>1811</v>
      </c>
      <c r="L616" s="1182" t="s">
        <v>1812</v>
      </c>
      <c r="M616" s="1182" t="s">
        <v>1803</v>
      </c>
      <c r="N616" s="1182" t="s">
        <v>2922</v>
      </c>
      <c r="O616" s="1182" t="s">
        <v>1554</v>
      </c>
      <c r="P616" s="1182" t="s">
        <v>1563</v>
      </c>
      <c r="Q616" s="1182" t="s">
        <v>1562</v>
      </c>
      <c r="R616" s="1182" t="s">
        <v>1561</v>
      </c>
      <c r="S616" s="1182" t="s">
        <v>1639</v>
      </c>
      <c r="T616" s="1182" t="s">
        <v>1814</v>
      </c>
      <c r="U616" s="1182" t="s">
        <v>1815</v>
      </c>
      <c r="V616" s="1182">
        <v>0</v>
      </c>
      <c r="W616" s="1182">
        <v>0</v>
      </c>
      <c r="X616" s="1182">
        <v>0</v>
      </c>
      <c r="Y616" s="1183">
        <v>16800</v>
      </c>
      <c r="Z616" s="1182" t="s">
        <v>1940</v>
      </c>
      <c r="AA616" s="1182" t="s">
        <v>1941</v>
      </c>
      <c r="AB616" s="1182">
        <v>16800</v>
      </c>
      <c r="AC616" s="1182" t="s">
        <v>2925</v>
      </c>
      <c r="AD616" s="1182" t="s">
        <v>1561</v>
      </c>
      <c r="AE616" s="1182">
        <v>16800</v>
      </c>
      <c r="AF616" s="1182" t="s">
        <v>1943</v>
      </c>
      <c r="AG616" s="1182" t="s">
        <v>1944</v>
      </c>
      <c r="AH616" s="1182">
        <v>0</v>
      </c>
      <c r="AI616" s="1182">
        <v>16800</v>
      </c>
      <c r="AJ616" s="1182" t="s">
        <v>3668</v>
      </c>
      <c r="AL616" s="1186" t="s">
        <v>3752</v>
      </c>
      <c r="AM616" s="1182">
        <v>1</v>
      </c>
      <c r="AN616" s="1182">
        <v>0</v>
      </c>
      <c r="AO616" s="1182">
        <v>0</v>
      </c>
      <c r="AP616" s="1182" t="s">
        <v>2949</v>
      </c>
      <c r="AQ616" s="1182" t="s">
        <v>1639</v>
      </c>
      <c r="AS616" s="1186" t="s">
        <v>1943</v>
      </c>
      <c r="AT616" s="1186" t="s">
        <v>1944</v>
      </c>
      <c r="AV616" s="1183">
        <v>0</v>
      </c>
      <c r="AW616" s="1183">
        <v>0</v>
      </c>
      <c r="AX616" s="1183">
        <v>16800</v>
      </c>
      <c r="AY616" s="1538">
        <v>16800</v>
      </c>
      <c r="AZ616" s="1183">
        <v>0</v>
      </c>
      <c r="BA616" s="1183">
        <v>0</v>
      </c>
      <c r="BB616" s="1540">
        <v>0</v>
      </c>
      <c r="BC616" s="1540">
        <v>16800</v>
      </c>
      <c r="BD616" s="1540">
        <v>0</v>
      </c>
      <c r="BF616" s="1539">
        <f t="shared" si="122"/>
        <v>0</v>
      </c>
      <c r="BG616" s="1539">
        <f t="shared" si="123"/>
        <v>0</v>
      </c>
      <c r="BH616" s="1539">
        <f t="shared" si="124"/>
        <v>16800</v>
      </c>
      <c r="BI616" s="1539">
        <f t="shared" si="125"/>
        <v>16800</v>
      </c>
      <c r="BJ616" s="1539">
        <f t="shared" si="126"/>
        <v>0</v>
      </c>
      <c r="BK616" s="1539">
        <f t="shared" si="127"/>
        <v>0</v>
      </c>
      <c r="BL616" s="1539">
        <f t="shared" si="128"/>
        <v>0</v>
      </c>
      <c r="BM616" s="1539">
        <f t="shared" si="129"/>
        <v>16800</v>
      </c>
      <c r="BO616" s="1183"/>
      <c r="BQ616" s="1182">
        <f t="shared" si="130"/>
        <v>0</v>
      </c>
      <c r="BR616" s="1182">
        <f t="shared" si="131"/>
        <v>0</v>
      </c>
    </row>
    <row r="617" spans="1:70" ht="13.5" customHeight="1">
      <c r="A617" s="1182" t="s">
        <v>1803</v>
      </c>
      <c r="B617" s="1182" t="s">
        <v>1804</v>
      </c>
      <c r="C617" s="1182" t="s">
        <v>1639</v>
      </c>
      <c r="D617" s="1182" t="s">
        <v>2590</v>
      </c>
      <c r="E617" s="1182" t="s">
        <v>2591</v>
      </c>
      <c r="F617" s="1182" t="s">
        <v>1852</v>
      </c>
      <c r="G617" s="1182" t="s">
        <v>1852</v>
      </c>
      <c r="H617" s="1182" t="s">
        <v>3670</v>
      </c>
      <c r="I617" s="1182" t="s">
        <v>1937</v>
      </c>
      <c r="J617" s="1182" t="s">
        <v>3747</v>
      </c>
      <c r="K617" s="1182" t="s">
        <v>1811</v>
      </c>
      <c r="L617" s="1182" t="s">
        <v>1812</v>
      </c>
      <c r="M617" s="1182" t="s">
        <v>1803</v>
      </c>
      <c r="N617" s="1182" t="s">
        <v>2922</v>
      </c>
      <c r="O617" s="1182" t="s">
        <v>1554</v>
      </c>
      <c r="P617" s="1182" t="s">
        <v>1563</v>
      </c>
      <c r="Q617" s="1182" t="s">
        <v>1562</v>
      </c>
      <c r="R617" s="1182" t="s">
        <v>1561</v>
      </c>
      <c r="S617" s="1182" t="s">
        <v>1639</v>
      </c>
      <c r="T617" s="1182" t="s">
        <v>1814</v>
      </c>
      <c r="U617" s="1182" t="s">
        <v>1815</v>
      </c>
      <c r="V617" s="1182">
        <v>0</v>
      </c>
      <c r="W617" s="1182">
        <v>0</v>
      </c>
      <c r="X617" s="1182">
        <v>0</v>
      </c>
      <c r="Y617" s="1183">
        <v>33000</v>
      </c>
      <c r="Z617" s="1182" t="s">
        <v>1940</v>
      </c>
      <c r="AA617" s="1182" t="s">
        <v>1941</v>
      </c>
      <c r="AB617" s="1182">
        <v>33000</v>
      </c>
      <c r="AC617" s="1182" t="s">
        <v>2925</v>
      </c>
      <c r="AD617" s="1182" t="s">
        <v>1561</v>
      </c>
      <c r="AE617" s="1182">
        <v>33000</v>
      </c>
      <c r="AF617" s="1182" t="s">
        <v>1943</v>
      </c>
      <c r="AG617" s="1182" t="s">
        <v>1944</v>
      </c>
      <c r="AH617" s="1182">
        <v>0</v>
      </c>
      <c r="AI617" s="1182">
        <v>33000</v>
      </c>
      <c r="AJ617" s="1182" t="s">
        <v>3688</v>
      </c>
      <c r="AL617" s="1186" t="s">
        <v>3748</v>
      </c>
      <c r="AM617" s="1182">
        <v>1</v>
      </c>
      <c r="AN617" s="1182">
        <v>0</v>
      </c>
      <c r="AO617" s="1182">
        <v>0</v>
      </c>
      <c r="AP617" s="1182" t="s">
        <v>2949</v>
      </c>
      <c r="AQ617" s="1182" t="s">
        <v>1639</v>
      </c>
      <c r="AS617" s="1186" t="s">
        <v>1943</v>
      </c>
      <c r="AT617" s="1186" t="s">
        <v>1944</v>
      </c>
      <c r="AV617" s="1183">
        <v>0</v>
      </c>
      <c r="AW617" s="1183">
        <v>0</v>
      </c>
      <c r="AX617" s="1183">
        <v>33000</v>
      </c>
      <c r="AY617" s="1538">
        <v>33000</v>
      </c>
      <c r="AZ617" s="1183">
        <v>0</v>
      </c>
      <c r="BA617" s="1183">
        <v>0</v>
      </c>
      <c r="BB617" s="1540">
        <v>0</v>
      </c>
      <c r="BC617" s="1540">
        <v>33000</v>
      </c>
      <c r="BD617" s="1540">
        <v>0</v>
      </c>
      <c r="BF617" s="1539">
        <f t="shared" si="122"/>
        <v>0</v>
      </c>
      <c r="BG617" s="1539">
        <f t="shared" si="123"/>
        <v>0</v>
      </c>
      <c r="BH617" s="1539">
        <f t="shared" si="124"/>
        <v>33000</v>
      </c>
      <c r="BI617" s="1539">
        <f t="shared" si="125"/>
        <v>33000</v>
      </c>
      <c r="BJ617" s="1539">
        <f t="shared" si="126"/>
        <v>0</v>
      </c>
      <c r="BK617" s="1539">
        <f t="shared" si="127"/>
        <v>0</v>
      </c>
      <c r="BL617" s="1539">
        <f t="shared" si="128"/>
        <v>0</v>
      </c>
      <c r="BM617" s="1539">
        <f t="shared" si="129"/>
        <v>33000</v>
      </c>
      <c r="BO617" s="1183"/>
      <c r="BQ617" s="1182">
        <f t="shared" si="130"/>
        <v>0</v>
      </c>
      <c r="BR617" s="1182">
        <f t="shared" si="131"/>
        <v>0</v>
      </c>
    </row>
    <row r="618" spans="1:70" ht="13.5" customHeight="1">
      <c r="A618" s="1182" t="s">
        <v>1803</v>
      </c>
      <c r="B618" s="1182" t="s">
        <v>1804</v>
      </c>
      <c r="C618" s="1182" t="s">
        <v>1639</v>
      </c>
      <c r="D618" s="1182" t="s">
        <v>2590</v>
      </c>
      <c r="E618" s="1182" t="s">
        <v>2591</v>
      </c>
      <c r="F618" s="1182" t="s">
        <v>2336</v>
      </c>
      <c r="G618" s="1182" t="s">
        <v>2336</v>
      </c>
      <c r="H618" s="1182" t="s">
        <v>3670</v>
      </c>
      <c r="I618" s="1182" t="s">
        <v>1937</v>
      </c>
      <c r="J618" s="1182" t="s">
        <v>3749</v>
      </c>
      <c r="K618" s="1182" t="s">
        <v>1811</v>
      </c>
      <c r="L618" s="1182" t="s">
        <v>1812</v>
      </c>
      <c r="M618" s="1182" t="s">
        <v>1803</v>
      </c>
      <c r="N618" s="1182" t="s">
        <v>2922</v>
      </c>
      <c r="O618" s="1182" t="s">
        <v>1554</v>
      </c>
      <c r="P618" s="1182" t="s">
        <v>1563</v>
      </c>
      <c r="Q618" s="1182" t="s">
        <v>1562</v>
      </c>
      <c r="R618" s="1182" t="s">
        <v>1561</v>
      </c>
      <c r="S618" s="1182" t="s">
        <v>1639</v>
      </c>
      <c r="T618" s="1182" t="s">
        <v>1814</v>
      </c>
      <c r="U618" s="1182" t="s">
        <v>1815</v>
      </c>
      <c r="V618" s="1182">
        <v>0</v>
      </c>
      <c r="W618" s="1182">
        <v>0</v>
      </c>
      <c r="X618" s="1182">
        <v>0</v>
      </c>
      <c r="Y618" s="1183">
        <v>5300</v>
      </c>
      <c r="Z618" s="1182" t="s">
        <v>1940</v>
      </c>
      <c r="AA618" s="1182" t="s">
        <v>1941</v>
      </c>
      <c r="AB618" s="1182">
        <v>5300</v>
      </c>
      <c r="AC618" s="1182" t="s">
        <v>2925</v>
      </c>
      <c r="AD618" s="1182" t="s">
        <v>1561</v>
      </c>
      <c r="AE618" s="1182">
        <v>5300</v>
      </c>
      <c r="AF618" s="1182" t="s">
        <v>1943</v>
      </c>
      <c r="AG618" s="1182" t="s">
        <v>1944</v>
      </c>
      <c r="AH618" s="1182">
        <v>0</v>
      </c>
      <c r="AI618" s="1182">
        <v>5300</v>
      </c>
      <c r="AJ618" s="1182" t="s">
        <v>3691</v>
      </c>
      <c r="AL618" s="1186" t="s">
        <v>3750</v>
      </c>
      <c r="AM618" s="1182">
        <v>1</v>
      </c>
      <c r="AN618" s="1182">
        <v>0</v>
      </c>
      <c r="AO618" s="1182">
        <v>0</v>
      </c>
      <c r="AP618" s="1182" t="s">
        <v>2949</v>
      </c>
      <c r="AQ618" s="1182" t="s">
        <v>1639</v>
      </c>
      <c r="AS618" s="1186" t="s">
        <v>1943</v>
      </c>
      <c r="AT618" s="1186" t="s">
        <v>1944</v>
      </c>
      <c r="AV618" s="1183">
        <v>0</v>
      </c>
      <c r="AW618" s="1183">
        <v>0</v>
      </c>
      <c r="AX618" s="1183">
        <v>5300</v>
      </c>
      <c r="AY618" s="1538">
        <v>5300</v>
      </c>
      <c r="AZ618" s="1183">
        <v>0</v>
      </c>
      <c r="BA618" s="1183">
        <v>0</v>
      </c>
      <c r="BB618" s="1540">
        <v>0</v>
      </c>
      <c r="BC618" s="1540">
        <v>5300</v>
      </c>
      <c r="BD618" s="1540">
        <v>0</v>
      </c>
      <c r="BF618" s="1539">
        <f t="shared" si="122"/>
        <v>0</v>
      </c>
      <c r="BG618" s="1539">
        <f t="shared" si="123"/>
        <v>0</v>
      </c>
      <c r="BH618" s="1539">
        <f t="shared" si="124"/>
        <v>5300</v>
      </c>
      <c r="BI618" s="1539">
        <f t="shared" si="125"/>
        <v>5300</v>
      </c>
      <c r="BJ618" s="1539">
        <f t="shared" si="126"/>
        <v>0</v>
      </c>
      <c r="BK618" s="1539">
        <f t="shared" si="127"/>
        <v>0</v>
      </c>
      <c r="BL618" s="1539">
        <f t="shared" si="128"/>
        <v>0</v>
      </c>
      <c r="BM618" s="1539">
        <f t="shared" si="129"/>
        <v>5300</v>
      </c>
      <c r="BO618" s="1183"/>
      <c r="BQ618" s="1182">
        <f t="shared" si="130"/>
        <v>0</v>
      </c>
      <c r="BR618" s="1182">
        <f t="shared" si="131"/>
        <v>0</v>
      </c>
    </row>
    <row r="619" spans="1:70" ht="13.5" customHeight="1">
      <c r="A619" s="1182" t="s">
        <v>1803</v>
      </c>
      <c r="B619" s="1182" t="s">
        <v>1804</v>
      </c>
      <c r="C619" s="1182" t="s">
        <v>1639</v>
      </c>
      <c r="D619" s="1182" t="s">
        <v>2590</v>
      </c>
      <c r="E619" s="1182" t="s">
        <v>2591</v>
      </c>
      <c r="F619" s="1182" t="s">
        <v>2912</v>
      </c>
      <c r="G619" s="1182" t="s">
        <v>2912</v>
      </c>
      <c r="H619" s="1182" t="s">
        <v>3670</v>
      </c>
      <c r="I619" s="1182" t="s">
        <v>1937</v>
      </c>
      <c r="J619" s="1182" t="s">
        <v>3761</v>
      </c>
      <c r="K619" s="1182" t="s">
        <v>1811</v>
      </c>
      <c r="L619" s="1182" t="s">
        <v>1812</v>
      </c>
      <c r="M619" s="1182" t="s">
        <v>1803</v>
      </c>
      <c r="N619" s="1182" t="s">
        <v>2922</v>
      </c>
      <c r="O619" s="1182" t="s">
        <v>1554</v>
      </c>
      <c r="P619" s="1182" t="s">
        <v>1563</v>
      </c>
      <c r="Q619" s="1182" t="s">
        <v>1562</v>
      </c>
      <c r="R619" s="1182" t="s">
        <v>1561</v>
      </c>
      <c r="S619" s="1182" t="s">
        <v>1639</v>
      </c>
      <c r="T619" s="1182" t="s">
        <v>1814</v>
      </c>
      <c r="U619" s="1182" t="s">
        <v>1815</v>
      </c>
      <c r="V619" s="1182">
        <v>0</v>
      </c>
      <c r="W619" s="1182">
        <v>0</v>
      </c>
      <c r="X619" s="1182">
        <v>0</v>
      </c>
      <c r="Y619" s="1183">
        <v>16800</v>
      </c>
      <c r="Z619" s="1182" t="s">
        <v>1940</v>
      </c>
      <c r="AA619" s="1182" t="s">
        <v>1941</v>
      </c>
      <c r="AB619" s="1182">
        <v>16800</v>
      </c>
      <c r="AC619" s="1182" t="s">
        <v>2925</v>
      </c>
      <c r="AD619" s="1182" t="s">
        <v>1561</v>
      </c>
      <c r="AE619" s="1182">
        <v>16800</v>
      </c>
      <c r="AF619" s="1182" t="s">
        <v>1943</v>
      </c>
      <c r="AG619" s="1182" t="s">
        <v>1944</v>
      </c>
      <c r="AH619" s="1182">
        <v>0</v>
      </c>
      <c r="AI619" s="1182">
        <v>16800</v>
      </c>
      <c r="AJ619" s="1182" t="s">
        <v>3668</v>
      </c>
      <c r="AL619" s="1186" t="s">
        <v>3762</v>
      </c>
      <c r="AM619" s="1182">
        <v>1</v>
      </c>
      <c r="AN619" s="1182">
        <v>0</v>
      </c>
      <c r="AO619" s="1182">
        <v>0</v>
      </c>
      <c r="AP619" s="1182" t="s">
        <v>2949</v>
      </c>
      <c r="AQ619" s="1182" t="s">
        <v>1639</v>
      </c>
      <c r="AS619" s="1186" t="s">
        <v>1943</v>
      </c>
      <c r="AT619" s="1186" t="s">
        <v>1944</v>
      </c>
      <c r="AV619" s="1183">
        <v>0</v>
      </c>
      <c r="AW619" s="1183">
        <v>0</v>
      </c>
      <c r="AX619" s="1183">
        <v>16800</v>
      </c>
      <c r="AY619" s="1538">
        <v>16800</v>
      </c>
      <c r="AZ619" s="1183">
        <v>0</v>
      </c>
      <c r="BA619" s="1183">
        <v>0</v>
      </c>
      <c r="BB619" s="1540">
        <v>0</v>
      </c>
      <c r="BC619" s="1540">
        <v>16800</v>
      </c>
      <c r="BD619" s="1540">
        <v>0</v>
      </c>
      <c r="BF619" s="1539">
        <f t="shared" si="122"/>
        <v>0</v>
      </c>
      <c r="BG619" s="1539">
        <f t="shared" si="123"/>
        <v>0</v>
      </c>
      <c r="BH619" s="1539">
        <f t="shared" si="124"/>
        <v>16800</v>
      </c>
      <c r="BI619" s="1539">
        <f t="shared" si="125"/>
        <v>16800</v>
      </c>
      <c r="BJ619" s="1539">
        <f t="shared" si="126"/>
        <v>0</v>
      </c>
      <c r="BK619" s="1539">
        <f t="shared" si="127"/>
        <v>0</v>
      </c>
      <c r="BL619" s="1539">
        <f t="shared" si="128"/>
        <v>0</v>
      </c>
      <c r="BM619" s="1539">
        <f t="shared" si="129"/>
        <v>16800</v>
      </c>
      <c r="BO619" s="1183"/>
      <c r="BQ619" s="1182">
        <f t="shared" si="130"/>
        <v>0</v>
      </c>
      <c r="BR619" s="1182">
        <f t="shared" si="131"/>
        <v>0</v>
      </c>
    </row>
    <row r="620" spans="1:70" ht="13.5" customHeight="1">
      <c r="A620" s="1182" t="s">
        <v>1803</v>
      </c>
      <c r="B620" s="1182" t="s">
        <v>1804</v>
      </c>
      <c r="C620" s="1182" t="s">
        <v>1639</v>
      </c>
      <c r="D620" s="1182" t="s">
        <v>2590</v>
      </c>
      <c r="E620" s="1182" t="s">
        <v>2591</v>
      </c>
      <c r="F620" s="1182" t="s">
        <v>2599</v>
      </c>
      <c r="G620" s="1182" t="s">
        <v>2599</v>
      </c>
      <c r="H620" s="1182" t="s">
        <v>3670</v>
      </c>
      <c r="I620" s="1182" t="s">
        <v>1937</v>
      </c>
      <c r="J620" s="1182" t="s">
        <v>3763</v>
      </c>
      <c r="K620" s="1182" t="s">
        <v>1811</v>
      </c>
      <c r="L620" s="1182" t="s">
        <v>1812</v>
      </c>
      <c r="M620" s="1182" t="s">
        <v>1803</v>
      </c>
      <c r="N620" s="1182" t="s">
        <v>2922</v>
      </c>
      <c r="O620" s="1182" t="s">
        <v>1554</v>
      </c>
      <c r="P620" s="1182" t="s">
        <v>1563</v>
      </c>
      <c r="Q620" s="1182" t="s">
        <v>1562</v>
      </c>
      <c r="R620" s="1182" t="s">
        <v>1561</v>
      </c>
      <c r="S620" s="1182" t="s">
        <v>1639</v>
      </c>
      <c r="T620" s="1182" t="s">
        <v>1814</v>
      </c>
      <c r="U620" s="1182" t="s">
        <v>1815</v>
      </c>
      <c r="V620" s="1182">
        <v>0</v>
      </c>
      <c r="W620" s="1182">
        <v>0</v>
      </c>
      <c r="X620" s="1182">
        <v>0</v>
      </c>
      <c r="Y620" s="1183">
        <v>12500</v>
      </c>
      <c r="Z620" s="1182" t="s">
        <v>1940</v>
      </c>
      <c r="AA620" s="1182" t="s">
        <v>1941</v>
      </c>
      <c r="AB620" s="1182">
        <v>12500</v>
      </c>
      <c r="AC620" s="1182" t="s">
        <v>2925</v>
      </c>
      <c r="AD620" s="1182" t="s">
        <v>1561</v>
      </c>
      <c r="AE620" s="1182">
        <v>12500</v>
      </c>
      <c r="AF620" s="1182" t="s">
        <v>1943</v>
      </c>
      <c r="AG620" s="1182" t="s">
        <v>1944</v>
      </c>
      <c r="AH620" s="1182">
        <v>0</v>
      </c>
      <c r="AI620" s="1182">
        <v>12500</v>
      </c>
      <c r="AJ620" s="1182" t="s">
        <v>3710</v>
      </c>
      <c r="AL620" s="1186" t="s">
        <v>3764</v>
      </c>
      <c r="AM620" s="1182">
        <v>1</v>
      </c>
      <c r="AN620" s="1182">
        <v>0</v>
      </c>
      <c r="AO620" s="1182">
        <v>0</v>
      </c>
      <c r="AP620" s="1182" t="s">
        <v>2949</v>
      </c>
      <c r="AQ620" s="1182" t="s">
        <v>1639</v>
      </c>
      <c r="AS620" s="1186" t="s">
        <v>1943</v>
      </c>
      <c r="AT620" s="1186" t="s">
        <v>1944</v>
      </c>
      <c r="AV620" s="1183">
        <v>0</v>
      </c>
      <c r="AW620" s="1183">
        <v>0</v>
      </c>
      <c r="AX620" s="1183">
        <v>12500</v>
      </c>
      <c r="AY620" s="1538">
        <v>12500</v>
      </c>
      <c r="AZ620" s="1183">
        <v>0</v>
      </c>
      <c r="BA620" s="1183">
        <v>0</v>
      </c>
      <c r="BB620" s="1540">
        <v>0</v>
      </c>
      <c r="BC620" s="1540">
        <v>12500</v>
      </c>
      <c r="BD620" s="1540">
        <v>0</v>
      </c>
      <c r="BF620" s="1539">
        <f t="shared" si="122"/>
        <v>0</v>
      </c>
      <c r="BG620" s="1539">
        <f t="shared" si="123"/>
        <v>0</v>
      </c>
      <c r="BH620" s="1539">
        <f t="shared" si="124"/>
        <v>12500</v>
      </c>
      <c r="BI620" s="1539">
        <f t="shared" si="125"/>
        <v>12500</v>
      </c>
      <c r="BJ620" s="1539">
        <f t="shared" si="126"/>
        <v>0</v>
      </c>
      <c r="BK620" s="1539">
        <f t="shared" si="127"/>
        <v>0</v>
      </c>
      <c r="BL620" s="1539">
        <f t="shared" si="128"/>
        <v>0</v>
      </c>
      <c r="BM620" s="1539">
        <f t="shared" si="129"/>
        <v>12500</v>
      </c>
      <c r="BO620" s="1183"/>
      <c r="BQ620" s="1182">
        <f t="shared" si="130"/>
        <v>0</v>
      </c>
      <c r="BR620" s="1182">
        <f t="shared" si="131"/>
        <v>0</v>
      </c>
    </row>
    <row r="621" spans="1:70" ht="13.5" customHeight="1">
      <c r="A621" s="1182" t="s">
        <v>1803</v>
      </c>
      <c r="B621" s="1182" t="s">
        <v>1804</v>
      </c>
      <c r="C621" s="1182" t="s">
        <v>1639</v>
      </c>
      <c r="D621" s="1182" t="s">
        <v>2590</v>
      </c>
      <c r="E621" s="1182" t="s">
        <v>2591</v>
      </c>
      <c r="F621" s="1182" t="s">
        <v>3758</v>
      </c>
      <c r="G621" s="1182" t="s">
        <v>3758</v>
      </c>
      <c r="H621" s="1182" t="s">
        <v>3670</v>
      </c>
      <c r="I621" s="1182" t="s">
        <v>1937</v>
      </c>
      <c r="J621" s="1182" t="s">
        <v>3759</v>
      </c>
      <c r="K621" s="1182" t="s">
        <v>1811</v>
      </c>
      <c r="L621" s="1182" t="s">
        <v>1812</v>
      </c>
      <c r="M621" s="1182" t="s">
        <v>1803</v>
      </c>
      <c r="N621" s="1182" t="s">
        <v>2922</v>
      </c>
      <c r="O621" s="1182" t="s">
        <v>1554</v>
      </c>
      <c r="P621" s="1182" t="s">
        <v>1563</v>
      </c>
      <c r="Q621" s="1182" t="s">
        <v>1562</v>
      </c>
      <c r="R621" s="1182" t="s">
        <v>1561</v>
      </c>
      <c r="S621" s="1182" t="s">
        <v>1639</v>
      </c>
      <c r="T621" s="1182" t="s">
        <v>1814</v>
      </c>
      <c r="U621" s="1182" t="s">
        <v>1815</v>
      </c>
      <c r="V621" s="1182">
        <v>0</v>
      </c>
      <c r="W621" s="1182">
        <v>0</v>
      </c>
      <c r="X621" s="1182">
        <v>0</v>
      </c>
      <c r="Y621" s="1183">
        <v>10900</v>
      </c>
      <c r="Z621" s="1182" t="s">
        <v>1940</v>
      </c>
      <c r="AA621" s="1182" t="s">
        <v>1941</v>
      </c>
      <c r="AB621" s="1182">
        <v>10900</v>
      </c>
      <c r="AC621" s="1182" t="s">
        <v>2925</v>
      </c>
      <c r="AD621" s="1182" t="s">
        <v>1561</v>
      </c>
      <c r="AE621" s="1182">
        <v>10900</v>
      </c>
      <c r="AF621" s="1182" t="s">
        <v>1943</v>
      </c>
      <c r="AG621" s="1182" t="s">
        <v>1944</v>
      </c>
      <c r="AH621" s="1182">
        <v>0</v>
      </c>
      <c r="AI621" s="1182">
        <v>10900</v>
      </c>
      <c r="AJ621" s="1182" t="s">
        <v>3713</v>
      </c>
      <c r="AL621" s="1186" t="s">
        <v>3760</v>
      </c>
      <c r="AM621" s="1182">
        <v>1</v>
      </c>
      <c r="AN621" s="1182">
        <v>0</v>
      </c>
      <c r="AO621" s="1182">
        <v>0</v>
      </c>
      <c r="AP621" s="1182" t="s">
        <v>2949</v>
      </c>
      <c r="AQ621" s="1182" t="s">
        <v>1639</v>
      </c>
      <c r="AS621" s="1186" t="s">
        <v>1943</v>
      </c>
      <c r="AT621" s="1186" t="s">
        <v>1944</v>
      </c>
      <c r="AV621" s="1183">
        <v>0</v>
      </c>
      <c r="AW621" s="1183">
        <v>0</v>
      </c>
      <c r="AX621" s="1183">
        <v>10900</v>
      </c>
      <c r="AY621" s="1538">
        <v>10900</v>
      </c>
      <c r="AZ621" s="1183">
        <v>0</v>
      </c>
      <c r="BA621" s="1183">
        <v>0</v>
      </c>
      <c r="BB621" s="1540">
        <v>0</v>
      </c>
      <c r="BC621" s="1540">
        <v>10900</v>
      </c>
      <c r="BD621" s="1540">
        <v>0</v>
      </c>
      <c r="BF621" s="1539">
        <f t="shared" si="122"/>
        <v>0</v>
      </c>
      <c r="BG621" s="1539">
        <f t="shared" si="123"/>
        <v>0</v>
      </c>
      <c r="BH621" s="1539">
        <f t="shared" si="124"/>
        <v>10900</v>
      </c>
      <c r="BI621" s="1539">
        <f t="shared" si="125"/>
        <v>10900</v>
      </c>
      <c r="BJ621" s="1539">
        <f t="shared" si="126"/>
        <v>0</v>
      </c>
      <c r="BK621" s="1539">
        <f t="shared" si="127"/>
        <v>0</v>
      </c>
      <c r="BL621" s="1539">
        <f t="shared" si="128"/>
        <v>0</v>
      </c>
      <c r="BM621" s="1539">
        <f t="shared" si="129"/>
        <v>10900</v>
      </c>
      <c r="BO621" s="1183"/>
      <c r="BQ621" s="1182">
        <f t="shared" si="130"/>
        <v>0</v>
      </c>
      <c r="BR621" s="1182">
        <f t="shared" si="131"/>
        <v>0</v>
      </c>
    </row>
    <row r="622" spans="1:70" ht="13.5" customHeight="1">
      <c r="A622" s="1182" t="s">
        <v>1803</v>
      </c>
      <c r="B622" s="1182" t="s">
        <v>1804</v>
      </c>
      <c r="C622" s="1182" t="s">
        <v>1639</v>
      </c>
      <c r="D622" s="1182" t="s">
        <v>2590</v>
      </c>
      <c r="E622" s="1182" t="s">
        <v>2591</v>
      </c>
      <c r="F622" s="1182" t="s">
        <v>3753</v>
      </c>
      <c r="G622" s="1182" t="s">
        <v>3753</v>
      </c>
      <c r="H622" s="1182" t="s">
        <v>3670</v>
      </c>
      <c r="I622" s="1182" t="s">
        <v>1937</v>
      </c>
      <c r="J622" s="1182" t="s">
        <v>3754</v>
      </c>
      <c r="K622" s="1182" t="s">
        <v>1811</v>
      </c>
      <c r="L622" s="1182" t="s">
        <v>1812</v>
      </c>
      <c r="M622" s="1182" t="s">
        <v>1803</v>
      </c>
      <c r="N622" s="1182" t="s">
        <v>2922</v>
      </c>
      <c r="O622" s="1182" t="s">
        <v>1554</v>
      </c>
      <c r="P622" s="1182" t="s">
        <v>1563</v>
      </c>
      <c r="Q622" s="1182" t="s">
        <v>1562</v>
      </c>
      <c r="R622" s="1182" t="s">
        <v>1561</v>
      </c>
      <c r="S622" s="1182" t="s">
        <v>1639</v>
      </c>
      <c r="T622" s="1182" t="s">
        <v>1814</v>
      </c>
      <c r="U622" s="1182" t="s">
        <v>1815</v>
      </c>
      <c r="V622" s="1182">
        <v>0</v>
      </c>
      <c r="W622" s="1182">
        <v>0</v>
      </c>
      <c r="X622" s="1182">
        <v>0</v>
      </c>
      <c r="Y622" s="1183">
        <v>8900</v>
      </c>
      <c r="Z622" s="1182" t="s">
        <v>1940</v>
      </c>
      <c r="AA622" s="1182" t="s">
        <v>1941</v>
      </c>
      <c r="AB622" s="1182">
        <v>8900</v>
      </c>
      <c r="AC622" s="1182" t="s">
        <v>2925</v>
      </c>
      <c r="AD622" s="1182" t="s">
        <v>1561</v>
      </c>
      <c r="AE622" s="1182">
        <v>8900</v>
      </c>
      <c r="AF622" s="1182" t="s">
        <v>1943</v>
      </c>
      <c r="AG622" s="1182" t="s">
        <v>1944</v>
      </c>
      <c r="AH622" s="1182">
        <v>0</v>
      </c>
      <c r="AI622" s="1182">
        <v>8900</v>
      </c>
      <c r="AJ622" s="1182" t="s">
        <v>3695</v>
      </c>
      <c r="AL622" s="1186" t="s">
        <v>3755</v>
      </c>
      <c r="AM622" s="1182">
        <v>1</v>
      </c>
      <c r="AN622" s="1182">
        <v>0</v>
      </c>
      <c r="AO622" s="1182">
        <v>0</v>
      </c>
      <c r="AP622" s="1182" t="s">
        <v>2949</v>
      </c>
      <c r="AQ622" s="1182" t="s">
        <v>1639</v>
      </c>
      <c r="AS622" s="1186" t="s">
        <v>1943</v>
      </c>
      <c r="AT622" s="1186" t="s">
        <v>1944</v>
      </c>
      <c r="AV622" s="1183">
        <v>0</v>
      </c>
      <c r="AW622" s="1183">
        <v>0</v>
      </c>
      <c r="AX622" s="1183">
        <v>8900</v>
      </c>
      <c r="AY622" s="1538">
        <v>8900</v>
      </c>
      <c r="AZ622" s="1183">
        <v>0</v>
      </c>
      <c r="BA622" s="1183">
        <v>0</v>
      </c>
      <c r="BB622" s="1540">
        <v>0</v>
      </c>
      <c r="BC622" s="1540">
        <v>8900</v>
      </c>
      <c r="BD622" s="1540">
        <v>0</v>
      </c>
      <c r="BF622" s="1539">
        <f t="shared" si="122"/>
        <v>0</v>
      </c>
      <c r="BG622" s="1539">
        <f t="shared" si="123"/>
        <v>0</v>
      </c>
      <c r="BH622" s="1539">
        <f t="shared" si="124"/>
        <v>8900</v>
      </c>
      <c r="BI622" s="1539">
        <f t="shared" si="125"/>
        <v>8900</v>
      </c>
      <c r="BJ622" s="1539">
        <f t="shared" si="126"/>
        <v>0</v>
      </c>
      <c r="BK622" s="1539">
        <f t="shared" si="127"/>
        <v>0</v>
      </c>
      <c r="BL622" s="1539">
        <f t="shared" si="128"/>
        <v>0</v>
      </c>
      <c r="BM622" s="1539">
        <f t="shared" si="129"/>
        <v>8900</v>
      </c>
      <c r="BO622" s="1183"/>
      <c r="BQ622" s="1182">
        <f t="shared" si="130"/>
        <v>0</v>
      </c>
      <c r="BR622" s="1182">
        <f t="shared" si="131"/>
        <v>0</v>
      </c>
    </row>
    <row r="623" spans="1:70" ht="13.5" customHeight="1">
      <c r="A623" s="1182" t="s">
        <v>1803</v>
      </c>
      <c r="B623" s="1182" t="s">
        <v>1804</v>
      </c>
      <c r="C623" s="1182" t="s">
        <v>1639</v>
      </c>
      <c r="D623" s="1182" t="s">
        <v>2590</v>
      </c>
      <c r="E623" s="1182" t="s">
        <v>2591</v>
      </c>
      <c r="F623" s="1182" t="s">
        <v>2327</v>
      </c>
      <c r="G623" s="1182" t="s">
        <v>2327</v>
      </c>
      <c r="H623" s="1182" t="s">
        <v>3670</v>
      </c>
      <c r="I623" s="1182" t="s">
        <v>1937</v>
      </c>
      <c r="J623" s="1182" t="s">
        <v>3743</v>
      </c>
      <c r="K623" s="1182" t="s">
        <v>1811</v>
      </c>
      <c r="L623" s="1182" t="s">
        <v>1812</v>
      </c>
      <c r="M623" s="1182" t="s">
        <v>1803</v>
      </c>
      <c r="N623" s="1182" t="s">
        <v>2922</v>
      </c>
      <c r="O623" s="1182" t="s">
        <v>1554</v>
      </c>
      <c r="P623" s="1182" t="s">
        <v>1563</v>
      </c>
      <c r="Q623" s="1182" t="s">
        <v>1562</v>
      </c>
      <c r="R623" s="1182" t="s">
        <v>1561</v>
      </c>
      <c r="S623" s="1182" t="s">
        <v>1639</v>
      </c>
      <c r="T623" s="1182" t="s">
        <v>1814</v>
      </c>
      <c r="U623" s="1182" t="s">
        <v>1815</v>
      </c>
      <c r="V623" s="1182">
        <v>0</v>
      </c>
      <c r="W623" s="1182">
        <v>0</v>
      </c>
      <c r="X623" s="1182">
        <v>0</v>
      </c>
      <c r="Y623" s="1183">
        <v>8800</v>
      </c>
      <c r="Z623" s="1182" t="s">
        <v>1940</v>
      </c>
      <c r="AA623" s="1182" t="s">
        <v>1941</v>
      </c>
      <c r="AB623" s="1182">
        <v>8800</v>
      </c>
      <c r="AC623" s="1182" t="s">
        <v>2925</v>
      </c>
      <c r="AD623" s="1182" t="s">
        <v>1561</v>
      </c>
      <c r="AE623" s="1182">
        <v>8800</v>
      </c>
      <c r="AF623" s="1182" t="s">
        <v>1943</v>
      </c>
      <c r="AG623" s="1182" t="s">
        <v>1944</v>
      </c>
      <c r="AH623" s="1182">
        <v>0</v>
      </c>
      <c r="AI623" s="1182">
        <v>8800</v>
      </c>
      <c r="AJ623" s="1182" t="s">
        <v>3695</v>
      </c>
      <c r="AL623" s="1186" t="s">
        <v>3744</v>
      </c>
      <c r="AM623" s="1182">
        <v>1</v>
      </c>
      <c r="AN623" s="1182">
        <v>0</v>
      </c>
      <c r="AO623" s="1182">
        <v>0</v>
      </c>
      <c r="AP623" s="1182" t="s">
        <v>2949</v>
      </c>
      <c r="AQ623" s="1182" t="s">
        <v>1639</v>
      </c>
      <c r="AS623" s="1186" t="s">
        <v>1943</v>
      </c>
      <c r="AT623" s="1186" t="s">
        <v>1944</v>
      </c>
      <c r="AV623" s="1183">
        <v>0</v>
      </c>
      <c r="AW623" s="1183">
        <v>0</v>
      </c>
      <c r="AX623" s="1183">
        <v>8800</v>
      </c>
      <c r="AY623" s="1538">
        <v>8800</v>
      </c>
      <c r="AZ623" s="1183">
        <v>0</v>
      </c>
      <c r="BA623" s="1183">
        <v>0</v>
      </c>
      <c r="BB623" s="1540">
        <v>0</v>
      </c>
      <c r="BC623" s="1540">
        <v>8800</v>
      </c>
      <c r="BD623" s="1540">
        <v>0</v>
      </c>
      <c r="BF623" s="1539">
        <f t="shared" si="122"/>
        <v>0</v>
      </c>
      <c r="BG623" s="1539">
        <f t="shared" si="123"/>
        <v>0</v>
      </c>
      <c r="BH623" s="1539">
        <f t="shared" si="124"/>
        <v>8800</v>
      </c>
      <c r="BI623" s="1539">
        <f t="shared" si="125"/>
        <v>8800</v>
      </c>
      <c r="BJ623" s="1539">
        <f t="shared" si="126"/>
        <v>0</v>
      </c>
      <c r="BK623" s="1539">
        <f t="shared" si="127"/>
        <v>0</v>
      </c>
      <c r="BL623" s="1539">
        <f t="shared" si="128"/>
        <v>0</v>
      </c>
      <c r="BM623" s="1539">
        <f t="shared" si="129"/>
        <v>8800</v>
      </c>
      <c r="BO623" s="1183"/>
      <c r="BQ623" s="1182">
        <f t="shared" si="130"/>
        <v>0</v>
      </c>
      <c r="BR623" s="1182">
        <f t="shared" si="131"/>
        <v>0</v>
      </c>
    </row>
    <row r="624" spans="1:70" ht="13.5" customHeight="1">
      <c r="A624" s="1182" t="s">
        <v>1803</v>
      </c>
      <c r="B624" s="1182" t="s">
        <v>1804</v>
      </c>
      <c r="C624" s="1182" t="s">
        <v>1639</v>
      </c>
      <c r="D624" s="1182" t="s">
        <v>2590</v>
      </c>
      <c r="E624" s="1182" t="s">
        <v>2591</v>
      </c>
      <c r="F624" s="1182" t="s">
        <v>2388</v>
      </c>
      <c r="G624" s="1182" t="s">
        <v>2388</v>
      </c>
      <c r="H624" s="1182" t="s">
        <v>3670</v>
      </c>
      <c r="I624" s="1182" t="s">
        <v>1937</v>
      </c>
      <c r="J624" s="1182" t="s">
        <v>3739</v>
      </c>
      <c r="K624" s="1182" t="s">
        <v>1811</v>
      </c>
      <c r="L624" s="1182" t="s">
        <v>1812</v>
      </c>
      <c r="M624" s="1182" t="s">
        <v>1803</v>
      </c>
      <c r="N624" s="1182" t="s">
        <v>2922</v>
      </c>
      <c r="O624" s="1182" t="s">
        <v>1554</v>
      </c>
      <c r="P624" s="1182" t="s">
        <v>1563</v>
      </c>
      <c r="Q624" s="1182" t="s">
        <v>1562</v>
      </c>
      <c r="R624" s="1182" t="s">
        <v>1561</v>
      </c>
      <c r="S624" s="1182" t="s">
        <v>1639</v>
      </c>
      <c r="T624" s="1182" t="s">
        <v>1814</v>
      </c>
      <c r="U624" s="1182" t="s">
        <v>1815</v>
      </c>
      <c r="V624" s="1182">
        <v>0</v>
      </c>
      <c r="W624" s="1182">
        <v>0</v>
      </c>
      <c r="X624" s="1182">
        <v>0</v>
      </c>
      <c r="Y624" s="1183">
        <v>16800</v>
      </c>
      <c r="Z624" s="1182" t="s">
        <v>1940</v>
      </c>
      <c r="AA624" s="1182" t="s">
        <v>1941</v>
      </c>
      <c r="AB624" s="1182">
        <v>16800</v>
      </c>
      <c r="AC624" s="1182" t="s">
        <v>2925</v>
      </c>
      <c r="AD624" s="1182" t="s">
        <v>1561</v>
      </c>
      <c r="AE624" s="1182">
        <v>16800</v>
      </c>
      <c r="AF624" s="1182" t="s">
        <v>1943</v>
      </c>
      <c r="AG624" s="1182" t="s">
        <v>1944</v>
      </c>
      <c r="AH624" s="1182">
        <v>0</v>
      </c>
      <c r="AI624" s="1182">
        <v>16800</v>
      </c>
      <c r="AJ624" s="1182" t="s">
        <v>3668</v>
      </c>
      <c r="AL624" s="1186" t="s">
        <v>3740</v>
      </c>
      <c r="AM624" s="1182">
        <v>1</v>
      </c>
      <c r="AN624" s="1182">
        <v>0</v>
      </c>
      <c r="AO624" s="1182">
        <v>0</v>
      </c>
      <c r="AP624" s="1182" t="s">
        <v>2949</v>
      </c>
      <c r="AQ624" s="1182" t="s">
        <v>1639</v>
      </c>
      <c r="AS624" s="1186" t="s">
        <v>1943</v>
      </c>
      <c r="AT624" s="1186" t="s">
        <v>1944</v>
      </c>
      <c r="AV624" s="1183">
        <v>0</v>
      </c>
      <c r="AW624" s="1183">
        <v>0</v>
      </c>
      <c r="AX624" s="1183">
        <v>16800</v>
      </c>
      <c r="AY624" s="1538">
        <v>16800</v>
      </c>
      <c r="AZ624" s="1183">
        <v>0</v>
      </c>
      <c r="BA624" s="1183">
        <v>0</v>
      </c>
      <c r="BB624" s="1540">
        <v>0</v>
      </c>
      <c r="BC624" s="1540">
        <v>16800</v>
      </c>
      <c r="BD624" s="1540">
        <v>0</v>
      </c>
      <c r="BF624" s="1539">
        <f t="shared" si="122"/>
        <v>0</v>
      </c>
      <c r="BG624" s="1539">
        <f t="shared" si="123"/>
        <v>0</v>
      </c>
      <c r="BH624" s="1539">
        <f t="shared" si="124"/>
        <v>16800</v>
      </c>
      <c r="BI624" s="1539">
        <f t="shared" si="125"/>
        <v>16800</v>
      </c>
      <c r="BJ624" s="1539">
        <f t="shared" si="126"/>
        <v>0</v>
      </c>
      <c r="BK624" s="1539">
        <f t="shared" si="127"/>
        <v>0</v>
      </c>
      <c r="BL624" s="1539">
        <f t="shared" si="128"/>
        <v>0</v>
      </c>
      <c r="BM624" s="1539">
        <f t="shared" si="129"/>
        <v>16800</v>
      </c>
      <c r="BO624" s="1183"/>
      <c r="BQ624" s="1182">
        <f t="shared" si="130"/>
        <v>0</v>
      </c>
      <c r="BR624" s="1182">
        <f t="shared" si="131"/>
        <v>0</v>
      </c>
    </row>
    <row r="625" spans="1:70" ht="13.5" customHeight="1">
      <c r="A625" s="1182" t="s">
        <v>1803</v>
      </c>
      <c r="B625" s="1182" t="s">
        <v>1804</v>
      </c>
      <c r="C625" s="1182" t="s">
        <v>1639</v>
      </c>
      <c r="D625" s="1182" t="s">
        <v>2590</v>
      </c>
      <c r="E625" s="1182" t="s">
        <v>2591</v>
      </c>
      <c r="F625" s="1182" t="s">
        <v>3736</v>
      </c>
      <c r="G625" s="1182" t="s">
        <v>3736</v>
      </c>
      <c r="H625" s="1182" t="s">
        <v>3670</v>
      </c>
      <c r="I625" s="1182" t="s">
        <v>1937</v>
      </c>
      <c r="J625" s="1182" t="s">
        <v>3737</v>
      </c>
      <c r="K625" s="1182" t="s">
        <v>1811</v>
      </c>
      <c r="L625" s="1182" t="s">
        <v>1812</v>
      </c>
      <c r="M625" s="1182" t="s">
        <v>1803</v>
      </c>
      <c r="N625" s="1182" t="s">
        <v>2922</v>
      </c>
      <c r="O625" s="1182" t="s">
        <v>1554</v>
      </c>
      <c r="P625" s="1182" t="s">
        <v>1563</v>
      </c>
      <c r="Q625" s="1182" t="s">
        <v>1562</v>
      </c>
      <c r="R625" s="1182" t="s">
        <v>1561</v>
      </c>
      <c r="S625" s="1182" t="s">
        <v>1639</v>
      </c>
      <c r="T625" s="1182" t="s">
        <v>1814</v>
      </c>
      <c r="U625" s="1182" t="s">
        <v>1815</v>
      </c>
      <c r="V625" s="1182">
        <v>0</v>
      </c>
      <c r="W625" s="1182">
        <v>0</v>
      </c>
      <c r="X625" s="1182">
        <v>0</v>
      </c>
      <c r="Y625" s="1183">
        <v>16700</v>
      </c>
      <c r="Z625" s="1182" t="s">
        <v>1940</v>
      </c>
      <c r="AA625" s="1182" t="s">
        <v>1941</v>
      </c>
      <c r="AB625" s="1182">
        <v>16700</v>
      </c>
      <c r="AC625" s="1182" t="s">
        <v>2925</v>
      </c>
      <c r="AD625" s="1182" t="s">
        <v>1561</v>
      </c>
      <c r="AE625" s="1182">
        <v>16700</v>
      </c>
      <c r="AF625" s="1182" t="s">
        <v>1943</v>
      </c>
      <c r="AG625" s="1182" t="s">
        <v>1944</v>
      </c>
      <c r="AH625" s="1182">
        <v>0</v>
      </c>
      <c r="AI625" s="1182">
        <v>16700</v>
      </c>
      <c r="AJ625" s="1182" t="s">
        <v>3721</v>
      </c>
      <c r="AL625" s="1186" t="s">
        <v>3738</v>
      </c>
      <c r="AM625" s="1182">
        <v>1</v>
      </c>
      <c r="AN625" s="1182">
        <v>0</v>
      </c>
      <c r="AO625" s="1182">
        <v>0</v>
      </c>
      <c r="AP625" s="1182" t="s">
        <v>2949</v>
      </c>
      <c r="AQ625" s="1182" t="s">
        <v>1639</v>
      </c>
      <c r="AS625" s="1186" t="s">
        <v>1943</v>
      </c>
      <c r="AT625" s="1186" t="s">
        <v>1944</v>
      </c>
      <c r="AV625" s="1183">
        <v>0</v>
      </c>
      <c r="AW625" s="1183">
        <v>0</v>
      </c>
      <c r="AX625" s="1183">
        <v>16700</v>
      </c>
      <c r="AY625" s="1538">
        <v>16700</v>
      </c>
      <c r="AZ625" s="1183">
        <v>0</v>
      </c>
      <c r="BA625" s="1183">
        <v>0</v>
      </c>
      <c r="BB625" s="1540">
        <v>0</v>
      </c>
      <c r="BC625" s="1540">
        <v>16700</v>
      </c>
      <c r="BD625" s="1540">
        <v>0</v>
      </c>
      <c r="BF625" s="1539">
        <f t="shared" si="122"/>
        <v>0</v>
      </c>
      <c r="BG625" s="1539">
        <f t="shared" si="123"/>
        <v>0</v>
      </c>
      <c r="BH625" s="1539">
        <f t="shared" si="124"/>
        <v>16700</v>
      </c>
      <c r="BI625" s="1539">
        <f t="shared" si="125"/>
        <v>16700</v>
      </c>
      <c r="BJ625" s="1539">
        <f t="shared" si="126"/>
        <v>0</v>
      </c>
      <c r="BK625" s="1539">
        <f t="shared" si="127"/>
        <v>0</v>
      </c>
      <c r="BL625" s="1539">
        <f t="shared" si="128"/>
        <v>0</v>
      </c>
      <c r="BM625" s="1539">
        <f t="shared" si="129"/>
        <v>16700</v>
      </c>
      <c r="BO625" s="1183"/>
      <c r="BQ625" s="1182">
        <f t="shared" si="130"/>
        <v>0</v>
      </c>
      <c r="BR625" s="1182">
        <f t="shared" si="131"/>
        <v>0</v>
      </c>
    </row>
    <row r="626" spans="1:70" ht="13.5" customHeight="1">
      <c r="A626" s="1182" t="s">
        <v>1803</v>
      </c>
      <c r="B626" s="1182" t="s">
        <v>1804</v>
      </c>
      <c r="C626" s="1182" t="s">
        <v>1639</v>
      </c>
      <c r="D626" s="1182" t="s">
        <v>2590</v>
      </c>
      <c r="E626" s="1182" t="s">
        <v>2591</v>
      </c>
      <c r="F626" s="1182" t="s">
        <v>2241</v>
      </c>
      <c r="G626" s="1182" t="s">
        <v>2241</v>
      </c>
      <c r="H626" s="1182" t="s">
        <v>3670</v>
      </c>
      <c r="I626" s="1182" t="s">
        <v>1937</v>
      </c>
      <c r="J626" s="1182" t="s">
        <v>3718</v>
      </c>
      <c r="K626" s="1182" t="s">
        <v>1811</v>
      </c>
      <c r="L626" s="1182" t="s">
        <v>1812</v>
      </c>
      <c r="M626" s="1182" t="s">
        <v>1803</v>
      </c>
      <c r="N626" s="1182" t="s">
        <v>2922</v>
      </c>
      <c r="O626" s="1182" t="s">
        <v>1554</v>
      </c>
      <c r="P626" s="1182" t="s">
        <v>1563</v>
      </c>
      <c r="Q626" s="1182" t="s">
        <v>1562</v>
      </c>
      <c r="R626" s="1182" t="s">
        <v>1561</v>
      </c>
      <c r="S626" s="1182" t="s">
        <v>1639</v>
      </c>
      <c r="T626" s="1182" t="s">
        <v>1814</v>
      </c>
      <c r="U626" s="1182" t="s">
        <v>1815</v>
      </c>
      <c r="V626" s="1182">
        <v>0</v>
      </c>
      <c r="W626" s="1182">
        <v>0</v>
      </c>
      <c r="X626" s="1182">
        <v>0</v>
      </c>
      <c r="Y626" s="1183">
        <v>16200</v>
      </c>
      <c r="Z626" s="1182" t="s">
        <v>1940</v>
      </c>
      <c r="AA626" s="1182" t="s">
        <v>1941</v>
      </c>
      <c r="AB626" s="1182">
        <v>16200</v>
      </c>
      <c r="AC626" s="1182" t="s">
        <v>2925</v>
      </c>
      <c r="AD626" s="1182" t="s">
        <v>1561</v>
      </c>
      <c r="AE626" s="1182">
        <v>16200</v>
      </c>
      <c r="AF626" s="1182" t="s">
        <v>1943</v>
      </c>
      <c r="AG626" s="1182" t="s">
        <v>1944</v>
      </c>
      <c r="AH626" s="1182">
        <v>0</v>
      </c>
      <c r="AI626" s="1182">
        <v>16200</v>
      </c>
      <c r="AJ626" s="1182" t="s">
        <v>2975</v>
      </c>
      <c r="AL626" s="1186" t="s">
        <v>3719</v>
      </c>
      <c r="AM626" s="1182">
        <v>1</v>
      </c>
      <c r="AN626" s="1182">
        <v>0</v>
      </c>
      <c r="AO626" s="1182">
        <v>0</v>
      </c>
      <c r="AP626" s="1182" t="s">
        <v>2949</v>
      </c>
      <c r="AQ626" s="1182" t="s">
        <v>1639</v>
      </c>
      <c r="AS626" s="1186" t="s">
        <v>1943</v>
      </c>
      <c r="AT626" s="1186" t="s">
        <v>1944</v>
      </c>
      <c r="AV626" s="1183">
        <v>0</v>
      </c>
      <c r="AW626" s="1183">
        <v>0</v>
      </c>
      <c r="AX626" s="1183">
        <v>16200</v>
      </c>
      <c r="AY626" s="1538">
        <v>16200</v>
      </c>
      <c r="AZ626" s="1183">
        <v>0</v>
      </c>
      <c r="BA626" s="1183">
        <v>0</v>
      </c>
      <c r="BB626" s="1540">
        <v>0</v>
      </c>
      <c r="BC626" s="1540">
        <v>16200</v>
      </c>
      <c r="BD626" s="1540">
        <v>0</v>
      </c>
      <c r="BF626" s="1539">
        <f t="shared" si="122"/>
        <v>0</v>
      </c>
      <c r="BG626" s="1539">
        <f t="shared" si="123"/>
        <v>0</v>
      </c>
      <c r="BH626" s="1539">
        <f t="shared" si="124"/>
        <v>16200</v>
      </c>
      <c r="BI626" s="1539">
        <f t="shared" si="125"/>
        <v>16200</v>
      </c>
      <c r="BJ626" s="1539">
        <f t="shared" si="126"/>
        <v>0</v>
      </c>
      <c r="BK626" s="1539">
        <f t="shared" si="127"/>
        <v>0</v>
      </c>
      <c r="BL626" s="1539">
        <f t="shared" si="128"/>
        <v>0</v>
      </c>
      <c r="BM626" s="1539">
        <f t="shared" si="129"/>
        <v>16200</v>
      </c>
      <c r="BO626" s="1183"/>
      <c r="BQ626" s="1182">
        <f t="shared" si="130"/>
        <v>0</v>
      </c>
      <c r="BR626" s="1182">
        <f t="shared" si="131"/>
        <v>0</v>
      </c>
    </row>
    <row r="627" spans="1:70" ht="13.5" customHeight="1">
      <c r="A627" s="1182" t="s">
        <v>3765</v>
      </c>
      <c r="B627" s="1182" t="s">
        <v>1804</v>
      </c>
      <c r="C627" s="1182" t="s">
        <v>1639</v>
      </c>
      <c r="D627" s="1182" t="s">
        <v>2590</v>
      </c>
      <c r="E627" s="1182" t="s">
        <v>2591</v>
      </c>
      <c r="F627" s="1182" t="s">
        <v>2841</v>
      </c>
      <c r="G627" s="1182" t="s">
        <v>2841</v>
      </c>
      <c r="H627" s="1182" t="s">
        <v>3677</v>
      </c>
      <c r="I627" s="1182" t="s">
        <v>1937</v>
      </c>
      <c r="J627" s="1182" t="s">
        <v>3769</v>
      </c>
      <c r="K627" s="1182" t="s">
        <v>1811</v>
      </c>
      <c r="L627" s="1182" t="s">
        <v>1812</v>
      </c>
      <c r="M627" s="1182" t="s">
        <v>1803</v>
      </c>
      <c r="N627" s="1182" t="s">
        <v>2922</v>
      </c>
      <c r="O627" s="1182" t="s">
        <v>1554</v>
      </c>
      <c r="P627" s="1182" t="s">
        <v>1563</v>
      </c>
      <c r="Q627" s="1182" t="s">
        <v>1562</v>
      </c>
      <c r="R627" s="1182" t="s">
        <v>1561</v>
      </c>
      <c r="S627" s="1182" t="s">
        <v>1639</v>
      </c>
      <c r="T627" s="1182" t="s">
        <v>1814</v>
      </c>
      <c r="U627" s="1182" t="s">
        <v>1815</v>
      </c>
      <c r="V627" s="1182">
        <v>0</v>
      </c>
      <c r="W627" s="1182">
        <v>0</v>
      </c>
      <c r="X627" s="1182">
        <v>0</v>
      </c>
      <c r="Y627" s="1183">
        <v>3200</v>
      </c>
      <c r="Z627" s="1182" t="s">
        <v>1940</v>
      </c>
      <c r="AA627" s="1182" t="s">
        <v>1941</v>
      </c>
      <c r="AB627" s="1182">
        <v>3200</v>
      </c>
      <c r="AC627" s="1182" t="s">
        <v>2925</v>
      </c>
      <c r="AD627" s="1182" t="s">
        <v>1561</v>
      </c>
      <c r="AE627" s="1182">
        <v>3200</v>
      </c>
      <c r="AF627" s="1182" t="s">
        <v>1943</v>
      </c>
      <c r="AG627" s="1182" t="s">
        <v>1944</v>
      </c>
      <c r="AH627" s="1182">
        <v>0</v>
      </c>
      <c r="AI627" s="1182">
        <v>3200</v>
      </c>
      <c r="AJ627" s="1182" t="s">
        <v>3767</v>
      </c>
      <c r="AL627" s="1186" t="s">
        <v>3770</v>
      </c>
      <c r="AM627" s="1182">
        <v>1</v>
      </c>
      <c r="AN627" s="1182">
        <v>0</v>
      </c>
      <c r="AO627" s="1182">
        <v>0</v>
      </c>
      <c r="AP627" s="1182" t="s">
        <v>2949</v>
      </c>
      <c r="AQ627" s="1182" t="s">
        <v>1639</v>
      </c>
      <c r="AS627" s="1186" t="s">
        <v>1943</v>
      </c>
      <c r="AT627" s="1186" t="s">
        <v>1944</v>
      </c>
      <c r="AV627" s="1183">
        <v>0</v>
      </c>
      <c r="AW627" s="1183">
        <v>0</v>
      </c>
      <c r="AX627" s="1183">
        <v>3200</v>
      </c>
      <c r="AY627" s="1538">
        <v>3200</v>
      </c>
      <c r="AZ627" s="1183">
        <v>0</v>
      </c>
      <c r="BA627" s="1183">
        <v>0</v>
      </c>
      <c r="BB627" s="1540">
        <v>0</v>
      </c>
      <c r="BC627" s="1540">
        <v>3200</v>
      </c>
      <c r="BD627" s="1540">
        <v>0</v>
      </c>
      <c r="BF627" s="1539">
        <f t="shared" si="122"/>
        <v>0</v>
      </c>
      <c r="BG627" s="1539">
        <f t="shared" si="123"/>
        <v>0</v>
      </c>
      <c r="BH627" s="1539">
        <f t="shared" si="124"/>
        <v>3200</v>
      </c>
      <c r="BI627" s="1539">
        <f t="shared" si="125"/>
        <v>3200</v>
      </c>
      <c r="BJ627" s="1539">
        <f t="shared" si="126"/>
        <v>0</v>
      </c>
      <c r="BK627" s="1539">
        <f t="shared" si="127"/>
        <v>0</v>
      </c>
      <c r="BL627" s="1539">
        <f t="shared" si="128"/>
        <v>0</v>
      </c>
      <c r="BM627" s="1539">
        <f t="shared" si="129"/>
        <v>3200</v>
      </c>
      <c r="BO627" s="1183"/>
      <c r="BQ627" s="1182">
        <f t="shared" si="130"/>
        <v>0</v>
      </c>
      <c r="BR627" s="1182">
        <f t="shared" si="131"/>
        <v>0</v>
      </c>
    </row>
    <row r="628" spans="1:70" ht="13.5" customHeight="1">
      <c r="A628" s="1182" t="s">
        <v>3765</v>
      </c>
      <c r="B628" s="1182" t="s">
        <v>1804</v>
      </c>
      <c r="C628" s="1182" t="s">
        <v>1639</v>
      </c>
      <c r="D628" s="1182" t="s">
        <v>2590</v>
      </c>
      <c r="E628" s="1182" t="s">
        <v>2591</v>
      </c>
      <c r="F628" s="1182" t="s">
        <v>2084</v>
      </c>
      <c r="G628" s="1182" t="s">
        <v>2084</v>
      </c>
      <c r="H628" s="1182" t="s">
        <v>3670</v>
      </c>
      <c r="I628" s="1182" t="s">
        <v>1937</v>
      </c>
      <c r="J628" s="1182" t="s">
        <v>3766</v>
      </c>
      <c r="K628" s="1182" t="s">
        <v>1811</v>
      </c>
      <c r="L628" s="1182" t="s">
        <v>1812</v>
      </c>
      <c r="M628" s="1182" t="s">
        <v>1803</v>
      </c>
      <c r="N628" s="1182" t="s">
        <v>2922</v>
      </c>
      <c r="O628" s="1182" t="s">
        <v>1554</v>
      </c>
      <c r="P628" s="1182" t="s">
        <v>1563</v>
      </c>
      <c r="Q628" s="1182" t="s">
        <v>1562</v>
      </c>
      <c r="R628" s="1182" t="s">
        <v>1561</v>
      </c>
      <c r="S628" s="1182" t="s">
        <v>1639</v>
      </c>
      <c r="T628" s="1182" t="s">
        <v>1814</v>
      </c>
      <c r="U628" s="1182" t="s">
        <v>1815</v>
      </c>
      <c r="V628" s="1182">
        <v>0</v>
      </c>
      <c r="W628" s="1182">
        <v>0</v>
      </c>
      <c r="X628" s="1182">
        <v>0</v>
      </c>
      <c r="Y628" s="1183">
        <v>3300</v>
      </c>
      <c r="Z628" s="1182" t="s">
        <v>1940</v>
      </c>
      <c r="AA628" s="1182" t="s">
        <v>1941</v>
      </c>
      <c r="AB628" s="1182">
        <v>3300</v>
      </c>
      <c r="AC628" s="1182" t="s">
        <v>2925</v>
      </c>
      <c r="AD628" s="1182" t="s">
        <v>1561</v>
      </c>
      <c r="AE628" s="1182">
        <v>3300</v>
      </c>
      <c r="AF628" s="1182" t="s">
        <v>1943</v>
      </c>
      <c r="AG628" s="1182" t="s">
        <v>1944</v>
      </c>
      <c r="AH628" s="1182">
        <v>0</v>
      </c>
      <c r="AI628" s="1182">
        <v>3300</v>
      </c>
      <c r="AJ628" s="1182" t="s">
        <v>3767</v>
      </c>
      <c r="AL628" s="1186" t="s">
        <v>3768</v>
      </c>
      <c r="AM628" s="1182">
        <v>1</v>
      </c>
      <c r="AN628" s="1182">
        <v>0</v>
      </c>
      <c r="AO628" s="1182">
        <v>0</v>
      </c>
      <c r="AP628" s="1182" t="s">
        <v>2949</v>
      </c>
      <c r="AQ628" s="1182" t="s">
        <v>1639</v>
      </c>
      <c r="AS628" s="1186" t="s">
        <v>1943</v>
      </c>
      <c r="AT628" s="1186" t="s">
        <v>1944</v>
      </c>
      <c r="AV628" s="1183">
        <v>0</v>
      </c>
      <c r="AW628" s="1183">
        <v>0</v>
      </c>
      <c r="AX628" s="1183">
        <v>3300</v>
      </c>
      <c r="AY628" s="1538">
        <v>3300</v>
      </c>
      <c r="AZ628" s="1183">
        <v>0</v>
      </c>
      <c r="BA628" s="1183">
        <v>0</v>
      </c>
      <c r="BB628" s="1540">
        <v>0</v>
      </c>
      <c r="BC628" s="1540">
        <v>3300</v>
      </c>
      <c r="BD628" s="1540">
        <v>0</v>
      </c>
      <c r="BF628" s="1539">
        <f t="shared" si="122"/>
        <v>0</v>
      </c>
      <c r="BG628" s="1539">
        <f t="shared" si="123"/>
        <v>0</v>
      </c>
      <c r="BH628" s="1539">
        <f t="shared" si="124"/>
        <v>3300</v>
      </c>
      <c r="BI628" s="1539">
        <f t="shared" si="125"/>
        <v>3300</v>
      </c>
      <c r="BJ628" s="1539">
        <f t="shared" si="126"/>
        <v>0</v>
      </c>
      <c r="BK628" s="1539">
        <f t="shared" si="127"/>
        <v>0</v>
      </c>
      <c r="BL628" s="1539">
        <f t="shared" si="128"/>
        <v>0</v>
      </c>
      <c r="BM628" s="1539">
        <f t="shared" si="129"/>
        <v>3300</v>
      </c>
      <c r="BO628" s="1183"/>
      <c r="BQ628" s="1182">
        <f t="shared" si="130"/>
        <v>0</v>
      </c>
      <c r="BR628" s="1182">
        <f t="shared" si="131"/>
        <v>0</v>
      </c>
    </row>
    <row r="629" spans="1:70" ht="13.5" customHeight="1">
      <c r="A629" s="1182" t="s">
        <v>3765</v>
      </c>
      <c r="B629" s="1182" t="s">
        <v>1804</v>
      </c>
      <c r="C629" s="1182" t="s">
        <v>1639</v>
      </c>
      <c r="D629" s="1182" t="s">
        <v>2590</v>
      </c>
      <c r="E629" s="1182" t="s">
        <v>2591</v>
      </c>
      <c r="F629" s="1182" t="s">
        <v>2764</v>
      </c>
      <c r="G629" s="1182" t="s">
        <v>2764</v>
      </c>
      <c r="H629" s="1182" t="s">
        <v>3677</v>
      </c>
      <c r="I629" s="1182" t="s">
        <v>1937</v>
      </c>
      <c r="J629" s="1182" t="s">
        <v>3771</v>
      </c>
      <c r="K629" s="1182" t="s">
        <v>1811</v>
      </c>
      <c r="L629" s="1182" t="s">
        <v>1812</v>
      </c>
      <c r="M629" s="1182" t="s">
        <v>1803</v>
      </c>
      <c r="N629" s="1182" t="s">
        <v>2922</v>
      </c>
      <c r="O629" s="1182" t="s">
        <v>1554</v>
      </c>
      <c r="P629" s="1182" t="s">
        <v>1563</v>
      </c>
      <c r="Q629" s="1182" t="s">
        <v>1562</v>
      </c>
      <c r="R629" s="1182" t="s">
        <v>1561</v>
      </c>
      <c r="S629" s="1182" t="s">
        <v>1639</v>
      </c>
      <c r="T629" s="1182" t="s">
        <v>1814</v>
      </c>
      <c r="U629" s="1182" t="s">
        <v>1815</v>
      </c>
      <c r="V629" s="1182">
        <v>0</v>
      </c>
      <c r="W629" s="1182">
        <v>0</v>
      </c>
      <c r="X629" s="1182">
        <v>0</v>
      </c>
      <c r="Y629" s="1183">
        <v>3200</v>
      </c>
      <c r="Z629" s="1182" t="s">
        <v>1940</v>
      </c>
      <c r="AA629" s="1182" t="s">
        <v>1941</v>
      </c>
      <c r="AB629" s="1182">
        <v>3200</v>
      </c>
      <c r="AC629" s="1182" t="s">
        <v>2925</v>
      </c>
      <c r="AD629" s="1182" t="s">
        <v>1561</v>
      </c>
      <c r="AE629" s="1182">
        <v>3200</v>
      </c>
      <c r="AF629" s="1182" t="s">
        <v>1943</v>
      </c>
      <c r="AG629" s="1182" t="s">
        <v>1944</v>
      </c>
      <c r="AH629" s="1182">
        <v>0</v>
      </c>
      <c r="AI629" s="1182">
        <v>3200</v>
      </c>
      <c r="AJ629" s="1182" t="s">
        <v>3767</v>
      </c>
      <c r="AL629" s="1186" t="s">
        <v>3772</v>
      </c>
      <c r="AM629" s="1182">
        <v>1</v>
      </c>
      <c r="AN629" s="1182">
        <v>0</v>
      </c>
      <c r="AO629" s="1182">
        <v>0</v>
      </c>
      <c r="AP629" s="1182" t="s">
        <v>2949</v>
      </c>
      <c r="AQ629" s="1182" t="s">
        <v>1639</v>
      </c>
      <c r="AS629" s="1186" t="s">
        <v>1943</v>
      </c>
      <c r="AT629" s="1186" t="s">
        <v>1944</v>
      </c>
      <c r="AV629" s="1183">
        <v>0</v>
      </c>
      <c r="AW629" s="1183">
        <v>0</v>
      </c>
      <c r="AX629" s="1183">
        <v>3200</v>
      </c>
      <c r="AY629" s="1538">
        <v>3200</v>
      </c>
      <c r="AZ629" s="1183">
        <v>0</v>
      </c>
      <c r="BA629" s="1183">
        <v>0</v>
      </c>
      <c r="BB629" s="1540">
        <v>0</v>
      </c>
      <c r="BC629" s="1540">
        <v>3200</v>
      </c>
      <c r="BD629" s="1540">
        <v>0</v>
      </c>
      <c r="BF629" s="1539">
        <f t="shared" si="122"/>
        <v>0</v>
      </c>
      <c r="BG629" s="1539">
        <f t="shared" si="123"/>
        <v>0</v>
      </c>
      <c r="BH629" s="1539">
        <f t="shared" si="124"/>
        <v>3200</v>
      </c>
      <c r="BI629" s="1539">
        <f t="shared" si="125"/>
        <v>3200</v>
      </c>
      <c r="BJ629" s="1539">
        <f t="shared" si="126"/>
        <v>0</v>
      </c>
      <c r="BK629" s="1539">
        <f t="shared" si="127"/>
        <v>0</v>
      </c>
      <c r="BL629" s="1539">
        <f t="shared" si="128"/>
        <v>0</v>
      </c>
      <c r="BM629" s="1539">
        <f t="shared" si="129"/>
        <v>3200</v>
      </c>
      <c r="BO629" s="1183"/>
      <c r="BQ629" s="1182">
        <f t="shared" si="130"/>
        <v>0</v>
      </c>
      <c r="BR629" s="1182">
        <f t="shared" si="131"/>
        <v>0</v>
      </c>
    </row>
    <row r="630" spans="1:70" ht="13.5" customHeight="1">
      <c r="A630" s="1182" t="s">
        <v>3765</v>
      </c>
      <c r="B630" s="1182" t="s">
        <v>1804</v>
      </c>
      <c r="C630" s="1182" t="s">
        <v>1639</v>
      </c>
      <c r="D630" s="1182" t="s">
        <v>2590</v>
      </c>
      <c r="E630" s="1182" t="s">
        <v>2591</v>
      </c>
      <c r="F630" s="1182" t="s">
        <v>1836</v>
      </c>
      <c r="G630" s="1182" t="s">
        <v>1836</v>
      </c>
      <c r="H630" s="1182" t="s">
        <v>3670</v>
      </c>
      <c r="I630" s="1182" t="s">
        <v>1937</v>
      </c>
      <c r="J630" s="1182" t="s">
        <v>3773</v>
      </c>
      <c r="K630" s="1182" t="s">
        <v>1811</v>
      </c>
      <c r="L630" s="1182" t="s">
        <v>1812</v>
      </c>
      <c r="M630" s="1182" t="s">
        <v>1803</v>
      </c>
      <c r="N630" s="1182" t="s">
        <v>2922</v>
      </c>
      <c r="O630" s="1182" t="s">
        <v>1554</v>
      </c>
      <c r="P630" s="1182" t="s">
        <v>1563</v>
      </c>
      <c r="Q630" s="1182" t="s">
        <v>1562</v>
      </c>
      <c r="R630" s="1182" t="s">
        <v>1561</v>
      </c>
      <c r="S630" s="1182" t="s">
        <v>1639</v>
      </c>
      <c r="T630" s="1182" t="s">
        <v>1814</v>
      </c>
      <c r="U630" s="1182" t="s">
        <v>1815</v>
      </c>
      <c r="V630" s="1182">
        <v>0</v>
      </c>
      <c r="W630" s="1182">
        <v>0</v>
      </c>
      <c r="X630" s="1182">
        <v>0</v>
      </c>
      <c r="Y630" s="1183">
        <v>3900</v>
      </c>
      <c r="Z630" s="1182" t="s">
        <v>1940</v>
      </c>
      <c r="AA630" s="1182" t="s">
        <v>1941</v>
      </c>
      <c r="AB630" s="1182">
        <v>3900</v>
      </c>
      <c r="AC630" s="1182" t="s">
        <v>2925</v>
      </c>
      <c r="AD630" s="1182" t="s">
        <v>1561</v>
      </c>
      <c r="AE630" s="1182">
        <v>3900</v>
      </c>
      <c r="AF630" s="1182" t="s">
        <v>1943</v>
      </c>
      <c r="AG630" s="1182" t="s">
        <v>1944</v>
      </c>
      <c r="AH630" s="1182">
        <v>0</v>
      </c>
      <c r="AI630" s="1182">
        <v>3900</v>
      </c>
      <c r="AJ630" s="1182" t="s">
        <v>3767</v>
      </c>
      <c r="AL630" s="1186" t="s">
        <v>3774</v>
      </c>
      <c r="AM630" s="1182">
        <v>1</v>
      </c>
      <c r="AN630" s="1182">
        <v>0</v>
      </c>
      <c r="AO630" s="1182">
        <v>0</v>
      </c>
      <c r="AP630" s="1182" t="s">
        <v>2949</v>
      </c>
      <c r="AQ630" s="1182" t="s">
        <v>1639</v>
      </c>
      <c r="AS630" s="1186" t="s">
        <v>1943</v>
      </c>
      <c r="AT630" s="1186" t="s">
        <v>1944</v>
      </c>
      <c r="AV630" s="1183">
        <v>0</v>
      </c>
      <c r="AW630" s="1183">
        <v>0</v>
      </c>
      <c r="AX630" s="1183">
        <v>3900</v>
      </c>
      <c r="AY630" s="1538">
        <v>3900</v>
      </c>
      <c r="AZ630" s="1183">
        <v>0</v>
      </c>
      <c r="BA630" s="1183">
        <v>0</v>
      </c>
      <c r="BB630" s="1540">
        <v>0</v>
      </c>
      <c r="BC630" s="1540">
        <v>3900</v>
      </c>
      <c r="BD630" s="1540">
        <v>0</v>
      </c>
      <c r="BF630" s="1539">
        <f t="shared" si="122"/>
        <v>0</v>
      </c>
      <c r="BG630" s="1539">
        <f t="shared" si="123"/>
        <v>0</v>
      </c>
      <c r="BH630" s="1539">
        <f t="shared" si="124"/>
        <v>3900</v>
      </c>
      <c r="BI630" s="1539">
        <f t="shared" si="125"/>
        <v>3900</v>
      </c>
      <c r="BJ630" s="1539">
        <f t="shared" si="126"/>
        <v>0</v>
      </c>
      <c r="BK630" s="1539">
        <f t="shared" si="127"/>
        <v>0</v>
      </c>
      <c r="BL630" s="1539">
        <f t="shared" si="128"/>
        <v>0</v>
      </c>
      <c r="BM630" s="1539">
        <f t="shared" si="129"/>
        <v>3900</v>
      </c>
      <c r="BO630" s="1183"/>
      <c r="BQ630" s="1182">
        <f t="shared" si="130"/>
        <v>0</v>
      </c>
      <c r="BR630" s="1182">
        <f t="shared" si="131"/>
        <v>0</v>
      </c>
    </row>
    <row r="631" spans="1:70" ht="13.5" customHeight="1">
      <c r="A631" s="1182" t="s">
        <v>3765</v>
      </c>
      <c r="B631" s="1182" t="s">
        <v>1804</v>
      </c>
      <c r="C631" s="1182" t="s">
        <v>1639</v>
      </c>
      <c r="D631" s="1182" t="s">
        <v>2590</v>
      </c>
      <c r="E631" s="1182" t="s">
        <v>2591</v>
      </c>
      <c r="F631" s="1182" t="s">
        <v>2290</v>
      </c>
      <c r="G631" s="1182" t="s">
        <v>2290</v>
      </c>
      <c r="H631" s="1182" t="s">
        <v>3670</v>
      </c>
      <c r="I631" s="1182" t="s">
        <v>1937</v>
      </c>
      <c r="J631" s="1182" t="s">
        <v>3777</v>
      </c>
      <c r="K631" s="1182" t="s">
        <v>1811</v>
      </c>
      <c r="L631" s="1182" t="s">
        <v>1812</v>
      </c>
      <c r="M631" s="1182" t="s">
        <v>1803</v>
      </c>
      <c r="N631" s="1182" t="s">
        <v>2922</v>
      </c>
      <c r="O631" s="1182" t="s">
        <v>1554</v>
      </c>
      <c r="P631" s="1182" t="s">
        <v>1563</v>
      </c>
      <c r="Q631" s="1182" t="s">
        <v>1562</v>
      </c>
      <c r="R631" s="1182" t="s">
        <v>1561</v>
      </c>
      <c r="S631" s="1182" t="s">
        <v>1639</v>
      </c>
      <c r="T631" s="1182" t="s">
        <v>1814</v>
      </c>
      <c r="U631" s="1182" t="s">
        <v>1815</v>
      </c>
      <c r="V631" s="1182">
        <v>0</v>
      </c>
      <c r="W631" s="1182">
        <v>0</v>
      </c>
      <c r="X631" s="1182">
        <v>0</v>
      </c>
      <c r="Y631" s="1183">
        <v>4000</v>
      </c>
      <c r="Z631" s="1182" t="s">
        <v>1940</v>
      </c>
      <c r="AA631" s="1182" t="s">
        <v>1941</v>
      </c>
      <c r="AB631" s="1182">
        <v>4000</v>
      </c>
      <c r="AC631" s="1182" t="s">
        <v>2925</v>
      </c>
      <c r="AD631" s="1182" t="s">
        <v>1561</v>
      </c>
      <c r="AE631" s="1182">
        <v>4000</v>
      </c>
      <c r="AF631" s="1182" t="s">
        <v>1943</v>
      </c>
      <c r="AG631" s="1182" t="s">
        <v>1944</v>
      </c>
      <c r="AH631" s="1182">
        <v>0</v>
      </c>
      <c r="AI631" s="1182">
        <v>4000</v>
      </c>
      <c r="AJ631" s="1182" t="s">
        <v>3767</v>
      </c>
      <c r="AL631" s="1186" t="s">
        <v>3778</v>
      </c>
      <c r="AM631" s="1182">
        <v>1</v>
      </c>
      <c r="AN631" s="1182">
        <v>0</v>
      </c>
      <c r="AO631" s="1182">
        <v>0</v>
      </c>
      <c r="AP631" s="1182" t="s">
        <v>2949</v>
      </c>
      <c r="AQ631" s="1182" t="s">
        <v>1639</v>
      </c>
      <c r="AS631" s="1186" t="s">
        <v>1943</v>
      </c>
      <c r="AT631" s="1186" t="s">
        <v>1944</v>
      </c>
      <c r="AV631" s="1183">
        <v>0</v>
      </c>
      <c r="AW631" s="1183">
        <v>0</v>
      </c>
      <c r="AX631" s="1183">
        <v>4000</v>
      </c>
      <c r="AY631" s="1538">
        <v>4000</v>
      </c>
      <c r="AZ631" s="1183">
        <v>0</v>
      </c>
      <c r="BA631" s="1183">
        <v>0</v>
      </c>
      <c r="BB631" s="1540">
        <v>0</v>
      </c>
      <c r="BC631" s="1540">
        <v>4000</v>
      </c>
      <c r="BD631" s="1540">
        <v>0</v>
      </c>
      <c r="BF631" s="1539">
        <f t="shared" si="122"/>
        <v>0</v>
      </c>
      <c r="BG631" s="1539">
        <f t="shared" si="123"/>
        <v>0</v>
      </c>
      <c r="BH631" s="1539">
        <f t="shared" si="124"/>
        <v>4000</v>
      </c>
      <c r="BI631" s="1539">
        <f t="shared" si="125"/>
        <v>4000</v>
      </c>
      <c r="BJ631" s="1539">
        <f t="shared" si="126"/>
        <v>0</v>
      </c>
      <c r="BK631" s="1539">
        <f t="shared" si="127"/>
        <v>0</v>
      </c>
      <c r="BL631" s="1539">
        <f t="shared" si="128"/>
        <v>0</v>
      </c>
      <c r="BM631" s="1539">
        <f t="shared" si="129"/>
        <v>4000</v>
      </c>
      <c r="BO631" s="1183"/>
      <c r="BQ631" s="1182">
        <f t="shared" si="130"/>
        <v>0</v>
      </c>
      <c r="BR631" s="1182">
        <f t="shared" si="131"/>
        <v>0</v>
      </c>
    </row>
    <row r="632" spans="1:70" ht="13.5" customHeight="1">
      <c r="A632" s="1182" t="s">
        <v>3765</v>
      </c>
      <c r="B632" s="1182" t="s">
        <v>1804</v>
      </c>
      <c r="C632" s="1182" t="s">
        <v>1639</v>
      </c>
      <c r="D632" s="1182" t="s">
        <v>2590</v>
      </c>
      <c r="E632" s="1182" t="s">
        <v>2591</v>
      </c>
      <c r="F632" s="1182" t="s">
        <v>2000</v>
      </c>
      <c r="G632" s="1182" t="s">
        <v>2000</v>
      </c>
      <c r="H632" s="1182" t="s">
        <v>3670</v>
      </c>
      <c r="I632" s="1182" t="s">
        <v>1937</v>
      </c>
      <c r="J632" s="1182" t="s">
        <v>3779</v>
      </c>
      <c r="K632" s="1182" t="s">
        <v>1811</v>
      </c>
      <c r="L632" s="1182" t="s">
        <v>1812</v>
      </c>
      <c r="M632" s="1182" t="s">
        <v>1803</v>
      </c>
      <c r="N632" s="1182" t="s">
        <v>2922</v>
      </c>
      <c r="O632" s="1182" t="s">
        <v>1554</v>
      </c>
      <c r="P632" s="1182" t="s">
        <v>1563</v>
      </c>
      <c r="Q632" s="1182" t="s">
        <v>1562</v>
      </c>
      <c r="R632" s="1182" t="s">
        <v>1561</v>
      </c>
      <c r="S632" s="1182" t="s">
        <v>1639</v>
      </c>
      <c r="T632" s="1182" t="s">
        <v>1814</v>
      </c>
      <c r="U632" s="1182" t="s">
        <v>1815</v>
      </c>
      <c r="V632" s="1182">
        <v>0</v>
      </c>
      <c r="W632" s="1182">
        <v>0</v>
      </c>
      <c r="X632" s="1182">
        <v>0</v>
      </c>
      <c r="Y632" s="1183">
        <v>3400</v>
      </c>
      <c r="Z632" s="1182" t="s">
        <v>1940</v>
      </c>
      <c r="AA632" s="1182" t="s">
        <v>1941</v>
      </c>
      <c r="AB632" s="1182">
        <v>3400</v>
      </c>
      <c r="AC632" s="1182" t="s">
        <v>2925</v>
      </c>
      <c r="AD632" s="1182" t="s">
        <v>1561</v>
      </c>
      <c r="AE632" s="1182">
        <v>3400</v>
      </c>
      <c r="AF632" s="1182" t="s">
        <v>1943</v>
      </c>
      <c r="AG632" s="1182" t="s">
        <v>1944</v>
      </c>
      <c r="AH632" s="1182">
        <v>0</v>
      </c>
      <c r="AI632" s="1182">
        <v>3400</v>
      </c>
      <c r="AJ632" s="1182" t="s">
        <v>3767</v>
      </c>
      <c r="AL632" s="1186" t="s">
        <v>3780</v>
      </c>
      <c r="AM632" s="1182">
        <v>1</v>
      </c>
      <c r="AN632" s="1182">
        <v>0</v>
      </c>
      <c r="AO632" s="1182">
        <v>0</v>
      </c>
      <c r="AP632" s="1182" t="s">
        <v>2949</v>
      </c>
      <c r="AQ632" s="1182" t="s">
        <v>1639</v>
      </c>
      <c r="AS632" s="1186" t="s">
        <v>1943</v>
      </c>
      <c r="AT632" s="1186" t="s">
        <v>1944</v>
      </c>
      <c r="AV632" s="1183">
        <v>0</v>
      </c>
      <c r="AW632" s="1183">
        <v>0</v>
      </c>
      <c r="AX632" s="1183">
        <v>3400</v>
      </c>
      <c r="AY632" s="1538">
        <v>3400</v>
      </c>
      <c r="AZ632" s="1183">
        <v>0</v>
      </c>
      <c r="BA632" s="1183">
        <v>0</v>
      </c>
      <c r="BB632" s="1540">
        <v>0</v>
      </c>
      <c r="BC632" s="1540">
        <v>3400</v>
      </c>
      <c r="BD632" s="1540">
        <v>0</v>
      </c>
      <c r="BF632" s="1539">
        <f t="shared" si="122"/>
        <v>0</v>
      </c>
      <c r="BG632" s="1539">
        <f t="shared" si="123"/>
        <v>0</v>
      </c>
      <c r="BH632" s="1539">
        <f t="shared" si="124"/>
        <v>3400</v>
      </c>
      <c r="BI632" s="1539">
        <f t="shared" si="125"/>
        <v>3400</v>
      </c>
      <c r="BJ632" s="1539">
        <f t="shared" si="126"/>
        <v>0</v>
      </c>
      <c r="BK632" s="1539">
        <f t="shared" si="127"/>
        <v>0</v>
      </c>
      <c r="BL632" s="1539">
        <f t="shared" si="128"/>
        <v>0</v>
      </c>
      <c r="BM632" s="1539">
        <f t="shared" si="129"/>
        <v>3400</v>
      </c>
      <c r="BO632" s="1183"/>
      <c r="BQ632" s="1182">
        <f t="shared" si="130"/>
        <v>0</v>
      </c>
      <c r="BR632" s="1182">
        <f t="shared" si="131"/>
        <v>0</v>
      </c>
    </row>
    <row r="633" spans="1:70" ht="13.5" customHeight="1">
      <c r="A633" s="1182" t="s">
        <v>3765</v>
      </c>
      <c r="B633" s="1182" t="s">
        <v>1804</v>
      </c>
      <c r="C633" s="1182" t="s">
        <v>1639</v>
      </c>
      <c r="D633" s="1182" t="s">
        <v>2590</v>
      </c>
      <c r="E633" s="1182" t="s">
        <v>2591</v>
      </c>
      <c r="F633" s="1182" t="s">
        <v>2352</v>
      </c>
      <c r="G633" s="1182" t="s">
        <v>2352</v>
      </c>
      <c r="H633" s="1182" t="s">
        <v>3670</v>
      </c>
      <c r="I633" s="1182" t="s">
        <v>1937</v>
      </c>
      <c r="J633" s="1182" t="s">
        <v>3781</v>
      </c>
      <c r="K633" s="1182" t="s">
        <v>1811</v>
      </c>
      <c r="L633" s="1182" t="s">
        <v>1812</v>
      </c>
      <c r="M633" s="1182" t="s">
        <v>1803</v>
      </c>
      <c r="N633" s="1182" t="s">
        <v>2922</v>
      </c>
      <c r="O633" s="1182" t="s">
        <v>1554</v>
      </c>
      <c r="P633" s="1182" t="s">
        <v>1563</v>
      </c>
      <c r="Q633" s="1182" t="s">
        <v>1562</v>
      </c>
      <c r="R633" s="1182" t="s">
        <v>1561</v>
      </c>
      <c r="S633" s="1182" t="s">
        <v>1639</v>
      </c>
      <c r="T633" s="1182" t="s">
        <v>1814</v>
      </c>
      <c r="U633" s="1182" t="s">
        <v>1815</v>
      </c>
      <c r="V633" s="1182">
        <v>0</v>
      </c>
      <c r="W633" s="1182">
        <v>0</v>
      </c>
      <c r="X633" s="1182">
        <v>0</v>
      </c>
      <c r="Y633" s="1183">
        <v>3700</v>
      </c>
      <c r="Z633" s="1182" t="s">
        <v>1940</v>
      </c>
      <c r="AA633" s="1182" t="s">
        <v>1941</v>
      </c>
      <c r="AB633" s="1182">
        <v>3700</v>
      </c>
      <c r="AC633" s="1182" t="s">
        <v>2925</v>
      </c>
      <c r="AD633" s="1182" t="s">
        <v>1561</v>
      </c>
      <c r="AE633" s="1182">
        <v>3700</v>
      </c>
      <c r="AF633" s="1182" t="s">
        <v>1943</v>
      </c>
      <c r="AG633" s="1182" t="s">
        <v>1944</v>
      </c>
      <c r="AH633" s="1182">
        <v>0</v>
      </c>
      <c r="AI633" s="1182">
        <v>3700</v>
      </c>
      <c r="AJ633" s="1182" t="s">
        <v>3767</v>
      </c>
      <c r="AL633" s="1186" t="s">
        <v>3782</v>
      </c>
      <c r="AM633" s="1182">
        <v>1</v>
      </c>
      <c r="AN633" s="1182">
        <v>0</v>
      </c>
      <c r="AO633" s="1182">
        <v>0</v>
      </c>
      <c r="AP633" s="1182" t="s">
        <v>2949</v>
      </c>
      <c r="AQ633" s="1182" t="s">
        <v>1639</v>
      </c>
      <c r="AS633" s="1186" t="s">
        <v>1943</v>
      </c>
      <c r="AT633" s="1186" t="s">
        <v>1944</v>
      </c>
      <c r="AV633" s="1183">
        <v>0</v>
      </c>
      <c r="AW633" s="1183">
        <v>0</v>
      </c>
      <c r="AX633" s="1183">
        <v>3700</v>
      </c>
      <c r="AY633" s="1538">
        <v>3700</v>
      </c>
      <c r="AZ633" s="1183">
        <v>0</v>
      </c>
      <c r="BA633" s="1183">
        <v>0</v>
      </c>
      <c r="BB633" s="1540">
        <v>0</v>
      </c>
      <c r="BC633" s="1540">
        <v>3700</v>
      </c>
      <c r="BD633" s="1540">
        <v>0</v>
      </c>
      <c r="BF633" s="1539">
        <f t="shared" si="122"/>
        <v>0</v>
      </c>
      <c r="BG633" s="1539">
        <f t="shared" si="123"/>
        <v>0</v>
      </c>
      <c r="BH633" s="1539">
        <f t="shared" si="124"/>
        <v>3700</v>
      </c>
      <c r="BI633" s="1539">
        <f t="shared" si="125"/>
        <v>3700</v>
      </c>
      <c r="BJ633" s="1539">
        <f t="shared" si="126"/>
        <v>0</v>
      </c>
      <c r="BK633" s="1539">
        <f t="shared" si="127"/>
        <v>0</v>
      </c>
      <c r="BL633" s="1539">
        <f t="shared" si="128"/>
        <v>0</v>
      </c>
      <c r="BM633" s="1539">
        <f t="shared" si="129"/>
        <v>3700</v>
      </c>
      <c r="BO633" s="1183"/>
      <c r="BQ633" s="1182">
        <f t="shared" si="130"/>
        <v>0</v>
      </c>
      <c r="BR633" s="1182">
        <f t="shared" si="131"/>
        <v>0</v>
      </c>
    </row>
    <row r="634" spans="1:70" ht="13.5" customHeight="1">
      <c r="A634" s="1182" t="s">
        <v>3765</v>
      </c>
      <c r="B634" s="1182" t="s">
        <v>1804</v>
      </c>
      <c r="C634" s="1182" t="s">
        <v>1639</v>
      </c>
      <c r="D634" s="1182" t="s">
        <v>2590</v>
      </c>
      <c r="E634" s="1182" t="s">
        <v>2591</v>
      </c>
      <c r="F634" s="1182" t="s">
        <v>3783</v>
      </c>
      <c r="G634" s="1182" t="s">
        <v>3783</v>
      </c>
      <c r="H634" s="1182" t="s">
        <v>3670</v>
      </c>
      <c r="I634" s="1182" t="s">
        <v>1937</v>
      </c>
      <c r="J634" s="1182" t="s">
        <v>3784</v>
      </c>
      <c r="K634" s="1182" t="s">
        <v>1811</v>
      </c>
      <c r="L634" s="1182" t="s">
        <v>1812</v>
      </c>
      <c r="M634" s="1182" t="s">
        <v>1803</v>
      </c>
      <c r="N634" s="1182" t="s">
        <v>2922</v>
      </c>
      <c r="O634" s="1182" t="s">
        <v>1554</v>
      </c>
      <c r="P634" s="1182" t="s">
        <v>1563</v>
      </c>
      <c r="Q634" s="1182" t="s">
        <v>1562</v>
      </c>
      <c r="R634" s="1182" t="s">
        <v>1561</v>
      </c>
      <c r="S634" s="1182" t="s">
        <v>1639</v>
      </c>
      <c r="T634" s="1182" t="s">
        <v>1814</v>
      </c>
      <c r="U634" s="1182" t="s">
        <v>1815</v>
      </c>
      <c r="V634" s="1182">
        <v>0</v>
      </c>
      <c r="W634" s="1182">
        <v>0</v>
      </c>
      <c r="X634" s="1182">
        <v>0</v>
      </c>
      <c r="Y634" s="1183">
        <v>3500</v>
      </c>
      <c r="Z634" s="1182" t="s">
        <v>1940</v>
      </c>
      <c r="AA634" s="1182" t="s">
        <v>1941</v>
      </c>
      <c r="AB634" s="1182">
        <v>3500</v>
      </c>
      <c r="AC634" s="1182" t="s">
        <v>2925</v>
      </c>
      <c r="AD634" s="1182" t="s">
        <v>1561</v>
      </c>
      <c r="AE634" s="1182">
        <v>3500</v>
      </c>
      <c r="AF634" s="1182" t="s">
        <v>1943</v>
      </c>
      <c r="AG634" s="1182" t="s">
        <v>1944</v>
      </c>
      <c r="AH634" s="1182">
        <v>0</v>
      </c>
      <c r="AI634" s="1182">
        <v>3500</v>
      </c>
      <c r="AJ634" s="1182" t="s">
        <v>3767</v>
      </c>
      <c r="AL634" s="1186" t="s">
        <v>3785</v>
      </c>
      <c r="AM634" s="1182">
        <v>1</v>
      </c>
      <c r="AN634" s="1182">
        <v>0</v>
      </c>
      <c r="AO634" s="1182">
        <v>0</v>
      </c>
      <c r="AP634" s="1182" t="s">
        <v>2949</v>
      </c>
      <c r="AQ634" s="1182" t="s">
        <v>1639</v>
      </c>
      <c r="AS634" s="1186" t="s">
        <v>1943</v>
      </c>
      <c r="AT634" s="1186" t="s">
        <v>1944</v>
      </c>
      <c r="AV634" s="1183">
        <v>0</v>
      </c>
      <c r="AW634" s="1183">
        <v>0</v>
      </c>
      <c r="AX634" s="1183">
        <v>3500</v>
      </c>
      <c r="AY634" s="1538">
        <v>3500</v>
      </c>
      <c r="AZ634" s="1183">
        <v>0</v>
      </c>
      <c r="BA634" s="1183">
        <v>0</v>
      </c>
      <c r="BB634" s="1540">
        <v>0</v>
      </c>
      <c r="BC634" s="1540">
        <v>3500</v>
      </c>
      <c r="BD634" s="1540">
        <v>0</v>
      </c>
      <c r="BF634" s="1539">
        <f t="shared" si="122"/>
        <v>0</v>
      </c>
      <c r="BG634" s="1539">
        <f t="shared" si="123"/>
        <v>0</v>
      </c>
      <c r="BH634" s="1539">
        <f t="shared" si="124"/>
        <v>3500</v>
      </c>
      <c r="BI634" s="1539">
        <f t="shared" si="125"/>
        <v>3500</v>
      </c>
      <c r="BJ634" s="1539">
        <f t="shared" si="126"/>
        <v>0</v>
      </c>
      <c r="BK634" s="1539">
        <f t="shared" si="127"/>
        <v>0</v>
      </c>
      <c r="BL634" s="1539">
        <f t="shared" si="128"/>
        <v>0</v>
      </c>
      <c r="BM634" s="1539">
        <f t="shared" si="129"/>
        <v>3500</v>
      </c>
      <c r="BO634" s="1183"/>
      <c r="BQ634" s="1182">
        <f t="shared" si="130"/>
        <v>0</v>
      </c>
      <c r="BR634" s="1182">
        <f t="shared" si="131"/>
        <v>0</v>
      </c>
    </row>
    <row r="635" spans="1:70" ht="13.5" customHeight="1">
      <c r="A635" s="1182" t="s">
        <v>3765</v>
      </c>
      <c r="B635" s="1182" t="s">
        <v>1804</v>
      </c>
      <c r="C635" s="1182" t="s">
        <v>1639</v>
      </c>
      <c r="D635" s="1182" t="s">
        <v>2590</v>
      </c>
      <c r="E635" s="1182" t="s">
        <v>2591</v>
      </c>
      <c r="F635" s="1182" t="s">
        <v>1852</v>
      </c>
      <c r="G635" s="1182" t="s">
        <v>1852</v>
      </c>
      <c r="H635" s="1182" t="s">
        <v>3670</v>
      </c>
      <c r="I635" s="1182" t="s">
        <v>1937</v>
      </c>
      <c r="J635" s="1182" t="s">
        <v>3786</v>
      </c>
      <c r="K635" s="1182" t="s">
        <v>1811</v>
      </c>
      <c r="L635" s="1182" t="s">
        <v>1812</v>
      </c>
      <c r="M635" s="1182" t="s">
        <v>1803</v>
      </c>
      <c r="N635" s="1182" t="s">
        <v>2922</v>
      </c>
      <c r="O635" s="1182" t="s">
        <v>1554</v>
      </c>
      <c r="P635" s="1182" t="s">
        <v>1563</v>
      </c>
      <c r="Q635" s="1182" t="s">
        <v>1562</v>
      </c>
      <c r="R635" s="1182" t="s">
        <v>1561</v>
      </c>
      <c r="S635" s="1182" t="s">
        <v>1639</v>
      </c>
      <c r="T635" s="1182" t="s">
        <v>1814</v>
      </c>
      <c r="U635" s="1182" t="s">
        <v>1815</v>
      </c>
      <c r="V635" s="1182">
        <v>0</v>
      </c>
      <c r="W635" s="1182">
        <v>0</v>
      </c>
      <c r="X635" s="1182">
        <v>0</v>
      </c>
      <c r="Y635" s="1183">
        <v>3600</v>
      </c>
      <c r="Z635" s="1182" t="s">
        <v>1940</v>
      </c>
      <c r="AA635" s="1182" t="s">
        <v>1941</v>
      </c>
      <c r="AB635" s="1182">
        <v>3600</v>
      </c>
      <c r="AC635" s="1182" t="s">
        <v>2925</v>
      </c>
      <c r="AD635" s="1182" t="s">
        <v>1561</v>
      </c>
      <c r="AE635" s="1182">
        <v>3600</v>
      </c>
      <c r="AF635" s="1182" t="s">
        <v>1943</v>
      </c>
      <c r="AG635" s="1182" t="s">
        <v>1944</v>
      </c>
      <c r="AH635" s="1182">
        <v>0</v>
      </c>
      <c r="AI635" s="1182">
        <v>3600</v>
      </c>
      <c r="AJ635" s="1182" t="s">
        <v>3767</v>
      </c>
      <c r="AL635" s="1186" t="s">
        <v>3787</v>
      </c>
      <c r="AM635" s="1182">
        <v>1</v>
      </c>
      <c r="AN635" s="1182">
        <v>0</v>
      </c>
      <c r="AO635" s="1182">
        <v>0</v>
      </c>
      <c r="AP635" s="1182" t="s">
        <v>2949</v>
      </c>
      <c r="AQ635" s="1182" t="s">
        <v>1639</v>
      </c>
      <c r="AS635" s="1186" t="s">
        <v>1943</v>
      </c>
      <c r="AT635" s="1186" t="s">
        <v>1944</v>
      </c>
      <c r="AV635" s="1183">
        <v>0</v>
      </c>
      <c r="AW635" s="1183">
        <v>0</v>
      </c>
      <c r="AX635" s="1185">
        <v>3600</v>
      </c>
      <c r="AY635" s="1539">
        <v>3600</v>
      </c>
      <c r="AZ635" s="1185">
        <v>0</v>
      </c>
      <c r="BA635" s="1185">
        <v>0</v>
      </c>
      <c r="BB635" s="1540">
        <v>0</v>
      </c>
      <c r="BC635" s="1540">
        <v>3600</v>
      </c>
      <c r="BD635" s="1540">
        <v>0</v>
      </c>
      <c r="BF635" s="1539">
        <f t="shared" si="122"/>
        <v>0</v>
      </c>
      <c r="BG635" s="1539">
        <f t="shared" si="123"/>
        <v>0</v>
      </c>
      <c r="BH635" s="1539">
        <f t="shared" si="124"/>
        <v>3600</v>
      </c>
      <c r="BI635" s="1539">
        <f t="shared" si="125"/>
        <v>3600</v>
      </c>
      <c r="BJ635" s="1539">
        <f t="shared" si="126"/>
        <v>0</v>
      </c>
      <c r="BK635" s="1539">
        <f t="shared" si="127"/>
        <v>0</v>
      </c>
      <c r="BL635" s="1539">
        <f t="shared" si="128"/>
        <v>0</v>
      </c>
      <c r="BM635" s="1539">
        <f t="shared" si="129"/>
        <v>3600</v>
      </c>
      <c r="BO635" s="1183"/>
      <c r="BQ635" s="1182">
        <f t="shared" si="130"/>
        <v>0</v>
      </c>
      <c r="BR635" s="1182">
        <f t="shared" si="131"/>
        <v>0</v>
      </c>
    </row>
    <row r="636" spans="1:70" ht="13.5" customHeight="1">
      <c r="A636" s="1182" t="s">
        <v>3765</v>
      </c>
      <c r="B636" s="1182" t="s">
        <v>1804</v>
      </c>
      <c r="C636" s="1182" t="s">
        <v>1639</v>
      </c>
      <c r="D636" s="1182" t="s">
        <v>2590</v>
      </c>
      <c r="E636" s="1182" t="s">
        <v>2591</v>
      </c>
      <c r="F636" s="1182" t="s">
        <v>2611</v>
      </c>
      <c r="G636" s="1182" t="s">
        <v>2611</v>
      </c>
      <c r="H636" s="1182" t="s">
        <v>3670</v>
      </c>
      <c r="I636" s="1182" t="s">
        <v>1937</v>
      </c>
      <c r="J636" s="1182" t="s">
        <v>3788</v>
      </c>
      <c r="K636" s="1182" t="s">
        <v>1811</v>
      </c>
      <c r="L636" s="1182" t="s">
        <v>1812</v>
      </c>
      <c r="M636" s="1182" t="s">
        <v>1803</v>
      </c>
      <c r="N636" s="1182" t="s">
        <v>2922</v>
      </c>
      <c r="O636" s="1182" t="s">
        <v>1554</v>
      </c>
      <c r="P636" s="1182" t="s">
        <v>1563</v>
      </c>
      <c r="Q636" s="1182" t="s">
        <v>1562</v>
      </c>
      <c r="R636" s="1182" t="s">
        <v>1561</v>
      </c>
      <c r="S636" s="1182" t="s">
        <v>1639</v>
      </c>
      <c r="T636" s="1182" t="s">
        <v>1814</v>
      </c>
      <c r="U636" s="1182" t="s">
        <v>1815</v>
      </c>
      <c r="V636" s="1182">
        <v>0</v>
      </c>
      <c r="W636" s="1182">
        <v>0</v>
      </c>
      <c r="X636" s="1182">
        <v>0</v>
      </c>
      <c r="Y636" s="1183">
        <v>3700</v>
      </c>
      <c r="Z636" s="1182" t="s">
        <v>1940</v>
      </c>
      <c r="AA636" s="1182" t="s">
        <v>1941</v>
      </c>
      <c r="AB636" s="1182">
        <v>3700</v>
      </c>
      <c r="AC636" s="1182" t="s">
        <v>2925</v>
      </c>
      <c r="AD636" s="1182" t="s">
        <v>1561</v>
      </c>
      <c r="AE636" s="1182">
        <v>3700</v>
      </c>
      <c r="AF636" s="1182" t="s">
        <v>1943</v>
      </c>
      <c r="AG636" s="1182" t="s">
        <v>1944</v>
      </c>
      <c r="AH636" s="1182">
        <v>0</v>
      </c>
      <c r="AI636" s="1182">
        <v>3700</v>
      </c>
      <c r="AJ636" s="1182" t="s">
        <v>3767</v>
      </c>
      <c r="AL636" s="1186" t="s">
        <v>3789</v>
      </c>
      <c r="AM636" s="1182">
        <v>1</v>
      </c>
      <c r="AN636" s="1182">
        <v>0</v>
      </c>
      <c r="AO636" s="1182">
        <v>0</v>
      </c>
      <c r="AP636" s="1182" t="s">
        <v>2949</v>
      </c>
      <c r="AQ636" s="1182" t="s">
        <v>1639</v>
      </c>
      <c r="AS636" s="1186" t="s">
        <v>1943</v>
      </c>
      <c r="AT636" s="1186" t="s">
        <v>1944</v>
      </c>
      <c r="AV636" s="1183">
        <v>0</v>
      </c>
      <c r="AW636" s="1183">
        <v>0</v>
      </c>
      <c r="AX636" s="1183">
        <v>3700</v>
      </c>
      <c r="AY636" s="1538">
        <v>3700</v>
      </c>
      <c r="AZ636" s="1183">
        <v>0</v>
      </c>
      <c r="BA636" s="1183">
        <v>0</v>
      </c>
      <c r="BB636" s="1540">
        <v>0</v>
      </c>
      <c r="BC636" s="1540">
        <v>3700</v>
      </c>
      <c r="BD636" s="1540">
        <v>0</v>
      </c>
      <c r="BF636" s="1539">
        <f t="shared" si="122"/>
        <v>0</v>
      </c>
      <c r="BG636" s="1539">
        <f t="shared" si="123"/>
        <v>0</v>
      </c>
      <c r="BH636" s="1539">
        <f t="shared" si="124"/>
        <v>3700</v>
      </c>
      <c r="BI636" s="1539">
        <f t="shared" si="125"/>
        <v>3700</v>
      </c>
      <c r="BJ636" s="1539">
        <f t="shared" si="126"/>
        <v>0</v>
      </c>
      <c r="BK636" s="1539">
        <f t="shared" si="127"/>
        <v>0</v>
      </c>
      <c r="BL636" s="1539">
        <f t="shared" si="128"/>
        <v>0</v>
      </c>
      <c r="BM636" s="1539">
        <f t="shared" si="129"/>
        <v>3700</v>
      </c>
      <c r="BO636" s="1183"/>
      <c r="BQ636" s="1182">
        <f t="shared" si="130"/>
        <v>0</v>
      </c>
      <c r="BR636" s="1182">
        <f t="shared" si="131"/>
        <v>0</v>
      </c>
    </row>
    <row r="637" spans="1:70" ht="13.5" customHeight="1">
      <c r="A637" s="1182" t="s">
        <v>3765</v>
      </c>
      <c r="B637" s="1182" t="s">
        <v>1804</v>
      </c>
      <c r="C637" s="1182" t="s">
        <v>1639</v>
      </c>
      <c r="D637" s="1182" t="s">
        <v>2590</v>
      </c>
      <c r="E637" s="1182" t="s">
        <v>2591</v>
      </c>
      <c r="F637" s="1182" t="s">
        <v>1840</v>
      </c>
      <c r="G637" s="1182" t="s">
        <v>1840</v>
      </c>
      <c r="H637" s="1182" t="s">
        <v>3670</v>
      </c>
      <c r="I637" s="1182" t="s">
        <v>1937</v>
      </c>
      <c r="J637" s="1182" t="s">
        <v>3775</v>
      </c>
      <c r="K637" s="1182" t="s">
        <v>1811</v>
      </c>
      <c r="L637" s="1182" t="s">
        <v>1812</v>
      </c>
      <c r="M637" s="1182" t="s">
        <v>1803</v>
      </c>
      <c r="N637" s="1182" t="s">
        <v>2922</v>
      </c>
      <c r="O637" s="1182" t="s">
        <v>1554</v>
      </c>
      <c r="P637" s="1182" t="s">
        <v>1563</v>
      </c>
      <c r="Q637" s="1182" t="s">
        <v>1562</v>
      </c>
      <c r="R637" s="1182" t="s">
        <v>1561</v>
      </c>
      <c r="S637" s="1182" t="s">
        <v>1639</v>
      </c>
      <c r="T637" s="1182" t="s">
        <v>1814</v>
      </c>
      <c r="U637" s="1182" t="s">
        <v>1815</v>
      </c>
      <c r="V637" s="1182">
        <v>0</v>
      </c>
      <c r="W637" s="1182">
        <v>0</v>
      </c>
      <c r="X637" s="1182">
        <v>0</v>
      </c>
      <c r="Y637" s="1183">
        <v>3800</v>
      </c>
      <c r="Z637" s="1182" t="s">
        <v>1940</v>
      </c>
      <c r="AA637" s="1182" t="s">
        <v>1941</v>
      </c>
      <c r="AB637" s="1182">
        <v>3800</v>
      </c>
      <c r="AC637" s="1182" t="s">
        <v>2925</v>
      </c>
      <c r="AD637" s="1182" t="s">
        <v>1561</v>
      </c>
      <c r="AE637" s="1182">
        <v>3800</v>
      </c>
      <c r="AF637" s="1182" t="s">
        <v>1943</v>
      </c>
      <c r="AG637" s="1182" t="s">
        <v>1944</v>
      </c>
      <c r="AH637" s="1182">
        <v>0</v>
      </c>
      <c r="AI637" s="1182">
        <v>3800</v>
      </c>
      <c r="AJ637" s="1182" t="s">
        <v>3767</v>
      </c>
      <c r="AL637" s="1186" t="s">
        <v>3776</v>
      </c>
      <c r="AM637" s="1182">
        <v>1</v>
      </c>
      <c r="AN637" s="1182">
        <v>0</v>
      </c>
      <c r="AO637" s="1182">
        <v>0</v>
      </c>
      <c r="AP637" s="1182" t="s">
        <v>2949</v>
      </c>
      <c r="AQ637" s="1182" t="s">
        <v>1639</v>
      </c>
      <c r="AS637" s="1186" t="s">
        <v>1943</v>
      </c>
      <c r="AT637" s="1186" t="s">
        <v>1944</v>
      </c>
      <c r="AV637" s="1183">
        <v>0</v>
      </c>
      <c r="AW637" s="1183">
        <v>0</v>
      </c>
      <c r="AX637" s="1183">
        <v>3800</v>
      </c>
      <c r="AY637" s="1538">
        <v>3800</v>
      </c>
      <c r="AZ637" s="1183">
        <v>0</v>
      </c>
      <c r="BA637" s="1183">
        <v>0</v>
      </c>
      <c r="BB637" s="1540">
        <v>0</v>
      </c>
      <c r="BC637" s="1540">
        <v>3800</v>
      </c>
      <c r="BD637" s="1540">
        <v>0</v>
      </c>
      <c r="BF637" s="1539">
        <f t="shared" si="122"/>
        <v>0</v>
      </c>
      <c r="BG637" s="1539">
        <f t="shared" si="123"/>
        <v>0</v>
      </c>
      <c r="BH637" s="1539">
        <f t="shared" si="124"/>
        <v>3800</v>
      </c>
      <c r="BI637" s="1539">
        <f t="shared" si="125"/>
        <v>3800</v>
      </c>
      <c r="BJ637" s="1539">
        <f t="shared" si="126"/>
        <v>0</v>
      </c>
      <c r="BK637" s="1539">
        <f t="shared" si="127"/>
        <v>0</v>
      </c>
      <c r="BL637" s="1539">
        <f t="shared" si="128"/>
        <v>0</v>
      </c>
      <c r="BM637" s="1539">
        <f t="shared" si="129"/>
        <v>3800</v>
      </c>
      <c r="BO637" s="1183"/>
      <c r="BQ637" s="1182">
        <f t="shared" si="130"/>
        <v>0</v>
      </c>
      <c r="BR637" s="1182">
        <f t="shared" si="131"/>
        <v>0</v>
      </c>
    </row>
    <row r="638" spans="1:70" ht="13.5" customHeight="1">
      <c r="A638" s="1182" t="s">
        <v>1803</v>
      </c>
      <c r="B638" s="1182" t="s">
        <v>1804</v>
      </c>
      <c r="C638" s="1182" t="s">
        <v>1639</v>
      </c>
      <c r="D638" s="1182" t="s">
        <v>2590</v>
      </c>
      <c r="E638" s="1182" t="s">
        <v>2591</v>
      </c>
      <c r="F638" s="1182" t="s">
        <v>2707</v>
      </c>
      <c r="G638" s="1182" t="s">
        <v>2707</v>
      </c>
      <c r="H638" s="1182" t="s">
        <v>3790</v>
      </c>
      <c r="I638" s="1182" t="s">
        <v>1937</v>
      </c>
      <c r="J638" s="1182" t="s">
        <v>3791</v>
      </c>
      <c r="K638" s="1182" t="s">
        <v>1811</v>
      </c>
      <c r="L638" s="1182" t="s">
        <v>1812</v>
      </c>
      <c r="M638" s="1182" t="s">
        <v>1803</v>
      </c>
      <c r="N638" s="1182" t="s">
        <v>2922</v>
      </c>
      <c r="O638" s="1182" t="s">
        <v>1554</v>
      </c>
      <c r="P638" s="1182" t="s">
        <v>1563</v>
      </c>
      <c r="Q638" s="1182" t="s">
        <v>1562</v>
      </c>
      <c r="R638" s="1182" t="s">
        <v>1561</v>
      </c>
      <c r="S638" s="1182" t="s">
        <v>1639</v>
      </c>
      <c r="T638" s="1182" t="s">
        <v>1814</v>
      </c>
      <c r="U638" s="1182" t="s">
        <v>1815</v>
      </c>
      <c r="V638" s="1182">
        <v>0</v>
      </c>
      <c r="W638" s="1182">
        <v>0</v>
      </c>
      <c r="X638" s="1182">
        <v>0</v>
      </c>
      <c r="Y638" s="1183">
        <v>4900</v>
      </c>
      <c r="Z638" s="1182" t="s">
        <v>1940</v>
      </c>
      <c r="AA638" s="1182" t="s">
        <v>1941</v>
      </c>
      <c r="AB638" s="1182">
        <v>4900</v>
      </c>
      <c r="AC638" s="1182" t="s">
        <v>2925</v>
      </c>
      <c r="AD638" s="1182" t="s">
        <v>1561</v>
      </c>
      <c r="AE638" s="1182">
        <v>4900</v>
      </c>
      <c r="AF638" s="1182" t="s">
        <v>1943</v>
      </c>
      <c r="AG638" s="1182" t="s">
        <v>1944</v>
      </c>
      <c r="AH638" s="1182">
        <v>0</v>
      </c>
      <c r="AI638" s="1182">
        <v>4900</v>
      </c>
      <c r="AJ638" s="1182" t="s">
        <v>3725</v>
      </c>
      <c r="AL638" s="1186" t="s">
        <v>3792</v>
      </c>
      <c r="AM638" s="1182">
        <v>1</v>
      </c>
      <c r="AN638" s="1182">
        <v>0</v>
      </c>
      <c r="AO638" s="1182">
        <v>0</v>
      </c>
      <c r="AP638" s="1182" t="s">
        <v>2949</v>
      </c>
      <c r="AQ638" s="1182" t="s">
        <v>1639</v>
      </c>
      <c r="AS638" s="1186" t="s">
        <v>1943</v>
      </c>
      <c r="AT638" s="1186" t="s">
        <v>1944</v>
      </c>
      <c r="AV638" s="1183">
        <v>0</v>
      </c>
      <c r="AW638" s="1183">
        <v>0</v>
      </c>
      <c r="AX638" s="1183">
        <v>4900</v>
      </c>
      <c r="AY638" s="1538">
        <v>4900</v>
      </c>
      <c r="AZ638" s="1183">
        <v>0</v>
      </c>
      <c r="BA638" s="1183">
        <v>0</v>
      </c>
      <c r="BB638" s="1540">
        <v>0</v>
      </c>
      <c r="BC638" s="1540">
        <v>4900</v>
      </c>
      <c r="BD638" s="1540">
        <v>0</v>
      </c>
      <c r="BF638" s="1539">
        <f t="shared" si="122"/>
        <v>0</v>
      </c>
      <c r="BG638" s="1539">
        <f t="shared" si="123"/>
        <v>0</v>
      </c>
      <c r="BH638" s="1539">
        <f t="shared" si="124"/>
        <v>4900</v>
      </c>
      <c r="BI638" s="1539">
        <f t="shared" si="125"/>
        <v>4900</v>
      </c>
      <c r="BJ638" s="1539">
        <f t="shared" si="126"/>
        <v>0</v>
      </c>
      <c r="BK638" s="1539">
        <f t="shared" si="127"/>
        <v>0</v>
      </c>
      <c r="BL638" s="1539">
        <f t="shared" si="128"/>
        <v>0</v>
      </c>
      <c r="BM638" s="1539">
        <f t="shared" si="129"/>
        <v>4900</v>
      </c>
      <c r="BO638" s="1183"/>
      <c r="BQ638" s="1182">
        <f t="shared" si="130"/>
        <v>0</v>
      </c>
      <c r="BR638" s="1182">
        <f t="shared" si="131"/>
        <v>0</v>
      </c>
    </row>
    <row r="639" spans="1:70" ht="13.5" customHeight="1">
      <c r="A639" s="1182" t="s">
        <v>1803</v>
      </c>
      <c r="B639" s="1182" t="s">
        <v>1804</v>
      </c>
      <c r="C639" s="1182" t="s">
        <v>1639</v>
      </c>
      <c r="D639" s="1182" t="s">
        <v>2590</v>
      </c>
      <c r="E639" s="1182" t="s">
        <v>2591</v>
      </c>
      <c r="F639" s="1182" t="s">
        <v>2366</v>
      </c>
      <c r="G639" s="1182" t="s">
        <v>2366</v>
      </c>
      <c r="H639" s="1182" t="s">
        <v>3790</v>
      </c>
      <c r="I639" s="1182" t="s">
        <v>1937</v>
      </c>
      <c r="J639" s="1182" t="s">
        <v>3793</v>
      </c>
      <c r="K639" s="1182" t="s">
        <v>1811</v>
      </c>
      <c r="L639" s="1182" t="s">
        <v>1812</v>
      </c>
      <c r="M639" s="1182" t="s">
        <v>1803</v>
      </c>
      <c r="N639" s="1182" t="s">
        <v>2922</v>
      </c>
      <c r="O639" s="1182" t="s">
        <v>1554</v>
      </c>
      <c r="P639" s="1182" t="s">
        <v>1563</v>
      </c>
      <c r="Q639" s="1182" t="s">
        <v>1562</v>
      </c>
      <c r="R639" s="1182" t="s">
        <v>1561</v>
      </c>
      <c r="S639" s="1182" t="s">
        <v>1639</v>
      </c>
      <c r="T639" s="1182" t="s">
        <v>1814</v>
      </c>
      <c r="U639" s="1182" t="s">
        <v>1815</v>
      </c>
      <c r="V639" s="1182">
        <v>0</v>
      </c>
      <c r="W639" s="1182">
        <v>0</v>
      </c>
      <c r="X639" s="1182">
        <v>0</v>
      </c>
      <c r="Y639" s="1183">
        <v>8900</v>
      </c>
      <c r="Z639" s="1182" t="s">
        <v>1940</v>
      </c>
      <c r="AA639" s="1182" t="s">
        <v>1941</v>
      </c>
      <c r="AB639" s="1182">
        <v>8900</v>
      </c>
      <c r="AC639" s="1182" t="s">
        <v>2925</v>
      </c>
      <c r="AD639" s="1182" t="s">
        <v>1561</v>
      </c>
      <c r="AE639" s="1182">
        <v>8900</v>
      </c>
      <c r="AF639" s="1182" t="s">
        <v>1943</v>
      </c>
      <c r="AG639" s="1182" t="s">
        <v>1944</v>
      </c>
      <c r="AH639" s="1182">
        <v>0</v>
      </c>
      <c r="AI639" s="1182">
        <v>8900</v>
      </c>
      <c r="AJ639" s="1182" t="s">
        <v>3695</v>
      </c>
      <c r="AL639" s="1186" t="s">
        <v>3794</v>
      </c>
      <c r="AM639" s="1182">
        <v>1</v>
      </c>
      <c r="AN639" s="1182">
        <v>0</v>
      </c>
      <c r="AO639" s="1182">
        <v>0</v>
      </c>
      <c r="AP639" s="1182" t="s">
        <v>2949</v>
      </c>
      <c r="AQ639" s="1182" t="s">
        <v>1639</v>
      </c>
      <c r="AS639" s="1186" t="s">
        <v>1943</v>
      </c>
      <c r="AT639" s="1186" t="s">
        <v>1944</v>
      </c>
      <c r="AV639" s="1183">
        <v>0</v>
      </c>
      <c r="AW639" s="1183">
        <v>0</v>
      </c>
      <c r="AX639" s="1183">
        <v>8900</v>
      </c>
      <c r="AY639" s="1538">
        <v>8900</v>
      </c>
      <c r="AZ639" s="1183">
        <v>0</v>
      </c>
      <c r="BA639" s="1183">
        <v>0</v>
      </c>
      <c r="BB639" s="1540">
        <v>0</v>
      </c>
      <c r="BC639" s="1540">
        <v>8900</v>
      </c>
      <c r="BD639" s="1540">
        <v>0</v>
      </c>
      <c r="BF639" s="1539">
        <f t="shared" si="122"/>
        <v>0</v>
      </c>
      <c r="BG639" s="1539">
        <f t="shared" si="123"/>
        <v>0</v>
      </c>
      <c r="BH639" s="1539">
        <f t="shared" si="124"/>
        <v>8900</v>
      </c>
      <c r="BI639" s="1539">
        <f t="shared" si="125"/>
        <v>8900</v>
      </c>
      <c r="BJ639" s="1539">
        <f t="shared" si="126"/>
        <v>0</v>
      </c>
      <c r="BK639" s="1539">
        <f t="shared" si="127"/>
        <v>0</v>
      </c>
      <c r="BL639" s="1539">
        <f t="shared" si="128"/>
        <v>0</v>
      </c>
      <c r="BM639" s="1539">
        <f t="shared" si="129"/>
        <v>8900</v>
      </c>
      <c r="BO639" s="1183"/>
      <c r="BQ639" s="1182">
        <f t="shared" si="130"/>
        <v>0</v>
      </c>
      <c r="BR639" s="1182">
        <f t="shared" si="131"/>
        <v>0</v>
      </c>
    </row>
    <row r="640" spans="1:70" ht="13.5" customHeight="1">
      <c r="A640" s="1182" t="s">
        <v>1803</v>
      </c>
      <c r="B640" s="1182" t="s">
        <v>1804</v>
      </c>
      <c r="C640" s="1182" t="s">
        <v>1639</v>
      </c>
      <c r="D640" s="1182" t="s">
        <v>2590</v>
      </c>
      <c r="E640" s="1182" t="s">
        <v>2591</v>
      </c>
      <c r="F640" s="1182" t="s">
        <v>2868</v>
      </c>
      <c r="G640" s="1182" t="s">
        <v>2868</v>
      </c>
      <c r="H640" s="1182" t="s">
        <v>3790</v>
      </c>
      <c r="I640" s="1182" t="s">
        <v>1937</v>
      </c>
      <c r="J640" s="1182" t="s">
        <v>3795</v>
      </c>
      <c r="K640" s="1182" t="s">
        <v>1811</v>
      </c>
      <c r="L640" s="1182" t="s">
        <v>1812</v>
      </c>
      <c r="M640" s="1182" t="s">
        <v>1803</v>
      </c>
      <c r="N640" s="1182" t="s">
        <v>2922</v>
      </c>
      <c r="O640" s="1182" t="s">
        <v>1554</v>
      </c>
      <c r="P640" s="1182" t="s">
        <v>1563</v>
      </c>
      <c r="Q640" s="1182" t="s">
        <v>1562</v>
      </c>
      <c r="R640" s="1182" t="s">
        <v>1561</v>
      </c>
      <c r="S640" s="1182" t="s">
        <v>1639</v>
      </c>
      <c r="T640" s="1182" t="s">
        <v>1814</v>
      </c>
      <c r="U640" s="1182" t="s">
        <v>1815</v>
      </c>
      <c r="V640" s="1182">
        <v>0</v>
      </c>
      <c r="W640" s="1182">
        <v>0</v>
      </c>
      <c r="X640" s="1182">
        <v>0</v>
      </c>
      <c r="Y640" s="1183">
        <v>19000</v>
      </c>
      <c r="Z640" s="1182" t="s">
        <v>1940</v>
      </c>
      <c r="AA640" s="1182" t="s">
        <v>1941</v>
      </c>
      <c r="AB640" s="1182">
        <v>19000</v>
      </c>
      <c r="AC640" s="1182" t="s">
        <v>2925</v>
      </c>
      <c r="AD640" s="1182" t="s">
        <v>1561</v>
      </c>
      <c r="AE640" s="1182">
        <v>19000</v>
      </c>
      <c r="AF640" s="1182" t="s">
        <v>1943</v>
      </c>
      <c r="AG640" s="1182" t="s">
        <v>1944</v>
      </c>
      <c r="AH640" s="1182">
        <v>0</v>
      </c>
      <c r="AI640" s="1182">
        <v>19000</v>
      </c>
      <c r="AJ640" s="1182" t="s">
        <v>3685</v>
      </c>
      <c r="AL640" s="1186" t="s">
        <v>3796</v>
      </c>
      <c r="AM640" s="1182">
        <v>1</v>
      </c>
      <c r="AN640" s="1182">
        <v>0</v>
      </c>
      <c r="AO640" s="1182">
        <v>0</v>
      </c>
      <c r="AP640" s="1182" t="s">
        <v>2949</v>
      </c>
      <c r="AQ640" s="1182" t="s">
        <v>1639</v>
      </c>
      <c r="AS640" s="1186" t="s">
        <v>1943</v>
      </c>
      <c r="AT640" s="1186" t="s">
        <v>1944</v>
      </c>
      <c r="AV640" s="1185">
        <v>0</v>
      </c>
      <c r="AW640" s="1185">
        <v>0</v>
      </c>
      <c r="AX640" s="1185">
        <v>19000</v>
      </c>
      <c r="AY640" s="1539">
        <v>19000</v>
      </c>
      <c r="AZ640" s="1185">
        <v>0</v>
      </c>
      <c r="BA640" s="1185">
        <v>0</v>
      </c>
      <c r="BB640" s="1540">
        <v>0</v>
      </c>
      <c r="BC640" s="1540">
        <v>19000</v>
      </c>
      <c r="BD640" s="1540">
        <v>0</v>
      </c>
      <c r="BF640" s="1539">
        <f t="shared" si="122"/>
        <v>0</v>
      </c>
      <c r="BG640" s="1539">
        <f t="shared" si="123"/>
        <v>0</v>
      </c>
      <c r="BH640" s="1539">
        <f t="shared" si="124"/>
        <v>19000</v>
      </c>
      <c r="BI640" s="1539">
        <f t="shared" si="125"/>
        <v>19000</v>
      </c>
      <c r="BJ640" s="1539">
        <f t="shared" si="126"/>
        <v>0</v>
      </c>
      <c r="BK640" s="1539">
        <f t="shared" si="127"/>
        <v>0</v>
      </c>
      <c r="BL640" s="1539">
        <f t="shared" si="128"/>
        <v>0</v>
      </c>
      <c r="BM640" s="1539">
        <f t="shared" si="129"/>
        <v>19000</v>
      </c>
      <c r="BO640" s="1183"/>
      <c r="BQ640" s="1182">
        <f t="shared" si="130"/>
        <v>0</v>
      </c>
      <c r="BR640" s="1182">
        <f t="shared" si="131"/>
        <v>0</v>
      </c>
    </row>
    <row r="641" spans="1:70" ht="13.5" customHeight="1">
      <c r="A641" s="1182" t="s">
        <v>3765</v>
      </c>
      <c r="B641" s="1182" t="s">
        <v>1804</v>
      </c>
      <c r="C641" s="1182" t="s">
        <v>1639</v>
      </c>
      <c r="D641" s="1182" t="s">
        <v>2590</v>
      </c>
      <c r="E641" s="1182" t="s">
        <v>2591</v>
      </c>
      <c r="F641" s="1182" t="s">
        <v>2473</v>
      </c>
      <c r="G641" s="1182" t="s">
        <v>2473</v>
      </c>
      <c r="H641" s="1182" t="s">
        <v>3790</v>
      </c>
      <c r="I641" s="1182" t="s">
        <v>1937</v>
      </c>
      <c r="J641" s="1182" t="s">
        <v>3797</v>
      </c>
      <c r="K641" s="1182" t="s">
        <v>1811</v>
      </c>
      <c r="L641" s="1182" t="s">
        <v>1812</v>
      </c>
      <c r="M641" s="1182" t="s">
        <v>1803</v>
      </c>
      <c r="N641" s="1182" t="s">
        <v>2922</v>
      </c>
      <c r="O641" s="1182" t="s">
        <v>1554</v>
      </c>
      <c r="P641" s="1182" t="s">
        <v>1563</v>
      </c>
      <c r="Q641" s="1182" t="s">
        <v>1562</v>
      </c>
      <c r="R641" s="1182" t="s">
        <v>1561</v>
      </c>
      <c r="S641" s="1182" t="s">
        <v>1639</v>
      </c>
      <c r="T641" s="1182" t="s">
        <v>1814</v>
      </c>
      <c r="U641" s="1182" t="s">
        <v>1815</v>
      </c>
      <c r="V641" s="1182">
        <v>0</v>
      </c>
      <c r="W641" s="1182">
        <v>0</v>
      </c>
      <c r="X641" s="1182">
        <v>0</v>
      </c>
      <c r="Y641" s="1183">
        <v>3300</v>
      </c>
      <c r="Z641" s="1182" t="s">
        <v>1940</v>
      </c>
      <c r="AA641" s="1182" t="s">
        <v>1941</v>
      </c>
      <c r="AB641" s="1182">
        <v>3300</v>
      </c>
      <c r="AC641" s="1182" t="s">
        <v>2925</v>
      </c>
      <c r="AD641" s="1182" t="s">
        <v>1561</v>
      </c>
      <c r="AE641" s="1182">
        <v>3300</v>
      </c>
      <c r="AF641" s="1182" t="s">
        <v>1943</v>
      </c>
      <c r="AG641" s="1182" t="s">
        <v>1944</v>
      </c>
      <c r="AH641" s="1182">
        <v>0</v>
      </c>
      <c r="AI641" s="1182">
        <v>3300</v>
      </c>
      <c r="AJ641" s="1182" t="s">
        <v>3767</v>
      </c>
      <c r="AL641" s="1186" t="s">
        <v>3798</v>
      </c>
      <c r="AM641" s="1182">
        <v>1</v>
      </c>
      <c r="AN641" s="1182">
        <v>0</v>
      </c>
      <c r="AO641" s="1182">
        <v>0</v>
      </c>
      <c r="AP641" s="1182" t="s">
        <v>2949</v>
      </c>
      <c r="AQ641" s="1182" t="s">
        <v>1639</v>
      </c>
      <c r="AS641" s="1186" t="s">
        <v>1943</v>
      </c>
      <c r="AT641" s="1186" t="s">
        <v>1944</v>
      </c>
      <c r="AV641" s="1185">
        <v>0</v>
      </c>
      <c r="AW641" s="1185">
        <v>0</v>
      </c>
      <c r="AX641" s="1185">
        <v>3300</v>
      </c>
      <c r="AY641" s="1539">
        <v>3300</v>
      </c>
      <c r="AZ641" s="1185">
        <v>0</v>
      </c>
      <c r="BA641" s="1185">
        <v>0</v>
      </c>
      <c r="BB641" s="1540">
        <v>0</v>
      </c>
      <c r="BC641" s="1540">
        <v>3300</v>
      </c>
      <c r="BD641" s="1540">
        <v>0</v>
      </c>
      <c r="BF641" s="1539">
        <f t="shared" si="122"/>
        <v>0</v>
      </c>
      <c r="BG641" s="1539">
        <f t="shared" si="123"/>
        <v>0</v>
      </c>
      <c r="BH641" s="1539">
        <f t="shared" si="124"/>
        <v>3300</v>
      </c>
      <c r="BI641" s="1539">
        <f t="shared" si="125"/>
        <v>3300</v>
      </c>
      <c r="BJ641" s="1539">
        <f t="shared" si="126"/>
        <v>0</v>
      </c>
      <c r="BK641" s="1539">
        <f t="shared" si="127"/>
        <v>0</v>
      </c>
      <c r="BL641" s="1539">
        <f t="shared" si="128"/>
        <v>0</v>
      </c>
      <c r="BM641" s="1539">
        <f t="shared" si="129"/>
        <v>3300</v>
      </c>
      <c r="BO641" s="1183"/>
      <c r="BQ641" s="1182">
        <f t="shared" si="130"/>
        <v>0</v>
      </c>
      <c r="BR641" s="1182">
        <f t="shared" si="131"/>
        <v>0</v>
      </c>
    </row>
    <row r="642" spans="1:70" ht="13.5" customHeight="1">
      <c r="A642" s="1182" t="s">
        <v>1803</v>
      </c>
      <c r="B642" s="1182" t="s">
        <v>1804</v>
      </c>
      <c r="C642" s="1182" t="s">
        <v>1639</v>
      </c>
      <c r="D642" s="1182" t="s">
        <v>2523</v>
      </c>
      <c r="E642" s="1182" t="s">
        <v>2524</v>
      </c>
      <c r="F642" s="1182" t="s">
        <v>2323</v>
      </c>
      <c r="G642" s="1182" t="s">
        <v>2323</v>
      </c>
      <c r="H642" s="1182" t="s">
        <v>3799</v>
      </c>
      <c r="I642" s="1182" t="s">
        <v>1809</v>
      </c>
      <c r="J642" s="1182" t="s">
        <v>3800</v>
      </c>
      <c r="K642" s="1182" t="s">
        <v>1811</v>
      </c>
      <c r="L642" s="1182" t="s">
        <v>1812</v>
      </c>
      <c r="M642" s="1182" t="s">
        <v>1803</v>
      </c>
      <c r="N642" s="1182" t="s">
        <v>2922</v>
      </c>
      <c r="O642" s="1182" t="s">
        <v>1554</v>
      </c>
      <c r="P642" s="1182" t="s">
        <v>1563</v>
      </c>
      <c r="Q642" s="1182" t="s">
        <v>1562</v>
      </c>
      <c r="R642" s="1182" t="s">
        <v>1561</v>
      </c>
      <c r="S642" s="1182" t="s">
        <v>1639</v>
      </c>
      <c r="T642" s="1182" t="s">
        <v>1814</v>
      </c>
      <c r="U642" s="1182" t="s">
        <v>1815</v>
      </c>
      <c r="V642" s="1182">
        <v>0</v>
      </c>
      <c r="W642" s="1182">
        <v>0</v>
      </c>
      <c r="X642" s="1182">
        <v>0</v>
      </c>
      <c r="Y642" s="1183">
        <v>4356</v>
      </c>
      <c r="Z642" s="1182" t="s">
        <v>2923</v>
      </c>
      <c r="AA642" s="1182" t="s">
        <v>2924</v>
      </c>
      <c r="AB642" s="1182">
        <v>4356</v>
      </c>
      <c r="AC642" s="1182" t="s">
        <v>2925</v>
      </c>
      <c r="AD642" s="1182" t="s">
        <v>1561</v>
      </c>
      <c r="AE642" s="1182">
        <v>4356</v>
      </c>
      <c r="AF642" s="1182" t="s">
        <v>1819</v>
      </c>
      <c r="AG642" s="1182" t="s">
        <v>1820</v>
      </c>
      <c r="AH642" s="1182">
        <v>396</v>
      </c>
      <c r="AI642" s="1182">
        <v>3960</v>
      </c>
      <c r="AJ642" s="1182" t="s">
        <v>3801</v>
      </c>
      <c r="AL642" s="1186" t="s">
        <v>3802</v>
      </c>
      <c r="AM642" s="1182">
        <v>1</v>
      </c>
      <c r="AN642" s="1182">
        <v>0</v>
      </c>
      <c r="AO642" s="1182">
        <v>0</v>
      </c>
      <c r="AP642" s="1182">
        <v>0</v>
      </c>
      <c r="AQ642" s="1182" t="s">
        <v>1639</v>
      </c>
      <c r="AS642" s="1186" t="s">
        <v>1819</v>
      </c>
      <c r="AT642" s="1186" t="s">
        <v>1820</v>
      </c>
      <c r="AV642" s="1185">
        <v>871</v>
      </c>
      <c r="AW642" s="1185">
        <v>0</v>
      </c>
      <c r="AX642" s="1185">
        <v>0</v>
      </c>
      <c r="AY642" s="1539">
        <v>871</v>
      </c>
      <c r="AZ642" s="1185">
        <v>0</v>
      </c>
      <c r="BA642" s="1185">
        <v>3485</v>
      </c>
      <c r="BB642" s="1540">
        <v>3485</v>
      </c>
      <c r="BC642" s="1540">
        <v>4356</v>
      </c>
      <c r="BD642" s="1540">
        <v>0</v>
      </c>
      <c r="BF642" s="1539">
        <f t="shared" si="122"/>
        <v>792</v>
      </c>
      <c r="BG642" s="1539">
        <f t="shared" si="123"/>
        <v>0</v>
      </c>
      <c r="BH642" s="1539">
        <f t="shared" si="124"/>
        <v>0</v>
      </c>
      <c r="BI642" s="1539">
        <f t="shared" si="125"/>
        <v>792</v>
      </c>
      <c r="BJ642" s="1539">
        <f t="shared" si="126"/>
        <v>0</v>
      </c>
      <c r="BK642" s="1539">
        <f t="shared" si="127"/>
        <v>3168</v>
      </c>
      <c r="BL642" s="1539">
        <f t="shared" si="128"/>
        <v>3168</v>
      </c>
      <c r="BM642" s="1539">
        <f t="shared" si="129"/>
        <v>3960</v>
      </c>
      <c r="BO642" s="1183"/>
      <c r="BQ642" s="1182">
        <f t="shared" si="130"/>
        <v>-0.18181818181813014</v>
      </c>
      <c r="BR642" s="1182">
        <f t="shared" si="131"/>
        <v>0.18181818181801646</v>
      </c>
    </row>
    <row r="643" spans="1:70" ht="13.5" customHeight="1">
      <c r="A643" s="1182" t="s">
        <v>1803</v>
      </c>
      <c r="B643" s="1182" t="s">
        <v>1804</v>
      </c>
      <c r="C643" s="1182" t="s">
        <v>1639</v>
      </c>
      <c r="D643" s="1182" t="s">
        <v>2523</v>
      </c>
      <c r="E643" s="1182" t="s">
        <v>2524</v>
      </c>
      <c r="F643" s="1182" t="s">
        <v>3013</v>
      </c>
      <c r="G643" s="1182" t="s">
        <v>3013</v>
      </c>
      <c r="H643" s="1182" t="s">
        <v>3803</v>
      </c>
      <c r="I643" s="1182" t="s">
        <v>1809</v>
      </c>
      <c r="J643" s="1182" t="s">
        <v>3804</v>
      </c>
      <c r="K643" s="1182" t="s">
        <v>1811</v>
      </c>
      <c r="L643" s="1182" t="s">
        <v>1812</v>
      </c>
      <c r="M643" s="1182" t="s">
        <v>1803</v>
      </c>
      <c r="N643" s="1182" t="s">
        <v>2922</v>
      </c>
      <c r="O643" s="1182" t="s">
        <v>1554</v>
      </c>
      <c r="P643" s="1182" t="s">
        <v>1563</v>
      </c>
      <c r="Q643" s="1182" t="s">
        <v>1562</v>
      </c>
      <c r="R643" s="1182" t="s">
        <v>1561</v>
      </c>
      <c r="S643" s="1182" t="s">
        <v>1639</v>
      </c>
      <c r="T643" s="1182" t="s">
        <v>1814</v>
      </c>
      <c r="U643" s="1182" t="s">
        <v>1815</v>
      </c>
      <c r="V643" s="1182">
        <v>0</v>
      </c>
      <c r="W643" s="1182">
        <v>0</v>
      </c>
      <c r="X643" s="1182">
        <v>0</v>
      </c>
      <c r="Y643" s="1183">
        <v>534</v>
      </c>
      <c r="Z643" s="1182" t="s">
        <v>2923</v>
      </c>
      <c r="AA643" s="1182" t="s">
        <v>2924</v>
      </c>
      <c r="AB643" s="1182">
        <v>534</v>
      </c>
      <c r="AC643" s="1182" t="s">
        <v>2925</v>
      </c>
      <c r="AD643" s="1182" t="s">
        <v>1561</v>
      </c>
      <c r="AE643" s="1182">
        <v>534</v>
      </c>
      <c r="AF643" s="1182" t="s">
        <v>1819</v>
      </c>
      <c r="AG643" s="1182" t="s">
        <v>1820</v>
      </c>
      <c r="AH643" s="1182">
        <v>48</v>
      </c>
      <c r="AI643" s="1182">
        <v>486</v>
      </c>
      <c r="AJ643" s="1182" t="s">
        <v>3801</v>
      </c>
      <c r="AL643" s="1186" t="s">
        <v>3805</v>
      </c>
      <c r="AM643" s="1182">
        <v>1</v>
      </c>
      <c r="AN643" s="1182">
        <v>0</v>
      </c>
      <c r="AO643" s="1182">
        <v>0</v>
      </c>
      <c r="AP643" s="1182">
        <v>0</v>
      </c>
      <c r="AQ643" s="1182" t="s">
        <v>1639</v>
      </c>
      <c r="AS643" s="1186" t="s">
        <v>1819</v>
      </c>
      <c r="AT643" s="1186" t="s">
        <v>1820</v>
      </c>
      <c r="AV643" s="1185">
        <v>107</v>
      </c>
      <c r="AW643" s="1185">
        <v>0</v>
      </c>
      <c r="AX643" s="1185">
        <v>0</v>
      </c>
      <c r="AY643" s="1539">
        <v>107</v>
      </c>
      <c r="AZ643" s="1185">
        <v>0</v>
      </c>
      <c r="BA643" s="1185">
        <v>427</v>
      </c>
      <c r="BB643" s="1540">
        <v>427</v>
      </c>
      <c r="BC643" s="1540">
        <v>534</v>
      </c>
      <c r="BD643" s="1540">
        <v>0</v>
      </c>
      <c r="BF643" s="1539">
        <f t="shared" si="122"/>
        <v>97</v>
      </c>
      <c r="BG643" s="1539">
        <f t="shared" si="123"/>
        <v>0</v>
      </c>
      <c r="BH643" s="1539">
        <f t="shared" si="124"/>
        <v>0</v>
      </c>
      <c r="BI643" s="1539">
        <f t="shared" si="125"/>
        <v>97</v>
      </c>
      <c r="BJ643" s="1539">
        <f t="shared" si="126"/>
        <v>0</v>
      </c>
      <c r="BK643" s="1539">
        <f t="shared" si="127"/>
        <v>388</v>
      </c>
      <c r="BL643" s="1539">
        <f t="shared" si="128"/>
        <v>388</v>
      </c>
      <c r="BM643" s="1539">
        <f t="shared" si="129"/>
        <v>485</v>
      </c>
      <c r="BO643" s="1183"/>
      <c r="BQ643" s="1182">
        <f t="shared" si="130"/>
        <v>0.27272727272726627</v>
      </c>
      <c r="BR643" s="1182">
        <f t="shared" si="131"/>
        <v>0.18181818181818699</v>
      </c>
    </row>
    <row r="644" spans="1:70" ht="13.5" customHeight="1">
      <c r="A644" s="1182" t="s">
        <v>1803</v>
      </c>
      <c r="B644" s="1182" t="s">
        <v>1804</v>
      </c>
      <c r="C644" s="1182" t="s">
        <v>1639</v>
      </c>
      <c r="D644" s="1182" t="s">
        <v>2523</v>
      </c>
      <c r="E644" s="1182" t="s">
        <v>2524</v>
      </c>
      <c r="F644" s="1182" t="s">
        <v>3806</v>
      </c>
      <c r="G644" s="1182" t="s">
        <v>3806</v>
      </c>
      <c r="H644" s="1182" t="s">
        <v>3807</v>
      </c>
      <c r="I644" s="1182" t="s">
        <v>1809</v>
      </c>
      <c r="J644" s="1182" t="s">
        <v>3808</v>
      </c>
      <c r="K644" s="1182" t="s">
        <v>1811</v>
      </c>
      <c r="L644" s="1182" t="s">
        <v>1812</v>
      </c>
      <c r="M644" s="1182" t="s">
        <v>1803</v>
      </c>
      <c r="N644" s="1182" t="s">
        <v>2922</v>
      </c>
      <c r="O644" s="1182" t="s">
        <v>1554</v>
      </c>
      <c r="P644" s="1182" t="s">
        <v>1563</v>
      </c>
      <c r="Q644" s="1182" t="s">
        <v>1562</v>
      </c>
      <c r="R644" s="1182" t="s">
        <v>1561</v>
      </c>
      <c r="S644" s="1182" t="s">
        <v>1639</v>
      </c>
      <c r="T644" s="1182" t="s">
        <v>1814</v>
      </c>
      <c r="U644" s="1182" t="s">
        <v>1815</v>
      </c>
      <c r="V644" s="1182">
        <v>0</v>
      </c>
      <c r="W644" s="1182">
        <v>0</v>
      </c>
      <c r="X644" s="1182">
        <v>0</v>
      </c>
      <c r="Y644" s="1183">
        <v>112990</v>
      </c>
      <c r="Z644" s="1182" t="s">
        <v>2923</v>
      </c>
      <c r="AA644" s="1182" t="s">
        <v>2924</v>
      </c>
      <c r="AB644" s="1182">
        <v>112990</v>
      </c>
      <c r="AC644" s="1182" t="s">
        <v>2925</v>
      </c>
      <c r="AD644" s="1182" t="s">
        <v>1561</v>
      </c>
      <c r="AE644" s="1182">
        <v>112990</v>
      </c>
      <c r="AF644" s="1182" t="s">
        <v>1819</v>
      </c>
      <c r="AG644" s="1182" t="s">
        <v>1820</v>
      </c>
      <c r="AH644" s="1182">
        <v>10271</v>
      </c>
      <c r="AI644" s="1182">
        <v>102719</v>
      </c>
      <c r="AJ644" s="1182" t="s">
        <v>3801</v>
      </c>
      <c r="AL644" s="1186" t="s">
        <v>3809</v>
      </c>
      <c r="AM644" s="1182">
        <v>1</v>
      </c>
      <c r="AN644" s="1182">
        <v>0</v>
      </c>
      <c r="AO644" s="1182">
        <v>0</v>
      </c>
      <c r="AP644" s="1182">
        <v>0</v>
      </c>
      <c r="AQ644" s="1182" t="s">
        <v>1639</v>
      </c>
      <c r="AS644" s="1186" t="s">
        <v>1819</v>
      </c>
      <c r="AT644" s="1186" t="s">
        <v>1820</v>
      </c>
      <c r="AV644" s="1185">
        <v>22598</v>
      </c>
      <c r="AW644" s="1185">
        <v>0</v>
      </c>
      <c r="AX644" s="1185">
        <v>0</v>
      </c>
      <c r="AY644" s="1539">
        <v>22598</v>
      </c>
      <c r="AZ644" s="1185">
        <v>0</v>
      </c>
      <c r="BA644" s="1185">
        <v>90392</v>
      </c>
      <c r="BB644" s="1540">
        <v>90392</v>
      </c>
      <c r="BC644" s="1540">
        <v>112990</v>
      </c>
      <c r="BD644" s="1540">
        <v>0</v>
      </c>
      <c r="BF644" s="1539">
        <f t="shared" si="122"/>
        <v>20544</v>
      </c>
      <c r="BG644" s="1539">
        <f t="shared" si="123"/>
        <v>0</v>
      </c>
      <c r="BH644" s="1539">
        <f t="shared" si="124"/>
        <v>0</v>
      </c>
      <c r="BI644" s="1539">
        <f t="shared" si="125"/>
        <v>20544</v>
      </c>
      <c r="BJ644" s="1539">
        <f t="shared" si="126"/>
        <v>0</v>
      </c>
      <c r="BK644" s="1563">
        <f>+IFERROR(ROUND(BA644*100/(100+$AT644),0),BA644)-1</f>
        <v>82174</v>
      </c>
      <c r="BL644" s="1539">
        <f t="shared" si="128"/>
        <v>82174</v>
      </c>
      <c r="BM644" s="1539">
        <f t="shared" si="129"/>
        <v>102718</v>
      </c>
      <c r="BO644" s="1183"/>
      <c r="BQ644" s="1182">
        <f t="shared" si="130"/>
        <v>-0.36363636363603291</v>
      </c>
      <c r="BR644" s="1182">
        <f t="shared" si="131"/>
        <v>0.54545454545586836</v>
      </c>
    </row>
    <row r="645" spans="1:70" ht="13.5" customHeight="1">
      <c r="A645" s="1182" t="s">
        <v>1803</v>
      </c>
      <c r="B645" s="1182" t="s">
        <v>1804</v>
      </c>
      <c r="C645" s="1182" t="s">
        <v>1639</v>
      </c>
      <c r="D645" s="1182" t="s">
        <v>2523</v>
      </c>
      <c r="E645" s="1182" t="s">
        <v>2524</v>
      </c>
      <c r="F645" s="1182" t="s">
        <v>1864</v>
      </c>
      <c r="G645" s="1182" t="s">
        <v>1864</v>
      </c>
      <c r="H645" s="1182" t="s">
        <v>3810</v>
      </c>
      <c r="I645" s="1182" t="s">
        <v>1809</v>
      </c>
      <c r="J645" s="1182" t="s">
        <v>3811</v>
      </c>
      <c r="K645" s="1182" t="s">
        <v>1811</v>
      </c>
      <c r="L645" s="1182" t="s">
        <v>1812</v>
      </c>
      <c r="M645" s="1182" t="s">
        <v>1803</v>
      </c>
      <c r="N645" s="1182" t="s">
        <v>2922</v>
      </c>
      <c r="O645" s="1182" t="s">
        <v>1554</v>
      </c>
      <c r="P645" s="1182" t="s">
        <v>1563</v>
      </c>
      <c r="Q645" s="1182" t="s">
        <v>1562</v>
      </c>
      <c r="R645" s="1182" t="s">
        <v>1561</v>
      </c>
      <c r="S645" s="1182" t="s">
        <v>1639</v>
      </c>
      <c r="T645" s="1182" t="s">
        <v>1814</v>
      </c>
      <c r="U645" s="1182" t="s">
        <v>1815</v>
      </c>
      <c r="V645" s="1182">
        <v>0</v>
      </c>
      <c r="W645" s="1182">
        <v>0</v>
      </c>
      <c r="X645" s="1182">
        <v>0</v>
      </c>
      <c r="Y645" s="1183">
        <v>2861</v>
      </c>
      <c r="Z645" s="1182" t="s">
        <v>2923</v>
      </c>
      <c r="AA645" s="1182" t="s">
        <v>2924</v>
      </c>
      <c r="AB645" s="1182">
        <v>2861</v>
      </c>
      <c r="AC645" s="1182" t="s">
        <v>2925</v>
      </c>
      <c r="AD645" s="1182" t="s">
        <v>1561</v>
      </c>
      <c r="AE645" s="1182">
        <v>2861</v>
      </c>
      <c r="AF645" s="1182" t="s">
        <v>1819</v>
      </c>
      <c r="AG645" s="1182" t="s">
        <v>1820</v>
      </c>
      <c r="AH645" s="1182">
        <v>260</v>
      </c>
      <c r="AI645" s="1182">
        <v>2601</v>
      </c>
      <c r="AJ645" s="1182" t="s">
        <v>3812</v>
      </c>
      <c r="AL645" s="1186" t="s">
        <v>3813</v>
      </c>
      <c r="AM645" s="1182">
        <v>1</v>
      </c>
      <c r="AN645" s="1182">
        <v>0</v>
      </c>
      <c r="AO645" s="1182">
        <v>0</v>
      </c>
      <c r="AP645" s="1182">
        <v>0</v>
      </c>
      <c r="AQ645" s="1182" t="s">
        <v>1639</v>
      </c>
      <c r="AS645" s="1186" t="s">
        <v>1819</v>
      </c>
      <c r="AT645" s="1186" t="s">
        <v>1820</v>
      </c>
      <c r="AV645" s="1183">
        <v>572</v>
      </c>
      <c r="AW645" s="1183">
        <v>0</v>
      </c>
      <c r="AX645" s="1183">
        <v>0</v>
      </c>
      <c r="AY645" s="1538">
        <v>572</v>
      </c>
      <c r="AZ645" s="1183">
        <v>0</v>
      </c>
      <c r="BA645" s="1183">
        <v>2289</v>
      </c>
      <c r="BB645" s="1540">
        <v>2289</v>
      </c>
      <c r="BC645" s="1540">
        <v>2861</v>
      </c>
      <c r="BD645" s="1540">
        <v>0</v>
      </c>
      <c r="BF645" s="1539">
        <f t="shared" si="122"/>
        <v>520</v>
      </c>
      <c r="BG645" s="1539">
        <f t="shared" si="123"/>
        <v>0</v>
      </c>
      <c r="BH645" s="1539">
        <f t="shared" si="124"/>
        <v>0</v>
      </c>
      <c r="BI645" s="1539">
        <f t="shared" si="125"/>
        <v>520</v>
      </c>
      <c r="BJ645" s="1539">
        <f t="shared" si="126"/>
        <v>0</v>
      </c>
      <c r="BK645" s="1539">
        <f t="shared" si="127"/>
        <v>2081</v>
      </c>
      <c r="BL645" s="1539">
        <f t="shared" si="128"/>
        <v>2081</v>
      </c>
      <c r="BM645" s="1539">
        <f t="shared" si="129"/>
        <v>2601</v>
      </c>
      <c r="BO645" s="1183"/>
      <c r="BQ645" s="1182">
        <f t="shared" si="130"/>
        <v>0</v>
      </c>
      <c r="BR645" s="1182">
        <f t="shared" si="131"/>
        <v>-9.0909090909008228E-2</v>
      </c>
    </row>
    <row r="646" spans="1:70" ht="13.5" customHeight="1">
      <c r="A646" s="1182" t="s">
        <v>1803</v>
      </c>
      <c r="B646" s="1182" t="s">
        <v>1804</v>
      </c>
      <c r="C646" s="1182" t="s">
        <v>1639</v>
      </c>
      <c r="D646" s="1182" t="s">
        <v>1805</v>
      </c>
      <c r="E646" s="1182" t="s">
        <v>1806</v>
      </c>
      <c r="F646" s="1182" t="s">
        <v>1864</v>
      </c>
      <c r="G646" s="1182" t="s">
        <v>1864</v>
      </c>
      <c r="H646" s="1182" t="s">
        <v>3814</v>
      </c>
      <c r="I646" s="1182" t="s">
        <v>1809</v>
      </c>
      <c r="J646" s="1182" t="s">
        <v>3815</v>
      </c>
      <c r="K646" s="1182" t="s">
        <v>1811</v>
      </c>
      <c r="L646" s="1182" t="s">
        <v>1812</v>
      </c>
      <c r="M646" s="1182" t="s">
        <v>1803</v>
      </c>
      <c r="N646" s="1182" t="s">
        <v>2922</v>
      </c>
      <c r="O646" s="1182" t="s">
        <v>1554</v>
      </c>
      <c r="P646" s="1182" t="s">
        <v>1563</v>
      </c>
      <c r="Q646" s="1182" t="s">
        <v>1562</v>
      </c>
      <c r="R646" s="1182" t="s">
        <v>1561</v>
      </c>
      <c r="S646" s="1182" t="s">
        <v>1639</v>
      </c>
      <c r="T646" s="1182" t="s">
        <v>1814</v>
      </c>
      <c r="U646" s="1182" t="s">
        <v>1815</v>
      </c>
      <c r="V646" s="1182">
        <v>0</v>
      </c>
      <c r="W646" s="1182">
        <v>0</v>
      </c>
      <c r="X646" s="1182">
        <v>0</v>
      </c>
      <c r="Y646" s="1183">
        <v>6948989</v>
      </c>
      <c r="Z646" s="1182" t="s">
        <v>2923</v>
      </c>
      <c r="AA646" s="1182" t="s">
        <v>2924</v>
      </c>
      <c r="AB646" s="1182">
        <v>6948989</v>
      </c>
      <c r="AC646" s="1182" t="s">
        <v>2925</v>
      </c>
      <c r="AD646" s="1182" t="s">
        <v>1561</v>
      </c>
      <c r="AE646" s="1182">
        <v>6948989</v>
      </c>
      <c r="AF646" s="1182" t="s">
        <v>1943</v>
      </c>
      <c r="AG646" s="1182" t="s">
        <v>1944</v>
      </c>
      <c r="AH646" s="1182">
        <v>0</v>
      </c>
      <c r="AI646" s="1182">
        <v>6948989</v>
      </c>
      <c r="AJ646" s="1182" t="s">
        <v>3816</v>
      </c>
      <c r="AL646" s="1186" t="s">
        <v>3817</v>
      </c>
      <c r="AM646" s="1182">
        <v>2</v>
      </c>
      <c r="AN646" s="1182">
        <v>17</v>
      </c>
      <c r="AO646" s="1182">
        <v>10</v>
      </c>
      <c r="AP646" s="1182">
        <v>0</v>
      </c>
      <c r="AQ646" s="1182" t="s">
        <v>1639</v>
      </c>
      <c r="AS646" s="1186">
        <v>17</v>
      </c>
      <c r="AT646" s="1186">
        <v>10</v>
      </c>
      <c r="AV646" s="1183">
        <v>0</v>
      </c>
      <c r="AW646" s="1183">
        <v>0</v>
      </c>
      <c r="AX646" s="1183">
        <v>0</v>
      </c>
      <c r="AY646" s="1538">
        <v>0</v>
      </c>
      <c r="AZ646" s="1183">
        <v>0</v>
      </c>
      <c r="BA646" s="1183">
        <v>6948989</v>
      </c>
      <c r="BB646" s="1540">
        <v>6948989</v>
      </c>
      <c r="BC646" s="1540">
        <v>6948989</v>
      </c>
      <c r="BD646" s="1540">
        <v>0</v>
      </c>
      <c r="BF646" s="1539">
        <f t="shared" si="122"/>
        <v>0</v>
      </c>
      <c r="BG646" s="1539">
        <f t="shared" si="123"/>
        <v>0</v>
      </c>
      <c r="BH646" s="1539">
        <f t="shared" si="124"/>
        <v>0</v>
      </c>
      <c r="BI646" s="1539">
        <f t="shared" si="125"/>
        <v>0</v>
      </c>
      <c r="BJ646" s="1539">
        <f t="shared" si="126"/>
        <v>0</v>
      </c>
      <c r="BK646" s="1539">
        <f t="shared" si="127"/>
        <v>6317263</v>
      </c>
      <c r="BL646" s="1539">
        <f t="shared" si="128"/>
        <v>6317263</v>
      </c>
      <c r="BM646" s="1539">
        <f t="shared" si="129"/>
        <v>6317263</v>
      </c>
      <c r="BO646" s="1183"/>
      <c r="BQ646" s="1182">
        <f t="shared" si="130"/>
        <v>0</v>
      </c>
      <c r="BR646" s="1182">
        <f t="shared" si="131"/>
        <v>-0.27272727247327566</v>
      </c>
    </row>
    <row r="647" spans="1:70" ht="13.5" customHeight="1">
      <c r="A647" s="1182" t="s">
        <v>1803</v>
      </c>
      <c r="B647" s="1182" t="s">
        <v>1804</v>
      </c>
      <c r="C647" s="1182" t="s">
        <v>1639</v>
      </c>
      <c r="D647" s="1182" t="s">
        <v>1805</v>
      </c>
      <c r="E647" s="1182" t="s">
        <v>1806</v>
      </c>
      <c r="F647" s="1182" t="s">
        <v>1864</v>
      </c>
      <c r="G647" s="1182" t="s">
        <v>1864</v>
      </c>
      <c r="H647" s="1182" t="s">
        <v>3818</v>
      </c>
      <c r="I647" s="1182" t="s">
        <v>1809</v>
      </c>
      <c r="J647" s="1182" t="s">
        <v>3819</v>
      </c>
      <c r="K647" s="1182" t="s">
        <v>1811</v>
      </c>
      <c r="L647" s="1182" t="s">
        <v>1812</v>
      </c>
      <c r="M647" s="1182" t="s">
        <v>1803</v>
      </c>
      <c r="N647" s="1182" t="s">
        <v>2922</v>
      </c>
      <c r="O647" s="1182" t="s">
        <v>1554</v>
      </c>
      <c r="P647" s="1182" t="s">
        <v>1563</v>
      </c>
      <c r="Q647" s="1182" t="s">
        <v>1562</v>
      </c>
      <c r="R647" s="1182" t="s">
        <v>1561</v>
      </c>
      <c r="S647" s="1182" t="s">
        <v>1639</v>
      </c>
      <c r="T647" s="1182" t="s">
        <v>1814</v>
      </c>
      <c r="U647" s="1182" t="s">
        <v>1815</v>
      </c>
      <c r="V647" s="1182">
        <v>0</v>
      </c>
      <c r="W647" s="1182">
        <v>0</v>
      </c>
      <c r="X647" s="1182">
        <v>0</v>
      </c>
      <c r="Y647" s="1183">
        <v>941480</v>
      </c>
      <c r="Z647" s="1182" t="s">
        <v>2923</v>
      </c>
      <c r="AA647" s="1182" t="s">
        <v>2924</v>
      </c>
      <c r="AB647" s="1182">
        <v>941480</v>
      </c>
      <c r="AC647" s="1182" t="s">
        <v>2925</v>
      </c>
      <c r="AD647" s="1182" t="s">
        <v>1561</v>
      </c>
      <c r="AE647" s="1182">
        <v>941480</v>
      </c>
      <c r="AF647" s="1182" t="s">
        <v>1943</v>
      </c>
      <c r="AG647" s="1182" t="s">
        <v>1944</v>
      </c>
      <c r="AH647" s="1182">
        <v>0</v>
      </c>
      <c r="AI647" s="1182">
        <v>941480</v>
      </c>
      <c r="AJ647" s="1182" t="s">
        <v>3820</v>
      </c>
      <c r="AL647" s="1186" t="s">
        <v>3821</v>
      </c>
      <c r="AM647" s="1182">
        <v>2</v>
      </c>
      <c r="AN647" s="1182">
        <v>17</v>
      </c>
      <c r="AO647" s="1182">
        <v>10</v>
      </c>
      <c r="AP647" s="1182">
        <v>0</v>
      </c>
      <c r="AQ647" s="1182" t="s">
        <v>1639</v>
      </c>
      <c r="AS647" s="1186">
        <v>17</v>
      </c>
      <c r="AT647" s="1186">
        <v>10</v>
      </c>
      <c r="AV647" s="1183">
        <v>0</v>
      </c>
      <c r="AW647" s="1183">
        <v>0</v>
      </c>
      <c r="AX647" s="1183">
        <v>0</v>
      </c>
      <c r="AY647" s="1538">
        <v>0</v>
      </c>
      <c r="AZ647" s="1183">
        <v>0</v>
      </c>
      <c r="BA647" s="1183">
        <v>941480</v>
      </c>
      <c r="BB647" s="1540">
        <v>941480</v>
      </c>
      <c r="BC647" s="1540">
        <v>941480</v>
      </c>
      <c r="BD647" s="1540">
        <v>0</v>
      </c>
      <c r="BF647" s="1539">
        <f t="shared" ref="BF647:BF710" si="132">+IFERROR(ROUND(AV647*100/(100+$AT647),0),AV647)</f>
        <v>0</v>
      </c>
      <c r="BG647" s="1539">
        <f t="shared" ref="BG647:BG710" si="133">+IFERROR(ROUND(AW647*100/(100+$AT647),0),AW647)</f>
        <v>0</v>
      </c>
      <c r="BH647" s="1539">
        <f t="shared" ref="BH647:BH710" si="134">+IFERROR(ROUND(AX647*100/(100+$AT647),0),AX647)</f>
        <v>0</v>
      </c>
      <c r="BI647" s="1539">
        <f t="shared" ref="BI647:BI710" si="135">SUM(BF647:BH647)</f>
        <v>0</v>
      </c>
      <c r="BJ647" s="1539">
        <f t="shared" ref="BJ647:BJ710" si="136">+IFERROR(ROUND(AZ647*100/(100+$AT647),0),AZ647)</f>
        <v>0</v>
      </c>
      <c r="BK647" s="1539">
        <f t="shared" ref="BK647:BK710" si="137">+IFERROR(ROUND(BA647*100/(100+$AT647),0),BA647)</f>
        <v>855891</v>
      </c>
      <c r="BL647" s="1539">
        <f t="shared" ref="BL647:BL710" si="138">SUM(BJ647:BK647)</f>
        <v>855891</v>
      </c>
      <c r="BM647" s="1539">
        <f t="shared" ref="BM647:BM710" si="139">+BI647+BL647</f>
        <v>855891</v>
      </c>
      <c r="BO647" s="1183"/>
      <c r="BQ647" s="1182">
        <f t="shared" ref="BQ647:BQ710" si="140">AY647*100/(100+$AT647)-BI647</f>
        <v>0</v>
      </c>
      <c r="BR647" s="1182">
        <f t="shared" ref="BR647:BR710" si="141">BB647*100/(100+$AT647)-BL647</f>
        <v>-9.0909090940840542E-2</v>
      </c>
    </row>
    <row r="648" spans="1:70" ht="13.5" customHeight="1">
      <c r="A648" s="1182" t="s">
        <v>1803</v>
      </c>
      <c r="B648" s="1182" t="s">
        <v>1804</v>
      </c>
      <c r="C648" s="1182" t="s">
        <v>1639</v>
      </c>
      <c r="D648" s="1182" t="s">
        <v>1805</v>
      </c>
      <c r="E648" s="1182" t="s">
        <v>1806</v>
      </c>
      <c r="F648" s="1182" t="s">
        <v>1864</v>
      </c>
      <c r="G648" s="1182" t="s">
        <v>1864</v>
      </c>
      <c r="H648" s="1182" t="s">
        <v>3822</v>
      </c>
      <c r="I648" s="1182" t="s">
        <v>1809</v>
      </c>
      <c r="J648" s="1182" t="s">
        <v>3823</v>
      </c>
      <c r="K648" s="1182" t="s">
        <v>1811</v>
      </c>
      <c r="L648" s="1182" t="s">
        <v>1812</v>
      </c>
      <c r="M648" s="1182" t="s">
        <v>1803</v>
      </c>
      <c r="N648" s="1182" t="s">
        <v>2922</v>
      </c>
      <c r="O648" s="1182" t="s">
        <v>1554</v>
      </c>
      <c r="P648" s="1182" t="s">
        <v>1563</v>
      </c>
      <c r="Q648" s="1182" t="s">
        <v>1562</v>
      </c>
      <c r="R648" s="1182" t="s">
        <v>1561</v>
      </c>
      <c r="S648" s="1182" t="s">
        <v>1639</v>
      </c>
      <c r="T648" s="1182" t="s">
        <v>1814</v>
      </c>
      <c r="U648" s="1182" t="s">
        <v>1815</v>
      </c>
      <c r="V648" s="1182">
        <v>0</v>
      </c>
      <c r="W648" s="1182">
        <v>0</v>
      </c>
      <c r="X648" s="1182">
        <v>0</v>
      </c>
      <c r="Y648" s="1183">
        <v>6202</v>
      </c>
      <c r="Z648" s="1182" t="s">
        <v>2923</v>
      </c>
      <c r="AA648" s="1182" t="s">
        <v>2924</v>
      </c>
      <c r="AB648" s="1182">
        <v>6202</v>
      </c>
      <c r="AC648" s="1182" t="s">
        <v>2925</v>
      </c>
      <c r="AD648" s="1182" t="s">
        <v>1561</v>
      </c>
      <c r="AE648" s="1182">
        <v>6202</v>
      </c>
      <c r="AF648" s="1182" t="s">
        <v>1943</v>
      </c>
      <c r="AG648" s="1182" t="s">
        <v>1944</v>
      </c>
      <c r="AH648" s="1182">
        <v>0</v>
      </c>
      <c r="AI648" s="1182">
        <v>6202</v>
      </c>
      <c r="AJ648" s="1182" t="s">
        <v>1867</v>
      </c>
      <c r="AL648" s="1186" t="s">
        <v>3824</v>
      </c>
      <c r="AM648" s="1182">
        <v>2</v>
      </c>
      <c r="AN648" s="1182">
        <v>17</v>
      </c>
      <c r="AO648" s="1182">
        <v>10</v>
      </c>
      <c r="AP648" s="1182">
        <v>0</v>
      </c>
      <c r="AQ648" s="1182" t="s">
        <v>1639</v>
      </c>
      <c r="AS648" s="1186">
        <v>17</v>
      </c>
      <c r="AT648" s="1186">
        <v>10</v>
      </c>
      <c r="AV648" s="1183">
        <v>0</v>
      </c>
      <c r="AW648" s="1183">
        <v>0</v>
      </c>
      <c r="AX648" s="1183">
        <v>0</v>
      </c>
      <c r="AY648" s="1538">
        <v>0</v>
      </c>
      <c r="AZ648" s="1183">
        <v>0</v>
      </c>
      <c r="BA648" s="1183">
        <v>6202</v>
      </c>
      <c r="BB648" s="1540">
        <v>6202</v>
      </c>
      <c r="BC648" s="1540">
        <v>6202</v>
      </c>
      <c r="BD648" s="1540">
        <v>0</v>
      </c>
      <c r="BF648" s="1539">
        <f t="shared" si="132"/>
        <v>0</v>
      </c>
      <c r="BG648" s="1539">
        <f t="shared" si="133"/>
        <v>0</v>
      </c>
      <c r="BH648" s="1539">
        <f t="shared" si="134"/>
        <v>0</v>
      </c>
      <c r="BI648" s="1539">
        <f t="shared" si="135"/>
        <v>0</v>
      </c>
      <c r="BJ648" s="1539">
        <f t="shared" si="136"/>
        <v>0</v>
      </c>
      <c r="BK648" s="1539">
        <f t="shared" si="137"/>
        <v>5638</v>
      </c>
      <c r="BL648" s="1539">
        <f t="shared" si="138"/>
        <v>5638</v>
      </c>
      <c r="BM648" s="1539">
        <f t="shared" si="139"/>
        <v>5638</v>
      </c>
      <c r="BO648" s="1183"/>
      <c r="BQ648" s="1182">
        <f t="shared" si="140"/>
        <v>0</v>
      </c>
      <c r="BR648" s="1182">
        <f t="shared" si="141"/>
        <v>0.18181818181801646</v>
      </c>
    </row>
    <row r="649" spans="1:70" ht="13.5" customHeight="1">
      <c r="A649" s="1182" t="s">
        <v>1803</v>
      </c>
      <c r="B649" s="1182" t="s">
        <v>1804</v>
      </c>
      <c r="C649" s="1182" t="s">
        <v>1639</v>
      </c>
      <c r="D649" s="1182" t="s">
        <v>1920</v>
      </c>
      <c r="E649" s="1182" t="s">
        <v>1921</v>
      </c>
      <c r="F649" s="1182" t="s">
        <v>3110</v>
      </c>
      <c r="G649" s="1182" t="s">
        <v>3110</v>
      </c>
      <c r="H649" s="1182" t="s">
        <v>3825</v>
      </c>
      <c r="I649" s="1182" t="s">
        <v>1809</v>
      </c>
      <c r="J649" s="1182" t="s">
        <v>3826</v>
      </c>
      <c r="K649" s="1182" t="s">
        <v>1811</v>
      </c>
      <c r="L649" s="1182" t="s">
        <v>1812</v>
      </c>
      <c r="M649" s="1182" t="s">
        <v>1803</v>
      </c>
      <c r="N649" s="1182" t="s">
        <v>2922</v>
      </c>
      <c r="O649" s="1182" t="s">
        <v>1554</v>
      </c>
      <c r="P649" s="1182" t="s">
        <v>1563</v>
      </c>
      <c r="Q649" s="1182" t="s">
        <v>1562</v>
      </c>
      <c r="R649" s="1182" t="s">
        <v>1561</v>
      </c>
      <c r="S649" s="1182" t="s">
        <v>1639</v>
      </c>
      <c r="T649" s="1182" t="s">
        <v>1814</v>
      </c>
      <c r="U649" s="1182" t="s">
        <v>1815</v>
      </c>
      <c r="V649" s="1182">
        <v>0</v>
      </c>
      <c r="W649" s="1182">
        <v>0</v>
      </c>
      <c r="X649" s="1182">
        <v>0</v>
      </c>
      <c r="Y649" s="1183">
        <v>474</v>
      </c>
      <c r="Z649" s="1182" t="s">
        <v>2923</v>
      </c>
      <c r="AA649" s="1182" t="s">
        <v>2924</v>
      </c>
      <c r="AB649" s="1182">
        <v>474</v>
      </c>
      <c r="AC649" s="1182" t="s">
        <v>2925</v>
      </c>
      <c r="AD649" s="1182" t="s">
        <v>1561</v>
      </c>
      <c r="AE649" s="1182">
        <v>474</v>
      </c>
      <c r="AF649" s="1182" t="s">
        <v>1943</v>
      </c>
      <c r="AG649" s="1182" t="s">
        <v>1944</v>
      </c>
      <c r="AH649" s="1182">
        <v>0</v>
      </c>
      <c r="AI649" s="1182">
        <v>474</v>
      </c>
      <c r="AJ649" s="1182" t="s">
        <v>3221</v>
      </c>
      <c r="AL649" s="1186" t="s">
        <v>3827</v>
      </c>
      <c r="AM649" s="1182">
        <v>1</v>
      </c>
      <c r="AN649" s="1182">
        <v>0</v>
      </c>
      <c r="AO649" s="1182">
        <v>0</v>
      </c>
      <c r="AP649" s="1182">
        <v>0</v>
      </c>
      <c r="AQ649" s="1182" t="s">
        <v>1639</v>
      </c>
      <c r="AS649" s="1186" t="s">
        <v>1943</v>
      </c>
      <c r="AT649" s="1186" t="s">
        <v>1944</v>
      </c>
      <c r="AV649" s="1183">
        <v>474</v>
      </c>
      <c r="AW649" s="1183">
        <v>0</v>
      </c>
      <c r="AX649" s="1183">
        <v>0</v>
      </c>
      <c r="AY649" s="1538">
        <v>474</v>
      </c>
      <c r="AZ649" s="1183">
        <v>0</v>
      </c>
      <c r="BA649" s="1183">
        <v>0</v>
      </c>
      <c r="BB649" s="1540">
        <v>0</v>
      </c>
      <c r="BC649" s="1540">
        <v>474</v>
      </c>
      <c r="BD649" s="1540">
        <v>0</v>
      </c>
      <c r="BF649" s="1539">
        <f t="shared" si="132"/>
        <v>474</v>
      </c>
      <c r="BG649" s="1539">
        <f t="shared" si="133"/>
        <v>0</v>
      </c>
      <c r="BH649" s="1539">
        <f t="shared" si="134"/>
        <v>0</v>
      </c>
      <c r="BI649" s="1539">
        <f t="shared" si="135"/>
        <v>474</v>
      </c>
      <c r="BJ649" s="1539">
        <f t="shared" si="136"/>
        <v>0</v>
      </c>
      <c r="BK649" s="1539">
        <f t="shared" si="137"/>
        <v>0</v>
      </c>
      <c r="BL649" s="1539">
        <f t="shared" si="138"/>
        <v>0</v>
      </c>
      <c r="BM649" s="1539">
        <f t="shared" si="139"/>
        <v>474</v>
      </c>
      <c r="BO649" s="1183"/>
      <c r="BQ649" s="1182">
        <f t="shared" si="140"/>
        <v>0</v>
      </c>
      <c r="BR649" s="1182">
        <f t="shared" si="141"/>
        <v>0</v>
      </c>
    </row>
    <row r="650" spans="1:70" ht="13.5" customHeight="1">
      <c r="A650" s="1182" t="s">
        <v>1803</v>
      </c>
      <c r="B650" s="1182" t="s">
        <v>1804</v>
      </c>
      <c r="C650" s="1182" t="s">
        <v>1639</v>
      </c>
      <c r="D650" s="1182" t="s">
        <v>1920</v>
      </c>
      <c r="E650" s="1182" t="s">
        <v>1921</v>
      </c>
      <c r="F650" s="1182" t="s">
        <v>3110</v>
      </c>
      <c r="G650" s="1182" t="s">
        <v>3110</v>
      </c>
      <c r="H650" s="1182" t="s">
        <v>3825</v>
      </c>
      <c r="I650" s="1182" t="s">
        <v>1809</v>
      </c>
      <c r="J650" s="1182" t="s">
        <v>3828</v>
      </c>
      <c r="K650" s="1182" t="s">
        <v>1811</v>
      </c>
      <c r="L650" s="1182" t="s">
        <v>1812</v>
      </c>
      <c r="M650" s="1182" t="s">
        <v>1803</v>
      </c>
      <c r="N650" s="1182" t="s">
        <v>2922</v>
      </c>
      <c r="O650" s="1182" t="s">
        <v>1554</v>
      </c>
      <c r="P650" s="1182" t="s">
        <v>1563</v>
      </c>
      <c r="Q650" s="1182" t="s">
        <v>1562</v>
      </c>
      <c r="R650" s="1182" t="s">
        <v>1561</v>
      </c>
      <c r="S650" s="1182" t="s">
        <v>1639</v>
      </c>
      <c r="T650" s="1182" t="s">
        <v>1814</v>
      </c>
      <c r="U650" s="1182" t="s">
        <v>1815</v>
      </c>
      <c r="V650" s="1182">
        <v>0</v>
      </c>
      <c r="W650" s="1182">
        <v>0</v>
      </c>
      <c r="X650" s="1182">
        <v>0</v>
      </c>
      <c r="Y650" s="1183">
        <v>470</v>
      </c>
      <c r="Z650" s="1182" t="s">
        <v>2923</v>
      </c>
      <c r="AA650" s="1182" t="s">
        <v>2924</v>
      </c>
      <c r="AB650" s="1182">
        <v>470</v>
      </c>
      <c r="AC650" s="1182" t="s">
        <v>2925</v>
      </c>
      <c r="AD650" s="1182" t="s">
        <v>1561</v>
      </c>
      <c r="AE650" s="1182">
        <v>470</v>
      </c>
      <c r="AF650" s="1182" t="s">
        <v>1943</v>
      </c>
      <c r="AG650" s="1182" t="s">
        <v>1944</v>
      </c>
      <c r="AH650" s="1182">
        <v>0</v>
      </c>
      <c r="AI650" s="1182">
        <v>470</v>
      </c>
      <c r="AJ650" s="1182" t="s">
        <v>3259</v>
      </c>
      <c r="AL650" s="1186" t="s">
        <v>3829</v>
      </c>
      <c r="AM650" s="1182">
        <v>1</v>
      </c>
      <c r="AN650" s="1182">
        <v>0</v>
      </c>
      <c r="AO650" s="1182">
        <v>0</v>
      </c>
      <c r="AP650" s="1182">
        <v>0</v>
      </c>
      <c r="AQ650" s="1182" t="s">
        <v>1639</v>
      </c>
      <c r="AS650" s="1186" t="s">
        <v>1943</v>
      </c>
      <c r="AT650" s="1186" t="s">
        <v>1944</v>
      </c>
      <c r="AV650" s="1183">
        <v>470</v>
      </c>
      <c r="AW650" s="1183">
        <v>0</v>
      </c>
      <c r="AX650" s="1183">
        <v>0</v>
      </c>
      <c r="AY650" s="1538">
        <v>470</v>
      </c>
      <c r="AZ650" s="1183">
        <v>0</v>
      </c>
      <c r="BA650" s="1183">
        <v>0</v>
      </c>
      <c r="BB650" s="1540">
        <v>0</v>
      </c>
      <c r="BC650" s="1540">
        <v>470</v>
      </c>
      <c r="BD650" s="1540">
        <v>0</v>
      </c>
      <c r="BF650" s="1539">
        <f t="shared" si="132"/>
        <v>470</v>
      </c>
      <c r="BG650" s="1539">
        <f t="shared" si="133"/>
        <v>0</v>
      </c>
      <c r="BH650" s="1539">
        <f t="shared" si="134"/>
        <v>0</v>
      </c>
      <c r="BI650" s="1539">
        <f t="shared" si="135"/>
        <v>470</v>
      </c>
      <c r="BJ650" s="1539">
        <f t="shared" si="136"/>
        <v>0</v>
      </c>
      <c r="BK650" s="1539">
        <f t="shared" si="137"/>
        <v>0</v>
      </c>
      <c r="BL650" s="1539">
        <f t="shared" si="138"/>
        <v>0</v>
      </c>
      <c r="BM650" s="1539">
        <f t="shared" si="139"/>
        <v>470</v>
      </c>
      <c r="BO650" s="1183"/>
      <c r="BQ650" s="1182">
        <f t="shared" si="140"/>
        <v>0</v>
      </c>
      <c r="BR650" s="1182">
        <f t="shared" si="141"/>
        <v>0</v>
      </c>
    </row>
    <row r="651" spans="1:70" ht="13.5" customHeight="1">
      <c r="A651" s="1182" t="s">
        <v>1803</v>
      </c>
      <c r="B651" s="1182" t="s">
        <v>1804</v>
      </c>
      <c r="C651" s="1182" t="s">
        <v>1639</v>
      </c>
      <c r="D651" s="1182" t="s">
        <v>1920</v>
      </c>
      <c r="E651" s="1182" t="s">
        <v>1921</v>
      </c>
      <c r="F651" s="1182" t="s">
        <v>3110</v>
      </c>
      <c r="G651" s="1182" t="s">
        <v>3110</v>
      </c>
      <c r="H651" s="1182" t="s">
        <v>3830</v>
      </c>
      <c r="I651" s="1182" t="s">
        <v>1809</v>
      </c>
      <c r="J651" s="1182" t="s">
        <v>3831</v>
      </c>
      <c r="K651" s="1182" t="s">
        <v>1811</v>
      </c>
      <c r="L651" s="1182" t="s">
        <v>1812</v>
      </c>
      <c r="M651" s="1182" t="s">
        <v>1803</v>
      </c>
      <c r="N651" s="1182" t="s">
        <v>2922</v>
      </c>
      <c r="O651" s="1182" t="s">
        <v>1554</v>
      </c>
      <c r="P651" s="1182" t="s">
        <v>1563</v>
      </c>
      <c r="Q651" s="1182" t="s">
        <v>1562</v>
      </c>
      <c r="R651" s="1182" t="s">
        <v>1561</v>
      </c>
      <c r="S651" s="1182" t="s">
        <v>1639</v>
      </c>
      <c r="T651" s="1182" t="s">
        <v>1814</v>
      </c>
      <c r="U651" s="1182" t="s">
        <v>1815</v>
      </c>
      <c r="V651" s="1182">
        <v>0</v>
      </c>
      <c r="W651" s="1182">
        <v>0</v>
      </c>
      <c r="X651" s="1182">
        <v>0</v>
      </c>
      <c r="Y651" s="1183">
        <v>9272</v>
      </c>
      <c r="Z651" s="1182" t="s">
        <v>2923</v>
      </c>
      <c r="AA651" s="1182" t="s">
        <v>2924</v>
      </c>
      <c r="AB651" s="1182">
        <v>9272</v>
      </c>
      <c r="AC651" s="1182" t="s">
        <v>2925</v>
      </c>
      <c r="AD651" s="1182" t="s">
        <v>1561</v>
      </c>
      <c r="AE651" s="1182">
        <v>9272</v>
      </c>
      <c r="AF651" s="1182" t="s">
        <v>1943</v>
      </c>
      <c r="AG651" s="1182" t="s">
        <v>1944</v>
      </c>
      <c r="AH651" s="1182">
        <v>0</v>
      </c>
      <c r="AI651" s="1182">
        <v>9272</v>
      </c>
      <c r="AJ651" s="1182" t="s">
        <v>3832</v>
      </c>
      <c r="AL651" s="1186" t="s">
        <v>3833</v>
      </c>
      <c r="AM651" s="1182">
        <v>1</v>
      </c>
      <c r="AN651" s="1182">
        <v>0</v>
      </c>
      <c r="AO651" s="1182">
        <v>0</v>
      </c>
      <c r="AP651" s="1182">
        <v>0</v>
      </c>
      <c r="AQ651" s="1182" t="s">
        <v>1639</v>
      </c>
      <c r="AS651" s="1186" t="s">
        <v>1943</v>
      </c>
      <c r="AT651" s="1186" t="s">
        <v>1944</v>
      </c>
      <c r="AV651" s="1183">
        <v>9272</v>
      </c>
      <c r="AW651" s="1183">
        <v>0</v>
      </c>
      <c r="AX651" s="1183">
        <v>0</v>
      </c>
      <c r="AY651" s="1538">
        <v>9272</v>
      </c>
      <c r="AZ651" s="1183">
        <v>0</v>
      </c>
      <c r="BA651" s="1183">
        <v>0</v>
      </c>
      <c r="BB651" s="1540">
        <v>0</v>
      </c>
      <c r="BC651" s="1540">
        <v>9272</v>
      </c>
      <c r="BD651" s="1540">
        <v>0</v>
      </c>
      <c r="BF651" s="1539">
        <f t="shared" si="132"/>
        <v>9272</v>
      </c>
      <c r="BG651" s="1539">
        <f t="shared" si="133"/>
        <v>0</v>
      </c>
      <c r="BH651" s="1539">
        <f t="shared" si="134"/>
        <v>0</v>
      </c>
      <c r="BI651" s="1539">
        <f t="shared" si="135"/>
        <v>9272</v>
      </c>
      <c r="BJ651" s="1539">
        <f t="shared" si="136"/>
        <v>0</v>
      </c>
      <c r="BK651" s="1539">
        <f t="shared" si="137"/>
        <v>0</v>
      </c>
      <c r="BL651" s="1539">
        <f t="shared" si="138"/>
        <v>0</v>
      </c>
      <c r="BM651" s="1539">
        <f t="shared" si="139"/>
        <v>9272</v>
      </c>
      <c r="BO651" s="1183"/>
      <c r="BQ651" s="1182">
        <f t="shared" si="140"/>
        <v>0</v>
      </c>
      <c r="BR651" s="1182">
        <f t="shared" si="141"/>
        <v>0</v>
      </c>
    </row>
    <row r="652" spans="1:70" ht="13.5" customHeight="1">
      <c r="A652" s="1182" t="s">
        <v>1803</v>
      </c>
      <c r="B652" s="1182" t="s">
        <v>1804</v>
      </c>
      <c r="C652" s="1182" t="s">
        <v>1639</v>
      </c>
      <c r="D652" s="1182" t="s">
        <v>1920</v>
      </c>
      <c r="E652" s="1182" t="s">
        <v>1921</v>
      </c>
      <c r="F652" s="1182" t="s">
        <v>3834</v>
      </c>
      <c r="G652" s="1182" t="s">
        <v>3834</v>
      </c>
      <c r="H652" s="1182" t="s">
        <v>3835</v>
      </c>
      <c r="I652" s="1182" t="s">
        <v>1809</v>
      </c>
      <c r="J652" s="1182" t="s">
        <v>3836</v>
      </c>
      <c r="K652" s="1182" t="s">
        <v>1811</v>
      </c>
      <c r="L652" s="1182" t="s">
        <v>1812</v>
      </c>
      <c r="M652" s="1182" t="s">
        <v>1803</v>
      </c>
      <c r="N652" s="1182" t="s">
        <v>2922</v>
      </c>
      <c r="O652" s="1182" t="s">
        <v>1554</v>
      </c>
      <c r="P652" s="1182" t="s">
        <v>1563</v>
      </c>
      <c r="Q652" s="1182" t="s">
        <v>1562</v>
      </c>
      <c r="R652" s="1182" t="s">
        <v>1561</v>
      </c>
      <c r="S652" s="1182" t="s">
        <v>1639</v>
      </c>
      <c r="T652" s="1182" t="s">
        <v>1814</v>
      </c>
      <c r="U652" s="1182" t="s">
        <v>1815</v>
      </c>
      <c r="V652" s="1182">
        <v>0</v>
      </c>
      <c r="W652" s="1182">
        <v>0</v>
      </c>
      <c r="X652" s="1182">
        <v>0</v>
      </c>
      <c r="Y652" s="1183">
        <v>390</v>
      </c>
      <c r="Z652" s="1182" t="s">
        <v>2923</v>
      </c>
      <c r="AA652" s="1182" t="s">
        <v>2924</v>
      </c>
      <c r="AB652" s="1182">
        <v>390</v>
      </c>
      <c r="AC652" s="1182" t="s">
        <v>2925</v>
      </c>
      <c r="AD652" s="1182" t="s">
        <v>1561</v>
      </c>
      <c r="AE652" s="1182">
        <v>390</v>
      </c>
      <c r="AF652" s="1182" t="s">
        <v>1943</v>
      </c>
      <c r="AG652" s="1182" t="s">
        <v>1944</v>
      </c>
      <c r="AH652" s="1182">
        <v>0</v>
      </c>
      <c r="AI652" s="1182">
        <v>390</v>
      </c>
      <c r="AJ652" s="1182" t="s">
        <v>3162</v>
      </c>
      <c r="AL652" s="1186" t="s">
        <v>3837</v>
      </c>
      <c r="AM652" s="1182">
        <v>1</v>
      </c>
      <c r="AN652" s="1182">
        <v>0</v>
      </c>
      <c r="AO652" s="1182">
        <v>0</v>
      </c>
      <c r="AP652" s="1182">
        <v>0</v>
      </c>
      <c r="AQ652" s="1182" t="s">
        <v>1639</v>
      </c>
      <c r="AS652" s="1186" t="s">
        <v>1943</v>
      </c>
      <c r="AT652" s="1186" t="s">
        <v>1944</v>
      </c>
      <c r="AV652" s="1183">
        <v>390</v>
      </c>
      <c r="AW652" s="1183">
        <v>0</v>
      </c>
      <c r="AX652" s="1183">
        <v>0</v>
      </c>
      <c r="AY652" s="1538">
        <v>390</v>
      </c>
      <c r="AZ652" s="1183">
        <v>0</v>
      </c>
      <c r="BA652" s="1183">
        <v>0</v>
      </c>
      <c r="BB652" s="1540">
        <v>0</v>
      </c>
      <c r="BC652" s="1540">
        <v>390</v>
      </c>
      <c r="BD652" s="1540">
        <v>0</v>
      </c>
      <c r="BF652" s="1539">
        <f t="shared" si="132"/>
        <v>390</v>
      </c>
      <c r="BG652" s="1539">
        <f t="shared" si="133"/>
        <v>0</v>
      </c>
      <c r="BH652" s="1539">
        <f t="shared" si="134"/>
        <v>0</v>
      </c>
      <c r="BI652" s="1539">
        <f t="shared" si="135"/>
        <v>390</v>
      </c>
      <c r="BJ652" s="1539">
        <f t="shared" si="136"/>
        <v>0</v>
      </c>
      <c r="BK652" s="1539">
        <f t="shared" si="137"/>
        <v>0</v>
      </c>
      <c r="BL652" s="1539">
        <f t="shared" si="138"/>
        <v>0</v>
      </c>
      <c r="BM652" s="1539">
        <f t="shared" si="139"/>
        <v>390</v>
      </c>
      <c r="BO652" s="1183"/>
      <c r="BQ652" s="1182">
        <f t="shared" si="140"/>
        <v>0</v>
      </c>
      <c r="BR652" s="1182">
        <f t="shared" si="141"/>
        <v>0</v>
      </c>
    </row>
    <row r="653" spans="1:70" ht="13.5" customHeight="1">
      <c r="A653" s="1182" t="s">
        <v>1803</v>
      </c>
      <c r="B653" s="1182" t="s">
        <v>1804</v>
      </c>
      <c r="C653" s="1182" t="s">
        <v>1639</v>
      </c>
      <c r="D653" s="1182" t="s">
        <v>1920</v>
      </c>
      <c r="E653" s="1182" t="s">
        <v>1921</v>
      </c>
      <c r="F653" s="1182" t="s">
        <v>3834</v>
      </c>
      <c r="G653" s="1182" t="s">
        <v>3834</v>
      </c>
      <c r="H653" s="1182" t="s">
        <v>3838</v>
      </c>
      <c r="I653" s="1182" t="s">
        <v>1809</v>
      </c>
      <c r="J653" s="1182" t="s">
        <v>3839</v>
      </c>
      <c r="K653" s="1182" t="s">
        <v>1811</v>
      </c>
      <c r="L653" s="1182" t="s">
        <v>1812</v>
      </c>
      <c r="M653" s="1182" t="s">
        <v>1803</v>
      </c>
      <c r="N653" s="1182" t="s">
        <v>2922</v>
      </c>
      <c r="O653" s="1182" t="s">
        <v>1554</v>
      </c>
      <c r="P653" s="1182" t="s">
        <v>1563</v>
      </c>
      <c r="Q653" s="1182" t="s">
        <v>1562</v>
      </c>
      <c r="R653" s="1182" t="s">
        <v>1561</v>
      </c>
      <c r="S653" s="1182" t="s">
        <v>1639</v>
      </c>
      <c r="T653" s="1182" t="s">
        <v>1814</v>
      </c>
      <c r="U653" s="1182" t="s">
        <v>1815</v>
      </c>
      <c r="V653" s="1182">
        <v>0</v>
      </c>
      <c r="W653" s="1182">
        <v>0</v>
      </c>
      <c r="X653" s="1182">
        <v>0</v>
      </c>
      <c r="Y653" s="1183">
        <v>390</v>
      </c>
      <c r="Z653" s="1182" t="s">
        <v>2923</v>
      </c>
      <c r="AA653" s="1182" t="s">
        <v>2924</v>
      </c>
      <c r="AB653" s="1182">
        <v>390</v>
      </c>
      <c r="AC653" s="1182" t="s">
        <v>2925</v>
      </c>
      <c r="AD653" s="1182" t="s">
        <v>1561</v>
      </c>
      <c r="AE653" s="1182">
        <v>390</v>
      </c>
      <c r="AF653" s="1182" t="s">
        <v>1943</v>
      </c>
      <c r="AG653" s="1182" t="s">
        <v>1944</v>
      </c>
      <c r="AH653" s="1182">
        <v>0</v>
      </c>
      <c r="AI653" s="1182">
        <v>390</v>
      </c>
      <c r="AJ653" s="1182" t="s">
        <v>3162</v>
      </c>
      <c r="AL653" s="1186" t="s">
        <v>3840</v>
      </c>
      <c r="AM653" s="1182">
        <v>1</v>
      </c>
      <c r="AN653" s="1182">
        <v>0</v>
      </c>
      <c r="AO653" s="1182">
        <v>0</v>
      </c>
      <c r="AP653" s="1182">
        <v>0</v>
      </c>
      <c r="AQ653" s="1182" t="s">
        <v>1639</v>
      </c>
      <c r="AS653" s="1186" t="s">
        <v>1943</v>
      </c>
      <c r="AT653" s="1186" t="s">
        <v>1944</v>
      </c>
      <c r="AV653" s="1183">
        <v>390</v>
      </c>
      <c r="AW653" s="1183">
        <v>0</v>
      </c>
      <c r="AX653" s="1183">
        <v>0</v>
      </c>
      <c r="AY653" s="1538">
        <v>390</v>
      </c>
      <c r="AZ653" s="1183">
        <v>0</v>
      </c>
      <c r="BA653" s="1183">
        <v>0</v>
      </c>
      <c r="BB653" s="1540">
        <v>0</v>
      </c>
      <c r="BC653" s="1540">
        <v>390</v>
      </c>
      <c r="BD653" s="1540">
        <v>0</v>
      </c>
      <c r="BF653" s="1539">
        <f t="shared" si="132"/>
        <v>390</v>
      </c>
      <c r="BG653" s="1539">
        <f t="shared" si="133"/>
        <v>0</v>
      </c>
      <c r="BH653" s="1539">
        <f t="shared" si="134"/>
        <v>0</v>
      </c>
      <c r="BI653" s="1539">
        <f t="shared" si="135"/>
        <v>390</v>
      </c>
      <c r="BJ653" s="1539">
        <f t="shared" si="136"/>
        <v>0</v>
      </c>
      <c r="BK653" s="1539">
        <f t="shared" si="137"/>
        <v>0</v>
      </c>
      <c r="BL653" s="1539">
        <f t="shared" si="138"/>
        <v>0</v>
      </c>
      <c r="BM653" s="1539">
        <f t="shared" si="139"/>
        <v>390</v>
      </c>
      <c r="BO653" s="1183"/>
      <c r="BQ653" s="1182">
        <f t="shared" si="140"/>
        <v>0</v>
      </c>
      <c r="BR653" s="1182">
        <f t="shared" si="141"/>
        <v>0</v>
      </c>
    </row>
    <row r="654" spans="1:70" ht="13.5" customHeight="1">
      <c r="A654" s="1182" t="s">
        <v>1803</v>
      </c>
      <c r="B654" s="1182" t="s">
        <v>1804</v>
      </c>
      <c r="C654" s="1182" t="s">
        <v>1639</v>
      </c>
      <c r="D654" s="1182" t="s">
        <v>1920</v>
      </c>
      <c r="E654" s="1182" t="s">
        <v>1921</v>
      </c>
      <c r="F654" s="1182" t="s">
        <v>3110</v>
      </c>
      <c r="G654" s="1182" t="s">
        <v>3110</v>
      </c>
      <c r="H654" s="1182" t="s">
        <v>3841</v>
      </c>
      <c r="I654" s="1182" t="s">
        <v>1809</v>
      </c>
      <c r="J654" s="1182" t="s">
        <v>3842</v>
      </c>
      <c r="K654" s="1182" t="s">
        <v>1811</v>
      </c>
      <c r="L654" s="1182" t="s">
        <v>1812</v>
      </c>
      <c r="M654" s="1182" t="s">
        <v>1803</v>
      </c>
      <c r="N654" s="1182" t="s">
        <v>2922</v>
      </c>
      <c r="O654" s="1182" t="s">
        <v>1554</v>
      </c>
      <c r="P654" s="1182" t="s">
        <v>1563</v>
      </c>
      <c r="Q654" s="1182" t="s">
        <v>1562</v>
      </c>
      <c r="R654" s="1182" t="s">
        <v>1561</v>
      </c>
      <c r="S654" s="1182" t="s">
        <v>1639</v>
      </c>
      <c r="T654" s="1182" t="s">
        <v>1814</v>
      </c>
      <c r="U654" s="1182" t="s">
        <v>1815</v>
      </c>
      <c r="V654" s="1182">
        <v>0</v>
      </c>
      <c r="W654" s="1182">
        <v>0</v>
      </c>
      <c r="X654" s="1182">
        <v>0</v>
      </c>
      <c r="Y654" s="1183">
        <v>5184</v>
      </c>
      <c r="Z654" s="1182" t="s">
        <v>2923</v>
      </c>
      <c r="AA654" s="1182" t="s">
        <v>2924</v>
      </c>
      <c r="AB654" s="1182">
        <v>5184</v>
      </c>
      <c r="AC654" s="1182" t="s">
        <v>2925</v>
      </c>
      <c r="AD654" s="1182" t="s">
        <v>1561</v>
      </c>
      <c r="AE654" s="1182">
        <v>5184</v>
      </c>
      <c r="AF654" s="1182" t="s">
        <v>1943</v>
      </c>
      <c r="AG654" s="1182" t="s">
        <v>1944</v>
      </c>
      <c r="AH654" s="1182">
        <v>0</v>
      </c>
      <c r="AI654" s="1182">
        <v>5184</v>
      </c>
      <c r="AJ654" s="1182" t="s">
        <v>3162</v>
      </c>
      <c r="AL654" s="1186" t="s">
        <v>3843</v>
      </c>
      <c r="AM654" s="1182">
        <v>1</v>
      </c>
      <c r="AN654" s="1182">
        <v>0</v>
      </c>
      <c r="AO654" s="1182">
        <v>0</v>
      </c>
      <c r="AP654" s="1182">
        <v>0</v>
      </c>
      <c r="AQ654" s="1182" t="s">
        <v>1639</v>
      </c>
      <c r="AS654" s="1186" t="s">
        <v>1943</v>
      </c>
      <c r="AT654" s="1186" t="s">
        <v>1944</v>
      </c>
      <c r="AV654" s="1183">
        <v>5184</v>
      </c>
      <c r="AW654" s="1183">
        <v>0</v>
      </c>
      <c r="AX654" s="1183">
        <v>0</v>
      </c>
      <c r="AY654" s="1538">
        <v>5184</v>
      </c>
      <c r="AZ654" s="1183">
        <v>0</v>
      </c>
      <c r="BA654" s="1183">
        <v>0</v>
      </c>
      <c r="BB654" s="1540">
        <v>0</v>
      </c>
      <c r="BC654" s="1540">
        <v>5184</v>
      </c>
      <c r="BD654" s="1540">
        <v>0</v>
      </c>
      <c r="BF654" s="1539">
        <f t="shared" si="132"/>
        <v>5184</v>
      </c>
      <c r="BG654" s="1539">
        <f t="shared" si="133"/>
        <v>0</v>
      </c>
      <c r="BH654" s="1539">
        <f t="shared" si="134"/>
        <v>0</v>
      </c>
      <c r="BI654" s="1539">
        <f t="shared" si="135"/>
        <v>5184</v>
      </c>
      <c r="BJ654" s="1539">
        <f t="shared" si="136"/>
        <v>0</v>
      </c>
      <c r="BK654" s="1539">
        <f t="shared" si="137"/>
        <v>0</v>
      </c>
      <c r="BL654" s="1539">
        <f t="shared" si="138"/>
        <v>0</v>
      </c>
      <c r="BM654" s="1539">
        <f t="shared" si="139"/>
        <v>5184</v>
      </c>
      <c r="BO654" s="1183"/>
      <c r="BQ654" s="1182">
        <f t="shared" si="140"/>
        <v>0</v>
      </c>
      <c r="BR654" s="1182">
        <f t="shared" si="141"/>
        <v>0</v>
      </c>
    </row>
    <row r="655" spans="1:70" ht="13.5" customHeight="1">
      <c r="A655" s="1182" t="s">
        <v>1803</v>
      </c>
      <c r="B655" s="1182" t="s">
        <v>1804</v>
      </c>
      <c r="C655" s="1182" t="s">
        <v>1639</v>
      </c>
      <c r="D655" s="1182" t="s">
        <v>1920</v>
      </c>
      <c r="E655" s="1182" t="s">
        <v>1921</v>
      </c>
      <c r="F655" s="1182" t="s">
        <v>3110</v>
      </c>
      <c r="G655" s="1182" t="s">
        <v>3110</v>
      </c>
      <c r="H655" s="1182" t="s">
        <v>3844</v>
      </c>
      <c r="I655" s="1182" t="s">
        <v>1809</v>
      </c>
      <c r="J655" s="1182" t="s">
        <v>3845</v>
      </c>
      <c r="K655" s="1182" t="s">
        <v>1811</v>
      </c>
      <c r="L655" s="1182" t="s">
        <v>1812</v>
      </c>
      <c r="M655" s="1182" t="s">
        <v>1803</v>
      </c>
      <c r="N655" s="1182" t="s">
        <v>2922</v>
      </c>
      <c r="O655" s="1182" t="s">
        <v>1554</v>
      </c>
      <c r="P655" s="1182" t="s">
        <v>1563</v>
      </c>
      <c r="Q655" s="1182" t="s">
        <v>1562</v>
      </c>
      <c r="R655" s="1182" t="s">
        <v>1561</v>
      </c>
      <c r="S655" s="1182" t="s">
        <v>1639</v>
      </c>
      <c r="T655" s="1182" t="s">
        <v>1814</v>
      </c>
      <c r="U655" s="1182" t="s">
        <v>1815</v>
      </c>
      <c r="V655" s="1182">
        <v>0</v>
      </c>
      <c r="W655" s="1182">
        <v>0</v>
      </c>
      <c r="X655" s="1182">
        <v>0</v>
      </c>
      <c r="Y655" s="1183">
        <v>4668</v>
      </c>
      <c r="Z655" s="1182" t="s">
        <v>2923</v>
      </c>
      <c r="AA655" s="1182" t="s">
        <v>2924</v>
      </c>
      <c r="AB655" s="1182">
        <v>4668</v>
      </c>
      <c r="AC655" s="1182" t="s">
        <v>2925</v>
      </c>
      <c r="AD655" s="1182" t="s">
        <v>1561</v>
      </c>
      <c r="AE655" s="1182">
        <v>4668</v>
      </c>
      <c r="AF655" s="1182" t="s">
        <v>1943</v>
      </c>
      <c r="AG655" s="1182" t="s">
        <v>1944</v>
      </c>
      <c r="AH655" s="1182">
        <v>0</v>
      </c>
      <c r="AI655" s="1182">
        <v>4668</v>
      </c>
      <c r="AJ655" s="1182" t="s">
        <v>3846</v>
      </c>
      <c r="AL655" s="1186" t="s">
        <v>3847</v>
      </c>
      <c r="AM655" s="1182">
        <v>1</v>
      </c>
      <c r="AN655" s="1182">
        <v>0</v>
      </c>
      <c r="AO655" s="1182">
        <v>0</v>
      </c>
      <c r="AP655" s="1182">
        <v>0</v>
      </c>
      <c r="AQ655" s="1182" t="s">
        <v>1639</v>
      </c>
      <c r="AS655" s="1186" t="s">
        <v>1943</v>
      </c>
      <c r="AT655" s="1186" t="s">
        <v>1944</v>
      </c>
      <c r="AV655" s="1183">
        <v>4668</v>
      </c>
      <c r="AW655" s="1183">
        <v>0</v>
      </c>
      <c r="AX655" s="1183">
        <v>0</v>
      </c>
      <c r="AY655" s="1538">
        <v>4668</v>
      </c>
      <c r="AZ655" s="1183">
        <v>0</v>
      </c>
      <c r="BA655" s="1183">
        <v>0</v>
      </c>
      <c r="BB655" s="1540">
        <v>0</v>
      </c>
      <c r="BC655" s="1540">
        <v>4668</v>
      </c>
      <c r="BD655" s="1540">
        <v>0</v>
      </c>
      <c r="BF655" s="1539">
        <f t="shared" si="132"/>
        <v>4668</v>
      </c>
      <c r="BG655" s="1539">
        <f t="shared" si="133"/>
        <v>0</v>
      </c>
      <c r="BH655" s="1539">
        <f t="shared" si="134"/>
        <v>0</v>
      </c>
      <c r="BI655" s="1539">
        <f t="shared" si="135"/>
        <v>4668</v>
      </c>
      <c r="BJ655" s="1539">
        <f t="shared" si="136"/>
        <v>0</v>
      </c>
      <c r="BK655" s="1539">
        <f t="shared" si="137"/>
        <v>0</v>
      </c>
      <c r="BL655" s="1539">
        <f t="shared" si="138"/>
        <v>0</v>
      </c>
      <c r="BM655" s="1539">
        <f t="shared" si="139"/>
        <v>4668</v>
      </c>
      <c r="BO655" s="1183"/>
      <c r="BQ655" s="1182">
        <f t="shared" si="140"/>
        <v>0</v>
      </c>
      <c r="BR655" s="1182">
        <f t="shared" si="141"/>
        <v>0</v>
      </c>
    </row>
    <row r="656" spans="1:70" ht="13.5" customHeight="1">
      <c r="A656" s="1182" t="s">
        <v>1803</v>
      </c>
      <c r="B656" s="1182" t="s">
        <v>1804</v>
      </c>
      <c r="C656" s="1182" t="s">
        <v>1639</v>
      </c>
      <c r="D656" s="1182" t="s">
        <v>2590</v>
      </c>
      <c r="E656" s="1182" t="s">
        <v>2591</v>
      </c>
      <c r="F656" s="1182" t="s">
        <v>1823</v>
      </c>
      <c r="G656" s="1182" t="s">
        <v>1823</v>
      </c>
      <c r="H656" s="1182" t="s">
        <v>3848</v>
      </c>
      <c r="I656" s="1182" t="s">
        <v>1809</v>
      </c>
      <c r="J656" s="1182" t="s">
        <v>3849</v>
      </c>
      <c r="K656" s="1182" t="s">
        <v>1811</v>
      </c>
      <c r="L656" s="1182" t="s">
        <v>1812</v>
      </c>
      <c r="M656" s="1182" t="s">
        <v>1803</v>
      </c>
      <c r="N656" s="1182" t="s">
        <v>2922</v>
      </c>
      <c r="O656" s="1182" t="s">
        <v>1554</v>
      </c>
      <c r="P656" s="1182" t="s">
        <v>1563</v>
      </c>
      <c r="Q656" s="1182" t="s">
        <v>1562</v>
      </c>
      <c r="R656" s="1182" t="s">
        <v>1561</v>
      </c>
      <c r="S656" s="1182" t="s">
        <v>1639</v>
      </c>
      <c r="T656" s="1182" t="s">
        <v>1814</v>
      </c>
      <c r="U656" s="1182" t="s">
        <v>1815</v>
      </c>
      <c r="V656" s="1182">
        <v>0</v>
      </c>
      <c r="W656" s="1182">
        <v>0</v>
      </c>
      <c r="X656" s="1182">
        <v>0</v>
      </c>
      <c r="Y656" s="1183">
        <v>1836</v>
      </c>
      <c r="Z656" s="1182" t="s">
        <v>2923</v>
      </c>
      <c r="AA656" s="1182" t="s">
        <v>2924</v>
      </c>
      <c r="AB656" s="1182">
        <v>1836</v>
      </c>
      <c r="AC656" s="1182" t="s">
        <v>2925</v>
      </c>
      <c r="AD656" s="1182" t="s">
        <v>1561</v>
      </c>
      <c r="AE656" s="1182">
        <v>1836</v>
      </c>
      <c r="AF656" s="1182" t="s">
        <v>1819</v>
      </c>
      <c r="AG656" s="1182" t="s">
        <v>1820</v>
      </c>
      <c r="AH656" s="1182">
        <v>166</v>
      </c>
      <c r="AI656" s="1182">
        <v>1670</v>
      </c>
      <c r="AJ656" s="1182" t="s">
        <v>3850</v>
      </c>
      <c r="AL656" s="1186" t="s">
        <v>3851</v>
      </c>
      <c r="AM656" s="1182">
        <v>1</v>
      </c>
      <c r="AN656" s="1182">
        <v>0</v>
      </c>
      <c r="AO656" s="1182">
        <v>0</v>
      </c>
      <c r="AP656" s="1182">
        <v>0</v>
      </c>
      <c r="AQ656" s="1182" t="s">
        <v>1639</v>
      </c>
      <c r="AS656" s="1186" t="s">
        <v>1819</v>
      </c>
      <c r="AT656" s="1186" t="s">
        <v>1820</v>
      </c>
      <c r="AV656" s="1183">
        <v>918</v>
      </c>
      <c r="AW656" s="1183">
        <v>0</v>
      </c>
      <c r="AX656" s="1183">
        <v>0</v>
      </c>
      <c r="AY656" s="1538">
        <v>918</v>
      </c>
      <c r="AZ656" s="1183">
        <v>0</v>
      </c>
      <c r="BA656" s="1183">
        <v>918</v>
      </c>
      <c r="BB656" s="1540">
        <v>918</v>
      </c>
      <c r="BC656" s="1540">
        <v>1836</v>
      </c>
      <c r="BD656" s="1540">
        <v>0</v>
      </c>
      <c r="BF656" s="1563">
        <f>+IFERROR(ROUND(AV656*100/(100+$AT656),0),AV656)-1</f>
        <v>834</v>
      </c>
      <c r="BG656" s="1539">
        <f t="shared" si="133"/>
        <v>0</v>
      </c>
      <c r="BH656" s="1539">
        <f t="shared" si="134"/>
        <v>0</v>
      </c>
      <c r="BI656" s="1539">
        <f t="shared" si="135"/>
        <v>834</v>
      </c>
      <c r="BJ656" s="1539">
        <f t="shared" si="136"/>
        <v>0</v>
      </c>
      <c r="BK656" s="1539">
        <f t="shared" si="137"/>
        <v>835</v>
      </c>
      <c r="BL656" s="1539">
        <f t="shared" si="138"/>
        <v>835</v>
      </c>
      <c r="BM656" s="1539">
        <f t="shared" si="139"/>
        <v>1669</v>
      </c>
      <c r="BO656" s="1183"/>
      <c r="BQ656" s="1182">
        <f t="shared" si="140"/>
        <v>0.54545454545450411</v>
      </c>
      <c r="BR656" s="1182">
        <f t="shared" si="141"/>
        <v>-0.45454545454549589</v>
      </c>
    </row>
    <row r="657" spans="1:70" ht="13.5" customHeight="1">
      <c r="A657" s="1182" t="s">
        <v>1803</v>
      </c>
      <c r="B657" s="1182" t="s">
        <v>1804</v>
      </c>
      <c r="C657" s="1182" t="s">
        <v>1639</v>
      </c>
      <c r="D657" s="1182" t="s">
        <v>2590</v>
      </c>
      <c r="E657" s="1182" t="s">
        <v>2591</v>
      </c>
      <c r="F657" s="1182" t="s">
        <v>1856</v>
      </c>
      <c r="G657" s="1182" t="s">
        <v>1856</v>
      </c>
      <c r="H657" s="1182" t="s">
        <v>3852</v>
      </c>
      <c r="I657" s="1182" t="s">
        <v>1809</v>
      </c>
      <c r="J657" s="1182" t="s">
        <v>3853</v>
      </c>
      <c r="K657" s="1182" t="s">
        <v>1811</v>
      </c>
      <c r="L657" s="1182" t="s">
        <v>1812</v>
      </c>
      <c r="M657" s="1182" t="s">
        <v>1803</v>
      </c>
      <c r="N657" s="1182" t="s">
        <v>2922</v>
      </c>
      <c r="O657" s="1182" t="s">
        <v>1554</v>
      </c>
      <c r="P657" s="1182" t="s">
        <v>1563</v>
      </c>
      <c r="Q657" s="1182" t="s">
        <v>1562</v>
      </c>
      <c r="R657" s="1182" t="s">
        <v>1561</v>
      </c>
      <c r="S657" s="1182" t="s">
        <v>1639</v>
      </c>
      <c r="T657" s="1182" t="s">
        <v>1814</v>
      </c>
      <c r="U657" s="1182" t="s">
        <v>1815</v>
      </c>
      <c r="V657" s="1182">
        <v>0</v>
      </c>
      <c r="W657" s="1182">
        <v>0</v>
      </c>
      <c r="X657" s="1182">
        <v>0</v>
      </c>
      <c r="Y657" s="1183">
        <v>1836</v>
      </c>
      <c r="Z657" s="1182" t="s">
        <v>2923</v>
      </c>
      <c r="AA657" s="1182" t="s">
        <v>2924</v>
      </c>
      <c r="AB657" s="1182">
        <v>1836</v>
      </c>
      <c r="AC657" s="1182" t="s">
        <v>2925</v>
      </c>
      <c r="AD657" s="1182" t="s">
        <v>1561</v>
      </c>
      <c r="AE657" s="1182">
        <v>1836</v>
      </c>
      <c r="AF657" s="1182" t="s">
        <v>1819</v>
      </c>
      <c r="AG657" s="1182" t="s">
        <v>1820</v>
      </c>
      <c r="AH657" s="1182">
        <v>166</v>
      </c>
      <c r="AI657" s="1182">
        <v>1670</v>
      </c>
      <c r="AJ657" s="1182" t="s">
        <v>3850</v>
      </c>
      <c r="AL657" s="1186" t="s">
        <v>3854</v>
      </c>
      <c r="AM657" s="1182">
        <v>1</v>
      </c>
      <c r="AN657" s="1182">
        <v>0</v>
      </c>
      <c r="AO657" s="1182">
        <v>0</v>
      </c>
      <c r="AP657" s="1182">
        <v>0</v>
      </c>
      <c r="AQ657" s="1182" t="s">
        <v>1639</v>
      </c>
      <c r="AS657" s="1186" t="s">
        <v>1819</v>
      </c>
      <c r="AT657" s="1186" t="s">
        <v>1820</v>
      </c>
      <c r="AV657" s="1183">
        <v>918</v>
      </c>
      <c r="AW657" s="1183">
        <v>0</v>
      </c>
      <c r="AX657" s="1183">
        <v>0</v>
      </c>
      <c r="AY657" s="1538">
        <v>918</v>
      </c>
      <c r="AZ657" s="1183">
        <v>0</v>
      </c>
      <c r="BA657" s="1183">
        <v>918</v>
      </c>
      <c r="BB657" s="1540">
        <v>918</v>
      </c>
      <c r="BC657" s="1540">
        <v>1836</v>
      </c>
      <c r="BD657" s="1540">
        <v>0</v>
      </c>
      <c r="BF657" s="1539">
        <f t="shared" si="132"/>
        <v>835</v>
      </c>
      <c r="BG657" s="1539">
        <f t="shared" si="133"/>
        <v>0</v>
      </c>
      <c r="BH657" s="1539">
        <f t="shared" si="134"/>
        <v>0</v>
      </c>
      <c r="BI657" s="1539">
        <f t="shared" si="135"/>
        <v>835</v>
      </c>
      <c r="BJ657" s="1539">
        <f t="shared" si="136"/>
        <v>0</v>
      </c>
      <c r="BK657" s="1539">
        <f t="shared" si="137"/>
        <v>835</v>
      </c>
      <c r="BL657" s="1539">
        <f t="shared" si="138"/>
        <v>835</v>
      </c>
      <c r="BM657" s="1539">
        <f t="shared" si="139"/>
        <v>1670</v>
      </c>
      <c r="BO657" s="1183"/>
      <c r="BQ657" s="1182">
        <f t="shared" si="140"/>
        <v>-0.45454545454549589</v>
      </c>
      <c r="BR657" s="1182">
        <f t="shared" si="141"/>
        <v>-0.45454545454549589</v>
      </c>
    </row>
    <row r="658" spans="1:70" ht="13.5" customHeight="1">
      <c r="A658" s="1182" t="s">
        <v>1803</v>
      </c>
      <c r="B658" s="1182" t="s">
        <v>1804</v>
      </c>
      <c r="C658" s="1182" t="s">
        <v>1639</v>
      </c>
      <c r="D658" s="1182" t="s">
        <v>2590</v>
      </c>
      <c r="E658" s="1182" t="s">
        <v>2591</v>
      </c>
      <c r="F658" s="1182" t="s">
        <v>1864</v>
      </c>
      <c r="G658" s="1182" t="s">
        <v>1864</v>
      </c>
      <c r="H658" s="1182" t="s">
        <v>3855</v>
      </c>
      <c r="I658" s="1182" t="s">
        <v>1809</v>
      </c>
      <c r="J658" s="1182" t="s">
        <v>3856</v>
      </c>
      <c r="K658" s="1182" t="s">
        <v>1811</v>
      </c>
      <c r="L658" s="1182" t="s">
        <v>1812</v>
      </c>
      <c r="M658" s="1182" t="s">
        <v>1803</v>
      </c>
      <c r="N658" s="1182" t="s">
        <v>2922</v>
      </c>
      <c r="O658" s="1182" t="s">
        <v>1554</v>
      </c>
      <c r="P658" s="1182" t="s">
        <v>1563</v>
      </c>
      <c r="Q658" s="1182" t="s">
        <v>1562</v>
      </c>
      <c r="R658" s="1182" t="s">
        <v>1561</v>
      </c>
      <c r="S658" s="1182" t="s">
        <v>1639</v>
      </c>
      <c r="T658" s="1182" t="s">
        <v>1814</v>
      </c>
      <c r="U658" s="1182" t="s">
        <v>1815</v>
      </c>
      <c r="V658" s="1182">
        <v>0</v>
      </c>
      <c r="W658" s="1182">
        <v>0</v>
      </c>
      <c r="X658" s="1182">
        <v>0</v>
      </c>
      <c r="Y658" s="1183">
        <v>1836</v>
      </c>
      <c r="Z658" s="1182" t="s">
        <v>2923</v>
      </c>
      <c r="AA658" s="1182" t="s">
        <v>2924</v>
      </c>
      <c r="AB658" s="1182">
        <v>1836</v>
      </c>
      <c r="AC658" s="1182" t="s">
        <v>2925</v>
      </c>
      <c r="AD658" s="1182" t="s">
        <v>1561</v>
      </c>
      <c r="AE658" s="1182">
        <v>1836</v>
      </c>
      <c r="AF658" s="1182" t="s">
        <v>1819</v>
      </c>
      <c r="AG658" s="1182" t="s">
        <v>1820</v>
      </c>
      <c r="AH658" s="1182">
        <v>166</v>
      </c>
      <c r="AI658" s="1182">
        <v>1670</v>
      </c>
      <c r="AJ658" s="1182" t="s">
        <v>3850</v>
      </c>
      <c r="AL658" s="1186" t="s">
        <v>3857</v>
      </c>
      <c r="AM658" s="1182">
        <v>1</v>
      </c>
      <c r="AN658" s="1182">
        <v>0</v>
      </c>
      <c r="AO658" s="1182">
        <v>0</v>
      </c>
      <c r="AP658" s="1182">
        <v>0</v>
      </c>
      <c r="AQ658" s="1182" t="s">
        <v>1639</v>
      </c>
      <c r="AS658" s="1186" t="s">
        <v>1819</v>
      </c>
      <c r="AT658" s="1186" t="s">
        <v>1820</v>
      </c>
      <c r="AV658" s="1183">
        <v>918</v>
      </c>
      <c r="AW658" s="1183">
        <v>0</v>
      </c>
      <c r="AX658" s="1183">
        <v>0</v>
      </c>
      <c r="AY658" s="1538">
        <v>918</v>
      </c>
      <c r="AZ658" s="1183">
        <v>0</v>
      </c>
      <c r="BA658" s="1183">
        <v>918</v>
      </c>
      <c r="BB658" s="1540">
        <v>918</v>
      </c>
      <c r="BC658" s="1540">
        <v>1836</v>
      </c>
      <c r="BD658" s="1540">
        <v>0</v>
      </c>
      <c r="BF658" s="1539">
        <f t="shared" si="132"/>
        <v>835</v>
      </c>
      <c r="BG658" s="1539">
        <f t="shared" si="133"/>
        <v>0</v>
      </c>
      <c r="BH658" s="1539">
        <f t="shared" si="134"/>
        <v>0</v>
      </c>
      <c r="BI658" s="1539">
        <f t="shared" si="135"/>
        <v>835</v>
      </c>
      <c r="BJ658" s="1539">
        <f t="shared" si="136"/>
        <v>0</v>
      </c>
      <c r="BK658" s="1539">
        <f t="shared" si="137"/>
        <v>835</v>
      </c>
      <c r="BL658" s="1539">
        <f t="shared" si="138"/>
        <v>835</v>
      </c>
      <c r="BM658" s="1539">
        <f t="shared" si="139"/>
        <v>1670</v>
      </c>
      <c r="BO658" s="1183"/>
      <c r="BQ658" s="1182">
        <f t="shared" si="140"/>
        <v>-0.45454545454549589</v>
      </c>
      <c r="BR658" s="1182">
        <f t="shared" si="141"/>
        <v>-0.45454545454549589</v>
      </c>
    </row>
    <row r="659" spans="1:70" ht="13.5" customHeight="1">
      <c r="A659" s="1182" t="s">
        <v>1803</v>
      </c>
      <c r="B659" s="1182" t="s">
        <v>1804</v>
      </c>
      <c r="C659" s="1182" t="s">
        <v>1639</v>
      </c>
      <c r="D659" s="1182" t="s">
        <v>2590</v>
      </c>
      <c r="E659" s="1182" t="s">
        <v>2591</v>
      </c>
      <c r="F659" s="1182" t="s">
        <v>3858</v>
      </c>
      <c r="G659" s="1182" t="s">
        <v>3858</v>
      </c>
      <c r="H659" s="1182" t="s">
        <v>3859</v>
      </c>
      <c r="I659" s="1182" t="s">
        <v>1809</v>
      </c>
      <c r="J659" s="1182" t="s">
        <v>3860</v>
      </c>
      <c r="K659" s="1182" t="s">
        <v>1811</v>
      </c>
      <c r="L659" s="1182" t="s">
        <v>1812</v>
      </c>
      <c r="M659" s="1182" t="s">
        <v>1803</v>
      </c>
      <c r="N659" s="1182" t="s">
        <v>2922</v>
      </c>
      <c r="O659" s="1182" t="s">
        <v>1554</v>
      </c>
      <c r="P659" s="1182" t="s">
        <v>1563</v>
      </c>
      <c r="Q659" s="1182" t="s">
        <v>1562</v>
      </c>
      <c r="R659" s="1182" t="s">
        <v>1561</v>
      </c>
      <c r="S659" s="1182" t="s">
        <v>1639</v>
      </c>
      <c r="T659" s="1182" t="s">
        <v>1814</v>
      </c>
      <c r="U659" s="1182" t="s">
        <v>1815</v>
      </c>
      <c r="V659" s="1182">
        <v>0</v>
      </c>
      <c r="W659" s="1182">
        <v>0</v>
      </c>
      <c r="X659" s="1182">
        <v>0</v>
      </c>
      <c r="Y659" s="1183">
        <v>1836</v>
      </c>
      <c r="Z659" s="1182" t="s">
        <v>2923</v>
      </c>
      <c r="AA659" s="1182" t="s">
        <v>2924</v>
      </c>
      <c r="AB659" s="1182">
        <v>1836</v>
      </c>
      <c r="AC659" s="1182" t="s">
        <v>2925</v>
      </c>
      <c r="AD659" s="1182" t="s">
        <v>1561</v>
      </c>
      <c r="AE659" s="1182">
        <v>1836</v>
      </c>
      <c r="AF659" s="1182" t="s">
        <v>1819</v>
      </c>
      <c r="AG659" s="1182" t="s">
        <v>1820</v>
      </c>
      <c r="AH659" s="1182">
        <v>166</v>
      </c>
      <c r="AI659" s="1182">
        <v>1670</v>
      </c>
      <c r="AJ659" s="1182" t="s">
        <v>3850</v>
      </c>
      <c r="AL659" s="1186" t="s">
        <v>3861</v>
      </c>
      <c r="AM659" s="1182">
        <v>1</v>
      </c>
      <c r="AN659" s="1182">
        <v>0</v>
      </c>
      <c r="AO659" s="1182">
        <v>0</v>
      </c>
      <c r="AP659" s="1182">
        <v>0</v>
      </c>
      <c r="AQ659" s="1182" t="s">
        <v>1639</v>
      </c>
      <c r="AS659" s="1186" t="s">
        <v>1819</v>
      </c>
      <c r="AT659" s="1186" t="s">
        <v>1820</v>
      </c>
      <c r="AV659" s="1183">
        <v>918</v>
      </c>
      <c r="AW659" s="1183">
        <v>0</v>
      </c>
      <c r="AX659" s="1183">
        <v>0</v>
      </c>
      <c r="AY659" s="1538">
        <v>918</v>
      </c>
      <c r="AZ659" s="1183">
        <v>0</v>
      </c>
      <c r="BA659" s="1183">
        <v>918</v>
      </c>
      <c r="BB659" s="1540">
        <v>918</v>
      </c>
      <c r="BC659" s="1540">
        <v>1836</v>
      </c>
      <c r="BD659" s="1540">
        <v>0</v>
      </c>
      <c r="BF659" s="1539">
        <f t="shared" si="132"/>
        <v>835</v>
      </c>
      <c r="BG659" s="1539">
        <f t="shared" si="133"/>
        <v>0</v>
      </c>
      <c r="BH659" s="1539">
        <f t="shared" si="134"/>
        <v>0</v>
      </c>
      <c r="BI659" s="1539">
        <f t="shared" si="135"/>
        <v>835</v>
      </c>
      <c r="BJ659" s="1539">
        <f t="shared" si="136"/>
        <v>0</v>
      </c>
      <c r="BK659" s="1539">
        <f t="shared" si="137"/>
        <v>835</v>
      </c>
      <c r="BL659" s="1539">
        <f t="shared" si="138"/>
        <v>835</v>
      </c>
      <c r="BM659" s="1539">
        <f t="shared" si="139"/>
        <v>1670</v>
      </c>
      <c r="BO659" s="1183"/>
      <c r="BQ659" s="1182">
        <f t="shared" si="140"/>
        <v>-0.45454545454549589</v>
      </c>
      <c r="BR659" s="1182">
        <f t="shared" si="141"/>
        <v>-0.45454545454549589</v>
      </c>
    </row>
    <row r="660" spans="1:70" ht="13.5" customHeight="1">
      <c r="A660" s="1182" t="s">
        <v>1803</v>
      </c>
      <c r="B660" s="1182" t="s">
        <v>1804</v>
      </c>
      <c r="C660" s="1182" t="s">
        <v>1639</v>
      </c>
      <c r="D660" s="1182" t="s">
        <v>2590</v>
      </c>
      <c r="E660" s="1182" t="s">
        <v>2591</v>
      </c>
      <c r="F660" s="1182" t="s">
        <v>2607</v>
      </c>
      <c r="G660" s="1182" t="s">
        <v>2607</v>
      </c>
      <c r="H660" s="1182" t="s">
        <v>3862</v>
      </c>
      <c r="I660" s="1182" t="s">
        <v>1809</v>
      </c>
      <c r="J660" s="1182" t="s">
        <v>3863</v>
      </c>
      <c r="K660" s="1182" t="s">
        <v>1811</v>
      </c>
      <c r="L660" s="1182" t="s">
        <v>1812</v>
      </c>
      <c r="M660" s="1182" t="s">
        <v>1803</v>
      </c>
      <c r="N660" s="1182" t="s">
        <v>2922</v>
      </c>
      <c r="O660" s="1182" t="s">
        <v>1554</v>
      </c>
      <c r="P660" s="1182" t="s">
        <v>1563</v>
      </c>
      <c r="Q660" s="1182" t="s">
        <v>1562</v>
      </c>
      <c r="R660" s="1182" t="s">
        <v>1561</v>
      </c>
      <c r="S660" s="1182" t="s">
        <v>1639</v>
      </c>
      <c r="T660" s="1182" t="s">
        <v>1814</v>
      </c>
      <c r="U660" s="1182" t="s">
        <v>1815</v>
      </c>
      <c r="V660" s="1182">
        <v>0</v>
      </c>
      <c r="W660" s="1182">
        <v>0</v>
      </c>
      <c r="X660" s="1182">
        <v>0</v>
      </c>
      <c r="Y660" s="1183">
        <v>1836</v>
      </c>
      <c r="Z660" s="1182" t="s">
        <v>2923</v>
      </c>
      <c r="AA660" s="1182" t="s">
        <v>2924</v>
      </c>
      <c r="AB660" s="1182">
        <v>1836</v>
      </c>
      <c r="AC660" s="1182" t="s">
        <v>2925</v>
      </c>
      <c r="AD660" s="1182" t="s">
        <v>1561</v>
      </c>
      <c r="AE660" s="1182">
        <v>1836</v>
      </c>
      <c r="AF660" s="1182" t="s">
        <v>1819</v>
      </c>
      <c r="AG660" s="1182" t="s">
        <v>1820</v>
      </c>
      <c r="AH660" s="1182">
        <v>166</v>
      </c>
      <c r="AI660" s="1182">
        <v>1670</v>
      </c>
      <c r="AJ660" s="1182" t="s">
        <v>3850</v>
      </c>
      <c r="AL660" s="1186" t="s">
        <v>3864</v>
      </c>
      <c r="AM660" s="1182">
        <v>1</v>
      </c>
      <c r="AN660" s="1182">
        <v>0</v>
      </c>
      <c r="AO660" s="1182">
        <v>0</v>
      </c>
      <c r="AP660" s="1182">
        <v>0</v>
      </c>
      <c r="AQ660" s="1182" t="s">
        <v>1639</v>
      </c>
      <c r="AS660" s="1186" t="s">
        <v>1819</v>
      </c>
      <c r="AT660" s="1186" t="s">
        <v>1820</v>
      </c>
      <c r="AV660" s="1183">
        <v>918</v>
      </c>
      <c r="AW660" s="1183">
        <v>0</v>
      </c>
      <c r="AX660" s="1183">
        <v>0</v>
      </c>
      <c r="AY660" s="1538">
        <v>918</v>
      </c>
      <c r="AZ660" s="1183">
        <v>0</v>
      </c>
      <c r="BA660" s="1183">
        <v>918</v>
      </c>
      <c r="BB660" s="1540">
        <v>918</v>
      </c>
      <c r="BC660" s="1540">
        <v>1836</v>
      </c>
      <c r="BD660" s="1540">
        <v>0</v>
      </c>
      <c r="BF660" s="1539">
        <f t="shared" si="132"/>
        <v>835</v>
      </c>
      <c r="BG660" s="1539">
        <f t="shared" si="133"/>
        <v>0</v>
      </c>
      <c r="BH660" s="1539">
        <f t="shared" si="134"/>
        <v>0</v>
      </c>
      <c r="BI660" s="1539">
        <f t="shared" si="135"/>
        <v>835</v>
      </c>
      <c r="BJ660" s="1539">
        <f t="shared" si="136"/>
        <v>0</v>
      </c>
      <c r="BK660" s="1539">
        <f t="shared" si="137"/>
        <v>835</v>
      </c>
      <c r="BL660" s="1539">
        <f t="shared" si="138"/>
        <v>835</v>
      </c>
      <c r="BM660" s="1539">
        <f t="shared" si="139"/>
        <v>1670</v>
      </c>
      <c r="BO660" s="1183"/>
      <c r="BQ660" s="1182">
        <f t="shared" si="140"/>
        <v>-0.45454545454549589</v>
      </c>
      <c r="BR660" s="1182">
        <f t="shared" si="141"/>
        <v>-0.45454545454549589</v>
      </c>
    </row>
    <row r="661" spans="1:70" ht="13.5" customHeight="1">
      <c r="A661" s="1182" t="s">
        <v>1803</v>
      </c>
      <c r="B661" s="1182" t="s">
        <v>1804</v>
      </c>
      <c r="C661" s="1182" t="s">
        <v>1639</v>
      </c>
      <c r="D661" s="1182" t="s">
        <v>2590</v>
      </c>
      <c r="E661" s="1182" t="s">
        <v>2591</v>
      </c>
      <c r="F661" s="1182" t="s">
        <v>2323</v>
      </c>
      <c r="G661" s="1182" t="s">
        <v>2323</v>
      </c>
      <c r="H661" s="1182" t="s">
        <v>3865</v>
      </c>
      <c r="I661" s="1182" t="s">
        <v>1809</v>
      </c>
      <c r="J661" s="1182" t="s">
        <v>3866</v>
      </c>
      <c r="K661" s="1182" t="s">
        <v>1811</v>
      </c>
      <c r="L661" s="1182" t="s">
        <v>1812</v>
      </c>
      <c r="M661" s="1182" t="s">
        <v>1803</v>
      </c>
      <c r="N661" s="1182" t="s">
        <v>2922</v>
      </c>
      <c r="O661" s="1182" t="s">
        <v>1554</v>
      </c>
      <c r="P661" s="1182" t="s">
        <v>1563</v>
      </c>
      <c r="Q661" s="1182" t="s">
        <v>1562</v>
      </c>
      <c r="R661" s="1182" t="s">
        <v>1561</v>
      </c>
      <c r="S661" s="1182" t="s">
        <v>1639</v>
      </c>
      <c r="T661" s="1182" t="s">
        <v>1814</v>
      </c>
      <c r="U661" s="1182" t="s">
        <v>1815</v>
      </c>
      <c r="V661" s="1182">
        <v>0</v>
      </c>
      <c r="W661" s="1182">
        <v>0</v>
      </c>
      <c r="X661" s="1182">
        <v>0</v>
      </c>
      <c r="Y661" s="1183">
        <v>1836</v>
      </c>
      <c r="Z661" s="1182" t="s">
        <v>2923</v>
      </c>
      <c r="AA661" s="1182" t="s">
        <v>2924</v>
      </c>
      <c r="AB661" s="1182">
        <v>1836</v>
      </c>
      <c r="AC661" s="1182" t="s">
        <v>2925</v>
      </c>
      <c r="AD661" s="1182" t="s">
        <v>1561</v>
      </c>
      <c r="AE661" s="1182">
        <v>1836</v>
      </c>
      <c r="AF661" s="1182" t="s">
        <v>1819</v>
      </c>
      <c r="AG661" s="1182" t="s">
        <v>1820</v>
      </c>
      <c r="AH661" s="1182">
        <v>166</v>
      </c>
      <c r="AI661" s="1182">
        <v>1670</v>
      </c>
      <c r="AJ661" s="1182" t="s">
        <v>3850</v>
      </c>
      <c r="AL661" s="1186" t="s">
        <v>3867</v>
      </c>
      <c r="AM661" s="1182">
        <v>1</v>
      </c>
      <c r="AN661" s="1182">
        <v>0</v>
      </c>
      <c r="AO661" s="1182">
        <v>0</v>
      </c>
      <c r="AP661" s="1182">
        <v>0</v>
      </c>
      <c r="AQ661" s="1182" t="s">
        <v>1639</v>
      </c>
      <c r="AS661" s="1186" t="s">
        <v>1819</v>
      </c>
      <c r="AT661" s="1186" t="s">
        <v>1820</v>
      </c>
      <c r="AV661" s="1183">
        <v>918</v>
      </c>
      <c r="AW661" s="1183">
        <v>0</v>
      </c>
      <c r="AX661" s="1183">
        <v>0</v>
      </c>
      <c r="AY661" s="1538">
        <v>918</v>
      </c>
      <c r="AZ661" s="1183">
        <v>0</v>
      </c>
      <c r="BA661" s="1183">
        <v>918</v>
      </c>
      <c r="BB661" s="1540">
        <v>918</v>
      </c>
      <c r="BC661" s="1540">
        <v>1836</v>
      </c>
      <c r="BD661" s="1540">
        <v>0</v>
      </c>
      <c r="BF661" s="1539">
        <f t="shared" si="132"/>
        <v>835</v>
      </c>
      <c r="BG661" s="1539">
        <f t="shared" si="133"/>
        <v>0</v>
      </c>
      <c r="BH661" s="1539">
        <f t="shared" si="134"/>
        <v>0</v>
      </c>
      <c r="BI661" s="1539">
        <f t="shared" si="135"/>
        <v>835</v>
      </c>
      <c r="BJ661" s="1539">
        <f t="shared" si="136"/>
        <v>0</v>
      </c>
      <c r="BK661" s="1539">
        <f t="shared" si="137"/>
        <v>835</v>
      </c>
      <c r="BL661" s="1539">
        <f t="shared" si="138"/>
        <v>835</v>
      </c>
      <c r="BM661" s="1539">
        <f t="shared" si="139"/>
        <v>1670</v>
      </c>
      <c r="BO661" s="1183"/>
      <c r="BQ661" s="1182">
        <f t="shared" si="140"/>
        <v>-0.45454545454549589</v>
      </c>
      <c r="BR661" s="1182">
        <f t="shared" si="141"/>
        <v>-0.45454545454549589</v>
      </c>
    </row>
    <row r="662" spans="1:70" ht="13.5" customHeight="1">
      <c r="A662" s="1182" t="s">
        <v>1803</v>
      </c>
      <c r="B662" s="1182" t="s">
        <v>1804</v>
      </c>
      <c r="C662" s="1182" t="s">
        <v>1639</v>
      </c>
      <c r="D662" s="1182" t="s">
        <v>3056</v>
      </c>
      <c r="E662" s="1182" t="s">
        <v>3057</v>
      </c>
      <c r="F662" s="1182" t="s">
        <v>1823</v>
      </c>
      <c r="G662" s="1182" t="s">
        <v>1823</v>
      </c>
      <c r="H662" s="1182" t="s">
        <v>3868</v>
      </c>
      <c r="I662" s="1182" t="s">
        <v>1809</v>
      </c>
      <c r="J662" s="1182" t="s">
        <v>3869</v>
      </c>
      <c r="K662" s="1182" t="s">
        <v>1811</v>
      </c>
      <c r="L662" s="1182" t="s">
        <v>1812</v>
      </c>
      <c r="M662" s="1182" t="s">
        <v>1803</v>
      </c>
      <c r="N662" s="1182" t="s">
        <v>2922</v>
      </c>
      <c r="O662" s="1182" t="s">
        <v>1554</v>
      </c>
      <c r="P662" s="1182" t="s">
        <v>1563</v>
      </c>
      <c r="Q662" s="1182" t="s">
        <v>1562</v>
      </c>
      <c r="R662" s="1182" t="s">
        <v>1561</v>
      </c>
      <c r="S662" s="1182" t="s">
        <v>1639</v>
      </c>
      <c r="T662" s="1182" t="s">
        <v>1814</v>
      </c>
      <c r="U662" s="1182" t="s">
        <v>1815</v>
      </c>
      <c r="V662" s="1182">
        <v>0</v>
      </c>
      <c r="W662" s="1182">
        <v>0</v>
      </c>
      <c r="X662" s="1182">
        <v>0</v>
      </c>
      <c r="Y662" s="1544">
        <v>24798</v>
      </c>
      <c r="Z662" s="1182" t="s">
        <v>2923</v>
      </c>
      <c r="AA662" s="1182" t="s">
        <v>2924</v>
      </c>
      <c r="AB662" s="1182">
        <v>24798</v>
      </c>
      <c r="AC662" s="1182" t="s">
        <v>2925</v>
      </c>
      <c r="AD662" s="1182" t="s">
        <v>1561</v>
      </c>
      <c r="AE662" s="1182">
        <v>24798</v>
      </c>
      <c r="AF662" s="1182" t="s">
        <v>1930</v>
      </c>
      <c r="AG662" s="1182" t="s">
        <v>1820</v>
      </c>
      <c r="AH662" s="1182">
        <v>2254</v>
      </c>
      <c r="AI662" s="1182">
        <v>22544</v>
      </c>
      <c r="AJ662" s="1182" t="s">
        <v>3850</v>
      </c>
      <c r="AL662" s="1186" t="s">
        <v>3870</v>
      </c>
      <c r="AM662" s="1182">
        <v>2</v>
      </c>
      <c r="AN662" s="1182">
        <v>17</v>
      </c>
      <c r="AO662" s="1182">
        <v>10</v>
      </c>
      <c r="AP662" s="1182">
        <v>0</v>
      </c>
      <c r="AQ662" s="1182" t="s">
        <v>1639</v>
      </c>
      <c r="AS662" s="1186">
        <v>17</v>
      </c>
      <c r="AT662" s="1186">
        <v>10</v>
      </c>
      <c r="AV662" s="1183">
        <v>4464</v>
      </c>
      <c r="AW662" s="1183">
        <v>0</v>
      </c>
      <c r="AX662" s="1183">
        <v>0</v>
      </c>
      <c r="AY662" s="1538">
        <v>4464</v>
      </c>
      <c r="AZ662" s="1183">
        <v>0</v>
      </c>
      <c r="BA662" s="1183">
        <v>20334</v>
      </c>
      <c r="BB662" s="1540">
        <v>20334</v>
      </c>
      <c r="BC662" s="1540">
        <v>24798</v>
      </c>
      <c r="BD662" s="1540">
        <v>0</v>
      </c>
      <c r="BF662" s="1539">
        <f t="shared" si="132"/>
        <v>4058</v>
      </c>
      <c r="BG662" s="1539">
        <f t="shared" si="133"/>
        <v>0</v>
      </c>
      <c r="BH662" s="1539">
        <f t="shared" si="134"/>
        <v>0</v>
      </c>
      <c r="BI662" s="1539">
        <f t="shared" si="135"/>
        <v>4058</v>
      </c>
      <c r="BJ662" s="1539">
        <f t="shared" si="136"/>
        <v>0</v>
      </c>
      <c r="BK662" s="1539">
        <f t="shared" si="137"/>
        <v>18485</v>
      </c>
      <c r="BL662" s="1539">
        <f t="shared" si="138"/>
        <v>18485</v>
      </c>
      <c r="BM662" s="1539">
        <f t="shared" si="139"/>
        <v>22543</v>
      </c>
      <c r="BO662" s="1183"/>
      <c r="BQ662" s="1182">
        <f t="shared" si="140"/>
        <v>0.18181818181801646</v>
      </c>
      <c r="BR662" s="1182">
        <f t="shared" si="141"/>
        <v>0.45454545454413164</v>
      </c>
    </row>
    <row r="663" spans="1:70" ht="13.5" customHeight="1">
      <c r="A663" s="1182" t="s">
        <v>1803</v>
      </c>
      <c r="B663" s="1182" t="s">
        <v>1804</v>
      </c>
      <c r="C663" s="1182" t="s">
        <v>1639</v>
      </c>
      <c r="D663" s="1182" t="s">
        <v>3056</v>
      </c>
      <c r="E663" s="1182" t="s">
        <v>3057</v>
      </c>
      <c r="F663" s="1182" t="s">
        <v>1856</v>
      </c>
      <c r="G663" s="1182" t="s">
        <v>1856</v>
      </c>
      <c r="H663" s="1182" t="s">
        <v>3871</v>
      </c>
      <c r="I663" s="1182" t="s">
        <v>1809</v>
      </c>
      <c r="J663" s="1182" t="s">
        <v>3872</v>
      </c>
      <c r="K663" s="1182" t="s">
        <v>1811</v>
      </c>
      <c r="L663" s="1182" t="s">
        <v>1812</v>
      </c>
      <c r="M663" s="1182" t="s">
        <v>1803</v>
      </c>
      <c r="N663" s="1182" t="s">
        <v>2922</v>
      </c>
      <c r="O663" s="1182" t="s">
        <v>1554</v>
      </c>
      <c r="P663" s="1182" t="s">
        <v>1563</v>
      </c>
      <c r="Q663" s="1182" t="s">
        <v>1562</v>
      </c>
      <c r="R663" s="1182" t="s">
        <v>1561</v>
      </c>
      <c r="S663" s="1182" t="s">
        <v>1639</v>
      </c>
      <c r="T663" s="1182" t="s">
        <v>1814</v>
      </c>
      <c r="U663" s="1182" t="s">
        <v>1815</v>
      </c>
      <c r="V663" s="1182">
        <v>0</v>
      </c>
      <c r="W663" s="1182">
        <v>0</v>
      </c>
      <c r="X663" s="1182">
        <v>0</v>
      </c>
      <c r="Y663" s="1183">
        <v>31551</v>
      </c>
      <c r="Z663" s="1182" t="s">
        <v>2923</v>
      </c>
      <c r="AA663" s="1182" t="s">
        <v>2924</v>
      </c>
      <c r="AB663" s="1182">
        <v>31551</v>
      </c>
      <c r="AC663" s="1182" t="s">
        <v>2925</v>
      </c>
      <c r="AD663" s="1182" t="s">
        <v>1561</v>
      </c>
      <c r="AE663" s="1182">
        <v>31551</v>
      </c>
      <c r="AF663" s="1182" t="s">
        <v>1930</v>
      </c>
      <c r="AG663" s="1182" t="s">
        <v>1820</v>
      </c>
      <c r="AH663" s="1182">
        <v>2868</v>
      </c>
      <c r="AI663" s="1182">
        <v>28683</v>
      </c>
      <c r="AJ663" s="1182" t="s">
        <v>3850</v>
      </c>
      <c r="AL663" s="1186" t="s">
        <v>3873</v>
      </c>
      <c r="AM663" s="1182">
        <v>2</v>
      </c>
      <c r="AN663" s="1182">
        <v>17</v>
      </c>
      <c r="AO663" s="1182">
        <v>10</v>
      </c>
      <c r="AP663" s="1182">
        <v>0</v>
      </c>
      <c r="AQ663" s="1182" t="s">
        <v>1639</v>
      </c>
      <c r="AS663" s="1186">
        <v>17</v>
      </c>
      <c r="AT663" s="1186">
        <v>10</v>
      </c>
      <c r="AV663" s="1185">
        <v>5679</v>
      </c>
      <c r="AW663" s="1185">
        <v>0</v>
      </c>
      <c r="AX663" s="1185">
        <v>0</v>
      </c>
      <c r="AY663" s="1539">
        <v>5679</v>
      </c>
      <c r="AZ663" s="1185">
        <v>0</v>
      </c>
      <c r="BA663" s="1185">
        <v>25872</v>
      </c>
      <c r="BB663" s="1540">
        <v>25872</v>
      </c>
      <c r="BC663" s="1540">
        <v>31551</v>
      </c>
      <c r="BD663" s="1540">
        <v>0</v>
      </c>
      <c r="BF663" s="1539">
        <f t="shared" si="132"/>
        <v>5163</v>
      </c>
      <c r="BG663" s="1539">
        <f t="shared" si="133"/>
        <v>0</v>
      </c>
      <c r="BH663" s="1539">
        <f t="shared" si="134"/>
        <v>0</v>
      </c>
      <c r="BI663" s="1539">
        <f t="shared" si="135"/>
        <v>5163</v>
      </c>
      <c r="BJ663" s="1539">
        <f t="shared" si="136"/>
        <v>0</v>
      </c>
      <c r="BK663" s="1539">
        <f t="shared" si="137"/>
        <v>23520</v>
      </c>
      <c r="BL663" s="1539">
        <f t="shared" si="138"/>
        <v>23520</v>
      </c>
      <c r="BM663" s="1539">
        <f t="shared" si="139"/>
        <v>28683</v>
      </c>
      <c r="BO663" s="1183"/>
      <c r="BQ663" s="1182">
        <f t="shared" si="140"/>
        <v>-0.27272727272702468</v>
      </c>
      <c r="BR663" s="1182">
        <f t="shared" si="141"/>
        <v>0</v>
      </c>
    </row>
    <row r="664" spans="1:70" ht="13.5" customHeight="1">
      <c r="A664" s="1182" t="s">
        <v>1803</v>
      </c>
      <c r="B664" s="1182" t="s">
        <v>1804</v>
      </c>
      <c r="C664" s="1182" t="s">
        <v>1639</v>
      </c>
      <c r="D664" s="1182" t="s">
        <v>3056</v>
      </c>
      <c r="E664" s="1182" t="s">
        <v>3057</v>
      </c>
      <c r="F664" s="1182" t="s">
        <v>1864</v>
      </c>
      <c r="G664" s="1182" t="s">
        <v>1864</v>
      </c>
      <c r="H664" s="1182" t="s">
        <v>3874</v>
      </c>
      <c r="I664" s="1182" t="s">
        <v>1809</v>
      </c>
      <c r="J664" s="1182" t="s">
        <v>3875</v>
      </c>
      <c r="K664" s="1182" t="s">
        <v>1811</v>
      </c>
      <c r="L664" s="1182" t="s">
        <v>1812</v>
      </c>
      <c r="M664" s="1182" t="s">
        <v>1803</v>
      </c>
      <c r="N664" s="1182" t="s">
        <v>2922</v>
      </c>
      <c r="O664" s="1182" t="s">
        <v>1554</v>
      </c>
      <c r="P664" s="1182" t="s">
        <v>1563</v>
      </c>
      <c r="Q664" s="1182" t="s">
        <v>1562</v>
      </c>
      <c r="R664" s="1182" t="s">
        <v>1561</v>
      </c>
      <c r="S664" s="1182" t="s">
        <v>1639</v>
      </c>
      <c r="T664" s="1182" t="s">
        <v>1814</v>
      </c>
      <c r="U664" s="1182" t="s">
        <v>1815</v>
      </c>
      <c r="V664" s="1182">
        <v>0</v>
      </c>
      <c r="W664" s="1182">
        <v>0</v>
      </c>
      <c r="X664" s="1182">
        <v>0</v>
      </c>
      <c r="Y664" s="1183">
        <v>30832</v>
      </c>
      <c r="Z664" s="1182" t="s">
        <v>2923</v>
      </c>
      <c r="AA664" s="1182" t="s">
        <v>2924</v>
      </c>
      <c r="AB664" s="1182">
        <v>30832</v>
      </c>
      <c r="AC664" s="1182" t="s">
        <v>2925</v>
      </c>
      <c r="AD664" s="1182" t="s">
        <v>1561</v>
      </c>
      <c r="AE664" s="1182">
        <v>30832</v>
      </c>
      <c r="AF664" s="1182" t="s">
        <v>1819</v>
      </c>
      <c r="AG664" s="1182" t="s">
        <v>1820</v>
      </c>
      <c r="AH664" s="1182">
        <v>2802</v>
      </c>
      <c r="AI664" s="1182">
        <v>28030</v>
      </c>
      <c r="AJ664" s="1182" t="s">
        <v>3850</v>
      </c>
      <c r="AL664" s="1186" t="s">
        <v>3876</v>
      </c>
      <c r="AM664" s="1182">
        <v>1</v>
      </c>
      <c r="AN664" s="1182">
        <v>0</v>
      </c>
      <c r="AO664" s="1182">
        <v>0</v>
      </c>
      <c r="AP664" s="1182">
        <v>0</v>
      </c>
      <c r="AQ664" s="1182" t="s">
        <v>1639</v>
      </c>
      <c r="AS664" s="1186" t="s">
        <v>1819</v>
      </c>
      <c r="AT664" s="1186" t="s">
        <v>1820</v>
      </c>
      <c r="AV664" s="1185">
        <v>5550</v>
      </c>
      <c r="AW664" s="1185">
        <v>0</v>
      </c>
      <c r="AX664" s="1185">
        <v>0</v>
      </c>
      <c r="AY664" s="1539">
        <v>5550</v>
      </c>
      <c r="AZ664" s="1185">
        <v>0</v>
      </c>
      <c r="BA664" s="1185">
        <v>25282</v>
      </c>
      <c r="BB664" s="1540">
        <v>25282</v>
      </c>
      <c r="BC664" s="1540">
        <v>30832</v>
      </c>
      <c r="BD664" s="1540">
        <v>0</v>
      </c>
      <c r="BF664" s="1539">
        <f t="shared" si="132"/>
        <v>5045</v>
      </c>
      <c r="BG664" s="1539">
        <f t="shared" si="133"/>
        <v>0</v>
      </c>
      <c r="BH664" s="1539">
        <f t="shared" si="134"/>
        <v>0</v>
      </c>
      <c r="BI664" s="1539">
        <f t="shared" si="135"/>
        <v>5045</v>
      </c>
      <c r="BJ664" s="1539">
        <f t="shared" si="136"/>
        <v>0</v>
      </c>
      <c r="BK664" s="1539">
        <f t="shared" si="137"/>
        <v>22984</v>
      </c>
      <c r="BL664" s="1539">
        <f t="shared" si="138"/>
        <v>22984</v>
      </c>
      <c r="BM664" s="1539">
        <f t="shared" si="139"/>
        <v>28029</v>
      </c>
      <c r="BO664" s="1183"/>
      <c r="BQ664" s="1182">
        <f t="shared" si="140"/>
        <v>0.45454545454504114</v>
      </c>
      <c r="BR664" s="1182">
        <f t="shared" si="141"/>
        <v>-0.36363636363603291</v>
      </c>
    </row>
    <row r="665" spans="1:70" ht="13.5" customHeight="1">
      <c r="A665" s="1182" t="s">
        <v>1803</v>
      </c>
      <c r="B665" s="1182" t="s">
        <v>1804</v>
      </c>
      <c r="C665" s="1182" t="s">
        <v>1639</v>
      </c>
      <c r="D665" s="1182" t="s">
        <v>3056</v>
      </c>
      <c r="E665" s="1182" t="s">
        <v>3057</v>
      </c>
      <c r="F665" s="1182" t="s">
        <v>1836</v>
      </c>
      <c r="G665" s="1182" t="s">
        <v>1836</v>
      </c>
      <c r="H665" s="1182" t="s">
        <v>3877</v>
      </c>
      <c r="I665" s="1182" t="s">
        <v>1809</v>
      </c>
      <c r="J665" s="1182" t="s">
        <v>3878</v>
      </c>
      <c r="K665" s="1182" t="s">
        <v>1811</v>
      </c>
      <c r="L665" s="1182" t="s">
        <v>1812</v>
      </c>
      <c r="M665" s="1182" t="s">
        <v>1803</v>
      </c>
      <c r="N665" s="1182" t="s">
        <v>2922</v>
      </c>
      <c r="O665" s="1182" t="s">
        <v>1554</v>
      </c>
      <c r="P665" s="1182" t="s">
        <v>1563</v>
      </c>
      <c r="Q665" s="1182" t="s">
        <v>1562</v>
      </c>
      <c r="R665" s="1182" t="s">
        <v>1561</v>
      </c>
      <c r="S665" s="1182" t="s">
        <v>1639</v>
      </c>
      <c r="T665" s="1182" t="s">
        <v>1814</v>
      </c>
      <c r="U665" s="1182" t="s">
        <v>1815</v>
      </c>
      <c r="V665" s="1182">
        <v>0</v>
      </c>
      <c r="W665" s="1182">
        <v>0</v>
      </c>
      <c r="X665" s="1182">
        <v>0</v>
      </c>
      <c r="Y665" s="1183">
        <v>28572</v>
      </c>
      <c r="Z665" s="1182" t="s">
        <v>2923</v>
      </c>
      <c r="AA665" s="1182" t="s">
        <v>2924</v>
      </c>
      <c r="AB665" s="1182">
        <v>28572</v>
      </c>
      <c r="AC665" s="1182" t="s">
        <v>2925</v>
      </c>
      <c r="AD665" s="1182" t="s">
        <v>1561</v>
      </c>
      <c r="AE665" s="1182">
        <v>28572</v>
      </c>
      <c r="AF665" s="1182" t="s">
        <v>1930</v>
      </c>
      <c r="AG665" s="1182" t="s">
        <v>1820</v>
      </c>
      <c r="AH665" s="1182">
        <v>2597</v>
      </c>
      <c r="AI665" s="1182">
        <v>25975</v>
      </c>
      <c r="AJ665" s="1182" t="s">
        <v>3850</v>
      </c>
      <c r="AL665" s="1186" t="s">
        <v>3879</v>
      </c>
      <c r="AM665" s="1182">
        <v>2</v>
      </c>
      <c r="AN665" s="1182">
        <v>17</v>
      </c>
      <c r="AO665" s="1182">
        <v>10</v>
      </c>
      <c r="AP665" s="1182">
        <v>0</v>
      </c>
      <c r="AQ665" s="1182" t="s">
        <v>1639</v>
      </c>
      <c r="AS665" s="1186">
        <v>17</v>
      </c>
      <c r="AT665" s="1186">
        <v>10</v>
      </c>
      <c r="AV665" s="1185">
        <v>5143</v>
      </c>
      <c r="AW665" s="1185">
        <v>0</v>
      </c>
      <c r="AX665" s="1185">
        <v>0</v>
      </c>
      <c r="AY665" s="1539">
        <v>5143</v>
      </c>
      <c r="AZ665" s="1185">
        <v>0</v>
      </c>
      <c r="BA665" s="1185">
        <v>23429</v>
      </c>
      <c r="BB665" s="1540">
        <v>23429</v>
      </c>
      <c r="BC665" s="1540">
        <v>28572</v>
      </c>
      <c r="BD665" s="1540">
        <v>0</v>
      </c>
      <c r="BF665" s="1539">
        <f t="shared" si="132"/>
        <v>4675</v>
      </c>
      <c r="BG665" s="1539">
        <f t="shared" si="133"/>
        <v>0</v>
      </c>
      <c r="BH665" s="1539">
        <f t="shared" si="134"/>
        <v>0</v>
      </c>
      <c r="BI665" s="1539">
        <f t="shared" si="135"/>
        <v>4675</v>
      </c>
      <c r="BJ665" s="1539">
        <f t="shared" si="136"/>
        <v>0</v>
      </c>
      <c r="BK665" s="1539">
        <f t="shared" si="137"/>
        <v>21299</v>
      </c>
      <c r="BL665" s="1539">
        <f t="shared" si="138"/>
        <v>21299</v>
      </c>
      <c r="BM665" s="1539">
        <f t="shared" si="139"/>
        <v>25974</v>
      </c>
      <c r="BO665" s="1183"/>
      <c r="BQ665" s="1182">
        <f t="shared" si="140"/>
        <v>0.45454545454504114</v>
      </c>
      <c r="BR665" s="1182">
        <f t="shared" si="141"/>
        <v>9.0909090908098733E-2</v>
      </c>
    </row>
    <row r="666" spans="1:70" ht="13.5" customHeight="1">
      <c r="A666" s="1182" t="s">
        <v>1803</v>
      </c>
      <c r="B666" s="1182" t="s">
        <v>1804</v>
      </c>
      <c r="C666" s="1182" t="s">
        <v>1639</v>
      </c>
      <c r="D666" s="1182" t="s">
        <v>3056</v>
      </c>
      <c r="E666" s="1182" t="s">
        <v>3057</v>
      </c>
      <c r="F666" s="1182" t="s">
        <v>2607</v>
      </c>
      <c r="G666" s="1182" t="s">
        <v>2607</v>
      </c>
      <c r="H666" s="1182" t="s">
        <v>3880</v>
      </c>
      <c r="I666" s="1182" t="s">
        <v>1809</v>
      </c>
      <c r="J666" s="1182" t="s">
        <v>3881</v>
      </c>
      <c r="K666" s="1182" t="s">
        <v>1811</v>
      </c>
      <c r="L666" s="1182" t="s">
        <v>1812</v>
      </c>
      <c r="M666" s="1182" t="s">
        <v>1803</v>
      </c>
      <c r="N666" s="1182" t="s">
        <v>2922</v>
      </c>
      <c r="O666" s="1182" t="s">
        <v>1554</v>
      </c>
      <c r="P666" s="1182" t="s">
        <v>1563</v>
      </c>
      <c r="Q666" s="1182" t="s">
        <v>1562</v>
      </c>
      <c r="R666" s="1182" t="s">
        <v>1561</v>
      </c>
      <c r="S666" s="1182" t="s">
        <v>1639</v>
      </c>
      <c r="T666" s="1182" t="s">
        <v>1814</v>
      </c>
      <c r="U666" s="1182" t="s">
        <v>1815</v>
      </c>
      <c r="V666" s="1182">
        <v>0</v>
      </c>
      <c r="W666" s="1182">
        <v>0</v>
      </c>
      <c r="X666" s="1182">
        <v>0</v>
      </c>
      <c r="Y666" s="1183">
        <v>37257</v>
      </c>
      <c r="Z666" s="1182" t="s">
        <v>2923</v>
      </c>
      <c r="AA666" s="1182" t="s">
        <v>2924</v>
      </c>
      <c r="AB666" s="1182">
        <v>37257</v>
      </c>
      <c r="AC666" s="1182" t="s">
        <v>2925</v>
      </c>
      <c r="AD666" s="1182" t="s">
        <v>1561</v>
      </c>
      <c r="AE666" s="1182">
        <v>37257</v>
      </c>
      <c r="AF666" s="1182" t="s">
        <v>1930</v>
      </c>
      <c r="AG666" s="1182" t="s">
        <v>1820</v>
      </c>
      <c r="AH666" s="1182">
        <v>3387</v>
      </c>
      <c r="AI666" s="1182">
        <v>33870</v>
      </c>
      <c r="AJ666" s="1182" t="s">
        <v>3850</v>
      </c>
      <c r="AL666" s="1186" t="s">
        <v>3882</v>
      </c>
      <c r="AM666" s="1182">
        <v>2</v>
      </c>
      <c r="AN666" s="1182">
        <v>17</v>
      </c>
      <c r="AO666" s="1182">
        <v>10</v>
      </c>
      <c r="AP666" s="1182">
        <v>0</v>
      </c>
      <c r="AQ666" s="1182" t="s">
        <v>1639</v>
      </c>
      <c r="AS666" s="1186">
        <v>17</v>
      </c>
      <c r="AT666" s="1186">
        <v>10</v>
      </c>
      <c r="AV666" s="1185">
        <v>6706</v>
      </c>
      <c r="AW666" s="1185">
        <v>0</v>
      </c>
      <c r="AX666" s="1185">
        <v>0</v>
      </c>
      <c r="AY666" s="1539">
        <v>6706</v>
      </c>
      <c r="AZ666" s="1185">
        <v>0</v>
      </c>
      <c r="BA666" s="1185">
        <v>30551</v>
      </c>
      <c r="BB666" s="1540">
        <v>30551</v>
      </c>
      <c r="BC666" s="1540">
        <v>37257</v>
      </c>
      <c r="BD666" s="1540">
        <v>0</v>
      </c>
      <c r="BF666" s="1539">
        <f t="shared" si="132"/>
        <v>6096</v>
      </c>
      <c r="BG666" s="1539">
        <f t="shared" si="133"/>
        <v>0</v>
      </c>
      <c r="BH666" s="1539">
        <f t="shared" si="134"/>
        <v>0</v>
      </c>
      <c r="BI666" s="1539">
        <f t="shared" si="135"/>
        <v>6096</v>
      </c>
      <c r="BJ666" s="1539">
        <f t="shared" si="136"/>
        <v>0</v>
      </c>
      <c r="BK666" s="1539">
        <f t="shared" si="137"/>
        <v>27774</v>
      </c>
      <c r="BL666" s="1539">
        <f t="shared" si="138"/>
        <v>27774</v>
      </c>
      <c r="BM666" s="1539">
        <f t="shared" si="139"/>
        <v>33870</v>
      </c>
      <c r="BO666" s="1183"/>
      <c r="BQ666" s="1182">
        <f t="shared" si="140"/>
        <v>0.36363636363603291</v>
      </c>
      <c r="BR666" s="1182">
        <f t="shared" si="141"/>
        <v>-0.36363636363603291</v>
      </c>
    </row>
    <row r="667" spans="1:70" ht="13.5" customHeight="1">
      <c r="A667" s="1182" t="s">
        <v>1803</v>
      </c>
      <c r="B667" s="1182" t="s">
        <v>1804</v>
      </c>
      <c r="C667" s="1182" t="s">
        <v>1639</v>
      </c>
      <c r="D667" s="1182" t="s">
        <v>3056</v>
      </c>
      <c r="E667" s="1182" t="s">
        <v>3057</v>
      </c>
      <c r="F667" s="1182" t="s">
        <v>2323</v>
      </c>
      <c r="G667" s="1182" t="s">
        <v>2323</v>
      </c>
      <c r="H667" s="1182" t="s">
        <v>3883</v>
      </c>
      <c r="I667" s="1182" t="s">
        <v>1809</v>
      </c>
      <c r="J667" s="1182" t="s">
        <v>3884</v>
      </c>
      <c r="K667" s="1182" t="s">
        <v>1811</v>
      </c>
      <c r="L667" s="1182" t="s">
        <v>1812</v>
      </c>
      <c r="M667" s="1182" t="s">
        <v>1803</v>
      </c>
      <c r="N667" s="1182" t="s">
        <v>2922</v>
      </c>
      <c r="O667" s="1182" t="s">
        <v>1554</v>
      </c>
      <c r="P667" s="1182" t="s">
        <v>1563</v>
      </c>
      <c r="Q667" s="1182" t="s">
        <v>1562</v>
      </c>
      <c r="R667" s="1182" t="s">
        <v>1561</v>
      </c>
      <c r="S667" s="1182" t="s">
        <v>1639</v>
      </c>
      <c r="T667" s="1182" t="s">
        <v>1814</v>
      </c>
      <c r="U667" s="1182" t="s">
        <v>1815</v>
      </c>
      <c r="V667" s="1182">
        <v>0</v>
      </c>
      <c r="W667" s="1182">
        <v>0</v>
      </c>
      <c r="X667" s="1182">
        <v>0</v>
      </c>
      <c r="Y667" s="1183">
        <v>41167</v>
      </c>
      <c r="Z667" s="1182" t="s">
        <v>2923</v>
      </c>
      <c r="AA667" s="1182" t="s">
        <v>2924</v>
      </c>
      <c r="AB667" s="1182">
        <v>41167</v>
      </c>
      <c r="AC667" s="1182" t="s">
        <v>2925</v>
      </c>
      <c r="AD667" s="1182" t="s">
        <v>1561</v>
      </c>
      <c r="AE667" s="1182">
        <v>41167</v>
      </c>
      <c r="AF667" s="1182" t="s">
        <v>1930</v>
      </c>
      <c r="AG667" s="1182" t="s">
        <v>1820</v>
      </c>
      <c r="AH667" s="1182">
        <v>3742</v>
      </c>
      <c r="AI667" s="1182">
        <v>37425</v>
      </c>
      <c r="AJ667" s="1182" t="s">
        <v>3850</v>
      </c>
      <c r="AL667" s="1186" t="s">
        <v>3885</v>
      </c>
      <c r="AM667" s="1182">
        <v>2</v>
      </c>
      <c r="AN667" s="1182">
        <v>17</v>
      </c>
      <c r="AO667" s="1182">
        <v>10</v>
      </c>
      <c r="AP667" s="1182">
        <v>0</v>
      </c>
      <c r="AQ667" s="1182" t="s">
        <v>1639</v>
      </c>
      <c r="AS667" s="1186">
        <v>17</v>
      </c>
      <c r="AT667" s="1186">
        <v>10</v>
      </c>
      <c r="AV667" s="1185">
        <v>7410</v>
      </c>
      <c r="AW667" s="1185">
        <v>0</v>
      </c>
      <c r="AX667" s="1185">
        <v>0</v>
      </c>
      <c r="AY667" s="1539">
        <v>7410</v>
      </c>
      <c r="AZ667" s="1185">
        <v>0</v>
      </c>
      <c r="BA667" s="1185">
        <v>33757</v>
      </c>
      <c r="BB667" s="1540">
        <v>33757</v>
      </c>
      <c r="BC667" s="1540">
        <v>41167</v>
      </c>
      <c r="BD667" s="1540">
        <v>0</v>
      </c>
      <c r="BF667" s="1539">
        <f t="shared" si="132"/>
        <v>6736</v>
      </c>
      <c r="BG667" s="1539">
        <f t="shared" si="133"/>
        <v>0</v>
      </c>
      <c r="BH667" s="1539">
        <f t="shared" si="134"/>
        <v>0</v>
      </c>
      <c r="BI667" s="1539">
        <f t="shared" si="135"/>
        <v>6736</v>
      </c>
      <c r="BJ667" s="1539">
        <f t="shared" si="136"/>
        <v>0</v>
      </c>
      <c r="BK667" s="1539">
        <f t="shared" si="137"/>
        <v>30688</v>
      </c>
      <c r="BL667" s="1539">
        <f t="shared" si="138"/>
        <v>30688</v>
      </c>
      <c r="BM667" s="1539">
        <f t="shared" si="139"/>
        <v>37424</v>
      </c>
      <c r="BO667" s="1183"/>
      <c r="BQ667" s="1182">
        <f t="shared" si="140"/>
        <v>0.36363636363603291</v>
      </c>
      <c r="BR667" s="1182">
        <f t="shared" si="141"/>
        <v>0.18181818181983544</v>
      </c>
    </row>
    <row r="668" spans="1:70" ht="13.5" customHeight="1">
      <c r="A668" s="1182" t="s">
        <v>1803</v>
      </c>
      <c r="B668" s="1182" t="s">
        <v>1804</v>
      </c>
      <c r="C668" s="1182" t="s">
        <v>1639</v>
      </c>
      <c r="D668" s="1182" t="s">
        <v>2866</v>
      </c>
      <c r="E668" s="1182" t="s">
        <v>2867</v>
      </c>
      <c r="F668" s="1182" t="s">
        <v>2438</v>
      </c>
      <c r="G668" s="1182" t="s">
        <v>2438</v>
      </c>
      <c r="H668" s="1182" t="s">
        <v>3886</v>
      </c>
      <c r="I668" s="1182" t="s">
        <v>1937</v>
      </c>
      <c r="J668" s="1182" t="s">
        <v>3887</v>
      </c>
      <c r="K668" s="1182" t="s">
        <v>1811</v>
      </c>
      <c r="L668" s="1182" t="s">
        <v>1812</v>
      </c>
      <c r="M668" s="1182" t="s">
        <v>1803</v>
      </c>
      <c r="N668" s="1182" t="s">
        <v>2922</v>
      </c>
      <c r="O668" s="1182" t="s">
        <v>1554</v>
      </c>
      <c r="P668" s="1182" t="s">
        <v>1563</v>
      </c>
      <c r="Q668" s="1182" t="s">
        <v>1562</v>
      </c>
      <c r="R668" s="1182" t="s">
        <v>1561</v>
      </c>
      <c r="S668" s="1182" t="s">
        <v>1639</v>
      </c>
      <c r="T668" s="1182" t="s">
        <v>1814</v>
      </c>
      <c r="U668" s="1182" t="s">
        <v>1815</v>
      </c>
      <c r="V668" s="1182">
        <v>0</v>
      </c>
      <c r="W668" s="1182">
        <v>0</v>
      </c>
      <c r="X668" s="1182">
        <v>0</v>
      </c>
      <c r="Y668" s="1183">
        <v>3996</v>
      </c>
      <c r="Z668" s="1182" t="s">
        <v>1940</v>
      </c>
      <c r="AA668" s="1182" t="s">
        <v>1941</v>
      </c>
      <c r="AB668" s="1182">
        <v>3996</v>
      </c>
      <c r="AC668" s="1182" t="s">
        <v>2925</v>
      </c>
      <c r="AD668" s="1182" t="s">
        <v>1561</v>
      </c>
      <c r="AE668" s="1182">
        <v>3996</v>
      </c>
      <c r="AF668" s="1182" t="s">
        <v>1930</v>
      </c>
      <c r="AG668" s="1182" t="s">
        <v>1820</v>
      </c>
      <c r="AH668" s="1182">
        <v>363</v>
      </c>
      <c r="AI668" s="1182">
        <v>3633</v>
      </c>
      <c r="AJ668" s="1182" t="s">
        <v>3888</v>
      </c>
      <c r="AL668" s="1186" t="s">
        <v>3889</v>
      </c>
      <c r="AM668" s="1182">
        <v>2</v>
      </c>
      <c r="AN668" s="1182">
        <v>17</v>
      </c>
      <c r="AO668" s="1182">
        <v>10</v>
      </c>
      <c r="AP668" s="1182" t="s">
        <v>3890</v>
      </c>
      <c r="AQ668" s="1182" t="s">
        <v>1639</v>
      </c>
      <c r="AS668" s="1186">
        <v>17</v>
      </c>
      <c r="AT668" s="1186">
        <v>10</v>
      </c>
      <c r="AV668" s="1183">
        <v>3996</v>
      </c>
      <c r="AW668" s="1183">
        <v>0</v>
      </c>
      <c r="AX668" s="1183">
        <v>0</v>
      </c>
      <c r="AY668" s="1538">
        <v>3996</v>
      </c>
      <c r="AZ668" s="1183">
        <v>0</v>
      </c>
      <c r="BA668" s="1183">
        <v>0</v>
      </c>
      <c r="BB668" s="1540">
        <v>0</v>
      </c>
      <c r="BC668" s="1540">
        <v>3996</v>
      </c>
      <c r="BD668" s="1540">
        <v>0</v>
      </c>
      <c r="BF668" s="1539">
        <f t="shared" si="132"/>
        <v>3633</v>
      </c>
      <c r="BG668" s="1539">
        <f t="shared" si="133"/>
        <v>0</v>
      </c>
      <c r="BH668" s="1539">
        <f t="shared" si="134"/>
        <v>0</v>
      </c>
      <c r="BI668" s="1539">
        <f t="shared" si="135"/>
        <v>3633</v>
      </c>
      <c r="BJ668" s="1539">
        <f t="shared" si="136"/>
        <v>0</v>
      </c>
      <c r="BK668" s="1539">
        <f t="shared" si="137"/>
        <v>0</v>
      </c>
      <c r="BL668" s="1539">
        <f t="shared" si="138"/>
        <v>0</v>
      </c>
      <c r="BM668" s="1539">
        <f t="shared" si="139"/>
        <v>3633</v>
      </c>
      <c r="BO668" s="1183"/>
      <c r="BQ668" s="1182">
        <f t="shared" si="140"/>
        <v>-0.27272727272747943</v>
      </c>
      <c r="BR668" s="1182">
        <f t="shared" si="141"/>
        <v>0</v>
      </c>
    </row>
    <row r="669" spans="1:70" ht="13.5" customHeight="1">
      <c r="A669" s="1182" t="s">
        <v>1803</v>
      </c>
      <c r="B669" s="1182" t="s">
        <v>1804</v>
      </c>
      <c r="C669" s="1182" t="s">
        <v>1639</v>
      </c>
      <c r="D669" s="1182" t="s">
        <v>2866</v>
      </c>
      <c r="E669" s="1182" t="s">
        <v>2867</v>
      </c>
      <c r="F669" s="1182" t="s">
        <v>2107</v>
      </c>
      <c r="G669" s="1182" t="s">
        <v>2107</v>
      </c>
      <c r="H669" s="1182" t="s">
        <v>3886</v>
      </c>
      <c r="I669" s="1182" t="s">
        <v>1937</v>
      </c>
      <c r="J669" s="1182" t="s">
        <v>3894</v>
      </c>
      <c r="K669" s="1182" t="s">
        <v>1811</v>
      </c>
      <c r="L669" s="1182" t="s">
        <v>1812</v>
      </c>
      <c r="M669" s="1182" t="s">
        <v>1803</v>
      </c>
      <c r="N669" s="1182" t="s">
        <v>2922</v>
      </c>
      <c r="O669" s="1182" t="s">
        <v>1554</v>
      </c>
      <c r="P669" s="1182" t="s">
        <v>1563</v>
      </c>
      <c r="Q669" s="1182" t="s">
        <v>1562</v>
      </c>
      <c r="R669" s="1182" t="s">
        <v>1561</v>
      </c>
      <c r="S669" s="1182" t="s">
        <v>1639</v>
      </c>
      <c r="T669" s="1182" t="s">
        <v>1814</v>
      </c>
      <c r="U669" s="1182" t="s">
        <v>1815</v>
      </c>
      <c r="V669" s="1182">
        <v>0</v>
      </c>
      <c r="W669" s="1182">
        <v>0</v>
      </c>
      <c r="X669" s="1182">
        <v>0</v>
      </c>
      <c r="Y669" s="1544">
        <v>135884</v>
      </c>
      <c r="Z669" s="1182" t="s">
        <v>1940</v>
      </c>
      <c r="AA669" s="1182" t="s">
        <v>1941</v>
      </c>
      <c r="AB669" s="1182">
        <v>135884</v>
      </c>
      <c r="AC669" s="1182" t="s">
        <v>2925</v>
      </c>
      <c r="AD669" s="1182" t="s">
        <v>1561</v>
      </c>
      <c r="AE669" s="1182">
        <v>135884</v>
      </c>
      <c r="AF669" s="1182" t="s">
        <v>1930</v>
      </c>
      <c r="AG669" s="1182" t="s">
        <v>1820</v>
      </c>
      <c r="AH669" s="1182">
        <v>12353</v>
      </c>
      <c r="AI669" s="1182">
        <v>123531</v>
      </c>
      <c r="AJ669" s="1182" t="s">
        <v>3895</v>
      </c>
      <c r="AL669" s="1186" t="s">
        <v>3896</v>
      </c>
      <c r="AM669" s="1182">
        <v>2</v>
      </c>
      <c r="AN669" s="1182">
        <v>17</v>
      </c>
      <c r="AO669" s="1182">
        <v>10</v>
      </c>
      <c r="AP669" s="1182" t="s">
        <v>3890</v>
      </c>
      <c r="AQ669" s="1182" t="s">
        <v>1639</v>
      </c>
      <c r="AS669" s="1186">
        <v>17</v>
      </c>
      <c r="AT669" s="1186">
        <v>10</v>
      </c>
      <c r="AV669" s="1183">
        <v>135884</v>
      </c>
      <c r="AW669" s="1183">
        <v>0</v>
      </c>
      <c r="AX669" s="1183">
        <v>0</v>
      </c>
      <c r="AY669" s="1538">
        <v>135884</v>
      </c>
      <c r="AZ669" s="1183">
        <v>0</v>
      </c>
      <c r="BA669" s="1183">
        <v>0</v>
      </c>
      <c r="BB669" s="1540">
        <v>0</v>
      </c>
      <c r="BC669" s="1540">
        <v>135884</v>
      </c>
      <c r="BD669" s="1540">
        <v>0</v>
      </c>
      <c r="BF669" s="1539">
        <f t="shared" si="132"/>
        <v>123531</v>
      </c>
      <c r="BG669" s="1539">
        <f t="shared" si="133"/>
        <v>0</v>
      </c>
      <c r="BH669" s="1539">
        <f t="shared" si="134"/>
        <v>0</v>
      </c>
      <c r="BI669" s="1539">
        <f t="shared" si="135"/>
        <v>123531</v>
      </c>
      <c r="BJ669" s="1539">
        <f t="shared" si="136"/>
        <v>0</v>
      </c>
      <c r="BK669" s="1539">
        <f t="shared" si="137"/>
        <v>0</v>
      </c>
      <c r="BL669" s="1539">
        <f t="shared" si="138"/>
        <v>0</v>
      </c>
      <c r="BM669" s="1539">
        <f t="shared" si="139"/>
        <v>123531</v>
      </c>
      <c r="BO669" s="1183"/>
      <c r="BQ669" s="1182">
        <f t="shared" si="140"/>
        <v>-9.0909090911736712E-2</v>
      </c>
      <c r="BR669" s="1182">
        <f t="shared" si="141"/>
        <v>0</v>
      </c>
    </row>
    <row r="670" spans="1:70" ht="13.5" customHeight="1">
      <c r="A670" s="1182" t="s">
        <v>1803</v>
      </c>
      <c r="B670" s="1182" t="s">
        <v>1804</v>
      </c>
      <c r="C670" s="1182" t="s">
        <v>1639</v>
      </c>
      <c r="D670" s="1182" t="s">
        <v>2866</v>
      </c>
      <c r="E670" s="1182" t="s">
        <v>2867</v>
      </c>
      <c r="F670" s="1182" t="s">
        <v>2094</v>
      </c>
      <c r="G670" s="1182" t="s">
        <v>2094</v>
      </c>
      <c r="H670" s="1182" t="s">
        <v>3891</v>
      </c>
      <c r="I670" s="1182" t="s">
        <v>1937</v>
      </c>
      <c r="J670" s="1182" t="s">
        <v>3892</v>
      </c>
      <c r="K670" s="1182" t="s">
        <v>1811</v>
      </c>
      <c r="L670" s="1182" t="s">
        <v>1812</v>
      </c>
      <c r="M670" s="1182" t="s">
        <v>1803</v>
      </c>
      <c r="N670" s="1182" t="s">
        <v>2922</v>
      </c>
      <c r="O670" s="1182" t="s">
        <v>1554</v>
      </c>
      <c r="P670" s="1182" t="s">
        <v>1563</v>
      </c>
      <c r="Q670" s="1182" t="s">
        <v>1562</v>
      </c>
      <c r="R670" s="1182" t="s">
        <v>1561</v>
      </c>
      <c r="S670" s="1182" t="s">
        <v>1639</v>
      </c>
      <c r="T670" s="1182" t="s">
        <v>1814</v>
      </c>
      <c r="U670" s="1182" t="s">
        <v>1815</v>
      </c>
      <c r="V670" s="1182">
        <v>0</v>
      </c>
      <c r="W670" s="1182">
        <v>0</v>
      </c>
      <c r="X670" s="1182">
        <v>0</v>
      </c>
      <c r="Y670" s="1183">
        <v>7993</v>
      </c>
      <c r="Z670" s="1182" t="s">
        <v>1940</v>
      </c>
      <c r="AA670" s="1182" t="s">
        <v>1941</v>
      </c>
      <c r="AB670" s="1182">
        <v>7993</v>
      </c>
      <c r="AC670" s="1182" t="s">
        <v>2925</v>
      </c>
      <c r="AD670" s="1182" t="s">
        <v>1561</v>
      </c>
      <c r="AE670" s="1182">
        <v>7993</v>
      </c>
      <c r="AF670" s="1182" t="s">
        <v>1819</v>
      </c>
      <c r="AG670" s="1182" t="s">
        <v>1820</v>
      </c>
      <c r="AH670" s="1182">
        <v>726</v>
      </c>
      <c r="AI670" s="1182">
        <v>7267</v>
      </c>
      <c r="AJ670" s="1182" t="s">
        <v>3888</v>
      </c>
      <c r="AL670" s="1186" t="s">
        <v>3893</v>
      </c>
      <c r="AM670" s="1182">
        <v>1</v>
      </c>
      <c r="AN670" s="1182">
        <v>0</v>
      </c>
      <c r="AO670" s="1182">
        <v>0</v>
      </c>
      <c r="AP670" s="1182" t="s">
        <v>3890</v>
      </c>
      <c r="AQ670" s="1182" t="s">
        <v>1639</v>
      </c>
      <c r="AS670" s="1186" t="s">
        <v>1819</v>
      </c>
      <c r="AT670" s="1186" t="s">
        <v>1820</v>
      </c>
      <c r="AV670" s="1185">
        <v>7993</v>
      </c>
      <c r="AW670" s="1185">
        <v>0</v>
      </c>
      <c r="AX670" s="1185">
        <v>0</v>
      </c>
      <c r="AY670" s="1539">
        <v>7993</v>
      </c>
      <c r="AZ670" s="1185">
        <v>0</v>
      </c>
      <c r="BA670" s="1185">
        <v>0</v>
      </c>
      <c r="BB670" s="1540">
        <v>0</v>
      </c>
      <c r="BC670" s="1540">
        <v>7993</v>
      </c>
      <c r="BD670" s="1540">
        <v>0</v>
      </c>
      <c r="BF670" s="1539">
        <f t="shared" si="132"/>
        <v>7266</v>
      </c>
      <c r="BG670" s="1539">
        <f t="shared" si="133"/>
        <v>0</v>
      </c>
      <c r="BH670" s="1539">
        <f t="shared" si="134"/>
        <v>0</v>
      </c>
      <c r="BI670" s="1539">
        <f t="shared" si="135"/>
        <v>7266</v>
      </c>
      <c r="BJ670" s="1539">
        <f t="shared" si="136"/>
        <v>0</v>
      </c>
      <c r="BK670" s="1539">
        <f t="shared" si="137"/>
        <v>0</v>
      </c>
      <c r="BL670" s="1539">
        <f t="shared" si="138"/>
        <v>0</v>
      </c>
      <c r="BM670" s="1539">
        <f t="shared" si="139"/>
        <v>7266</v>
      </c>
      <c r="BO670" s="1183"/>
      <c r="BQ670" s="1182">
        <f t="shared" si="140"/>
        <v>0.36363636363603291</v>
      </c>
      <c r="BR670" s="1182">
        <f t="shared" si="141"/>
        <v>0</v>
      </c>
    </row>
    <row r="671" spans="1:70" ht="13.5" customHeight="1">
      <c r="A671" s="1182" t="s">
        <v>1803</v>
      </c>
      <c r="B671" s="1182" t="s">
        <v>1804</v>
      </c>
      <c r="C671" s="1182" t="s">
        <v>1639</v>
      </c>
      <c r="D671" s="1182" t="s">
        <v>2866</v>
      </c>
      <c r="E671" s="1182" t="s">
        <v>2867</v>
      </c>
      <c r="F671" s="1182" t="s">
        <v>2180</v>
      </c>
      <c r="G671" s="1182" t="s">
        <v>2180</v>
      </c>
      <c r="H671" s="1182" t="s">
        <v>3886</v>
      </c>
      <c r="I671" s="1182" t="s">
        <v>1937</v>
      </c>
      <c r="J671" s="1182" t="s">
        <v>3902</v>
      </c>
      <c r="K671" s="1182" t="s">
        <v>1811</v>
      </c>
      <c r="L671" s="1182" t="s">
        <v>1812</v>
      </c>
      <c r="M671" s="1182" t="s">
        <v>1803</v>
      </c>
      <c r="N671" s="1182" t="s">
        <v>2922</v>
      </c>
      <c r="O671" s="1182" t="s">
        <v>1554</v>
      </c>
      <c r="P671" s="1182" t="s">
        <v>1563</v>
      </c>
      <c r="Q671" s="1182" t="s">
        <v>1562</v>
      </c>
      <c r="R671" s="1182" t="s">
        <v>1561</v>
      </c>
      <c r="S671" s="1182" t="s">
        <v>1639</v>
      </c>
      <c r="T671" s="1182" t="s">
        <v>1814</v>
      </c>
      <c r="U671" s="1182" t="s">
        <v>1815</v>
      </c>
      <c r="V671" s="1182">
        <v>0</v>
      </c>
      <c r="W671" s="1182">
        <v>0</v>
      </c>
      <c r="X671" s="1182">
        <v>0</v>
      </c>
      <c r="Y671" s="1183">
        <v>39965</v>
      </c>
      <c r="Z671" s="1182" t="s">
        <v>1940</v>
      </c>
      <c r="AA671" s="1182" t="s">
        <v>1941</v>
      </c>
      <c r="AB671" s="1182">
        <v>39965</v>
      </c>
      <c r="AC671" s="1182" t="s">
        <v>2925</v>
      </c>
      <c r="AD671" s="1182" t="s">
        <v>1561</v>
      </c>
      <c r="AE671" s="1182">
        <v>39965</v>
      </c>
      <c r="AF671" s="1182" t="s">
        <v>1930</v>
      </c>
      <c r="AG671" s="1182" t="s">
        <v>1820</v>
      </c>
      <c r="AH671" s="1182">
        <v>3633</v>
      </c>
      <c r="AI671" s="1182">
        <v>36332</v>
      </c>
      <c r="AJ671" s="1182" t="s">
        <v>3888</v>
      </c>
      <c r="AL671" s="1186" t="s">
        <v>3903</v>
      </c>
      <c r="AM671" s="1182">
        <v>2</v>
      </c>
      <c r="AN671" s="1182">
        <v>17</v>
      </c>
      <c r="AO671" s="1182">
        <v>10</v>
      </c>
      <c r="AP671" s="1182" t="s">
        <v>3890</v>
      </c>
      <c r="AQ671" s="1182" t="s">
        <v>1639</v>
      </c>
      <c r="AS671" s="1186">
        <v>17</v>
      </c>
      <c r="AT671" s="1186">
        <v>10</v>
      </c>
      <c r="AV671" s="1185">
        <v>39965</v>
      </c>
      <c r="AW671" s="1185">
        <v>0</v>
      </c>
      <c r="AX671" s="1185">
        <v>0</v>
      </c>
      <c r="AY671" s="1539">
        <v>39965</v>
      </c>
      <c r="AZ671" s="1185">
        <v>0</v>
      </c>
      <c r="BA671" s="1185">
        <v>0</v>
      </c>
      <c r="BB671" s="1540">
        <v>0</v>
      </c>
      <c r="BC671" s="1540">
        <v>39965</v>
      </c>
      <c r="BD671" s="1540">
        <v>0</v>
      </c>
      <c r="BF671" s="1539">
        <f t="shared" si="132"/>
        <v>36332</v>
      </c>
      <c r="BG671" s="1539">
        <f t="shared" si="133"/>
        <v>0</v>
      </c>
      <c r="BH671" s="1539">
        <f t="shared" si="134"/>
        <v>0</v>
      </c>
      <c r="BI671" s="1539">
        <f t="shared" si="135"/>
        <v>36332</v>
      </c>
      <c r="BJ671" s="1539">
        <f t="shared" si="136"/>
        <v>0</v>
      </c>
      <c r="BK671" s="1539">
        <f t="shared" si="137"/>
        <v>0</v>
      </c>
      <c r="BL671" s="1539">
        <f t="shared" si="138"/>
        <v>0</v>
      </c>
      <c r="BM671" s="1539">
        <f t="shared" si="139"/>
        <v>36332</v>
      </c>
      <c r="BO671" s="1183"/>
      <c r="BQ671" s="1182">
        <f t="shared" si="140"/>
        <v>-0.18181818181619747</v>
      </c>
      <c r="BR671" s="1182">
        <f t="shared" si="141"/>
        <v>0</v>
      </c>
    </row>
    <row r="672" spans="1:70" ht="13.5" customHeight="1">
      <c r="A672" s="1182" t="s">
        <v>1803</v>
      </c>
      <c r="B672" s="1182" t="s">
        <v>1804</v>
      </c>
      <c r="C672" s="1182" t="s">
        <v>1639</v>
      </c>
      <c r="D672" s="1182" t="s">
        <v>2866</v>
      </c>
      <c r="E672" s="1182" t="s">
        <v>2867</v>
      </c>
      <c r="F672" s="1182" t="s">
        <v>2957</v>
      </c>
      <c r="G672" s="1182" t="s">
        <v>2957</v>
      </c>
      <c r="H672" s="1182" t="s">
        <v>3886</v>
      </c>
      <c r="I672" s="1182" t="s">
        <v>1937</v>
      </c>
      <c r="J672" s="1182" t="s">
        <v>3897</v>
      </c>
      <c r="K672" s="1182" t="s">
        <v>1811</v>
      </c>
      <c r="L672" s="1182" t="s">
        <v>1812</v>
      </c>
      <c r="M672" s="1182" t="s">
        <v>1803</v>
      </c>
      <c r="N672" s="1182" t="s">
        <v>2922</v>
      </c>
      <c r="O672" s="1182" t="s">
        <v>1554</v>
      </c>
      <c r="P672" s="1182" t="s">
        <v>1563</v>
      </c>
      <c r="Q672" s="1182" t="s">
        <v>1562</v>
      </c>
      <c r="R672" s="1182" t="s">
        <v>1561</v>
      </c>
      <c r="S672" s="1182" t="s">
        <v>1639</v>
      </c>
      <c r="T672" s="1182" t="s">
        <v>1814</v>
      </c>
      <c r="U672" s="1182" t="s">
        <v>1815</v>
      </c>
      <c r="V672" s="1182">
        <v>0</v>
      </c>
      <c r="W672" s="1182">
        <v>0</v>
      </c>
      <c r="X672" s="1182">
        <v>0</v>
      </c>
      <c r="Y672" s="1183">
        <v>871984</v>
      </c>
      <c r="Z672" s="1182" t="s">
        <v>1940</v>
      </c>
      <c r="AA672" s="1182" t="s">
        <v>1941</v>
      </c>
      <c r="AB672" s="1182">
        <v>871984</v>
      </c>
      <c r="AC672" s="1182" t="s">
        <v>2925</v>
      </c>
      <c r="AD672" s="1182" t="s">
        <v>1561</v>
      </c>
      <c r="AE672" s="1182">
        <v>871984</v>
      </c>
      <c r="AF672" s="1182" t="s">
        <v>1943</v>
      </c>
      <c r="AG672" s="1182" t="s">
        <v>1944</v>
      </c>
      <c r="AH672" s="1182">
        <v>0</v>
      </c>
      <c r="AI672" s="1182">
        <v>871984</v>
      </c>
      <c r="AJ672" s="1182" t="s">
        <v>3895</v>
      </c>
      <c r="AL672" s="1186" t="s">
        <v>3898</v>
      </c>
      <c r="AM672" s="1182">
        <v>1</v>
      </c>
      <c r="AN672" s="1182">
        <v>0</v>
      </c>
      <c r="AO672" s="1182">
        <v>0</v>
      </c>
      <c r="AP672" s="1182" t="s">
        <v>3899</v>
      </c>
      <c r="AQ672" s="1182" t="s">
        <v>1639</v>
      </c>
      <c r="AS672" s="1186" t="s">
        <v>1943</v>
      </c>
      <c r="AT672" s="1186" t="s">
        <v>1944</v>
      </c>
      <c r="AV672" s="1185">
        <v>871984</v>
      </c>
      <c r="AW672" s="1185">
        <v>0</v>
      </c>
      <c r="AX672" s="1185">
        <v>0</v>
      </c>
      <c r="AY672" s="1539">
        <v>871984</v>
      </c>
      <c r="AZ672" s="1185">
        <v>0</v>
      </c>
      <c r="BA672" s="1185">
        <v>0</v>
      </c>
      <c r="BB672" s="1540">
        <v>0</v>
      </c>
      <c r="BC672" s="1540">
        <v>871984</v>
      </c>
      <c r="BD672" s="1540">
        <v>0</v>
      </c>
      <c r="BF672" s="1539">
        <f t="shared" si="132"/>
        <v>871984</v>
      </c>
      <c r="BG672" s="1539">
        <f t="shared" si="133"/>
        <v>0</v>
      </c>
      <c r="BH672" s="1539">
        <f t="shared" si="134"/>
        <v>0</v>
      </c>
      <c r="BI672" s="1539">
        <f t="shared" si="135"/>
        <v>871984</v>
      </c>
      <c r="BJ672" s="1539">
        <f t="shared" si="136"/>
        <v>0</v>
      </c>
      <c r="BK672" s="1539">
        <f t="shared" si="137"/>
        <v>0</v>
      </c>
      <c r="BL672" s="1539">
        <f t="shared" si="138"/>
        <v>0</v>
      </c>
      <c r="BM672" s="1539">
        <f t="shared" si="139"/>
        <v>871984</v>
      </c>
      <c r="BO672" s="1183"/>
      <c r="BQ672" s="1182">
        <f t="shared" si="140"/>
        <v>0</v>
      </c>
      <c r="BR672" s="1182">
        <f t="shared" si="141"/>
        <v>0</v>
      </c>
    </row>
    <row r="673" spans="1:70" ht="13.5" customHeight="1">
      <c r="A673" s="1182" t="s">
        <v>1803</v>
      </c>
      <c r="B673" s="1182" t="s">
        <v>1804</v>
      </c>
      <c r="C673" s="1182" t="s">
        <v>1639</v>
      </c>
      <c r="D673" s="1182" t="s">
        <v>2866</v>
      </c>
      <c r="E673" s="1182" t="s">
        <v>2867</v>
      </c>
      <c r="F673" s="1182" t="s">
        <v>2957</v>
      </c>
      <c r="G673" s="1182" t="s">
        <v>2957</v>
      </c>
      <c r="H673" s="1182" t="s">
        <v>3886</v>
      </c>
      <c r="I673" s="1182" t="s">
        <v>1937</v>
      </c>
      <c r="J673" s="1182" t="s">
        <v>3900</v>
      </c>
      <c r="K673" s="1182" t="s">
        <v>1811</v>
      </c>
      <c r="L673" s="1182" t="s">
        <v>1812</v>
      </c>
      <c r="M673" s="1182" t="s">
        <v>1803</v>
      </c>
      <c r="N673" s="1182" t="s">
        <v>2922</v>
      </c>
      <c r="O673" s="1182" t="s">
        <v>1554</v>
      </c>
      <c r="P673" s="1182" t="s">
        <v>1563</v>
      </c>
      <c r="Q673" s="1182" t="s">
        <v>1562</v>
      </c>
      <c r="R673" s="1182" t="s">
        <v>1561</v>
      </c>
      <c r="S673" s="1182" t="s">
        <v>1639</v>
      </c>
      <c r="T673" s="1182" t="s">
        <v>1814</v>
      </c>
      <c r="U673" s="1182" t="s">
        <v>1815</v>
      </c>
      <c r="V673" s="1182">
        <v>0</v>
      </c>
      <c r="W673" s="1182">
        <v>0</v>
      </c>
      <c r="X673" s="1182">
        <v>0</v>
      </c>
      <c r="Y673" s="1183">
        <v>35969</v>
      </c>
      <c r="Z673" s="1182" t="s">
        <v>1940</v>
      </c>
      <c r="AA673" s="1182" t="s">
        <v>1941</v>
      </c>
      <c r="AB673" s="1182">
        <v>35969</v>
      </c>
      <c r="AC673" s="1182" t="s">
        <v>2925</v>
      </c>
      <c r="AD673" s="1182" t="s">
        <v>1561</v>
      </c>
      <c r="AE673" s="1182">
        <v>35969</v>
      </c>
      <c r="AF673" s="1182" t="s">
        <v>1930</v>
      </c>
      <c r="AG673" s="1182" t="s">
        <v>1820</v>
      </c>
      <c r="AH673" s="1182">
        <v>3269</v>
      </c>
      <c r="AI673" s="1182">
        <v>32700</v>
      </c>
      <c r="AJ673" s="1182" t="s">
        <v>3888</v>
      </c>
      <c r="AL673" s="1186" t="s">
        <v>3901</v>
      </c>
      <c r="AM673" s="1182">
        <v>2</v>
      </c>
      <c r="AN673" s="1182">
        <v>17</v>
      </c>
      <c r="AO673" s="1182">
        <v>10</v>
      </c>
      <c r="AP673" s="1182" t="s">
        <v>3890</v>
      </c>
      <c r="AQ673" s="1182" t="s">
        <v>1639</v>
      </c>
      <c r="AS673" s="1186">
        <v>17</v>
      </c>
      <c r="AT673" s="1186">
        <v>10</v>
      </c>
      <c r="AV673" s="1185">
        <v>35969</v>
      </c>
      <c r="AW673" s="1185">
        <v>0</v>
      </c>
      <c r="AX673" s="1185">
        <v>0</v>
      </c>
      <c r="AY673" s="1539">
        <v>35969</v>
      </c>
      <c r="AZ673" s="1185">
        <v>0</v>
      </c>
      <c r="BA673" s="1185">
        <v>0</v>
      </c>
      <c r="BB673" s="1540">
        <v>0</v>
      </c>
      <c r="BC673" s="1540">
        <v>35969</v>
      </c>
      <c r="BD673" s="1540">
        <v>0</v>
      </c>
      <c r="BF673" s="1539">
        <f t="shared" si="132"/>
        <v>32699</v>
      </c>
      <c r="BG673" s="1539">
        <f t="shared" si="133"/>
        <v>0</v>
      </c>
      <c r="BH673" s="1539">
        <f t="shared" si="134"/>
        <v>0</v>
      </c>
      <c r="BI673" s="1539">
        <f t="shared" si="135"/>
        <v>32699</v>
      </c>
      <c r="BJ673" s="1539">
        <f t="shared" si="136"/>
        <v>0</v>
      </c>
      <c r="BK673" s="1539">
        <f t="shared" si="137"/>
        <v>0</v>
      </c>
      <c r="BL673" s="1539">
        <f t="shared" si="138"/>
        <v>0</v>
      </c>
      <c r="BM673" s="1539">
        <f t="shared" si="139"/>
        <v>32699</v>
      </c>
      <c r="BO673" s="1183"/>
      <c r="BQ673" s="1182">
        <f t="shared" si="140"/>
        <v>9.0909090908098733E-2</v>
      </c>
      <c r="BR673" s="1182">
        <f t="shared" si="141"/>
        <v>0</v>
      </c>
    </row>
    <row r="674" spans="1:70" ht="13.5" customHeight="1">
      <c r="A674" s="1182" t="s">
        <v>1803</v>
      </c>
      <c r="B674" s="1182" t="s">
        <v>1804</v>
      </c>
      <c r="C674" s="1182" t="s">
        <v>1639</v>
      </c>
      <c r="D674" s="1182" t="s">
        <v>2866</v>
      </c>
      <c r="E674" s="1182" t="s">
        <v>2867</v>
      </c>
      <c r="F674" s="1182" t="s">
        <v>2032</v>
      </c>
      <c r="G674" s="1182" t="s">
        <v>2032</v>
      </c>
      <c r="H674" s="1182" t="s">
        <v>3886</v>
      </c>
      <c r="I674" s="1182" t="s">
        <v>1937</v>
      </c>
      <c r="J674" s="1182" t="s">
        <v>3904</v>
      </c>
      <c r="K674" s="1182" t="s">
        <v>1811</v>
      </c>
      <c r="L674" s="1182" t="s">
        <v>1812</v>
      </c>
      <c r="M674" s="1182" t="s">
        <v>1803</v>
      </c>
      <c r="N674" s="1182" t="s">
        <v>2922</v>
      </c>
      <c r="O674" s="1182" t="s">
        <v>1554</v>
      </c>
      <c r="P674" s="1182" t="s">
        <v>1563</v>
      </c>
      <c r="Q674" s="1182" t="s">
        <v>1562</v>
      </c>
      <c r="R674" s="1182" t="s">
        <v>1561</v>
      </c>
      <c r="S674" s="1182" t="s">
        <v>1639</v>
      </c>
      <c r="T674" s="1182" t="s">
        <v>1814</v>
      </c>
      <c r="U674" s="1182" t="s">
        <v>1815</v>
      </c>
      <c r="V674" s="1182">
        <v>0</v>
      </c>
      <c r="W674" s="1182">
        <v>0</v>
      </c>
      <c r="X674" s="1182">
        <v>0</v>
      </c>
      <c r="Y674" s="1183">
        <v>217996</v>
      </c>
      <c r="Z674" s="1182" t="s">
        <v>1940</v>
      </c>
      <c r="AA674" s="1182" t="s">
        <v>1941</v>
      </c>
      <c r="AB674" s="1182">
        <v>217996</v>
      </c>
      <c r="AC674" s="1182" t="s">
        <v>2925</v>
      </c>
      <c r="AD674" s="1182" t="s">
        <v>1561</v>
      </c>
      <c r="AE674" s="1182">
        <v>217996</v>
      </c>
      <c r="AF674" s="1182" t="s">
        <v>3082</v>
      </c>
      <c r="AG674" s="1182" t="s">
        <v>1944</v>
      </c>
      <c r="AH674" s="1182">
        <v>0</v>
      </c>
      <c r="AI674" s="1182">
        <v>217996</v>
      </c>
      <c r="AJ674" s="1182" t="s">
        <v>3905</v>
      </c>
      <c r="AL674" s="1186" t="s">
        <v>3906</v>
      </c>
      <c r="AM674" s="1182">
        <v>2</v>
      </c>
      <c r="AN674" s="1182">
        <v>21</v>
      </c>
      <c r="AO674" s="1182">
        <v>0</v>
      </c>
      <c r="AP674" s="1182" t="s">
        <v>3899</v>
      </c>
      <c r="AQ674" s="1182" t="s">
        <v>1639</v>
      </c>
      <c r="AS674" s="1186">
        <v>21</v>
      </c>
      <c r="AT674" s="1186">
        <v>0</v>
      </c>
      <c r="AV674" s="1185">
        <v>217996</v>
      </c>
      <c r="AW674" s="1185">
        <v>0</v>
      </c>
      <c r="AX674" s="1185">
        <v>0</v>
      </c>
      <c r="AY674" s="1539">
        <v>217996</v>
      </c>
      <c r="AZ674" s="1185">
        <v>0</v>
      </c>
      <c r="BA674" s="1185">
        <v>0</v>
      </c>
      <c r="BB674" s="1540">
        <v>0</v>
      </c>
      <c r="BC674" s="1540">
        <v>217996</v>
      </c>
      <c r="BD674" s="1540">
        <v>0</v>
      </c>
      <c r="BF674" s="1539">
        <f t="shared" si="132"/>
        <v>217996</v>
      </c>
      <c r="BG674" s="1539">
        <f t="shared" si="133"/>
        <v>0</v>
      </c>
      <c r="BH674" s="1539">
        <f t="shared" si="134"/>
        <v>0</v>
      </c>
      <c r="BI674" s="1539">
        <f t="shared" si="135"/>
        <v>217996</v>
      </c>
      <c r="BJ674" s="1539">
        <f t="shared" si="136"/>
        <v>0</v>
      </c>
      <c r="BK674" s="1539">
        <f t="shared" si="137"/>
        <v>0</v>
      </c>
      <c r="BL674" s="1539">
        <f t="shared" si="138"/>
        <v>0</v>
      </c>
      <c r="BM674" s="1539">
        <f t="shared" si="139"/>
        <v>217996</v>
      </c>
      <c r="BO674" s="1183"/>
      <c r="BQ674" s="1182">
        <f t="shared" si="140"/>
        <v>0</v>
      </c>
      <c r="BR674" s="1182">
        <f t="shared" si="141"/>
        <v>0</v>
      </c>
    </row>
    <row r="675" spans="1:70" ht="13.5" customHeight="1">
      <c r="A675" s="1182" t="s">
        <v>1803</v>
      </c>
      <c r="B675" s="1182" t="s">
        <v>1804</v>
      </c>
      <c r="C675" s="1182" t="s">
        <v>1639</v>
      </c>
      <c r="D675" s="1182" t="s">
        <v>2866</v>
      </c>
      <c r="E675" s="1182" t="s">
        <v>2867</v>
      </c>
      <c r="F675" s="1182" t="s">
        <v>2266</v>
      </c>
      <c r="G675" s="1182" t="s">
        <v>2266</v>
      </c>
      <c r="H675" s="1182" t="s">
        <v>3886</v>
      </c>
      <c r="I675" s="1182" t="s">
        <v>1937</v>
      </c>
      <c r="J675" s="1182" t="s">
        <v>3913</v>
      </c>
      <c r="K675" s="1182" t="s">
        <v>1811</v>
      </c>
      <c r="L675" s="1182" t="s">
        <v>1812</v>
      </c>
      <c r="M675" s="1182" t="s">
        <v>1803</v>
      </c>
      <c r="N675" s="1182" t="s">
        <v>2922</v>
      </c>
      <c r="O675" s="1182" t="s">
        <v>1554</v>
      </c>
      <c r="P675" s="1182" t="s">
        <v>1563</v>
      </c>
      <c r="Q675" s="1182" t="s">
        <v>1562</v>
      </c>
      <c r="R675" s="1182" t="s">
        <v>1561</v>
      </c>
      <c r="S675" s="1182" t="s">
        <v>1639</v>
      </c>
      <c r="T675" s="1182" t="s">
        <v>1814</v>
      </c>
      <c r="U675" s="1182" t="s">
        <v>1815</v>
      </c>
      <c r="V675" s="1182">
        <v>0</v>
      </c>
      <c r="W675" s="1182">
        <v>0</v>
      </c>
      <c r="X675" s="1182">
        <v>0</v>
      </c>
      <c r="Y675" s="1183">
        <v>23979</v>
      </c>
      <c r="Z675" s="1182" t="s">
        <v>1940</v>
      </c>
      <c r="AA675" s="1182" t="s">
        <v>1941</v>
      </c>
      <c r="AB675" s="1182">
        <v>23979</v>
      </c>
      <c r="AC675" s="1182" t="s">
        <v>2925</v>
      </c>
      <c r="AD675" s="1182" t="s">
        <v>1561</v>
      </c>
      <c r="AE675" s="1182">
        <v>23979</v>
      </c>
      <c r="AF675" s="1182" t="s">
        <v>1930</v>
      </c>
      <c r="AG675" s="1182" t="s">
        <v>1820</v>
      </c>
      <c r="AH675" s="1182">
        <v>2179</v>
      </c>
      <c r="AI675" s="1182">
        <v>21800</v>
      </c>
      <c r="AJ675" s="1182" t="s">
        <v>3888</v>
      </c>
      <c r="AL675" s="1186" t="s">
        <v>3914</v>
      </c>
      <c r="AM675" s="1182">
        <v>2</v>
      </c>
      <c r="AN675" s="1182">
        <v>17</v>
      </c>
      <c r="AO675" s="1182">
        <v>10</v>
      </c>
      <c r="AP675" s="1182" t="s">
        <v>3890</v>
      </c>
      <c r="AQ675" s="1182" t="s">
        <v>1639</v>
      </c>
      <c r="AS675" s="1186">
        <v>17</v>
      </c>
      <c r="AT675" s="1186">
        <v>10</v>
      </c>
      <c r="AV675" s="1183">
        <v>23979</v>
      </c>
      <c r="AW675" s="1183">
        <v>0</v>
      </c>
      <c r="AX675" s="1183">
        <v>0</v>
      </c>
      <c r="AY675" s="1538">
        <v>23979</v>
      </c>
      <c r="AZ675" s="1183">
        <v>0</v>
      </c>
      <c r="BA675" s="1183">
        <v>0</v>
      </c>
      <c r="BB675" s="1540">
        <v>0</v>
      </c>
      <c r="BC675" s="1540">
        <v>23979</v>
      </c>
      <c r="BD675" s="1540">
        <v>0</v>
      </c>
      <c r="BF675" s="1539">
        <f t="shared" si="132"/>
        <v>21799</v>
      </c>
      <c r="BG675" s="1539">
        <f t="shared" si="133"/>
        <v>0</v>
      </c>
      <c r="BH675" s="1539">
        <f t="shared" si="134"/>
        <v>0</v>
      </c>
      <c r="BI675" s="1539">
        <f t="shared" si="135"/>
        <v>21799</v>
      </c>
      <c r="BJ675" s="1539">
        <f t="shared" si="136"/>
        <v>0</v>
      </c>
      <c r="BK675" s="1539">
        <f t="shared" si="137"/>
        <v>0</v>
      </c>
      <c r="BL675" s="1539">
        <f t="shared" si="138"/>
        <v>0</v>
      </c>
      <c r="BM675" s="1539">
        <f t="shared" si="139"/>
        <v>21799</v>
      </c>
      <c r="BO675" s="1183"/>
      <c r="BQ675" s="1182">
        <f t="shared" si="140"/>
        <v>9.0909090908098733E-2</v>
      </c>
      <c r="BR675" s="1182">
        <f t="shared" si="141"/>
        <v>0</v>
      </c>
    </row>
    <row r="676" spans="1:70" ht="13.5" customHeight="1">
      <c r="A676" s="1182" t="s">
        <v>1803</v>
      </c>
      <c r="B676" s="1182" t="s">
        <v>1804</v>
      </c>
      <c r="C676" s="1182" t="s">
        <v>1639</v>
      </c>
      <c r="D676" s="1182" t="s">
        <v>2866</v>
      </c>
      <c r="E676" s="1182" t="s">
        <v>2867</v>
      </c>
      <c r="F676" s="1182" t="s">
        <v>3514</v>
      </c>
      <c r="G676" s="1182" t="s">
        <v>3514</v>
      </c>
      <c r="H676" s="1182" t="s">
        <v>3886</v>
      </c>
      <c r="I676" s="1182" t="s">
        <v>1937</v>
      </c>
      <c r="J676" s="1182" t="s">
        <v>3907</v>
      </c>
      <c r="K676" s="1182" t="s">
        <v>1811</v>
      </c>
      <c r="L676" s="1182" t="s">
        <v>1812</v>
      </c>
      <c r="M676" s="1182" t="s">
        <v>1803</v>
      </c>
      <c r="N676" s="1182" t="s">
        <v>2922</v>
      </c>
      <c r="O676" s="1182" t="s">
        <v>1554</v>
      </c>
      <c r="P676" s="1182" t="s">
        <v>1563</v>
      </c>
      <c r="Q676" s="1182" t="s">
        <v>1562</v>
      </c>
      <c r="R676" s="1182" t="s">
        <v>1561</v>
      </c>
      <c r="S676" s="1182" t="s">
        <v>1639</v>
      </c>
      <c r="T676" s="1182" t="s">
        <v>1814</v>
      </c>
      <c r="U676" s="1182" t="s">
        <v>1815</v>
      </c>
      <c r="V676" s="1182">
        <v>0</v>
      </c>
      <c r="W676" s="1182">
        <v>0</v>
      </c>
      <c r="X676" s="1182">
        <v>0</v>
      </c>
      <c r="Y676" s="1183">
        <v>428664</v>
      </c>
      <c r="Z676" s="1182" t="s">
        <v>1940</v>
      </c>
      <c r="AA676" s="1182" t="s">
        <v>1941</v>
      </c>
      <c r="AB676" s="1182">
        <v>428664</v>
      </c>
      <c r="AC676" s="1182" t="s">
        <v>2925</v>
      </c>
      <c r="AD676" s="1182" t="s">
        <v>1561</v>
      </c>
      <c r="AE676" s="1182">
        <v>428664</v>
      </c>
      <c r="AF676" s="1182" t="s">
        <v>1943</v>
      </c>
      <c r="AG676" s="1182" t="s">
        <v>1944</v>
      </c>
      <c r="AH676" s="1182">
        <v>0</v>
      </c>
      <c r="AI676" s="1182">
        <v>428664</v>
      </c>
      <c r="AJ676" s="1182" t="s">
        <v>3908</v>
      </c>
      <c r="AL676" s="1186" t="s">
        <v>3909</v>
      </c>
      <c r="AM676" s="1182">
        <v>1</v>
      </c>
      <c r="AN676" s="1182">
        <v>0</v>
      </c>
      <c r="AO676" s="1182">
        <v>0</v>
      </c>
      <c r="AP676" s="1182" t="s">
        <v>3899</v>
      </c>
      <c r="AQ676" s="1182" t="s">
        <v>1639</v>
      </c>
      <c r="AS676" s="1186" t="s">
        <v>1943</v>
      </c>
      <c r="AT676" s="1186" t="s">
        <v>1944</v>
      </c>
      <c r="AV676" s="1183">
        <v>428664</v>
      </c>
      <c r="AW676" s="1183">
        <v>0</v>
      </c>
      <c r="AX676" s="1183">
        <v>0</v>
      </c>
      <c r="AY676" s="1538">
        <v>428664</v>
      </c>
      <c r="AZ676" s="1183">
        <v>0</v>
      </c>
      <c r="BA676" s="1183">
        <v>0</v>
      </c>
      <c r="BB676" s="1540">
        <v>0</v>
      </c>
      <c r="BC676" s="1540">
        <v>428664</v>
      </c>
      <c r="BD676" s="1540">
        <v>0</v>
      </c>
      <c r="BF676" s="1539">
        <f t="shared" si="132"/>
        <v>428664</v>
      </c>
      <c r="BG676" s="1539">
        <f t="shared" si="133"/>
        <v>0</v>
      </c>
      <c r="BH676" s="1539">
        <f t="shared" si="134"/>
        <v>0</v>
      </c>
      <c r="BI676" s="1539">
        <f t="shared" si="135"/>
        <v>428664</v>
      </c>
      <c r="BJ676" s="1539">
        <f t="shared" si="136"/>
        <v>0</v>
      </c>
      <c r="BK676" s="1539">
        <f t="shared" si="137"/>
        <v>0</v>
      </c>
      <c r="BL676" s="1539">
        <f t="shared" si="138"/>
        <v>0</v>
      </c>
      <c r="BM676" s="1539">
        <f t="shared" si="139"/>
        <v>428664</v>
      </c>
      <c r="BO676" s="1183"/>
      <c r="BQ676" s="1182">
        <f t="shared" si="140"/>
        <v>0</v>
      </c>
      <c r="BR676" s="1182">
        <f t="shared" si="141"/>
        <v>0</v>
      </c>
    </row>
    <row r="677" spans="1:70" ht="13.5" customHeight="1">
      <c r="A677" s="1182" t="s">
        <v>1803</v>
      </c>
      <c r="B677" s="1182" t="s">
        <v>1804</v>
      </c>
      <c r="C677" s="1182" t="s">
        <v>1639</v>
      </c>
      <c r="D677" s="1182" t="s">
        <v>2866</v>
      </c>
      <c r="E677" s="1182" t="s">
        <v>2867</v>
      </c>
      <c r="F677" s="1182" t="s">
        <v>3514</v>
      </c>
      <c r="G677" s="1182" t="s">
        <v>3514</v>
      </c>
      <c r="H677" s="1182" t="s">
        <v>3886</v>
      </c>
      <c r="I677" s="1182" t="s">
        <v>1937</v>
      </c>
      <c r="J677" s="1182" t="s">
        <v>3910</v>
      </c>
      <c r="K677" s="1182" t="s">
        <v>1811</v>
      </c>
      <c r="L677" s="1182" t="s">
        <v>1812</v>
      </c>
      <c r="M677" s="1182" t="s">
        <v>1803</v>
      </c>
      <c r="N677" s="1182" t="s">
        <v>2922</v>
      </c>
      <c r="O677" s="1182" t="s">
        <v>1554</v>
      </c>
      <c r="P677" s="1182" t="s">
        <v>1563</v>
      </c>
      <c r="Q677" s="1182" t="s">
        <v>1562</v>
      </c>
      <c r="R677" s="1182" t="s">
        <v>1561</v>
      </c>
      <c r="S677" s="1182" t="s">
        <v>1639</v>
      </c>
      <c r="T677" s="1182" t="s">
        <v>1814</v>
      </c>
      <c r="U677" s="1182" t="s">
        <v>1815</v>
      </c>
      <c r="V677" s="1182">
        <v>0</v>
      </c>
      <c r="W677" s="1182">
        <v>0</v>
      </c>
      <c r="X677" s="1182">
        <v>0</v>
      </c>
      <c r="Y677" s="1183">
        <v>186213</v>
      </c>
      <c r="Z677" s="1182" t="s">
        <v>1940</v>
      </c>
      <c r="AA677" s="1182" t="s">
        <v>1941</v>
      </c>
      <c r="AB677" s="1182">
        <v>186213</v>
      </c>
      <c r="AC677" s="1182" t="s">
        <v>2925</v>
      </c>
      <c r="AD677" s="1182" t="s">
        <v>1561</v>
      </c>
      <c r="AE677" s="1182">
        <v>186213</v>
      </c>
      <c r="AF677" s="1182" t="s">
        <v>1930</v>
      </c>
      <c r="AG677" s="1182" t="s">
        <v>3911</v>
      </c>
      <c r="AH677" s="1182">
        <v>13793</v>
      </c>
      <c r="AI677" s="1182">
        <v>172420</v>
      </c>
      <c r="AJ677" s="1182" t="s">
        <v>3908</v>
      </c>
      <c r="AL677" s="1186" t="s">
        <v>3912</v>
      </c>
      <c r="AM677" s="1182">
        <v>2</v>
      </c>
      <c r="AN677" s="1182">
        <v>17</v>
      </c>
      <c r="AO677" s="1182">
        <v>10</v>
      </c>
      <c r="AP677" s="1182" t="s">
        <v>3890</v>
      </c>
      <c r="AQ677" s="1182" t="s">
        <v>1639</v>
      </c>
      <c r="AS677" s="1186">
        <v>17</v>
      </c>
      <c r="AT677" s="1186">
        <v>10</v>
      </c>
      <c r="AV677" s="1183">
        <v>186213</v>
      </c>
      <c r="AW677" s="1183">
        <v>0</v>
      </c>
      <c r="AX677" s="1183">
        <v>0</v>
      </c>
      <c r="AY677" s="1538">
        <v>186213</v>
      </c>
      <c r="AZ677" s="1183">
        <v>0</v>
      </c>
      <c r="BA677" s="1183">
        <v>0</v>
      </c>
      <c r="BB677" s="1540">
        <v>0</v>
      </c>
      <c r="BC677" s="1540">
        <v>186213</v>
      </c>
      <c r="BD677" s="1540">
        <v>0</v>
      </c>
      <c r="BF677" s="1563">
        <f>+IFERROR(ROUND(AV677*100/(100+$AT677),0),AV677)-1</f>
        <v>169284</v>
      </c>
      <c r="BG677" s="1539">
        <f t="shared" si="133"/>
        <v>0</v>
      </c>
      <c r="BH677" s="1539">
        <f t="shared" si="134"/>
        <v>0</v>
      </c>
      <c r="BI677" s="1539">
        <f t="shared" si="135"/>
        <v>169284</v>
      </c>
      <c r="BJ677" s="1539">
        <f t="shared" si="136"/>
        <v>0</v>
      </c>
      <c r="BK677" s="1539">
        <f t="shared" si="137"/>
        <v>0</v>
      </c>
      <c r="BL677" s="1539">
        <f t="shared" si="138"/>
        <v>0</v>
      </c>
      <c r="BM677" s="1539">
        <f t="shared" si="139"/>
        <v>169284</v>
      </c>
      <c r="BO677" s="1183"/>
      <c r="BQ677" s="1182">
        <f t="shared" si="140"/>
        <v>0.54545454544131644</v>
      </c>
      <c r="BR677" s="1182">
        <f t="shared" si="141"/>
        <v>0</v>
      </c>
    </row>
    <row r="678" spans="1:70" ht="13.5" customHeight="1">
      <c r="A678" s="1182" t="s">
        <v>1803</v>
      </c>
      <c r="B678" s="1182" t="s">
        <v>1804</v>
      </c>
      <c r="C678" s="1182" t="s">
        <v>1639</v>
      </c>
      <c r="D678" s="1182" t="s">
        <v>2866</v>
      </c>
      <c r="E678" s="1182" t="s">
        <v>2867</v>
      </c>
      <c r="F678" s="1182" t="s">
        <v>2585</v>
      </c>
      <c r="G678" s="1182" t="s">
        <v>2585</v>
      </c>
      <c r="H678" s="1182" t="s">
        <v>3886</v>
      </c>
      <c r="I678" s="1182" t="s">
        <v>1937</v>
      </c>
      <c r="J678" s="1182" t="s">
        <v>3931</v>
      </c>
      <c r="K678" s="1182" t="s">
        <v>1811</v>
      </c>
      <c r="L678" s="1182" t="s">
        <v>1812</v>
      </c>
      <c r="M678" s="1182" t="s">
        <v>1803</v>
      </c>
      <c r="N678" s="1182" t="s">
        <v>2922</v>
      </c>
      <c r="O678" s="1182" t="s">
        <v>1554</v>
      </c>
      <c r="P678" s="1182" t="s">
        <v>1563</v>
      </c>
      <c r="Q678" s="1182" t="s">
        <v>1562</v>
      </c>
      <c r="R678" s="1182" t="s">
        <v>1561</v>
      </c>
      <c r="S678" s="1182" t="s">
        <v>1639</v>
      </c>
      <c r="T678" s="1182" t="s">
        <v>1814</v>
      </c>
      <c r="U678" s="1182" t="s">
        <v>1815</v>
      </c>
      <c r="V678" s="1182">
        <v>0</v>
      </c>
      <c r="W678" s="1182">
        <v>0</v>
      </c>
      <c r="X678" s="1182">
        <v>0</v>
      </c>
      <c r="Y678" s="1183">
        <v>35969</v>
      </c>
      <c r="Z678" s="1182" t="s">
        <v>1940</v>
      </c>
      <c r="AA678" s="1182" t="s">
        <v>1941</v>
      </c>
      <c r="AB678" s="1182">
        <v>35969</v>
      </c>
      <c r="AC678" s="1182" t="s">
        <v>2925</v>
      </c>
      <c r="AD678" s="1182" t="s">
        <v>1561</v>
      </c>
      <c r="AE678" s="1182">
        <v>35969</v>
      </c>
      <c r="AF678" s="1182" t="s">
        <v>1930</v>
      </c>
      <c r="AG678" s="1182" t="s">
        <v>1820</v>
      </c>
      <c r="AH678" s="1182">
        <v>3269</v>
      </c>
      <c r="AI678" s="1182">
        <v>32700</v>
      </c>
      <c r="AJ678" s="1182" t="s">
        <v>3888</v>
      </c>
      <c r="AL678" s="1186" t="s">
        <v>3932</v>
      </c>
      <c r="AM678" s="1182">
        <v>2</v>
      </c>
      <c r="AN678" s="1182">
        <v>17</v>
      </c>
      <c r="AO678" s="1182">
        <v>10</v>
      </c>
      <c r="AP678" s="1182" t="s">
        <v>3890</v>
      </c>
      <c r="AQ678" s="1182" t="s">
        <v>1639</v>
      </c>
      <c r="AS678" s="1186">
        <v>17</v>
      </c>
      <c r="AT678" s="1186">
        <v>10</v>
      </c>
      <c r="AV678" s="1185">
        <v>35969</v>
      </c>
      <c r="AW678" s="1185">
        <v>0</v>
      </c>
      <c r="AX678" s="1185">
        <v>0</v>
      </c>
      <c r="AY678" s="1539">
        <v>35969</v>
      </c>
      <c r="AZ678" s="1185">
        <v>0</v>
      </c>
      <c r="BA678" s="1185">
        <v>0</v>
      </c>
      <c r="BB678" s="1540">
        <v>0</v>
      </c>
      <c r="BC678" s="1540">
        <v>35969</v>
      </c>
      <c r="BD678" s="1540">
        <v>0</v>
      </c>
      <c r="BF678" s="1539">
        <f t="shared" si="132"/>
        <v>32699</v>
      </c>
      <c r="BG678" s="1539">
        <f t="shared" si="133"/>
        <v>0</v>
      </c>
      <c r="BH678" s="1539">
        <f t="shared" si="134"/>
        <v>0</v>
      </c>
      <c r="BI678" s="1539">
        <f t="shared" si="135"/>
        <v>32699</v>
      </c>
      <c r="BJ678" s="1539">
        <f t="shared" si="136"/>
        <v>0</v>
      </c>
      <c r="BK678" s="1539">
        <f t="shared" si="137"/>
        <v>0</v>
      </c>
      <c r="BL678" s="1539">
        <f t="shared" si="138"/>
        <v>0</v>
      </c>
      <c r="BM678" s="1539">
        <f t="shared" si="139"/>
        <v>32699</v>
      </c>
      <c r="BO678" s="1183"/>
      <c r="BQ678" s="1182">
        <f t="shared" si="140"/>
        <v>9.0909090908098733E-2</v>
      </c>
      <c r="BR678" s="1182">
        <f t="shared" si="141"/>
        <v>0</v>
      </c>
    </row>
    <row r="679" spans="1:70" ht="13.5" customHeight="1">
      <c r="A679" s="1182" t="s">
        <v>1803</v>
      </c>
      <c r="B679" s="1182" t="s">
        <v>1804</v>
      </c>
      <c r="C679" s="1182" t="s">
        <v>1639</v>
      </c>
      <c r="D679" s="1182" t="s">
        <v>2866</v>
      </c>
      <c r="E679" s="1182" t="s">
        <v>2867</v>
      </c>
      <c r="F679" s="1182" t="s">
        <v>2661</v>
      </c>
      <c r="G679" s="1182" t="s">
        <v>2661</v>
      </c>
      <c r="H679" s="1182" t="s">
        <v>3886</v>
      </c>
      <c r="I679" s="1182" t="s">
        <v>1937</v>
      </c>
      <c r="J679" s="1182" t="s">
        <v>3927</v>
      </c>
      <c r="K679" s="1182" t="s">
        <v>1811</v>
      </c>
      <c r="L679" s="1182" t="s">
        <v>1812</v>
      </c>
      <c r="M679" s="1182" t="s">
        <v>1803</v>
      </c>
      <c r="N679" s="1182" t="s">
        <v>2922</v>
      </c>
      <c r="O679" s="1182" t="s">
        <v>1554</v>
      </c>
      <c r="P679" s="1182" t="s">
        <v>1563</v>
      </c>
      <c r="Q679" s="1182" t="s">
        <v>1562</v>
      </c>
      <c r="R679" s="1182" t="s">
        <v>1561</v>
      </c>
      <c r="S679" s="1182" t="s">
        <v>1639</v>
      </c>
      <c r="T679" s="1182" t="s">
        <v>1814</v>
      </c>
      <c r="U679" s="1182" t="s">
        <v>1815</v>
      </c>
      <c r="V679" s="1182">
        <v>0</v>
      </c>
      <c r="W679" s="1182">
        <v>0</v>
      </c>
      <c r="X679" s="1182">
        <v>0</v>
      </c>
      <c r="Y679" s="1183">
        <v>11989</v>
      </c>
      <c r="Z679" s="1182" t="s">
        <v>1940</v>
      </c>
      <c r="AA679" s="1182" t="s">
        <v>1941</v>
      </c>
      <c r="AB679" s="1182">
        <v>11989</v>
      </c>
      <c r="AC679" s="1182" t="s">
        <v>2925</v>
      </c>
      <c r="AD679" s="1182" t="s">
        <v>1561</v>
      </c>
      <c r="AE679" s="1182">
        <v>11989</v>
      </c>
      <c r="AF679" s="1182" t="s">
        <v>1930</v>
      </c>
      <c r="AG679" s="1182" t="s">
        <v>1820</v>
      </c>
      <c r="AH679" s="1182">
        <v>1089</v>
      </c>
      <c r="AI679" s="1182">
        <v>10900</v>
      </c>
      <c r="AJ679" s="1182" t="s">
        <v>3888</v>
      </c>
      <c r="AL679" s="1186" t="s">
        <v>3928</v>
      </c>
      <c r="AM679" s="1182">
        <v>2</v>
      </c>
      <c r="AN679" s="1182">
        <v>17</v>
      </c>
      <c r="AO679" s="1182">
        <v>10</v>
      </c>
      <c r="AP679" s="1182" t="s">
        <v>3890</v>
      </c>
      <c r="AQ679" s="1182" t="s">
        <v>1639</v>
      </c>
      <c r="AS679" s="1186">
        <v>17</v>
      </c>
      <c r="AT679" s="1186">
        <v>10</v>
      </c>
      <c r="AV679" s="1185">
        <v>11989</v>
      </c>
      <c r="AW679" s="1185">
        <v>0</v>
      </c>
      <c r="AX679" s="1185">
        <v>0</v>
      </c>
      <c r="AY679" s="1539">
        <v>11989</v>
      </c>
      <c r="AZ679" s="1185">
        <v>0</v>
      </c>
      <c r="BA679" s="1185">
        <v>0</v>
      </c>
      <c r="BB679" s="1540">
        <v>0</v>
      </c>
      <c r="BC679" s="1540">
        <v>11989</v>
      </c>
      <c r="BD679" s="1540">
        <v>0</v>
      </c>
      <c r="BF679" s="1539">
        <f t="shared" si="132"/>
        <v>10899</v>
      </c>
      <c r="BG679" s="1539">
        <f t="shared" si="133"/>
        <v>0</v>
      </c>
      <c r="BH679" s="1539">
        <f t="shared" si="134"/>
        <v>0</v>
      </c>
      <c r="BI679" s="1539">
        <f t="shared" si="135"/>
        <v>10899</v>
      </c>
      <c r="BJ679" s="1539">
        <f t="shared" si="136"/>
        <v>0</v>
      </c>
      <c r="BK679" s="1539">
        <f t="shared" si="137"/>
        <v>0</v>
      </c>
      <c r="BL679" s="1539">
        <f t="shared" si="138"/>
        <v>0</v>
      </c>
      <c r="BM679" s="1539">
        <f t="shared" si="139"/>
        <v>10899</v>
      </c>
      <c r="BO679" s="1183"/>
      <c r="BQ679" s="1182">
        <f t="shared" si="140"/>
        <v>9.0909090909917722E-2</v>
      </c>
      <c r="BR679" s="1182">
        <f t="shared" si="141"/>
        <v>0</v>
      </c>
    </row>
    <row r="680" spans="1:70" ht="13.5" customHeight="1">
      <c r="A680" s="1182" t="s">
        <v>1803</v>
      </c>
      <c r="B680" s="1182" t="s">
        <v>1804</v>
      </c>
      <c r="C680" s="1182" t="s">
        <v>1639</v>
      </c>
      <c r="D680" s="1182" t="s">
        <v>2866</v>
      </c>
      <c r="E680" s="1182" t="s">
        <v>2867</v>
      </c>
      <c r="F680" s="1182" t="s">
        <v>1844</v>
      </c>
      <c r="G680" s="1182" t="s">
        <v>1844</v>
      </c>
      <c r="H680" s="1182" t="s">
        <v>3886</v>
      </c>
      <c r="I680" s="1182" t="s">
        <v>1937</v>
      </c>
      <c r="J680" s="1182" t="s">
        <v>3933</v>
      </c>
      <c r="K680" s="1182" t="s">
        <v>1811</v>
      </c>
      <c r="L680" s="1182" t="s">
        <v>1812</v>
      </c>
      <c r="M680" s="1182" t="s">
        <v>1803</v>
      </c>
      <c r="N680" s="1182" t="s">
        <v>2922</v>
      </c>
      <c r="O680" s="1182" t="s">
        <v>1554</v>
      </c>
      <c r="P680" s="1182" t="s">
        <v>1563</v>
      </c>
      <c r="Q680" s="1182" t="s">
        <v>1562</v>
      </c>
      <c r="R680" s="1182" t="s">
        <v>1561</v>
      </c>
      <c r="S680" s="1182" t="s">
        <v>1639</v>
      </c>
      <c r="T680" s="1182" t="s">
        <v>1814</v>
      </c>
      <c r="U680" s="1182" t="s">
        <v>1815</v>
      </c>
      <c r="V680" s="1182">
        <v>0</v>
      </c>
      <c r="W680" s="1182">
        <v>0</v>
      </c>
      <c r="X680" s="1182">
        <v>0</v>
      </c>
      <c r="Y680" s="1183">
        <v>46553</v>
      </c>
      <c r="Z680" s="1182" t="s">
        <v>1940</v>
      </c>
      <c r="AA680" s="1182" t="s">
        <v>1941</v>
      </c>
      <c r="AB680" s="1182">
        <v>46553</v>
      </c>
      <c r="AC680" s="1182" t="s">
        <v>2925</v>
      </c>
      <c r="AD680" s="1182" t="s">
        <v>1561</v>
      </c>
      <c r="AE680" s="1182">
        <v>46553</v>
      </c>
      <c r="AF680" s="1182" t="s">
        <v>1930</v>
      </c>
      <c r="AG680" s="1182" t="s">
        <v>1820</v>
      </c>
      <c r="AH680" s="1182">
        <v>4232</v>
      </c>
      <c r="AI680" s="1182">
        <v>42321</v>
      </c>
      <c r="AJ680" s="1182" t="s">
        <v>3934</v>
      </c>
      <c r="AL680" s="1186" t="s">
        <v>3935</v>
      </c>
      <c r="AM680" s="1182">
        <v>2</v>
      </c>
      <c r="AN680" s="1182">
        <v>17</v>
      </c>
      <c r="AO680" s="1182">
        <v>10</v>
      </c>
      <c r="AP680" s="1182" t="s">
        <v>3890</v>
      </c>
      <c r="AQ680" s="1182" t="s">
        <v>1639</v>
      </c>
      <c r="AS680" s="1186">
        <v>17</v>
      </c>
      <c r="AT680" s="1186">
        <v>10</v>
      </c>
      <c r="AV680" s="1185">
        <v>46553</v>
      </c>
      <c r="AW680" s="1185">
        <v>0</v>
      </c>
      <c r="AX680" s="1185">
        <v>0</v>
      </c>
      <c r="AY680" s="1539">
        <v>46553</v>
      </c>
      <c r="AZ680" s="1185">
        <v>0</v>
      </c>
      <c r="BA680" s="1185">
        <v>0</v>
      </c>
      <c r="BB680" s="1540">
        <v>0</v>
      </c>
      <c r="BC680" s="1540">
        <v>46553</v>
      </c>
      <c r="BD680" s="1540">
        <v>0</v>
      </c>
      <c r="BF680" s="1539">
        <f t="shared" si="132"/>
        <v>42321</v>
      </c>
      <c r="BG680" s="1539">
        <f t="shared" si="133"/>
        <v>0</v>
      </c>
      <c r="BH680" s="1539">
        <f t="shared" si="134"/>
        <v>0</v>
      </c>
      <c r="BI680" s="1539">
        <f t="shared" si="135"/>
        <v>42321</v>
      </c>
      <c r="BJ680" s="1539">
        <f t="shared" si="136"/>
        <v>0</v>
      </c>
      <c r="BK680" s="1539">
        <f t="shared" si="137"/>
        <v>0</v>
      </c>
      <c r="BL680" s="1539">
        <f t="shared" si="138"/>
        <v>0</v>
      </c>
      <c r="BM680" s="1539">
        <f t="shared" si="139"/>
        <v>42321</v>
      </c>
      <c r="BO680" s="1183"/>
      <c r="BQ680" s="1182">
        <f t="shared" si="140"/>
        <v>-9.0909090911736712E-2</v>
      </c>
      <c r="BR680" s="1182">
        <f t="shared" si="141"/>
        <v>0</v>
      </c>
    </row>
    <row r="681" spans="1:70" ht="13.5" customHeight="1">
      <c r="A681" s="1182" t="s">
        <v>1803</v>
      </c>
      <c r="B681" s="1182" t="s">
        <v>1804</v>
      </c>
      <c r="C681" s="1182" t="s">
        <v>1639</v>
      </c>
      <c r="D681" s="1182" t="s">
        <v>2866</v>
      </c>
      <c r="E681" s="1182" t="s">
        <v>2867</v>
      </c>
      <c r="F681" s="1182" t="s">
        <v>3758</v>
      </c>
      <c r="G681" s="1182" t="s">
        <v>3758</v>
      </c>
      <c r="H681" s="1182" t="s">
        <v>3886</v>
      </c>
      <c r="I681" s="1182" t="s">
        <v>1937</v>
      </c>
      <c r="J681" s="1182" t="s">
        <v>3936</v>
      </c>
      <c r="K681" s="1182" t="s">
        <v>1811</v>
      </c>
      <c r="L681" s="1182" t="s">
        <v>1812</v>
      </c>
      <c r="M681" s="1182" t="s">
        <v>1803</v>
      </c>
      <c r="N681" s="1182" t="s">
        <v>2922</v>
      </c>
      <c r="O681" s="1182" t="s">
        <v>1554</v>
      </c>
      <c r="P681" s="1182" t="s">
        <v>1563</v>
      </c>
      <c r="Q681" s="1182" t="s">
        <v>1562</v>
      </c>
      <c r="R681" s="1182" t="s">
        <v>1561</v>
      </c>
      <c r="S681" s="1182" t="s">
        <v>1639</v>
      </c>
      <c r="T681" s="1182" t="s">
        <v>1814</v>
      </c>
      <c r="U681" s="1182" t="s">
        <v>1815</v>
      </c>
      <c r="V681" s="1182">
        <v>0</v>
      </c>
      <c r="W681" s="1182">
        <v>0</v>
      </c>
      <c r="X681" s="1182">
        <v>0</v>
      </c>
      <c r="Y681" s="1183">
        <v>39965</v>
      </c>
      <c r="Z681" s="1182" t="s">
        <v>1940</v>
      </c>
      <c r="AA681" s="1182" t="s">
        <v>1941</v>
      </c>
      <c r="AB681" s="1182">
        <v>39965</v>
      </c>
      <c r="AC681" s="1182" t="s">
        <v>2925</v>
      </c>
      <c r="AD681" s="1182" t="s">
        <v>1561</v>
      </c>
      <c r="AE681" s="1182">
        <v>39965</v>
      </c>
      <c r="AF681" s="1182" t="s">
        <v>1930</v>
      </c>
      <c r="AG681" s="1182" t="s">
        <v>1820</v>
      </c>
      <c r="AH681" s="1182">
        <v>3633</v>
      </c>
      <c r="AI681" s="1182">
        <v>36332</v>
      </c>
      <c r="AJ681" s="1182" t="s">
        <v>3888</v>
      </c>
      <c r="AL681" s="1186" t="s">
        <v>3937</v>
      </c>
      <c r="AM681" s="1182">
        <v>2</v>
      </c>
      <c r="AN681" s="1182">
        <v>17</v>
      </c>
      <c r="AO681" s="1182">
        <v>10</v>
      </c>
      <c r="AP681" s="1182" t="s">
        <v>3890</v>
      </c>
      <c r="AQ681" s="1182" t="s">
        <v>1639</v>
      </c>
      <c r="AS681" s="1186">
        <v>17</v>
      </c>
      <c r="AT681" s="1186">
        <v>10</v>
      </c>
      <c r="AV681" s="1185">
        <v>39965</v>
      </c>
      <c r="AW681" s="1185">
        <v>0</v>
      </c>
      <c r="AX681" s="1185">
        <v>0</v>
      </c>
      <c r="AY681" s="1539">
        <v>39965</v>
      </c>
      <c r="AZ681" s="1185">
        <v>0</v>
      </c>
      <c r="BA681" s="1185">
        <v>0</v>
      </c>
      <c r="BB681" s="1540">
        <v>0</v>
      </c>
      <c r="BC681" s="1540">
        <v>39965</v>
      </c>
      <c r="BD681" s="1540">
        <v>0</v>
      </c>
      <c r="BF681" s="1539">
        <f t="shared" si="132"/>
        <v>36332</v>
      </c>
      <c r="BG681" s="1539">
        <f t="shared" si="133"/>
        <v>0</v>
      </c>
      <c r="BH681" s="1539">
        <f t="shared" si="134"/>
        <v>0</v>
      </c>
      <c r="BI681" s="1539">
        <f t="shared" si="135"/>
        <v>36332</v>
      </c>
      <c r="BJ681" s="1539">
        <f t="shared" si="136"/>
        <v>0</v>
      </c>
      <c r="BK681" s="1539">
        <f t="shared" si="137"/>
        <v>0</v>
      </c>
      <c r="BL681" s="1539">
        <f t="shared" si="138"/>
        <v>0</v>
      </c>
      <c r="BM681" s="1539">
        <f t="shared" si="139"/>
        <v>36332</v>
      </c>
      <c r="BO681" s="1183"/>
      <c r="BQ681" s="1182">
        <f t="shared" si="140"/>
        <v>-0.18181818181619747</v>
      </c>
      <c r="BR681" s="1182">
        <f t="shared" si="141"/>
        <v>0</v>
      </c>
    </row>
    <row r="682" spans="1:70" ht="13.5" customHeight="1">
      <c r="A682" s="1182" t="s">
        <v>1803</v>
      </c>
      <c r="B682" s="1182" t="s">
        <v>1804</v>
      </c>
      <c r="C682" s="1182" t="s">
        <v>1639</v>
      </c>
      <c r="D682" s="1182" t="s">
        <v>2866</v>
      </c>
      <c r="E682" s="1182" t="s">
        <v>2867</v>
      </c>
      <c r="F682" s="1182" t="s">
        <v>2645</v>
      </c>
      <c r="G682" s="1182" t="s">
        <v>2645</v>
      </c>
      <c r="H682" s="1182" t="s">
        <v>3886</v>
      </c>
      <c r="I682" s="1182" t="s">
        <v>1937</v>
      </c>
      <c r="J682" s="1182" t="s">
        <v>3929</v>
      </c>
      <c r="K682" s="1182" t="s">
        <v>1811</v>
      </c>
      <c r="L682" s="1182" t="s">
        <v>1812</v>
      </c>
      <c r="M682" s="1182" t="s">
        <v>1803</v>
      </c>
      <c r="N682" s="1182" t="s">
        <v>2922</v>
      </c>
      <c r="O682" s="1182" t="s">
        <v>1554</v>
      </c>
      <c r="P682" s="1182" t="s">
        <v>1563</v>
      </c>
      <c r="Q682" s="1182" t="s">
        <v>1562</v>
      </c>
      <c r="R682" s="1182" t="s">
        <v>1561</v>
      </c>
      <c r="S682" s="1182" t="s">
        <v>1639</v>
      </c>
      <c r="T682" s="1182" t="s">
        <v>1814</v>
      </c>
      <c r="U682" s="1182" t="s">
        <v>1815</v>
      </c>
      <c r="V682" s="1182">
        <v>0</v>
      </c>
      <c r="W682" s="1182">
        <v>0</v>
      </c>
      <c r="X682" s="1182">
        <v>0</v>
      </c>
      <c r="Y682" s="1183">
        <v>653988</v>
      </c>
      <c r="Z682" s="1182" t="s">
        <v>1940</v>
      </c>
      <c r="AA682" s="1182" t="s">
        <v>1941</v>
      </c>
      <c r="AB682" s="1182">
        <v>653988</v>
      </c>
      <c r="AC682" s="1182" t="s">
        <v>2925</v>
      </c>
      <c r="AD682" s="1182" t="s">
        <v>1561</v>
      </c>
      <c r="AE682" s="1182">
        <v>653988</v>
      </c>
      <c r="AF682" s="1182" t="s">
        <v>1943</v>
      </c>
      <c r="AG682" s="1182" t="s">
        <v>1944</v>
      </c>
      <c r="AH682" s="1182">
        <v>0</v>
      </c>
      <c r="AI682" s="1182">
        <v>653988</v>
      </c>
      <c r="AJ682" s="1182" t="s">
        <v>3895</v>
      </c>
      <c r="AL682" s="1186" t="s">
        <v>3930</v>
      </c>
      <c r="AM682" s="1182">
        <v>1</v>
      </c>
      <c r="AN682" s="1182">
        <v>0</v>
      </c>
      <c r="AO682" s="1182">
        <v>0</v>
      </c>
      <c r="AP682" s="1182" t="s">
        <v>3899</v>
      </c>
      <c r="AQ682" s="1182" t="s">
        <v>1639</v>
      </c>
      <c r="AS682" s="1186" t="s">
        <v>1943</v>
      </c>
      <c r="AT682" s="1186" t="s">
        <v>1944</v>
      </c>
      <c r="AV682" s="1185">
        <v>653988</v>
      </c>
      <c r="AW682" s="1185">
        <v>0</v>
      </c>
      <c r="AX682" s="1185">
        <v>0</v>
      </c>
      <c r="AY682" s="1539">
        <v>653988</v>
      </c>
      <c r="AZ682" s="1185">
        <v>0</v>
      </c>
      <c r="BA682" s="1185">
        <v>0</v>
      </c>
      <c r="BB682" s="1540">
        <v>0</v>
      </c>
      <c r="BC682" s="1540">
        <v>653988</v>
      </c>
      <c r="BD682" s="1540">
        <v>0</v>
      </c>
      <c r="BF682" s="1539">
        <f t="shared" si="132"/>
        <v>653988</v>
      </c>
      <c r="BG682" s="1539">
        <f t="shared" si="133"/>
        <v>0</v>
      </c>
      <c r="BH682" s="1539">
        <f t="shared" si="134"/>
        <v>0</v>
      </c>
      <c r="BI682" s="1539">
        <f t="shared" si="135"/>
        <v>653988</v>
      </c>
      <c r="BJ682" s="1539">
        <f t="shared" si="136"/>
        <v>0</v>
      </c>
      <c r="BK682" s="1539">
        <f t="shared" si="137"/>
        <v>0</v>
      </c>
      <c r="BL682" s="1539">
        <f t="shared" si="138"/>
        <v>0</v>
      </c>
      <c r="BM682" s="1539">
        <f t="shared" si="139"/>
        <v>653988</v>
      </c>
      <c r="BO682" s="1183"/>
      <c r="BQ682" s="1182">
        <f t="shared" si="140"/>
        <v>0</v>
      </c>
      <c r="BR682" s="1182">
        <f t="shared" si="141"/>
        <v>0</v>
      </c>
    </row>
    <row r="683" spans="1:70" ht="13.5" customHeight="1">
      <c r="A683" s="1182" t="s">
        <v>1803</v>
      </c>
      <c r="B683" s="1182" t="s">
        <v>1804</v>
      </c>
      <c r="C683" s="1182" t="s">
        <v>1639</v>
      </c>
      <c r="D683" s="1182" t="s">
        <v>2866</v>
      </c>
      <c r="E683" s="1182" t="s">
        <v>2867</v>
      </c>
      <c r="F683" s="1182" t="s">
        <v>3918</v>
      </c>
      <c r="G683" s="1182" t="s">
        <v>3918</v>
      </c>
      <c r="H683" s="1182" t="s">
        <v>3886</v>
      </c>
      <c r="I683" s="1182" t="s">
        <v>1937</v>
      </c>
      <c r="J683" s="1182" t="s">
        <v>3919</v>
      </c>
      <c r="K683" s="1182" t="s">
        <v>1811</v>
      </c>
      <c r="L683" s="1182" t="s">
        <v>1812</v>
      </c>
      <c r="M683" s="1182" t="s">
        <v>1803</v>
      </c>
      <c r="N683" s="1182" t="s">
        <v>2922</v>
      </c>
      <c r="O683" s="1182" t="s">
        <v>1554</v>
      </c>
      <c r="P683" s="1182" t="s">
        <v>1563</v>
      </c>
      <c r="Q683" s="1182" t="s">
        <v>1562</v>
      </c>
      <c r="R683" s="1182" t="s">
        <v>1561</v>
      </c>
      <c r="S683" s="1182" t="s">
        <v>1639</v>
      </c>
      <c r="T683" s="1182" t="s">
        <v>1814</v>
      </c>
      <c r="U683" s="1182" t="s">
        <v>1815</v>
      </c>
      <c r="V683" s="1182">
        <v>0</v>
      </c>
      <c r="W683" s="1182">
        <v>0</v>
      </c>
      <c r="X683" s="1182">
        <v>0</v>
      </c>
      <c r="Y683" s="1183">
        <v>3996</v>
      </c>
      <c r="Z683" s="1182" t="s">
        <v>1940</v>
      </c>
      <c r="AA683" s="1182" t="s">
        <v>1941</v>
      </c>
      <c r="AB683" s="1182">
        <v>3996</v>
      </c>
      <c r="AC683" s="1182" t="s">
        <v>2925</v>
      </c>
      <c r="AD683" s="1182" t="s">
        <v>1561</v>
      </c>
      <c r="AE683" s="1182">
        <v>3996</v>
      </c>
      <c r="AF683" s="1182" t="s">
        <v>1930</v>
      </c>
      <c r="AG683" s="1182" t="s">
        <v>1820</v>
      </c>
      <c r="AH683" s="1182">
        <v>363</v>
      </c>
      <c r="AI683" s="1182">
        <v>3633</v>
      </c>
      <c r="AJ683" s="1182" t="s">
        <v>3888</v>
      </c>
      <c r="AL683" s="1186" t="s">
        <v>3920</v>
      </c>
      <c r="AM683" s="1182">
        <v>2</v>
      </c>
      <c r="AN683" s="1182">
        <v>17</v>
      </c>
      <c r="AO683" s="1182">
        <v>10</v>
      </c>
      <c r="AP683" s="1182" t="s">
        <v>3890</v>
      </c>
      <c r="AQ683" s="1182" t="s">
        <v>1639</v>
      </c>
      <c r="AS683" s="1186">
        <v>17</v>
      </c>
      <c r="AT683" s="1186">
        <v>10</v>
      </c>
      <c r="AV683" s="1185">
        <v>3996</v>
      </c>
      <c r="AW683" s="1185">
        <v>0</v>
      </c>
      <c r="AX683" s="1185">
        <v>0</v>
      </c>
      <c r="AY683" s="1539">
        <v>3996</v>
      </c>
      <c r="AZ683" s="1185">
        <v>0</v>
      </c>
      <c r="BA683" s="1185">
        <v>0</v>
      </c>
      <c r="BB683" s="1540">
        <v>0</v>
      </c>
      <c r="BC683" s="1540">
        <v>3996</v>
      </c>
      <c r="BD683" s="1540">
        <v>0</v>
      </c>
      <c r="BF683" s="1539">
        <f t="shared" si="132"/>
        <v>3633</v>
      </c>
      <c r="BG683" s="1539">
        <f t="shared" si="133"/>
        <v>0</v>
      </c>
      <c r="BH683" s="1539">
        <f t="shared" si="134"/>
        <v>0</v>
      </c>
      <c r="BI683" s="1539">
        <f t="shared" si="135"/>
        <v>3633</v>
      </c>
      <c r="BJ683" s="1539">
        <f t="shared" si="136"/>
        <v>0</v>
      </c>
      <c r="BK683" s="1539">
        <f t="shared" si="137"/>
        <v>0</v>
      </c>
      <c r="BL683" s="1539">
        <f t="shared" si="138"/>
        <v>0</v>
      </c>
      <c r="BM683" s="1539">
        <f t="shared" si="139"/>
        <v>3633</v>
      </c>
      <c r="BO683" s="1183"/>
      <c r="BQ683" s="1182">
        <f t="shared" si="140"/>
        <v>-0.27272727272747943</v>
      </c>
      <c r="BR683" s="1182">
        <f t="shared" si="141"/>
        <v>0</v>
      </c>
    </row>
    <row r="684" spans="1:70" ht="13.5" customHeight="1">
      <c r="A684" s="1182" t="s">
        <v>1803</v>
      </c>
      <c r="B684" s="1182" t="s">
        <v>1804</v>
      </c>
      <c r="C684" s="1182" t="s">
        <v>1639</v>
      </c>
      <c r="D684" s="1182" t="s">
        <v>2866</v>
      </c>
      <c r="E684" s="1182" t="s">
        <v>2867</v>
      </c>
      <c r="F684" s="1182" t="s">
        <v>3915</v>
      </c>
      <c r="G684" s="1182" t="s">
        <v>3915</v>
      </c>
      <c r="H684" s="1182" t="s">
        <v>3886</v>
      </c>
      <c r="I684" s="1182" t="s">
        <v>1937</v>
      </c>
      <c r="J684" s="1182" t="s">
        <v>3916</v>
      </c>
      <c r="K684" s="1182" t="s">
        <v>1811</v>
      </c>
      <c r="L684" s="1182" t="s">
        <v>1812</v>
      </c>
      <c r="M684" s="1182" t="s">
        <v>1803</v>
      </c>
      <c r="N684" s="1182" t="s">
        <v>2922</v>
      </c>
      <c r="O684" s="1182" t="s">
        <v>1554</v>
      </c>
      <c r="P684" s="1182" t="s">
        <v>1563</v>
      </c>
      <c r="Q684" s="1182" t="s">
        <v>1562</v>
      </c>
      <c r="R684" s="1182" t="s">
        <v>1561</v>
      </c>
      <c r="S684" s="1182" t="s">
        <v>1639</v>
      </c>
      <c r="T684" s="1182" t="s">
        <v>1814</v>
      </c>
      <c r="U684" s="1182" t="s">
        <v>1815</v>
      </c>
      <c r="V684" s="1182">
        <v>0</v>
      </c>
      <c r="W684" s="1182">
        <v>0</v>
      </c>
      <c r="X684" s="1182">
        <v>0</v>
      </c>
      <c r="Y684" s="1183">
        <v>7993</v>
      </c>
      <c r="Z684" s="1182" t="s">
        <v>1940</v>
      </c>
      <c r="AA684" s="1182" t="s">
        <v>1941</v>
      </c>
      <c r="AB684" s="1182">
        <v>7993</v>
      </c>
      <c r="AC684" s="1182" t="s">
        <v>2925</v>
      </c>
      <c r="AD684" s="1182" t="s">
        <v>1561</v>
      </c>
      <c r="AE684" s="1182">
        <v>7993</v>
      </c>
      <c r="AF684" s="1182" t="s">
        <v>1930</v>
      </c>
      <c r="AG684" s="1182" t="s">
        <v>1820</v>
      </c>
      <c r="AH684" s="1182">
        <v>726</v>
      </c>
      <c r="AI684" s="1182">
        <v>7267</v>
      </c>
      <c r="AJ684" s="1182" t="s">
        <v>3888</v>
      </c>
      <c r="AL684" s="1186" t="s">
        <v>3917</v>
      </c>
      <c r="AM684" s="1182">
        <v>2</v>
      </c>
      <c r="AN684" s="1182">
        <v>17</v>
      </c>
      <c r="AO684" s="1182">
        <v>10</v>
      </c>
      <c r="AP684" s="1182" t="s">
        <v>3890</v>
      </c>
      <c r="AQ684" s="1182" t="s">
        <v>1639</v>
      </c>
      <c r="AS684" s="1186">
        <v>17</v>
      </c>
      <c r="AT684" s="1186">
        <v>10</v>
      </c>
      <c r="AV684" s="1183">
        <v>7993</v>
      </c>
      <c r="AW684" s="1183">
        <v>0</v>
      </c>
      <c r="AX684" s="1183">
        <v>0</v>
      </c>
      <c r="AY684" s="1538">
        <v>7993</v>
      </c>
      <c r="AZ684" s="1183">
        <v>0</v>
      </c>
      <c r="BA684" s="1183">
        <v>0</v>
      </c>
      <c r="BB684" s="1540">
        <v>0</v>
      </c>
      <c r="BC684" s="1540">
        <v>7993</v>
      </c>
      <c r="BD684" s="1540">
        <v>0</v>
      </c>
      <c r="BF684" s="1539">
        <f t="shared" si="132"/>
        <v>7266</v>
      </c>
      <c r="BG684" s="1539">
        <f t="shared" si="133"/>
        <v>0</v>
      </c>
      <c r="BH684" s="1539">
        <f t="shared" si="134"/>
        <v>0</v>
      </c>
      <c r="BI684" s="1539">
        <f t="shared" si="135"/>
        <v>7266</v>
      </c>
      <c r="BJ684" s="1539">
        <f t="shared" si="136"/>
        <v>0</v>
      </c>
      <c r="BK684" s="1539">
        <f t="shared" si="137"/>
        <v>0</v>
      </c>
      <c r="BL684" s="1539">
        <f t="shared" si="138"/>
        <v>0</v>
      </c>
      <c r="BM684" s="1539">
        <f t="shared" si="139"/>
        <v>7266</v>
      </c>
      <c r="BO684" s="1183"/>
      <c r="BQ684" s="1182">
        <f t="shared" si="140"/>
        <v>0.36363636363603291</v>
      </c>
      <c r="BR684" s="1182">
        <f t="shared" si="141"/>
        <v>0</v>
      </c>
    </row>
    <row r="685" spans="1:70" ht="13.5" customHeight="1">
      <c r="A685" s="1182" t="s">
        <v>1803</v>
      </c>
      <c r="B685" s="1182" t="s">
        <v>1804</v>
      </c>
      <c r="C685" s="1182" t="s">
        <v>1639</v>
      </c>
      <c r="D685" s="1182" t="s">
        <v>2866</v>
      </c>
      <c r="E685" s="1182" t="s">
        <v>2867</v>
      </c>
      <c r="F685" s="1182" t="s">
        <v>2669</v>
      </c>
      <c r="G685" s="1182" t="s">
        <v>2669</v>
      </c>
      <c r="H685" s="1182" t="s">
        <v>3886</v>
      </c>
      <c r="I685" s="1182" t="s">
        <v>1937</v>
      </c>
      <c r="J685" s="1182" t="s">
        <v>3921</v>
      </c>
      <c r="K685" s="1182" t="s">
        <v>1811</v>
      </c>
      <c r="L685" s="1182" t="s">
        <v>1812</v>
      </c>
      <c r="M685" s="1182" t="s">
        <v>1803</v>
      </c>
      <c r="N685" s="1182" t="s">
        <v>2922</v>
      </c>
      <c r="O685" s="1182" t="s">
        <v>1554</v>
      </c>
      <c r="P685" s="1182" t="s">
        <v>1563</v>
      </c>
      <c r="Q685" s="1182" t="s">
        <v>1562</v>
      </c>
      <c r="R685" s="1182" t="s">
        <v>1561</v>
      </c>
      <c r="S685" s="1182" t="s">
        <v>1639</v>
      </c>
      <c r="T685" s="1182" t="s">
        <v>1814</v>
      </c>
      <c r="U685" s="1182" t="s">
        <v>1815</v>
      </c>
      <c r="V685" s="1182">
        <v>0</v>
      </c>
      <c r="W685" s="1182">
        <v>0</v>
      </c>
      <c r="X685" s="1182">
        <v>0</v>
      </c>
      <c r="Y685" s="1183">
        <v>11989</v>
      </c>
      <c r="Z685" s="1182" t="s">
        <v>1940</v>
      </c>
      <c r="AA685" s="1182" t="s">
        <v>1941</v>
      </c>
      <c r="AB685" s="1182">
        <v>11989</v>
      </c>
      <c r="AC685" s="1182" t="s">
        <v>2925</v>
      </c>
      <c r="AD685" s="1182" t="s">
        <v>1561</v>
      </c>
      <c r="AE685" s="1182">
        <v>11989</v>
      </c>
      <c r="AF685" s="1182" t="s">
        <v>1819</v>
      </c>
      <c r="AG685" s="1182" t="s">
        <v>1820</v>
      </c>
      <c r="AH685" s="1182">
        <v>1089</v>
      </c>
      <c r="AI685" s="1182">
        <v>10900</v>
      </c>
      <c r="AJ685" s="1182" t="s">
        <v>3922</v>
      </c>
      <c r="AL685" s="1186" t="s">
        <v>3923</v>
      </c>
      <c r="AM685" s="1182">
        <v>1</v>
      </c>
      <c r="AN685" s="1182">
        <v>0</v>
      </c>
      <c r="AO685" s="1182">
        <v>0</v>
      </c>
      <c r="AP685" s="1182" t="s">
        <v>3890</v>
      </c>
      <c r="AQ685" s="1182" t="s">
        <v>1639</v>
      </c>
      <c r="AS685" s="1186" t="s">
        <v>1819</v>
      </c>
      <c r="AT685" s="1186" t="s">
        <v>1820</v>
      </c>
      <c r="AV685" s="1183">
        <v>11989</v>
      </c>
      <c r="AW685" s="1183">
        <v>0</v>
      </c>
      <c r="AX685" s="1183">
        <v>0</v>
      </c>
      <c r="AY685" s="1538">
        <v>11989</v>
      </c>
      <c r="AZ685" s="1183">
        <v>0</v>
      </c>
      <c r="BA685" s="1183">
        <v>0</v>
      </c>
      <c r="BB685" s="1540">
        <v>0</v>
      </c>
      <c r="BC685" s="1540">
        <v>11989</v>
      </c>
      <c r="BD685" s="1540">
        <v>0</v>
      </c>
      <c r="BF685" s="1539">
        <f t="shared" si="132"/>
        <v>10899</v>
      </c>
      <c r="BG685" s="1539">
        <f t="shared" si="133"/>
        <v>0</v>
      </c>
      <c r="BH685" s="1539">
        <f t="shared" si="134"/>
        <v>0</v>
      </c>
      <c r="BI685" s="1539">
        <f t="shared" si="135"/>
        <v>10899</v>
      </c>
      <c r="BJ685" s="1539">
        <f t="shared" si="136"/>
        <v>0</v>
      </c>
      <c r="BK685" s="1539">
        <f t="shared" si="137"/>
        <v>0</v>
      </c>
      <c r="BL685" s="1539">
        <f t="shared" si="138"/>
        <v>0</v>
      </c>
      <c r="BM685" s="1539">
        <f t="shared" si="139"/>
        <v>10899</v>
      </c>
      <c r="BO685" s="1183"/>
      <c r="BQ685" s="1182">
        <f t="shared" si="140"/>
        <v>9.0909090909917722E-2</v>
      </c>
      <c r="BR685" s="1182">
        <f t="shared" si="141"/>
        <v>0</v>
      </c>
    </row>
    <row r="686" spans="1:70" ht="13.5" customHeight="1">
      <c r="A686" s="1182" t="s">
        <v>1803</v>
      </c>
      <c r="B686" s="1182" t="s">
        <v>1804</v>
      </c>
      <c r="C686" s="1182" t="s">
        <v>1639</v>
      </c>
      <c r="D686" s="1182" t="s">
        <v>2866</v>
      </c>
      <c r="E686" s="1182" t="s">
        <v>2867</v>
      </c>
      <c r="F686" s="1182" t="s">
        <v>2352</v>
      </c>
      <c r="G686" s="1182" t="s">
        <v>2352</v>
      </c>
      <c r="H686" s="1182" t="s">
        <v>3886</v>
      </c>
      <c r="I686" s="1182" t="s">
        <v>1937</v>
      </c>
      <c r="J686" s="1182" t="s">
        <v>3924</v>
      </c>
      <c r="K686" s="1182" t="s">
        <v>1811</v>
      </c>
      <c r="L686" s="1182" t="s">
        <v>1812</v>
      </c>
      <c r="M686" s="1182" t="s">
        <v>1803</v>
      </c>
      <c r="N686" s="1182" t="s">
        <v>2922</v>
      </c>
      <c r="O686" s="1182" t="s">
        <v>1554</v>
      </c>
      <c r="P686" s="1182" t="s">
        <v>1563</v>
      </c>
      <c r="Q686" s="1182" t="s">
        <v>1562</v>
      </c>
      <c r="R686" s="1182" t="s">
        <v>1561</v>
      </c>
      <c r="S686" s="1182" t="s">
        <v>1639</v>
      </c>
      <c r="T686" s="1182" t="s">
        <v>1814</v>
      </c>
      <c r="U686" s="1182" t="s">
        <v>1815</v>
      </c>
      <c r="V686" s="1182">
        <v>0</v>
      </c>
      <c r="W686" s="1182">
        <v>0</v>
      </c>
      <c r="X686" s="1182">
        <v>0</v>
      </c>
      <c r="Y686" s="1183">
        <v>77988</v>
      </c>
      <c r="Z686" s="1182" t="s">
        <v>1940</v>
      </c>
      <c r="AA686" s="1182" t="s">
        <v>1941</v>
      </c>
      <c r="AB686" s="1182">
        <v>77988</v>
      </c>
      <c r="AC686" s="1182" t="s">
        <v>2925</v>
      </c>
      <c r="AD686" s="1182" t="s">
        <v>1561</v>
      </c>
      <c r="AE686" s="1182">
        <v>77988</v>
      </c>
      <c r="AF686" s="1182" t="s">
        <v>1930</v>
      </c>
      <c r="AG686" s="1182" t="s">
        <v>1820</v>
      </c>
      <c r="AH686" s="1182">
        <v>7089</v>
      </c>
      <c r="AI686" s="1182">
        <v>70899</v>
      </c>
      <c r="AJ686" s="1182" t="s">
        <v>3925</v>
      </c>
      <c r="AL686" s="1186" t="s">
        <v>3926</v>
      </c>
      <c r="AM686" s="1182">
        <v>2</v>
      </c>
      <c r="AN686" s="1182">
        <v>17</v>
      </c>
      <c r="AO686" s="1182">
        <v>10</v>
      </c>
      <c r="AP686" s="1182" t="s">
        <v>3890</v>
      </c>
      <c r="AQ686" s="1182" t="s">
        <v>1639</v>
      </c>
      <c r="AS686" s="1186">
        <v>17</v>
      </c>
      <c r="AT686" s="1186">
        <v>10</v>
      </c>
      <c r="AV686" s="1183">
        <v>77988</v>
      </c>
      <c r="AW686" s="1183">
        <v>0</v>
      </c>
      <c r="AX686" s="1183">
        <v>0</v>
      </c>
      <c r="AY686" s="1538">
        <v>77988</v>
      </c>
      <c r="AZ686" s="1183">
        <v>0</v>
      </c>
      <c r="BA686" s="1183">
        <v>0</v>
      </c>
      <c r="BB686" s="1540">
        <v>0</v>
      </c>
      <c r="BC686" s="1540">
        <v>77988</v>
      </c>
      <c r="BD686" s="1540">
        <v>0</v>
      </c>
      <c r="BF686" s="1539">
        <f t="shared" si="132"/>
        <v>70898</v>
      </c>
      <c r="BG686" s="1539">
        <f t="shared" si="133"/>
        <v>0</v>
      </c>
      <c r="BH686" s="1539">
        <f t="shared" si="134"/>
        <v>0</v>
      </c>
      <c r="BI686" s="1539">
        <f t="shared" si="135"/>
        <v>70898</v>
      </c>
      <c r="BJ686" s="1539">
        <f t="shared" si="136"/>
        <v>0</v>
      </c>
      <c r="BK686" s="1539">
        <f t="shared" si="137"/>
        <v>0</v>
      </c>
      <c r="BL686" s="1539">
        <f t="shared" si="138"/>
        <v>0</v>
      </c>
      <c r="BM686" s="1539">
        <f t="shared" si="139"/>
        <v>70898</v>
      </c>
      <c r="BO686" s="1183"/>
      <c r="BQ686" s="1182">
        <f t="shared" si="140"/>
        <v>0.18181818182347342</v>
      </c>
      <c r="BR686" s="1182">
        <f t="shared" si="141"/>
        <v>0</v>
      </c>
    </row>
    <row r="687" spans="1:70" ht="13.5" customHeight="1">
      <c r="A687" s="1182" t="s">
        <v>1803</v>
      </c>
      <c r="B687" s="1182" t="s">
        <v>1804</v>
      </c>
      <c r="C687" s="1182" t="s">
        <v>1639</v>
      </c>
      <c r="D687" s="1182" t="s">
        <v>2866</v>
      </c>
      <c r="E687" s="1182" t="s">
        <v>2867</v>
      </c>
      <c r="F687" s="1182" t="s">
        <v>3110</v>
      </c>
      <c r="G687" s="1182" t="s">
        <v>3110</v>
      </c>
      <c r="H687" s="1182" t="s">
        <v>3938</v>
      </c>
      <c r="I687" s="1182" t="s">
        <v>2933</v>
      </c>
      <c r="J687" s="1182" t="s">
        <v>3939</v>
      </c>
      <c r="K687" s="1182" t="s">
        <v>1811</v>
      </c>
      <c r="L687" s="1182" t="s">
        <v>1812</v>
      </c>
      <c r="M687" s="1182" t="s">
        <v>1803</v>
      </c>
      <c r="N687" s="1182" t="s">
        <v>2922</v>
      </c>
      <c r="O687" s="1182" t="s">
        <v>1554</v>
      </c>
      <c r="P687" s="1182" t="s">
        <v>1563</v>
      </c>
      <c r="Q687" s="1182" t="s">
        <v>1562</v>
      </c>
      <c r="R687" s="1182" t="s">
        <v>1561</v>
      </c>
      <c r="S687" s="1182" t="s">
        <v>1639</v>
      </c>
      <c r="T687" s="1182" t="s">
        <v>1814</v>
      </c>
      <c r="U687" s="1182" t="s">
        <v>1815</v>
      </c>
      <c r="V687" s="1182">
        <v>0</v>
      </c>
      <c r="W687" s="1182">
        <v>0</v>
      </c>
      <c r="X687" s="1182">
        <v>0</v>
      </c>
      <c r="Y687" s="1183">
        <v>39965</v>
      </c>
      <c r="Z687" s="1182" t="s">
        <v>2935</v>
      </c>
      <c r="AA687" s="1182" t="s">
        <v>2936</v>
      </c>
      <c r="AB687" s="1182">
        <v>39965</v>
      </c>
      <c r="AC687" s="1182" t="s">
        <v>2925</v>
      </c>
      <c r="AD687" s="1182" t="s">
        <v>1561</v>
      </c>
      <c r="AE687" s="1182">
        <v>39965</v>
      </c>
      <c r="AF687" s="1182" t="s">
        <v>1930</v>
      </c>
      <c r="AG687" s="1182" t="s">
        <v>1820</v>
      </c>
      <c r="AH687" s="1182">
        <v>3633</v>
      </c>
      <c r="AI687" s="1182">
        <v>36332</v>
      </c>
      <c r="AJ687" s="1182" t="s">
        <v>1639</v>
      </c>
      <c r="AL687" s="1186" t="s">
        <v>3940</v>
      </c>
      <c r="AM687" s="1182">
        <v>2</v>
      </c>
      <c r="AN687" s="1182">
        <v>17</v>
      </c>
      <c r="AO687" s="1182">
        <v>10</v>
      </c>
      <c r="AP687" s="1182" t="s">
        <v>3890</v>
      </c>
      <c r="AQ687" s="1182" t="s">
        <v>1639</v>
      </c>
      <c r="AS687" s="1186">
        <v>17</v>
      </c>
      <c r="AT687" s="1186">
        <v>10</v>
      </c>
      <c r="AV687" s="1183">
        <v>39965</v>
      </c>
      <c r="AW687" s="1183">
        <v>0</v>
      </c>
      <c r="AX687" s="1183">
        <v>0</v>
      </c>
      <c r="AY687" s="1538">
        <v>39965</v>
      </c>
      <c r="AZ687" s="1183">
        <v>0</v>
      </c>
      <c r="BA687" s="1183">
        <v>0</v>
      </c>
      <c r="BB687" s="1540">
        <v>0</v>
      </c>
      <c r="BC687" s="1540">
        <v>39965</v>
      </c>
      <c r="BD687" s="1540">
        <v>0</v>
      </c>
      <c r="BF687" s="1539">
        <f t="shared" si="132"/>
        <v>36332</v>
      </c>
      <c r="BG687" s="1539">
        <f t="shared" si="133"/>
        <v>0</v>
      </c>
      <c r="BH687" s="1539">
        <f t="shared" si="134"/>
        <v>0</v>
      </c>
      <c r="BI687" s="1539">
        <f t="shared" si="135"/>
        <v>36332</v>
      </c>
      <c r="BJ687" s="1539">
        <f t="shared" si="136"/>
        <v>0</v>
      </c>
      <c r="BK687" s="1539">
        <f t="shared" si="137"/>
        <v>0</v>
      </c>
      <c r="BL687" s="1539">
        <f t="shared" si="138"/>
        <v>0</v>
      </c>
      <c r="BM687" s="1539">
        <f t="shared" si="139"/>
        <v>36332</v>
      </c>
      <c r="BO687" s="1183"/>
      <c r="BQ687" s="1182">
        <f t="shared" si="140"/>
        <v>-0.18181818181619747</v>
      </c>
      <c r="BR687" s="1182">
        <f t="shared" si="141"/>
        <v>0</v>
      </c>
    </row>
    <row r="688" spans="1:70" ht="13.5" customHeight="1">
      <c r="A688" s="1182" t="s">
        <v>1803</v>
      </c>
      <c r="B688" s="1182" t="s">
        <v>1804</v>
      </c>
      <c r="C688" s="1182" t="s">
        <v>1639</v>
      </c>
      <c r="D688" s="1182" t="s">
        <v>2866</v>
      </c>
      <c r="E688" s="1182" t="s">
        <v>2867</v>
      </c>
      <c r="F688" s="1182" t="s">
        <v>3110</v>
      </c>
      <c r="G688" s="1182" t="s">
        <v>3110</v>
      </c>
      <c r="H688" s="1182" t="s">
        <v>3938</v>
      </c>
      <c r="I688" s="1182" t="s">
        <v>2933</v>
      </c>
      <c r="J688" s="1182" t="s">
        <v>3941</v>
      </c>
      <c r="K688" s="1182" t="s">
        <v>1811</v>
      </c>
      <c r="L688" s="1182" t="s">
        <v>1812</v>
      </c>
      <c r="M688" s="1182" t="s">
        <v>1803</v>
      </c>
      <c r="N688" s="1182" t="s">
        <v>2922</v>
      </c>
      <c r="O688" s="1182" t="s">
        <v>1554</v>
      </c>
      <c r="P688" s="1182" t="s">
        <v>1563</v>
      </c>
      <c r="Q688" s="1182" t="s">
        <v>1562</v>
      </c>
      <c r="R688" s="1182" t="s">
        <v>1561</v>
      </c>
      <c r="S688" s="1182" t="s">
        <v>1639</v>
      </c>
      <c r="T688" s="1182" t="s">
        <v>1814</v>
      </c>
      <c r="U688" s="1182" t="s">
        <v>1815</v>
      </c>
      <c r="V688" s="1182">
        <v>0</v>
      </c>
      <c r="W688" s="1182">
        <v>0</v>
      </c>
      <c r="X688" s="1182">
        <v>0</v>
      </c>
      <c r="Y688" s="1183">
        <v>217996</v>
      </c>
      <c r="Z688" s="1182" t="s">
        <v>2935</v>
      </c>
      <c r="AA688" s="1182" t="s">
        <v>2936</v>
      </c>
      <c r="AB688" s="1182">
        <v>217996</v>
      </c>
      <c r="AC688" s="1182" t="s">
        <v>2925</v>
      </c>
      <c r="AD688" s="1182" t="s">
        <v>1561</v>
      </c>
      <c r="AE688" s="1182">
        <v>217996</v>
      </c>
      <c r="AF688" s="1182" t="s">
        <v>1943</v>
      </c>
      <c r="AG688" s="1182" t="s">
        <v>1944</v>
      </c>
      <c r="AH688" s="1182">
        <v>0</v>
      </c>
      <c r="AI688" s="1182">
        <v>217996</v>
      </c>
      <c r="AJ688" s="1182" t="s">
        <v>1639</v>
      </c>
      <c r="AL688" s="1186" t="s">
        <v>3942</v>
      </c>
      <c r="AM688" s="1182">
        <v>1</v>
      </c>
      <c r="AN688" s="1182">
        <v>0</v>
      </c>
      <c r="AO688" s="1182">
        <v>0</v>
      </c>
      <c r="AP688" s="1182" t="s">
        <v>3899</v>
      </c>
      <c r="AQ688" s="1182" t="s">
        <v>1639</v>
      </c>
      <c r="AS688" s="1186" t="s">
        <v>1943</v>
      </c>
      <c r="AT688" s="1186" t="s">
        <v>1944</v>
      </c>
      <c r="AV688" s="1183">
        <v>217996</v>
      </c>
      <c r="AW688" s="1183">
        <v>0</v>
      </c>
      <c r="AX688" s="1183">
        <v>0</v>
      </c>
      <c r="AY688" s="1538">
        <v>217996</v>
      </c>
      <c r="AZ688" s="1183">
        <v>0</v>
      </c>
      <c r="BA688" s="1183">
        <v>0</v>
      </c>
      <c r="BB688" s="1540">
        <v>0</v>
      </c>
      <c r="BC688" s="1540">
        <v>217996</v>
      </c>
      <c r="BD688" s="1540">
        <v>0</v>
      </c>
      <c r="BF688" s="1539">
        <f t="shared" si="132"/>
        <v>217996</v>
      </c>
      <c r="BG688" s="1539">
        <f t="shared" si="133"/>
        <v>0</v>
      </c>
      <c r="BH688" s="1539">
        <f t="shared" si="134"/>
        <v>0</v>
      </c>
      <c r="BI688" s="1539">
        <f t="shared" si="135"/>
        <v>217996</v>
      </c>
      <c r="BJ688" s="1539">
        <f t="shared" si="136"/>
        <v>0</v>
      </c>
      <c r="BK688" s="1539">
        <f t="shared" si="137"/>
        <v>0</v>
      </c>
      <c r="BL688" s="1539">
        <f t="shared" si="138"/>
        <v>0</v>
      </c>
      <c r="BM688" s="1539">
        <f t="shared" si="139"/>
        <v>217996</v>
      </c>
      <c r="BO688" s="1183"/>
      <c r="BQ688" s="1182">
        <f t="shared" si="140"/>
        <v>0</v>
      </c>
      <c r="BR688" s="1182">
        <f t="shared" si="141"/>
        <v>0</v>
      </c>
    </row>
    <row r="689" spans="1:70" ht="13.5" customHeight="1">
      <c r="A689" s="1182" t="s">
        <v>1803</v>
      </c>
      <c r="B689" s="1182" t="s">
        <v>1804</v>
      </c>
      <c r="C689" s="1182" t="s">
        <v>1639</v>
      </c>
      <c r="D689" s="1182" t="s">
        <v>3943</v>
      </c>
      <c r="E689" s="1182" t="s">
        <v>3944</v>
      </c>
      <c r="F689" s="1182" t="s">
        <v>2270</v>
      </c>
      <c r="G689" s="1182" t="s">
        <v>2270</v>
      </c>
      <c r="H689" s="1182" t="s">
        <v>3945</v>
      </c>
      <c r="I689" s="1182" t="s">
        <v>1809</v>
      </c>
      <c r="J689" s="1182" t="s">
        <v>3946</v>
      </c>
      <c r="K689" s="1182" t="s">
        <v>1811</v>
      </c>
      <c r="L689" s="1182" t="s">
        <v>1812</v>
      </c>
      <c r="M689" s="1182" t="s">
        <v>1803</v>
      </c>
      <c r="N689" s="1182" t="s">
        <v>2922</v>
      </c>
      <c r="O689" s="1182" t="s">
        <v>1554</v>
      </c>
      <c r="P689" s="1182" t="s">
        <v>1563</v>
      </c>
      <c r="Q689" s="1182" t="s">
        <v>1562</v>
      </c>
      <c r="R689" s="1182" t="s">
        <v>1561</v>
      </c>
      <c r="S689" s="1182" t="s">
        <v>1639</v>
      </c>
      <c r="T689" s="1182" t="s">
        <v>1814</v>
      </c>
      <c r="U689" s="1182" t="s">
        <v>1815</v>
      </c>
      <c r="V689" s="1182">
        <v>0</v>
      </c>
      <c r="W689" s="1182">
        <v>0</v>
      </c>
      <c r="X689" s="1182">
        <v>0</v>
      </c>
      <c r="Y689" s="1183">
        <v>528455</v>
      </c>
      <c r="Z689" s="1182" t="s">
        <v>2923</v>
      </c>
      <c r="AA689" s="1182" t="s">
        <v>2924</v>
      </c>
      <c r="AB689" s="1182">
        <v>528455</v>
      </c>
      <c r="AC689" s="1182" t="s">
        <v>2925</v>
      </c>
      <c r="AD689" s="1182" t="s">
        <v>1561</v>
      </c>
      <c r="AE689" s="1182">
        <v>528455</v>
      </c>
      <c r="AF689" s="1182" t="s">
        <v>3082</v>
      </c>
      <c r="AG689" s="1182" t="s">
        <v>1944</v>
      </c>
      <c r="AH689" s="1182">
        <v>0</v>
      </c>
      <c r="AI689" s="1182">
        <v>528455</v>
      </c>
      <c r="AJ689" s="1182" t="s">
        <v>3947</v>
      </c>
      <c r="AL689" s="1186" t="s">
        <v>3948</v>
      </c>
      <c r="AM689" s="1182">
        <v>2</v>
      </c>
      <c r="AN689" s="1182">
        <v>31</v>
      </c>
      <c r="AO689" s="1182">
        <v>0</v>
      </c>
      <c r="AP689" s="1182" t="s">
        <v>3097</v>
      </c>
      <c r="AQ689" s="1182" t="s">
        <v>1639</v>
      </c>
      <c r="AS689" s="1186">
        <v>31</v>
      </c>
      <c r="AT689" s="1186">
        <v>0</v>
      </c>
      <c r="AV689" s="1183">
        <v>243089</v>
      </c>
      <c r="AW689" s="1183">
        <v>0</v>
      </c>
      <c r="AX689" s="1183">
        <v>0</v>
      </c>
      <c r="AY689" s="1538">
        <v>243089</v>
      </c>
      <c r="AZ689" s="1183">
        <v>0</v>
      </c>
      <c r="BA689" s="1183">
        <v>285366</v>
      </c>
      <c r="BB689" s="1540">
        <v>285366</v>
      </c>
      <c r="BC689" s="1540">
        <v>528455</v>
      </c>
      <c r="BD689" s="1540">
        <v>0</v>
      </c>
      <c r="BF689" s="1539">
        <f t="shared" si="132"/>
        <v>243089</v>
      </c>
      <c r="BG689" s="1539">
        <f t="shared" si="133"/>
        <v>0</v>
      </c>
      <c r="BH689" s="1539">
        <f t="shared" si="134"/>
        <v>0</v>
      </c>
      <c r="BI689" s="1539">
        <f t="shared" si="135"/>
        <v>243089</v>
      </c>
      <c r="BJ689" s="1539">
        <f t="shared" si="136"/>
        <v>0</v>
      </c>
      <c r="BK689" s="1539">
        <f t="shared" si="137"/>
        <v>285366</v>
      </c>
      <c r="BL689" s="1539">
        <f t="shared" si="138"/>
        <v>285366</v>
      </c>
      <c r="BM689" s="1539">
        <f t="shared" si="139"/>
        <v>528455</v>
      </c>
      <c r="BO689" s="1183"/>
      <c r="BQ689" s="1182">
        <f t="shared" si="140"/>
        <v>0</v>
      </c>
      <c r="BR689" s="1182">
        <f t="shared" si="141"/>
        <v>0</v>
      </c>
    </row>
    <row r="690" spans="1:70" ht="13.5" customHeight="1">
      <c r="A690" s="1182" t="s">
        <v>1803</v>
      </c>
      <c r="B690" s="1182" t="s">
        <v>1804</v>
      </c>
      <c r="C690" s="1182" t="s">
        <v>1639</v>
      </c>
      <c r="D690" s="1182" t="s">
        <v>1967</v>
      </c>
      <c r="E690" s="1182" t="s">
        <v>1968</v>
      </c>
      <c r="F690" s="1182" t="s">
        <v>1984</v>
      </c>
      <c r="G690" s="1182" t="s">
        <v>1984</v>
      </c>
      <c r="H690" s="1182" t="s">
        <v>3945</v>
      </c>
      <c r="I690" s="1182" t="s">
        <v>1809</v>
      </c>
      <c r="J690" s="1182" t="s">
        <v>3949</v>
      </c>
      <c r="K690" s="1182" t="s">
        <v>1811</v>
      </c>
      <c r="L690" s="1182" t="s">
        <v>1812</v>
      </c>
      <c r="M690" s="1182" t="s">
        <v>1803</v>
      </c>
      <c r="N690" s="1182" t="s">
        <v>2922</v>
      </c>
      <c r="O690" s="1182" t="s">
        <v>1554</v>
      </c>
      <c r="P690" s="1182" t="s">
        <v>1563</v>
      </c>
      <c r="Q690" s="1182" t="s">
        <v>1562</v>
      </c>
      <c r="R690" s="1182" t="s">
        <v>1561</v>
      </c>
      <c r="S690" s="1182" t="s">
        <v>1639</v>
      </c>
      <c r="T690" s="1182" t="s">
        <v>1814</v>
      </c>
      <c r="U690" s="1182" t="s">
        <v>1815</v>
      </c>
      <c r="V690" s="1182">
        <v>0</v>
      </c>
      <c r="W690" s="1182">
        <v>0</v>
      </c>
      <c r="X690" s="1182">
        <v>0</v>
      </c>
      <c r="Y690" s="1183">
        <v>595113</v>
      </c>
      <c r="Z690" s="1182" t="s">
        <v>2923</v>
      </c>
      <c r="AA690" s="1182" t="s">
        <v>2924</v>
      </c>
      <c r="AB690" s="1182">
        <v>595113</v>
      </c>
      <c r="AC690" s="1182" t="s">
        <v>2925</v>
      </c>
      <c r="AD690" s="1182" t="s">
        <v>1561</v>
      </c>
      <c r="AE690" s="1182">
        <v>595113</v>
      </c>
      <c r="AF690" s="1182" t="s">
        <v>1943</v>
      </c>
      <c r="AG690" s="1182" t="s">
        <v>1944</v>
      </c>
      <c r="AH690" s="1182">
        <v>0</v>
      </c>
      <c r="AI690" s="1182">
        <v>595113</v>
      </c>
      <c r="AJ690" s="1182" t="s">
        <v>3947</v>
      </c>
      <c r="AL690" s="1186" t="s">
        <v>3950</v>
      </c>
      <c r="AM690" s="1182">
        <v>2</v>
      </c>
      <c r="AN690" s="1182">
        <v>31</v>
      </c>
      <c r="AO690" s="1182">
        <v>0</v>
      </c>
      <c r="AP690" s="1182" t="s">
        <v>3097</v>
      </c>
      <c r="AQ690" s="1182" t="s">
        <v>1639</v>
      </c>
      <c r="AS690" s="1186">
        <v>31</v>
      </c>
      <c r="AT690" s="1186">
        <v>0</v>
      </c>
      <c r="AV690" s="1183">
        <v>273752</v>
      </c>
      <c r="AW690" s="1183">
        <v>0</v>
      </c>
      <c r="AX690" s="1183">
        <v>0</v>
      </c>
      <c r="AY690" s="1538">
        <v>273752</v>
      </c>
      <c r="AZ690" s="1183">
        <v>0</v>
      </c>
      <c r="BA690" s="1183">
        <v>321361</v>
      </c>
      <c r="BB690" s="1540">
        <v>321361</v>
      </c>
      <c r="BC690" s="1540">
        <v>595113</v>
      </c>
      <c r="BD690" s="1540">
        <v>0</v>
      </c>
      <c r="BF690" s="1539">
        <f t="shared" si="132"/>
        <v>273752</v>
      </c>
      <c r="BG690" s="1539">
        <f t="shared" si="133"/>
        <v>0</v>
      </c>
      <c r="BH690" s="1539">
        <f t="shared" si="134"/>
        <v>0</v>
      </c>
      <c r="BI690" s="1539">
        <f t="shared" si="135"/>
        <v>273752</v>
      </c>
      <c r="BJ690" s="1539">
        <f t="shared" si="136"/>
        <v>0</v>
      </c>
      <c r="BK690" s="1539">
        <f t="shared" si="137"/>
        <v>321361</v>
      </c>
      <c r="BL690" s="1539">
        <f t="shared" si="138"/>
        <v>321361</v>
      </c>
      <c r="BM690" s="1539">
        <f t="shared" si="139"/>
        <v>595113</v>
      </c>
      <c r="BO690" s="1183"/>
      <c r="BQ690" s="1182">
        <f t="shared" si="140"/>
        <v>0</v>
      </c>
      <c r="BR690" s="1182">
        <f t="shared" si="141"/>
        <v>0</v>
      </c>
    </row>
    <row r="691" spans="1:70" ht="13.5" customHeight="1">
      <c r="A691" s="1182" t="s">
        <v>1803</v>
      </c>
      <c r="B691" s="1182" t="s">
        <v>1804</v>
      </c>
      <c r="C691" s="1182" t="s">
        <v>1639</v>
      </c>
      <c r="D691" s="1182" t="s">
        <v>2866</v>
      </c>
      <c r="E691" s="1182" t="s">
        <v>2867</v>
      </c>
      <c r="F691" s="1182" t="s">
        <v>2026</v>
      </c>
      <c r="G691" s="1182" t="s">
        <v>2026</v>
      </c>
      <c r="H691" s="1182" t="s">
        <v>3951</v>
      </c>
      <c r="I691" s="1182" t="s">
        <v>1937</v>
      </c>
      <c r="J691" s="1182" t="s">
        <v>3952</v>
      </c>
      <c r="K691" s="1182" t="s">
        <v>1811</v>
      </c>
      <c r="L691" s="1182" t="s">
        <v>1812</v>
      </c>
      <c r="M691" s="1182" t="s">
        <v>1803</v>
      </c>
      <c r="N691" s="1182" t="s">
        <v>2922</v>
      </c>
      <c r="O691" s="1182" t="s">
        <v>1554</v>
      </c>
      <c r="P691" s="1182" t="s">
        <v>1563</v>
      </c>
      <c r="Q691" s="1182" t="s">
        <v>1562</v>
      </c>
      <c r="R691" s="1182" t="s">
        <v>1561</v>
      </c>
      <c r="S691" s="1182" t="s">
        <v>1639</v>
      </c>
      <c r="T691" s="1182" t="s">
        <v>1814</v>
      </c>
      <c r="U691" s="1182" t="s">
        <v>1815</v>
      </c>
      <c r="V691" s="1182">
        <v>0</v>
      </c>
      <c r="W691" s="1182">
        <v>0</v>
      </c>
      <c r="X691" s="1182">
        <v>0</v>
      </c>
      <c r="Y691" s="1183">
        <v>865</v>
      </c>
      <c r="Z691" s="1182" t="s">
        <v>1940</v>
      </c>
      <c r="AA691" s="1182" t="s">
        <v>1941</v>
      </c>
      <c r="AB691" s="1182">
        <v>865</v>
      </c>
      <c r="AC691" s="1182" t="s">
        <v>2925</v>
      </c>
      <c r="AD691" s="1182" t="s">
        <v>1561</v>
      </c>
      <c r="AE691" s="1182">
        <v>865</v>
      </c>
      <c r="AF691" s="1182" t="s">
        <v>1943</v>
      </c>
      <c r="AG691" s="1182" t="s">
        <v>1944</v>
      </c>
      <c r="AH691" s="1182">
        <v>0</v>
      </c>
      <c r="AI691" s="1182">
        <v>865</v>
      </c>
      <c r="AJ691" s="1182" t="s">
        <v>2146</v>
      </c>
      <c r="AL691" s="1186" t="s">
        <v>3953</v>
      </c>
      <c r="AM691" s="1182">
        <v>1</v>
      </c>
      <c r="AN691" s="1182">
        <v>0</v>
      </c>
      <c r="AO691" s="1182">
        <v>0</v>
      </c>
      <c r="AP691" s="1182" t="s">
        <v>3954</v>
      </c>
      <c r="AQ691" s="1182" t="s">
        <v>1639</v>
      </c>
      <c r="AS691" s="1186" t="s">
        <v>1943</v>
      </c>
      <c r="AT691" s="1186" t="s">
        <v>1944</v>
      </c>
      <c r="AV691" s="1183">
        <v>432</v>
      </c>
      <c r="AW691" s="1183">
        <v>0</v>
      </c>
      <c r="AX691" s="1183">
        <v>0</v>
      </c>
      <c r="AY691" s="1538">
        <v>432</v>
      </c>
      <c r="AZ691" s="1183">
        <v>0</v>
      </c>
      <c r="BA691" s="1183">
        <v>433</v>
      </c>
      <c r="BB691" s="1540">
        <v>433</v>
      </c>
      <c r="BC691" s="1540">
        <v>865</v>
      </c>
      <c r="BD691" s="1540">
        <v>0</v>
      </c>
      <c r="BF691" s="1539">
        <f t="shared" si="132"/>
        <v>432</v>
      </c>
      <c r="BG691" s="1539">
        <f t="shared" si="133"/>
        <v>0</v>
      </c>
      <c r="BH691" s="1539">
        <f t="shared" si="134"/>
        <v>0</v>
      </c>
      <c r="BI691" s="1539">
        <f t="shared" si="135"/>
        <v>432</v>
      </c>
      <c r="BJ691" s="1539">
        <f t="shared" si="136"/>
        <v>0</v>
      </c>
      <c r="BK691" s="1539">
        <f t="shared" si="137"/>
        <v>433</v>
      </c>
      <c r="BL691" s="1539">
        <f t="shared" si="138"/>
        <v>433</v>
      </c>
      <c r="BM691" s="1539">
        <f t="shared" si="139"/>
        <v>865</v>
      </c>
      <c r="BO691" s="1183"/>
      <c r="BQ691" s="1182">
        <f t="shared" si="140"/>
        <v>0</v>
      </c>
      <c r="BR691" s="1182">
        <f t="shared" si="141"/>
        <v>0</v>
      </c>
    </row>
    <row r="692" spans="1:70" ht="13.5" customHeight="1">
      <c r="A692" s="1182" t="s">
        <v>1803</v>
      </c>
      <c r="B692" s="1182" t="s">
        <v>1804</v>
      </c>
      <c r="C692" s="1182" t="s">
        <v>1639</v>
      </c>
      <c r="D692" s="1182" t="s">
        <v>2866</v>
      </c>
      <c r="E692" s="1182" t="s">
        <v>2867</v>
      </c>
      <c r="F692" s="1182" t="s">
        <v>2707</v>
      </c>
      <c r="G692" s="1182" t="s">
        <v>2707</v>
      </c>
      <c r="H692" s="1182" t="s">
        <v>3955</v>
      </c>
      <c r="I692" s="1182" t="s">
        <v>1937</v>
      </c>
      <c r="J692" s="1182" t="s">
        <v>3956</v>
      </c>
      <c r="K692" s="1182" t="s">
        <v>1811</v>
      </c>
      <c r="L692" s="1182" t="s">
        <v>1812</v>
      </c>
      <c r="M692" s="1182" t="s">
        <v>1803</v>
      </c>
      <c r="N692" s="1182" t="s">
        <v>2922</v>
      </c>
      <c r="O692" s="1182" t="s">
        <v>1554</v>
      </c>
      <c r="P692" s="1182" t="s">
        <v>1563</v>
      </c>
      <c r="Q692" s="1182" t="s">
        <v>1562</v>
      </c>
      <c r="R692" s="1182" t="s">
        <v>1561</v>
      </c>
      <c r="S692" s="1182" t="s">
        <v>1639</v>
      </c>
      <c r="T692" s="1182" t="s">
        <v>1814</v>
      </c>
      <c r="U692" s="1182" t="s">
        <v>1815</v>
      </c>
      <c r="V692" s="1182">
        <v>0</v>
      </c>
      <c r="W692" s="1182">
        <v>0</v>
      </c>
      <c r="X692" s="1182">
        <v>0</v>
      </c>
      <c r="Y692" s="1183">
        <v>156</v>
      </c>
      <c r="Z692" s="1182" t="s">
        <v>1940</v>
      </c>
      <c r="AA692" s="1182" t="s">
        <v>1941</v>
      </c>
      <c r="AB692" s="1182">
        <v>156</v>
      </c>
      <c r="AC692" s="1182" t="s">
        <v>2925</v>
      </c>
      <c r="AD692" s="1182" t="s">
        <v>1561</v>
      </c>
      <c r="AE692" s="1182">
        <v>156</v>
      </c>
      <c r="AF692" s="1182" t="s">
        <v>1943</v>
      </c>
      <c r="AG692" s="1182" t="s">
        <v>1944</v>
      </c>
      <c r="AH692" s="1182">
        <v>0</v>
      </c>
      <c r="AI692" s="1182">
        <v>156</v>
      </c>
      <c r="AJ692" s="1182" t="s">
        <v>2146</v>
      </c>
      <c r="AL692" s="1186" t="s">
        <v>3957</v>
      </c>
      <c r="AM692" s="1182">
        <v>1</v>
      </c>
      <c r="AN692" s="1182">
        <v>0</v>
      </c>
      <c r="AO692" s="1182">
        <v>0</v>
      </c>
      <c r="AP692" s="1182" t="s">
        <v>3958</v>
      </c>
      <c r="AQ692" s="1182" t="s">
        <v>1639</v>
      </c>
      <c r="AS692" s="1186" t="s">
        <v>1943</v>
      </c>
      <c r="AT692" s="1186" t="s">
        <v>1944</v>
      </c>
      <c r="AV692" s="1183">
        <v>78</v>
      </c>
      <c r="AW692" s="1183">
        <v>0</v>
      </c>
      <c r="AX692" s="1183">
        <v>0</v>
      </c>
      <c r="AY692" s="1538">
        <v>78</v>
      </c>
      <c r="AZ692" s="1183">
        <v>0</v>
      </c>
      <c r="BA692" s="1183">
        <v>78</v>
      </c>
      <c r="BB692" s="1540">
        <v>78</v>
      </c>
      <c r="BC692" s="1540">
        <v>156</v>
      </c>
      <c r="BD692" s="1540">
        <v>0</v>
      </c>
      <c r="BF692" s="1539">
        <f t="shared" si="132"/>
        <v>78</v>
      </c>
      <c r="BG692" s="1539">
        <f t="shared" si="133"/>
        <v>0</v>
      </c>
      <c r="BH692" s="1539">
        <f t="shared" si="134"/>
        <v>0</v>
      </c>
      <c r="BI692" s="1539">
        <f t="shared" si="135"/>
        <v>78</v>
      </c>
      <c r="BJ692" s="1539">
        <f t="shared" si="136"/>
        <v>0</v>
      </c>
      <c r="BK692" s="1539">
        <f t="shared" si="137"/>
        <v>78</v>
      </c>
      <c r="BL692" s="1539">
        <f t="shared" si="138"/>
        <v>78</v>
      </c>
      <c r="BM692" s="1539">
        <f t="shared" si="139"/>
        <v>156</v>
      </c>
      <c r="BO692" s="1183"/>
      <c r="BQ692" s="1182">
        <f t="shared" si="140"/>
        <v>0</v>
      </c>
      <c r="BR692" s="1182">
        <f t="shared" si="141"/>
        <v>0</v>
      </c>
    </row>
    <row r="693" spans="1:70" ht="13.5" customHeight="1">
      <c r="A693" s="1182" t="s">
        <v>1803</v>
      </c>
      <c r="B693" s="1182" t="s">
        <v>1804</v>
      </c>
      <c r="C693" s="1182" t="s">
        <v>1639</v>
      </c>
      <c r="D693" s="1182" t="s">
        <v>1933</v>
      </c>
      <c r="E693" s="1182" t="s">
        <v>1934</v>
      </c>
      <c r="F693" s="1182" t="s">
        <v>3959</v>
      </c>
      <c r="G693" s="1182" t="s">
        <v>3959</v>
      </c>
      <c r="H693" s="1182" t="s">
        <v>3960</v>
      </c>
      <c r="I693" s="1182" t="s">
        <v>1809</v>
      </c>
      <c r="J693" s="1182" t="s">
        <v>3961</v>
      </c>
      <c r="K693" s="1182" t="s">
        <v>1811</v>
      </c>
      <c r="L693" s="1182" t="s">
        <v>1812</v>
      </c>
      <c r="M693" s="1182" t="s">
        <v>1803</v>
      </c>
      <c r="N693" s="1182" t="s">
        <v>2922</v>
      </c>
      <c r="O693" s="1182" t="s">
        <v>1554</v>
      </c>
      <c r="P693" s="1182" t="s">
        <v>1563</v>
      </c>
      <c r="Q693" s="1182" t="s">
        <v>1562</v>
      </c>
      <c r="R693" s="1182" t="s">
        <v>1561</v>
      </c>
      <c r="S693" s="1182" t="s">
        <v>1639</v>
      </c>
      <c r="T693" s="1182" t="s">
        <v>1814</v>
      </c>
      <c r="U693" s="1182" t="s">
        <v>1815</v>
      </c>
      <c r="V693" s="1182">
        <v>0</v>
      </c>
      <c r="W693" s="1182">
        <v>0</v>
      </c>
      <c r="X693" s="1182">
        <v>0</v>
      </c>
      <c r="Y693" s="1183">
        <v>8640</v>
      </c>
      <c r="Z693" s="1182" t="s">
        <v>2923</v>
      </c>
      <c r="AA693" s="1182" t="s">
        <v>2924</v>
      </c>
      <c r="AB693" s="1182">
        <v>8640</v>
      </c>
      <c r="AC693" s="1182" t="s">
        <v>2925</v>
      </c>
      <c r="AD693" s="1182" t="s">
        <v>1561</v>
      </c>
      <c r="AE693" s="1182">
        <v>8640</v>
      </c>
      <c r="AF693" s="1182" t="s">
        <v>1943</v>
      </c>
      <c r="AG693" s="1182" t="s">
        <v>1944</v>
      </c>
      <c r="AH693" s="1182">
        <v>0</v>
      </c>
      <c r="AI693" s="1182">
        <v>8640</v>
      </c>
      <c r="AJ693" s="1182" t="s">
        <v>3962</v>
      </c>
      <c r="AL693" s="1186" t="s">
        <v>3963</v>
      </c>
      <c r="AM693" s="1182">
        <v>1</v>
      </c>
      <c r="AN693" s="1182">
        <v>0</v>
      </c>
      <c r="AO693" s="1182">
        <v>0</v>
      </c>
      <c r="AP693" s="1182">
        <v>0</v>
      </c>
      <c r="AQ693" s="1182" t="s">
        <v>1639</v>
      </c>
      <c r="AS693" s="1186" t="s">
        <v>1943</v>
      </c>
      <c r="AT693" s="1186" t="s">
        <v>1944</v>
      </c>
      <c r="AV693" s="1183">
        <v>8640</v>
      </c>
      <c r="AW693" s="1183">
        <v>0</v>
      </c>
      <c r="AX693" s="1183">
        <v>0</v>
      </c>
      <c r="AY693" s="1538">
        <v>8640</v>
      </c>
      <c r="AZ693" s="1183">
        <v>0</v>
      </c>
      <c r="BA693" s="1183">
        <v>0</v>
      </c>
      <c r="BB693" s="1540">
        <v>0</v>
      </c>
      <c r="BC693" s="1540">
        <v>8640</v>
      </c>
      <c r="BD693" s="1540">
        <v>0</v>
      </c>
      <c r="BF693" s="1539">
        <f t="shared" si="132"/>
        <v>8640</v>
      </c>
      <c r="BG693" s="1539">
        <f t="shared" si="133"/>
        <v>0</v>
      </c>
      <c r="BH693" s="1539">
        <f t="shared" si="134"/>
        <v>0</v>
      </c>
      <c r="BI693" s="1539">
        <f t="shared" si="135"/>
        <v>8640</v>
      </c>
      <c r="BJ693" s="1539">
        <f t="shared" si="136"/>
        <v>0</v>
      </c>
      <c r="BK693" s="1539">
        <f t="shared" si="137"/>
        <v>0</v>
      </c>
      <c r="BL693" s="1539">
        <f t="shared" si="138"/>
        <v>0</v>
      </c>
      <c r="BM693" s="1539">
        <f t="shared" si="139"/>
        <v>8640</v>
      </c>
      <c r="BO693" s="1183"/>
      <c r="BQ693" s="1182">
        <f t="shared" si="140"/>
        <v>0</v>
      </c>
      <c r="BR693" s="1182">
        <f t="shared" si="141"/>
        <v>0</v>
      </c>
    </row>
    <row r="694" spans="1:70" ht="13.5" customHeight="1">
      <c r="A694" s="1182" t="s">
        <v>1803</v>
      </c>
      <c r="B694" s="1182" t="s">
        <v>1804</v>
      </c>
      <c r="C694" s="1182" t="s">
        <v>1639</v>
      </c>
      <c r="D694" s="1182" t="s">
        <v>1933</v>
      </c>
      <c r="E694" s="1182" t="s">
        <v>1934</v>
      </c>
      <c r="F694" s="1182" t="s">
        <v>2691</v>
      </c>
      <c r="G694" s="1182" t="s">
        <v>2691</v>
      </c>
      <c r="H694" s="1182" t="s">
        <v>3964</v>
      </c>
      <c r="I694" s="1182" t="s">
        <v>1809</v>
      </c>
      <c r="J694" s="1182" t="s">
        <v>3965</v>
      </c>
      <c r="K694" s="1182" t="s">
        <v>1811</v>
      </c>
      <c r="L694" s="1182" t="s">
        <v>1812</v>
      </c>
      <c r="M694" s="1182" t="s">
        <v>1803</v>
      </c>
      <c r="N694" s="1182" t="s">
        <v>2922</v>
      </c>
      <c r="O694" s="1182" t="s">
        <v>1554</v>
      </c>
      <c r="P694" s="1182" t="s">
        <v>1563</v>
      </c>
      <c r="Q694" s="1182" t="s">
        <v>1562</v>
      </c>
      <c r="R694" s="1182" t="s">
        <v>1561</v>
      </c>
      <c r="S694" s="1182" t="s">
        <v>1639</v>
      </c>
      <c r="T694" s="1182" t="s">
        <v>1814</v>
      </c>
      <c r="U694" s="1182" t="s">
        <v>1815</v>
      </c>
      <c r="V694" s="1182">
        <v>0</v>
      </c>
      <c r="W694" s="1182">
        <v>0</v>
      </c>
      <c r="X694" s="1182">
        <v>0</v>
      </c>
      <c r="Y694" s="1183">
        <v>1122</v>
      </c>
      <c r="Z694" s="1182" t="s">
        <v>2923</v>
      </c>
      <c r="AA694" s="1182" t="s">
        <v>2924</v>
      </c>
      <c r="AB694" s="1182">
        <v>1122</v>
      </c>
      <c r="AC694" s="1182" t="s">
        <v>2925</v>
      </c>
      <c r="AD694" s="1182" t="s">
        <v>1561</v>
      </c>
      <c r="AE694" s="1182">
        <v>1122</v>
      </c>
      <c r="AF694" s="1182" t="s">
        <v>1819</v>
      </c>
      <c r="AG694" s="1182" t="s">
        <v>1820</v>
      </c>
      <c r="AH694" s="1182">
        <v>102</v>
      </c>
      <c r="AI694" s="1182">
        <v>1020</v>
      </c>
      <c r="AJ694" s="1182" t="s">
        <v>3966</v>
      </c>
      <c r="AL694" s="1186" t="s">
        <v>3967</v>
      </c>
      <c r="AM694" s="1182">
        <v>1</v>
      </c>
      <c r="AN694" s="1182">
        <v>0</v>
      </c>
      <c r="AO694" s="1182">
        <v>0</v>
      </c>
      <c r="AP694" s="1182">
        <v>0</v>
      </c>
      <c r="AQ694" s="1182" t="s">
        <v>1639</v>
      </c>
      <c r="AS694" s="1186" t="s">
        <v>1819</v>
      </c>
      <c r="AT694" s="1186" t="s">
        <v>1820</v>
      </c>
      <c r="AV694" s="1183">
        <v>1122</v>
      </c>
      <c r="AW694" s="1183">
        <v>0</v>
      </c>
      <c r="AX694" s="1183">
        <v>0</v>
      </c>
      <c r="AY694" s="1538">
        <v>1122</v>
      </c>
      <c r="AZ694" s="1183">
        <v>0</v>
      </c>
      <c r="BA694" s="1183">
        <v>0</v>
      </c>
      <c r="BB694" s="1540">
        <v>0</v>
      </c>
      <c r="BC694" s="1540">
        <v>1122</v>
      </c>
      <c r="BD694" s="1540">
        <v>0</v>
      </c>
      <c r="BF694" s="1539">
        <f t="shared" si="132"/>
        <v>1020</v>
      </c>
      <c r="BG694" s="1539">
        <f t="shared" si="133"/>
        <v>0</v>
      </c>
      <c r="BH694" s="1539">
        <f t="shared" si="134"/>
        <v>0</v>
      </c>
      <c r="BI694" s="1539">
        <f t="shared" si="135"/>
        <v>1020</v>
      </c>
      <c r="BJ694" s="1539">
        <f t="shared" si="136"/>
        <v>0</v>
      </c>
      <c r="BK694" s="1539">
        <f t="shared" si="137"/>
        <v>0</v>
      </c>
      <c r="BL694" s="1539">
        <f t="shared" si="138"/>
        <v>0</v>
      </c>
      <c r="BM694" s="1539">
        <f t="shared" si="139"/>
        <v>1020</v>
      </c>
      <c r="BO694" s="1183"/>
      <c r="BQ694" s="1182">
        <f t="shared" si="140"/>
        <v>0</v>
      </c>
      <c r="BR694" s="1182">
        <f t="shared" si="141"/>
        <v>0</v>
      </c>
    </row>
    <row r="695" spans="1:70" ht="13.5" customHeight="1">
      <c r="A695" s="1182" t="s">
        <v>1803</v>
      </c>
      <c r="B695" s="1182" t="s">
        <v>1804</v>
      </c>
      <c r="C695" s="1182" t="s">
        <v>1639</v>
      </c>
      <c r="D695" s="1182" t="s">
        <v>1933</v>
      </c>
      <c r="E695" s="1182" t="s">
        <v>1934</v>
      </c>
      <c r="F695" s="1182" t="s">
        <v>2529</v>
      </c>
      <c r="G695" s="1182" t="s">
        <v>2529</v>
      </c>
      <c r="H695" s="1182" t="s">
        <v>3968</v>
      </c>
      <c r="I695" s="1182" t="s">
        <v>1809</v>
      </c>
      <c r="J695" s="1182" t="s">
        <v>3969</v>
      </c>
      <c r="K695" s="1182" t="s">
        <v>1811</v>
      </c>
      <c r="L695" s="1182" t="s">
        <v>1812</v>
      </c>
      <c r="M695" s="1182" t="s">
        <v>1803</v>
      </c>
      <c r="N695" s="1182" t="s">
        <v>2922</v>
      </c>
      <c r="O695" s="1182" t="s">
        <v>1554</v>
      </c>
      <c r="P695" s="1182" t="s">
        <v>1563</v>
      </c>
      <c r="Q695" s="1182" t="s">
        <v>1562</v>
      </c>
      <c r="R695" s="1182" t="s">
        <v>1561</v>
      </c>
      <c r="S695" s="1182" t="s">
        <v>1639</v>
      </c>
      <c r="T695" s="1182" t="s">
        <v>1814</v>
      </c>
      <c r="U695" s="1182" t="s">
        <v>1815</v>
      </c>
      <c r="V695" s="1182">
        <v>0</v>
      </c>
      <c r="W695" s="1182">
        <v>0</v>
      </c>
      <c r="X695" s="1182">
        <v>0</v>
      </c>
      <c r="Y695" s="1183">
        <v>106960</v>
      </c>
      <c r="Z695" s="1182" t="s">
        <v>2923</v>
      </c>
      <c r="AA695" s="1182" t="s">
        <v>2924</v>
      </c>
      <c r="AB695" s="1182">
        <v>106960</v>
      </c>
      <c r="AC695" s="1182" t="s">
        <v>2925</v>
      </c>
      <c r="AD695" s="1182" t="s">
        <v>1561</v>
      </c>
      <c r="AE695" s="1182">
        <v>106960</v>
      </c>
      <c r="AF695" s="1182" t="s">
        <v>1943</v>
      </c>
      <c r="AG695" s="1182" t="s">
        <v>1944</v>
      </c>
      <c r="AH695" s="1182">
        <v>0</v>
      </c>
      <c r="AI695" s="1182">
        <v>106960</v>
      </c>
      <c r="AJ695" s="1182" t="s">
        <v>3970</v>
      </c>
      <c r="AL695" s="1186" t="s">
        <v>3971</v>
      </c>
      <c r="AM695" s="1182">
        <v>1</v>
      </c>
      <c r="AN695" s="1182">
        <v>0</v>
      </c>
      <c r="AO695" s="1182">
        <v>0</v>
      </c>
      <c r="AP695" s="1182">
        <v>0</v>
      </c>
      <c r="AQ695" s="1182" t="s">
        <v>1639</v>
      </c>
      <c r="AS695" s="1186" t="s">
        <v>1943</v>
      </c>
      <c r="AT695" s="1186" t="s">
        <v>1944</v>
      </c>
      <c r="AV695" s="1183">
        <v>106960</v>
      </c>
      <c r="AW695" s="1183">
        <v>0</v>
      </c>
      <c r="AX695" s="1183">
        <v>0</v>
      </c>
      <c r="AY695" s="1538">
        <v>106960</v>
      </c>
      <c r="AZ695" s="1183">
        <v>0</v>
      </c>
      <c r="BA695" s="1183">
        <v>0</v>
      </c>
      <c r="BB695" s="1540">
        <v>0</v>
      </c>
      <c r="BC695" s="1540">
        <v>106960</v>
      </c>
      <c r="BD695" s="1540">
        <v>0</v>
      </c>
      <c r="BF695" s="1539">
        <f t="shared" si="132"/>
        <v>106960</v>
      </c>
      <c r="BG695" s="1539">
        <f t="shared" si="133"/>
        <v>0</v>
      </c>
      <c r="BH695" s="1539">
        <f t="shared" si="134"/>
        <v>0</v>
      </c>
      <c r="BI695" s="1539">
        <f t="shared" si="135"/>
        <v>106960</v>
      </c>
      <c r="BJ695" s="1539">
        <f t="shared" si="136"/>
        <v>0</v>
      </c>
      <c r="BK695" s="1539">
        <f t="shared" si="137"/>
        <v>0</v>
      </c>
      <c r="BL695" s="1539">
        <f t="shared" si="138"/>
        <v>0</v>
      </c>
      <c r="BM695" s="1539">
        <f t="shared" si="139"/>
        <v>106960</v>
      </c>
      <c r="BO695" s="1183"/>
      <c r="BQ695" s="1182">
        <f t="shared" si="140"/>
        <v>0</v>
      </c>
      <c r="BR695" s="1182">
        <f t="shared" si="141"/>
        <v>0</v>
      </c>
    </row>
    <row r="696" spans="1:70" ht="13.5" customHeight="1">
      <c r="A696" s="1182" t="s">
        <v>1803</v>
      </c>
      <c r="B696" s="1182" t="s">
        <v>1804</v>
      </c>
      <c r="C696" s="1182" t="s">
        <v>1639</v>
      </c>
      <c r="D696" s="1182" t="s">
        <v>1933</v>
      </c>
      <c r="E696" s="1182" t="s">
        <v>1934</v>
      </c>
      <c r="F696" s="1182" t="s">
        <v>3972</v>
      </c>
      <c r="G696" s="1182" t="s">
        <v>3972</v>
      </c>
      <c r="H696" s="1182" t="s">
        <v>3973</v>
      </c>
      <c r="I696" s="1182" t="s">
        <v>1809</v>
      </c>
      <c r="J696" s="1182" t="s">
        <v>3974</v>
      </c>
      <c r="K696" s="1182" t="s">
        <v>1811</v>
      </c>
      <c r="L696" s="1182" t="s">
        <v>1812</v>
      </c>
      <c r="M696" s="1182" t="s">
        <v>1803</v>
      </c>
      <c r="N696" s="1182" t="s">
        <v>2922</v>
      </c>
      <c r="O696" s="1182" t="s">
        <v>1554</v>
      </c>
      <c r="P696" s="1182" t="s">
        <v>1563</v>
      </c>
      <c r="Q696" s="1182" t="s">
        <v>1562</v>
      </c>
      <c r="R696" s="1182" t="s">
        <v>1561</v>
      </c>
      <c r="S696" s="1182" t="s">
        <v>1639</v>
      </c>
      <c r="T696" s="1182" t="s">
        <v>1814</v>
      </c>
      <c r="U696" s="1182" t="s">
        <v>1815</v>
      </c>
      <c r="V696" s="1182">
        <v>0</v>
      </c>
      <c r="W696" s="1182">
        <v>0</v>
      </c>
      <c r="X696" s="1182">
        <v>0</v>
      </c>
      <c r="Y696" s="1183">
        <v>2880</v>
      </c>
      <c r="Z696" s="1182" t="s">
        <v>2923</v>
      </c>
      <c r="AA696" s="1182" t="s">
        <v>2924</v>
      </c>
      <c r="AB696" s="1182">
        <v>2880</v>
      </c>
      <c r="AC696" s="1182" t="s">
        <v>2925</v>
      </c>
      <c r="AD696" s="1182" t="s">
        <v>1561</v>
      </c>
      <c r="AE696" s="1182">
        <v>2880</v>
      </c>
      <c r="AF696" s="1182" t="s">
        <v>1943</v>
      </c>
      <c r="AG696" s="1182" t="s">
        <v>1944</v>
      </c>
      <c r="AH696" s="1182">
        <v>0</v>
      </c>
      <c r="AI696" s="1182">
        <v>2880</v>
      </c>
      <c r="AJ696" s="1182" t="s">
        <v>3962</v>
      </c>
      <c r="AL696" s="1186" t="s">
        <v>3975</v>
      </c>
      <c r="AM696" s="1182">
        <v>1</v>
      </c>
      <c r="AN696" s="1182">
        <v>0</v>
      </c>
      <c r="AO696" s="1182">
        <v>0</v>
      </c>
      <c r="AP696" s="1182">
        <v>0</v>
      </c>
      <c r="AQ696" s="1182" t="s">
        <v>1639</v>
      </c>
      <c r="AS696" s="1186" t="s">
        <v>1943</v>
      </c>
      <c r="AT696" s="1186" t="s">
        <v>1944</v>
      </c>
      <c r="AV696" s="1183">
        <v>2880</v>
      </c>
      <c r="AW696" s="1183">
        <v>0</v>
      </c>
      <c r="AX696" s="1183">
        <v>0</v>
      </c>
      <c r="AY696" s="1538">
        <v>2880</v>
      </c>
      <c r="AZ696" s="1183">
        <v>0</v>
      </c>
      <c r="BA696" s="1183">
        <v>0</v>
      </c>
      <c r="BB696" s="1540">
        <v>0</v>
      </c>
      <c r="BC696" s="1540">
        <v>2880</v>
      </c>
      <c r="BD696" s="1540">
        <v>0</v>
      </c>
      <c r="BF696" s="1539">
        <f t="shared" si="132"/>
        <v>2880</v>
      </c>
      <c r="BG696" s="1539">
        <f t="shared" si="133"/>
        <v>0</v>
      </c>
      <c r="BH696" s="1539">
        <f t="shared" si="134"/>
        <v>0</v>
      </c>
      <c r="BI696" s="1539">
        <f t="shared" si="135"/>
        <v>2880</v>
      </c>
      <c r="BJ696" s="1539">
        <f t="shared" si="136"/>
        <v>0</v>
      </c>
      <c r="BK696" s="1539">
        <f t="shared" si="137"/>
        <v>0</v>
      </c>
      <c r="BL696" s="1539">
        <f t="shared" si="138"/>
        <v>0</v>
      </c>
      <c r="BM696" s="1539">
        <f t="shared" si="139"/>
        <v>2880</v>
      </c>
      <c r="BO696" s="1183"/>
      <c r="BQ696" s="1182">
        <f t="shared" si="140"/>
        <v>0</v>
      </c>
      <c r="BR696" s="1182">
        <f t="shared" si="141"/>
        <v>0</v>
      </c>
    </row>
    <row r="697" spans="1:70" ht="13.5" customHeight="1">
      <c r="A697" s="1182" t="s">
        <v>1803</v>
      </c>
      <c r="B697" s="1182" t="s">
        <v>1804</v>
      </c>
      <c r="C697" s="1182" t="s">
        <v>1639</v>
      </c>
      <c r="D697" s="1182" t="s">
        <v>1933</v>
      </c>
      <c r="E697" s="1182" t="s">
        <v>1934</v>
      </c>
      <c r="F697" s="1182" t="s">
        <v>2377</v>
      </c>
      <c r="G697" s="1182" t="s">
        <v>2377</v>
      </c>
      <c r="H697" s="1182" t="s">
        <v>3976</v>
      </c>
      <c r="I697" s="1182" t="s">
        <v>1809</v>
      </c>
      <c r="J697" s="1182" t="s">
        <v>3977</v>
      </c>
      <c r="K697" s="1182" t="s">
        <v>1811</v>
      </c>
      <c r="L697" s="1182" t="s">
        <v>1812</v>
      </c>
      <c r="M697" s="1182" t="s">
        <v>1803</v>
      </c>
      <c r="N697" s="1182" t="s">
        <v>2922</v>
      </c>
      <c r="O697" s="1182" t="s">
        <v>1554</v>
      </c>
      <c r="P697" s="1182" t="s">
        <v>1563</v>
      </c>
      <c r="Q697" s="1182" t="s">
        <v>1562</v>
      </c>
      <c r="R697" s="1182" t="s">
        <v>1561</v>
      </c>
      <c r="S697" s="1182" t="s">
        <v>1639</v>
      </c>
      <c r="T697" s="1182" t="s">
        <v>1814</v>
      </c>
      <c r="U697" s="1182" t="s">
        <v>1815</v>
      </c>
      <c r="V697" s="1182">
        <v>0</v>
      </c>
      <c r="W697" s="1182">
        <v>0</v>
      </c>
      <c r="X697" s="1182">
        <v>0</v>
      </c>
      <c r="Y697" s="1183">
        <v>286</v>
      </c>
      <c r="Z697" s="1182" t="s">
        <v>2923</v>
      </c>
      <c r="AA697" s="1182" t="s">
        <v>2924</v>
      </c>
      <c r="AB697" s="1182">
        <v>286</v>
      </c>
      <c r="AC697" s="1182" t="s">
        <v>2925</v>
      </c>
      <c r="AD697" s="1182" t="s">
        <v>1561</v>
      </c>
      <c r="AE697" s="1182">
        <v>286</v>
      </c>
      <c r="AF697" s="1182" t="s">
        <v>1943</v>
      </c>
      <c r="AG697" s="1182" t="s">
        <v>1944</v>
      </c>
      <c r="AH697" s="1182">
        <v>0</v>
      </c>
      <c r="AI697" s="1182">
        <v>286</v>
      </c>
      <c r="AJ697" s="1182" t="s">
        <v>3978</v>
      </c>
      <c r="AL697" s="1186" t="s">
        <v>3979</v>
      </c>
      <c r="AM697" s="1182">
        <v>1</v>
      </c>
      <c r="AN697" s="1182">
        <v>0</v>
      </c>
      <c r="AO697" s="1182">
        <v>0</v>
      </c>
      <c r="AP697" s="1182">
        <v>0</v>
      </c>
      <c r="AQ697" s="1182" t="s">
        <v>1639</v>
      </c>
      <c r="AS697" s="1186" t="s">
        <v>1943</v>
      </c>
      <c r="AT697" s="1186" t="s">
        <v>1944</v>
      </c>
      <c r="AV697" s="1183">
        <v>286</v>
      </c>
      <c r="AW697" s="1183">
        <v>0</v>
      </c>
      <c r="AX697" s="1183">
        <v>0</v>
      </c>
      <c r="AY697" s="1538">
        <v>286</v>
      </c>
      <c r="AZ697" s="1183">
        <v>0</v>
      </c>
      <c r="BA697" s="1183">
        <v>0</v>
      </c>
      <c r="BB697" s="1540">
        <v>0</v>
      </c>
      <c r="BC697" s="1540">
        <v>286</v>
      </c>
      <c r="BD697" s="1540">
        <v>0</v>
      </c>
      <c r="BF697" s="1539">
        <f t="shared" si="132"/>
        <v>286</v>
      </c>
      <c r="BG697" s="1539">
        <f t="shared" si="133"/>
        <v>0</v>
      </c>
      <c r="BH697" s="1539">
        <f t="shared" si="134"/>
        <v>0</v>
      </c>
      <c r="BI697" s="1539">
        <f t="shared" si="135"/>
        <v>286</v>
      </c>
      <c r="BJ697" s="1539">
        <f t="shared" si="136"/>
        <v>0</v>
      </c>
      <c r="BK697" s="1539">
        <f t="shared" si="137"/>
        <v>0</v>
      </c>
      <c r="BL697" s="1539">
        <f t="shared" si="138"/>
        <v>0</v>
      </c>
      <c r="BM697" s="1539">
        <f t="shared" si="139"/>
        <v>286</v>
      </c>
      <c r="BO697" s="1183"/>
      <c r="BQ697" s="1182">
        <f t="shared" si="140"/>
        <v>0</v>
      </c>
      <c r="BR697" s="1182">
        <f t="shared" si="141"/>
        <v>0</v>
      </c>
    </row>
    <row r="698" spans="1:70" ht="13.5" customHeight="1">
      <c r="A698" s="1182" t="s">
        <v>1803</v>
      </c>
      <c r="B698" s="1182" t="s">
        <v>1804</v>
      </c>
      <c r="C698" s="1182" t="s">
        <v>1639</v>
      </c>
      <c r="D698" s="1182" t="s">
        <v>1933</v>
      </c>
      <c r="E698" s="1182" t="s">
        <v>1934</v>
      </c>
      <c r="F698" s="1182" t="s">
        <v>1827</v>
      </c>
      <c r="G698" s="1182" t="s">
        <v>1827</v>
      </c>
      <c r="H698" s="1182" t="s">
        <v>3980</v>
      </c>
      <c r="I698" s="1182" t="s">
        <v>1809</v>
      </c>
      <c r="J698" s="1182" t="s">
        <v>3981</v>
      </c>
      <c r="K698" s="1182" t="s">
        <v>1811</v>
      </c>
      <c r="L698" s="1182" t="s">
        <v>1812</v>
      </c>
      <c r="M698" s="1182" t="s">
        <v>1803</v>
      </c>
      <c r="N698" s="1182" t="s">
        <v>2922</v>
      </c>
      <c r="O698" s="1182" t="s">
        <v>1554</v>
      </c>
      <c r="P698" s="1182" t="s">
        <v>1563</v>
      </c>
      <c r="Q698" s="1182" t="s">
        <v>1562</v>
      </c>
      <c r="R698" s="1182" t="s">
        <v>1561</v>
      </c>
      <c r="S698" s="1182" t="s">
        <v>1639</v>
      </c>
      <c r="T698" s="1182" t="s">
        <v>1814</v>
      </c>
      <c r="U698" s="1182" t="s">
        <v>1815</v>
      </c>
      <c r="V698" s="1182">
        <v>0</v>
      </c>
      <c r="W698" s="1182">
        <v>0</v>
      </c>
      <c r="X698" s="1182">
        <v>0</v>
      </c>
      <c r="Y698" s="1183">
        <v>12519</v>
      </c>
      <c r="Z698" s="1182" t="s">
        <v>2923</v>
      </c>
      <c r="AA698" s="1182" t="s">
        <v>2924</v>
      </c>
      <c r="AB698" s="1182">
        <v>12519</v>
      </c>
      <c r="AC698" s="1182" t="s">
        <v>2925</v>
      </c>
      <c r="AD698" s="1182" t="s">
        <v>1561</v>
      </c>
      <c r="AE698" s="1182">
        <v>12519</v>
      </c>
      <c r="AF698" s="1182" t="s">
        <v>1943</v>
      </c>
      <c r="AG698" s="1182" t="s">
        <v>1944</v>
      </c>
      <c r="AH698" s="1182">
        <v>0</v>
      </c>
      <c r="AI698" s="1182">
        <v>12519</v>
      </c>
      <c r="AJ698" s="1182" t="s">
        <v>3982</v>
      </c>
      <c r="AL698" s="1186" t="s">
        <v>3983</v>
      </c>
      <c r="AM698" s="1182">
        <v>1</v>
      </c>
      <c r="AN698" s="1182">
        <v>0</v>
      </c>
      <c r="AO698" s="1182">
        <v>0</v>
      </c>
      <c r="AP698" s="1182">
        <v>0</v>
      </c>
      <c r="AQ698" s="1182" t="s">
        <v>1639</v>
      </c>
      <c r="AS698" s="1186" t="s">
        <v>1943</v>
      </c>
      <c r="AT698" s="1186" t="s">
        <v>1944</v>
      </c>
      <c r="AV698" s="1183">
        <v>12519</v>
      </c>
      <c r="AW698" s="1183">
        <v>0</v>
      </c>
      <c r="AX698" s="1183">
        <v>0</v>
      </c>
      <c r="AY698" s="1538">
        <v>12519</v>
      </c>
      <c r="AZ698" s="1183">
        <v>0</v>
      </c>
      <c r="BA698" s="1183">
        <v>0</v>
      </c>
      <c r="BB698" s="1540">
        <v>0</v>
      </c>
      <c r="BC698" s="1540">
        <v>12519</v>
      </c>
      <c r="BD698" s="1540">
        <v>0</v>
      </c>
      <c r="BF698" s="1539">
        <f t="shared" si="132"/>
        <v>12519</v>
      </c>
      <c r="BG698" s="1539">
        <f t="shared" si="133"/>
        <v>0</v>
      </c>
      <c r="BH698" s="1539">
        <f t="shared" si="134"/>
        <v>0</v>
      </c>
      <c r="BI698" s="1539">
        <f t="shared" si="135"/>
        <v>12519</v>
      </c>
      <c r="BJ698" s="1539">
        <f t="shared" si="136"/>
        <v>0</v>
      </c>
      <c r="BK698" s="1539">
        <f t="shared" si="137"/>
        <v>0</v>
      </c>
      <c r="BL698" s="1539">
        <f t="shared" si="138"/>
        <v>0</v>
      </c>
      <c r="BM698" s="1539">
        <f t="shared" si="139"/>
        <v>12519</v>
      </c>
      <c r="BO698" s="1183"/>
      <c r="BQ698" s="1182">
        <f t="shared" si="140"/>
        <v>0</v>
      </c>
      <c r="BR698" s="1182">
        <f t="shared" si="141"/>
        <v>0</v>
      </c>
    </row>
    <row r="699" spans="1:70" ht="13.5" customHeight="1">
      <c r="A699" s="1182" t="s">
        <v>1803</v>
      </c>
      <c r="B699" s="1182" t="s">
        <v>1804</v>
      </c>
      <c r="C699" s="1182" t="s">
        <v>1639</v>
      </c>
      <c r="D699" s="1182" t="s">
        <v>3943</v>
      </c>
      <c r="E699" s="1182" t="s">
        <v>3944</v>
      </c>
      <c r="F699" s="1182" t="s">
        <v>3110</v>
      </c>
      <c r="G699" s="1182" t="s">
        <v>3110</v>
      </c>
      <c r="H699" s="1182" t="s">
        <v>3984</v>
      </c>
      <c r="I699" s="1182" t="s">
        <v>1809</v>
      </c>
      <c r="J699" s="1182" t="s">
        <v>3985</v>
      </c>
      <c r="K699" s="1182" t="s">
        <v>1811</v>
      </c>
      <c r="L699" s="1182" t="s">
        <v>1812</v>
      </c>
      <c r="M699" s="1182" t="s">
        <v>1803</v>
      </c>
      <c r="N699" s="1182" t="s">
        <v>2922</v>
      </c>
      <c r="O699" s="1182" t="s">
        <v>1554</v>
      </c>
      <c r="P699" s="1182" t="s">
        <v>1563</v>
      </c>
      <c r="Q699" s="1182" t="s">
        <v>1562</v>
      </c>
      <c r="R699" s="1182" t="s">
        <v>1561</v>
      </c>
      <c r="S699" s="1182" t="s">
        <v>1639</v>
      </c>
      <c r="T699" s="1182" t="s">
        <v>1814</v>
      </c>
      <c r="U699" s="1182" t="s">
        <v>1815</v>
      </c>
      <c r="V699" s="1182">
        <v>0</v>
      </c>
      <c r="W699" s="1182">
        <v>0</v>
      </c>
      <c r="X699" s="1182">
        <v>0</v>
      </c>
      <c r="Y699" s="1183">
        <v>2223</v>
      </c>
      <c r="Z699" s="1182" t="s">
        <v>2923</v>
      </c>
      <c r="AA699" s="1182" t="s">
        <v>2924</v>
      </c>
      <c r="AB699" s="1182">
        <v>2223</v>
      </c>
      <c r="AC699" s="1182" t="s">
        <v>2925</v>
      </c>
      <c r="AD699" s="1182" t="s">
        <v>1561</v>
      </c>
      <c r="AE699" s="1182">
        <v>2223</v>
      </c>
      <c r="AF699" s="1182" t="s">
        <v>1943</v>
      </c>
      <c r="AG699" s="1182" t="s">
        <v>1944</v>
      </c>
      <c r="AH699" s="1182">
        <v>0</v>
      </c>
      <c r="AI699" s="1182">
        <v>2223</v>
      </c>
      <c r="AJ699" s="1182" t="s">
        <v>3221</v>
      </c>
      <c r="AL699" s="1186" t="s">
        <v>3986</v>
      </c>
      <c r="AM699" s="1182">
        <v>1</v>
      </c>
      <c r="AN699" s="1182">
        <v>0</v>
      </c>
      <c r="AO699" s="1182">
        <v>0</v>
      </c>
      <c r="AP699" s="1182">
        <v>0</v>
      </c>
      <c r="AQ699" s="1182" t="s">
        <v>1639</v>
      </c>
      <c r="AS699" s="1186" t="s">
        <v>1943</v>
      </c>
      <c r="AT699" s="1186" t="s">
        <v>1944</v>
      </c>
      <c r="AV699" s="1183">
        <v>2223</v>
      </c>
      <c r="AW699" s="1183">
        <v>0</v>
      </c>
      <c r="AX699" s="1183">
        <v>0</v>
      </c>
      <c r="AY699" s="1538">
        <v>2223</v>
      </c>
      <c r="AZ699" s="1183">
        <v>0</v>
      </c>
      <c r="BA699" s="1183">
        <v>0</v>
      </c>
      <c r="BB699" s="1540">
        <v>0</v>
      </c>
      <c r="BC699" s="1540">
        <v>2223</v>
      </c>
      <c r="BD699" s="1540">
        <v>0</v>
      </c>
      <c r="BF699" s="1539">
        <f t="shared" si="132"/>
        <v>2223</v>
      </c>
      <c r="BG699" s="1539">
        <f t="shared" si="133"/>
        <v>0</v>
      </c>
      <c r="BH699" s="1539">
        <f t="shared" si="134"/>
        <v>0</v>
      </c>
      <c r="BI699" s="1539">
        <f t="shared" si="135"/>
        <v>2223</v>
      </c>
      <c r="BJ699" s="1539">
        <f t="shared" si="136"/>
        <v>0</v>
      </c>
      <c r="BK699" s="1539">
        <f t="shared" si="137"/>
        <v>0</v>
      </c>
      <c r="BL699" s="1539">
        <f t="shared" si="138"/>
        <v>0</v>
      </c>
      <c r="BM699" s="1539">
        <f t="shared" si="139"/>
        <v>2223</v>
      </c>
      <c r="BO699" s="1183"/>
      <c r="BQ699" s="1182">
        <f t="shared" si="140"/>
        <v>0</v>
      </c>
      <c r="BR699" s="1182">
        <f t="shared" si="141"/>
        <v>0</v>
      </c>
    </row>
    <row r="700" spans="1:70" ht="13.5" customHeight="1">
      <c r="A700" s="1182" t="s">
        <v>1803</v>
      </c>
      <c r="B700" s="1182" t="s">
        <v>1804</v>
      </c>
      <c r="C700" s="1182" t="s">
        <v>1639</v>
      </c>
      <c r="D700" s="1182" t="s">
        <v>3943</v>
      </c>
      <c r="E700" s="1182" t="s">
        <v>3944</v>
      </c>
      <c r="F700" s="1182" t="s">
        <v>3110</v>
      </c>
      <c r="G700" s="1182" t="s">
        <v>3110</v>
      </c>
      <c r="H700" s="1182" t="s">
        <v>3984</v>
      </c>
      <c r="I700" s="1182" t="s">
        <v>1809</v>
      </c>
      <c r="J700" s="1182" t="s">
        <v>3987</v>
      </c>
      <c r="K700" s="1182" t="s">
        <v>1811</v>
      </c>
      <c r="L700" s="1182" t="s">
        <v>1812</v>
      </c>
      <c r="M700" s="1182" t="s">
        <v>1803</v>
      </c>
      <c r="N700" s="1182" t="s">
        <v>2922</v>
      </c>
      <c r="O700" s="1182" t="s">
        <v>1554</v>
      </c>
      <c r="P700" s="1182" t="s">
        <v>1563</v>
      </c>
      <c r="Q700" s="1182" t="s">
        <v>1562</v>
      </c>
      <c r="R700" s="1182" t="s">
        <v>1561</v>
      </c>
      <c r="S700" s="1182" t="s">
        <v>1639</v>
      </c>
      <c r="T700" s="1182" t="s">
        <v>1814</v>
      </c>
      <c r="U700" s="1182" t="s">
        <v>1815</v>
      </c>
      <c r="V700" s="1182">
        <v>0</v>
      </c>
      <c r="W700" s="1182">
        <v>0</v>
      </c>
      <c r="X700" s="1182">
        <v>0</v>
      </c>
      <c r="Y700" s="1183">
        <v>26593</v>
      </c>
      <c r="Z700" s="1182" t="s">
        <v>2923</v>
      </c>
      <c r="AA700" s="1182" t="s">
        <v>2924</v>
      </c>
      <c r="AB700" s="1182">
        <v>26593</v>
      </c>
      <c r="AC700" s="1182" t="s">
        <v>2925</v>
      </c>
      <c r="AD700" s="1182" t="s">
        <v>1561</v>
      </c>
      <c r="AE700" s="1182">
        <v>26593</v>
      </c>
      <c r="AF700" s="1182" t="s">
        <v>1943</v>
      </c>
      <c r="AG700" s="1182" t="s">
        <v>1944</v>
      </c>
      <c r="AH700" s="1182">
        <v>0</v>
      </c>
      <c r="AI700" s="1182">
        <v>26593</v>
      </c>
      <c r="AJ700" s="1182" t="s">
        <v>3236</v>
      </c>
      <c r="AL700" s="1186" t="s">
        <v>3988</v>
      </c>
      <c r="AM700" s="1182">
        <v>1</v>
      </c>
      <c r="AN700" s="1182">
        <v>0</v>
      </c>
      <c r="AO700" s="1182">
        <v>0</v>
      </c>
      <c r="AP700" s="1182">
        <v>0</v>
      </c>
      <c r="AQ700" s="1182" t="s">
        <v>1639</v>
      </c>
      <c r="AS700" s="1186" t="s">
        <v>1943</v>
      </c>
      <c r="AT700" s="1186" t="s">
        <v>1944</v>
      </c>
      <c r="AV700" s="1183">
        <v>26593</v>
      </c>
      <c r="AW700" s="1183">
        <v>0</v>
      </c>
      <c r="AX700" s="1183">
        <v>0</v>
      </c>
      <c r="AY700" s="1538">
        <v>26593</v>
      </c>
      <c r="AZ700" s="1183">
        <v>0</v>
      </c>
      <c r="BA700" s="1183">
        <v>0</v>
      </c>
      <c r="BB700" s="1540">
        <v>0</v>
      </c>
      <c r="BC700" s="1540">
        <v>26593</v>
      </c>
      <c r="BD700" s="1540">
        <v>0</v>
      </c>
      <c r="BF700" s="1539">
        <f t="shared" si="132"/>
        <v>26593</v>
      </c>
      <c r="BG700" s="1539">
        <f t="shared" si="133"/>
        <v>0</v>
      </c>
      <c r="BH700" s="1539">
        <f t="shared" si="134"/>
        <v>0</v>
      </c>
      <c r="BI700" s="1539">
        <f t="shared" si="135"/>
        <v>26593</v>
      </c>
      <c r="BJ700" s="1539">
        <f t="shared" si="136"/>
        <v>0</v>
      </c>
      <c r="BK700" s="1539">
        <f t="shared" si="137"/>
        <v>0</v>
      </c>
      <c r="BL700" s="1539">
        <f t="shared" si="138"/>
        <v>0</v>
      </c>
      <c r="BM700" s="1539">
        <f t="shared" si="139"/>
        <v>26593</v>
      </c>
      <c r="BO700" s="1183"/>
      <c r="BQ700" s="1182">
        <f t="shared" si="140"/>
        <v>0</v>
      </c>
      <c r="BR700" s="1182">
        <f t="shared" si="141"/>
        <v>0</v>
      </c>
    </row>
    <row r="701" spans="1:70" ht="13.5" customHeight="1">
      <c r="A701" s="1182" t="s">
        <v>1803</v>
      </c>
      <c r="B701" s="1182" t="s">
        <v>1804</v>
      </c>
      <c r="C701" s="1182" t="s">
        <v>1639</v>
      </c>
      <c r="D701" s="1182" t="s">
        <v>3943</v>
      </c>
      <c r="E701" s="1182" t="s">
        <v>3944</v>
      </c>
      <c r="F701" s="1182" t="s">
        <v>3110</v>
      </c>
      <c r="G701" s="1182" t="s">
        <v>3110</v>
      </c>
      <c r="H701" s="1182" t="s">
        <v>3984</v>
      </c>
      <c r="I701" s="1182" t="s">
        <v>1809</v>
      </c>
      <c r="J701" s="1182" t="s">
        <v>3989</v>
      </c>
      <c r="K701" s="1182" t="s">
        <v>1811</v>
      </c>
      <c r="L701" s="1182" t="s">
        <v>1812</v>
      </c>
      <c r="M701" s="1182" t="s">
        <v>1803</v>
      </c>
      <c r="N701" s="1182" t="s">
        <v>2922</v>
      </c>
      <c r="O701" s="1182" t="s">
        <v>1554</v>
      </c>
      <c r="P701" s="1182" t="s">
        <v>1563</v>
      </c>
      <c r="Q701" s="1182" t="s">
        <v>1562</v>
      </c>
      <c r="R701" s="1182" t="s">
        <v>1561</v>
      </c>
      <c r="S701" s="1182" t="s">
        <v>1639</v>
      </c>
      <c r="T701" s="1182" t="s">
        <v>1814</v>
      </c>
      <c r="U701" s="1182" t="s">
        <v>1815</v>
      </c>
      <c r="V701" s="1182">
        <v>0</v>
      </c>
      <c r="W701" s="1182">
        <v>0</v>
      </c>
      <c r="X701" s="1182">
        <v>0</v>
      </c>
      <c r="Y701" s="1183">
        <v>2401984</v>
      </c>
      <c r="Z701" s="1182" t="s">
        <v>2923</v>
      </c>
      <c r="AA701" s="1182" t="s">
        <v>2924</v>
      </c>
      <c r="AB701" s="1182">
        <v>2401984</v>
      </c>
      <c r="AC701" s="1182" t="s">
        <v>2925</v>
      </c>
      <c r="AD701" s="1182" t="s">
        <v>1561</v>
      </c>
      <c r="AE701" s="1182">
        <v>2401984</v>
      </c>
      <c r="AF701" s="1182" t="s">
        <v>1943</v>
      </c>
      <c r="AG701" s="1182" t="s">
        <v>1944</v>
      </c>
      <c r="AH701" s="1182">
        <v>0</v>
      </c>
      <c r="AI701" s="1182">
        <v>2401984</v>
      </c>
      <c r="AJ701" s="1182" t="s">
        <v>3990</v>
      </c>
      <c r="AL701" s="1186" t="s">
        <v>3991</v>
      </c>
      <c r="AM701" s="1182">
        <v>1</v>
      </c>
      <c r="AN701" s="1182">
        <v>0</v>
      </c>
      <c r="AO701" s="1182">
        <v>0</v>
      </c>
      <c r="AP701" s="1182">
        <v>0</v>
      </c>
      <c r="AQ701" s="1182" t="s">
        <v>1639</v>
      </c>
      <c r="AS701" s="1186" t="s">
        <v>1943</v>
      </c>
      <c r="AT701" s="1186" t="s">
        <v>1944</v>
      </c>
      <c r="AV701" s="1183">
        <v>2401984</v>
      </c>
      <c r="AW701" s="1183">
        <v>0</v>
      </c>
      <c r="AX701" s="1183">
        <v>0</v>
      </c>
      <c r="AY701" s="1538">
        <v>2401984</v>
      </c>
      <c r="AZ701" s="1183">
        <v>0</v>
      </c>
      <c r="BA701" s="1183">
        <v>0</v>
      </c>
      <c r="BB701" s="1540">
        <v>0</v>
      </c>
      <c r="BC701" s="1540">
        <v>2401984</v>
      </c>
      <c r="BD701" s="1540">
        <v>0</v>
      </c>
      <c r="BF701" s="1539">
        <f t="shared" si="132"/>
        <v>2401984</v>
      </c>
      <c r="BG701" s="1539">
        <f t="shared" si="133"/>
        <v>0</v>
      </c>
      <c r="BH701" s="1539">
        <f t="shared" si="134"/>
        <v>0</v>
      </c>
      <c r="BI701" s="1539">
        <f t="shared" si="135"/>
        <v>2401984</v>
      </c>
      <c r="BJ701" s="1539">
        <f t="shared" si="136"/>
        <v>0</v>
      </c>
      <c r="BK701" s="1539">
        <f t="shared" si="137"/>
        <v>0</v>
      </c>
      <c r="BL701" s="1539">
        <f t="shared" si="138"/>
        <v>0</v>
      </c>
      <c r="BM701" s="1539">
        <f t="shared" si="139"/>
        <v>2401984</v>
      </c>
      <c r="BO701" s="1183"/>
      <c r="BQ701" s="1182">
        <f t="shared" si="140"/>
        <v>0</v>
      </c>
      <c r="BR701" s="1182">
        <f t="shared" si="141"/>
        <v>0</v>
      </c>
    </row>
    <row r="702" spans="1:70" ht="13.5" customHeight="1">
      <c r="A702" s="1182" t="s">
        <v>1803</v>
      </c>
      <c r="B702" s="1182" t="s">
        <v>1804</v>
      </c>
      <c r="C702" s="1182" t="s">
        <v>1639</v>
      </c>
      <c r="D702" s="1182" t="s">
        <v>3943</v>
      </c>
      <c r="E702" s="1182" t="s">
        <v>3944</v>
      </c>
      <c r="F702" s="1182" t="s">
        <v>3110</v>
      </c>
      <c r="G702" s="1182" t="s">
        <v>3110</v>
      </c>
      <c r="H702" s="1182" t="s">
        <v>3984</v>
      </c>
      <c r="I702" s="1182" t="s">
        <v>1809</v>
      </c>
      <c r="J702" s="1182" t="s">
        <v>3992</v>
      </c>
      <c r="K702" s="1182" t="s">
        <v>1811</v>
      </c>
      <c r="L702" s="1182" t="s">
        <v>1812</v>
      </c>
      <c r="M702" s="1182" t="s">
        <v>1803</v>
      </c>
      <c r="N702" s="1182" t="s">
        <v>2922</v>
      </c>
      <c r="O702" s="1182" t="s">
        <v>1554</v>
      </c>
      <c r="P702" s="1182" t="s">
        <v>1563</v>
      </c>
      <c r="Q702" s="1182" t="s">
        <v>1562</v>
      </c>
      <c r="R702" s="1182" t="s">
        <v>1561</v>
      </c>
      <c r="S702" s="1182" t="s">
        <v>1639</v>
      </c>
      <c r="T702" s="1182" t="s">
        <v>1814</v>
      </c>
      <c r="U702" s="1182" t="s">
        <v>1815</v>
      </c>
      <c r="V702" s="1182">
        <v>0</v>
      </c>
      <c r="W702" s="1182">
        <v>0</v>
      </c>
      <c r="X702" s="1182">
        <v>0</v>
      </c>
      <c r="Y702" s="1183">
        <v>421</v>
      </c>
      <c r="Z702" s="1182" t="s">
        <v>2923</v>
      </c>
      <c r="AA702" s="1182" t="s">
        <v>2924</v>
      </c>
      <c r="AB702" s="1182">
        <v>421</v>
      </c>
      <c r="AC702" s="1182" t="s">
        <v>2925</v>
      </c>
      <c r="AD702" s="1182" t="s">
        <v>1561</v>
      </c>
      <c r="AE702" s="1182">
        <v>421</v>
      </c>
      <c r="AF702" s="1182" t="s">
        <v>1943</v>
      </c>
      <c r="AG702" s="1182" t="s">
        <v>1944</v>
      </c>
      <c r="AH702" s="1182">
        <v>0</v>
      </c>
      <c r="AI702" s="1182">
        <v>421</v>
      </c>
      <c r="AJ702" s="1182" t="s">
        <v>3149</v>
      </c>
      <c r="AL702" s="1186" t="s">
        <v>3993</v>
      </c>
      <c r="AM702" s="1182">
        <v>1</v>
      </c>
      <c r="AN702" s="1182">
        <v>0</v>
      </c>
      <c r="AO702" s="1182">
        <v>0</v>
      </c>
      <c r="AP702" s="1182">
        <v>0</v>
      </c>
      <c r="AQ702" s="1182" t="s">
        <v>1639</v>
      </c>
      <c r="AS702" s="1186" t="s">
        <v>1943</v>
      </c>
      <c r="AT702" s="1186" t="s">
        <v>1944</v>
      </c>
      <c r="AV702" s="1183">
        <v>421</v>
      </c>
      <c r="AW702" s="1183">
        <v>0</v>
      </c>
      <c r="AX702" s="1183">
        <v>0</v>
      </c>
      <c r="AY702" s="1538">
        <v>421</v>
      </c>
      <c r="AZ702" s="1183">
        <v>0</v>
      </c>
      <c r="BA702" s="1183">
        <v>0</v>
      </c>
      <c r="BB702" s="1540">
        <v>0</v>
      </c>
      <c r="BC702" s="1540">
        <v>421</v>
      </c>
      <c r="BD702" s="1540">
        <v>0</v>
      </c>
      <c r="BF702" s="1539">
        <f t="shared" si="132"/>
        <v>421</v>
      </c>
      <c r="BG702" s="1539">
        <f t="shared" si="133"/>
        <v>0</v>
      </c>
      <c r="BH702" s="1539">
        <f t="shared" si="134"/>
        <v>0</v>
      </c>
      <c r="BI702" s="1539">
        <f t="shared" si="135"/>
        <v>421</v>
      </c>
      <c r="BJ702" s="1539">
        <f t="shared" si="136"/>
        <v>0</v>
      </c>
      <c r="BK702" s="1539">
        <f t="shared" si="137"/>
        <v>0</v>
      </c>
      <c r="BL702" s="1539">
        <f t="shared" si="138"/>
        <v>0</v>
      </c>
      <c r="BM702" s="1539">
        <f t="shared" si="139"/>
        <v>421</v>
      </c>
      <c r="BO702" s="1183"/>
      <c r="BQ702" s="1182">
        <f t="shared" si="140"/>
        <v>0</v>
      </c>
      <c r="BR702" s="1182">
        <f t="shared" si="141"/>
        <v>0</v>
      </c>
    </row>
    <row r="703" spans="1:70" ht="13.5" customHeight="1">
      <c r="A703" s="1182" t="s">
        <v>1803</v>
      </c>
      <c r="B703" s="1182" t="s">
        <v>1804</v>
      </c>
      <c r="C703" s="1182" t="s">
        <v>1639</v>
      </c>
      <c r="D703" s="1182" t="s">
        <v>3943</v>
      </c>
      <c r="E703" s="1182" t="s">
        <v>3944</v>
      </c>
      <c r="F703" s="1182" t="s">
        <v>3110</v>
      </c>
      <c r="G703" s="1182" t="s">
        <v>3110</v>
      </c>
      <c r="H703" s="1182" t="s">
        <v>3984</v>
      </c>
      <c r="I703" s="1182" t="s">
        <v>1809</v>
      </c>
      <c r="J703" s="1182" t="s">
        <v>3994</v>
      </c>
      <c r="K703" s="1182" t="s">
        <v>1811</v>
      </c>
      <c r="L703" s="1182" t="s">
        <v>1812</v>
      </c>
      <c r="M703" s="1182" t="s">
        <v>1803</v>
      </c>
      <c r="N703" s="1182" t="s">
        <v>2922</v>
      </c>
      <c r="O703" s="1182" t="s">
        <v>1554</v>
      </c>
      <c r="P703" s="1182" t="s">
        <v>1563</v>
      </c>
      <c r="Q703" s="1182" t="s">
        <v>1562</v>
      </c>
      <c r="R703" s="1182" t="s">
        <v>1561</v>
      </c>
      <c r="S703" s="1182" t="s">
        <v>1639</v>
      </c>
      <c r="T703" s="1182" t="s">
        <v>1814</v>
      </c>
      <c r="U703" s="1182" t="s">
        <v>1815</v>
      </c>
      <c r="V703" s="1182">
        <v>0</v>
      </c>
      <c r="W703" s="1182">
        <v>0</v>
      </c>
      <c r="X703" s="1182">
        <v>0</v>
      </c>
      <c r="Y703" s="1183">
        <v>4400</v>
      </c>
      <c r="Z703" s="1182" t="s">
        <v>2923</v>
      </c>
      <c r="AA703" s="1182" t="s">
        <v>2924</v>
      </c>
      <c r="AB703" s="1182">
        <v>4400</v>
      </c>
      <c r="AC703" s="1182" t="s">
        <v>2925</v>
      </c>
      <c r="AD703" s="1182" t="s">
        <v>1561</v>
      </c>
      <c r="AE703" s="1182">
        <v>4400</v>
      </c>
      <c r="AF703" s="1182" t="s">
        <v>1943</v>
      </c>
      <c r="AG703" s="1182" t="s">
        <v>1944</v>
      </c>
      <c r="AH703" s="1182">
        <v>0</v>
      </c>
      <c r="AI703" s="1182">
        <v>4400</v>
      </c>
      <c r="AJ703" s="1182" t="s">
        <v>3162</v>
      </c>
      <c r="AL703" s="1186" t="s">
        <v>3995</v>
      </c>
      <c r="AM703" s="1182">
        <v>1</v>
      </c>
      <c r="AN703" s="1182">
        <v>0</v>
      </c>
      <c r="AO703" s="1182">
        <v>0</v>
      </c>
      <c r="AP703" s="1182">
        <v>0</v>
      </c>
      <c r="AQ703" s="1182" t="s">
        <v>1639</v>
      </c>
      <c r="AS703" s="1186" t="s">
        <v>1943</v>
      </c>
      <c r="AT703" s="1186" t="s">
        <v>1944</v>
      </c>
      <c r="AV703" s="1183">
        <v>4400</v>
      </c>
      <c r="AW703" s="1183">
        <v>0</v>
      </c>
      <c r="AX703" s="1183">
        <v>0</v>
      </c>
      <c r="AY703" s="1538">
        <v>4400</v>
      </c>
      <c r="AZ703" s="1183">
        <v>0</v>
      </c>
      <c r="BA703" s="1183">
        <v>0</v>
      </c>
      <c r="BB703" s="1540">
        <v>0</v>
      </c>
      <c r="BC703" s="1540">
        <v>4400</v>
      </c>
      <c r="BD703" s="1540">
        <v>0</v>
      </c>
      <c r="BF703" s="1539">
        <f t="shared" si="132"/>
        <v>4400</v>
      </c>
      <c r="BG703" s="1539">
        <f t="shared" si="133"/>
        <v>0</v>
      </c>
      <c r="BH703" s="1539">
        <f t="shared" si="134"/>
        <v>0</v>
      </c>
      <c r="BI703" s="1539">
        <f t="shared" si="135"/>
        <v>4400</v>
      </c>
      <c r="BJ703" s="1539">
        <f t="shared" si="136"/>
        <v>0</v>
      </c>
      <c r="BK703" s="1539">
        <f t="shared" si="137"/>
        <v>0</v>
      </c>
      <c r="BL703" s="1539">
        <f t="shared" si="138"/>
        <v>0</v>
      </c>
      <c r="BM703" s="1539">
        <f t="shared" si="139"/>
        <v>4400</v>
      </c>
      <c r="BO703" s="1183"/>
      <c r="BQ703" s="1182">
        <f t="shared" si="140"/>
        <v>0</v>
      </c>
      <c r="BR703" s="1182">
        <f t="shared" si="141"/>
        <v>0</v>
      </c>
    </row>
    <row r="704" spans="1:70" ht="13.5" customHeight="1">
      <c r="A704" s="1182" t="s">
        <v>1803</v>
      </c>
      <c r="B704" s="1182" t="s">
        <v>1804</v>
      </c>
      <c r="C704" s="1182" t="s">
        <v>1639</v>
      </c>
      <c r="D704" s="1182" t="s">
        <v>3943</v>
      </c>
      <c r="E704" s="1182" t="s">
        <v>3944</v>
      </c>
      <c r="F704" s="1182" t="s">
        <v>3110</v>
      </c>
      <c r="G704" s="1182" t="s">
        <v>3110</v>
      </c>
      <c r="H704" s="1182" t="s">
        <v>3984</v>
      </c>
      <c r="I704" s="1182" t="s">
        <v>1809</v>
      </c>
      <c r="J704" s="1182" t="s">
        <v>3996</v>
      </c>
      <c r="K704" s="1182" t="s">
        <v>1811</v>
      </c>
      <c r="L704" s="1182" t="s">
        <v>1812</v>
      </c>
      <c r="M704" s="1182" t="s">
        <v>1803</v>
      </c>
      <c r="N704" s="1182" t="s">
        <v>2922</v>
      </c>
      <c r="O704" s="1182" t="s">
        <v>1554</v>
      </c>
      <c r="P704" s="1182" t="s">
        <v>1563</v>
      </c>
      <c r="Q704" s="1182" t="s">
        <v>1562</v>
      </c>
      <c r="R704" s="1182" t="s">
        <v>1561</v>
      </c>
      <c r="S704" s="1182" t="s">
        <v>1639</v>
      </c>
      <c r="T704" s="1182" t="s">
        <v>1814</v>
      </c>
      <c r="U704" s="1182" t="s">
        <v>1815</v>
      </c>
      <c r="V704" s="1182">
        <v>0</v>
      </c>
      <c r="W704" s="1182">
        <v>0</v>
      </c>
      <c r="X704" s="1182">
        <v>0</v>
      </c>
      <c r="Y704" s="1183">
        <v>2200</v>
      </c>
      <c r="Z704" s="1182" t="s">
        <v>2923</v>
      </c>
      <c r="AA704" s="1182" t="s">
        <v>2924</v>
      </c>
      <c r="AB704" s="1182">
        <v>2200</v>
      </c>
      <c r="AC704" s="1182" t="s">
        <v>2925</v>
      </c>
      <c r="AD704" s="1182" t="s">
        <v>1561</v>
      </c>
      <c r="AE704" s="1182">
        <v>2200</v>
      </c>
      <c r="AF704" s="1182" t="s">
        <v>1943</v>
      </c>
      <c r="AG704" s="1182" t="s">
        <v>1944</v>
      </c>
      <c r="AH704" s="1182">
        <v>0</v>
      </c>
      <c r="AI704" s="1182">
        <v>2200</v>
      </c>
      <c r="AJ704" s="1182" t="s">
        <v>3162</v>
      </c>
      <c r="AL704" s="1186" t="s">
        <v>3997</v>
      </c>
      <c r="AM704" s="1182">
        <v>1</v>
      </c>
      <c r="AN704" s="1182">
        <v>0</v>
      </c>
      <c r="AO704" s="1182">
        <v>0</v>
      </c>
      <c r="AP704" s="1182">
        <v>0</v>
      </c>
      <c r="AQ704" s="1182" t="s">
        <v>1639</v>
      </c>
      <c r="AS704" s="1186" t="s">
        <v>1943</v>
      </c>
      <c r="AT704" s="1186" t="s">
        <v>1944</v>
      </c>
      <c r="AV704" s="1183">
        <v>2200</v>
      </c>
      <c r="AW704" s="1183">
        <v>0</v>
      </c>
      <c r="AX704" s="1183">
        <v>0</v>
      </c>
      <c r="AY704" s="1538">
        <v>2200</v>
      </c>
      <c r="AZ704" s="1183">
        <v>0</v>
      </c>
      <c r="BA704" s="1183">
        <v>0</v>
      </c>
      <c r="BB704" s="1540">
        <v>0</v>
      </c>
      <c r="BC704" s="1540">
        <v>2200</v>
      </c>
      <c r="BD704" s="1540">
        <v>0</v>
      </c>
      <c r="BF704" s="1539">
        <f t="shared" si="132"/>
        <v>2200</v>
      </c>
      <c r="BG704" s="1539">
        <f t="shared" si="133"/>
        <v>0</v>
      </c>
      <c r="BH704" s="1539">
        <f t="shared" si="134"/>
        <v>0</v>
      </c>
      <c r="BI704" s="1539">
        <f t="shared" si="135"/>
        <v>2200</v>
      </c>
      <c r="BJ704" s="1539">
        <f t="shared" si="136"/>
        <v>0</v>
      </c>
      <c r="BK704" s="1539">
        <f t="shared" si="137"/>
        <v>0</v>
      </c>
      <c r="BL704" s="1539">
        <f t="shared" si="138"/>
        <v>0</v>
      </c>
      <c r="BM704" s="1539">
        <f t="shared" si="139"/>
        <v>2200</v>
      </c>
      <c r="BO704" s="1183"/>
      <c r="BQ704" s="1182">
        <f t="shared" si="140"/>
        <v>0</v>
      </c>
      <c r="BR704" s="1182">
        <f t="shared" si="141"/>
        <v>0</v>
      </c>
    </row>
    <row r="705" spans="1:70" ht="13.5" customHeight="1">
      <c r="A705" s="1182" t="s">
        <v>1803</v>
      </c>
      <c r="B705" s="1182" t="s">
        <v>1804</v>
      </c>
      <c r="C705" s="1182" t="s">
        <v>1639</v>
      </c>
      <c r="D705" s="1182" t="s">
        <v>2523</v>
      </c>
      <c r="E705" s="1182" t="s">
        <v>2524</v>
      </c>
      <c r="F705" s="1182" t="s">
        <v>3514</v>
      </c>
      <c r="G705" s="1182" t="s">
        <v>3514</v>
      </c>
      <c r="H705" s="1182" t="s">
        <v>3998</v>
      </c>
      <c r="I705" s="1182" t="s">
        <v>1809</v>
      </c>
      <c r="J705" s="1182" t="s">
        <v>3999</v>
      </c>
      <c r="K705" s="1182" t="s">
        <v>1811</v>
      </c>
      <c r="L705" s="1182" t="s">
        <v>1812</v>
      </c>
      <c r="M705" s="1182" t="s">
        <v>1803</v>
      </c>
      <c r="N705" s="1182" t="s">
        <v>2922</v>
      </c>
      <c r="O705" s="1182" t="s">
        <v>1554</v>
      </c>
      <c r="P705" s="1182" t="s">
        <v>1563</v>
      </c>
      <c r="Q705" s="1182" t="s">
        <v>1562</v>
      </c>
      <c r="R705" s="1182" t="s">
        <v>1561</v>
      </c>
      <c r="S705" s="1182" t="s">
        <v>1639</v>
      </c>
      <c r="T705" s="1182" t="s">
        <v>1814</v>
      </c>
      <c r="U705" s="1182" t="s">
        <v>1815</v>
      </c>
      <c r="V705" s="1182">
        <v>0</v>
      </c>
      <c r="W705" s="1182">
        <v>0</v>
      </c>
      <c r="X705" s="1182">
        <v>0</v>
      </c>
      <c r="Y705" s="1183">
        <v>180</v>
      </c>
      <c r="Z705" s="1182" t="s">
        <v>2923</v>
      </c>
      <c r="AA705" s="1182" t="s">
        <v>2924</v>
      </c>
      <c r="AB705" s="1182">
        <v>180</v>
      </c>
      <c r="AC705" s="1182" t="s">
        <v>2925</v>
      </c>
      <c r="AD705" s="1182" t="s">
        <v>1561</v>
      </c>
      <c r="AE705" s="1182">
        <v>180</v>
      </c>
      <c r="AF705" s="1182" t="s">
        <v>1943</v>
      </c>
      <c r="AG705" s="1182" t="s">
        <v>1944</v>
      </c>
      <c r="AH705" s="1182">
        <v>0</v>
      </c>
      <c r="AI705" s="1182">
        <v>180</v>
      </c>
      <c r="AJ705" s="1182" t="s">
        <v>4000</v>
      </c>
      <c r="AL705" s="1186" t="s">
        <v>4001</v>
      </c>
      <c r="AM705" s="1182">
        <v>1</v>
      </c>
      <c r="AN705" s="1182">
        <v>0</v>
      </c>
      <c r="AO705" s="1182">
        <v>0</v>
      </c>
      <c r="AP705" s="1182">
        <v>0</v>
      </c>
      <c r="AQ705" s="1182" t="s">
        <v>1639</v>
      </c>
      <c r="AS705" s="1186" t="s">
        <v>1943</v>
      </c>
      <c r="AT705" s="1186" t="s">
        <v>1944</v>
      </c>
      <c r="AV705" s="1183">
        <v>36</v>
      </c>
      <c r="AW705" s="1183">
        <v>0</v>
      </c>
      <c r="AX705" s="1183">
        <v>0</v>
      </c>
      <c r="AY705" s="1538">
        <v>36</v>
      </c>
      <c r="AZ705" s="1183">
        <v>0</v>
      </c>
      <c r="BA705" s="1183">
        <v>144</v>
      </c>
      <c r="BB705" s="1540">
        <v>144</v>
      </c>
      <c r="BC705" s="1540">
        <v>180</v>
      </c>
      <c r="BD705" s="1540">
        <v>0</v>
      </c>
      <c r="BF705" s="1539">
        <f t="shared" si="132"/>
        <v>36</v>
      </c>
      <c r="BG705" s="1539">
        <f t="shared" si="133"/>
        <v>0</v>
      </c>
      <c r="BH705" s="1539">
        <f t="shared" si="134"/>
        <v>0</v>
      </c>
      <c r="BI705" s="1539">
        <f t="shared" si="135"/>
        <v>36</v>
      </c>
      <c r="BJ705" s="1539">
        <f t="shared" si="136"/>
        <v>0</v>
      </c>
      <c r="BK705" s="1539">
        <f t="shared" si="137"/>
        <v>144</v>
      </c>
      <c r="BL705" s="1539">
        <f t="shared" si="138"/>
        <v>144</v>
      </c>
      <c r="BM705" s="1539">
        <f t="shared" si="139"/>
        <v>180</v>
      </c>
      <c r="BO705" s="1183"/>
      <c r="BQ705" s="1182">
        <f t="shared" si="140"/>
        <v>0</v>
      </c>
      <c r="BR705" s="1182">
        <f t="shared" si="141"/>
        <v>0</v>
      </c>
    </row>
    <row r="706" spans="1:70" ht="13.5" customHeight="1">
      <c r="A706" s="1182" t="s">
        <v>1803</v>
      </c>
      <c r="B706" s="1182" t="s">
        <v>1804</v>
      </c>
      <c r="C706" s="1182" t="s">
        <v>1639</v>
      </c>
      <c r="D706" s="1182" t="s">
        <v>2523</v>
      </c>
      <c r="E706" s="1182" t="s">
        <v>2524</v>
      </c>
      <c r="F706" s="1182" t="s">
        <v>3514</v>
      </c>
      <c r="G706" s="1182" t="s">
        <v>3514</v>
      </c>
      <c r="H706" s="1182" t="s">
        <v>4002</v>
      </c>
      <c r="I706" s="1182" t="s">
        <v>1809</v>
      </c>
      <c r="J706" s="1182" t="s">
        <v>4003</v>
      </c>
      <c r="K706" s="1182" t="s">
        <v>1811</v>
      </c>
      <c r="L706" s="1182" t="s">
        <v>1812</v>
      </c>
      <c r="M706" s="1182" t="s">
        <v>1803</v>
      </c>
      <c r="N706" s="1182" t="s">
        <v>2922</v>
      </c>
      <c r="O706" s="1182" t="s">
        <v>1554</v>
      </c>
      <c r="P706" s="1182" t="s">
        <v>1563</v>
      </c>
      <c r="Q706" s="1182" t="s">
        <v>1562</v>
      </c>
      <c r="R706" s="1182" t="s">
        <v>1561</v>
      </c>
      <c r="S706" s="1182" t="s">
        <v>1639</v>
      </c>
      <c r="T706" s="1182" t="s">
        <v>1814</v>
      </c>
      <c r="U706" s="1182" t="s">
        <v>1815</v>
      </c>
      <c r="V706" s="1182">
        <v>0</v>
      </c>
      <c r="W706" s="1182">
        <v>0</v>
      </c>
      <c r="X706" s="1182">
        <v>0</v>
      </c>
      <c r="Y706" s="1183">
        <v>4400</v>
      </c>
      <c r="Z706" s="1182" t="s">
        <v>2923</v>
      </c>
      <c r="AA706" s="1182" t="s">
        <v>2924</v>
      </c>
      <c r="AB706" s="1182">
        <v>4400</v>
      </c>
      <c r="AC706" s="1182" t="s">
        <v>2925</v>
      </c>
      <c r="AD706" s="1182" t="s">
        <v>1561</v>
      </c>
      <c r="AE706" s="1182">
        <v>4400</v>
      </c>
      <c r="AF706" s="1182" t="s">
        <v>1943</v>
      </c>
      <c r="AG706" s="1182" t="s">
        <v>1944</v>
      </c>
      <c r="AH706" s="1182">
        <v>0</v>
      </c>
      <c r="AI706" s="1182">
        <v>4400</v>
      </c>
      <c r="AJ706" s="1182" t="s">
        <v>4004</v>
      </c>
      <c r="AL706" s="1186" t="s">
        <v>4005</v>
      </c>
      <c r="AM706" s="1182">
        <v>1</v>
      </c>
      <c r="AN706" s="1182">
        <v>0</v>
      </c>
      <c r="AO706" s="1182">
        <v>0</v>
      </c>
      <c r="AP706" s="1182">
        <v>0</v>
      </c>
      <c r="AQ706" s="1182" t="s">
        <v>1639</v>
      </c>
      <c r="AS706" s="1186" t="s">
        <v>1943</v>
      </c>
      <c r="AT706" s="1186" t="s">
        <v>1944</v>
      </c>
      <c r="AV706" s="1183">
        <v>880</v>
      </c>
      <c r="AW706" s="1183">
        <v>0</v>
      </c>
      <c r="AX706" s="1183">
        <v>0</v>
      </c>
      <c r="AY706" s="1538">
        <v>880</v>
      </c>
      <c r="AZ706" s="1183">
        <v>0</v>
      </c>
      <c r="BA706" s="1183">
        <v>3520</v>
      </c>
      <c r="BB706" s="1540">
        <v>3520</v>
      </c>
      <c r="BC706" s="1540">
        <v>4400</v>
      </c>
      <c r="BD706" s="1540">
        <v>0</v>
      </c>
      <c r="BF706" s="1539">
        <f t="shared" si="132"/>
        <v>880</v>
      </c>
      <c r="BG706" s="1539">
        <f t="shared" si="133"/>
        <v>0</v>
      </c>
      <c r="BH706" s="1539">
        <f t="shared" si="134"/>
        <v>0</v>
      </c>
      <c r="BI706" s="1539">
        <f t="shared" si="135"/>
        <v>880</v>
      </c>
      <c r="BJ706" s="1539">
        <f t="shared" si="136"/>
        <v>0</v>
      </c>
      <c r="BK706" s="1539">
        <f t="shared" si="137"/>
        <v>3520</v>
      </c>
      <c r="BL706" s="1539">
        <f t="shared" si="138"/>
        <v>3520</v>
      </c>
      <c r="BM706" s="1539">
        <f t="shared" si="139"/>
        <v>4400</v>
      </c>
      <c r="BO706" s="1183"/>
      <c r="BQ706" s="1182">
        <f t="shared" si="140"/>
        <v>0</v>
      </c>
      <c r="BR706" s="1182">
        <f t="shared" si="141"/>
        <v>0</v>
      </c>
    </row>
    <row r="707" spans="1:70" ht="13.5" customHeight="1">
      <c r="A707" s="1182" t="s">
        <v>1803</v>
      </c>
      <c r="B707" s="1182" t="s">
        <v>1804</v>
      </c>
      <c r="C707" s="1182" t="s">
        <v>1639</v>
      </c>
      <c r="D707" s="1182" t="s">
        <v>2523</v>
      </c>
      <c r="E707" s="1182" t="s">
        <v>2524</v>
      </c>
      <c r="F707" s="1182" t="s">
        <v>3110</v>
      </c>
      <c r="G707" s="1182" t="s">
        <v>3110</v>
      </c>
      <c r="H707" s="1182" t="s">
        <v>4006</v>
      </c>
      <c r="I707" s="1182" t="s">
        <v>1809</v>
      </c>
      <c r="J707" s="1182" t="s">
        <v>4007</v>
      </c>
      <c r="K707" s="1182" t="s">
        <v>1811</v>
      </c>
      <c r="L707" s="1182" t="s">
        <v>1812</v>
      </c>
      <c r="M707" s="1182" t="s">
        <v>1803</v>
      </c>
      <c r="N707" s="1182" t="s">
        <v>2922</v>
      </c>
      <c r="O707" s="1182" t="s">
        <v>1554</v>
      </c>
      <c r="P707" s="1182" t="s">
        <v>1563</v>
      </c>
      <c r="Q707" s="1182" t="s">
        <v>1562</v>
      </c>
      <c r="R707" s="1182" t="s">
        <v>1561</v>
      </c>
      <c r="S707" s="1182" t="s">
        <v>1639</v>
      </c>
      <c r="T707" s="1182" t="s">
        <v>1814</v>
      </c>
      <c r="U707" s="1182" t="s">
        <v>1815</v>
      </c>
      <c r="V707" s="1182">
        <v>0</v>
      </c>
      <c r="W707" s="1182">
        <v>0</v>
      </c>
      <c r="X707" s="1182">
        <v>0</v>
      </c>
      <c r="Y707" s="1183">
        <v>2</v>
      </c>
      <c r="Z707" s="1182" t="s">
        <v>2923</v>
      </c>
      <c r="AA707" s="1182" t="s">
        <v>2924</v>
      </c>
      <c r="AB707" s="1182">
        <v>2</v>
      </c>
      <c r="AC707" s="1182" t="s">
        <v>2925</v>
      </c>
      <c r="AD707" s="1182" t="s">
        <v>1561</v>
      </c>
      <c r="AE707" s="1182">
        <v>2</v>
      </c>
      <c r="AF707" s="1182" t="s">
        <v>1943</v>
      </c>
      <c r="AG707" s="1182" t="s">
        <v>1944</v>
      </c>
      <c r="AH707" s="1182">
        <v>0</v>
      </c>
      <c r="AI707" s="1182">
        <v>2</v>
      </c>
      <c r="AJ707" s="1182" t="s">
        <v>4004</v>
      </c>
      <c r="AL707" s="1186" t="s">
        <v>4008</v>
      </c>
      <c r="AM707" s="1182">
        <v>1</v>
      </c>
      <c r="AN707" s="1182">
        <v>0</v>
      </c>
      <c r="AO707" s="1182">
        <v>0</v>
      </c>
      <c r="AP707" s="1182">
        <v>0</v>
      </c>
      <c r="AQ707" s="1182" t="s">
        <v>1639</v>
      </c>
      <c r="AS707" s="1186" t="s">
        <v>1943</v>
      </c>
      <c r="AT707" s="1186" t="s">
        <v>1944</v>
      </c>
      <c r="AV707" s="1183">
        <v>0</v>
      </c>
      <c r="AW707" s="1183">
        <v>0</v>
      </c>
      <c r="AX707" s="1183">
        <v>0</v>
      </c>
      <c r="AY707" s="1538">
        <v>0</v>
      </c>
      <c r="AZ707" s="1183">
        <v>0</v>
      </c>
      <c r="BA707" s="1183">
        <v>2</v>
      </c>
      <c r="BB707" s="1540">
        <v>2</v>
      </c>
      <c r="BC707" s="1540">
        <v>2</v>
      </c>
      <c r="BD707" s="1540">
        <v>0</v>
      </c>
      <c r="BF707" s="1539">
        <f t="shared" si="132"/>
        <v>0</v>
      </c>
      <c r="BG707" s="1539">
        <f t="shared" si="133"/>
        <v>0</v>
      </c>
      <c r="BH707" s="1539">
        <f t="shared" si="134"/>
        <v>0</v>
      </c>
      <c r="BI707" s="1539">
        <f t="shared" si="135"/>
        <v>0</v>
      </c>
      <c r="BJ707" s="1539">
        <f t="shared" si="136"/>
        <v>0</v>
      </c>
      <c r="BK707" s="1539">
        <f t="shared" si="137"/>
        <v>2</v>
      </c>
      <c r="BL707" s="1539">
        <f t="shared" si="138"/>
        <v>2</v>
      </c>
      <c r="BM707" s="1539">
        <f t="shared" si="139"/>
        <v>2</v>
      </c>
      <c r="BO707" s="1183"/>
      <c r="BQ707" s="1182">
        <f t="shared" si="140"/>
        <v>0</v>
      </c>
      <c r="BR707" s="1182">
        <f t="shared" si="141"/>
        <v>0</v>
      </c>
    </row>
    <row r="708" spans="1:70" ht="13.5" customHeight="1">
      <c r="A708" s="1182" t="s">
        <v>1803</v>
      </c>
      <c r="B708" s="1182" t="s">
        <v>1804</v>
      </c>
      <c r="C708" s="1182" t="s">
        <v>1639</v>
      </c>
      <c r="D708" s="1182" t="s">
        <v>1915</v>
      </c>
      <c r="E708" s="1182" t="s">
        <v>1916</v>
      </c>
      <c r="F708" s="1182" t="s">
        <v>2358</v>
      </c>
      <c r="G708" s="1182" t="s">
        <v>2358</v>
      </c>
      <c r="H708" s="1182" t="s">
        <v>4009</v>
      </c>
      <c r="I708" s="1182" t="s">
        <v>1809</v>
      </c>
      <c r="J708" s="1182" t="s">
        <v>4010</v>
      </c>
      <c r="K708" s="1182" t="s">
        <v>1811</v>
      </c>
      <c r="L708" s="1182" t="s">
        <v>1812</v>
      </c>
      <c r="M708" s="1182" t="s">
        <v>1803</v>
      </c>
      <c r="N708" s="1182" t="s">
        <v>2922</v>
      </c>
      <c r="O708" s="1182" t="s">
        <v>1554</v>
      </c>
      <c r="P708" s="1182" t="s">
        <v>1563</v>
      </c>
      <c r="Q708" s="1182" t="s">
        <v>1562</v>
      </c>
      <c r="R708" s="1182" t="s">
        <v>1561</v>
      </c>
      <c r="S708" s="1182" t="s">
        <v>1639</v>
      </c>
      <c r="T708" s="1182" t="s">
        <v>1814</v>
      </c>
      <c r="U708" s="1182" t="s">
        <v>1815</v>
      </c>
      <c r="V708" s="1182">
        <v>0</v>
      </c>
      <c r="W708" s="1182">
        <v>0</v>
      </c>
      <c r="X708" s="1182">
        <v>0</v>
      </c>
      <c r="Y708" s="1183">
        <v>80</v>
      </c>
      <c r="Z708" s="1182" t="s">
        <v>2923</v>
      </c>
      <c r="AA708" s="1182" t="s">
        <v>2924</v>
      </c>
      <c r="AB708" s="1182">
        <v>80</v>
      </c>
      <c r="AC708" s="1182" t="s">
        <v>2925</v>
      </c>
      <c r="AD708" s="1182" t="s">
        <v>1561</v>
      </c>
      <c r="AE708" s="1182">
        <v>80</v>
      </c>
      <c r="AF708" s="1182" t="s">
        <v>1943</v>
      </c>
      <c r="AG708" s="1182" t="s">
        <v>1944</v>
      </c>
      <c r="AH708" s="1182">
        <v>0</v>
      </c>
      <c r="AI708" s="1182">
        <v>80</v>
      </c>
      <c r="AJ708" s="1182" t="s">
        <v>3149</v>
      </c>
      <c r="AL708" s="1186" t="s">
        <v>4011</v>
      </c>
      <c r="AM708" s="1182">
        <v>1</v>
      </c>
      <c r="AN708" s="1182">
        <v>0</v>
      </c>
      <c r="AO708" s="1182">
        <v>0</v>
      </c>
      <c r="AP708" s="1182">
        <v>0</v>
      </c>
      <c r="AQ708" s="1182" t="s">
        <v>1639</v>
      </c>
      <c r="AS708" s="1186" t="s">
        <v>1943</v>
      </c>
      <c r="AT708" s="1186" t="s">
        <v>1944</v>
      </c>
      <c r="AV708" s="1183">
        <v>80</v>
      </c>
      <c r="AW708" s="1183">
        <v>0</v>
      </c>
      <c r="AX708" s="1183">
        <v>0</v>
      </c>
      <c r="AY708" s="1538">
        <v>80</v>
      </c>
      <c r="AZ708" s="1183">
        <v>0</v>
      </c>
      <c r="BA708" s="1183">
        <v>0</v>
      </c>
      <c r="BB708" s="1540">
        <v>0</v>
      </c>
      <c r="BC708" s="1540">
        <v>80</v>
      </c>
      <c r="BD708" s="1540">
        <v>0</v>
      </c>
      <c r="BF708" s="1539">
        <f t="shared" si="132"/>
        <v>80</v>
      </c>
      <c r="BG708" s="1539">
        <f t="shared" si="133"/>
        <v>0</v>
      </c>
      <c r="BH708" s="1539">
        <f t="shared" si="134"/>
        <v>0</v>
      </c>
      <c r="BI708" s="1539">
        <f t="shared" si="135"/>
        <v>80</v>
      </c>
      <c r="BJ708" s="1539">
        <f t="shared" si="136"/>
        <v>0</v>
      </c>
      <c r="BK708" s="1539">
        <f t="shared" si="137"/>
        <v>0</v>
      </c>
      <c r="BL708" s="1539">
        <f t="shared" si="138"/>
        <v>0</v>
      </c>
      <c r="BM708" s="1539">
        <f t="shared" si="139"/>
        <v>80</v>
      </c>
      <c r="BO708" s="1183"/>
      <c r="BQ708" s="1182">
        <f t="shared" si="140"/>
        <v>0</v>
      </c>
      <c r="BR708" s="1182">
        <f t="shared" si="141"/>
        <v>0</v>
      </c>
    </row>
    <row r="709" spans="1:70" ht="13.5" customHeight="1">
      <c r="A709" s="1182" t="s">
        <v>1803</v>
      </c>
      <c r="B709" s="1182" t="s">
        <v>1804</v>
      </c>
      <c r="C709" s="1182" t="s">
        <v>1639</v>
      </c>
      <c r="D709" s="1182" t="s">
        <v>1915</v>
      </c>
      <c r="E709" s="1182" t="s">
        <v>1916</v>
      </c>
      <c r="F709" s="1182" t="s">
        <v>2358</v>
      </c>
      <c r="G709" s="1182" t="s">
        <v>2358</v>
      </c>
      <c r="H709" s="1182" t="s">
        <v>4012</v>
      </c>
      <c r="I709" s="1182" t="s">
        <v>1809</v>
      </c>
      <c r="J709" s="1182" t="s">
        <v>4013</v>
      </c>
      <c r="K709" s="1182" t="s">
        <v>1811</v>
      </c>
      <c r="L709" s="1182" t="s">
        <v>1812</v>
      </c>
      <c r="M709" s="1182" t="s">
        <v>1803</v>
      </c>
      <c r="N709" s="1182" t="s">
        <v>2922</v>
      </c>
      <c r="O709" s="1182" t="s">
        <v>1554</v>
      </c>
      <c r="P709" s="1182" t="s">
        <v>1563</v>
      </c>
      <c r="Q709" s="1182" t="s">
        <v>1562</v>
      </c>
      <c r="R709" s="1182" t="s">
        <v>1561</v>
      </c>
      <c r="S709" s="1182" t="s">
        <v>1639</v>
      </c>
      <c r="T709" s="1182" t="s">
        <v>1814</v>
      </c>
      <c r="U709" s="1182" t="s">
        <v>1815</v>
      </c>
      <c r="V709" s="1182">
        <v>0</v>
      </c>
      <c r="W709" s="1182">
        <v>0</v>
      </c>
      <c r="X709" s="1182">
        <v>0</v>
      </c>
      <c r="Y709" s="1183">
        <v>10927</v>
      </c>
      <c r="Z709" s="1182" t="s">
        <v>2923</v>
      </c>
      <c r="AA709" s="1182" t="s">
        <v>2924</v>
      </c>
      <c r="AB709" s="1182">
        <v>10927</v>
      </c>
      <c r="AC709" s="1182" t="s">
        <v>2925</v>
      </c>
      <c r="AD709" s="1182" t="s">
        <v>1561</v>
      </c>
      <c r="AE709" s="1182">
        <v>10927</v>
      </c>
      <c r="AF709" s="1182" t="s">
        <v>1943</v>
      </c>
      <c r="AG709" s="1182" t="s">
        <v>1944</v>
      </c>
      <c r="AH709" s="1182">
        <v>0</v>
      </c>
      <c r="AI709" s="1182">
        <v>10927</v>
      </c>
      <c r="AJ709" s="1182" t="s">
        <v>3236</v>
      </c>
      <c r="AL709" s="1186" t="s">
        <v>4014</v>
      </c>
      <c r="AM709" s="1182">
        <v>1</v>
      </c>
      <c r="AN709" s="1182">
        <v>0</v>
      </c>
      <c r="AO709" s="1182">
        <v>0</v>
      </c>
      <c r="AP709" s="1182">
        <v>0</v>
      </c>
      <c r="AQ709" s="1182" t="s">
        <v>1639</v>
      </c>
      <c r="AS709" s="1186" t="s">
        <v>1943</v>
      </c>
      <c r="AT709" s="1186" t="s">
        <v>1944</v>
      </c>
      <c r="AV709" s="1183">
        <v>10927</v>
      </c>
      <c r="AW709" s="1183">
        <v>0</v>
      </c>
      <c r="AX709" s="1183">
        <v>0</v>
      </c>
      <c r="AY709" s="1538">
        <v>10927</v>
      </c>
      <c r="AZ709" s="1183">
        <v>0</v>
      </c>
      <c r="BA709" s="1183">
        <v>0</v>
      </c>
      <c r="BB709" s="1540">
        <v>0</v>
      </c>
      <c r="BC709" s="1540">
        <v>10927</v>
      </c>
      <c r="BD709" s="1540">
        <v>0</v>
      </c>
      <c r="BF709" s="1539">
        <f t="shared" si="132"/>
        <v>10927</v>
      </c>
      <c r="BG709" s="1539">
        <f t="shared" si="133"/>
        <v>0</v>
      </c>
      <c r="BH709" s="1539">
        <f t="shared" si="134"/>
        <v>0</v>
      </c>
      <c r="BI709" s="1539">
        <f t="shared" si="135"/>
        <v>10927</v>
      </c>
      <c r="BJ709" s="1539">
        <f t="shared" si="136"/>
        <v>0</v>
      </c>
      <c r="BK709" s="1539">
        <f t="shared" si="137"/>
        <v>0</v>
      </c>
      <c r="BL709" s="1539">
        <f t="shared" si="138"/>
        <v>0</v>
      </c>
      <c r="BM709" s="1539">
        <f t="shared" si="139"/>
        <v>10927</v>
      </c>
      <c r="BO709" s="1183"/>
      <c r="BQ709" s="1182">
        <f t="shared" si="140"/>
        <v>0</v>
      </c>
      <c r="BR709" s="1182">
        <f t="shared" si="141"/>
        <v>0</v>
      </c>
    </row>
    <row r="710" spans="1:70" ht="13.5" customHeight="1">
      <c r="A710" s="1182" t="s">
        <v>1803</v>
      </c>
      <c r="B710" s="1182" t="s">
        <v>1804</v>
      </c>
      <c r="C710" s="1182" t="s">
        <v>1639</v>
      </c>
      <c r="D710" s="1182" t="s">
        <v>1915</v>
      </c>
      <c r="E710" s="1182" t="s">
        <v>1916</v>
      </c>
      <c r="F710" s="1182" t="s">
        <v>2358</v>
      </c>
      <c r="G710" s="1182" t="s">
        <v>2358</v>
      </c>
      <c r="H710" s="1182" t="s">
        <v>4015</v>
      </c>
      <c r="I710" s="1182" t="s">
        <v>1809</v>
      </c>
      <c r="J710" s="1182" t="s">
        <v>4016</v>
      </c>
      <c r="K710" s="1182" t="s">
        <v>1811</v>
      </c>
      <c r="L710" s="1182" t="s">
        <v>1812</v>
      </c>
      <c r="M710" s="1182" t="s">
        <v>1803</v>
      </c>
      <c r="N710" s="1182" t="s">
        <v>2922</v>
      </c>
      <c r="O710" s="1182" t="s">
        <v>1554</v>
      </c>
      <c r="P710" s="1182" t="s">
        <v>1563</v>
      </c>
      <c r="Q710" s="1182" t="s">
        <v>1562</v>
      </c>
      <c r="R710" s="1182" t="s">
        <v>1561</v>
      </c>
      <c r="S710" s="1182" t="s">
        <v>1639</v>
      </c>
      <c r="T710" s="1182" t="s">
        <v>1814</v>
      </c>
      <c r="U710" s="1182" t="s">
        <v>1815</v>
      </c>
      <c r="V710" s="1182">
        <v>0</v>
      </c>
      <c r="W710" s="1182">
        <v>0</v>
      </c>
      <c r="X710" s="1182">
        <v>0</v>
      </c>
      <c r="Y710" s="1183">
        <v>2722</v>
      </c>
      <c r="Z710" s="1182" t="s">
        <v>2923</v>
      </c>
      <c r="AA710" s="1182" t="s">
        <v>2924</v>
      </c>
      <c r="AB710" s="1182">
        <v>2722</v>
      </c>
      <c r="AC710" s="1182" t="s">
        <v>2925</v>
      </c>
      <c r="AD710" s="1182" t="s">
        <v>1561</v>
      </c>
      <c r="AE710" s="1182">
        <v>2722</v>
      </c>
      <c r="AF710" s="1182" t="s">
        <v>1943</v>
      </c>
      <c r="AG710" s="1182" t="s">
        <v>1944</v>
      </c>
      <c r="AH710" s="1182">
        <v>0</v>
      </c>
      <c r="AI710" s="1182">
        <v>2722</v>
      </c>
      <c r="AJ710" s="1182" t="s">
        <v>4017</v>
      </c>
      <c r="AL710" s="1186" t="s">
        <v>4018</v>
      </c>
      <c r="AM710" s="1182">
        <v>1</v>
      </c>
      <c r="AN710" s="1182">
        <v>0</v>
      </c>
      <c r="AO710" s="1182">
        <v>0</v>
      </c>
      <c r="AP710" s="1182">
        <v>0</v>
      </c>
      <c r="AQ710" s="1182" t="s">
        <v>1639</v>
      </c>
      <c r="AS710" s="1186" t="s">
        <v>1943</v>
      </c>
      <c r="AT710" s="1186" t="s">
        <v>1944</v>
      </c>
      <c r="AV710" s="1183">
        <v>2722</v>
      </c>
      <c r="AW710" s="1183">
        <v>0</v>
      </c>
      <c r="AX710" s="1183">
        <v>0</v>
      </c>
      <c r="AY710" s="1538">
        <v>2722</v>
      </c>
      <c r="AZ710" s="1183">
        <v>0</v>
      </c>
      <c r="BA710" s="1183">
        <v>0</v>
      </c>
      <c r="BB710" s="1540">
        <v>0</v>
      </c>
      <c r="BC710" s="1540">
        <v>2722</v>
      </c>
      <c r="BD710" s="1540">
        <v>0</v>
      </c>
      <c r="BF710" s="1539">
        <f t="shared" si="132"/>
        <v>2722</v>
      </c>
      <c r="BG710" s="1539">
        <f t="shared" si="133"/>
        <v>0</v>
      </c>
      <c r="BH710" s="1539">
        <f t="shared" si="134"/>
        <v>0</v>
      </c>
      <c r="BI710" s="1539">
        <f t="shared" si="135"/>
        <v>2722</v>
      </c>
      <c r="BJ710" s="1539">
        <f t="shared" si="136"/>
        <v>0</v>
      </c>
      <c r="BK710" s="1539">
        <f t="shared" si="137"/>
        <v>0</v>
      </c>
      <c r="BL710" s="1539">
        <f t="shared" si="138"/>
        <v>0</v>
      </c>
      <c r="BM710" s="1539">
        <f t="shared" si="139"/>
        <v>2722</v>
      </c>
      <c r="BO710" s="1183"/>
      <c r="BQ710" s="1182">
        <f t="shared" si="140"/>
        <v>0</v>
      </c>
      <c r="BR710" s="1182">
        <f t="shared" si="141"/>
        <v>0</v>
      </c>
    </row>
    <row r="711" spans="1:70" ht="13.5" customHeight="1">
      <c r="A711" s="1182" t="s">
        <v>1803</v>
      </c>
      <c r="B711" s="1182" t="s">
        <v>1804</v>
      </c>
      <c r="C711" s="1182" t="s">
        <v>1639</v>
      </c>
      <c r="D711" s="1182" t="s">
        <v>1915</v>
      </c>
      <c r="E711" s="1182" t="s">
        <v>1916</v>
      </c>
      <c r="F711" s="1182" t="s">
        <v>2026</v>
      </c>
      <c r="G711" s="1182" t="s">
        <v>2026</v>
      </c>
      <c r="H711" s="1182" t="s">
        <v>4019</v>
      </c>
      <c r="I711" s="1182" t="s">
        <v>1809</v>
      </c>
      <c r="J711" s="1182" t="s">
        <v>4020</v>
      </c>
      <c r="K711" s="1182" t="s">
        <v>1811</v>
      </c>
      <c r="L711" s="1182" t="s">
        <v>1812</v>
      </c>
      <c r="M711" s="1182" t="s">
        <v>1803</v>
      </c>
      <c r="N711" s="1182" t="s">
        <v>2922</v>
      </c>
      <c r="O711" s="1182" t="s">
        <v>1554</v>
      </c>
      <c r="P711" s="1182" t="s">
        <v>1563</v>
      </c>
      <c r="Q711" s="1182" t="s">
        <v>1562</v>
      </c>
      <c r="R711" s="1182" t="s">
        <v>1561</v>
      </c>
      <c r="S711" s="1182" t="s">
        <v>1639</v>
      </c>
      <c r="T711" s="1182" t="s">
        <v>1814</v>
      </c>
      <c r="U711" s="1182" t="s">
        <v>1815</v>
      </c>
      <c r="V711" s="1182">
        <v>0</v>
      </c>
      <c r="W711" s="1182">
        <v>0</v>
      </c>
      <c r="X711" s="1182">
        <v>0</v>
      </c>
      <c r="Y711" s="1183">
        <v>500</v>
      </c>
      <c r="Z711" s="1182" t="s">
        <v>2923</v>
      </c>
      <c r="AA711" s="1182" t="s">
        <v>2924</v>
      </c>
      <c r="AB711" s="1182">
        <v>500</v>
      </c>
      <c r="AC711" s="1182" t="s">
        <v>2925</v>
      </c>
      <c r="AD711" s="1182" t="s">
        <v>1561</v>
      </c>
      <c r="AE711" s="1182">
        <v>500</v>
      </c>
      <c r="AF711" s="1182" t="s">
        <v>1943</v>
      </c>
      <c r="AG711" s="1182" t="s">
        <v>1944</v>
      </c>
      <c r="AH711" s="1182">
        <v>0</v>
      </c>
      <c r="AI711" s="1182">
        <v>500</v>
      </c>
      <c r="AJ711" s="1182" t="s">
        <v>3149</v>
      </c>
      <c r="AL711" s="1186" t="s">
        <v>4021</v>
      </c>
      <c r="AM711" s="1182">
        <v>1</v>
      </c>
      <c r="AN711" s="1182">
        <v>0</v>
      </c>
      <c r="AO711" s="1182">
        <v>0</v>
      </c>
      <c r="AP711" s="1182">
        <v>0</v>
      </c>
      <c r="AQ711" s="1182" t="s">
        <v>1639</v>
      </c>
      <c r="AS711" s="1186" t="s">
        <v>1943</v>
      </c>
      <c r="AT711" s="1186" t="s">
        <v>1944</v>
      </c>
      <c r="AV711" s="1183">
        <v>500</v>
      </c>
      <c r="AW711" s="1183">
        <v>0</v>
      </c>
      <c r="AX711" s="1183">
        <v>0</v>
      </c>
      <c r="AY711" s="1538">
        <v>500</v>
      </c>
      <c r="AZ711" s="1183">
        <v>0</v>
      </c>
      <c r="BA711" s="1183">
        <v>0</v>
      </c>
      <c r="BB711" s="1540">
        <v>0</v>
      </c>
      <c r="BC711" s="1540">
        <v>500</v>
      </c>
      <c r="BD711" s="1540">
        <v>0</v>
      </c>
      <c r="BF711" s="1539">
        <f t="shared" ref="BF711:BF774" si="142">+IFERROR(ROUND(AV711*100/(100+$AT711),0),AV711)</f>
        <v>500</v>
      </c>
      <c r="BG711" s="1539">
        <f t="shared" ref="BG711:BG774" si="143">+IFERROR(ROUND(AW711*100/(100+$AT711),0),AW711)</f>
        <v>0</v>
      </c>
      <c r="BH711" s="1539">
        <f t="shared" ref="BH711:BH774" si="144">+IFERROR(ROUND(AX711*100/(100+$AT711),0),AX711)</f>
        <v>0</v>
      </c>
      <c r="BI711" s="1539">
        <f t="shared" ref="BI711:BI774" si="145">SUM(BF711:BH711)</f>
        <v>500</v>
      </c>
      <c r="BJ711" s="1539">
        <f t="shared" ref="BJ711:BJ774" si="146">+IFERROR(ROUND(AZ711*100/(100+$AT711),0),AZ711)</f>
        <v>0</v>
      </c>
      <c r="BK711" s="1539">
        <f t="shared" ref="BK711:BK774" si="147">+IFERROR(ROUND(BA711*100/(100+$AT711),0),BA711)</f>
        <v>0</v>
      </c>
      <c r="BL711" s="1539">
        <f t="shared" ref="BL711:BL774" si="148">SUM(BJ711:BK711)</f>
        <v>0</v>
      </c>
      <c r="BM711" s="1539">
        <f t="shared" ref="BM711:BM774" si="149">+BI711+BL711</f>
        <v>500</v>
      </c>
      <c r="BO711" s="1183"/>
      <c r="BQ711" s="1182">
        <f t="shared" ref="BQ711:BQ774" si="150">AY711*100/(100+$AT711)-BI711</f>
        <v>0</v>
      </c>
      <c r="BR711" s="1182">
        <f t="shared" ref="BR711:BR774" si="151">BB711*100/(100+$AT711)-BL711</f>
        <v>0</v>
      </c>
    </row>
    <row r="712" spans="1:70" ht="13.5" customHeight="1">
      <c r="A712" s="1182" t="s">
        <v>1803</v>
      </c>
      <c r="B712" s="1182" t="s">
        <v>1804</v>
      </c>
      <c r="C712" s="1182" t="s">
        <v>1639</v>
      </c>
      <c r="D712" s="1182" t="s">
        <v>1915</v>
      </c>
      <c r="E712" s="1182" t="s">
        <v>1916</v>
      </c>
      <c r="F712" s="1182" t="s">
        <v>2026</v>
      </c>
      <c r="G712" s="1182" t="s">
        <v>2026</v>
      </c>
      <c r="H712" s="1182" t="s">
        <v>4022</v>
      </c>
      <c r="I712" s="1182" t="s">
        <v>1809</v>
      </c>
      <c r="J712" s="1182" t="s">
        <v>4023</v>
      </c>
      <c r="K712" s="1182" t="s">
        <v>1811</v>
      </c>
      <c r="L712" s="1182" t="s">
        <v>1812</v>
      </c>
      <c r="M712" s="1182" t="s">
        <v>1803</v>
      </c>
      <c r="N712" s="1182" t="s">
        <v>2922</v>
      </c>
      <c r="O712" s="1182" t="s">
        <v>1554</v>
      </c>
      <c r="P712" s="1182" t="s">
        <v>1563</v>
      </c>
      <c r="Q712" s="1182" t="s">
        <v>1562</v>
      </c>
      <c r="R712" s="1182" t="s">
        <v>1561</v>
      </c>
      <c r="S712" s="1182" t="s">
        <v>1639</v>
      </c>
      <c r="T712" s="1182" t="s">
        <v>1814</v>
      </c>
      <c r="U712" s="1182" t="s">
        <v>1815</v>
      </c>
      <c r="V712" s="1182">
        <v>0</v>
      </c>
      <c r="W712" s="1182">
        <v>0</v>
      </c>
      <c r="X712" s="1182">
        <v>0</v>
      </c>
      <c r="Y712" s="1183">
        <v>1640</v>
      </c>
      <c r="Z712" s="1182" t="s">
        <v>2923</v>
      </c>
      <c r="AA712" s="1182" t="s">
        <v>2924</v>
      </c>
      <c r="AB712" s="1182">
        <v>1640</v>
      </c>
      <c r="AC712" s="1182" t="s">
        <v>2925</v>
      </c>
      <c r="AD712" s="1182" t="s">
        <v>1561</v>
      </c>
      <c r="AE712" s="1182">
        <v>1640</v>
      </c>
      <c r="AF712" s="1182" t="s">
        <v>1943</v>
      </c>
      <c r="AG712" s="1182" t="s">
        <v>1944</v>
      </c>
      <c r="AH712" s="1182">
        <v>0</v>
      </c>
      <c r="AI712" s="1182">
        <v>1640</v>
      </c>
      <c r="AJ712" s="1182" t="s">
        <v>4017</v>
      </c>
      <c r="AL712" s="1186" t="s">
        <v>4024</v>
      </c>
      <c r="AM712" s="1182">
        <v>1</v>
      </c>
      <c r="AN712" s="1182">
        <v>0</v>
      </c>
      <c r="AO712" s="1182">
        <v>0</v>
      </c>
      <c r="AP712" s="1182">
        <v>0</v>
      </c>
      <c r="AQ712" s="1182" t="s">
        <v>1639</v>
      </c>
      <c r="AS712" s="1186" t="s">
        <v>1943</v>
      </c>
      <c r="AT712" s="1186" t="s">
        <v>1944</v>
      </c>
      <c r="AV712" s="1183">
        <v>1640</v>
      </c>
      <c r="AW712" s="1183">
        <v>0</v>
      </c>
      <c r="AX712" s="1183">
        <v>0</v>
      </c>
      <c r="AY712" s="1538">
        <v>1640</v>
      </c>
      <c r="AZ712" s="1183">
        <v>0</v>
      </c>
      <c r="BA712" s="1183">
        <v>0</v>
      </c>
      <c r="BB712" s="1540">
        <v>0</v>
      </c>
      <c r="BC712" s="1540">
        <v>1640</v>
      </c>
      <c r="BD712" s="1540">
        <v>0</v>
      </c>
      <c r="BF712" s="1539">
        <f t="shared" si="142"/>
        <v>1640</v>
      </c>
      <c r="BG712" s="1539">
        <f t="shared" si="143"/>
        <v>0</v>
      </c>
      <c r="BH712" s="1539">
        <f t="shared" si="144"/>
        <v>0</v>
      </c>
      <c r="BI712" s="1539">
        <f t="shared" si="145"/>
        <v>1640</v>
      </c>
      <c r="BJ712" s="1539">
        <f t="shared" si="146"/>
        <v>0</v>
      </c>
      <c r="BK712" s="1539">
        <f t="shared" si="147"/>
        <v>0</v>
      </c>
      <c r="BL712" s="1539">
        <f t="shared" si="148"/>
        <v>0</v>
      </c>
      <c r="BM712" s="1539">
        <f t="shared" si="149"/>
        <v>1640</v>
      </c>
      <c r="BO712" s="1183"/>
      <c r="BQ712" s="1182">
        <f t="shared" si="150"/>
        <v>0</v>
      </c>
      <c r="BR712" s="1182">
        <f t="shared" si="151"/>
        <v>0</v>
      </c>
    </row>
    <row r="713" spans="1:70" ht="13.5" customHeight="1">
      <c r="A713" s="1182" t="s">
        <v>1803</v>
      </c>
      <c r="B713" s="1182" t="s">
        <v>1804</v>
      </c>
      <c r="C713" s="1182" t="s">
        <v>1639</v>
      </c>
      <c r="D713" s="1182" t="s">
        <v>3056</v>
      </c>
      <c r="E713" s="1182" t="s">
        <v>3057</v>
      </c>
      <c r="F713" s="1182" t="s">
        <v>2174</v>
      </c>
      <c r="G713" s="1182" t="s">
        <v>2174</v>
      </c>
      <c r="H713" s="1182" t="s">
        <v>4025</v>
      </c>
      <c r="I713" s="1182" t="s">
        <v>1809</v>
      </c>
      <c r="J713" s="1182" t="s">
        <v>4026</v>
      </c>
      <c r="K713" s="1182" t="s">
        <v>1811</v>
      </c>
      <c r="L713" s="1182" t="s">
        <v>1812</v>
      </c>
      <c r="M713" s="1182" t="s">
        <v>1803</v>
      </c>
      <c r="N713" s="1182" t="s">
        <v>2922</v>
      </c>
      <c r="O713" s="1182" t="s">
        <v>1554</v>
      </c>
      <c r="P713" s="1182" t="s">
        <v>1563</v>
      </c>
      <c r="Q713" s="1182" t="s">
        <v>1562</v>
      </c>
      <c r="R713" s="1182" t="s">
        <v>1561</v>
      </c>
      <c r="S713" s="1182" t="s">
        <v>1639</v>
      </c>
      <c r="T713" s="1182" t="s">
        <v>1814</v>
      </c>
      <c r="U713" s="1182" t="s">
        <v>1815</v>
      </c>
      <c r="V713" s="1182">
        <v>0</v>
      </c>
      <c r="W713" s="1182">
        <v>0</v>
      </c>
      <c r="X713" s="1182">
        <v>0</v>
      </c>
      <c r="Y713" s="1183">
        <v>2868</v>
      </c>
      <c r="Z713" s="1182" t="s">
        <v>2923</v>
      </c>
      <c r="AA713" s="1182" t="s">
        <v>2924</v>
      </c>
      <c r="AB713" s="1182">
        <v>2868</v>
      </c>
      <c r="AC713" s="1182" t="s">
        <v>2925</v>
      </c>
      <c r="AD713" s="1182" t="s">
        <v>1561</v>
      </c>
      <c r="AE713" s="1182">
        <v>2868</v>
      </c>
      <c r="AF713" s="1182" t="s">
        <v>1943</v>
      </c>
      <c r="AG713" s="1182" t="s">
        <v>1944</v>
      </c>
      <c r="AH713" s="1182">
        <v>0</v>
      </c>
      <c r="AI713" s="1182">
        <v>2868</v>
      </c>
      <c r="AJ713" s="1182" t="s">
        <v>4017</v>
      </c>
      <c r="AL713" s="1186" t="s">
        <v>4027</v>
      </c>
      <c r="AM713" s="1182">
        <v>1</v>
      </c>
      <c r="AN713" s="1182">
        <v>0</v>
      </c>
      <c r="AO713" s="1182">
        <v>0</v>
      </c>
      <c r="AP713" s="1182">
        <v>0</v>
      </c>
      <c r="AQ713" s="1182" t="s">
        <v>1639</v>
      </c>
      <c r="AS713" s="1186" t="s">
        <v>1943</v>
      </c>
      <c r="AT713" s="1186" t="s">
        <v>1944</v>
      </c>
      <c r="AV713" s="1183">
        <v>574</v>
      </c>
      <c r="AW713" s="1183">
        <v>0</v>
      </c>
      <c r="AX713" s="1183">
        <v>0</v>
      </c>
      <c r="AY713" s="1538">
        <v>574</v>
      </c>
      <c r="AZ713" s="1183">
        <v>0</v>
      </c>
      <c r="BA713" s="1183">
        <v>2294</v>
      </c>
      <c r="BB713" s="1540">
        <v>2294</v>
      </c>
      <c r="BC713" s="1540">
        <v>2868</v>
      </c>
      <c r="BD713" s="1540">
        <v>0</v>
      </c>
      <c r="BF713" s="1539">
        <f t="shared" si="142"/>
        <v>574</v>
      </c>
      <c r="BG713" s="1539">
        <f t="shared" si="143"/>
        <v>0</v>
      </c>
      <c r="BH713" s="1539">
        <f t="shared" si="144"/>
        <v>0</v>
      </c>
      <c r="BI713" s="1539">
        <f t="shared" si="145"/>
        <v>574</v>
      </c>
      <c r="BJ713" s="1539">
        <f t="shared" si="146"/>
        <v>0</v>
      </c>
      <c r="BK713" s="1539">
        <f t="shared" si="147"/>
        <v>2294</v>
      </c>
      <c r="BL713" s="1539">
        <f t="shared" si="148"/>
        <v>2294</v>
      </c>
      <c r="BM713" s="1539">
        <f t="shared" si="149"/>
        <v>2868</v>
      </c>
      <c r="BO713" s="1183"/>
      <c r="BQ713" s="1182">
        <f t="shared" si="150"/>
        <v>0</v>
      </c>
      <c r="BR713" s="1182">
        <f t="shared" si="151"/>
        <v>0</v>
      </c>
    </row>
    <row r="714" spans="1:70" ht="13.5" customHeight="1">
      <c r="A714" s="1182" t="s">
        <v>1803</v>
      </c>
      <c r="B714" s="1182" t="s">
        <v>1804</v>
      </c>
      <c r="C714" s="1182" t="s">
        <v>1639</v>
      </c>
      <c r="D714" s="1182" t="s">
        <v>1967</v>
      </c>
      <c r="E714" s="1182" t="s">
        <v>1968</v>
      </c>
      <c r="F714" s="1182" t="s">
        <v>2738</v>
      </c>
      <c r="G714" s="1182" t="s">
        <v>2738</v>
      </c>
      <c r="H714" s="1182" t="s">
        <v>4028</v>
      </c>
      <c r="I714" s="1182" t="s">
        <v>1809</v>
      </c>
      <c r="J714" s="1182" t="s">
        <v>4029</v>
      </c>
      <c r="K714" s="1182" t="s">
        <v>1811</v>
      </c>
      <c r="L714" s="1182" t="s">
        <v>1812</v>
      </c>
      <c r="M714" s="1182" t="s">
        <v>1803</v>
      </c>
      <c r="N714" s="1182" t="s">
        <v>2922</v>
      </c>
      <c r="O714" s="1182" t="s">
        <v>1554</v>
      </c>
      <c r="P714" s="1182" t="s">
        <v>1563</v>
      </c>
      <c r="Q714" s="1182" t="s">
        <v>1562</v>
      </c>
      <c r="R714" s="1182" t="s">
        <v>1561</v>
      </c>
      <c r="S714" s="1182" t="s">
        <v>1639</v>
      </c>
      <c r="T714" s="1182" t="s">
        <v>1814</v>
      </c>
      <c r="U714" s="1182" t="s">
        <v>1815</v>
      </c>
      <c r="V714" s="1182">
        <v>0</v>
      </c>
      <c r="W714" s="1182">
        <v>0</v>
      </c>
      <c r="X714" s="1182">
        <v>0</v>
      </c>
      <c r="Y714" s="1183">
        <v>41932</v>
      </c>
      <c r="Z714" s="1182" t="s">
        <v>2923</v>
      </c>
      <c r="AA714" s="1182" t="s">
        <v>2924</v>
      </c>
      <c r="AB714" s="1182">
        <v>41932</v>
      </c>
      <c r="AC714" s="1182" t="s">
        <v>2925</v>
      </c>
      <c r="AD714" s="1182" t="s">
        <v>1561</v>
      </c>
      <c r="AE714" s="1182">
        <v>41932</v>
      </c>
      <c r="AF714" s="1182" t="s">
        <v>3082</v>
      </c>
      <c r="AG714" s="1182" t="s">
        <v>1944</v>
      </c>
      <c r="AH714" s="1182">
        <v>0</v>
      </c>
      <c r="AI714" s="1182">
        <v>41932</v>
      </c>
      <c r="AJ714" s="1182" t="s">
        <v>3149</v>
      </c>
      <c r="AL714" s="1186" t="s">
        <v>4030</v>
      </c>
      <c r="AM714" s="1182">
        <v>2</v>
      </c>
      <c r="AN714" s="1182">
        <v>21</v>
      </c>
      <c r="AO714" s="1182">
        <v>0</v>
      </c>
      <c r="AP714" s="1182">
        <v>0</v>
      </c>
      <c r="AQ714" s="1182" t="s">
        <v>1639</v>
      </c>
      <c r="AS714" s="1186">
        <v>21</v>
      </c>
      <c r="AT714" s="1186">
        <v>0</v>
      </c>
      <c r="AV714" s="1183">
        <v>41932</v>
      </c>
      <c r="AW714" s="1183">
        <v>0</v>
      </c>
      <c r="AX714" s="1183">
        <v>0</v>
      </c>
      <c r="AY714" s="1538">
        <v>41932</v>
      </c>
      <c r="AZ714" s="1183">
        <v>0</v>
      </c>
      <c r="BA714" s="1183">
        <v>0</v>
      </c>
      <c r="BB714" s="1540">
        <v>0</v>
      </c>
      <c r="BC714" s="1540">
        <v>41932</v>
      </c>
      <c r="BD714" s="1540">
        <v>0</v>
      </c>
      <c r="BF714" s="1539">
        <f t="shared" si="142"/>
        <v>41932</v>
      </c>
      <c r="BG714" s="1539">
        <f t="shared" si="143"/>
        <v>0</v>
      </c>
      <c r="BH714" s="1539">
        <f t="shared" si="144"/>
        <v>0</v>
      </c>
      <c r="BI714" s="1539">
        <f t="shared" si="145"/>
        <v>41932</v>
      </c>
      <c r="BJ714" s="1539">
        <f t="shared" si="146"/>
        <v>0</v>
      </c>
      <c r="BK714" s="1539">
        <f t="shared" si="147"/>
        <v>0</v>
      </c>
      <c r="BL714" s="1539">
        <f t="shared" si="148"/>
        <v>0</v>
      </c>
      <c r="BM714" s="1539">
        <f t="shared" si="149"/>
        <v>41932</v>
      </c>
      <c r="BO714" s="1183"/>
      <c r="BQ714" s="1182">
        <f t="shared" si="150"/>
        <v>0</v>
      </c>
      <c r="BR714" s="1182">
        <f t="shared" si="151"/>
        <v>0</v>
      </c>
    </row>
    <row r="715" spans="1:70" ht="13.5" customHeight="1">
      <c r="A715" s="1182" t="s">
        <v>1803</v>
      </c>
      <c r="B715" s="1182" t="s">
        <v>1804</v>
      </c>
      <c r="C715" s="1182" t="s">
        <v>1639</v>
      </c>
      <c r="D715" s="1182" t="s">
        <v>1967</v>
      </c>
      <c r="E715" s="1182" t="s">
        <v>1968</v>
      </c>
      <c r="F715" s="1182" t="s">
        <v>2738</v>
      </c>
      <c r="G715" s="1182" t="s">
        <v>2738</v>
      </c>
      <c r="H715" s="1182" t="s">
        <v>4031</v>
      </c>
      <c r="I715" s="1182" t="s">
        <v>1809</v>
      </c>
      <c r="J715" s="1182" t="s">
        <v>4032</v>
      </c>
      <c r="K715" s="1182" t="s">
        <v>1811</v>
      </c>
      <c r="L715" s="1182" t="s">
        <v>1812</v>
      </c>
      <c r="M715" s="1182" t="s">
        <v>1803</v>
      </c>
      <c r="N715" s="1182" t="s">
        <v>2922</v>
      </c>
      <c r="O715" s="1182" t="s">
        <v>1554</v>
      </c>
      <c r="P715" s="1182" t="s">
        <v>1563</v>
      </c>
      <c r="Q715" s="1182" t="s">
        <v>1562</v>
      </c>
      <c r="R715" s="1182" t="s">
        <v>1561</v>
      </c>
      <c r="S715" s="1182" t="s">
        <v>1639</v>
      </c>
      <c r="T715" s="1182" t="s">
        <v>1814</v>
      </c>
      <c r="U715" s="1182" t="s">
        <v>1815</v>
      </c>
      <c r="V715" s="1182">
        <v>0</v>
      </c>
      <c r="W715" s="1182">
        <v>0</v>
      </c>
      <c r="X715" s="1182">
        <v>0</v>
      </c>
      <c r="Y715" s="1183">
        <v>5912</v>
      </c>
      <c r="Z715" s="1182" t="s">
        <v>2923</v>
      </c>
      <c r="AA715" s="1182" t="s">
        <v>2924</v>
      </c>
      <c r="AB715" s="1182">
        <v>5912</v>
      </c>
      <c r="AC715" s="1182" t="s">
        <v>2925</v>
      </c>
      <c r="AD715" s="1182" t="s">
        <v>1561</v>
      </c>
      <c r="AE715" s="1182">
        <v>5912</v>
      </c>
      <c r="AF715" s="1182" t="s">
        <v>3082</v>
      </c>
      <c r="AG715" s="1182" t="s">
        <v>1944</v>
      </c>
      <c r="AH715" s="1182">
        <v>0</v>
      </c>
      <c r="AI715" s="1182">
        <v>5912</v>
      </c>
      <c r="AJ715" s="1182" t="s">
        <v>4033</v>
      </c>
      <c r="AL715" s="1186" t="s">
        <v>4034</v>
      </c>
      <c r="AM715" s="1182">
        <v>2</v>
      </c>
      <c r="AN715" s="1182">
        <v>21</v>
      </c>
      <c r="AO715" s="1182">
        <v>0</v>
      </c>
      <c r="AP715" s="1182">
        <v>0</v>
      </c>
      <c r="AQ715" s="1182" t="s">
        <v>1639</v>
      </c>
      <c r="AS715" s="1186">
        <v>21</v>
      </c>
      <c r="AT715" s="1186">
        <v>0</v>
      </c>
      <c r="AV715" s="1183">
        <v>5912</v>
      </c>
      <c r="AW715" s="1183">
        <v>0</v>
      </c>
      <c r="AX715" s="1183">
        <v>0</v>
      </c>
      <c r="AY715" s="1538">
        <v>5912</v>
      </c>
      <c r="AZ715" s="1183">
        <v>0</v>
      </c>
      <c r="BA715" s="1183">
        <v>0</v>
      </c>
      <c r="BB715" s="1540">
        <v>0</v>
      </c>
      <c r="BC715" s="1540">
        <v>5912</v>
      </c>
      <c r="BD715" s="1540">
        <v>0</v>
      </c>
      <c r="BF715" s="1539">
        <f t="shared" si="142"/>
        <v>5912</v>
      </c>
      <c r="BG715" s="1539">
        <f t="shared" si="143"/>
        <v>0</v>
      </c>
      <c r="BH715" s="1539">
        <f t="shared" si="144"/>
        <v>0</v>
      </c>
      <c r="BI715" s="1539">
        <f t="shared" si="145"/>
        <v>5912</v>
      </c>
      <c r="BJ715" s="1539">
        <f t="shared" si="146"/>
        <v>0</v>
      </c>
      <c r="BK715" s="1539">
        <f t="shared" si="147"/>
        <v>0</v>
      </c>
      <c r="BL715" s="1539">
        <f t="shared" si="148"/>
        <v>0</v>
      </c>
      <c r="BM715" s="1539">
        <f t="shared" si="149"/>
        <v>5912</v>
      </c>
      <c r="BO715" s="1183"/>
      <c r="BQ715" s="1182">
        <f t="shared" si="150"/>
        <v>0</v>
      </c>
      <c r="BR715" s="1182">
        <f t="shared" si="151"/>
        <v>0</v>
      </c>
    </row>
    <row r="716" spans="1:70" ht="13.5" customHeight="1">
      <c r="A716" s="1182" t="s">
        <v>1803</v>
      </c>
      <c r="B716" s="1182" t="s">
        <v>1804</v>
      </c>
      <c r="C716" s="1182" t="s">
        <v>1639</v>
      </c>
      <c r="D716" s="1182" t="s">
        <v>1967</v>
      </c>
      <c r="E716" s="1182" t="s">
        <v>1968</v>
      </c>
      <c r="F716" s="1182" t="s">
        <v>2738</v>
      </c>
      <c r="G716" s="1182" t="s">
        <v>2738</v>
      </c>
      <c r="H716" s="1182" t="s">
        <v>4035</v>
      </c>
      <c r="I716" s="1182" t="s">
        <v>1809</v>
      </c>
      <c r="J716" s="1182" t="s">
        <v>4036</v>
      </c>
      <c r="K716" s="1182" t="s">
        <v>1811</v>
      </c>
      <c r="L716" s="1182" t="s">
        <v>1812</v>
      </c>
      <c r="M716" s="1182" t="s">
        <v>1803</v>
      </c>
      <c r="N716" s="1182" t="s">
        <v>2922</v>
      </c>
      <c r="O716" s="1182" t="s">
        <v>1554</v>
      </c>
      <c r="P716" s="1182" t="s">
        <v>1563</v>
      </c>
      <c r="Q716" s="1182" t="s">
        <v>1562</v>
      </c>
      <c r="R716" s="1182" t="s">
        <v>1561</v>
      </c>
      <c r="S716" s="1182" t="s">
        <v>1639</v>
      </c>
      <c r="T716" s="1182" t="s">
        <v>1814</v>
      </c>
      <c r="U716" s="1182" t="s">
        <v>1815</v>
      </c>
      <c r="V716" s="1182">
        <v>0</v>
      </c>
      <c r="W716" s="1182">
        <v>0</v>
      </c>
      <c r="X716" s="1182">
        <v>0</v>
      </c>
      <c r="Y716" s="1183">
        <v>239</v>
      </c>
      <c r="Z716" s="1182" t="s">
        <v>2923</v>
      </c>
      <c r="AA716" s="1182" t="s">
        <v>2924</v>
      </c>
      <c r="AB716" s="1182">
        <v>239</v>
      </c>
      <c r="AC716" s="1182" t="s">
        <v>2925</v>
      </c>
      <c r="AD716" s="1182" t="s">
        <v>1561</v>
      </c>
      <c r="AE716" s="1182">
        <v>239</v>
      </c>
      <c r="AF716" s="1182" t="s">
        <v>3082</v>
      </c>
      <c r="AG716" s="1182" t="s">
        <v>1944</v>
      </c>
      <c r="AH716" s="1182">
        <v>0</v>
      </c>
      <c r="AI716" s="1182">
        <v>239</v>
      </c>
      <c r="AJ716" s="1182" t="s">
        <v>3149</v>
      </c>
      <c r="AL716" s="1186" t="s">
        <v>4037</v>
      </c>
      <c r="AM716" s="1182">
        <v>2</v>
      </c>
      <c r="AN716" s="1182">
        <v>21</v>
      </c>
      <c r="AO716" s="1182">
        <v>0</v>
      </c>
      <c r="AP716" s="1182">
        <v>0</v>
      </c>
      <c r="AQ716" s="1182" t="s">
        <v>1639</v>
      </c>
      <c r="AS716" s="1186">
        <v>21</v>
      </c>
      <c r="AT716" s="1186">
        <v>0</v>
      </c>
      <c r="AV716" s="1183">
        <v>239</v>
      </c>
      <c r="AW716" s="1183">
        <v>0</v>
      </c>
      <c r="AX716" s="1183">
        <v>0</v>
      </c>
      <c r="AY716" s="1538">
        <v>239</v>
      </c>
      <c r="AZ716" s="1183">
        <v>0</v>
      </c>
      <c r="BA716" s="1183">
        <v>0</v>
      </c>
      <c r="BB716" s="1540">
        <v>0</v>
      </c>
      <c r="BC716" s="1540">
        <v>239</v>
      </c>
      <c r="BD716" s="1540">
        <v>0</v>
      </c>
      <c r="BF716" s="1539">
        <f t="shared" si="142"/>
        <v>239</v>
      </c>
      <c r="BG716" s="1539">
        <f t="shared" si="143"/>
        <v>0</v>
      </c>
      <c r="BH716" s="1539">
        <f t="shared" si="144"/>
        <v>0</v>
      </c>
      <c r="BI716" s="1539">
        <f t="shared" si="145"/>
        <v>239</v>
      </c>
      <c r="BJ716" s="1539">
        <f t="shared" si="146"/>
        <v>0</v>
      </c>
      <c r="BK716" s="1539">
        <f t="shared" si="147"/>
        <v>0</v>
      </c>
      <c r="BL716" s="1539">
        <f t="shared" si="148"/>
        <v>0</v>
      </c>
      <c r="BM716" s="1539">
        <f t="shared" si="149"/>
        <v>239</v>
      </c>
      <c r="BO716" s="1183"/>
      <c r="BQ716" s="1182">
        <f t="shared" si="150"/>
        <v>0</v>
      </c>
      <c r="BR716" s="1182">
        <f t="shared" si="151"/>
        <v>0</v>
      </c>
    </row>
    <row r="717" spans="1:70" ht="13.5" customHeight="1">
      <c r="A717" s="1182" t="s">
        <v>1803</v>
      </c>
      <c r="B717" s="1182" t="s">
        <v>1804</v>
      </c>
      <c r="C717" s="1182" t="s">
        <v>1639</v>
      </c>
      <c r="D717" s="1182" t="s">
        <v>1967</v>
      </c>
      <c r="E717" s="1182" t="s">
        <v>1968</v>
      </c>
      <c r="F717" s="1182" t="s">
        <v>2738</v>
      </c>
      <c r="G717" s="1182" t="s">
        <v>2738</v>
      </c>
      <c r="H717" s="1182" t="s">
        <v>4038</v>
      </c>
      <c r="I717" s="1182" t="s">
        <v>1809</v>
      </c>
      <c r="J717" s="1182" t="s">
        <v>4039</v>
      </c>
      <c r="K717" s="1182" t="s">
        <v>1811</v>
      </c>
      <c r="L717" s="1182" t="s">
        <v>1812</v>
      </c>
      <c r="M717" s="1182" t="s">
        <v>1803</v>
      </c>
      <c r="N717" s="1182" t="s">
        <v>2922</v>
      </c>
      <c r="O717" s="1182" t="s">
        <v>1554</v>
      </c>
      <c r="P717" s="1182" t="s">
        <v>1563</v>
      </c>
      <c r="Q717" s="1182" t="s">
        <v>1562</v>
      </c>
      <c r="R717" s="1182" t="s">
        <v>1561</v>
      </c>
      <c r="S717" s="1182" t="s">
        <v>1639</v>
      </c>
      <c r="T717" s="1182" t="s">
        <v>1814</v>
      </c>
      <c r="U717" s="1182" t="s">
        <v>1815</v>
      </c>
      <c r="V717" s="1182">
        <v>0</v>
      </c>
      <c r="W717" s="1182">
        <v>0</v>
      </c>
      <c r="X717" s="1182">
        <v>0</v>
      </c>
      <c r="Y717" s="1183">
        <v>4770</v>
      </c>
      <c r="Z717" s="1182" t="s">
        <v>2923</v>
      </c>
      <c r="AA717" s="1182" t="s">
        <v>2924</v>
      </c>
      <c r="AB717" s="1182">
        <v>4770</v>
      </c>
      <c r="AC717" s="1182" t="s">
        <v>2925</v>
      </c>
      <c r="AD717" s="1182" t="s">
        <v>1561</v>
      </c>
      <c r="AE717" s="1182">
        <v>4770</v>
      </c>
      <c r="AF717" s="1182" t="s">
        <v>3082</v>
      </c>
      <c r="AG717" s="1182" t="s">
        <v>1944</v>
      </c>
      <c r="AH717" s="1182">
        <v>0</v>
      </c>
      <c r="AI717" s="1182">
        <v>4770</v>
      </c>
      <c r="AJ717" s="1182" t="s">
        <v>3162</v>
      </c>
      <c r="AL717" s="1186" t="s">
        <v>4040</v>
      </c>
      <c r="AM717" s="1182">
        <v>2</v>
      </c>
      <c r="AN717" s="1182">
        <v>21</v>
      </c>
      <c r="AO717" s="1182">
        <v>0</v>
      </c>
      <c r="AP717" s="1182">
        <v>0</v>
      </c>
      <c r="AQ717" s="1182" t="s">
        <v>1639</v>
      </c>
      <c r="AS717" s="1186">
        <v>21</v>
      </c>
      <c r="AT717" s="1186">
        <v>0</v>
      </c>
      <c r="AV717" s="1183">
        <v>4770</v>
      </c>
      <c r="AW717" s="1183">
        <v>0</v>
      </c>
      <c r="AX717" s="1183">
        <v>0</v>
      </c>
      <c r="AY717" s="1538">
        <v>4770</v>
      </c>
      <c r="AZ717" s="1183">
        <v>0</v>
      </c>
      <c r="BA717" s="1183">
        <v>0</v>
      </c>
      <c r="BB717" s="1540">
        <v>0</v>
      </c>
      <c r="BC717" s="1540">
        <v>4770</v>
      </c>
      <c r="BD717" s="1540">
        <v>0</v>
      </c>
      <c r="BF717" s="1539">
        <f t="shared" si="142"/>
        <v>4770</v>
      </c>
      <c r="BG717" s="1539">
        <f t="shared" si="143"/>
        <v>0</v>
      </c>
      <c r="BH717" s="1539">
        <f t="shared" si="144"/>
        <v>0</v>
      </c>
      <c r="BI717" s="1539">
        <f t="shared" si="145"/>
        <v>4770</v>
      </c>
      <c r="BJ717" s="1539">
        <f t="shared" si="146"/>
        <v>0</v>
      </c>
      <c r="BK717" s="1539">
        <f t="shared" si="147"/>
        <v>0</v>
      </c>
      <c r="BL717" s="1539">
        <f t="shared" si="148"/>
        <v>0</v>
      </c>
      <c r="BM717" s="1539">
        <f t="shared" si="149"/>
        <v>4770</v>
      </c>
      <c r="BO717" s="1183"/>
      <c r="BQ717" s="1182">
        <f t="shared" si="150"/>
        <v>0</v>
      </c>
      <c r="BR717" s="1182">
        <f t="shared" si="151"/>
        <v>0</v>
      </c>
    </row>
    <row r="718" spans="1:70" ht="13.5" customHeight="1">
      <c r="A718" s="1182" t="s">
        <v>1803</v>
      </c>
      <c r="B718" s="1182" t="s">
        <v>1804</v>
      </c>
      <c r="C718" s="1182" t="s">
        <v>1639</v>
      </c>
      <c r="D718" s="1182" t="s">
        <v>1967</v>
      </c>
      <c r="E718" s="1182" t="s">
        <v>1968</v>
      </c>
      <c r="F718" s="1182" t="s">
        <v>2738</v>
      </c>
      <c r="G718" s="1182" t="s">
        <v>2738</v>
      </c>
      <c r="H718" s="1182" t="s">
        <v>4041</v>
      </c>
      <c r="I718" s="1182" t="s">
        <v>1809</v>
      </c>
      <c r="J718" s="1182" t="s">
        <v>4042</v>
      </c>
      <c r="K718" s="1182" t="s">
        <v>1811</v>
      </c>
      <c r="L718" s="1182" t="s">
        <v>1812</v>
      </c>
      <c r="M718" s="1182" t="s">
        <v>1803</v>
      </c>
      <c r="N718" s="1182" t="s">
        <v>2922</v>
      </c>
      <c r="O718" s="1182" t="s">
        <v>1554</v>
      </c>
      <c r="P718" s="1182" t="s">
        <v>1563</v>
      </c>
      <c r="Q718" s="1182" t="s">
        <v>1562</v>
      </c>
      <c r="R718" s="1182" t="s">
        <v>1561</v>
      </c>
      <c r="S718" s="1182" t="s">
        <v>1639</v>
      </c>
      <c r="T718" s="1182" t="s">
        <v>1814</v>
      </c>
      <c r="U718" s="1182" t="s">
        <v>1815</v>
      </c>
      <c r="V718" s="1182">
        <v>0</v>
      </c>
      <c r="W718" s="1182">
        <v>0</v>
      </c>
      <c r="X718" s="1182">
        <v>0</v>
      </c>
      <c r="Y718" s="1183">
        <v>286</v>
      </c>
      <c r="Z718" s="1182" t="s">
        <v>2923</v>
      </c>
      <c r="AA718" s="1182" t="s">
        <v>2924</v>
      </c>
      <c r="AB718" s="1182">
        <v>286</v>
      </c>
      <c r="AC718" s="1182" t="s">
        <v>2925</v>
      </c>
      <c r="AD718" s="1182" t="s">
        <v>1561</v>
      </c>
      <c r="AE718" s="1182">
        <v>286</v>
      </c>
      <c r="AF718" s="1182" t="s">
        <v>3082</v>
      </c>
      <c r="AG718" s="1182" t="s">
        <v>1944</v>
      </c>
      <c r="AH718" s="1182">
        <v>0</v>
      </c>
      <c r="AI718" s="1182">
        <v>286</v>
      </c>
      <c r="AJ718" s="1182" t="s">
        <v>3162</v>
      </c>
      <c r="AL718" s="1186" t="s">
        <v>4043</v>
      </c>
      <c r="AM718" s="1182">
        <v>2</v>
      </c>
      <c r="AN718" s="1182">
        <v>21</v>
      </c>
      <c r="AO718" s="1182">
        <v>0</v>
      </c>
      <c r="AP718" s="1182">
        <v>0</v>
      </c>
      <c r="AQ718" s="1182" t="s">
        <v>1639</v>
      </c>
      <c r="AS718" s="1186">
        <v>21</v>
      </c>
      <c r="AT718" s="1186">
        <v>0</v>
      </c>
      <c r="AV718" s="1183">
        <v>286</v>
      </c>
      <c r="AW718" s="1183">
        <v>0</v>
      </c>
      <c r="AX718" s="1183">
        <v>0</v>
      </c>
      <c r="AY718" s="1538">
        <v>286</v>
      </c>
      <c r="AZ718" s="1183">
        <v>0</v>
      </c>
      <c r="BA718" s="1183">
        <v>0</v>
      </c>
      <c r="BB718" s="1540">
        <v>0</v>
      </c>
      <c r="BC718" s="1540">
        <v>286</v>
      </c>
      <c r="BD718" s="1540">
        <v>0</v>
      </c>
      <c r="BF718" s="1539">
        <f t="shared" si="142"/>
        <v>286</v>
      </c>
      <c r="BG718" s="1539">
        <f t="shared" si="143"/>
        <v>0</v>
      </c>
      <c r="BH718" s="1539">
        <f t="shared" si="144"/>
        <v>0</v>
      </c>
      <c r="BI718" s="1539">
        <f t="shared" si="145"/>
        <v>286</v>
      </c>
      <c r="BJ718" s="1539">
        <f t="shared" si="146"/>
        <v>0</v>
      </c>
      <c r="BK718" s="1539">
        <f t="shared" si="147"/>
        <v>0</v>
      </c>
      <c r="BL718" s="1539">
        <f t="shared" si="148"/>
        <v>0</v>
      </c>
      <c r="BM718" s="1539">
        <f t="shared" si="149"/>
        <v>286</v>
      </c>
      <c r="BO718" s="1183"/>
      <c r="BQ718" s="1182">
        <f t="shared" si="150"/>
        <v>0</v>
      </c>
      <c r="BR718" s="1182">
        <f t="shared" si="151"/>
        <v>0</v>
      </c>
    </row>
    <row r="719" spans="1:70" ht="13.5" customHeight="1">
      <c r="A719" s="1182" t="s">
        <v>1803</v>
      </c>
      <c r="B719" s="1182" t="s">
        <v>1804</v>
      </c>
      <c r="C719" s="1182" t="s">
        <v>1639</v>
      </c>
      <c r="D719" s="1182" t="s">
        <v>1967</v>
      </c>
      <c r="E719" s="1182" t="s">
        <v>1968</v>
      </c>
      <c r="F719" s="1182" t="s">
        <v>2738</v>
      </c>
      <c r="G719" s="1182" t="s">
        <v>2738</v>
      </c>
      <c r="H719" s="1182" t="s">
        <v>4044</v>
      </c>
      <c r="I719" s="1182" t="s">
        <v>1809</v>
      </c>
      <c r="J719" s="1182" t="s">
        <v>4045</v>
      </c>
      <c r="K719" s="1182" t="s">
        <v>1811</v>
      </c>
      <c r="L719" s="1182" t="s">
        <v>1812</v>
      </c>
      <c r="M719" s="1182" t="s">
        <v>1803</v>
      </c>
      <c r="N719" s="1182" t="s">
        <v>2922</v>
      </c>
      <c r="O719" s="1182" t="s">
        <v>1554</v>
      </c>
      <c r="P719" s="1182" t="s">
        <v>1563</v>
      </c>
      <c r="Q719" s="1182" t="s">
        <v>1562</v>
      </c>
      <c r="R719" s="1182" t="s">
        <v>1561</v>
      </c>
      <c r="S719" s="1182" t="s">
        <v>1639</v>
      </c>
      <c r="T719" s="1182" t="s">
        <v>1814</v>
      </c>
      <c r="U719" s="1182" t="s">
        <v>1815</v>
      </c>
      <c r="V719" s="1182">
        <v>0</v>
      </c>
      <c r="W719" s="1182">
        <v>0</v>
      </c>
      <c r="X719" s="1182">
        <v>0</v>
      </c>
      <c r="Y719" s="1183">
        <v>257</v>
      </c>
      <c r="Z719" s="1182" t="s">
        <v>2923</v>
      </c>
      <c r="AA719" s="1182" t="s">
        <v>2924</v>
      </c>
      <c r="AB719" s="1182">
        <v>257</v>
      </c>
      <c r="AC719" s="1182" t="s">
        <v>2925</v>
      </c>
      <c r="AD719" s="1182" t="s">
        <v>1561</v>
      </c>
      <c r="AE719" s="1182">
        <v>257</v>
      </c>
      <c r="AF719" s="1182" t="s">
        <v>3082</v>
      </c>
      <c r="AG719" s="1182" t="s">
        <v>1944</v>
      </c>
      <c r="AH719" s="1182">
        <v>0</v>
      </c>
      <c r="AI719" s="1182">
        <v>257</v>
      </c>
      <c r="AJ719" s="1182" t="s">
        <v>3162</v>
      </c>
      <c r="AL719" s="1186" t="s">
        <v>4046</v>
      </c>
      <c r="AM719" s="1182">
        <v>2</v>
      </c>
      <c r="AN719" s="1182">
        <v>21</v>
      </c>
      <c r="AO719" s="1182">
        <v>0</v>
      </c>
      <c r="AP719" s="1182">
        <v>0</v>
      </c>
      <c r="AQ719" s="1182" t="s">
        <v>1639</v>
      </c>
      <c r="AS719" s="1186">
        <v>21</v>
      </c>
      <c r="AT719" s="1186">
        <v>0</v>
      </c>
      <c r="AV719" s="1183">
        <v>257</v>
      </c>
      <c r="AW719" s="1183">
        <v>0</v>
      </c>
      <c r="AX719" s="1183">
        <v>0</v>
      </c>
      <c r="AY719" s="1538">
        <v>257</v>
      </c>
      <c r="AZ719" s="1183">
        <v>0</v>
      </c>
      <c r="BA719" s="1183">
        <v>0</v>
      </c>
      <c r="BB719" s="1540">
        <v>0</v>
      </c>
      <c r="BC719" s="1540">
        <v>257</v>
      </c>
      <c r="BD719" s="1540">
        <v>0</v>
      </c>
      <c r="BF719" s="1539">
        <f t="shared" si="142"/>
        <v>257</v>
      </c>
      <c r="BG719" s="1539">
        <f t="shared" si="143"/>
        <v>0</v>
      </c>
      <c r="BH719" s="1539">
        <f t="shared" si="144"/>
        <v>0</v>
      </c>
      <c r="BI719" s="1539">
        <f t="shared" si="145"/>
        <v>257</v>
      </c>
      <c r="BJ719" s="1539">
        <f t="shared" si="146"/>
        <v>0</v>
      </c>
      <c r="BK719" s="1539">
        <f t="shared" si="147"/>
        <v>0</v>
      </c>
      <c r="BL719" s="1539">
        <f t="shared" si="148"/>
        <v>0</v>
      </c>
      <c r="BM719" s="1539">
        <f t="shared" si="149"/>
        <v>257</v>
      </c>
      <c r="BO719" s="1183"/>
      <c r="BQ719" s="1182">
        <f t="shared" si="150"/>
        <v>0</v>
      </c>
      <c r="BR719" s="1182">
        <f t="shared" si="151"/>
        <v>0</v>
      </c>
    </row>
    <row r="720" spans="1:70" ht="13.5" customHeight="1">
      <c r="A720" s="1182" t="s">
        <v>1803</v>
      </c>
      <c r="B720" s="1182" t="s">
        <v>1804</v>
      </c>
      <c r="C720" s="1182" t="s">
        <v>1639</v>
      </c>
      <c r="D720" s="1182" t="s">
        <v>1967</v>
      </c>
      <c r="E720" s="1182" t="s">
        <v>1968</v>
      </c>
      <c r="F720" s="1182" t="s">
        <v>2738</v>
      </c>
      <c r="G720" s="1182" t="s">
        <v>2738</v>
      </c>
      <c r="H720" s="1182" t="s">
        <v>4047</v>
      </c>
      <c r="I720" s="1182" t="s">
        <v>1809</v>
      </c>
      <c r="J720" s="1182" t="s">
        <v>4048</v>
      </c>
      <c r="K720" s="1182" t="s">
        <v>1811</v>
      </c>
      <c r="L720" s="1182" t="s">
        <v>1812</v>
      </c>
      <c r="M720" s="1182" t="s">
        <v>1803</v>
      </c>
      <c r="N720" s="1182" t="s">
        <v>2922</v>
      </c>
      <c r="O720" s="1182" t="s">
        <v>1554</v>
      </c>
      <c r="P720" s="1182" t="s">
        <v>1563</v>
      </c>
      <c r="Q720" s="1182" t="s">
        <v>1562</v>
      </c>
      <c r="R720" s="1182" t="s">
        <v>1561</v>
      </c>
      <c r="S720" s="1182" t="s">
        <v>1639</v>
      </c>
      <c r="T720" s="1182" t="s">
        <v>1814</v>
      </c>
      <c r="U720" s="1182" t="s">
        <v>1815</v>
      </c>
      <c r="V720" s="1182">
        <v>0</v>
      </c>
      <c r="W720" s="1182">
        <v>0</v>
      </c>
      <c r="X720" s="1182">
        <v>0</v>
      </c>
      <c r="Y720" s="1183">
        <v>144184</v>
      </c>
      <c r="Z720" s="1182" t="s">
        <v>2923</v>
      </c>
      <c r="AA720" s="1182" t="s">
        <v>2924</v>
      </c>
      <c r="AB720" s="1182">
        <v>144184</v>
      </c>
      <c r="AC720" s="1182" t="s">
        <v>2925</v>
      </c>
      <c r="AD720" s="1182" t="s">
        <v>1561</v>
      </c>
      <c r="AE720" s="1182">
        <v>144184</v>
      </c>
      <c r="AF720" s="1182" t="s">
        <v>3082</v>
      </c>
      <c r="AG720" s="1182" t="s">
        <v>1944</v>
      </c>
      <c r="AH720" s="1182">
        <v>0</v>
      </c>
      <c r="AI720" s="1182">
        <v>144184</v>
      </c>
      <c r="AJ720" s="1182" t="s">
        <v>3271</v>
      </c>
      <c r="AL720" s="1186" t="s">
        <v>4049</v>
      </c>
      <c r="AM720" s="1182">
        <v>2</v>
      </c>
      <c r="AN720" s="1182">
        <v>21</v>
      </c>
      <c r="AO720" s="1182">
        <v>0</v>
      </c>
      <c r="AP720" s="1182">
        <v>0</v>
      </c>
      <c r="AQ720" s="1182" t="s">
        <v>1639</v>
      </c>
      <c r="AS720" s="1186">
        <v>21</v>
      </c>
      <c r="AT720" s="1186">
        <v>0</v>
      </c>
      <c r="AV720" s="1183">
        <v>144184</v>
      </c>
      <c r="AW720" s="1183">
        <v>0</v>
      </c>
      <c r="AX720" s="1183">
        <v>0</v>
      </c>
      <c r="AY720" s="1538">
        <v>144184</v>
      </c>
      <c r="AZ720" s="1183">
        <v>0</v>
      </c>
      <c r="BA720" s="1183">
        <v>0</v>
      </c>
      <c r="BB720" s="1540">
        <v>0</v>
      </c>
      <c r="BC720" s="1540">
        <v>144184</v>
      </c>
      <c r="BD720" s="1540">
        <v>0</v>
      </c>
      <c r="BF720" s="1539">
        <f t="shared" si="142"/>
        <v>144184</v>
      </c>
      <c r="BG720" s="1539">
        <f t="shared" si="143"/>
        <v>0</v>
      </c>
      <c r="BH720" s="1539">
        <f t="shared" si="144"/>
        <v>0</v>
      </c>
      <c r="BI720" s="1539">
        <f t="shared" si="145"/>
        <v>144184</v>
      </c>
      <c r="BJ720" s="1539">
        <f t="shared" si="146"/>
        <v>0</v>
      </c>
      <c r="BK720" s="1539">
        <f t="shared" si="147"/>
        <v>0</v>
      </c>
      <c r="BL720" s="1539">
        <f t="shared" si="148"/>
        <v>0</v>
      </c>
      <c r="BM720" s="1539">
        <f t="shared" si="149"/>
        <v>144184</v>
      </c>
      <c r="BO720" s="1183"/>
      <c r="BQ720" s="1182">
        <f t="shared" si="150"/>
        <v>0</v>
      </c>
      <c r="BR720" s="1182">
        <f t="shared" si="151"/>
        <v>0</v>
      </c>
    </row>
    <row r="721" spans="1:70" ht="13.5" customHeight="1">
      <c r="A721" s="1182" t="s">
        <v>1803</v>
      </c>
      <c r="B721" s="1182" t="s">
        <v>1804</v>
      </c>
      <c r="C721" s="1182" t="s">
        <v>1639</v>
      </c>
      <c r="D721" s="1182" t="s">
        <v>1967</v>
      </c>
      <c r="E721" s="1182" t="s">
        <v>1968</v>
      </c>
      <c r="F721" s="1182" t="s">
        <v>2738</v>
      </c>
      <c r="G721" s="1182" t="s">
        <v>2738</v>
      </c>
      <c r="H721" s="1182" t="s">
        <v>4050</v>
      </c>
      <c r="I721" s="1182" t="s">
        <v>1809</v>
      </c>
      <c r="J721" s="1182" t="s">
        <v>4051</v>
      </c>
      <c r="K721" s="1182" t="s">
        <v>1811</v>
      </c>
      <c r="L721" s="1182" t="s">
        <v>1812</v>
      </c>
      <c r="M721" s="1182" t="s">
        <v>1803</v>
      </c>
      <c r="N721" s="1182" t="s">
        <v>2922</v>
      </c>
      <c r="O721" s="1182" t="s">
        <v>1554</v>
      </c>
      <c r="P721" s="1182" t="s">
        <v>1563</v>
      </c>
      <c r="Q721" s="1182" t="s">
        <v>1562</v>
      </c>
      <c r="R721" s="1182" t="s">
        <v>1561</v>
      </c>
      <c r="S721" s="1182" t="s">
        <v>1639</v>
      </c>
      <c r="T721" s="1182" t="s">
        <v>1814</v>
      </c>
      <c r="U721" s="1182" t="s">
        <v>1815</v>
      </c>
      <c r="V721" s="1182">
        <v>0</v>
      </c>
      <c r="W721" s="1182">
        <v>0</v>
      </c>
      <c r="X721" s="1182">
        <v>0</v>
      </c>
      <c r="Y721" s="1183">
        <v>5160</v>
      </c>
      <c r="Z721" s="1182" t="s">
        <v>2923</v>
      </c>
      <c r="AA721" s="1182" t="s">
        <v>2924</v>
      </c>
      <c r="AB721" s="1182">
        <v>5160</v>
      </c>
      <c r="AC721" s="1182" t="s">
        <v>2925</v>
      </c>
      <c r="AD721" s="1182" t="s">
        <v>1561</v>
      </c>
      <c r="AE721" s="1182">
        <v>5160</v>
      </c>
      <c r="AF721" s="1182" t="s">
        <v>3082</v>
      </c>
      <c r="AG721" s="1182" t="s">
        <v>1944</v>
      </c>
      <c r="AH721" s="1182">
        <v>0</v>
      </c>
      <c r="AI721" s="1182">
        <v>5160</v>
      </c>
      <c r="AJ721" s="1182" t="s">
        <v>4052</v>
      </c>
      <c r="AL721" s="1186" t="s">
        <v>4053</v>
      </c>
      <c r="AM721" s="1182">
        <v>2</v>
      </c>
      <c r="AN721" s="1182">
        <v>21</v>
      </c>
      <c r="AO721" s="1182">
        <v>0</v>
      </c>
      <c r="AP721" s="1182">
        <v>0</v>
      </c>
      <c r="AQ721" s="1182" t="s">
        <v>1639</v>
      </c>
      <c r="AS721" s="1186">
        <v>21</v>
      </c>
      <c r="AT721" s="1186">
        <v>0</v>
      </c>
      <c r="AV721" s="1183">
        <v>5160</v>
      </c>
      <c r="AW721" s="1183">
        <v>0</v>
      </c>
      <c r="AX721" s="1183">
        <v>0</v>
      </c>
      <c r="AY721" s="1538">
        <v>5160</v>
      </c>
      <c r="AZ721" s="1183">
        <v>0</v>
      </c>
      <c r="BA721" s="1183">
        <v>0</v>
      </c>
      <c r="BB721" s="1540">
        <v>0</v>
      </c>
      <c r="BC721" s="1540">
        <v>5160</v>
      </c>
      <c r="BD721" s="1540">
        <v>0</v>
      </c>
      <c r="BF721" s="1539">
        <f t="shared" si="142"/>
        <v>5160</v>
      </c>
      <c r="BG721" s="1539">
        <f t="shared" si="143"/>
        <v>0</v>
      </c>
      <c r="BH721" s="1539">
        <f t="shared" si="144"/>
        <v>0</v>
      </c>
      <c r="BI721" s="1539">
        <f t="shared" si="145"/>
        <v>5160</v>
      </c>
      <c r="BJ721" s="1539">
        <f t="shared" si="146"/>
        <v>0</v>
      </c>
      <c r="BK721" s="1539">
        <f t="shared" si="147"/>
        <v>0</v>
      </c>
      <c r="BL721" s="1539">
        <f t="shared" si="148"/>
        <v>0</v>
      </c>
      <c r="BM721" s="1539">
        <f t="shared" si="149"/>
        <v>5160</v>
      </c>
      <c r="BO721" s="1183"/>
      <c r="BQ721" s="1182">
        <f t="shared" si="150"/>
        <v>0</v>
      </c>
      <c r="BR721" s="1182">
        <f t="shared" si="151"/>
        <v>0</v>
      </c>
    </row>
    <row r="722" spans="1:70" ht="13.5" customHeight="1">
      <c r="A722" s="1182" t="s">
        <v>1803</v>
      </c>
      <c r="B722" s="1182" t="s">
        <v>1804</v>
      </c>
      <c r="C722" s="1182" t="s">
        <v>1639</v>
      </c>
      <c r="D722" s="1182" t="s">
        <v>1967</v>
      </c>
      <c r="E722" s="1182" t="s">
        <v>1968</v>
      </c>
      <c r="F722" s="1182" t="s">
        <v>2738</v>
      </c>
      <c r="G722" s="1182" t="s">
        <v>2738</v>
      </c>
      <c r="H722" s="1182" t="s">
        <v>4054</v>
      </c>
      <c r="I722" s="1182" t="s">
        <v>1809</v>
      </c>
      <c r="J722" s="1182" t="s">
        <v>4055</v>
      </c>
      <c r="K722" s="1182" t="s">
        <v>1811</v>
      </c>
      <c r="L722" s="1182" t="s">
        <v>1812</v>
      </c>
      <c r="M722" s="1182" t="s">
        <v>1803</v>
      </c>
      <c r="N722" s="1182" t="s">
        <v>2922</v>
      </c>
      <c r="O722" s="1182" t="s">
        <v>1554</v>
      </c>
      <c r="P722" s="1182" t="s">
        <v>1563</v>
      </c>
      <c r="Q722" s="1182" t="s">
        <v>1562</v>
      </c>
      <c r="R722" s="1182" t="s">
        <v>1561</v>
      </c>
      <c r="S722" s="1182" t="s">
        <v>1639</v>
      </c>
      <c r="T722" s="1182" t="s">
        <v>1814</v>
      </c>
      <c r="U722" s="1182" t="s">
        <v>1815</v>
      </c>
      <c r="V722" s="1182">
        <v>0</v>
      </c>
      <c r="W722" s="1182">
        <v>0</v>
      </c>
      <c r="X722" s="1182">
        <v>0</v>
      </c>
      <c r="Y722" s="1183">
        <v>9516</v>
      </c>
      <c r="Z722" s="1182" t="s">
        <v>2923</v>
      </c>
      <c r="AA722" s="1182" t="s">
        <v>2924</v>
      </c>
      <c r="AB722" s="1182">
        <v>9516</v>
      </c>
      <c r="AC722" s="1182" t="s">
        <v>2925</v>
      </c>
      <c r="AD722" s="1182" t="s">
        <v>1561</v>
      </c>
      <c r="AE722" s="1182">
        <v>9516</v>
      </c>
      <c r="AF722" s="1182" t="s">
        <v>3082</v>
      </c>
      <c r="AG722" s="1182" t="s">
        <v>1944</v>
      </c>
      <c r="AH722" s="1182">
        <v>0</v>
      </c>
      <c r="AI722" s="1182">
        <v>9516</v>
      </c>
      <c r="AJ722" s="1182" t="s">
        <v>4056</v>
      </c>
      <c r="AL722" s="1186" t="s">
        <v>4057</v>
      </c>
      <c r="AM722" s="1182">
        <v>2</v>
      </c>
      <c r="AN722" s="1182">
        <v>21</v>
      </c>
      <c r="AO722" s="1182">
        <v>0</v>
      </c>
      <c r="AP722" s="1182">
        <v>0</v>
      </c>
      <c r="AQ722" s="1182" t="s">
        <v>1639</v>
      </c>
      <c r="AS722" s="1186">
        <v>21</v>
      </c>
      <c r="AT722" s="1186">
        <v>0</v>
      </c>
      <c r="AV722" s="1183">
        <v>9516</v>
      </c>
      <c r="AW722" s="1183">
        <v>0</v>
      </c>
      <c r="AX722" s="1183">
        <v>0</v>
      </c>
      <c r="AY722" s="1538">
        <v>9516</v>
      </c>
      <c r="AZ722" s="1183">
        <v>0</v>
      </c>
      <c r="BA722" s="1183">
        <v>0</v>
      </c>
      <c r="BB722" s="1540">
        <v>0</v>
      </c>
      <c r="BC722" s="1540">
        <v>9516</v>
      </c>
      <c r="BD722" s="1540">
        <v>0</v>
      </c>
      <c r="BF722" s="1539">
        <f t="shared" si="142"/>
        <v>9516</v>
      </c>
      <c r="BG722" s="1539">
        <f t="shared" si="143"/>
        <v>0</v>
      </c>
      <c r="BH722" s="1539">
        <f t="shared" si="144"/>
        <v>0</v>
      </c>
      <c r="BI722" s="1539">
        <f t="shared" si="145"/>
        <v>9516</v>
      </c>
      <c r="BJ722" s="1539">
        <f t="shared" si="146"/>
        <v>0</v>
      </c>
      <c r="BK722" s="1539">
        <f t="shared" si="147"/>
        <v>0</v>
      </c>
      <c r="BL722" s="1539">
        <f t="shared" si="148"/>
        <v>0</v>
      </c>
      <c r="BM722" s="1539">
        <f t="shared" si="149"/>
        <v>9516</v>
      </c>
      <c r="BO722" s="1183"/>
      <c r="BQ722" s="1182">
        <f t="shared" si="150"/>
        <v>0</v>
      </c>
      <c r="BR722" s="1182">
        <f t="shared" si="151"/>
        <v>0</v>
      </c>
    </row>
    <row r="723" spans="1:70" ht="13.5" customHeight="1">
      <c r="A723" s="1182" t="s">
        <v>1803</v>
      </c>
      <c r="B723" s="1182" t="s">
        <v>1804</v>
      </c>
      <c r="C723" s="1182" t="s">
        <v>1639</v>
      </c>
      <c r="D723" s="1182" t="s">
        <v>1967</v>
      </c>
      <c r="E723" s="1182" t="s">
        <v>1968</v>
      </c>
      <c r="F723" s="1182" t="s">
        <v>2738</v>
      </c>
      <c r="G723" s="1182" t="s">
        <v>2738</v>
      </c>
      <c r="H723" s="1182" t="s">
        <v>4058</v>
      </c>
      <c r="I723" s="1182" t="s">
        <v>1809</v>
      </c>
      <c r="J723" s="1182" t="s">
        <v>4059</v>
      </c>
      <c r="K723" s="1182" t="s">
        <v>1811</v>
      </c>
      <c r="L723" s="1182" t="s">
        <v>1812</v>
      </c>
      <c r="M723" s="1182" t="s">
        <v>1803</v>
      </c>
      <c r="N723" s="1182" t="s">
        <v>2922</v>
      </c>
      <c r="O723" s="1182" t="s">
        <v>1554</v>
      </c>
      <c r="P723" s="1182" t="s">
        <v>1563</v>
      </c>
      <c r="Q723" s="1182" t="s">
        <v>1562</v>
      </c>
      <c r="R723" s="1182" t="s">
        <v>1561</v>
      </c>
      <c r="S723" s="1182" t="s">
        <v>1639</v>
      </c>
      <c r="T723" s="1182" t="s">
        <v>1814</v>
      </c>
      <c r="U723" s="1182" t="s">
        <v>1815</v>
      </c>
      <c r="V723" s="1182">
        <v>0</v>
      </c>
      <c r="W723" s="1182">
        <v>0</v>
      </c>
      <c r="X723" s="1182">
        <v>0</v>
      </c>
      <c r="Y723" s="1183">
        <v>3057</v>
      </c>
      <c r="Z723" s="1182" t="s">
        <v>2923</v>
      </c>
      <c r="AA723" s="1182" t="s">
        <v>2924</v>
      </c>
      <c r="AB723" s="1182">
        <v>3057</v>
      </c>
      <c r="AC723" s="1182" t="s">
        <v>2925</v>
      </c>
      <c r="AD723" s="1182" t="s">
        <v>1561</v>
      </c>
      <c r="AE723" s="1182">
        <v>3057</v>
      </c>
      <c r="AF723" s="1182" t="s">
        <v>3082</v>
      </c>
      <c r="AG723" s="1182" t="s">
        <v>1944</v>
      </c>
      <c r="AH723" s="1182">
        <v>0</v>
      </c>
      <c r="AI723" s="1182">
        <v>3057</v>
      </c>
      <c r="AJ723" s="1182" t="s">
        <v>4060</v>
      </c>
      <c r="AL723" s="1186" t="s">
        <v>4061</v>
      </c>
      <c r="AM723" s="1182">
        <v>2</v>
      </c>
      <c r="AN723" s="1182">
        <v>21</v>
      </c>
      <c r="AO723" s="1182">
        <v>0</v>
      </c>
      <c r="AP723" s="1182">
        <v>0</v>
      </c>
      <c r="AQ723" s="1182" t="s">
        <v>1639</v>
      </c>
      <c r="AS723" s="1186">
        <v>21</v>
      </c>
      <c r="AT723" s="1186">
        <v>0</v>
      </c>
      <c r="AV723" s="1183">
        <v>3057</v>
      </c>
      <c r="AW723" s="1183">
        <v>0</v>
      </c>
      <c r="AX723" s="1183">
        <v>0</v>
      </c>
      <c r="AY723" s="1538">
        <v>3057</v>
      </c>
      <c r="AZ723" s="1183">
        <v>0</v>
      </c>
      <c r="BA723" s="1183">
        <v>0</v>
      </c>
      <c r="BB723" s="1540">
        <v>0</v>
      </c>
      <c r="BC723" s="1540">
        <v>3057</v>
      </c>
      <c r="BD723" s="1540">
        <v>0</v>
      </c>
      <c r="BF723" s="1539">
        <f t="shared" si="142"/>
        <v>3057</v>
      </c>
      <c r="BG723" s="1539">
        <f t="shared" si="143"/>
        <v>0</v>
      </c>
      <c r="BH723" s="1539">
        <f t="shared" si="144"/>
        <v>0</v>
      </c>
      <c r="BI723" s="1539">
        <f t="shared" si="145"/>
        <v>3057</v>
      </c>
      <c r="BJ723" s="1539">
        <f t="shared" si="146"/>
        <v>0</v>
      </c>
      <c r="BK723" s="1539">
        <f t="shared" si="147"/>
        <v>0</v>
      </c>
      <c r="BL723" s="1539">
        <f t="shared" si="148"/>
        <v>0</v>
      </c>
      <c r="BM723" s="1539">
        <f t="shared" si="149"/>
        <v>3057</v>
      </c>
      <c r="BO723" s="1183"/>
      <c r="BQ723" s="1182">
        <f t="shared" si="150"/>
        <v>0</v>
      </c>
      <c r="BR723" s="1182">
        <f t="shared" si="151"/>
        <v>0</v>
      </c>
    </row>
    <row r="724" spans="1:70" ht="13.5" customHeight="1">
      <c r="A724" s="1182" t="s">
        <v>1803</v>
      </c>
      <c r="B724" s="1182" t="s">
        <v>1804</v>
      </c>
      <c r="C724" s="1182" t="s">
        <v>1639</v>
      </c>
      <c r="D724" s="1182" t="s">
        <v>1967</v>
      </c>
      <c r="E724" s="1182" t="s">
        <v>1968</v>
      </c>
      <c r="F724" s="1182" t="s">
        <v>2738</v>
      </c>
      <c r="G724" s="1182" t="s">
        <v>2738</v>
      </c>
      <c r="H724" s="1182" t="s">
        <v>4062</v>
      </c>
      <c r="I724" s="1182" t="s">
        <v>1809</v>
      </c>
      <c r="J724" s="1182" t="s">
        <v>4063</v>
      </c>
      <c r="K724" s="1182" t="s">
        <v>1811</v>
      </c>
      <c r="L724" s="1182" t="s">
        <v>1812</v>
      </c>
      <c r="M724" s="1182" t="s">
        <v>1803</v>
      </c>
      <c r="N724" s="1182" t="s">
        <v>2922</v>
      </c>
      <c r="O724" s="1182" t="s">
        <v>1554</v>
      </c>
      <c r="P724" s="1182" t="s">
        <v>1563</v>
      </c>
      <c r="Q724" s="1182" t="s">
        <v>1562</v>
      </c>
      <c r="R724" s="1182" t="s">
        <v>1561</v>
      </c>
      <c r="S724" s="1182" t="s">
        <v>1639</v>
      </c>
      <c r="T724" s="1182" t="s">
        <v>1814</v>
      </c>
      <c r="U724" s="1182" t="s">
        <v>1815</v>
      </c>
      <c r="V724" s="1182">
        <v>0</v>
      </c>
      <c r="W724" s="1182">
        <v>0</v>
      </c>
      <c r="X724" s="1182">
        <v>0</v>
      </c>
      <c r="Y724" s="1183">
        <v>91293</v>
      </c>
      <c r="Z724" s="1182" t="s">
        <v>2923</v>
      </c>
      <c r="AA724" s="1182" t="s">
        <v>2924</v>
      </c>
      <c r="AB724" s="1182">
        <v>91293</v>
      </c>
      <c r="AC724" s="1182" t="s">
        <v>2925</v>
      </c>
      <c r="AD724" s="1182" t="s">
        <v>1561</v>
      </c>
      <c r="AE724" s="1182">
        <v>91293</v>
      </c>
      <c r="AF724" s="1182" t="s">
        <v>3082</v>
      </c>
      <c r="AG724" s="1182" t="s">
        <v>1944</v>
      </c>
      <c r="AH724" s="1182">
        <v>0</v>
      </c>
      <c r="AI724" s="1182">
        <v>91293</v>
      </c>
      <c r="AJ724" s="1182" t="s">
        <v>3236</v>
      </c>
      <c r="AL724" s="1186" t="s">
        <v>4064</v>
      </c>
      <c r="AM724" s="1182">
        <v>2</v>
      </c>
      <c r="AN724" s="1182">
        <v>21</v>
      </c>
      <c r="AO724" s="1182">
        <v>0</v>
      </c>
      <c r="AP724" s="1182">
        <v>0</v>
      </c>
      <c r="AQ724" s="1182" t="s">
        <v>1639</v>
      </c>
      <c r="AS724" s="1186">
        <v>21</v>
      </c>
      <c r="AT724" s="1186">
        <v>0</v>
      </c>
      <c r="AV724" s="1183">
        <v>91293</v>
      </c>
      <c r="AW724" s="1183">
        <v>0</v>
      </c>
      <c r="AX724" s="1183">
        <v>0</v>
      </c>
      <c r="AY724" s="1538">
        <v>91293</v>
      </c>
      <c r="AZ724" s="1183">
        <v>0</v>
      </c>
      <c r="BA724" s="1183">
        <v>0</v>
      </c>
      <c r="BB724" s="1540">
        <v>0</v>
      </c>
      <c r="BC724" s="1540">
        <v>91293</v>
      </c>
      <c r="BD724" s="1540">
        <v>0</v>
      </c>
      <c r="BF724" s="1539">
        <f t="shared" si="142"/>
        <v>91293</v>
      </c>
      <c r="BG724" s="1539">
        <f t="shared" si="143"/>
        <v>0</v>
      </c>
      <c r="BH724" s="1539">
        <f t="shared" si="144"/>
        <v>0</v>
      </c>
      <c r="BI724" s="1539">
        <f t="shared" si="145"/>
        <v>91293</v>
      </c>
      <c r="BJ724" s="1539">
        <f t="shared" si="146"/>
        <v>0</v>
      </c>
      <c r="BK724" s="1539">
        <f t="shared" si="147"/>
        <v>0</v>
      </c>
      <c r="BL724" s="1539">
        <f t="shared" si="148"/>
        <v>0</v>
      </c>
      <c r="BM724" s="1539">
        <f t="shared" si="149"/>
        <v>91293</v>
      </c>
      <c r="BO724" s="1183"/>
      <c r="BQ724" s="1182">
        <f t="shared" si="150"/>
        <v>0</v>
      </c>
      <c r="BR724" s="1182">
        <f t="shared" si="151"/>
        <v>0</v>
      </c>
    </row>
    <row r="725" spans="1:70" ht="13.5" customHeight="1">
      <c r="A725" s="1182" t="s">
        <v>1803</v>
      </c>
      <c r="B725" s="1182" t="s">
        <v>1804</v>
      </c>
      <c r="C725" s="1182" t="s">
        <v>1639</v>
      </c>
      <c r="D725" s="1182" t="s">
        <v>1967</v>
      </c>
      <c r="E725" s="1182" t="s">
        <v>1968</v>
      </c>
      <c r="F725" s="1182" t="s">
        <v>2738</v>
      </c>
      <c r="G725" s="1182" t="s">
        <v>2738</v>
      </c>
      <c r="H725" s="1182" t="s">
        <v>4065</v>
      </c>
      <c r="I725" s="1182" t="s">
        <v>1809</v>
      </c>
      <c r="J725" s="1182" t="s">
        <v>4066</v>
      </c>
      <c r="K725" s="1182" t="s">
        <v>1811</v>
      </c>
      <c r="L725" s="1182" t="s">
        <v>1812</v>
      </c>
      <c r="M725" s="1182" t="s">
        <v>1803</v>
      </c>
      <c r="N725" s="1182" t="s">
        <v>2922</v>
      </c>
      <c r="O725" s="1182" t="s">
        <v>1554</v>
      </c>
      <c r="P725" s="1182" t="s">
        <v>1563</v>
      </c>
      <c r="Q725" s="1182" t="s">
        <v>1562</v>
      </c>
      <c r="R725" s="1182" t="s">
        <v>1561</v>
      </c>
      <c r="S725" s="1182" t="s">
        <v>1639</v>
      </c>
      <c r="T725" s="1182" t="s">
        <v>1814</v>
      </c>
      <c r="U725" s="1182" t="s">
        <v>1815</v>
      </c>
      <c r="V725" s="1182">
        <v>0</v>
      </c>
      <c r="W725" s="1182">
        <v>0</v>
      </c>
      <c r="X725" s="1182">
        <v>0</v>
      </c>
      <c r="Y725" s="1183">
        <v>416</v>
      </c>
      <c r="Z725" s="1182" t="s">
        <v>2923</v>
      </c>
      <c r="AA725" s="1182" t="s">
        <v>2924</v>
      </c>
      <c r="AB725" s="1182">
        <v>416</v>
      </c>
      <c r="AC725" s="1182" t="s">
        <v>2925</v>
      </c>
      <c r="AD725" s="1182" t="s">
        <v>1561</v>
      </c>
      <c r="AE725" s="1182">
        <v>416</v>
      </c>
      <c r="AF725" s="1182" t="s">
        <v>3082</v>
      </c>
      <c r="AG725" s="1182" t="s">
        <v>1944</v>
      </c>
      <c r="AH725" s="1182">
        <v>0</v>
      </c>
      <c r="AI725" s="1182">
        <v>416</v>
      </c>
      <c r="AJ725" s="1182" t="s">
        <v>4067</v>
      </c>
      <c r="AL725" s="1186" t="s">
        <v>4068</v>
      </c>
      <c r="AM725" s="1182">
        <v>2</v>
      </c>
      <c r="AN725" s="1182">
        <v>21</v>
      </c>
      <c r="AO725" s="1182">
        <v>0</v>
      </c>
      <c r="AP725" s="1182">
        <v>0</v>
      </c>
      <c r="AQ725" s="1182" t="s">
        <v>1639</v>
      </c>
      <c r="AS725" s="1186">
        <v>21</v>
      </c>
      <c r="AT725" s="1186">
        <v>0</v>
      </c>
      <c r="AV725" s="1183">
        <v>416</v>
      </c>
      <c r="AW725" s="1183">
        <v>0</v>
      </c>
      <c r="AX725" s="1183">
        <v>0</v>
      </c>
      <c r="AY725" s="1538">
        <v>416</v>
      </c>
      <c r="AZ725" s="1183">
        <v>0</v>
      </c>
      <c r="BA725" s="1183">
        <v>0</v>
      </c>
      <c r="BB725" s="1540">
        <v>0</v>
      </c>
      <c r="BC725" s="1540">
        <v>416</v>
      </c>
      <c r="BD725" s="1540">
        <v>0</v>
      </c>
      <c r="BF725" s="1539">
        <f t="shared" si="142"/>
        <v>416</v>
      </c>
      <c r="BG725" s="1539">
        <f t="shared" si="143"/>
        <v>0</v>
      </c>
      <c r="BH725" s="1539">
        <f t="shared" si="144"/>
        <v>0</v>
      </c>
      <c r="BI725" s="1539">
        <f t="shared" si="145"/>
        <v>416</v>
      </c>
      <c r="BJ725" s="1539">
        <f t="shared" si="146"/>
        <v>0</v>
      </c>
      <c r="BK725" s="1539">
        <f t="shared" si="147"/>
        <v>0</v>
      </c>
      <c r="BL725" s="1539">
        <f t="shared" si="148"/>
        <v>0</v>
      </c>
      <c r="BM725" s="1539">
        <f t="shared" si="149"/>
        <v>416</v>
      </c>
      <c r="BO725" s="1183"/>
      <c r="BQ725" s="1182">
        <f t="shared" si="150"/>
        <v>0</v>
      </c>
      <c r="BR725" s="1182">
        <f t="shared" si="151"/>
        <v>0</v>
      </c>
    </row>
    <row r="726" spans="1:70" ht="13.5" customHeight="1">
      <c r="A726" s="1182" t="s">
        <v>1803</v>
      </c>
      <c r="B726" s="1182" t="s">
        <v>1804</v>
      </c>
      <c r="C726" s="1182" t="s">
        <v>1639</v>
      </c>
      <c r="D726" s="1182" t="s">
        <v>1967</v>
      </c>
      <c r="E726" s="1182" t="s">
        <v>1968</v>
      </c>
      <c r="F726" s="1182" t="s">
        <v>2745</v>
      </c>
      <c r="G726" s="1182" t="s">
        <v>2745</v>
      </c>
      <c r="H726" s="1182" t="s">
        <v>4069</v>
      </c>
      <c r="I726" s="1182" t="s">
        <v>1809</v>
      </c>
      <c r="J726" s="1182" t="s">
        <v>4070</v>
      </c>
      <c r="K726" s="1182" t="s">
        <v>1811</v>
      </c>
      <c r="L726" s="1182" t="s">
        <v>1812</v>
      </c>
      <c r="M726" s="1182" t="s">
        <v>1803</v>
      </c>
      <c r="N726" s="1182" t="s">
        <v>2922</v>
      </c>
      <c r="O726" s="1182" t="s">
        <v>1554</v>
      </c>
      <c r="P726" s="1182" t="s">
        <v>1563</v>
      </c>
      <c r="Q726" s="1182" t="s">
        <v>1562</v>
      </c>
      <c r="R726" s="1182" t="s">
        <v>1561</v>
      </c>
      <c r="S726" s="1182" t="s">
        <v>1639</v>
      </c>
      <c r="T726" s="1182" t="s">
        <v>1814</v>
      </c>
      <c r="U726" s="1182" t="s">
        <v>1815</v>
      </c>
      <c r="V726" s="1182">
        <v>0</v>
      </c>
      <c r="W726" s="1182">
        <v>0</v>
      </c>
      <c r="X726" s="1182">
        <v>0</v>
      </c>
      <c r="Y726" s="1183">
        <v>88</v>
      </c>
      <c r="Z726" s="1182" t="s">
        <v>2923</v>
      </c>
      <c r="AA726" s="1182" t="s">
        <v>2924</v>
      </c>
      <c r="AB726" s="1182">
        <v>88</v>
      </c>
      <c r="AC726" s="1182" t="s">
        <v>2925</v>
      </c>
      <c r="AD726" s="1182" t="s">
        <v>1561</v>
      </c>
      <c r="AE726" s="1182">
        <v>88</v>
      </c>
      <c r="AF726" s="1182" t="s">
        <v>3082</v>
      </c>
      <c r="AG726" s="1182" t="s">
        <v>1944</v>
      </c>
      <c r="AH726" s="1182">
        <v>0</v>
      </c>
      <c r="AI726" s="1182">
        <v>88</v>
      </c>
      <c r="AJ726" s="1182" t="s">
        <v>4052</v>
      </c>
      <c r="AL726" s="1186" t="s">
        <v>4071</v>
      </c>
      <c r="AM726" s="1182">
        <v>2</v>
      </c>
      <c r="AN726" s="1182">
        <v>21</v>
      </c>
      <c r="AO726" s="1182">
        <v>0</v>
      </c>
      <c r="AP726" s="1182">
        <v>0</v>
      </c>
      <c r="AQ726" s="1182" t="s">
        <v>1639</v>
      </c>
      <c r="AS726" s="1186">
        <v>21</v>
      </c>
      <c r="AT726" s="1186">
        <v>0</v>
      </c>
      <c r="AV726" s="1183">
        <v>88</v>
      </c>
      <c r="AW726" s="1183">
        <v>0</v>
      </c>
      <c r="AX726" s="1183">
        <v>0</v>
      </c>
      <c r="AY726" s="1538">
        <v>88</v>
      </c>
      <c r="AZ726" s="1183">
        <v>0</v>
      </c>
      <c r="BA726" s="1183">
        <v>0</v>
      </c>
      <c r="BB726" s="1540">
        <v>0</v>
      </c>
      <c r="BC726" s="1540">
        <v>88</v>
      </c>
      <c r="BD726" s="1540">
        <v>0</v>
      </c>
      <c r="BF726" s="1539">
        <f t="shared" si="142"/>
        <v>88</v>
      </c>
      <c r="BG726" s="1539">
        <f t="shared" si="143"/>
        <v>0</v>
      </c>
      <c r="BH726" s="1539">
        <f t="shared" si="144"/>
        <v>0</v>
      </c>
      <c r="BI726" s="1539">
        <f t="shared" si="145"/>
        <v>88</v>
      </c>
      <c r="BJ726" s="1539">
        <f t="shared" si="146"/>
        <v>0</v>
      </c>
      <c r="BK726" s="1539">
        <f t="shared" si="147"/>
        <v>0</v>
      </c>
      <c r="BL726" s="1539">
        <f t="shared" si="148"/>
        <v>0</v>
      </c>
      <c r="BM726" s="1539">
        <f t="shared" si="149"/>
        <v>88</v>
      </c>
      <c r="BO726" s="1183"/>
      <c r="BQ726" s="1182">
        <f t="shared" si="150"/>
        <v>0</v>
      </c>
      <c r="BR726" s="1182">
        <f t="shared" si="151"/>
        <v>0</v>
      </c>
    </row>
    <row r="727" spans="1:70" ht="13.5" customHeight="1">
      <c r="A727" s="1182" t="s">
        <v>1803</v>
      </c>
      <c r="B727" s="1182" t="s">
        <v>1804</v>
      </c>
      <c r="C727" s="1182" t="s">
        <v>1639</v>
      </c>
      <c r="D727" s="1182" t="s">
        <v>1805</v>
      </c>
      <c r="E727" s="1182" t="s">
        <v>1806</v>
      </c>
      <c r="F727" s="1182" t="s">
        <v>2008</v>
      </c>
      <c r="G727" s="1182" t="s">
        <v>2008</v>
      </c>
      <c r="H727" s="1182" t="s">
        <v>4072</v>
      </c>
      <c r="I727" s="1182" t="s">
        <v>1809</v>
      </c>
      <c r="J727" s="1182" t="s">
        <v>4073</v>
      </c>
      <c r="K727" s="1182" t="s">
        <v>1811</v>
      </c>
      <c r="L727" s="1182" t="s">
        <v>1812</v>
      </c>
      <c r="M727" s="1182" t="s">
        <v>1803</v>
      </c>
      <c r="N727" s="1182" t="s">
        <v>2922</v>
      </c>
      <c r="O727" s="1182" t="s">
        <v>1554</v>
      </c>
      <c r="P727" s="1182" t="s">
        <v>1563</v>
      </c>
      <c r="Q727" s="1182" t="s">
        <v>1562</v>
      </c>
      <c r="R727" s="1182" t="s">
        <v>1561</v>
      </c>
      <c r="S727" s="1182" t="s">
        <v>1639</v>
      </c>
      <c r="T727" s="1182" t="s">
        <v>1814</v>
      </c>
      <c r="U727" s="1182" t="s">
        <v>1815</v>
      </c>
      <c r="V727" s="1182">
        <v>0</v>
      </c>
      <c r="W727" s="1182">
        <v>0</v>
      </c>
      <c r="X727" s="1182">
        <v>0</v>
      </c>
      <c r="Y727" s="1183">
        <v>481794</v>
      </c>
      <c r="Z727" s="1182" t="s">
        <v>2923</v>
      </c>
      <c r="AA727" s="1182" t="s">
        <v>2924</v>
      </c>
      <c r="AB727" s="1182">
        <v>481794</v>
      </c>
      <c r="AC727" s="1182" t="s">
        <v>2925</v>
      </c>
      <c r="AD727" s="1182" t="s">
        <v>1561</v>
      </c>
      <c r="AE727" s="1182">
        <v>481794</v>
      </c>
      <c r="AF727" s="1182" t="s">
        <v>1943</v>
      </c>
      <c r="AG727" s="1182" t="s">
        <v>1944</v>
      </c>
      <c r="AH727" s="1182">
        <v>0</v>
      </c>
      <c r="AI727" s="1182">
        <v>481794</v>
      </c>
      <c r="AJ727" s="1182" t="s">
        <v>4074</v>
      </c>
      <c r="AL727" s="1186" t="s">
        <v>4075</v>
      </c>
      <c r="AM727" s="1182">
        <v>1</v>
      </c>
      <c r="AN727" s="1182">
        <v>0</v>
      </c>
      <c r="AO727" s="1182">
        <v>0</v>
      </c>
      <c r="AP727" s="1182">
        <v>0</v>
      </c>
      <c r="AQ727" s="1182" t="s">
        <v>1639</v>
      </c>
      <c r="AS727" s="1186" t="s">
        <v>1943</v>
      </c>
      <c r="AT727" s="1186" t="s">
        <v>1944</v>
      </c>
      <c r="AV727" s="1183">
        <v>0</v>
      </c>
      <c r="AW727" s="1183">
        <v>0</v>
      </c>
      <c r="AX727" s="1183">
        <v>0</v>
      </c>
      <c r="AY727" s="1538">
        <v>0</v>
      </c>
      <c r="AZ727" s="1183">
        <v>0</v>
      </c>
      <c r="BA727" s="1183">
        <v>481794</v>
      </c>
      <c r="BB727" s="1540">
        <v>481794</v>
      </c>
      <c r="BC727" s="1540">
        <v>481794</v>
      </c>
      <c r="BD727" s="1540">
        <v>0</v>
      </c>
      <c r="BF727" s="1539">
        <f t="shared" si="142"/>
        <v>0</v>
      </c>
      <c r="BG727" s="1539">
        <f t="shared" si="143"/>
        <v>0</v>
      </c>
      <c r="BH727" s="1539">
        <f t="shared" si="144"/>
        <v>0</v>
      </c>
      <c r="BI727" s="1539">
        <f t="shared" si="145"/>
        <v>0</v>
      </c>
      <c r="BJ727" s="1539">
        <f t="shared" si="146"/>
        <v>0</v>
      </c>
      <c r="BK727" s="1539">
        <f t="shared" si="147"/>
        <v>481794</v>
      </c>
      <c r="BL727" s="1539">
        <f t="shared" si="148"/>
        <v>481794</v>
      </c>
      <c r="BM727" s="1539">
        <f t="shared" si="149"/>
        <v>481794</v>
      </c>
      <c r="BO727" s="1183"/>
      <c r="BQ727" s="1182">
        <f t="shared" si="150"/>
        <v>0</v>
      </c>
      <c r="BR727" s="1182">
        <f t="shared" si="151"/>
        <v>0</v>
      </c>
    </row>
    <row r="728" spans="1:70" ht="13.5" customHeight="1">
      <c r="A728" s="1182" t="s">
        <v>1803</v>
      </c>
      <c r="B728" s="1182" t="s">
        <v>1804</v>
      </c>
      <c r="C728" s="1182" t="s">
        <v>1639</v>
      </c>
      <c r="D728" s="1182" t="s">
        <v>3154</v>
      </c>
      <c r="E728" s="1182" t="s">
        <v>3155</v>
      </c>
      <c r="F728" s="1182" t="s">
        <v>3110</v>
      </c>
      <c r="G728" s="1182" t="s">
        <v>3110</v>
      </c>
      <c r="H728" s="1182" t="s">
        <v>4076</v>
      </c>
      <c r="I728" s="1182" t="s">
        <v>2933</v>
      </c>
      <c r="J728" s="1182" t="s">
        <v>4077</v>
      </c>
      <c r="K728" s="1182" t="s">
        <v>1811</v>
      </c>
      <c r="L728" s="1182" t="s">
        <v>1812</v>
      </c>
      <c r="M728" s="1182" t="s">
        <v>1803</v>
      </c>
      <c r="N728" s="1182" t="s">
        <v>2922</v>
      </c>
      <c r="O728" s="1182" t="s">
        <v>1554</v>
      </c>
      <c r="P728" s="1182" t="s">
        <v>1563</v>
      </c>
      <c r="Q728" s="1182" t="s">
        <v>1562</v>
      </c>
      <c r="R728" s="1182" t="s">
        <v>1561</v>
      </c>
      <c r="S728" s="1182" t="s">
        <v>1639</v>
      </c>
      <c r="T728" s="1182" t="s">
        <v>1814</v>
      </c>
      <c r="U728" s="1182" t="s">
        <v>1815</v>
      </c>
      <c r="V728" s="1182">
        <v>0</v>
      </c>
      <c r="W728" s="1182">
        <v>0</v>
      </c>
      <c r="X728" s="1182">
        <v>0</v>
      </c>
      <c r="Y728" s="1183">
        <v>15000</v>
      </c>
      <c r="Z728" s="1182" t="s">
        <v>2923</v>
      </c>
      <c r="AA728" s="1182" t="s">
        <v>2924</v>
      </c>
      <c r="AB728" s="1182">
        <v>15000</v>
      </c>
      <c r="AC728" s="1182" t="s">
        <v>2925</v>
      </c>
      <c r="AD728" s="1182" t="s">
        <v>1561</v>
      </c>
      <c r="AE728" s="1182">
        <v>15000</v>
      </c>
      <c r="AF728" s="1182" t="s">
        <v>1943</v>
      </c>
      <c r="AG728" s="1182" t="s">
        <v>1944</v>
      </c>
      <c r="AH728" s="1182">
        <v>0</v>
      </c>
      <c r="AI728" s="1182">
        <v>15000</v>
      </c>
      <c r="AJ728" s="1182" t="s">
        <v>1639</v>
      </c>
      <c r="AL728" s="1186" t="s">
        <v>4078</v>
      </c>
      <c r="AM728" s="1182">
        <v>1</v>
      </c>
      <c r="AN728" s="1182">
        <v>0</v>
      </c>
      <c r="AO728" s="1182">
        <v>0</v>
      </c>
      <c r="AP728" s="1182" t="s">
        <v>4079</v>
      </c>
      <c r="AQ728" s="1182" t="s">
        <v>1639</v>
      </c>
      <c r="AS728" s="1186" t="s">
        <v>1943</v>
      </c>
      <c r="AT728" s="1186" t="s">
        <v>1944</v>
      </c>
      <c r="AV728" s="1183">
        <v>4500</v>
      </c>
      <c r="AW728" s="1183">
        <v>0</v>
      </c>
      <c r="AX728" s="1183">
        <v>0</v>
      </c>
      <c r="AY728" s="1538">
        <v>4500</v>
      </c>
      <c r="AZ728" s="1183">
        <v>0</v>
      </c>
      <c r="BA728" s="1183">
        <v>10500</v>
      </c>
      <c r="BB728" s="1540">
        <v>10500</v>
      </c>
      <c r="BC728" s="1540">
        <v>15000</v>
      </c>
      <c r="BD728" s="1540">
        <v>0</v>
      </c>
      <c r="BF728" s="1539">
        <f t="shared" si="142"/>
        <v>4500</v>
      </c>
      <c r="BG728" s="1539">
        <f t="shared" si="143"/>
        <v>0</v>
      </c>
      <c r="BH728" s="1539">
        <f t="shared" si="144"/>
        <v>0</v>
      </c>
      <c r="BI728" s="1539">
        <f t="shared" si="145"/>
        <v>4500</v>
      </c>
      <c r="BJ728" s="1539">
        <f t="shared" si="146"/>
        <v>0</v>
      </c>
      <c r="BK728" s="1539">
        <f t="shared" si="147"/>
        <v>10500</v>
      </c>
      <c r="BL728" s="1539">
        <f t="shared" si="148"/>
        <v>10500</v>
      </c>
      <c r="BM728" s="1539">
        <f t="shared" si="149"/>
        <v>15000</v>
      </c>
      <c r="BO728" s="1183"/>
      <c r="BQ728" s="1182">
        <f t="shared" si="150"/>
        <v>0</v>
      </c>
      <c r="BR728" s="1182">
        <f t="shared" si="151"/>
        <v>0</v>
      </c>
    </row>
    <row r="729" spans="1:70" ht="13.5" customHeight="1">
      <c r="A729" s="1182" t="s">
        <v>1803</v>
      </c>
      <c r="B729" s="1182" t="s">
        <v>1804</v>
      </c>
      <c r="C729" s="1182" t="s">
        <v>1639</v>
      </c>
      <c r="D729" s="1182" t="s">
        <v>3154</v>
      </c>
      <c r="E729" s="1182" t="s">
        <v>3155</v>
      </c>
      <c r="F729" s="1182" t="s">
        <v>3110</v>
      </c>
      <c r="G729" s="1182" t="s">
        <v>3110</v>
      </c>
      <c r="H729" s="1182" t="s">
        <v>4080</v>
      </c>
      <c r="I729" s="1182" t="s">
        <v>2933</v>
      </c>
      <c r="J729" s="1182" t="s">
        <v>4081</v>
      </c>
      <c r="K729" s="1182" t="s">
        <v>1811</v>
      </c>
      <c r="L729" s="1182" t="s">
        <v>1812</v>
      </c>
      <c r="M729" s="1182" t="s">
        <v>1803</v>
      </c>
      <c r="N729" s="1182" t="s">
        <v>2922</v>
      </c>
      <c r="O729" s="1182" t="s">
        <v>1554</v>
      </c>
      <c r="P729" s="1182" t="s">
        <v>1563</v>
      </c>
      <c r="Q729" s="1182" t="s">
        <v>1562</v>
      </c>
      <c r="R729" s="1182" t="s">
        <v>1561</v>
      </c>
      <c r="S729" s="1182" t="s">
        <v>1639</v>
      </c>
      <c r="T729" s="1182" t="s">
        <v>1814</v>
      </c>
      <c r="U729" s="1182" t="s">
        <v>1815</v>
      </c>
      <c r="V729" s="1182">
        <v>0</v>
      </c>
      <c r="W729" s="1182">
        <v>0</v>
      </c>
      <c r="X729" s="1182">
        <v>0</v>
      </c>
      <c r="Y729" s="1183">
        <v>25000</v>
      </c>
      <c r="Z729" s="1182" t="s">
        <v>2935</v>
      </c>
      <c r="AA729" s="1182" t="s">
        <v>2936</v>
      </c>
      <c r="AB729" s="1182">
        <v>25000</v>
      </c>
      <c r="AC729" s="1182" t="s">
        <v>2925</v>
      </c>
      <c r="AD729" s="1182" t="s">
        <v>1561</v>
      </c>
      <c r="AE729" s="1182">
        <v>25000</v>
      </c>
      <c r="AF729" s="1182" t="s">
        <v>1943</v>
      </c>
      <c r="AG729" s="1182" t="s">
        <v>1944</v>
      </c>
      <c r="AH729" s="1182">
        <v>0</v>
      </c>
      <c r="AI729" s="1182">
        <v>25000</v>
      </c>
      <c r="AJ729" s="1182" t="s">
        <v>1639</v>
      </c>
      <c r="AL729" s="1186" t="s">
        <v>4082</v>
      </c>
      <c r="AM729" s="1182">
        <v>1</v>
      </c>
      <c r="AN729" s="1182">
        <v>0</v>
      </c>
      <c r="AO729" s="1182">
        <v>0</v>
      </c>
      <c r="AP729" s="1182" t="s">
        <v>4079</v>
      </c>
      <c r="AQ729" s="1182" t="s">
        <v>1639</v>
      </c>
      <c r="AS729" s="1186" t="s">
        <v>1943</v>
      </c>
      <c r="AT729" s="1186" t="s">
        <v>1944</v>
      </c>
      <c r="AV729" s="1183">
        <v>7500</v>
      </c>
      <c r="AW729" s="1183">
        <v>0</v>
      </c>
      <c r="AX729" s="1183">
        <v>0</v>
      </c>
      <c r="AY729" s="1538">
        <v>7500</v>
      </c>
      <c r="AZ729" s="1183">
        <v>0</v>
      </c>
      <c r="BA729" s="1183">
        <v>17500</v>
      </c>
      <c r="BB729" s="1540">
        <v>17500</v>
      </c>
      <c r="BC729" s="1540">
        <v>25000</v>
      </c>
      <c r="BD729" s="1540">
        <v>0</v>
      </c>
      <c r="BF729" s="1539">
        <f t="shared" si="142"/>
        <v>7500</v>
      </c>
      <c r="BG729" s="1539">
        <f t="shared" si="143"/>
        <v>0</v>
      </c>
      <c r="BH729" s="1539">
        <f t="shared" si="144"/>
        <v>0</v>
      </c>
      <c r="BI729" s="1539">
        <f t="shared" si="145"/>
        <v>7500</v>
      </c>
      <c r="BJ729" s="1539">
        <f t="shared" si="146"/>
        <v>0</v>
      </c>
      <c r="BK729" s="1539">
        <f t="shared" si="147"/>
        <v>17500</v>
      </c>
      <c r="BL729" s="1539">
        <f t="shared" si="148"/>
        <v>17500</v>
      </c>
      <c r="BM729" s="1539">
        <f t="shared" si="149"/>
        <v>25000</v>
      </c>
      <c r="BO729" s="1183"/>
      <c r="BQ729" s="1182">
        <f t="shared" si="150"/>
        <v>0</v>
      </c>
      <c r="BR729" s="1182">
        <f t="shared" si="151"/>
        <v>0</v>
      </c>
    </row>
    <row r="730" spans="1:70" ht="13.5" customHeight="1">
      <c r="A730" s="1182" t="s">
        <v>1803</v>
      </c>
      <c r="B730" s="1182" t="s">
        <v>1804</v>
      </c>
      <c r="C730" s="1182" t="s">
        <v>1639</v>
      </c>
      <c r="D730" s="1182" t="s">
        <v>3056</v>
      </c>
      <c r="E730" s="1182" t="s">
        <v>3057</v>
      </c>
      <c r="F730" s="1182" t="s">
        <v>3110</v>
      </c>
      <c r="G730" s="1182" t="s">
        <v>3110</v>
      </c>
      <c r="H730" s="1182" t="s">
        <v>4083</v>
      </c>
      <c r="I730" s="1182" t="s">
        <v>2933</v>
      </c>
      <c r="J730" s="1182" t="s">
        <v>4084</v>
      </c>
      <c r="K730" s="1182" t="s">
        <v>1811</v>
      </c>
      <c r="L730" s="1182" t="s">
        <v>1812</v>
      </c>
      <c r="M730" s="1182" t="s">
        <v>1803</v>
      </c>
      <c r="N730" s="1182" t="s">
        <v>2922</v>
      </c>
      <c r="O730" s="1182" t="s">
        <v>1554</v>
      </c>
      <c r="P730" s="1182" t="s">
        <v>1563</v>
      </c>
      <c r="Q730" s="1182" t="s">
        <v>1562</v>
      </c>
      <c r="R730" s="1182" t="s">
        <v>1561</v>
      </c>
      <c r="S730" s="1182" t="s">
        <v>1639</v>
      </c>
      <c r="T730" s="1182" t="s">
        <v>1814</v>
      </c>
      <c r="U730" s="1182" t="s">
        <v>1815</v>
      </c>
      <c r="V730" s="1182">
        <v>0</v>
      </c>
      <c r="W730" s="1182">
        <v>0</v>
      </c>
      <c r="X730" s="1182">
        <v>0</v>
      </c>
      <c r="Y730" s="1183">
        <v>25000</v>
      </c>
      <c r="Z730" s="1182" t="s">
        <v>2935</v>
      </c>
      <c r="AA730" s="1182" t="s">
        <v>2936</v>
      </c>
      <c r="AB730" s="1182">
        <v>25000</v>
      </c>
      <c r="AC730" s="1182" t="s">
        <v>2925</v>
      </c>
      <c r="AD730" s="1182" t="s">
        <v>1561</v>
      </c>
      <c r="AE730" s="1182">
        <v>25000</v>
      </c>
      <c r="AF730" s="1182" t="s">
        <v>1819</v>
      </c>
      <c r="AG730" s="1182" t="s">
        <v>1820</v>
      </c>
      <c r="AH730" s="1182">
        <v>2272</v>
      </c>
      <c r="AI730" s="1182">
        <v>22728</v>
      </c>
      <c r="AJ730" s="1182" t="s">
        <v>1639</v>
      </c>
      <c r="AL730" s="1186" t="s">
        <v>4085</v>
      </c>
      <c r="AM730" s="1182">
        <v>1</v>
      </c>
      <c r="AN730" s="1182">
        <v>0</v>
      </c>
      <c r="AO730" s="1182">
        <v>0</v>
      </c>
      <c r="AP730" s="1182" t="s">
        <v>4086</v>
      </c>
      <c r="AQ730" s="1182" t="s">
        <v>1639</v>
      </c>
      <c r="AS730" s="1186" t="s">
        <v>1819</v>
      </c>
      <c r="AT730" s="1186" t="s">
        <v>1820</v>
      </c>
      <c r="AV730" s="1183">
        <v>5000</v>
      </c>
      <c r="AW730" s="1183">
        <v>0</v>
      </c>
      <c r="AX730" s="1183">
        <v>0</v>
      </c>
      <c r="AY730" s="1538">
        <v>5000</v>
      </c>
      <c r="AZ730" s="1183">
        <v>0</v>
      </c>
      <c r="BA730" s="1183">
        <v>20000</v>
      </c>
      <c r="BB730" s="1540">
        <v>20000</v>
      </c>
      <c r="BC730" s="1540">
        <v>25000</v>
      </c>
      <c r="BD730" s="1540">
        <v>0</v>
      </c>
      <c r="BF730" s="1539">
        <f t="shared" si="142"/>
        <v>4545</v>
      </c>
      <c r="BG730" s="1539">
        <f t="shared" si="143"/>
        <v>0</v>
      </c>
      <c r="BH730" s="1539">
        <f t="shared" si="144"/>
        <v>0</v>
      </c>
      <c r="BI730" s="1539">
        <f t="shared" si="145"/>
        <v>4545</v>
      </c>
      <c r="BJ730" s="1539">
        <f t="shared" si="146"/>
        <v>0</v>
      </c>
      <c r="BK730" s="1539">
        <f t="shared" si="147"/>
        <v>18182</v>
      </c>
      <c r="BL730" s="1539">
        <f t="shared" si="148"/>
        <v>18182</v>
      </c>
      <c r="BM730" s="1539">
        <f t="shared" si="149"/>
        <v>22727</v>
      </c>
      <c r="BO730" s="1183"/>
      <c r="BQ730" s="1182">
        <f t="shared" si="150"/>
        <v>0.45454545454504114</v>
      </c>
      <c r="BR730" s="1182">
        <f t="shared" si="151"/>
        <v>-0.18181818181983544</v>
      </c>
    </row>
    <row r="731" spans="1:70" ht="13.5" customHeight="1">
      <c r="A731" s="1182" t="s">
        <v>1803</v>
      </c>
      <c r="B731" s="1182" t="s">
        <v>1804</v>
      </c>
      <c r="C731" s="1182" t="s">
        <v>1639</v>
      </c>
      <c r="D731" s="1182" t="s">
        <v>3056</v>
      </c>
      <c r="E731" s="1182" t="s">
        <v>3057</v>
      </c>
      <c r="F731" s="1182" t="s">
        <v>3110</v>
      </c>
      <c r="G731" s="1182" t="s">
        <v>3110</v>
      </c>
      <c r="H731" s="1182" t="s">
        <v>4083</v>
      </c>
      <c r="I731" s="1182" t="s">
        <v>2933</v>
      </c>
      <c r="J731" s="1182" t="s">
        <v>4087</v>
      </c>
      <c r="K731" s="1182" t="s">
        <v>1811</v>
      </c>
      <c r="L731" s="1182" t="s">
        <v>1812</v>
      </c>
      <c r="M731" s="1182" t="s">
        <v>1803</v>
      </c>
      <c r="N731" s="1182" t="s">
        <v>2922</v>
      </c>
      <c r="O731" s="1182" t="s">
        <v>1554</v>
      </c>
      <c r="P731" s="1182" t="s">
        <v>1563</v>
      </c>
      <c r="Q731" s="1182" t="s">
        <v>1562</v>
      </c>
      <c r="R731" s="1182" t="s">
        <v>1561</v>
      </c>
      <c r="S731" s="1182" t="s">
        <v>1639</v>
      </c>
      <c r="T731" s="1182" t="s">
        <v>1814</v>
      </c>
      <c r="U731" s="1182" t="s">
        <v>1815</v>
      </c>
      <c r="V731" s="1182">
        <v>0</v>
      </c>
      <c r="W731" s="1182">
        <v>0</v>
      </c>
      <c r="X731" s="1182">
        <v>0</v>
      </c>
      <c r="Y731" s="1544">
        <v>30000</v>
      </c>
      <c r="Z731" s="1182" t="s">
        <v>2935</v>
      </c>
      <c r="AA731" s="1182" t="s">
        <v>2936</v>
      </c>
      <c r="AB731" s="1182">
        <v>30000</v>
      </c>
      <c r="AC731" s="1182" t="s">
        <v>2925</v>
      </c>
      <c r="AD731" s="1182" t="s">
        <v>1561</v>
      </c>
      <c r="AE731" s="1182">
        <v>30000</v>
      </c>
      <c r="AF731" s="1182" t="s">
        <v>1819</v>
      </c>
      <c r="AG731" s="1182" t="s">
        <v>1820</v>
      </c>
      <c r="AH731" s="1182">
        <v>2727</v>
      </c>
      <c r="AI731" s="1182">
        <v>27273</v>
      </c>
      <c r="AJ731" s="1182" t="s">
        <v>1639</v>
      </c>
      <c r="AL731" s="1186" t="s">
        <v>4088</v>
      </c>
      <c r="AM731" s="1182">
        <v>1</v>
      </c>
      <c r="AN731" s="1182">
        <v>0</v>
      </c>
      <c r="AO731" s="1182">
        <v>0</v>
      </c>
      <c r="AP731" s="1182" t="s">
        <v>4086</v>
      </c>
      <c r="AQ731" s="1182" t="s">
        <v>1639</v>
      </c>
      <c r="AS731" s="1186" t="s">
        <v>1819</v>
      </c>
      <c r="AT731" s="1186" t="s">
        <v>1820</v>
      </c>
      <c r="AV731" s="1183">
        <v>6000</v>
      </c>
      <c r="AW731" s="1183">
        <v>0</v>
      </c>
      <c r="AX731" s="1183">
        <v>0</v>
      </c>
      <c r="AY731" s="1538">
        <v>6000</v>
      </c>
      <c r="AZ731" s="1183">
        <v>0</v>
      </c>
      <c r="BA731" s="1183">
        <v>24000</v>
      </c>
      <c r="BB731" s="1540">
        <v>24000</v>
      </c>
      <c r="BC731" s="1540">
        <v>30000</v>
      </c>
      <c r="BD731" s="1540">
        <v>0</v>
      </c>
      <c r="BF731" s="1539">
        <f t="shared" si="142"/>
        <v>5455</v>
      </c>
      <c r="BG731" s="1539">
        <f t="shared" si="143"/>
        <v>0</v>
      </c>
      <c r="BH731" s="1539">
        <f t="shared" si="144"/>
        <v>0</v>
      </c>
      <c r="BI731" s="1539">
        <f t="shared" si="145"/>
        <v>5455</v>
      </c>
      <c r="BJ731" s="1539">
        <f t="shared" si="146"/>
        <v>0</v>
      </c>
      <c r="BK731" s="1539">
        <f t="shared" si="147"/>
        <v>21818</v>
      </c>
      <c r="BL731" s="1539">
        <f t="shared" si="148"/>
        <v>21818</v>
      </c>
      <c r="BM731" s="1539">
        <f t="shared" si="149"/>
        <v>27273</v>
      </c>
      <c r="BO731" s="1183"/>
      <c r="BQ731" s="1182">
        <f t="shared" si="150"/>
        <v>-0.45454545454504114</v>
      </c>
      <c r="BR731" s="1182">
        <f t="shared" si="151"/>
        <v>0.18181818181983544</v>
      </c>
    </row>
    <row r="732" spans="1:70" ht="13.5" customHeight="1">
      <c r="A732" s="1182" t="s">
        <v>1803</v>
      </c>
      <c r="B732" s="1182" t="s">
        <v>1804</v>
      </c>
      <c r="C732" s="1182" t="s">
        <v>1639</v>
      </c>
      <c r="D732" s="1182" t="s">
        <v>3056</v>
      </c>
      <c r="E732" s="1182" t="s">
        <v>3057</v>
      </c>
      <c r="F732" s="1182" t="s">
        <v>3110</v>
      </c>
      <c r="G732" s="1182" t="s">
        <v>3110</v>
      </c>
      <c r="H732" s="1182" t="s">
        <v>4083</v>
      </c>
      <c r="I732" s="1182" t="s">
        <v>2933</v>
      </c>
      <c r="J732" s="1182" t="s">
        <v>4089</v>
      </c>
      <c r="K732" s="1182" t="s">
        <v>1811</v>
      </c>
      <c r="L732" s="1182" t="s">
        <v>1812</v>
      </c>
      <c r="M732" s="1182" t="s">
        <v>1803</v>
      </c>
      <c r="N732" s="1182" t="s">
        <v>2922</v>
      </c>
      <c r="O732" s="1182" t="s">
        <v>1554</v>
      </c>
      <c r="P732" s="1182" t="s">
        <v>1563</v>
      </c>
      <c r="Q732" s="1182" t="s">
        <v>1562</v>
      </c>
      <c r="R732" s="1182" t="s">
        <v>1561</v>
      </c>
      <c r="S732" s="1182" t="s">
        <v>1639</v>
      </c>
      <c r="T732" s="1182" t="s">
        <v>1814</v>
      </c>
      <c r="U732" s="1182" t="s">
        <v>1815</v>
      </c>
      <c r="V732" s="1182">
        <v>0</v>
      </c>
      <c r="W732" s="1182">
        <v>0</v>
      </c>
      <c r="X732" s="1182">
        <v>0</v>
      </c>
      <c r="Y732" s="1183">
        <v>25000</v>
      </c>
      <c r="Z732" s="1182" t="s">
        <v>2923</v>
      </c>
      <c r="AA732" s="1182" t="s">
        <v>2924</v>
      </c>
      <c r="AB732" s="1182">
        <v>25000</v>
      </c>
      <c r="AC732" s="1182" t="s">
        <v>2925</v>
      </c>
      <c r="AD732" s="1182" t="s">
        <v>1561</v>
      </c>
      <c r="AE732" s="1182">
        <v>25000</v>
      </c>
      <c r="AF732" s="1182" t="s">
        <v>1819</v>
      </c>
      <c r="AG732" s="1182" t="s">
        <v>1820</v>
      </c>
      <c r="AH732" s="1182">
        <v>2272</v>
      </c>
      <c r="AI732" s="1182">
        <v>22728</v>
      </c>
      <c r="AJ732" s="1182" t="s">
        <v>1639</v>
      </c>
      <c r="AL732" s="1186" t="s">
        <v>4090</v>
      </c>
      <c r="AM732" s="1182">
        <v>1</v>
      </c>
      <c r="AN732" s="1182">
        <v>0</v>
      </c>
      <c r="AO732" s="1182">
        <v>0</v>
      </c>
      <c r="AP732" s="1182" t="s">
        <v>4086</v>
      </c>
      <c r="AQ732" s="1182" t="s">
        <v>1639</v>
      </c>
      <c r="AS732" s="1186" t="s">
        <v>1819</v>
      </c>
      <c r="AT732" s="1186" t="s">
        <v>1820</v>
      </c>
      <c r="AV732" s="1183">
        <v>5000</v>
      </c>
      <c r="AW732" s="1183">
        <v>0</v>
      </c>
      <c r="AX732" s="1183">
        <v>0</v>
      </c>
      <c r="AY732" s="1538">
        <v>5000</v>
      </c>
      <c r="AZ732" s="1183">
        <v>0</v>
      </c>
      <c r="BA732" s="1183">
        <v>20000</v>
      </c>
      <c r="BB732" s="1540">
        <v>20000</v>
      </c>
      <c r="BC732" s="1540">
        <v>25000</v>
      </c>
      <c r="BD732" s="1540">
        <v>0</v>
      </c>
      <c r="BF732" s="1539">
        <f t="shared" si="142"/>
        <v>4545</v>
      </c>
      <c r="BG732" s="1539">
        <f t="shared" si="143"/>
        <v>0</v>
      </c>
      <c r="BH732" s="1539">
        <f t="shared" si="144"/>
        <v>0</v>
      </c>
      <c r="BI732" s="1539">
        <f t="shared" si="145"/>
        <v>4545</v>
      </c>
      <c r="BJ732" s="1539">
        <f t="shared" si="146"/>
        <v>0</v>
      </c>
      <c r="BK732" s="1539">
        <f t="shared" si="147"/>
        <v>18182</v>
      </c>
      <c r="BL732" s="1539">
        <f t="shared" si="148"/>
        <v>18182</v>
      </c>
      <c r="BM732" s="1539">
        <f t="shared" si="149"/>
        <v>22727</v>
      </c>
      <c r="BO732" s="1183"/>
      <c r="BQ732" s="1182">
        <f t="shared" si="150"/>
        <v>0.45454545454504114</v>
      </c>
      <c r="BR732" s="1182">
        <f t="shared" si="151"/>
        <v>-0.18181818181983544</v>
      </c>
    </row>
    <row r="733" spans="1:70" ht="13.5" customHeight="1">
      <c r="A733" s="1182" t="s">
        <v>1803</v>
      </c>
      <c r="B733" s="1182" t="s">
        <v>1804</v>
      </c>
      <c r="C733" s="1182" t="s">
        <v>1639</v>
      </c>
      <c r="D733" s="1182" t="s">
        <v>2523</v>
      </c>
      <c r="E733" s="1182" t="s">
        <v>2524</v>
      </c>
      <c r="F733" s="1182" t="s">
        <v>3110</v>
      </c>
      <c r="G733" s="1182" t="s">
        <v>3110</v>
      </c>
      <c r="H733" s="1182" t="s">
        <v>4091</v>
      </c>
      <c r="I733" s="1182" t="s">
        <v>2933</v>
      </c>
      <c r="J733" s="1182" t="s">
        <v>4092</v>
      </c>
      <c r="K733" s="1182" t="s">
        <v>1811</v>
      </c>
      <c r="L733" s="1182" t="s">
        <v>1812</v>
      </c>
      <c r="M733" s="1182" t="s">
        <v>1803</v>
      </c>
      <c r="N733" s="1182" t="s">
        <v>2922</v>
      </c>
      <c r="O733" s="1182" t="s">
        <v>1554</v>
      </c>
      <c r="P733" s="1182" t="s">
        <v>1563</v>
      </c>
      <c r="Q733" s="1182" t="s">
        <v>1562</v>
      </c>
      <c r="R733" s="1182" t="s">
        <v>1561</v>
      </c>
      <c r="S733" s="1182" t="s">
        <v>1639</v>
      </c>
      <c r="T733" s="1182" t="s">
        <v>1814</v>
      </c>
      <c r="U733" s="1182" t="s">
        <v>1815</v>
      </c>
      <c r="V733" s="1182">
        <v>0</v>
      </c>
      <c r="W733" s="1182">
        <v>0</v>
      </c>
      <c r="X733" s="1182">
        <v>0</v>
      </c>
      <c r="Y733" s="1183">
        <v>121000</v>
      </c>
      <c r="Z733" s="1182" t="s">
        <v>2935</v>
      </c>
      <c r="AA733" s="1182" t="s">
        <v>2936</v>
      </c>
      <c r="AB733" s="1182">
        <v>121000</v>
      </c>
      <c r="AC733" s="1182" t="s">
        <v>2925</v>
      </c>
      <c r="AD733" s="1182" t="s">
        <v>1561</v>
      </c>
      <c r="AE733" s="1182">
        <v>121000</v>
      </c>
      <c r="AF733" s="1182" t="s">
        <v>1819</v>
      </c>
      <c r="AG733" s="1182" t="s">
        <v>1820</v>
      </c>
      <c r="AH733" s="1182">
        <v>11000</v>
      </c>
      <c r="AI733" s="1182">
        <v>110000</v>
      </c>
      <c r="AJ733" s="1182" t="s">
        <v>1639</v>
      </c>
      <c r="AL733" s="1186" t="s">
        <v>4093</v>
      </c>
      <c r="AM733" s="1182">
        <v>1</v>
      </c>
      <c r="AN733" s="1182">
        <v>0</v>
      </c>
      <c r="AO733" s="1182">
        <v>0</v>
      </c>
      <c r="AP733" s="1182" t="s">
        <v>4086</v>
      </c>
      <c r="AQ733" s="1182" t="s">
        <v>1639</v>
      </c>
      <c r="AS733" s="1186" t="s">
        <v>1819</v>
      </c>
      <c r="AT733" s="1186" t="s">
        <v>1820</v>
      </c>
      <c r="AV733" s="1183">
        <v>24200</v>
      </c>
      <c r="AW733" s="1183">
        <v>0</v>
      </c>
      <c r="AX733" s="1183">
        <v>0</v>
      </c>
      <c r="AY733" s="1538">
        <v>24200</v>
      </c>
      <c r="AZ733" s="1183">
        <v>0</v>
      </c>
      <c r="BA733" s="1183">
        <v>96800</v>
      </c>
      <c r="BB733" s="1540">
        <v>96800</v>
      </c>
      <c r="BC733" s="1540">
        <v>121000</v>
      </c>
      <c r="BD733" s="1540">
        <v>0</v>
      </c>
      <c r="BF733" s="1539">
        <f t="shared" si="142"/>
        <v>22000</v>
      </c>
      <c r="BG733" s="1539">
        <f t="shared" si="143"/>
        <v>0</v>
      </c>
      <c r="BH733" s="1539">
        <f t="shared" si="144"/>
        <v>0</v>
      </c>
      <c r="BI733" s="1539">
        <f t="shared" si="145"/>
        <v>22000</v>
      </c>
      <c r="BJ733" s="1539">
        <f t="shared" si="146"/>
        <v>0</v>
      </c>
      <c r="BK733" s="1539">
        <f t="shared" si="147"/>
        <v>88000</v>
      </c>
      <c r="BL733" s="1539">
        <f t="shared" si="148"/>
        <v>88000</v>
      </c>
      <c r="BM733" s="1539">
        <f t="shared" si="149"/>
        <v>110000</v>
      </c>
      <c r="BO733" s="1183"/>
      <c r="BQ733" s="1182">
        <f t="shared" si="150"/>
        <v>0</v>
      </c>
      <c r="BR733" s="1182">
        <f t="shared" si="151"/>
        <v>0</v>
      </c>
    </row>
    <row r="734" spans="1:70" ht="13.5" customHeight="1">
      <c r="A734" s="1182" t="s">
        <v>1803</v>
      </c>
      <c r="B734" s="1182" t="s">
        <v>1804</v>
      </c>
      <c r="C734" s="1182" t="s">
        <v>1639</v>
      </c>
      <c r="D734" s="1182" t="s">
        <v>2523</v>
      </c>
      <c r="E734" s="1182" t="s">
        <v>2524</v>
      </c>
      <c r="F734" s="1182" t="s">
        <v>3110</v>
      </c>
      <c r="G734" s="1182" t="s">
        <v>3110</v>
      </c>
      <c r="H734" s="1182" t="s">
        <v>4091</v>
      </c>
      <c r="I734" s="1182" t="s">
        <v>2933</v>
      </c>
      <c r="J734" s="1182" t="s">
        <v>4094</v>
      </c>
      <c r="K734" s="1182" t="s">
        <v>1811</v>
      </c>
      <c r="L734" s="1182" t="s">
        <v>1812</v>
      </c>
      <c r="M734" s="1182" t="s">
        <v>1803</v>
      </c>
      <c r="N734" s="1182" t="s">
        <v>2922</v>
      </c>
      <c r="O734" s="1182" t="s">
        <v>1554</v>
      </c>
      <c r="P734" s="1182" t="s">
        <v>1563</v>
      </c>
      <c r="Q734" s="1182" t="s">
        <v>1562</v>
      </c>
      <c r="R734" s="1182" t="s">
        <v>1561</v>
      </c>
      <c r="S734" s="1182" t="s">
        <v>1639</v>
      </c>
      <c r="T734" s="1182" t="s">
        <v>1814</v>
      </c>
      <c r="U734" s="1182" t="s">
        <v>1815</v>
      </c>
      <c r="V734" s="1182">
        <v>0</v>
      </c>
      <c r="W734" s="1182">
        <v>0</v>
      </c>
      <c r="X734" s="1182">
        <v>0</v>
      </c>
      <c r="Y734" s="1183">
        <v>235000</v>
      </c>
      <c r="Z734" s="1182" t="s">
        <v>2923</v>
      </c>
      <c r="AA734" s="1182" t="s">
        <v>2924</v>
      </c>
      <c r="AB734" s="1182">
        <v>235000</v>
      </c>
      <c r="AC734" s="1182" t="s">
        <v>2925</v>
      </c>
      <c r="AD734" s="1182" t="s">
        <v>1561</v>
      </c>
      <c r="AE734" s="1182">
        <v>235000</v>
      </c>
      <c r="AF734" s="1182" t="s">
        <v>1819</v>
      </c>
      <c r="AG734" s="1182" t="s">
        <v>1820</v>
      </c>
      <c r="AH734" s="1182">
        <v>21363</v>
      </c>
      <c r="AI734" s="1182">
        <v>213637</v>
      </c>
      <c r="AJ734" s="1182" t="s">
        <v>1639</v>
      </c>
      <c r="AL734" s="1186" t="s">
        <v>4095</v>
      </c>
      <c r="AM734" s="1182">
        <v>1</v>
      </c>
      <c r="AN734" s="1182">
        <v>0</v>
      </c>
      <c r="AO734" s="1182">
        <v>0</v>
      </c>
      <c r="AP734" s="1182" t="s">
        <v>4086</v>
      </c>
      <c r="AQ734" s="1182" t="s">
        <v>1639</v>
      </c>
      <c r="AS734" s="1186" t="s">
        <v>1819</v>
      </c>
      <c r="AT734" s="1186" t="s">
        <v>1820</v>
      </c>
      <c r="AV734" s="1183">
        <v>47000</v>
      </c>
      <c r="AW734" s="1183">
        <v>0</v>
      </c>
      <c r="AX734" s="1183">
        <v>0</v>
      </c>
      <c r="AY734" s="1538">
        <v>47000</v>
      </c>
      <c r="AZ734" s="1183">
        <v>0</v>
      </c>
      <c r="BA734" s="1183">
        <v>188000</v>
      </c>
      <c r="BB734" s="1540">
        <v>188000</v>
      </c>
      <c r="BC734" s="1540">
        <v>235000</v>
      </c>
      <c r="BD734" s="1540">
        <v>0</v>
      </c>
      <c r="BF734" s="1539">
        <f t="shared" si="142"/>
        <v>42727</v>
      </c>
      <c r="BG734" s="1539">
        <f t="shared" si="143"/>
        <v>0</v>
      </c>
      <c r="BH734" s="1539">
        <f t="shared" si="144"/>
        <v>0</v>
      </c>
      <c r="BI734" s="1539">
        <f t="shared" si="145"/>
        <v>42727</v>
      </c>
      <c r="BJ734" s="1539">
        <f t="shared" si="146"/>
        <v>0</v>
      </c>
      <c r="BK734" s="1539">
        <f t="shared" si="147"/>
        <v>170909</v>
      </c>
      <c r="BL734" s="1539">
        <f t="shared" si="148"/>
        <v>170909</v>
      </c>
      <c r="BM734" s="1539">
        <f t="shared" si="149"/>
        <v>213636</v>
      </c>
      <c r="BO734" s="1183"/>
      <c r="BQ734" s="1182">
        <f t="shared" si="150"/>
        <v>0.27272727272793418</v>
      </c>
      <c r="BR734" s="1182">
        <f t="shared" si="151"/>
        <v>9.0909090911736712E-2</v>
      </c>
    </row>
    <row r="735" spans="1:70" ht="13.5" customHeight="1">
      <c r="A735" s="1182" t="s">
        <v>1803</v>
      </c>
      <c r="B735" s="1182" t="s">
        <v>1804</v>
      </c>
      <c r="C735" s="1182" t="s">
        <v>1639</v>
      </c>
      <c r="D735" s="1182" t="s">
        <v>1805</v>
      </c>
      <c r="E735" s="1182" t="s">
        <v>1806</v>
      </c>
      <c r="F735" s="1182" t="s">
        <v>2008</v>
      </c>
      <c r="G735" s="1182" t="s">
        <v>2008</v>
      </c>
      <c r="H735" s="1182" t="s">
        <v>4096</v>
      </c>
      <c r="I735" s="1182" t="s">
        <v>1809</v>
      </c>
      <c r="J735" s="1182" t="s">
        <v>4097</v>
      </c>
      <c r="K735" s="1182" t="s">
        <v>1811</v>
      </c>
      <c r="L735" s="1182" t="s">
        <v>1812</v>
      </c>
      <c r="M735" s="1182" t="s">
        <v>1803</v>
      </c>
      <c r="N735" s="1182" t="s">
        <v>2922</v>
      </c>
      <c r="O735" s="1182" t="s">
        <v>1554</v>
      </c>
      <c r="P735" s="1182" t="s">
        <v>1563</v>
      </c>
      <c r="Q735" s="1182" t="s">
        <v>1562</v>
      </c>
      <c r="R735" s="1182" t="s">
        <v>1561</v>
      </c>
      <c r="S735" s="1182" t="s">
        <v>1639</v>
      </c>
      <c r="T735" s="1182" t="s">
        <v>1814</v>
      </c>
      <c r="U735" s="1182" t="s">
        <v>1815</v>
      </c>
      <c r="V735" s="1182">
        <v>0</v>
      </c>
      <c r="W735" s="1182">
        <v>0</v>
      </c>
      <c r="X735" s="1182">
        <v>0</v>
      </c>
      <c r="Y735" s="1183">
        <v>1430</v>
      </c>
      <c r="Z735" s="1182" t="s">
        <v>2923</v>
      </c>
      <c r="AA735" s="1182" t="s">
        <v>2924</v>
      </c>
      <c r="AB735" s="1182">
        <v>1430</v>
      </c>
      <c r="AC735" s="1182" t="s">
        <v>2925</v>
      </c>
      <c r="AD735" s="1182" t="s">
        <v>1561</v>
      </c>
      <c r="AE735" s="1182">
        <v>1430</v>
      </c>
      <c r="AF735" s="1182" t="s">
        <v>1943</v>
      </c>
      <c r="AG735" s="1182" t="s">
        <v>1944</v>
      </c>
      <c r="AH735" s="1182">
        <v>0</v>
      </c>
      <c r="AI735" s="1182">
        <v>1430</v>
      </c>
      <c r="AJ735" s="1182" t="s">
        <v>4098</v>
      </c>
      <c r="AL735" s="1186" t="s">
        <v>4099</v>
      </c>
      <c r="AM735" s="1182">
        <v>1</v>
      </c>
      <c r="AN735" s="1182">
        <v>0</v>
      </c>
      <c r="AO735" s="1182">
        <v>0</v>
      </c>
      <c r="AP735" s="1182">
        <v>0</v>
      </c>
      <c r="AQ735" s="1182" t="s">
        <v>1639</v>
      </c>
      <c r="AS735" s="1186" t="s">
        <v>1943</v>
      </c>
      <c r="AT735" s="1186" t="s">
        <v>1944</v>
      </c>
      <c r="AV735" s="1183">
        <v>0</v>
      </c>
      <c r="AW735" s="1183">
        <v>0</v>
      </c>
      <c r="AX735" s="1183">
        <v>0</v>
      </c>
      <c r="AY735" s="1538">
        <v>0</v>
      </c>
      <c r="AZ735" s="1183">
        <v>0</v>
      </c>
      <c r="BA735" s="1183">
        <v>1430</v>
      </c>
      <c r="BB735" s="1540">
        <v>1430</v>
      </c>
      <c r="BC735" s="1540">
        <v>1430</v>
      </c>
      <c r="BD735" s="1540">
        <v>0</v>
      </c>
      <c r="BF735" s="1539">
        <f t="shared" si="142"/>
        <v>0</v>
      </c>
      <c r="BG735" s="1539">
        <f t="shared" si="143"/>
        <v>0</v>
      </c>
      <c r="BH735" s="1539">
        <f t="shared" si="144"/>
        <v>0</v>
      </c>
      <c r="BI735" s="1539">
        <f t="shared" si="145"/>
        <v>0</v>
      </c>
      <c r="BJ735" s="1539">
        <f t="shared" si="146"/>
        <v>0</v>
      </c>
      <c r="BK735" s="1539">
        <f t="shared" si="147"/>
        <v>1430</v>
      </c>
      <c r="BL735" s="1539">
        <f t="shared" si="148"/>
        <v>1430</v>
      </c>
      <c r="BM735" s="1539">
        <f t="shared" si="149"/>
        <v>1430</v>
      </c>
      <c r="BO735" s="1183"/>
      <c r="BQ735" s="1182">
        <f t="shared" si="150"/>
        <v>0</v>
      </c>
      <c r="BR735" s="1182">
        <f t="shared" si="151"/>
        <v>0</v>
      </c>
    </row>
    <row r="736" spans="1:70" ht="13.5" customHeight="1">
      <c r="A736" s="1182" t="s">
        <v>1803</v>
      </c>
      <c r="B736" s="1182" t="s">
        <v>1804</v>
      </c>
      <c r="C736" s="1182" t="s">
        <v>1639</v>
      </c>
      <c r="D736" s="1182" t="s">
        <v>1967</v>
      </c>
      <c r="E736" s="1182" t="s">
        <v>1968</v>
      </c>
      <c r="F736" s="1182" t="s">
        <v>2738</v>
      </c>
      <c r="G736" s="1182" t="s">
        <v>2738</v>
      </c>
      <c r="H736" s="1182" t="s">
        <v>4100</v>
      </c>
      <c r="I736" s="1182" t="s">
        <v>1809</v>
      </c>
      <c r="J736" s="1182" t="s">
        <v>4101</v>
      </c>
      <c r="K736" s="1182" t="s">
        <v>1811</v>
      </c>
      <c r="L736" s="1182" t="s">
        <v>1812</v>
      </c>
      <c r="M736" s="1182" t="s">
        <v>1803</v>
      </c>
      <c r="N736" s="1182" t="s">
        <v>2922</v>
      </c>
      <c r="O736" s="1182" t="s">
        <v>1554</v>
      </c>
      <c r="P736" s="1182" t="s">
        <v>1563</v>
      </c>
      <c r="Q736" s="1182" t="s">
        <v>1562</v>
      </c>
      <c r="R736" s="1182" t="s">
        <v>1561</v>
      </c>
      <c r="S736" s="1182" t="s">
        <v>1639</v>
      </c>
      <c r="T736" s="1182" t="s">
        <v>1814</v>
      </c>
      <c r="U736" s="1182" t="s">
        <v>1815</v>
      </c>
      <c r="V736" s="1182">
        <v>0</v>
      </c>
      <c r="W736" s="1182">
        <v>0</v>
      </c>
      <c r="X736" s="1182">
        <v>0</v>
      </c>
      <c r="Y736" s="1183">
        <v>1539</v>
      </c>
      <c r="Z736" s="1182" t="s">
        <v>2923</v>
      </c>
      <c r="AA736" s="1182" t="s">
        <v>2924</v>
      </c>
      <c r="AB736" s="1182">
        <v>1539</v>
      </c>
      <c r="AC736" s="1182" t="s">
        <v>2925</v>
      </c>
      <c r="AD736" s="1182" t="s">
        <v>1561</v>
      </c>
      <c r="AE736" s="1182">
        <v>1539</v>
      </c>
      <c r="AF736" s="1182" t="s">
        <v>3082</v>
      </c>
      <c r="AG736" s="1182" t="s">
        <v>1944</v>
      </c>
      <c r="AH736" s="1182">
        <v>0</v>
      </c>
      <c r="AI736" s="1182">
        <v>1539</v>
      </c>
      <c r="AJ736" s="1182" t="s">
        <v>4102</v>
      </c>
      <c r="AL736" s="1186" t="s">
        <v>4103</v>
      </c>
      <c r="AM736" s="1182">
        <v>2</v>
      </c>
      <c r="AN736" s="1182">
        <v>21</v>
      </c>
      <c r="AO736" s="1182">
        <v>0</v>
      </c>
      <c r="AP736" s="1182">
        <v>0</v>
      </c>
      <c r="AQ736" s="1182" t="s">
        <v>1639</v>
      </c>
      <c r="AS736" s="1186">
        <v>21</v>
      </c>
      <c r="AT736" s="1186">
        <v>0</v>
      </c>
      <c r="AV736" s="1183">
        <v>1539</v>
      </c>
      <c r="AW736" s="1183">
        <v>0</v>
      </c>
      <c r="AX736" s="1183">
        <v>0</v>
      </c>
      <c r="AY736" s="1538">
        <v>1539</v>
      </c>
      <c r="AZ736" s="1183">
        <v>0</v>
      </c>
      <c r="BA736" s="1183">
        <v>0</v>
      </c>
      <c r="BB736" s="1540">
        <v>0</v>
      </c>
      <c r="BC736" s="1540">
        <v>1539</v>
      </c>
      <c r="BD736" s="1540">
        <v>0</v>
      </c>
      <c r="BF736" s="1539">
        <f t="shared" si="142"/>
        <v>1539</v>
      </c>
      <c r="BG736" s="1539">
        <f t="shared" si="143"/>
        <v>0</v>
      </c>
      <c r="BH736" s="1539">
        <f t="shared" si="144"/>
        <v>0</v>
      </c>
      <c r="BI736" s="1539">
        <f t="shared" si="145"/>
        <v>1539</v>
      </c>
      <c r="BJ736" s="1539">
        <f t="shared" si="146"/>
        <v>0</v>
      </c>
      <c r="BK736" s="1539">
        <f t="shared" si="147"/>
        <v>0</v>
      </c>
      <c r="BL736" s="1539">
        <f t="shared" si="148"/>
        <v>0</v>
      </c>
      <c r="BM736" s="1539">
        <f t="shared" si="149"/>
        <v>1539</v>
      </c>
      <c r="BO736" s="1183"/>
      <c r="BQ736" s="1182">
        <f t="shared" si="150"/>
        <v>0</v>
      </c>
      <c r="BR736" s="1182">
        <f t="shared" si="151"/>
        <v>0</v>
      </c>
    </row>
    <row r="737" spans="1:70" ht="13.5" customHeight="1">
      <c r="A737" s="1182" t="s">
        <v>1803</v>
      </c>
      <c r="B737" s="1182" t="s">
        <v>1804</v>
      </c>
      <c r="C737" s="1182" t="s">
        <v>1639</v>
      </c>
      <c r="D737" s="1182" t="s">
        <v>1967</v>
      </c>
      <c r="E737" s="1182" t="s">
        <v>1968</v>
      </c>
      <c r="F737" s="1182" t="s">
        <v>2738</v>
      </c>
      <c r="G737" s="1182" t="s">
        <v>2738</v>
      </c>
      <c r="H737" s="1182" t="s">
        <v>4104</v>
      </c>
      <c r="I737" s="1182" t="s">
        <v>1809</v>
      </c>
      <c r="J737" s="1182" t="s">
        <v>4105</v>
      </c>
      <c r="K737" s="1182" t="s">
        <v>1811</v>
      </c>
      <c r="L737" s="1182" t="s">
        <v>1812</v>
      </c>
      <c r="M737" s="1182" t="s">
        <v>1803</v>
      </c>
      <c r="N737" s="1182" t="s">
        <v>2922</v>
      </c>
      <c r="O737" s="1182" t="s">
        <v>1554</v>
      </c>
      <c r="P737" s="1182" t="s">
        <v>1563</v>
      </c>
      <c r="Q737" s="1182" t="s">
        <v>1562</v>
      </c>
      <c r="R737" s="1182" t="s">
        <v>1561</v>
      </c>
      <c r="S737" s="1182" t="s">
        <v>1639</v>
      </c>
      <c r="T737" s="1182" t="s">
        <v>1814</v>
      </c>
      <c r="U737" s="1182" t="s">
        <v>1815</v>
      </c>
      <c r="V737" s="1182">
        <v>0</v>
      </c>
      <c r="W737" s="1182">
        <v>0</v>
      </c>
      <c r="X737" s="1182">
        <v>0</v>
      </c>
      <c r="Y737" s="1183">
        <v>2200</v>
      </c>
      <c r="Z737" s="1182" t="s">
        <v>2923</v>
      </c>
      <c r="AA737" s="1182" t="s">
        <v>2924</v>
      </c>
      <c r="AB737" s="1182">
        <v>2200</v>
      </c>
      <c r="AC737" s="1182" t="s">
        <v>2925</v>
      </c>
      <c r="AD737" s="1182" t="s">
        <v>1561</v>
      </c>
      <c r="AE737" s="1182">
        <v>2200</v>
      </c>
      <c r="AF737" s="1182" t="s">
        <v>3082</v>
      </c>
      <c r="AG737" s="1182" t="s">
        <v>1944</v>
      </c>
      <c r="AH737" s="1182">
        <v>0</v>
      </c>
      <c r="AI737" s="1182">
        <v>2200</v>
      </c>
      <c r="AJ737" s="1182" t="s">
        <v>4102</v>
      </c>
      <c r="AL737" s="1186" t="s">
        <v>4106</v>
      </c>
      <c r="AM737" s="1182">
        <v>2</v>
      </c>
      <c r="AN737" s="1182">
        <v>21</v>
      </c>
      <c r="AO737" s="1182">
        <v>0</v>
      </c>
      <c r="AP737" s="1182">
        <v>0</v>
      </c>
      <c r="AQ737" s="1182" t="s">
        <v>1639</v>
      </c>
      <c r="AS737" s="1186">
        <v>21</v>
      </c>
      <c r="AT737" s="1186">
        <v>0</v>
      </c>
      <c r="AV737" s="1183">
        <v>2200</v>
      </c>
      <c r="AW737" s="1183">
        <v>0</v>
      </c>
      <c r="AX737" s="1183">
        <v>0</v>
      </c>
      <c r="AY737" s="1538">
        <v>2200</v>
      </c>
      <c r="AZ737" s="1183">
        <v>0</v>
      </c>
      <c r="BA737" s="1183">
        <v>0</v>
      </c>
      <c r="BB737" s="1540">
        <v>0</v>
      </c>
      <c r="BC737" s="1540">
        <v>2200</v>
      </c>
      <c r="BD737" s="1540">
        <v>0</v>
      </c>
      <c r="BF737" s="1539">
        <f t="shared" si="142"/>
        <v>2200</v>
      </c>
      <c r="BG737" s="1539">
        <f t="shared" si="143"/>
        <v>0</v>
      </c>
      <c r="BH737" s="1539">
        <f t="shared" si="144"/>
        <v>0</v>
      </c>
      <c r="BI737" s="1539">
        <f t="shared" si="145"/>
        <v>2200</v>
      </c>
      <c r="BJ737" s="1539">
        <f t="shared" si="146"/>
        <v>0</v>
      </c>
      <c r="BK737" s="1539">
        <f t="shared" si="147"/>
        <v>0</v>
      </c>
      <c r="BL737" s="1539">
        <f t="shared" si="148"/>
        <v>0</v>
      </c>
      <c r="BM737" s="1539">
        <f t="shared" si="149"/>
        <v>2200</v>
      </c>
      <c r="BO737" s="1183"/>
      <c r="BQ737" s="1182">
        <f t="shared" si="150"/>
        <v>0</v>
      </c>
      <c r="BR737" s="1182">
        <f t="shared" si="151"/>
        <v>0</v>
      </c>
    </row>
    <row r="738" spans="1:70" ht="13.5" customHeight="1">
      <c r="A738" s="1182" t="s">
        <v>1803</v>
      </c>
      <c r="B738" s="1182" t="s">
        <v>1804</v>
      </c>
      <c r="C738" s="1182" t="s">
        <v>1639</v>
      </c>
      <c r="D738" s="1182" t="s">
        <v>2092</v>
      </c>
      <c r="E738" s="1182" t="s">
        <v>2093</v>
      </c>
      <c r="F738" s="1182" t="s">
        <v>2950</v>
      </c>
      <c r="G738" s="1182" t="s">
        <v>2950</v>
      </c>
      <c r="H738" s="1182" t="s">
        <v>4107</v>
      </c>
      <c r="I738" s="1182" t="s">
        <v>1809</v>
      </c>
      <c r="J738" s="1182" t="s">
        <v>4108</v>
      </c>
      <c r="K738" s="1182" t="s">
        <v>1811</v>
      </c>
      <c r="L738" s="1182" t="s">
        <v>1812</v>
      </c>
      <c r="M738" s="1182" t="s">
        <v>1803</v>
      </c>
      <c r="N738" s="1182" t="s">
        <v>2922</v>
      </c>
      <c r="O738" s="1182" t="s">
        <v>1554</v>
      </c>
      <c r="P738" s="1182" t="s">
        <v>1563</v>
      </c>
      <c r="Q738" s="1182" t="s">
        <v>1562</v>
      </c>
      <c r="R738" s="1182" t="s">
        <v>1561</v>
      </c>
      <c r="S738" s="1182" t="s">
        <v>1639</v>
      </c>
      <c r="T738" s="1182" t="s">
        <v>1814</v>
      </c>
      <c r="U738" s="1182" t="s">
        <v>1815</v>
      </c>
      <c r="V738" s="1182">
        <v>0</v>
      </c>
      <c r="W738" s="1182">
        <v>0</v>
      </c>
      <c r="X738" s="1182">
        <v>0</v>
      </c>
      <c r="Y738" s="1183">
        <v>4160</v>
      </c>
      <c r="Z738" s="1182" t="s">
        <v>2923</v>
      </c>
      <c r="AA738" s="1182" t="s">
        <v>2924</v>
      </c>
      <c r="AB738" s="1182">
        <v>4160</v>
      </c>
      <c r="AC738" s="1182" t="s">
        <v>2925</v>
      </c>
      <c r="AD738" s="1182" t="s">
        <v>1561</v>
      </c>
      <c r="AE738" s="1182">
        <v>4160</v>
      </c>
      <c r="AF738" s="1182" t="s">
        <v>1943</v>
      </c>
      <c r="AG738" s="1182" t="s">
        <v>1944</v>
      </c>
      <c r="AH738" s="1182">
        <v>0</v>
      </c>
      <c r="AI738" s="1182">
        <v>4160</v>
      </c>
      <c r="AJ738" s="1182" t="s">
        <v>4109</v>
      </c>
      <c r="AL738" s="1186" t="s">
        <v>4110</v>
      </c>
      <c r="AM738" s="1182">
        <v>1</v>
      </c>
      <c r="AN738" s="1182">
        <v>0</v>
      </c>
      <c r="AO738" s="1182">
        <v>0</v>
      </c>
      <c r="AP738" s="1182">
        <v>0</v>
      </c>
      <c r="AQ738" s="1182" t="s">
        <v>1639</v>
      </c>
      <c r="AS738" s="1186" t="s">
        <v>1943</v>
      </c>
      <c r="AT738" s="1186" t="s">
        <v>1944</v>
      </c>
      <c r="AV738" s="1183">
        <v>4160</v>
      </c>
      <c r="AW738" s="1183">
        <v>0</v>
      </c>
      <c r="AX738" s="1183">
        <v>0</v>
      </c>
      <c r="AY738" s="1538">
        <v>4160</v>
      </c>
      <c r="AZ738" s="1183">
        <v>0</v>
      </c>
      <c r="BA738" s="1183">
        <v>0</v>
      </c>
      <c r="BB738" s="1540">
        <v>0</v>
      </c>
      <c r="BC738" s="1540">
        <v>4160</v>
      </c>
      <c r="BD738" s="1540">
        <v>0</v>
      </c>
      <c r="BF738" s="1539">
        <f t="shared" si="142"/>
        <v>4160</v>
      </c>
      <c r="BG738" s="1539">
        <f t="shared" si="143"/>
        <v>0</v>
      </c>
      <c r="BH738" s="1539">
        <f t="shared" si="144"/>
        <v>0</v>
      </c>
      <c r="BI738" s="1539">
        <f t="shared" si="145"/>
        <v>4160</v>
      </c>
      <c r="BJ738" s="1539">
        <f t="shared" si="146"/>
        <v>0</v>
      </c>
      <c r="BK738" s="1539">
        <f t="shared" si="147"/>
        <v>0</v>
      </c>
      <c r="BL738" s="1539">
        <f t="shared" si="148"/>
        <v>0</v>
      </c>
      <c r="BM738" s="1539">
        <f t="shared" si="149"/>
        <v>4160</v>
      </c>
      <c r="BO738" s="1183"/>
      <c r="BQ738" s="1182">
        <f t="shared" si="150"/>
        <v>0</v>
      </c>
      <c r="BR738" s="1182">
        <f t="shared" si="151"/>
        <v>0</v>
      </c>
    </row>
    <row r="739" spans="1:70" ht="13.5" customHeight="1">
      <c r="A739" s="1182" t="s">
        <v>1803</v>
      </c>
      <c r="B739" s="1182" t="s">
        <v>1804</v>
      </c>
      <c r="C739" s="1182" t="s">
        <v>1639</v>
      </c>
      <c r="D739" s="1182" t="s">
        <v>2092</v>
      </c>
      <c r="E739" s="1182" t="s">
        <v>2093</v>
      </c>
      <c r="F739" s="1182" t="s">
        <v>2950</v>
      </c>
      <c r="G739" s="1182" t="s">
        <v>2950</v>
      </c>
      <c r="H739" s="1182" t="s">
        <v>4111</v>
      </c>
      <c r="I739" s="1182" t="s">
        <v>1809</v>
      </c>
      <c r="J739" s="1182" t="s">
        <v>4112</v>
      </c>
      <c r="K739" s="1182" t="s">
        <v>1811</v>
      </c>
      <c r="L739" s="1182" t="s">
        <v>1812</v>
      </c>
      <c r="M739" s="1182" t="s">
        <v>1803</v>
      </c>
      <c r="N739" s="1182" t="s">
        <v>2922</v>
      </c>
      <c r="O739" s="1182" t="s">
        <v>1554</v>
      </c>
      <c r="P739" s="1182" t="s">
        <v>1563</v>
      </c>
      <c r="Q739" s="1182" t="s">
        <v>1562</v>
      </c>
      <c r="R739" s="1182" t="s">
        <v>1561</v>
      </c>
      <c r="S739" s="1182" t="s">
        <v>1639</v>
      </c>
      <c r="T739" s="1182" t="s">
        <v>1814</v>
      </c>
      <c r="U739" s="1182" t="s">
        <v>1815</v>
      </c>
      <c r="V739" s="1182">
        <v>0</v>
      </c>
      <c r="W739" s="1182">
        <v>0</v>
      </c>
      <c r="X739" s="1182">
        <v>0</v>
      </c>
      <c r="Y739" s="1183">
        <v>11900</v>
      </c>
      <c r="Z739" s="1182" t="s">
        <v>2923</v>
      </c>
      <c r="AA739" s="1182" t="s">
        <v>2924</v>
      </c>
      <c r="AB739" s="1182">
        <v>11900</v>
      </c>
      <c r="AC739" s="1182" t="s">
        <v>2925</v>
      </c>
      <c r="AD739" s="1182" t="s">
        <v>1561</v>
      </c>
      <c r="AE739" s="1182">
        <v>11900</v>
      </c>
      <c r="AF739" s="1182" t="s">
        <v>1943</v>
      </c>
      <c r="AG739" s="1182" t="s">
        <v>1944</v>
      </c>
      <c r="AH739" s="1182">
        <v>0</v>
      </c>
      <c r="AI739" s="1182">
        <v>11900</v>
      </c>
      <c r="AJ739" s="1182" t="s">
        <v>4113</v>
      </c>
      <c r="AL739" s="1186" t="s">
        <v>4114</v>
      </c>
      <c r="AM739" s="1182">
        <v>1</v>
      </c>
      <c r="AN739" s="1182">
        <v>0</v>
      </c>
      <c r="AO739" s="1182">
        <v>0</v>
      </c>
      <c r="AP739" s="1182">
        <v>0</v>
      </c>
      <c r="AQ739" s="1182" t="s">
        <v>1639</v>
      </c>
      <c r="AS739" s="1186" t="s">
        <v>1943</v>
      </c>
      <c r="AT739" s="1186" t="s">
        <v>1944</v>
      </c>
      <c r="AV739" s="1183">
        <v>11900</v>
      </c>
      <c r="AW739" s="1183">
        <v>0</v>
      </c>
      <c r="AX739" s="1183">
        <v>0</v>
      </c>
      <c r="AY739" s="1538">
        <v>11900</v>
      </c>
      <c r="AZ739" s="1183">
        <v>0</v>
      </c>
      <c r="BA739" s="1183">
        <v>0</v>
      </c>
      <c r="BB739" s="1540">
        <v>0</v>
      </c>
      <c r="BC739" s="1540">
        <v>11900</v>
      </c>
      <c r="BD739" s="1540">
        <v>0</v>
      </c>
      <c r="BF739" s="1539">
        <f t="shared" si="142"/>
        <v>11900</v>
      </c>
      <c r="BG739" s="1539">
        <f t="shared" si="143"/>
        <v>0</v>
      </c>
      <c r="BH739" s="1539">
        <f t="shared" si="144"/>
        <v>0</v>
      </c>
      <c r="BI739" s="1539">
        <f t="shared" si="145"/>
        <v>11900</v>
      </c>
      <c r="BJ739" s="1539">
        <f t="shared" si="146"/>
        <v>0</v>
      </c>
      <c r="BK739" s="1539">
        <f t="shared" si="147"/>
        <v>0</v>
      </c>
      <c r="BL739" s="1539">
        <f t="shared" si="148"/>
        <v>0</v>
      </c>
      <c r="BM739" s="1539">
        <f t="shared" si="149"/>
        <v>11900</v>
      </c>
      <c r="BO739" s="1183"/>
      <c r="BQ739" s="1182">
        <f t="shared" si="150"/>
        <v>0</v>
      </c>
      <c r="BR739" s="1182">
        <f t="shared" si="151"/>
        <v>0</v>
      </c>
    </row>
    <row r="740" spans="1:70" ht="13.5" customHeight="1">
      <c r="A740" s="1182" t="s">
        <v>1803</v>
      </c>
      <c r="B740" s="1182" t="s">
        <v>1804</v>
      </c>
      <c r="C740" s="1182" t="s">
        <v>1639</v>
      </c>
      <c r="D740" s="1182" t="s">
        <v>2092</v>
      </c>
      <c r="E740" s="1182" t="s">
        <v>2093</v>
      </c>
      <c r="F740" s="1182" t="s">
        <v>2950</v>
      </c>
      <c r="G740" s="1182" t="s">
        <v>2950</v>
      </c>
      <c r="H740" s="1182" t="s">
        <v>4115</v>
      </c>
      <c r="I740" s="1182" t="s">
        <v>1809</v>
      </c>
      <c r="J740" s="1182" t="s">
        <v>4116</v>
      </c>
      <c r="K740" s="1182" t="s">
        <v>1811</v>
      </c>
      <c r="L740" s="1182" t="s">
        <v>1812</v>
      </c>
      <c r="M740" s="1182" t="s">
        <v>1803</v>
      </c>
      <c r="N740" s="1182" t="s">
        <v>2922</v>
      </c>
      <c r="O740" s="1182" t="s">
        <v>1554</v>
      </c>
      <c r="P740" s="1182" t="s">
        <v>1563</v>
      </c>
      <c r="Q740" s="1182" t="s">
        <v>1562</v>
      </c>
      <c r="R740" s="1182" t="s">
        <v>1561</v>
      </c>
      <c r="S740" s="1182" t="s">
        <v>1639</v>
      </c>
      <c r="T740" s="1182" t="s">
        <v>1814</v>
      </c>
      <c r="U740" s="1182" t="s">
        <v>1815</v>
      </c>
      <c r="V740" s="1182">
        <v>0</v>
      </c>
      <c r="W740" s="1182">
        <v>0</v>
      </c>
      <c r="X740" s="1182">
        <v>0</v>
      </c>
      <c r="Y740" s="1183">
        <v>21620</v>
      </c>
      <c r="Z740" s="1182" t="s">
        <v>2923</v>
      </c>
      <c r="AA740" s="1182" t="s">
        <v>2924</v>
      </c>
      <c r="AB740" s="1182">
        <v>21620</v>
      </c>
      <c r="AC740" s="1182" t="s">
        <v>2925</v>
      </c>
      <c r="AD740" s="1182" t="s">
        <v>1561</v>
      </c>
      <c r="AE740" s="1182">
        <v>21620</v>
      </c>
      <c r="AF740" s="1182" t="s">
        <v>1943</v>
      </c>
      <c r="AG740" s="1182" t="s">
        <v>1944</v>
      </c>
      <c r="AH740" s="1182">
        <v>0</v>
      </c>
      <c r="AI740" s="1182">
        <v>21620</v>
      </c>
      <c r="AJ740" s="1182" t="s">
        <v>4117</v>
      </c>
      <c r="AL740" s="1186" t="s">
        <v>4118</v>
      </c>
      <c r="AM740" s="1182">
        <v>1</v>
      </c>
      <c r="AN740" s="1182">
        <v>0</v>
      </c>
      <c r="AO740" s="1182">
        <v>0</v>
      </c>
      <c r="AP740" s="1182">
        <v>0</v>
      </c>
      <c r="AQ740" s="1182" t="s">
        <v>1639</v>
      </c>
      <c r="AS740" s="1186" t="s">
        <v>1943</v>
      </c>
      <c r="AT740" s="1186" t="s">
        <v>1944</v>
      </c>
      <c r="AV740" s="1183">
        <v>21620</v>
      </c>
      <c r="AW740" s="1183">
        <v>0</v>
      </c>
      <c r="AX740" s="1183">
        <v>0</v>
      </c>
      <c r="AY740" s="1538">
        <v>21620</v>
      </c>
      <c r="AZ740" s="1183">
        <v>0</v>
      </c>
      <c r="BA740" s="1183">
        <v>0</v>
      </c>
      <c r="BB740" s="1540">
        <v>0</v>
      </c>
      <c r="BC740" s="1540">
        <v>21620</v>
      </c>
      <c r="BD740" s="1540">
        <v>0</v>
      </c>
      <c r="BF740" s="1539">
        <f t="shared" si="142"/>
        <v>21620</v>
      </c>
      <c r="BG740" s="1539">
        <f t="shared" si="143"/>
        <v>0</v>
      </c>
      <c r="BH740" s="1539">
        <f t="shared" si="144"/>
        <v>0</v>
      </c>
      <c r="BI740" s="1539">
        <f t="shared" si="145"/>
        <v>21620</v>
      </c>
      <c r="BJ740" s="1539">
        <f t="shared" si="146"/>
        <v>0</v>
      </c>
      <c r="BK740" s="1539">
        <f t="shared" si="147"/>
        <v>0</v>
      </c>
      <c r="BL740" s="1539">
        <f t="shared" si="148"/>
        <v>0</v>
      </c>
      <c r="BM740" s="1539">
        <f t="shared" si="149"/>
        <v>21620</v>
      </c>
      <c r="BO740" s="1183"/>
      <c r="BQ740" s="1182">
        <f t="shared" si="150"/>
        <v>0</v>
      </c>
      <c r="BR740" s="1182">
        <f t="shared" si="151"/>
        <v>0</v>
      </c>
    </row>
    <row r="741" spans="1:70" ht="13.5" customHeight="1">
      <c r="A741" s="1182" t="s">
        <v>1803</v>
      </c>
      <c r="B741" s="1182" t="s">
        <v>1804</v>
      </c>
      <c r="C741" s="1182" t="s">
        <v>1639</v>
      </c>
      <c r="D741" s="1182" t="s">
        <v>2092</v>
      </c>
      <c r="E741" s="1182" t="s">
        <v>2093</v>
      </c>
      <c r="F741" s="1182" t="s">
        <v>2950</v>
      </c>
      <c r="G741" s="1182" t="s">
        <v>2950</v>
      </c>
      <c r="H741" s="1182" t="s">
        <v>4119</v>
      </c>
      <c r="I741" s="1182" t="s">
        <v>1809</v>
      </c>
      <c r="J741" s="1182" t="s">
        <v>4120</v>
      </c>
      <c r="K741" s="1182" t="s">
        <v>1811</v>
      </c>
      <c r="L741" s="1182" t="s">
        <v>1812</v>
      </c>
      <c r="M741" s="1182" t="s">
        <v>1803</v>
      </c>
      <c r="N741" s="1182" t="s">
        <v>2922</v>
      </c>
      <c r="O741" s="1182" t="s">
        <v>1554</v>
      </c>
      <c r="P741" s="1182" t="s">
        <v>1563</v>
      </c>
      <c r="Q741" s="1182" t="s">
        <v>1562</v>
      </c>
      <c r="R741" s="1182" t="s">
        <v>1561</v>
      </c>
      <c r="S741" s="1182" t="s">
        <v>1639</v>
      </c>
      <c r="T741" s="1182" t="s">
        <v>1814</v>
      </c>
      <c r="U741" s="1182" t="s">
        <v>1815</v>
      </c>
      <c r="V741" s="1182">
        <v>0</v>
      </c>
      <c r="W741" s="1182">
        <v>0</v>
      </c>
      <c r="X741" s="1182">
        <v>0</v>
      </c>
      <c r="Y741" s="1183">
        <v>19</v>
      </c>
      <c r="Z741" s="1182" t="s">
        <v>2923</v>
      </c>
      <c r="AA741" s="1182" t="s">
        <v>2924</v>
      </c>
      <c r="AB741" s="1182">
        <v>19</v>
      </c>
      <c r="AC741" s="1182" t="s">
        <v>2925</v>
      </c>
      <c r="AD741" s="1182" t="s">
        <v>1561</v>
      </c>
      <c r="AE741" s="1182">
        <v>19</v>
      </c>
      <c r="AF741" s="1182" t="s">
        <v>1943</v>
      </c>
      <c r="AG741" s="1182" t="s">
        <v>1944</v>
      </c>
      <c r="AH741" s="1182">
        <v>0</v>
      </c>
      <c r="AI741" s="1182">
        <v>19</v>
      </c>
      <c r="AJ741" s="1182" t="s">
        <v>4121</v>
      </c>
      <c r="AL741" s="1186" t="s">
        <v>4122</v>
      </c>
      <c r="AM741" s="1182">
        <v>1</v>
      </c>
      <c r="AN741" s="1182">
        <v>0</v>
      </c>
      <c r="AO741" s="1182">
        <v>0</v>
      </c>
      <c r="AP741" s="1182">
        <v>0</v>
      </c>
      <c r="AQ741" s="1182" t="s">
        <v>1639</v>
      </c>
      <c r="AS741" s="1186" t="s">
        <v>1943</v>
      </c>
      <c r="AT741" s="1186" t="s">
        <v>1944</v>
      </c>
      <c r="AV741" s="1183">
        <v>19</v>
      </c>
      <c r="AW741" s="1183">
        <v>0</v>
      </c>
      <c r="AX741" s="1183">
        <v>0</v>
      </c>
      <c r="AY741" s="1538">
        <v>19</v>
      </c>
      <c r="AZ741" s="1183">
        <v>0</v>
      </c>
      <c r="BA741" s="1183">
        <v>0</v>
      </c>
      <c r="BB741" s="1540">
        <v>0</v>
      </c>
      <c r="BC741" s="1540">
        <v>19</v>
      </c>
      <c r="BD741" s="1540">
        <v>0</v>
      </c>
      <c r="BF741" s="1539">
        <f t="shared" si="142"/>
        <v>19</v>
      </c>
      <c r="BG741" s="1539">
        <f t="shared" si="143"/>
        <v>0</v>
      </c>
      <c r="BH741" s="1539">
        <f t="shared" si="144"/>
        <v>0</v>
      </c>
      <c r="BI741" s="1539">
        <f t="shared" si="145"/>
        <v>19</v>
      </c>
      <c r="BJ741" s="1539">
        <f t="shared" si="146"/>
        <v>0</v>
      </c>
      <c r="BK741" s="1539">
        <f t="shared" si="147"/>
        <v>0</v>
      </c>
      <c r="BL741" s="1539">
        <f t="shared" si="148"/>
        <v>0</v>
      </c>
      <c r="BM741" s="1539">
        <f t="shared" si="149"/>
        <v>19</v>
      </c>
      <c r="BO741" s="1183"/>
      <c r="BQ741" s="1182">
        <f t="shared" si="150"/>
        <v>0</v>
      </c>
      <c r="BR741" s="1182">
        <f t="shared" si="151"/>
        <v>0</v>
      </c>
    </row>
    <row r="742" spans="1:70" ht="13.5" customHeight="1">
      <c r="A742" s="1182" t="s">
        <v>1803</v>
      </c>
      <c r="B742" s="1182" t="s">
        <v>1804</v>
      </c>
      <c r="C742" s="1182" t="s">
        <v>1639</v>
      </c>
      <c r="D742" s="1182" t="s">
        <v>2092</v>
      </c>
      <c r="E742" s="1182" t="s">
        <v>2093</v>
      </c>
      <c r="F742" s="1182" t="s">
        <v>2950</v>
      </c>
      <c r="G742" s="1182" t="s">
        <v>2950</v>
      </c>
      <c r="H742" s="1182" t="s">
        <v>4123</v>
      </c>
      <c r="I742" s="1182" t="s">
        <v>1809</v>
      </c>
      <c r="J742" s="1182" t="s">
        <v>4124</v>
      </c>
      <c r="K742" s="1182" t="s">
        <v>1811</v>
      </c>
      <c r="L742" s="1182" t="s">
        <v>1812</v>
      </c>
      <c r="M742" s="1182" t="s">
        <v>1803</v>
      </c>
      <c r="N742" s="1182" t="s">
        <v>2922</v>
      </c>
      <c r="O742" s="1182" t="s">
        <v>1554</v>
      </c>
      <c r="P742" s="1182" t="s">
        <v>1563</v>
      </c>
      <c r="Q742" s="1182" t="s">
        <v>1562</v>
      </c>
      <c r="R742" s="1182" t="s">
        <v>1561</v>
      </c>
      <c r="S742" s="1182" t="s">
        <v>1639</v>
      </c>
      <c r="T742" s="1182" t="s">
        <v>1814</v>
      </c>
      <c r="U742" s="1182" t="s">
        <v>1815</v>
      </c>
      <c r="V742" s="1182">
        <v>0</v>
      </c>
      <c r="W742" s="1182">
        <v>0</v>
      </c>
      <c r="X742" s="1182">
        <v>0</v>
      </c>
      <c r="Y742" s="1183">
        <v>6700</v>
      </c>
      <c r="Z742" s="1182" t="s">
        <v>2923</v>
      </c>
      <c r="AA742" s="1182" t="s">
        <v>2924</v>
      </c>
      <c r="AB742" s="1182">
        <v>6700</v>
      </c>
      <c r="AC742" s="1182" t="s">
        <v>2925</v>
      </c>
      <c r="AD742" s="1182" t="s">
        <v>1561</v>
      </c>
      <c r="AE742" s="1182">
        <v>6700</v>
      </c>
      <c r="AF742" s="1182" t="s">
        <v>1943</v>
      </c>
      <c r="AG742" s="1182" t="s">
        <v>1944</v>
      </c>
      <c r="AH742" s="1182">
        <v>0</v>
      </c>
      <c r="AI742" s="1182">
        <v>6700</v>
      </c>
      <c r="AJ742" s="1182" t="s">
        <v>4125</v>
      </c>
      <c r="AL742" s="1186" t="s">
        <v>4126</v>
      </c>
      <c r="AM742" s="1182">
        <v>1</v>
      </c>
      <c r="AN742" s="1182">
        <v>0</v>
      </c>
      <c r="AO742" s="1182">
        <v>0</v>
      </c>
      <c r="AP742" s="1182">
        <v>0</v>
      </c>
      <c r="AQ742" s="1182" t="s">
        <v>1639</v>
      </c>
      <c r="AS742" s="1186" t="s">
        <v>1943</v>
      </c>
      <c r="AT742" s="1186" t="s">
        <v>1944</v>
      </c>
      <c r="AV742" s="1183">
        <v>6700</v>
      </c>
      <c r="AW742" s="1183">
        <v>0</v>
      </c>
      <c r="AX742" s="1183">
        <v>0</v>
      </c>
      <c r="AY742" s="1538">
        <v>6700</v>
      </c>
      <c r="AZ742" s="1183">
        <v>0</v>
      </c>
      <c r="BA742" s="1183">
        <v>0</v>
      </c>
      <c r="BB742" s="1540">
        <v>0</v>
      </c>
      <c r="BC742" s="1540">
        <v>6700</v>
      </c>
      <c r="BD742" s="1540">
        <v>0</v>
      </c>
      <c r="BF742" s="1539">
        <f t="shared" si="142"/>
        <v>6700</v>
      </c>
      <c r="BG742" s="1539">
        <f t="shared" si="143"/>
        <v>0</v>
      </c>
      <c r="BH742" s="1539">
        <f t="shared" si="144"/>
        <v>0</v>
      </c>
      <c r="BI742" s="1539">
        <f t="shared" si="145"/>
        <v>6700</v>
      </c>
      <c r="BJ742" s="1539">
        <f t="shared" si="146"/>
        <v>0</v>
      </c>
      <c r="BK742" s="1539">
        <f t="shared" si="147"/>
        <v>0</v>
      </c>
      <c r="BL742" s="1539">
        <f t="shared" si="148"/>
        <v>0</v>
      </c>
      <c r="BM742" s="1539">
        <f t="shared" si="149"/>
        <v>6700</v>
      </c>
      <c r="BO742" s="1183"/>
      <c r="BQ742" s="1182">
        <f t="shared" si="150"/>
        <v>0</v>
      </c>
      <c r="BR742" s="1182">
        <f t="shared" si="151"/>
        <v>0</v>
      </c>
    </row>
    <row r="743" spans="1:70" ht="13.5" customHeight="1">
      <c r="A743" s="1182" t="s">
        <v>1803</v>
      </c>
      <c r="B743" s="1182" t="s">
        <v>1804</v>
      </c>
      <c r="C743" s="1182" t="s">
        <v>1639</v>
      </c>
      <c r="D743" s="1182" t="s">
        <v>2092</v>
      </c>
      <c r="E743" s="1182" t="s">
        <v>2093</v>
      </c>
      <c r="F743" s="1182" t="s">
        <v>2950</v>
      </c>
      <c r="G743" s="1182" t="s">
        <v>2950</v>
      </c>
      <c r="H743" s="1182" t="s">
        <v>4127</v>
      </c>
      <c r="I743" s="1182" t="s">
        <v>1809</v>
      </c>
      <c r="J743" s="1182" t="s">
        <v>4128</v>
      </c>
      <c r="K743" s="1182" t="s">
        <v>1811</v>
      </c>
      <c r="L743" s="1182" t="s">
        <v>1812</v>
      </c>
      <c r="M743" s="1182" t="s">
        <v>1803</v>
      </c>
      <c r="N743" s="1182" t="s">
        <v>2922</v>
      </c>
      <c r="O743" s="1182" t="s">
        <v>1554</v>
      </c>
      <c r="P743" s="1182" t="s">
        <v>1563</v>
      </c>
      <c r="Q743" s="1182" t="s">
        <v>1562</v>
      </c>
      <c r="R743" s="1182" t="s">
        <v>1561</v>
      </c>
      <c r="S743" s="1182" t="s">
        <v>1639</v>
      </c>
      <c r="T743" s="1182" t="s">
        <v>1814</v>
      </c>
      <c r="U743" s="1182" t="s">
        <v>1815</v>
      </c>
      <c r="V743" s="1182">
        <v>0</v>
      </c>
      <c r="W743" s="1182">
        <v>0</v>
      </c>
      <c r="X743" s="1182">
        <v>0</v>
      </c>
      <c r="Y743" s="1183">
        <v>39</v>
      </c>
      <c r="Z743" s="1182" t="s">
        <v>2923</v>
      </c>
      <c r="AA743" s="1182" t="s">
        <v>2924</v>
      </c>
      <c r="AB743" s="1182">
        <v>39</v>
      </c>
      <c r="AC743" s="1182" t="s">
        <v>2925</v>
      </c>
      <c r="AD743" s="1182" t="s">
        <v>1561</v>
      </c>
      <c r="AE743" s="1182">
        <v>39</v>
      </c>
      <c r="AF743" s="1182" t="s">
        <v>1943</v>
      </c>
      <c r="AG743" s="1182" t="s">
        <v>1944</v>
      </c>
      <c r="AH743" s="1182">
        <v>0</v>
      </c>
      <c r="AI743" s="1182">
        <v>39</v>
      </c>
      <c r="AJ743" s="1182" t="s">
        <v>4129</v>
      </c>
      <c r="AL743" s="1186" t="s">
        <v>4130</v>
      </c>
      <c r="AM743" s="1182">
        <v>1</v>
      </c>
      <c r="AN743" s="1182">
        <v>0</v>
      </c>
      <c r="AO743" s="1182">
        <v>0</v>
      </c>
      <c r="AP743" s="1182">
        <v>0</v>
      </c>
      <c r="AQ743" s="1182" t="s">
        <v>1639</v>
      </c>
      <c r="AS743" s="1186" t="s">
        <v>1943</v>
      </c>
      <c r="AT743" s="1186" t="s">
        <v>1944</v>
      </c>
      <c r="AV743" s="1183">
        <v>39</v>
      </c>
      <c r="AW743" s="1183">
        <v>0</v>
      </c>
      <c r="AX743" s="1183">
        <v>0</v>
      </c>
      <c r="AY743" s="1538">
        <v>39</v>
      </c>
      <c r="AZ743" s="1183">
        <v>0</v>
      </c>
      <c r="BA743" s="1183">
        <v>0</v>
      </c>
      <c r="BB743" s="1540">
        <v>0</v>
      </c>
      <c r="BC743" s="1540">
        <v>39</v>
      </c>
      <c r="BD743" s="1540">
        <v>0</v>
      </c>
      <c r="BF743" s="1539">
        <f t="shared" si="142"/>
        <v>39</v>
      </c>
      <c r="BG743" s="1539">
        <f t="shared" si="143"/>
        <v>0</v>
      </c>
      <c r="BH743" s="1539">
        <f t="shared" si="144"/>
        <v>0</v>
      </c>
      <c r="BI743" s="1539">
        <f t="shared" si="145"/>
        <v>39</v>
      </c>
      <c r="BJ743" s="1539">
        <f t="shared" si="146"/>
        <v>0</v>
      </c>
      <c r="BK743" s="1539">
        <f t="shared" si="147"/>
        <v>0</v>
      </c>
      <c r="BL743" s="1539">
        <f t="shared" si="148"/>
        <v>0</v>
      </c>
      <c r="BM743" s="1539">
        <f t="shared" si="149"/>
        <v>39</v>
      </c>
      <c r="BO743" s="1183"/>
      <c r="BQ743" s="1182">
        <f t="shared" si="150"/>
        <v>0</v>
      </c>
      <c r="BR743" s="1182">
        <f t="shared" si="151"/>
        <v>0</v>
      </c>
    </row>
    <row r="744" spans="1:70" ht="13.5" customHeight="1">
      <c r="A744" s="1182" t="s">
        <v>1803</v>
      </c>
      <c r="B744" s="1182" t="s">
        <v>1804</v>
      </c>
      <c r="C744" s="1182" t="s">
        <v>1639</v>
      </c>
      <c r="D744" s="1182" t="s">
        <v>2092</v>
      </c>
      <c r="E744" s="1182" t="s">
        <v>2093</v>
      </c>
      <c r="F744" s="1182" t="s">
        <v>2950</v>
      </c>
      <c r="G744" s="1182" t="s">
        <v>2950</v>
      </c>
      <c r="H744" s="1182" t="s">
        <v>4131</v>
      </c>
      <c r="I744" s="1182" t="s">
        <v>1809</v>
      </c>
      <c r="J744" s="1182" t="s">
        <v>4132</v>
      </c>
      <c r="K744" s="1182" t="s">
        <v>1811</v>
      </c>
      <c r="L744" s="1182" t="s">
        <v>1812</v>
      </c>
      <c r="M744" s="1182" t="s">
        <v>1803</v>
      </c>
      <c r="N744" s="1182" t="s">
        <v>2922</v>
      </c>
      <c r="O744" s="1182" t="s">
        <v>1554</v>
      </c>
      <c r="P744" s="1182" t="s">
        <v>1563</v>
      </c>
      <c r="Q744" s="1182" t="s">
        <v>1562</v>
      </c>
      <c r="R744" s="1182" t="s">
        <v>1561</v>
      </c>
      <c r="S744" s="1182" t="s">
        <v>1639</v>
      </c>
      <c r="T744" s="1182" t="s">
        <v>1814</v>
      </c>
      <c r="U744" s="1182" t="s">
        <v>1815</v>
      </c>
      <c r="V744" s="1182">
        <v>0</v>
      </c>
      <c r="W744" s="1182">
        <v>0</v>
      </c>
      <c r="X744" s="1182">
        <v>0</v>
      </c>
      <c r="Y744" s="1183">
        <v>16800</v>
      </c>
      <c r="Z744" s="1182" t="s">
        <v>2923</v>
      </c>
      <c r="AA744" s="1182" t="s">
        <v>2924</v>
      </c>
      <c r="AB744" s="1182">
        <v>16800</v>
      </c>
      <c r="AC744" s="1182" t="s">
        <v>2925</v>
      </c>
      <c r="AD744" s="1182" t="s">
        <v>1561</v>
      </c>
      <c r="AE744" s="1182">
        <v>16800</v>
      </c>
      <c r="AF744" s="1182" t="s">
        <v>1943</v>
      </c>
      <c r="AG744" s="1182" t="s">
        <v>1944</v>
      </c>
      <c r="AH744" s="1182">
        <v>0</v>
      </c>
      <c r="AI744" s="1182">
        <v>16800</v>
      </c>
      <c r="AJ744" s="1182" t="s">
        <v>4133</v>
      </c>
      <c r="AL744" s="1186" t="s">
        <v>4134</v>
      </c>
      <c r="AM744" s="1182">
        <v>1</v>
      </c>
      <c r="AN744" s="1182">
        <v>0</v>
      </c>
      <c r="AO744" s="1182">
        <v>0</v>
      </c>
      <c r="AP744" s="1182">
        <v>0</v>
      </c>
      <c r="AQ744" s="1182" t="s">
        <v>1639</v>
      </c>
      <c r="AS744" s="1186" t="s">
        <v>1943</v>
      </c>
      <c r="AT744" s="1186" t="s">
        <v>1944</v>
      </c>
      <c r="AV744" s="1183">
        <v>16800</v>
      </c>
      <c r="AW744" s="1183">
        <v>0</v>
      </c>
      <c r="AX744" s="1183">
        <v>0</v>
      </c>
      <c r="AY744" s="1538">
        <v>16800</v>
      </c>
      <c r="AZ744" s="1183">
        <v>0</v>
      </c>
      <c r="BA744" s="1183">
        <v>0</v>
      </c>
      <c r="BB744" s="1540">
        <v>0</v>
      </c>
      <c r="BC744" s="1540">
        <v>16800</v>
      </c>
      <c r="BD744" s="1540">
        <v>0</v>
      </c>
      <c r="BF744" s="1539">
        <f t="shared" si="142"/>
        <v>16800</v>
      </c>
      <c r="BG744" s="1539">
        <f t="shared" si="143"/>
        <v>0</v>
      </c>
      <c r="BH744" s="1539">
        <f t="shared" si="144"/>
        <v>0</v>
      </c>
      <c r="BI744" s="1539">
        <f t="shared" si="145"/>
        <v>16800</v>
      </c>
      <c r="BJ744" s="1539">
        <f t="shared" si="146"/>
        <v>0</v>
      </c>
      <c r="BK744" s="1539">
        <f t="shared" si="147"/>
        <v>0</v>
      </c>
      <c r="BL744" s="1539">
        <f t="shared" si="148"/>
        <v>0</v>
      </c>
      <c r="BM744" s="1539">
        <f t="shared" si="149"/>
        <v>16800</v>
      </c>
      <c r="BO744" s="1183"/>
      <c r="BQ744" s="1182">
        <f t="shared" si="150"/>
        <v>0</v>
      </c>
      <c r="BR744" s="1182">
        <f t="shared" si="151"/>
        <v>0</v>
      </c>
    </row>
    <row r="745" spans="1:70" ht="13.5" customHeight="1">
      <c r="A745" s="1182" t="s">
        <v>1803</v>
      </c>
      <c r="B745" s="1182" t="s">
        <v>1804</v>
      </c>
      <c r="C745" s="1182" t="s">
        <v>1639</v>
      </c>
      <c r="D745" s="1182" t="s">
        <v>2092</v>
      </c>
      <c r="E745" s="1182" t="s">
        <v>2093</v>
      </c>
      <c r="F745" s="1182" t="s">
        <v>2950</v>
      </c>
      <c r="G745" s="1182" t="s">
        <v>2950</v>
      </c>
      <c r="H745" s="1182" t="s">
        <v>4135</v>
      </c>
      <c r="I745" s="1182" t="s">
        <v>1809</v>
      </c>
      <c r="J745" s="1182" t="s">
        <v>4136</v>
      </c>
      <c r="K745" s="1182" t="s">
        <v>1811</v>
      </c>
      <c r="L745" s="1182" t="s">
        <v>1812</v>
      </c>
      <c r="M745" s="1182" t="s">
        <v>1803</v>
      </c>
      <c r="N745" s="1182" t="s">
        <v>2922</v>
      </c>
      <c r="O745" s="1182" t="s">
        <v>1554</v>
      </c>
      <c r="P745" s="1182" t="s">
        <v>1563</v>
      </c>
      <c r="Q745" s="1182" t="s">
        <v>1562</v>
      </c>
      <c r="R745" s="1182" t="s">
        <v>1561</v>
      </c>
      <c r="S745" s="1182" t="s">
        <v>1639</v>
      </c>
      <c r="T745" s="1182" t="s">
        <v>1814</v>
      </c>
      <c r="U745" s="1182" t="s">
        <v>1815</v>
      </c>
      <c r="V745" s="1182">
        <v>0</v>
      </c>
      <c r="W745" s="1182">
        <v>0</v>
      </c>
      <c r="X745" s="1182">
        <v>0</v>
      </c>
      <c r="Y745" s="1183">
        <v>6000</v>
      </c>
      <c r="Z745" s="1182" t="s">
        <v>2923</v>
      </c>
      <c r="AA745" s="1182" t="s">
        <v>2924</v>
      </c>
      <c r="AB745" s="1182">
        <v>6000</v>
      </c>
      <c r="AC745" s="1182" t="s">
        <v>2925</v>
      </c>
      <c r="AD745" s="1182" t="s">
        <v>1561</v>
      </c>
      <c r="AE745" s="1182">
        <v>6000</v>
      </c>
      <c r="AF745" s="1182" t="s">
        <v>1943</v>
      </c>
      <c r="AG745" s="1182" t="s">
        <v>1944</v>
      </c>
      <c r="AH745" s="1182">
        <v>0</v>
      </c>
      <c r="AI745" s="1182">
        <v>6000</v>
      </c>
      <c r="AJ745" s="1182" t="s">
        <v>4137</v>
      </c>
      <c r="AL745" s="1186" t="s">
        <v>4138</v>
      </c>
      <c r="AM745" s="1182">
        <v>1</v>
      </c>
      <c r="AN745" s="1182">
        <v>0</v>
      </c>
      <c r="AO745" s="1182">
        <v>0</v>
      </c>
      <c r="AP745" s="1182">
        <v>0</v>
      </c>
      <c r="AQ745" s="1182" t="s">
        <v>1639</v>
      </c>
      <c r="AS745" s="1186" t="s">
        <v>1943</v>
      </c>
      <c r="AT745" s="1186" t="s">
        <v>1944</v>
      </c>
      <c r="AV745" s="1183">
        <v>6000</v>
      </c>
      <c r="AW745" s="1183">
        <v>0</v>
      </c>
      <c r="AX745" s="1183">
        <v>0</v>
      </c>
      <c r="AY745" s="1538">
        <v>6000</v>
      </c>
      <c r="AZ745" s="1183">
        <v>0</v>
      </c>
      <c r="BA745" s="1183">
        <v>0</v>
      </c>
      <c r="BB745" s="1540">
        <v>0</v>
      </c>
      <c r="BC745" s="1540">
        <v>6000</v>
      </c>
      <c r="BD745" s="1540">
        <v>0</v>
      </c>
      <c r="BF745" s="1539">
        <f t="shared" si="142"/>
        <v>6000</v>
      </c>
      <c r="BG745" s="1539">
        <f t="shared" si="143"/>
        <v>0</v>
      </c>
      <c r="BH745" s="1539">
        <f t="shared" si="144"/>
        <v>0</v>
      </c>
      <c r="BI745" s="1539">
        <f t="shared" si="145"/>
        <v>6000</v>
      </c>
      <c r="BJ745" s="1539">
        <f t="shared" si="146"/>
        <v>0</v>
      </c>
      <c r="BK745" s="1539">
        <f t="shared" si="147"/>
        <v>0</v>
      </c>
      <c r="BL745" s="1539">
        <f t="shared" si="148"/>
        <v>0</v>
      </c>
      <c r="BM745" s="1539">
        <f t="shared" si="149"/>
        <v>6000</v>
      </c>
      <c r="BO745" s="1183"/>
      <c r="BQ745" s="1182">
        <f t="shared" si="150"/>
        <v>0</v>
      </c>
      <c r="BR745" s="1182">
        <f t="shared" si="151"/>
        <v>0</v>
      </c>
    </row>
    <row r="746" spans="1:70" ht="13.5" customHeight="1">
      <c r="A746" s="1182" t="s">
        <v>1803</v>
      </c>
      <c r="B746" s="1182" t="s">
        <v>1804</v>
      </c>
      <c r="C746" s="1182" t="s">
        <v>1639</v>
      </c>
      <c r="D746" s="1182" t="s">
        <v>2092</v>
      </c>
      <c r="E746" s="1182" t="s">
        <v>2093</v>
      </c>
      <c r="F746" s="1182" t="s">
        <v>2950</v>
      </c>
      <c r="G746" s="1182" t="s">
        <v>2950</v>
      </c>
      <c r="H746" s="1182" t="s">
        <v>4139</v>
      </c>
      <c r="I746" s="1182" t="s">
        <v>1809</v>
      </c>
      <c r="J746" s="1182" t="s">
        <v>4140</v>
      </c>
      <c r="K746" s="1182" t="s">
        <v>1811</v>
      </c>
      <c r="L746" s="1182" t="s">
        <v>1812</v>
      </c>
      <c r="M746" s="1182" t="s">
        <v>1803</v>
      </c>
      <c r="N746" s="1182" t="s">
        <v>2922</v>
      </c>
      <c r="O746" s="1182" t="s">
        <v>1554</v>
      </c>
      <c r="P746" s="1182" t="s">
        <v>1563</v>
      </c>
      <c r="Q746" s="1182" t="s">
        <v>1562</v>
      </c>
      <c r="R746" s="1182" t="s">
        <v>1561</v>
      </c>
      <c r="S746" s="1182" t="s">
        <v>1639</v>
      </c>
      <c r="T746" s="1182" t="s">
        <v>1814</v>
      </c>
      <c r="U746" s="1182" t="s">
        <v>1815</v>
      </c>
      <c r="V746" s="1182">
        <v>0</v>
      </c>
      <c r="W746" s="1182">
        <v>0</v>
      </c>
      <c r="X746" s="1182">
        <v>0</v>
      </c>
      <c r="Y746" s="1183">
        <v>19400</v>
      </c>
      <c r="Z746" s="1182" t="s">
        <v>2923</v>
      </c>
      <c r="AA746" s="1182" t="s">
        <v>2924</v>
      </c>
      <c r="AB746" s="1182">
        <v>19400</v>
      </c>
      <c r="AC746" s="1182" t="s">
        <v>2925</v>
      </c>
      <c r="AD746" s="1182" t="s">
        <v>1561</v>
      </c>
      <c r="AE746" s="1182">
        <v>19400</v>
      </c>
      <c r="AF746" s="1182" t="s">
        <v>1943</v>
      </c>
      <c r="AG746" s="1182" t="s">
        <v>1944</v>
      </c>
      <c r="AH746" s="1182">
        <v>0</v>
      </c>
      <c r="AI746" s="1182">
        <v>19400</v>
      </c>
      <c r="AJ746" s="1182" t="s">
        <v>4141</v>
      </c>
      <c r="AL746" s="1186" t="s">
        <v>4142</v>
      </c>
      <c r="AM746" s="1182">
        <v>1</v>
      </c>
      <c r="AN746" s="1182">
        <v>0</v>
      </c>
      <c r="AO746" s="1182">
        <v>0</v>
      </c>
      <c r="AP746" s="1182">
        <v>0</v>
      </c>
      <c r="AQ746" s="1182" t="s">
        <v>1639</v>
      </c>
      <c r="AS746" s="1186" t="s">
        <v>1943</v>
      </c>
      <c r="AT746" s="1186" t="s">
        <v>1944</v>
      </c>
      <c r="AV746" s="1183">
        <v>19400</v>
      </c>
      <c r="AW746" s="1183">
        <v>0</v>
      </c>
      <c r="AX746" s="1183">
        <v>0</v>
      </c>
      <c r="AY746" s="1538">
        <v>19400</v>
      </c>
      <c r="AZ746" s="1183">
        <v>0</v>
      </c>
      <c r="BA746" s="1183">
        <v>0</v>
      </c>
      <c r="BB746" s="1540">
        <v>0</v>
      </c>
      <c r="BC746" s="1540">
        <v>19400</v>
      </c>
      <c r="BD746" s="1540">
        <v>0</v>
      </c>
      <c r="BF746" s="1539">
        <f t="shared" si="142"/>
        <v>19400</v>
      </c>
      <c r="BG746" s="1539">
        <f t="shared" si="143"/>
        <v>0</v>
      </c>
      <c r="BH746" s="1539">
        <f t="shared" si="144"/>
        <v>0</v>
      </c>
      <c r="BI746" s="1539">
        <f t="shared" si="145"/>
        <v>19400</v>
      </c>
      <c r="BJ746" s="1539">
        <f t="shared" si="146"/>
        <v>0</v>
      </c>
      <c r="BK746" s="1539">
        <f t="shared" si="147"/>
        <v>0</v>
      </c>
      <c r="BL746" s="1539">
        <f t="shared" si="148"/>
        <v>0</v>
      </c>
      <c r="BM746" s="1539">
        <f t="shared" si="149"/>
        <v>19400</v>
      </c>
      <c r="BO746" s="1183"/>
      <c r="BQ746" s="1182">
        <f t="shared" si="150"/>
        <v>0</v>
      </c>
      <c r="BR746" s="1182">
        <f t="shared" si="151"/>
        <v>0</v>
      </c>
    </row>
    <row r="747" spans="1:70" ht="13.5" customHeight="1">
      <c r="A747" s="1182" t="s">
        <v>1803</v>
      </c>
      <c r="B747" s="1182" t="s">
        <v>1804</v>
      </c>
      <c r="C747" s="1182" t="s">
        <v>1639</v>
      </c>
      <c r="D747" s="1182" t="s">
        <v>2092</v>
      </c>
      <c r="E747" s="1182" t="s">
        <v>2093</v>
      </c>
      <c r="F747" s="1182" t="s">
        <v>2950</v>
      </c>
      <c r="G747" s="1182" t="s">
        <v>2950</v>
      </c>
      <c r="H747" s="1182" t="s">
        <v>4143</v>
      </c>
      <c r="I747" s="1182" t="s">
        <v>1809</v>
      </c>
      <c r="J747" s="1182" t="s">
        <v>4144</v>
      </c>
      <c r="K747" s="1182" t="s">
        <v>1811</v>
      </c>
      <c r="L747" s="1182" t="s">
        <v>1812</v>
      </c>
      <c r="M747" s="1182" t="s">
        <v>1803</v>
      </c>
      <c r="N747" s="1182" t="s">
        <v>2922</v>
      </c>
      <c r="O747" s="1182" t="s">
        <v>1554</v>
      </c>
      <c r="P747" s="1182" t="s">
        <v>1563</v>
      </c>
      <c r="Q747" s="1182" t="s">
        <v>1562</v>
      </c>
      <c r="R747" s="1182" t="s">
        <v>1561</v>
      </c>
      <c r="S747" s="1182" t="s">
        <v>1639</v>
      </c>
      <c r="T747" s="1182" t="s">
        <v>1814</v>
      </c>
      <c r="U747" s="1182" t="s">
        <v>1815</v>
      </c>
      <c r="V747" s="1182">
        <v>0</v>
      </c>
      <c r="W747" s="1182">
        <v>0</v>
      </c>
      <c r="X747" s="1182">
        <v>0</v>
      </c>
      <c r="Y747" s="1183">
        <v>51</v>
      </c>
      <c r="Z747" s="1182" t="s">
        <v>2923</v>
      </c>
      <c r="AA747" s="1182" t="s">
        <v>2924</v>
      </c>
      <c r="AB747" s="1182">
        <v>51</v>
      </c>
      <c r="AC747" s="1182" t="s">
        <v>2925</v>
      </c>
      <c r="AD747" s="1182" t="s">
        <v>1561</v>
      </c>
      <c r="AE747" s="1182">
        <v>51</v>
      </c>
      <c r="AF747" s="1182" t="s">
        <v>1943</v>
      </c>
      <c r="AG747" s="1182" t="s">
        <v>1944</v>
      </c>
      <c r="AH747" s="1182">
        <v>0</v>
      </c>
      <c r="AI747" s="1182">
        <v>51</v>
      </c>
      <c r="AJ747" s="1182" t="s">
        <v>4141</v>
      </c>
      <c r="AL747" s="1186" t="s">
        <v>4145</v>
      </c>
      <c r="AM747" s="1182">
        <v>1</v>
      </c>
      <c r="AN747" s="1182">
        <v>0</v>
      </c>
      <c r="AO747" s="1182">
        <v>0</v>
      </c>
      <c r="AP747" s="1182">
        <v>0</v>
      </c>
      <c r="AQ747" s="1182" t="s">
        <v>1639</v>
      </c>
      <c r="AS747" s="1186" t="s">
        <v>1943</v>
      </c>
      <c r="AT747" s="1186" t="s">
        <v>1944</v>
      </c>
      <c r="AV747" s="1183">
        <v>51</v>
      </c>
      <c r="AW747" s="1183">
        <v>0</v>
      </c>
      <c r="AX747" s="1183">
        <v>0</v>
      </c>
      <c r="AY747" s="1538">
        <v>51</v>
      </c>
      <c r="AZ747" s="1183">
        <v>0</v>
      </c>
      <c r="BA747" s="1183">
        <v>0</v>
      </c>
      <c r="BB747" s="1540">
        <v>0</v>
      </c>
      <c r="BC747" s="1540">
        <v>51</v>
      </c>
      <c r="BD747" s="1540">
        <v>0</v>
      </c>
      <c r="BF747" s="1539">
        <f t="shared" si="142"/>
        <v>51</v>
      </c>
      <c r="BG747" s="1539">
        <f t="shared" si="143"/>
        <v>0</v>
      </c>
      <c r="BH747" s="1539">
        <f t="shared" si="144"/>
        <v>0</v>
      </c>
      <c r="BI747" s="1539">
        <f t="shared" si="145"/>
        <v>51</v>
      </c>
      <c r="BJ747" s="1539">
        <f t="shared" si="146"/>
        <v>0</v>
      </c>
      <c r="BK747" s="1539">
        <f t="shared" si="147"/>
        <v>0</v>
      </c>
      <c r="BL747" s="1539">
        <f t="shared" si="148"/>
        <v>0</v>
      </c>
      <c r="BM747" s="1539">
        <f t="shared" si="149"/>
        <v>51</v>
      </c>
      <c r="BO747" s="1183"/>
      <c r="BQ747" s="1182">
        <f t="shared" si="150"/>
        <v>0</v>
      </c>
      <c r="BR747" s="1182">
        <f t="shared" si="151"/>
        <v>0</v>
      </c>
    </row>
    <row r="748" spans="1:70" ht="13.5" customHeight="1">
      <c r="A748" s="1182" t="s">
        <v>1803</v>
      </c>
      <c r="B748" s="1182" t="s">
        <v>1804</v>
      </c>
      <c r="C748" s="1182" t="s">
        <v>1639</v>
      </c>
      <c r="D748" s="1182" t="s">
        <v>2092</v>
      </c>
      <c r="E748" s="1182" t="s">
        <v>2093</v>
      </c>
      <c r="F748" s="1182" t="s">
        <v>2950</v>
      </c>
      <c r="G748" s="1182" t="s">
        <v>2950</v>
      </c>
      <c r="H748" s="1182" t="s">
        <v>4146</v>
      </c>
      <c r="I748" s="1182" t="s">
        <v>1809</v>
      </c>
      <c r="J748" s="1182" t="s">
        <v>4147</v>
      </c>
      <c r="K748" s="1182" t="s">
        <v>1811</v>
      </c>
      <c r="L748" s="1182" t="s">
        <v>1812</v>
      </c>
      <c r="M748" s="1182" t="s">
        <v>1803</v>
      </c>
      <c r="N748" s="1182" t="s">
        <v>2922</v>
      </c>
      <c r="O748" s="1182" t="s">
        <v>1554</v>
      </c>
      <c r="P748" s="1182" t="s">
        <v>1563</v>
      </c>
      <c r="Q748" s="1182" t="s">
        <v>1562</v>
      </c>
      <c r="R748" s="1182" t="s">
        <v>1561</v>
      </c>
      <c r="S748" s="1182" t="s">
        <v>1639</v>
      </c>
      <c r="T748" s="1182" t="s">
        <v>1814</v>
      </c>
      <c r="U748" s="1182" t="s">
        <v>1815</v>
      </c>
      <c r="V748" s="1182">
        <v>0</v>
      </c>
      <c r="W748" s="1182">
        <v>0</v>
      </c>
      <c r="X748" s="1182">
        <v>0</v>
      </c>
      <c r="Y748" s="1183">
        <v>14700</v>
      </c>
      <c r="Z748" s="1182" t="s">
        <v>2923</v>
      </c>
      <c r="AA748" s="1182" t="s">
        <v>2924</v>
      </c>
      <c r="AB748" s="1182">
        <v>14700</v>
      </c>
      <c r="AC748" s="1182" t="s">
        <v>2925</v>
      </c>
      <c r="AD748" s="1182" t="s">
        <v>1561</v>
      </c>
      <c r="AE748" s="1182">
        <v>14700</v>
      </c>
      <c r="AF748" s="1182" t="s">
        <v>1943</v>
      </c>
      <c r="AG748" s="1182" t="s">
        <v>1944</v>
      </c>
      <c r="AH748" s="1182">
        <v>0</v>
      </c>
      <c r="AI748" s="1182">
        <v>14700</v>
      </c>
      <c r="AJ748" s="1182" t="s">
        <v>4148</v>
      </c>
      <c r="AL748" s="1186" t="s">
        <v>4149</v>
      </c>
      <c r="AM748" s="1182">
        <v>1</v>
      </c>
      <c r="AN748" s="1182">
        <v>0</v>
      </c>
      <c r="AO748" s="1182">
        <v>0</v>
      </c>
      <c r="AP748" s="1182">
        <v>0</v>
      </c>
      <c r="AQ748" s="1182" t="s">
        <v>1639</v>
      </c>
      <c r="AS748" s="1186" t="s">
        <v>1943</v>
      </c>
      <c r="AT748" s="1186" t="s">
        <v>1944</v>
      </c>
      <c r="AV748" s="1183">
        <v>14700</v>
      </c>
      <c r="AW748" s="1183">
        <v>0</v>
      </c>
      <c r="AX748" s="1183">
        <v>0</v>
      </c>
      <c r="AY748" s="1538">
        <v>14700</v>
      </c>
      <c r="AZ748" s="1183">
        <v>0</v>
      </c>
      <c r="BA748" s="1183">
        <v>0</v>
      </c>
      <c r="BB748" s="1540">
        <v>0</v>
      </c>
      <c r="BC748" s="1540">
        <v>14700</v>
      </c>
      <c r="BD748" s="1540">
        <v>0</v>
      </c>
      <c r="BF748" s="1539">
        <f t="shared" si="142"/>
        <v>14700</v>
      </c>
      <c r="BG748" s="1539">
        <f t="shared" si="143"/>
        <v>0</v>
      </c>
      <c r="BH748" s="1539">
        <f t="shared" si="144"/>
        <v>0</v>
      </c>
      <c r="BI748" s="1539">
        <f t="shared" si="145"/>
        <v>14700</v>
      </c>
      <c r="BJ748" s="1539">
        <f t="shared" si="146"/>
        <v>0</v>
      </c>
      <c r="BK748" s="1539">
        <f t="shared" si="147"/>
        <v>0</v>
      </c>
      <c r="BL748" s="1539">
        <f t="shared" si="148"/>
        <v>0</v>
      </c>
      <c r="BM748" s="1539">
        <f t="shared" si="149"/>
        <v>14700</v>
      </c>
      <c r="BO748" s="1183"/>
      <c r="BQ748" s="1182">
        <f t="shared" si="150"/>
        <v>0</v>
      </c>
      <c r="BR748" s="1182">
        <f t="shared" si="151"/>
        <v>0</v>
      </c>
    </row>
    <row r="749" spans="1:70" ht="13.5" customHeight="1">
      <c r="A749" s="1182" t="s">
        <v>1803</v>
      </c>
      <c r="B749" s="1182" t="s">
        <v>1804</v>
      </c>
      <c r="C749" s="1182" t="s">
        <v>1639</v>
      </c>
      <c r="D749" s="1182" t="s">
        <v>2092</v>
      </c>
      <c r="E749" s="1182" t="s">
        <v>2093</v>
      </c>
      <c r="F749" s="1182" t="s">
        <v>2950</v>
      </c>
      <c r="G749" s="1182" t="s">
        <v>2950</v>
      </c>
      <c r="H749" s="1182" t="s">
        <v>4150</v>
      </c>
      <c r="I749" s="1182" t="s">
        <v>1809</v>
      </c>
      <c r="J749" s="1182" t="s">
        <v>4151</v>
      </c>
      <c r="K749" s="1182" t="s">
        <v>1811</v>
      </c>
      <c r="L749" s="1182" t="s">
        <v>1812</v>
      </c>
      <c r="M749" s="1182" t="s">
        <v>1803</v>
      </c>
      <c r="N749" s="1182" t="s">
        <v>2922</v>
      </c>
      <c r="O749" s="1182" t="s">
        <v>1554</v>
      </c>
      <c r="P749" s="1182" t="s">
        <v>1563</v>
      </c>
      <c r="Q749" s="1182" t="s">
        <v>1562</v>
      </c>
      <c r="R749" s="1182" t="s">
        <v>1561</v>
      </c>
      <c r="S749" s="1182" t="s">
        <v>1639</v>
      </c>
      <c r="T749" s="1182" t="s">
        <v>1814</v>
      </c>
      <c r="U749" s="1182" t="s">
        <v>1815</v>
      </c>
      <c r="V749" s="1182">
        <v>0</v>
      </c>
      <c r="W749" s="1182">
        <v>0</v>
      </c>
      <c r="X749" s="1182">
        <v>0</v>
      </c>
      <c r="Y749" s="1183">
        <v>11760</v>
      </c>
      <c r="Z749" s="1182" t="s">
        <v>2923</v>
      </c>
      <c r="AA749" s="1182" t="s">
        <v>2924</v>
      </c>
      <c r="AB749" s="1182">
        <v>11760</v>
      </c>
      <c r="AC749" s="1182" t="s">
        <v>2925</v>
      </c>
      <c r="AD749" s="1182" t="s">
        <v>1561</v>
      </c>
      <c r="AE749" s="1182">
        <v>11760</v>
      </c>
      <c r="AF749" s="1182" t="s">
        <v>1943</v>
      </c>
      <c r="AG749" s="1182" t="s">
        <v>1944</v>
      </c>
      <c r="AH749" s="1182">
        <v>0</v>
      </c>
      <c r="AI749" s="1182">
        <v>11760</v>
      </c>
      <c r="AJ749" s="1182" t="s">
        <v>4152</v>
      </c>
      <c r="AL749" s="1186" t="s">
        <v>4153</v>
      </c>
      <c r="AM749" s="1182">
        <v>1</v>
      </c>
      <c r="AN749" s="1182">
        <v>0</v>
      </c>
      <c r="AO749" s="1182">
        <v>0</v>
      </c>
      <c r="AP749" s="1182">
        <v>0</v>
      </c>
      <c r="AQ749" s="1182" t="s">
        <v>1639</v>
      </c>
      <c r="AS749" s="1186" t="s">
        <v>1943</v>
      </c>
      <c r="AT749" s="1186" t="s">
        <v>1944</v>
      </c>
      <c r="AV749" s="1183">
        <v>11760</v>
      </c>
      <c r="AW749" s="1183">
        <v>0</v>
      </c>
      <c r="AX749" s="1183">
        <v>0</v>
      </c>
      <c r="AY749" s="1538">
        <v>11760</v>
      </c>
      <c r="AZ749" s="1183">
        <v>0</v>
      </c>
      <c r="BA749" s="1183">
        <v>0</v>
      </c>
      <c r="BB749" s="1540">
        <v>0</v>
      </c>
      <c r="BC749" s="1540">
        <v>11760</v>
      </c>
      <c r="BD749" s="1540">
        <v>0</v>
      </c>
      <c r="BF749" s="1539">
        <f t="shared" si="142"/>
        <v>11760</v>
      </c>
      <c r="BG749" s="1539">
        <f t="shared" si="143"/>
        <v>0</v>
      </c>
      <c r="BH749" s="1539">
        <f t="shared" si="144"/>
        <v>0</v>
      </c>
      <c r="BI749" s="1539">
        <f t="shared" si="145"/>
        <v>11760</v>
      </c>
      <c r="BJ749" s="1539">
        <f t="shared" si="146"/>
        <v>0</v>
      </c>
      <c r="BK749" s="1539">
        <f t="shared" si="147"/>
        <v>0</v>
      </c>
      <c r="BL749" s="1539">
        <f t="shared" si="148"/>
        <v>0</v>
      </c>
      <c r="BM749" s="1539">
        <f t="shared" si="149"/>
        <v>11760</v>
      </c>
      <c r="BO749" s="1183"/>
      <c r="BQ749" s="1182">
        <f t="shared" si="150"/>
        <v>0</v>
      </c>
      <c r="BR749" s="1182">
        <f t="shared" si="151"/>
        <v>0</v>
      </c>
    </row>
    <row r="750" spans="1:70" ht="13.5" customHeight="1">
      <c r="A750" s="1182" t="s">
        <v>1803</v>
      </c>
      <c r="B750" s="1182" t="s">
        <v>1804</v>
      </c>
      <c r="C750" s="1182" t="s">
        <v>1639</v>
      </c>
      <c r="D750" s="1182" t="s">
        <v>2092</v>
      </c>
      <c r="E750" s="1182" t="s">
        <v>2093</v>
      </c>
      <c r="F750" s="1182" t="s">
        <v>2950</v>
      </c>
      <c r="G750" s="1182" t="s">
        <v>2950</v>
      </c>
      <c r="H750" s="1182" t="s">
        <v>4154</v>
      </c>
      <c r="I750" s="1182" t="s">
        <v>1809</v>
      </c>
      <c r="J750" s="1182" t="s">
        <v>4155</v>
      </c>
      <c r="K750" s="1182" t="s">
        <v>1811</v>
      </c>
      <c r="L750" s="1182" t="s">
        <v>1812</v>
      </c>
      <c r="M750" s="1182" t="s">
        <v>1803</v>
      </c>
      <c r="N750" s="1182" t="s">
        <v>2922</v>
      </c>
      <c r="O750" s="1182" t="s">
        <v>1554</v>
      </c>
      <c r="P750" s="1182" t="s">
        <v>1563</v>
      </c>
      <c r="Q750" s="1182" t="s">
        <v>1562</v>
      </c>
      <c r="R750" s="1182" t="s">
        <v>1561</v>
      </c>
      <c r="S750" s="1182" t="s">
        <v>1639</v>
      </c>
      <c r="T750" s="1182" t="s">
        <v>1814</v>
      </c>
      <c r="U750" s="1182" t="s">
        <v>1815</v>
      </c>
      <c r="V750" s="1182">
        <v>0</v>
      </c>
      <c r="W750" s="1182">
        <v>0</v>
      </c>
      <c r="X750" s="1182">
        <v>0</v>
      </c>
      <c r="Y750" s="1183">
        <v>20000</v>
      </c>
      <c r="Z750" s="1182" t="s">
        <v>2923</v>
      </c>
      <c r="AA750" s="1182" t="s">
        <v>2924</v>
      </c>
      <c r="AB750" s="1182">
        <v>20000</v>
      </c>
      <c r="AC750" s="1182" t="s">
        <v>2925</v>
      </c>
      <c r="AD750" s="1182" t="s">
        <v>1561</v>
      </c>
      <c r="AE750" s="1182">
        <v>20000</v>
      </c>
      <c r="AF750" s="1182" t="s">
        <v>1943</v>
      </c>
      <c r="AG750" s="1182" t="s">
        <v>1944</v>
      </c>
      <c r="AH750" s="1182">
        <v>0</v>
      </c>
      <c r="AI750" s="1182">
        <v>20000</v>
      </c>
      <c r="AJ750" s="1182" t="s">
        <v>4156</v>
      </c>
      <c r="AL750" s="1186" t="s">
        <v>4157</v>
      </c>
      <c r="AM750" s="1182">
        <v>1</v>
      </c>
      <c r="AN750" s="1182">
        <v>0</v>
      </c>
      <c r="AO750" s="1182">
        <v>0</v>
      </c>
      <c r="AP750" s="1182">
        <v>0</v>
      </c>
      <c r="AQ750" s="1182" t="s">
        <v>1639</v>
      </c>
      <c r="AS750" s="1186" t="s">
        <v>1943</v>
      </c>
      <c r="AT750" s="1186" t="s">
        <v>1944</v>
      </c>
      <c r="AV750" s="1183">
        <v>20000</v>
      </c>
      <c r="AW750" s="1183">
        <v>0</v>
      </c>
      <c r="AX750" s="1183">
        <v>0</v>
      </c>
      <c r="AY750" s="1538">
        <v>20000</v>
      </c>
      <c r="AZ750" s="1183">
        <v>0</v>
      </c>
      <c r="BA750" s="1183">
        <v>0</v>
      </c>
      <c r="BB750" s="1540">
        <v>0</v>
      </c>
      <c r="BC750" s="1540">
        <v>20000</v>
      </c>
      <c r="BD750" s="1540">
        <v>0</v>
      </c>
      <c r="BF750" s="1539">
        <f t="shared" si="142"/>
        <v>20000</v>
      </c>
      <c r="BG750" s="1539">
        <f t="shared" si="143"/>
        <v>0</v>
      </c>
      <c r="BH750" s="1539">
        <f t="shared" si="144"/>
        <v>0</v>
      </c>
      <c r="BI750" s="1539">
        <f t="shared" si="145"/>
        <v>20000</v>
      </c>
      <c r="BJ750" s="1539">
        <f t="shared" si="146"/>
        <v>0</v>
      </c>
      <c r="BK750" s="1539">
        <f t="shared" si="147"/>
        <v>0</v>
      </c>
      <c r="BL750" s="1539">
        <f t="shared" si="148"/>
        <v>0</v>
      </c>
      <c r="BM750" s="1539">
        <f t="shared" si="149"/>
        <v>20000</v>
      </c>
      <c r="BO750" s="1183"/>
      <c r="BQ750" s="1182">
        <f t="shared" si="150"/>
        <v>0</v>
      </c>
      <c r="BR750" s="1182">
        <f t="shared" si="151"/>
        <v>0</v>
      </c>
    </row>
    <row r="751" spans="1:70" ht="13.5" customHeight="1">
      <c r="A751" s="1182" t="s">
        <v>1803</v>
      </c>
      <c r="B751" s="1182" t="s">
        <v>1804</v>
      </c>
      <c r="C751" s="1182" t="s">
        <v>1639</v>
      </c>
      <c r="D751" s="1182" t="s">
        <v>2092</v>
      </c>
      <c r="E751" s="1182" t="s">
        <v>2093</v>
      </c>
      <c r="F751" s="1182" t="s">
        <v>2950</v>
      </c>
      <c r="G751" s="1182" t="s">
        <v>2950</v>
      </c>
      <c r="H751" s="1182" t="s">
        <v>4158</v>
      </c>
      <c r="I751" s="1182" t="s">
        <v>1809</v>
      </c>
      <c r="J751" s="1182" t="s">
        <v>4159</v>
      </c>
      <c r="K751" s="1182" t="s">
        <v>1811</v>
      </c>
      <c r="L751" s="1182" t="s">
        <v>1812</v>
      </c>
      <c r="M751" s="1182" t="s">
        <v>1803</v>
      </c>
      <c r="N751" s="1182" t="s">
        <v>2922</v>
      </c>
      <c r="O751" s="1182" t="s">
        <v>1554</v>
      </c>
      <c r="P751" s="1182" t="s">
        <v>1563</v>
      </c>
      <c r="Q751" s="1182" t="s">
        <v>1562</v>
      </c>
      <c r="R751" s="1182" t="s">
        <v>1561</v>
      </c>
      <c r="S751" s="1182" t="s">
        <v>1639</v>
      </c>
      <c r="T751" s="1182" t="s">
        <v>1814</v>
      </c>
      <c r="U751" s="1182" t="s">
        <v>1815</v>
      </c>
      <c r="V751" s="1182">
        <v>0</v>
      </c>
      <c r="W751" s="1182">
        <v>0</v>
      </c>
      <c r="X751" s="1182">
        <v>0</v>
      </c>
      <c r="Y751" s="1183">
        <v>20040</v>
      </c>
      <c r="Z751" s="1182" t="s">
        <v>2923</v>
      </c>
      <c r="AA751" s="1182" t="s">
        <v>2924</v>
      </c>
      <c r="AB751" s="1182">
        <v>20040</v>
      </c>
      <c r="AC751" s="1182" t="s">
        <v>2925</v>
      </c>
      <c r="AD751" s="1182" t="s">
        <v>1561</v>
      </c>
      <c r="AE751" s="1182">
        <v>20040</v>
      </c>
      <c r="AF751" s="1182" t="s">
        <v>1943</v>
      </c>
      <c r="AG751" s="1182" t="s">
        <v>1944</v>
      </c>
      <c r="AH751" s="1182">
        <v>0</v>
      </c>
      <c r="AI751" s="1182">
        <v>20040</v>
      </c>
      <c r="AJ751" s="1182" t="s">
        <v>4160</v>
      </c>
      <c r="AL751" s="1186" t="s">
        <v>4161</v>
      </c>
      <c r="AM751" s="1182">
        <v>1</v>
      </c>
      <c r="AN751" s="1182">
        <v>0</v>
      </c>
      <c r="AO751" s="1182">
        <v>0</v>
      </c>
      <c r="AP751" s="1182">
        <v>0</v>
      </c>
      <c r="AQ751" s="1182" t="s">
        <v>1639</v>
      </c>
      <c r="AS751" s="1186" t="s">
        <v>1943</v>
      </c>
      <c r="AT751" s="1186" t="s">
        <v>1944</v>
      </c>
      <c r="AV751" s="1183">
        <v>20040</v>
      </c>
      <c r="AW751" s="1183">
        <v>0</v>
      </c>
      <c r="AX751" s="1183">
        <v>0</v>
      </c>
      <c r="AY751" s="1538">
        <v>20040</v>
      </c>
      <c r="AZ751" s="1183">
        <v>0</v>
      </c>
      <c r="BA751" s="1183">
        <v>0</v>
      </c>
      <c r="BB751" s="1540">
        <v>0</v>
      </c>
      <c r="BC751" s="1540">
        <v>20040</v>
      </c>
      <c r="BD751" s="1540">
        <v>0</v>
      </c>
      <c r="BF751" s="1539">
        <f t="shared" si="142"/>
        <v>20040</v>
      </c>
      <c r="BG751" s="1539">
        <f t="shared" si="143"/>
        <v>0</v>
      </c>
      <c r="BH751" s="1539">
        <f t="shared" si="144"/>
        <v>0</v>
      </c>
      <c r="BI751" s="1539">
        <f t="shared" si="145"/>
        <v>20040</v>
      </c>
      <c r="BJ751" s="1539">
        <f t="shared" si="146"/>
        <v>0</v>
      </c>
      <c r="BK751" s="1539">
        <f t="shared" si="147"/>
        <v>0</v>
      </c>
      <c r="BL751" s="1539">
        <f t="shared" si="148"/>
        <v>0</v>
      </c>
      <c r="BM751" s="1539">
        <f t="shared" si="149"/>
        <v>20040</v>
      </c>
      <c r="BO751" s="1183"/>
      <c r="BQ751" s="1182">
        <f t="shared" si="150"/>
        <v>0</v>
      </c>
      <c r="BR751" s="1182">
        <f t="shared" si="151"/>
        <v>0</v>
      </c>
    </row>
    <row r="752" spans="1:70" ht="13.5" customHeight="1">
      <c r="A752" s="1182" t="s">
        <v>1803</v>
      </c>
      <c r="B752" s="1182" t="s">
        <v>1804</v>
      </c>
      <c r="C752" s="1182" t="s">
        <v>1639</v>
      </c>
      <c r="D752" s="1182" t="s">
        <v>2092</v>
      </c>
      <c r="E752" s="1182" t="s">
        <v>2093</v>
      </c>
      <c r="F752" s="1182" t="s">
        <v>2950</v>
      </c>
      <c r="G752" s="1182" t="s">
        <v>2950</v>
      </c>
      <c r="H752" s="1182" t="s">
        <v>4162</v>
      </c>
      <c r="I752" s="1182" t="s">
        <v>1809</v>
      </c>
      <c r="J752" s="1182" t="s">
        <v>4163</v>
      </c>
      <c r="K752" s="1182" t="s">
        <v>1811</v>
      </c>
      <c r="L752" s="1182" t="s">
        <v>1812</v>
      </c>
      <c r="M752" s="1182" t="s">
        <v>1803</v>
      </c>
      <c r="N752" s="1182" t="s">
        <v>2922</v>
      </c>
      <c r="O752" s="1182" t="s">
        <v>1554</v>
      </c>
      <c r="P752" s="1182" t="s">
        <v>1563</v>
      </c>
      <c r="Q752" s="1182" t="s">
        <v>1562</v>
      </c>
      <c r="R752" s="1182" t="s">
        <v>1561</v>
      </c>
      <c r="S752" s="1182" t="s">
        <v>1639</v>
      </c>
      <c r="T752" s="1182" t="s">
        <v>1814</v>
      </c>
      <c r="U752" s="1182" t="s">
        <v>1815</v>
      </c>
      <c r="V752" s="1182">
        <v>0</v>
      </c>
      <c r="W752" s="1182">
        <v>0</v>
      </c>
      <c r="X752" s="1182">
        <v>0</v>
      </c>
      <c r="Y752" s="1183">
        <v>98620</v>
      </c>
      <c r="Z752" s="1182" t="s">
        <v>2923</v>
      </c>
      <c r="AA752" s="1182" t="s">
        <v>2924</v>
      </c>
      <c r="AB752" s="1182">
        <v>98620</v>
      </c>
      <c r="AC752" s="1182" t="s">
        <v>2925</v>
      </c>
      <c r="AD752" s="1182" t="s">
        <v>1561</v>
      </c>
      <c r="AE752" s="1182">
        <v>98620</v>
      </c>
      <c r="AF752" s="1182" t="s">
        <v>1943</v>
      </c>
      <c r="AG752" s="1182" t="s">
        <v>1944</v>
      </c>
      <c r="AH752" s="1182">
        <v>0</v>
      </c>
      <c r="AI752" s="1182">
        <v>98620</v>
      </c>
      <c r="AJ752" s="1182" t="s">
        <v>4164</v>
      </c>
      <c r="AL752" s="1186" t="s">
        <v>4165</v>
      </c>
      <c r="AM752" s="1182">
        <v>1</v>
      </c>
      <c r="AN752" s="1182">
        <v>0</v>
      </c>
      <c r="AO752" s="1182">
        <v>0</v>
      </c>
      <c r="AP752" s="1182">
        <v>0</v>
      </c>
      <c r="AQ752" s="1182" t="s">
        <v>1639</v>
      </c>
      <c r="AS752" s="1186" t="s">
        <v>1943</v>
      </c>
      <c r="AT752" s="1186" t="s">
        <v>1944</v>
      </c>
      <c r="AV752" s="1183">
        <v>98620</v>
      </c>
      <c r="AW752" s="1183">
        <v>0</v>
      </c>
      <c r="AX752" s="1183">
        <v>0</v>
      </c>
      <c r="AY752" s="1538">
        <v>98620</v>
      </c>
      <c r="AZ752" s="1183">
        <v>0</v>
      </c>
      <c r="BA752" s="1183">
        <v>0</v>
      </c>
      <c r="BB752" s="1540">
        <v>0</v>
      </c>
      <c r="BC752" s="1540">
        <v>98620</v>
      </c>
      <c r="BD752" s="1540">
        <v>0</v>
      </c>
      <c r="BF752" s="1539">
        <f t="shared" si="142"/>
        <v>98620</v>
      </c>
      <c r="BG752" s="1539">
        <f t="shared" si="143"/>
        <v>0</v>
      </c>
      <c r="BH752" s="1539">
        <f t="shared" si="144"/>
        <v>0</v>
      </c>
      <c r="BI752" s="1539">
        <f t="shared" si="145"/>
        <v>98620</v>
      </c>
      <c r="BJ752" s="1539">
        <f t="shared" si="146"/>
        <v>0</v>
      </c>
      <c r="BK752" s="1539">
        <f t="shared" si="147"/>
        <v>0</v>
      </c>
      <c r="BL752" s="1539">
        <f t="shared" si="148"/>
        <v>0</v>
      </c>
      <c r="BM752" s="1539">
        <f t="shared" si="149"/>
        <v>98620</v>
      </c>
      <c r="BO752" s="1183"/>
      <c r="BQ752" s="1182">
        <f t="shared" si="150"/>
        <v>0</v>
      </c>
      <c r="BR752" s="1182">
        <f t="shared" si="151"/>
        <v>0</v>
      </c>
    </row>
    <row r="753" spans="1:70" ht="13.5" customHeight="1">
      <c r="A753" s="1182" t="s">
        <v>1803</v>
      </c>
      <c r="B753" s="1182" t="s">
        <v>1804</v>
      </c>
      <c r="C753" s="1182" t="s">
        <v>1639</v>
      </c>
      <c r="D753" s="1182" t="s">
        <v>2092</v>
      </c>
      <c r="E753" s="1182" t="s">
        <v>2093</v>
      </c>
      <c r="F753" s="1182" t="s">
        <v>2950</v>
      </c>
      <c r="G753" s="1182" t="s">
        <v>2950</v>
      </c>
      <c r="H753" s="1182" t="s">
        <v>4166</v>
      </c>
      <c r="I753" s="1182" t="s">
        <v>1809</v>
      </c>
      <c r="J753" s="1182" t="s">
        <v>4167</v>
      </c>
      <c r="K753" s="1182" t="s">
        <v>1811</v>
      </c>
      <c r="L753" s="1182" t="s">
        <v>1812</v>
      </c>
      <c r="M753" s="1182" t="s">
        <v>1803</v>
      </c>
      <c r="N753" s="1182" t="s">
        <v>2922</v>
      </c>
      <c r="O753" s="1182" t="s">
        <v>1554</v>
      </c>
      <c r="P753" s="1182" t="s">
        <v>1563</v>
      </c>
      <c r="Q753" s="1182" t="s">
        <v>1562</v>
      </c>
      <c r="R753" s="1182" t="s">
        <v>1561</v>
      </c>
      <c r="S753" s="1182" t="s">
        <v>1639</v>
      </c>
      <c r="T753" s="1182" t="s">
        <v>1814</v>
      </c>
      <c r="U753" s="1182" t="s">
        <v>1815</v>
      </c>
      <c r="V753" s="1182">
        <v>0</v>
      </c>
      <c r="W753" s="1182">
        <v>0</v>
      </c>
      <c r="X753" s="1182">
        <v>0</v>
      </c>
      <c r="Y753" s="1183">
        <v>3</v>
      </c>
      <c r="Z753" s="1182" t="s">
        <v>2923</v>
      </c>
      <c r="AA753" s="1182" t="s">
        <v>2924</v>
      </c>
      <c r="AB753" s="1182">
        <v>3</v>
      </c>
      <c r="AC753" s="1182" t="s">
        <v>2925</v>
      </c>
      <c r="AD753" s="1182" t="s">
        <v>1561</v>
      </c>
      <c r="AE753" s="1182">
        <v>3</v>
      </c>
      <c r="AF753" s="1182" t="s">
        <v>1943</v>
      </c>
      <c r="AG753" s="1182" t="s">
        <v>1944</v>
      </c>
      <c r="AH753" s="1182">
        <v>0</v>
      </c>
      <c r="AI753" s="1182">
        <v>3</v>
      </c>
      <c r="AJ753" s="1182" t="s">
        <v>4137</v>
      </c>
      <c r="AL753" s="1186" t="s">
        <v>4168</v>
      </c>
      <c r="AM753" s="1182">
        <v>1</v>
      </c>
      <c r="AN753" s="1182">
        <v>0</v>
      </c>
      <c r="AO753" s="1182">
        <v>0</v>
      </c>
      <c r="AP753" s="1182">
        <v>0</v>
      </c>
      <c r="AQ753" s="1182" t="s">
        <v>1639</v>
      </c>
      <c r="AS753" s="1186" t="s">
        <v>1943</v>
      </c>
      <c r="AT753" s="1186" t="s">
        <v>1944</v>
      </c>
      <c r="AV753" s="1183">
        <v>3</v>
      </c>
      <c r="AW753" s="1183">
        <v>0</v>
      </c>
      <c r="AX753" s="1183">
        <v>0</v>
      </c>
      <c r="AY753" s="1538">
        <v>3</v>
      </c>
      <c r="AZ753" s="1183">
        <v>0</v>
      </c>
      <c r="BA753" s="1183">
        <v>0</v>
      </c>
      <c r="BB753" s="1540">
        <v>0</v>
      </c>
      <c r="BC753" s="1540">
        <v>3</v>
      </c>
      <c r="BD753" s="1540">
        <v>0</v>
      </c>
      <c r="BF753" s="1539">
        <f t="shared" si="142"/>
        <v>3</v>
      </c>
      <c r="BG753" s="1539">
        <f t="shared" si="143"/>
        <v>0</v>
      </c>
      <c r="BH753" s="1539">
        <f t="shared" si="144"/>
        <v>0</v>
      </c>
      <c r="BI753" s="1539">
        <f t="shared" si="145"/>
        <v>3</v>
      </c>
      <c r="BJ753" s="1539">
        <f t="shared" si="146"/>
        <v>0</v>
      </c>
      <c r="BK753" s="1539">
        <f t="shared" si="147"/>
        <v>0</v>
      </c>
      <c r="BL753" s="1539">
        <f t="shared" si="148"/>
        <v>0</v>
      </c>
      <c r="BM753" s="1539">
        <f t="shared" si="149"/>
        <v>3</v>
      </c>
      <c r="BO753" s="1183"/>
      <c r="BQ753" s="1182">
        <f t="shared" si="150"/>
        <v>0</v>
      </c>
      <c r="BR753" s="1182">
        <f t="shared" si="151"/>
        <v>0</v>
      </c>
    </row>
    <row r="754" spans="1:70" ht="13.5" customHeight="1">
      <c r="A754" s="1182" t="s">
        <v>1803</v>
      </c>
      <c r="B754" s="1182" t="s">
        <v>1804</v>
      </c>
      <c r="C754" s="1182" t="s">
        <v>1639</v>
      </c>
      <c r="D754" s="1182" t="s">
        <v>1805</v>
      </c>
      <c r="E754" s="1182" t="s">
        <v>1806</v>
      </c>
      <c r="F754" s="1182" t="s">
        <v>2008</v>
      </c>
      <c r="G754" s="1182" t="s">
        <v>2008</v>
      </c>
      <c r="H754" s="1182" t="s">
        <v>4169</v>
      </c>
      <c r="I754" s="1182" t="s">
        <v>1809</v>
      </c>
      <c r="J754" s="1182" t="s">
        <v>4170</v>
      </c>
      <c r="K754" s="1182" t="s">
        <v>1811</v>
      </c>
      <c r="L754" s="1182" t="s">
        <v>1812</v>
      </c>
      <c r="M754" s="1182" t="s">
        <v>1803</v>
      </c>
      <c r="N754" s="1182" t="s">
        <v>2922</v>
      </c>
      <c r="O754" s="1182" t="s">
        <v>1554</v>
      </c>
      <c r="P754" s="1182" t="s">
        <v>1563</v>
      </c>
      <c r="Q754" s="1182" t="s">
        <v>1562</v>
      </c>
      <c r="R754" s="1182" t="s">
        <v>1561</v>
      </c>
      <c r="S754" s="1182" t="s">
        <v>1639</v>
      </c>
      <c r="T754" s="1182" t="s">
        <v>1814</v>
      </c>
      <c r="U754" s="1182" t="s">
        <v>1815</v>
      </c>
      <c r="V754" s="1182">
        <v>0</v>
      </c>
      <c r="W754" s="1182">
        <v>0</v>
      </c>
      <c r="X754" s="1182">
        <v>0</v>
      </c>
      <c r="Y754" s="1183">
        <v>742668</v>
      </c>
      <c r="Z754" s="1182" t="s">
        <v>2923</v>
      </c>
      <c r="AA754" s="1182" t="s">
        <v>2924</v>
      </c>
      <c r="AB754" s="1182">
        <v>742668</v>
      </c>
      <c r="AC754" s="1182" t="s">
        <v>2925</v>
      </c>
      <c r="AD754" s="1182" t="s">
        <v>1561</v>
      </c>
      <c r="AE754" s="1182">
        <v>742668</v>
      </c>
      <c r="AF754" s="1182" t="s">
        <v>1943</v>
      </c>
      <c r="AG754" s="1182" t="s">
        <v>1944</v>
      </c>
      <c r="AH754" s="1182">
        <v>0</v>
      </c>
      <c r="AI754" s="1182">
        <v>742668</v>
      </c>
      <c r="AJ754" s="1182" t="s">
        <v>1834</v>
      </c>
      <c r="AL754" s="1186" t="s">
        <v>4171</v>
      </c>
      <c r="AM754" s="1182">
        <v>1</v>
      </c>
      <c r="AN754" s="1182">
        <v>0</v>
      </c>
      <c r="AO754" s="1182">
        <v>0</v>
      </c>
      <c r="AP754" s="1182">
        <v>0</v>
      </c>
      <c r="AQ754" s="1182" t="s">
        <v>1639</v>
      </c>
      <c r="AS754" s="1186" t="s">
        <v>1943</v>
      </c>
      <c r="AT754" s="1186" t="s">
        <v>1944</v>
      </c>
      <c r="AV754" s="1183">
        <v>0</v>
      </c>
      <c r="AW754" s="1183">
        <v>0</v>
      </c>
      <c r="AX754" s="1183">
        <v>0</v>
      </c>
      <c r="AY754" s="1538">
        <v>0</v>
      </c>
      <c r="AZ754" s="1183">
        <v>0</v>
      </c>
      <c r="BA754" s="1183">
        <v>742668</v>
      </c>
      <c r="BB754" s="1540">
        <v>742668</v>
      </c>
      <c r="BC754" s="1540">
        <v>742668</v>
      </c>
      <c r="BD754" s="1540">
        <v>0</v>
      </c>
      <c r="BF754" s="1539">
        <f t="shared" si="142"/>
        <v>0</v>
      </c>
      <c r="BG754" s="1539">
        <f t="shared" si="143"/>
        <v>0</v>
      </c>
      <c r="BH754" s="1539">
        <f t="shared" si="144"/>
        <v>0</v>
      </c>
      <c r="BI754" s="1539">
        <f t="shared" si="145"/>
        <v>0</v>
      </c>
      <c r="BJ754" s="1539">
        <f t="shared" si="146"/>
        <v>0</v>
      </c>
      <c r="BK754" s="1539">
        <f t="shared" si="147"/>
        <v>742668</v>
      </c>
      <c r="BL754" s="1539">
        <f t="shared" si="148"/>
        <v>742668</v>
      </c>
      <c r="BM754" s="1539">
        <f t="shared" si="149"/>
        <v>742668</v>
      </c>
      <c r="BO754" s="1183"/>
      <c r="BQ754" s="1182">
        <f t="shared" si="150"/>
        <v>0</v>
      </c>
      <c r="BR754" s="1182">
        <f t="shared" si="151"/>
        <v>0</v>
      </c>
    </row>
    <row r="755" spans="1:70" ht="13.5" customHeight="1">
      <c r="A755" s="1182" t="s">
        <v>1803</v>
      </c>
      <c r="B755" s="1182" t="s">
        <v>1804</v>
      </c>
      <c r="C755" s="1182" t="s">
        <v>1639</v>
      </c>
      <c r="D755" s="1182" t="s">
        <v>1805</v>
      </c>
      <c r="E755" s="1182" t="s">
        <v>1806</v>
      </c>
      <c r="F755" s="1182" t="s">
        <v>4172</v>
      </c>
      <c r="G755" s="1182" t="s">
        <v>4172</v>
      </c>
      <c r="H755" s="1182" t="s">
        <v>4173</v>
      </c>
      <c r="I755" s="1182" t="s">
        <v>1809</v>
      </c>
      <c r="J755" s="1182" t="s">
        <v>4174</v>
      </c>
      <c r="K755" s="1182" t="s">
        <v>1811</v>
      </c>
      <c r="L755" s="1182" t="s">
        <v>1812</v>
      </c>
      <c r="M755" s="1182" t="s">
        <v>1803</v>
      </c>
      <c r="N755" s="1182" t="s">
        <v>2922</v>
      </c>
      <c r="O755" s="1182" t="s">
        <v>1554</v>
      </c>
      <c r="P755" s="1182" t="s">
        <v>1563</v>
      </c>
      <c r="Q755" s="1182" t="s">
        <v>1562</v>
      </c>
      <c r="R755" s="1182" t="s">
        <v>1561</v>
      </c>
      <c r="S755" s="1182" t="s">
        <v>1639</v>
      </c>
      <c r="T755" s="1182" t="s">
        <v>1814</v>
      </c>
      <c r="U755" s="1182" t="s">
        <v>1815</v>
      </c>
      <c r="V755" s="1182">
        <v>0</v>
      </c>
      <c r="W755" s="1182">
        <v>0</v>
      </c>
      <c r="X755" s="1182">
        <v>0</v>
      </c>
      <c r="Y755" s="1183">
        <v>310884</v>
      </c>
      <c r="Z755" s="1182" t="s">
        <v>2923</v>
      </c>
      <c r="AA755" s="1182" t="s">
        <v>2924</v>
      </c>
      <c r="AB755" s="1182">
        <v>310884</v>
      </c>
      <c r="AC755" s="1182" t="s">
        <v>2925</v>
      </c>
      <c r="AD755" s="1182" t="s">
        <v>1561</v>
      </c>
      <c r="AE755" s="1182">
        <v>310884</v>
      </c>
      <c r="AF755" s="1182" t="s">
        <v>1943</v>
      </c>
      <c r="AG755" s="1182" t="s">
        <v>1944</v>
      </c>
      <c r="AH755" s="1182">
        <v>0</v>
      </c>
      <c r="AI755" s="1182">
        <v>310884</v>
      </c>
      <c r="AJ755" s="1182" t="s">
        <v>1821</v>
      </c>
      <c r="AL755" s="1186" t="s">
        <v>4175</v>
      </c>
      <c r="AM755" s="1182">
        <v>1</v>
      </c>
      <c r="AN755" s="1182">
        <v>0</v>
      </c>
      <c r="AO755" s="1182">
        <v>0</v>
      </c>
      <c r="AP755" s="1182">
        <v>0</v>
      </c>
      <c r="AQ755" s="1182" t="s">
        <v>1639</v>
      </c>
      <c r="AS755" s="1186" t="s">
        <v>1943</v>
      </c>
      <c r="AT755" s="1186" t="s">
        <v>1944</v>
      </c>
      <c r="AV755" s="1183">
        <v>0</v>
      </c>
      <c r="AW755" s="1183">
        <v>0</v>
      </c>
      <c r="AX755" s="1183">
        <v>0</v>
      </c>
      <c r="AY755" s="1538">
        <v>0</v>
      </c>
      <c r="AZ755" s="1183">
        <v>0</v>
      </c>
      <c r="BA755" s="1183">
        <v>310884</v>
      </c>
      <c r="BB755" s="1540">
        <v>310884</v>
      </c>
      <c r="BC755" s="1540">
        <v>310884</v>
      </c>
      <c r="BD755" s="1540">
        <v>0</v>
      </c>
      <c r="BF755" s="1539">
        <f t="shared" si="142"/>
        <v>0</v>
      </c>
      <c r="BG755" s="1539">
        <f t="shared" si="143"/>
        <v>0</v>
      </c>
      <c r="BH755" s="1539">
        <f t="shared" si="144"/>
        <v>0</v>
      </c>
      <c r="BI755" s="1539">
        <f t="shared" si="145"/>
        <v>0</v>
      </c>
      <c r="BJ755" s="1539">
        <f t="shared" si="146"/>
        <v>0</v>
      </c>
      <c r="BK755" s="1539">
        <f t="shared" si="147"/>
        <v>310884</v>
      </c>
      <c r="BL755" s="1539">
        <f t="shared" si="148"/>
        <v>310884</v>
      </c>
      <c r="BM755" s="1539">
        <f t="shared" si="149"/>
        <v>310884</v>
      </c>
      <c r="BO755" s="1183"/>
      <c r="BQ755" s="1182">
        <f t="shared" si="150"/>
        <v>0</v>
      </c>
      <c r="BR755" s="1182">
        <f t="shared" si="151"/>
        <v>0</v>
      </c>
    </row>
    <row r="756" spans="1:70" ht="13.5" customHeight="1">
      <c r="A756" s="1182" t="s">
        <v>1803</v>
      </c>
      <c r="B756" s="1182" t="s">
        <v>1804</v>
      </c>
      <c r="C756" s="1182" t="s">
        <v>1639</v>
      </c>
      <c r="D756" s="1182" t="s">
        <v>1805</v>
      </c>
      <c r="E756" s="1182" t="s">
        <v>1806</v>
      </c>
      <c r="F756" s="1182" t="s">
        <v>4172</v>
      </c>
      <c r="G756" s="1182" t="s">
        <v>4172</v>
      </c>
      <c r="H756" s="1182" t="s">
        <v>4176</v>
      </c>
      <c r="I756" s="1182" t="s">
        <v>1809</v>
      </c>
      <c r="J756" s="1182" t="s">
        <v>4177</v>
      </c>
      <c r="K756" s="1182" t="s">
        <v>1811</v>
      </c>
      <c r="L756" s="1182" t="s">
        <v>1812</v>
      </c>
      <c r="M756" s="1182" t="s">
        <v>1803</v>
      </c>
      <c r="N756" s="1182" t="s">
        <v>2922</v>
      </c>
      <c r="O756" s="1182" t="s">
        <v>1554</v>
      </c>
      <c r="P756" s="1182" t="s">
        <v>1563</v>
      </c>
      <c r="Q756" s="1182" t="s">
        <v>1562</v>
      </c>
      <c r="R756" s="1182" t="s">
        <v>1561</v>
      </c>
      <c r="S756" s="1182" t="s">
        <v>1639</v>
      </c>
      <c r="T756" s="1182" t="s">
        <v>1814</v>
      </c>
      <c r="U756" s="1182" t="s">
        <v>1815</v>
      </c>
      <c r="V756" s="1182">
        <v>0</v>
      </c>
      <c r="W756" s="1182">
        <v>0</v>
      </c>
      <c r="X756" s="1182">
        <v>0</v>
      </c>
      <c r="Y756" s="1183">
        <v>890</v>
      </c>
      <c r="Z756" s="1182" t="s">
        <v>2923</v>
      </c>
      <c r="AA756" s="1182" t="s">
        <v>2924</v>
      </c>
      <c r="AB756" s="1182">
        <v>890</v>
      </c>
      <c r="AC756" s="1182" t="s">
        <v>2925</v>
      </c>
      <c r="AD756" s="1182" t="s">
        <v>1561</v>
      </c>
      <c r="AE756" s="1182">
        <v>890</v>
      </c>
      <c r="AF756" s="1182" t="s">
        <v>1943</v>
      </c>
      <c r="AG756" s="1182" t="s">
        <v>1944</v>
      </c>
      <c r="AH756" s="1182">
        <v>0</v>
      </c>
      <c r="AI756" s="1182">
        <v>890</v>
      </c>
      <c r="AJ756" s="1182" t="s">
        <v>1821</v>
      </c>
      <c r="AL756" s="1186" t="s">
        <v>4178</v>
      </c>
      <c r="AM756" s="1182">
        <v>1</v>
      </c>
      <c r="AN756" s="1182">
        <v>0</v>
      </c>
      <c r="AO756" s="1182">
        <v>0</v>
      </c>
      <c r="AP756" s="1182">
        <v>0</v>
      </c>
      <c r="AQ756" s="1182" t="s">
        <v>1639</v>
      </c>
      <c r="AS756" s="1186" t="s">
        <v>1943</v>
      </c>
      <c r="AT756" s="1186" t="s">
        <v>1944</v>
      </c>
      <c r="AV756" s="1183">
        <v>0</v>
      </c>
      <c r="AW756" s="1183">
        <v>0</v>
      </c>
      <c r="AX756" s="1183">
        <v>0</v>
      </c>
      <c r="AY756" s="1538">
        <v>0</v>
      </c>
      <c r="AZ756" s="1183">
        <v>0</v>
      </c>
      <c r="BA756" s="1183">
        <v>890</v>
      </c>
      <c r="BB756" s="1540">
        <v>890</v>
      </c>
      <c r="BC756" s="1540">
        <v>890</v>
      </c>
      <c r="BD756" s="1540">
        <v>0</v>
      </c>
      <c r="BF756" s="1539">
        <f t="shared" si="142"/>
        <v>0</v>
      </c>
      <c r="BG756" s="1539">
        <f t="shared" si="143"/>
        <v>0</v>
      </c>
      <c r="BH756" s="1539">
        <f t="shared" si="144"/>
        <v>0</v>
      </c>
      <c r="BI756" s="1539">
        <f t="shared" si="145"/>
        <v>0</v>
      </c>
      <c r="BJ756" s="1539">
        <f t="shared" si="146"/>
        <v>0</v>
      </c>
      <c r="BK756" s="1539">
        <f t="shared" si="147"/>
        <v>890</v>
      </c>
      <c r="BL756" s="1539">
        <f t="shared" si="148"/>
        <v>890</v>
      </c>
      <c r="BM756" s="1539">
        <f t="shared" si="149"/>
        <v>890</v>
      </c>
      <c r="BO756" s="1183"/>
      <c r="BQ756" s="1182">
        <f t="shared" si="150"/>
        <v>0</v>
      </c>
      <c r="BR756" s="1182">
        <f t="shared" si="151"/>
        <v>0</v>
      </c>
    </row>
    <row r="757" spans="1:70" ht="13.5" customHeight="1">
      <c r="A757" s="1182" t="s">
        <v>1803</v>
      </c>
      <c r="B757" s="1182" t="s">
        <v>1804</v>
      </c>
      <c r="C757" s="1182" t="s">
        <v>1639</v>
      </c>
      <c r="D757" s="1182" t="s">
        <v>1805</v>
      </c>
      <c r="E757" s="1182" t="s">
        <v>1806</v>
      </c>
      <c r="F757" s="1182" t="s">
        <v>2008</v>
      </c>
      <c r="G757" s="1182" t="s">
        <v>2008</v>
      </c>
      <c r="H757" s="1182" t="s">
        <v>4179</v>
      </c>
      <c r="I757" s="1182" t="s">
        <v>1809</v>
      </c>
      <c r="J757" s="1182" t="s">
        <v>4180</v>
      </c>
      <c r="K757" s="1182" t="s">
        <v>1811</v>
      </c>
      <c r="L757" s="1182" t="s">
        <v>1812</v>
      </c>
      <c r="M757" s="1182" t="s">
        <v>1803</v>
      </c>
      <c r="N757" s="1182" t="s">
        <v>2922</v>
      </c>
      <c r="O757" s="1182" t="s">
        <v>1554</v>
      </c>
      <c r="P757" s="1182" t="s">
        <v>1563</v>
      </c>
      <c r="Q757" s="1182" t="s">
        <v>1562</v>
      </c>
      <c r="R757" s="1182" t="s">
        <v>1561</v>
      </c>
      <c r="S757" s="1182" t="s">
        <v>1639</v>
      </c>
      <c r="T757" s="1182" t="s">
        <v>1814</v>
      </c>
      <c r="U757" s="1182" t="s">
        <v>1815</v>
      </c>
      <c r="V757" s="1182">
        <v>0</v>
      </c>
      <c r="W757" s="1182">
        <v>0</v>
      </c>
      <c r="X757" s="1182">
        <v>0</v>
      </c>
      <c r="Y757" s="1183">
        <v>4400</v>
      </c>
      <c r="Z757" s="1182" t="s">
        <v>2923</v>
      </c>
      <c r="AA757" s="1182" t="s">
        <v>2924</v>
      </c>
      <c r="AB757" s="1182">
        <v>4400</v>
      </c>
      <c r="AC757" s="1182" t="s">
        <v>2925</v>
      </c>
      <c r="AD757" s="1182" t="s">
        <v>1561</v>
      </c>
      <c r="AE757" s="1182">
        <v>4400</v>
      </c>
      <c r="AF757" s="1182" t="s">
        <v>1943</v>
      </c>
      <c r="AG757" s="1182" t="s">
        <v>1944</v>
      </c>
      <c r="AH757" s="1182">
        <v>0</v>
      </c>
      <c r="AI757" s="1182">
        <v>4400</v>
      </c>
      <c r="AJ757" s="1182" t="s">
        <v>4181</v>
      </c>
      <c r="AL757" s="1186" t="s">
        <v>4182</v>
      </c>
      <c r="AM757" s="1182">
        <v>1</v>
      </c>
      <c r="AN757" s="1182">
        <v>0</v>
      </c>
      <c r="AO757" s="1182">
        <v>0</v>
      </c>
      <c r="AP757" s="1182">
        <v>0</v>
      </c>
      <c r="AQ757" s="1182" t="s">
        <v>1639</v>
      </c>
      <c r="AS757" s="1186" t="s">
        <v>1943</v>
      </c>
      <c r="AT757" s="1186" t="s">
        <v>1944</v>
      </c>
      <c r="AV757" s="1183">
        <v>0</v>
      </c>
      <c r="AW757" s="1183">
        <v>0</v>
      </c>
      <c r="AX757" s="1183">
        <v>0</v>
      </c>
      <c r="AY757" s="1538">
        <v>0</v>
      </c>
      <c r="AZ757" s="1183">
        <v>0</v>
      </c>
      <c r="BA757" s="1183">
        <v>4400</v>
      </c>
      <c r="BB757" s="1540">
        <v>4400</v>
      </c>
      <c r="BC757" s="1540">
        <v>4400</v>
      </c>
      <c r="BD757" s="1540">
        <v>0</v>
      </c>
      <c r="BF757" s="1539">
        <f t="shared" si="142"/>
        <v>0</v>
      </c>
      <c r="BG757" s="1539">
        <f t="shared" si="143"/>
        <v>0</v>
      </c>
      <c r="BH757" s="1539">
        <f t="shared" si="144"/>
        <v>0</v>
      </c>
      <c r="BI757" s="1539">
        <f t="shared" si="145"/>
        <v>0</v>
      </c>
      <c r="BJ757" s="1539">
        <f t="shared" si="146"/>
        <v>0</v>
      </c>
      <c r="BK757" s="1539">
        <f t="shared" si="147"/>
        <v>4400</v>
      </c>
      <c r="BL757" s="1539">
        <f t="shared" si="148"/>
        <v>4400</v>
      </c>
      <c r="BM757" s="1539">
        <f t="shared" si="149"/>
        <v>4400</v>
      </c>
      <c r="BO757" s="1183"/>
      <c r="BQ757" s="1182">
        <f t="shared" si="150"/>
        <v>0</v>
      </c>
      <c r="BR757" s="1182">
        <f t="shared" si="151"/>
        <v>0</v>
      </c>
    </row>
    <row r="758" spans="1:70" ht="13.5" customHeight="1">
      <c r="A758" s="1182" t="s">
        <v>1803</v>
      </c>
      <c r="B758" s="1182" t="s">
        <v>1804</v>
      </c>
      <c r="C758" s="1182" t="s">
        <v>1639</v>
      </c>
      <c r="D758" s="1182" t="s">
        <v>1805</v>
      </c>
      <c r="E758" s="1182" t="s">
        <v>1806</v>
      </c>
      <c r="F758" s="1182" t="s">
        <v>3110</v>
      </c>
      <c r="G758" s="1182" t="s">
        <v>3110</v>
      </c>
      <c r="H758" s="1182" t="s">
        <v>4183</v>
      </c>
      <c r="I758" s="1182" t="s">
        <v>2933</v>
      </c>
      <c r="J758" s="1182" t="s">
        <v>4184</v>
      </c>
      <c r="K758" s="1182" t="s">
        <v>1811</v>
      </c>
      <c r="L758" s="1182" t="s">
        <v>1812</v>
      </c>
      <c r="M758" s="1182" t="s">
        <v>1803</v>
      </c>
      <c r="N758" s="1182" t="s">
        <v>2922</v>
      </c>
      <c r="O758" s="1182" t="s">
        <v>1554</v>
      </c>
      <c r="P758" s="1182" t="s">
        <v>1563</v>
      </c>
      <c r="Q758" s="1182" t="s">
        <v>1562</v>
      </c>
      <c r="R758" s="1182" t="s">
        <v>1561</v>
      </c>
      <c r="S758" s="1182" t="s">
        <v>1639</v>
      </c>
      <c r="T758" s="1182" t="s">
        <v>1814</v>
      </c>
      <c r="U758" s="1182" t="s">
        <v>1815</v>
      </c>
      <c r="V758" s="1182">
        <v>0</v>
      </c>
      <c r="W758" s="1182">
        <v>0</v>
      </c>
      <c r="X758" s="1182">
        <v>0</v>
      </c>
      <c r="Y758" s="1183">
        <v>715000</v>
      </c>
      <c r="Z758" s="1182" t="s">
        <v>2923</v>
      </c>
      <c r="AA758" s="1182" t="s">
        <v>2924</v>
      </c>
      <c r="AB758" s="1182">
        <v>715000</v>
      </c>
      <c r="AC758" s="1182" t="s">
        <v>2925</v>
      </c>
      <c r="AD758" s="1182" t="s">
        <v>1561</v>
      </c>
      <c r="AE758" s="1182">
        <v>715000</v>
      </c>
      <c r="AF758" s="1182" t="s">
        <v>1819</v>
      </c>
      <c r="AG758" s="1182" t="s">
        <v>1820</v>
      </c>
      <c r="AH758" s="1182">
        <v>65000</v>
      </c>
      <c r="AI758" s="1182">
        <v>650000</v>
      </c>
      <c r="AJ758" s="1182" t="s">
        <v>1639</v>
      </c>
      <c r="AL758" s="1186" t="s">
        <v>4185</v>
      </c>
      <c r="AM758" s="1182">
        <v>1</v>
      </c>
      <c r="AN758" s="1182">
        <v>0</v>
      </c>
      <c r="AO758" s="1182">
        <v>0</v>
      </c>
      <c r="AP758" s="1182" t="s">
        <v>4086</v>
      </c>
      <c r="AQ758" s="1182" t="s">
        <v>1639</v>
      </c>
      <c r="AS758" s="1186" t="s">
        <v>1819</v>
      </c>
      <c r="AT758" s="1186" t="s">
        <v>1820</v>
      </c>
      <c r="AV758" s="1183">
        <v>0</v>
      </c>
      <c r="AW758" s="1183">
        <v>0</v>
      </c>
      <c r="AX758" s="1183">
        <v>0</v>
      </c>
      <c r="AY758" s="1538">
        <v>0</v>
      </c>
      <c r="AZ758" s="1183">
        <v>0</v>
      </c>
      <c r="BA758" s="1183">
        <v>715000</v>
      </c>
      <c r="BB758" s="1540">
        <v>715000</v>
      </c>
      <c r="BC758" s="1540">
        <v>715000</v>
      </c>
      <c r="BD758" s="1540">
        <v>0</v>
      </c>
      <c r="BF758" s="1539">
        <f t="shared" si="142"/>
        <v>0</v>
      </c>
      <c r="BG758" s="1539">
        <f t="shared" si="143"/>
        <v>0</v>
      </c>
      <c r="BH758" s="1539">
        <f t="shared" si="144"/>
        <v>0</v>
      </c>
      <c r="BI758" s="1539">
        <f t="shared" si="145"/>
        <v>0</v>
      </c>
      <c r="BJ758" s="1539">
        <f t="shared" si="146"/>
        <v>0</v>
      </c>
      <c r="BK758" s="1539">
        <f t="shared" si="147"/>
        <v>650000</v>
      </c>
      <c r="BL758" s="1539">
        <f t="shared" si="148"/>
        <v>650000</v>
      </c>
      <c r="BM758" s="1539">
        <f t="shared" si="149"/>
        <v>650000</v>
      </c>
      <c r="BO758" s="1183"/>
      <c r="BQ758" s="1182">
        <f t="shared" si="150"/>
        <v>0</v>
      </c>
      <c r="BR758" s="1182">
        <f t="shared" si="151"/>
        <v>0</v>
      </c>
    </row>
    <row r="759" spans="1:70" ht="13.5" customHeight="1">
      <c r="A759" s="1182" t="s">
        <v>1803</v>
      </c>
      <c r="B759" s="1182" t="s">
        <v>1804</v>
      </c>
      <c r="C759" s="1182" t="s">
        <v>1639</v>
      </c>
      <c r="D759" s="1182" t="s">
        <v>1805</v>
      </c>
      <c r="E759" s="1182" t="s">
        <v>1806</v>
      </c>
      <c r="F759" s="1182" t="s">
        <v>3110</v>
      </c>
      <c r="G759" s="1182" t="s">
        <v>3110</v>
      </c>
      <c r="H759" s="1182" t="s">
        <v>4183</v>
      </c>
      <c r="I759" s="1182" t="s">
        <v>2933</v>
      </c>
      <c r="J759" s="1182" t="s">
        <v>4186</v>
      </c>
      <c r="K759" s="1182" t="s">
        <v>1811</v>
      </c>
      <c r="L759" s="1182" t="s">
        <v>1812</v>
      </c>
      <c r="M759" s="1182" t="s">
        <v>1803</v>
      </c>
      <c r="N759" s="1182" t="s">
        <v>2922</v>
      </c>
      <c r="O759" s="1182" t="s">
        <v>1554</v>
      </c>
      <c r="P759" s="1182" t="s">
        <v>1563</v>
      </c>
      <c r="Q759" s="1182" t="s">
        <v>1562</v>
      </c>
      <c r="R759" s="1182" t="s">
        <v>1561</v>
      </c>
      <c r="S759" s="1182" t="s">
        <v>1639</v>
      </c>
      <c r="T759" s="1182" t="s">
        <v>1814</v>
      </c>
      <c r="U759" s="1182" t="s">
        <v>1815</v>
      </c>
      <c r="V759" s="1182">
        <v>0</v>
      </c>
      <c r="W759" s="1182">
        <v>0</v>
      </c>
      <c r="X759" s="1182">
        <v>0</v>
      </c>
      <c r="Y759" s="1183">
        <v>30800</v>
      </c>
      <c r="Z759" s="1182" t="s">
        <v>2923</v>
      </c>
      <c r="AA759" s="1182" t="s">
        <v>2924</v>
      </c>
      <c r="AB759" s="1182">
        <v>30800</v>
      </c>
      <c r="AC759" s="1182" t="s">
        <v>2925</v>
      </c>
      <c r="AD759" s="1182" t="s">
        <v>1561</v>
      </c>
      <c r="AE759" s="1182">
        <v>30800</v>
      </c>
      <c r="AF759" s="1182" t="s">
        <v>1819</v>
      </c>
      <c r="AG759" s="1182" t="s">
        <v>1820</v>
      </c>
      <c r="AH759" s="1182">
        <v>2800</v>
      </c>
      <c r="AI759" s="1182">
        <v>28000</v>
      </c>
      <c r="AJ759" s="1182" t="s">
        <v>1639</v>
      </c>
      <c r="AL759" s="1186" t="s">
        <v>4187</v>
      </c>
      <c r="AM759" s="1182">
        <v>1</v>
      </c>
      <c r="AN759" s="1182">
        <v>0</v>
      </c>
      <c r="AO759" s="1182">
        <v>0</v>
      </c>
      <c r="AP759" s="1182" t="s">
        <v>4086</v>
      </c>
      <c r="AQ759" s="1182" t="s">
        <v>1639</v>
      </c>
      <c r="AS759" s="1186" t="s">
        <v>1819</v>
      </c>
      <c r="AT759" s="1186" t="s">
        <v>1820</v>
      </c>
      <c r="AV759" s="1183">
        <v>0</v>
      </c>
      <c r="AW759" s="1183">
        <v>0</v>
      </c>
      <c r="AX759" s="1183">
        <v>0</v>
      </c>
      <c r="AY759" s="1538">
        <v>0</v>
      </c>
      <c r="AZ759" s="1183">
        <v>0</v>
      </c>
      <c r="BA759" s="1183">
        <v>30800</v>
      </c>
      <c r="BB759" s="1540">
        <v>30800</v>
      </c>
      <c r="BC759" s="1540">
        <v>30800</v>
      </c>
      <c r="BD759" s="1540">
        <v>0</v>
      </c>
      <c r="BF759" s="1539">
        <f t="shared" si="142"/>
        <v>0</v>
      </c>
      <c r="BG759" s="1539">
        <f t="shared" si="143"/>
        <v>0</v>
      </c>
      <c r="BH759" s="1539">
        <f t="shared" si="144"/>
        <v>0</v>
      </c>
      <c r="BI759" s="1539">
        <f t="shared" si="145"/>
        <v>0</v>
      </c>
      <c r="BJ759" s="1539">
        <f t="shared" si="146"/>
        <v>0</v>
      </c>
      <c r="BK759" s="1539">
        <f t="shared" si="147"/>
        <v>28000</v>
      </c>
      <c r="BL759" s="1539">
        <f t="shared" si="148"/>
        <v>28000</v>
      </c>
      <c r="BM759" s="1539">
        <f t="shared" si="149"/>
        <v>28000</v>
      </c>
      <c r="BO759" s="1183"/>
      <c r="BQ759" s="1182">
        <f t="shared" si="150"/>
        <v>0</v>
      </c>
      <c r="BR759" s="1182">
        <f t="shared" si="151"/>
        <v>0</v>
      </c>
    </row>
    <row r="760" spans="1:70" ht="13.5" customHeight="1">
      <c r="A760" s="1182" t="s">
        <v>1803</v>
      </c>
      <c r="B760" s="1182" t="s">
        <v>1804</v>
      </c>
      <c r="C760" s="1182" t="s">
        <v>1639</v>
      </c>
      <c r="D760" s="1182" t="s">
        <v>2866</v>
      </c>
      <c r="E760" s="1182" t="s">
        <v>2867</v>
      </c>
      <c r="F760" s="1182" t="s">
        <v>3238</v>
      </c>
      <c r="G760" s="1182" t="s">
        <v>3238</v>
      </c>
      <c r="H760" s="1182" t="s">
        <v>4188</v>
      </c>
      <c r="I760" s="1182" t="s">
        <v>1809</v>
      </c>
      <c r="J760" s="1182" t="s">
        <v>4189</v>
      </c>
      <c r="K760" s="1182" t="s">
        <v>1811</v>
      </c>
      <c r="L760" s="1182" t="s">
        <v>1812</v>
      </c>
      <c r="M760" s="1182" t="s">
        <v>1803</v>
      </c>
      <c r="N760" s="1182" t="s">
        <v>4190</v>
      </c>
      <c r="O760" s="1182" t="s">
        <v>1554</v>
      </c>
      <c r="P760" s="1182" t="s">
        <v>1553</v>
      </c>
      <c r="Q760" s="1182" t="s">
        <v>1559</v>
      </c>
      <c r="R760" s="1182" t="s">
        <v>1559</v>
      </c>
      <c r="S760" s="1182" t="s">
        <v>1639</v>
      </c>
      <c r="T760" s="1182" t="s">
        <v>1814</v>
      </c>
      <c r="U760" s="1182" t="s">
        <v>1815</v>
      </c>
      <c r="V760" s="1182">
        <v>0</v>
      </c>
      <c r="W760" s="1182">
        <v>0</v>
      </c>
      <c r="X760" s="1182">
        <v>0</v>
      </c>
      <c r="Y760" s="1183">
        <v>93</v>
      </c>
      <c r="Z760" s="1182" t="s">
        <v>4191</v>
      </c>
      <c r="AA760" s="1182" t="s">
        <v>4192</v>
      </c>
      <c r="AB760" s="1182">
        <v>93</v>
      </c>
      <c r="AC760" s="1182" t="s">
        <v>4193</v>
      </c>
      <c r="AD760" s="1182" t="s">
        <v>1559</v>
      </c>
      <c r="AE760" s="1182">
        <v>93</v>
      </c>
      <c r="AF760" s="1182" t="s">
        <v>2911</v>
      </c>
      <c r="AG760" s="1182" t="s">
        <v>1944</v>
      </c>
      <c r="AH760" s="1182">
        <v>0</v>
      </c>
      <c r="AI760" s="1182">
        <v>93</v>
      </c>
      <c r="AJ760" s="1182" t="s">
        <v>4194</v>
      </c>
      <c r="AL760" s="1186" t="s">
        <v>4195</v>
      </c>
      <c r="AM760" s="1182">
        <v>1</v>
      </c>
      <c r="AN760" s="1182">
        <v>0</v>
      </c>
      <c r="AO760" s="1182">
        <v>0</v>
      </c>
      <c r="AP760" s="1182">
        <v>0</v>
      </c>
      <c r="AQ760" s="1182" t="s">
        <v>1639</v>
      </c>
      <c r="AS760" s="1186" t="s">
        <v>2911</v>
      </c>
      <c r="AT760" s="1186" t="s">
        <v>1944</v>
      </c>
      <c r="AV760" s="1183">
        <v>47</v>
      </c>
      <c r="AW760" s="1183">
        <v>0</v>
      </c>
      <c r="AX760" s="1183">
        <v>0</v>
      </c>
      <c r="AY760" s="1538">
        <v>47</v>
      </c>
      <c r="AZ760" s="1183">
        <v>0</v>
      </c>
      <c r="BA760" s="1183">
        <v>46</v>
      </c>
      <c r="BB760" s="1540">
        <v>46</v>
      </c>
      <c r="BC760" s="1540">
        <v>93</v>
      </c>
      <c r="BD760" s="1540">
        <v>0</v>
      </c>
      <c r="BF760" s="1539">
        <f t="shared" si="142"/>
        <v>47</v>
      </c>
      <c r="BG760" s="1539">
        <f t="shared" si="143"/>
        <v>0</v>
      </c>
      <c r="BH760" s="1539">
        <f t="shared" si="144"/>
        <v>0</v>
      </c>
      <c r="BI760" s="1539">
        <f t="shared" si="145"/>
        <v>47</v>
      </c>
      <c r="BJ760" s="1539">
        <f t="shared" si="146"/>
        <v>0</v>
      </c>
      <c r="BK760" s="1539">
        <f t="shared" si="147"/>
        <v>46</v>
      </c>
      <c r="BL760" s="1539">
        <f t="shared" si="148"/>
        <v>46</v>
      </c>
      <c r="BM760" s="1539">
        <f t="shared" si="149"/>
        <v>93</v>
      </c>
      <c r="BO760" s="1183"/>
      <c r="BQ760" s="1182">
        <f t="shared" si="150"/>
        <v>0</v>
      </c>
      <c r="BR760" s="1182">
        <f t="shared" si="151"/>
        <v>0</v>
      </c>
    </row>
    <row r="761" spans="1:70" ht="13.5" customHeight="1">
      <c r="A761" s="1182" t="s">
        <v>1803</v>
      </c>
      <c r="B761" s="1182" t="s">
        <v>1804</v>
      </c>
      <c r="C761" s="1182" t="s">
        <v>1639</v>
      </c>
      <c r="D761" s="1182" t="s">
        <v>2866</v>
      </c>
      <c r="E761" s="1182" t="s">
        <v>2867</v>
      </c>
      <c r="F761" s="1182" t="s">
        <v>2211</v>
      </c>
      <c r="G761" s="1182" t="s">
        <v>2211</v>
      </c>
      <c r="H761" s="1182" t="s">
        <v>4196</v>
      </c>
      <c r="I761" s="1182" t="s">
        <v>2933</v>
      </c>
      <c r="J761" s="1182" t="s">
        <v>4197</v>
      </c>
      <c r="K761" s="1182" t="s">
        <v>1811</v>
      </c>
      <c r="L761" s="1182" t="s">
        <v>1812</v>
      </c>
      <c r="M761" s="1182" t="s">
        <v>1803</v>
      </c>
      <c r="N761" s="1182" t="s">
        <v>4190</v>
      </c>
      <c r="O761" s="1182" t="s">
        <v>1554</v>
      </c>
      <c r="P761" s="1182" t="s">
        <v>1553</v>
      </c>
      <c r="Q761" s="1182" t="s">
        <v>1559</v>
      </c>
      <c r="R761" s="1182" t="s">
        <v>1559</v>
      </c>
      <c r="S761" s="1182" t="s">
        <v>1639</v>
      </c>
      <c r="T761" s="1182" t="s">
        <v>1814</v>
      </c>
      <c r="U761" s="1182" t="s">
        <v>1815</v>
      </c>
      <c r="V761" s="1182">
        <v>0</v>
      </c>
      <c r="W761" s="1182">
        <v>0</v>
      </c>
      <c r="X761" s="1182">
        <v>0</v>
      </c>
      <c r="Y761" s="1183">
        <v>105900</v>
      </c>
      <c r="Z761" s="1182" t="s">
        <v>4198</v>
      </c>
      <c r="AA761" s="1182" t="s">
        <v>4199</v>
      </c>
      <c r="AB761" s="1182">
        <v>105900</v>
      </c>
      <c r="AC761" s="1182" t="s">
        <v>4193</v>
      </c>
      <c r="AD761" s="1182" t="s">
        <v>1559</v>
      </c>
      <c r="AE761" s="1182">
        <v>105900</v>
      </c>
      <c r="AF761" s="1182" t="s">
        <v>2911</v>
      </c>
      <c r="AG761" s="1182" t="s">
        <v>1944</v>
      </c>
      <c r="AH761" s="1182">
        <v>0</v>
      </c>
      <c r="AI761" s="1182">
        <v>105900</v>
      </c>
      <c r="AJ761" s="1182" t="s">
        <v>1639</v>
      </c>
      <c r="AL761" s="1186" t="s">
        <v>4200</v>
      </c>
      <c r="AM761" s="1182">
        <v>1</v>
      </c>
      <c r="AN761" s="1182">
        <v>0</v>
      </c>
      <c r="AO761" s="1182">
        <v>0</v>
      </c>
      <c r="AP761" s="1182">
        <v>0</v>
      </c>
      <c r="AQ761" s="1182" t="s">
        <v>1639</v>
      </c>
      <c r="AS761" s="1186" t="s">
        <v>2911</v>
      </c>
      <c r="AT761" s="1186" t="s">
        <v>1944</v>
      </c>
      <c r="AV761" s="1183">
        <v>52950</v>
      </c>
      <c r="AW761" s="1183">
        <v>0</v>
      </c>
      <c r="AX761" s="1183">
        <v>0</v>
      </c>
      <c r="AY761" s="1538">
        <v>52950</v>
      </c>
      <c r="AZ761" s="1183">
        <v>0</v>
      </c>
      <c r="BA761" s="1183">
        <v>52950</v>
      </c>
      <c r="BB761" s="1540">
        <v>52950</v>
      </c>
      <c r="BC761" s="1540">
        <v>105900</v>
      </c>
      <c r="BD761" s="1540">
        <v>0</v>
      </c>
      <c r="BF761" s="1539">
        <f t="shared" si="142"/>
        <v>52950</v>
      </c>
      <c r="BG761" s="1539">
        <f t="shared" si="143"/>
        <v>0</v>
      </c>
      <c r="BH761" s="1539">
        <f t="shared" si="144"/>
        <v>0</v>
      </c>
      <c r="BI761" s="1539">
        <f t="shared" si="145"/>
        <v>52950</v>
      </c>
      <c r="BJ761" s="1539">
        <f t="shared" si="146"/>
        <v>0</v>
      </c>
      <c r="BK761" s="1539">
        <f t="shared" si="147"/>
        <v>52950</v>
      </c>
      <c r="BL761" s="1539">
        <f t="shared" si="148"/>
        <v>52950</v>
      </c>
      <c r="BM761" s="1539">
        <f t="shared" si="149"/>
        <v>105900</v>
      </c>
      <c r="BO761" s="1183"/>
      <c r="BQ761" s="1182">
        <f t="shared" si="150"/>
        <v>0</v>
      </c>
      <c r="BR761" s="1182">
        <f t="shared" si="151"/>
        <v>0</v>
      </c>
    </row>
    <row r="762" spans="1:70" ht="13.5" customHeight="1">
      <c r="A762" s="1182" t="s">
        <v>1803</v>
      </c>
      <c r="B762" s="1182" t="s">
        <v>1804</v>
      </c>
      <c r="C762" s="1182" t="s">
        <v>1639</v>
      </c>
      <c r="D762" s="1182" t="s">
        <v>1920</v>
      </c>
      <c r="E762" s="1182" t="s">
        <v>1921</v>
      </c>
      <c r="F762" s="1182" t="s">
        <v>4201</v>
      </c>
      <c r="G762" s="1182" t="s">
        <v>4201</v>
      </c>
      <c r="H762" s="1182" t="s">
        <v>4202</v>
      </c>
      <c r="I762" s="1182" t="s">
        <v>2933</v>
      </c>
      <c r="J762" s="1182" t="s">
        <v>4203</v>
      </c>
      <c r="K762" s="1182" t="s">
        <v>1811</v>
      </c>
      <c r="L762" s="1182" t="s">
        <v>1812</v>
      </c>
      <c r="M762" s="1182" t="s">
        <v>1803</v>
      </c>
      <c r="N762" s="1182" t="s">
        <v>4190</v>
      </c>
      <c r="O762" s="1182" t="s">
        <v>1554</v>
      </c>
      <c r="P762" s="1182" t="s">
        <v>1553</v>
      </c>
      <c r="Q762" s="1182" t="s">
        <v>1559</v>
      </c>
      <c r="R762" s="1182" t="s">
        <v>1559</v>
      </c>
      <c r="S762" s="1182" t="s">
        <v>1639</v>
      </c>
      <c r="T762" s="1182" t="s">
        <v>1814</v>
      </c>
      <c r="U762" s="1182" t="s">
        <v>1815</v>
      </c>
      <c r="V762" s="1182">
        <v>0</v>
      </c>
      <c r="W762" s="1182">
        <v>0</v>
      </c>
      <c r="X762" s="1182">
        <v>0</v>
      </c>
      <c r="Y762" s="1183">
        <v>118320</v>
      </c>
      <c r="Z762" s="1182" t="s">
        <v>4198</v>
      </c>
      <c r="AA762" s="1182" t="s">
        <v>4199</v>
      </c>
      <c r="AB762" s="1182">
        <v>118320</v>
      </c>
      <c r="AC762" s="1182" t="s">
        <v>4193</v>
      </c>
      <c r="AD762" s="1182" t="s">
        <v>1559</v>
      </c>
      <c r="AE762" s="1182">
        <v>118320</v>
      </c>
      <c r="AF762" s="1182" t="s">
        <v>2911</v>
      </c>
      <c r="AG762" s="1182" t="s">
        <v>1944</v>
      </c>
      <c r="AH762" s="1182">
        <v>0</v>
      </c>
      <c r="AI762" s="1182">
        <v>118320</v>
      </c>
      <c r="AJ762" s="1182" t="s">
        <v>1639</v>
      </c>
      <c r="AL762" s="1186" t="s">
        <v>4204</v>
      </c>
      <c r="AM762" s="1182">
        <v>1</v>
      </c>
      <c r="AN762" s="1182">
        <v>0</v>
      </c>
      <c r="AO762" s="1182">
        <v>0</v>
      </c>
      <c r="AP762" s="1182">
        <v>0</v>
      </c>
      <c r="AQ762" s="1182" t="s">
        <v>1639</v>
      </c>
      <c r="AS762" s="1186" t="s">
        <v>2911</v>
      </c>
      <c r="AT762" s="1186" t="s">
        <v>1944</v>
      </c>
      <c r="AV762" s="1183">
        <v>118320</v>
      </c>
      <c r="AW762" s="1183">
        <v>0</v>
      </c>
      <c r="AX762" s="1183">
        <v>0</v>
      </c>
      <c r="AY762" s="1538">
        <v>118320</v>
      </c>
      <c r="AZ762" s="1183">
        <v>0</v>
      </c>
      <c r="BA762" s="1183">
        <v>0</v>
      </c>
      <c r="BB762" s="1540">
        <v>0</v>
      </c>
      <c r="BC762" s="1540">
        <v>118320</v>
      </c>
      <c r="BD762" s="1540">
        <v>0</v>
      </c>
      <c r="BF762" s="1539">
        <f t="shared" si="142"/>
        <v>118320</v>
      </c>
      <c r="BG762" s="1539">
        <f t="shared" si="143"/>
        <v>0</v>
      </c>
      <c r="BH762" s="1539">
        <f t="shared" si="144"/>
        <v>0</v>
      </c>
      <c r="BI762" s="1539">
        <f t="shared" si="145"/>
        <v>118320</v>
      </c>
      <c r="BJ762" s="1539">
        <f t="shared" si="146"/>
        <v>0</v>
      </c>
      <c r="BK762" s="1539">
        <f t="shared" si="147"/>
        <v>0</v>
      </c>
      <c r="BL762" s="1539">
        <f t="shared" si="148"/>
        <v>0</v>
      </c>
      <c r="BM762" s="1539">
        <f t="shared" si="149"/>
        <v>118320</v>
      </c>
      <c r="BO762" s="1183"/>
      <c r="BQ762" s="1182">
        <f t="shared" si="150"/>
        <v>0</v>
      </c>
      <c r="BR762" s="1182">
        <f t="shared" si="151"/>
        <v>0</v>
      </c>
    </row>
    <row r="763" spans="1:70" ht="13.5" customHeight="1">
      <c r="A763" s="1182" t="s">
        <v>1803</v>
      </c>
      <c r="B763" s="1182" t="s">
        <v>1804</v>
      </c>
      <c r="C763" s="1182" t="s">
        <v>1639</v>
      </c>
      <c r="D763" s="1182" t="s">
        <v>1920</v>
      </c>
      <c r="E763" s="1182" t="s">
        <v>1921</v>
      </c>
      <c r="F763" s="1182" t="s">
        <v>4201</v>
      </c>
      <c r="G763" s="1182" t="s">
        <v>4201</v>
      </c>
      <c r="H763" s="1182" t="s">
        <v>4202</v>
      </c>
      <c r="I763" s="1182" t="s">
        <v>2933</v>
      </c>
      <c r="J763" s="1182" t="s">
        <v>4205</v>
      </c>
      <c r="K763" s="1182" t="s">
        <v>1811</v>
      </c>
      <c r="L763" s="1182" t="s">
        <v>1812</v>
      </c>
      <c r="M763" s="1182" t="s">
        <v>1803</v>
      </c>
      <c r="N763" s="1182" t="s">
        <v>4190</v>
      </c>
      <c r="O763" s="1182" t="s">
        <v>1554</v>
      </c>
      <c r="P763" s="1182" t="s">
        <v>1553</v>
      </c>
      <c r="Q763" s="1182" t="s">
        <v>1559</v>
      </c>
      <c r="R763" s="1182" t="s">
        <v>1559</v>
      </c>
      <c r="S763" s="1182" t="s">
        <v>1639</v>
      </c>
      <c r="T763" s="1182" t="s">
        <v>1814</v>
      </c>
      <c r="U763" s="1182" t="s">
        <v>1815</v>
      </c>
      <c r="V763" s="1182">
        <v>0</v>
      </c>
      <c r="W763" s="1182">
        <v>0</v>
      </c>
      <c r="X763" s="1182">
        <v>0</v>
      </c>
      <c r="Y763" s="1183">
        <v>110000</v>
      </c>
      <c r="Z763" s="1182" t="s">
        <v>4198</v>
      </c>
      <c r="AA763" s="1182" t="s">
        <v>4199</v>
      </c>
      <c r="AB763" s="1182">
        <v>110000</v>
      </c>
      <c r="AC763" s="1182" t="s">
        <v>4193</v>
      </c>
      <c r="AD763" s="1182" t="s">
        <v>1559</v>
      </c>
      <c r="AE763" s="1182">
        <v>110000</v>
      </c>
      <c r="AF763" s="1182" t="s">
        <v>2911</v>
      </c>
      <c r="AG763" s="1182" t="s">
        <v>1944</v>
      </c>
      <c r="AH763" s="1182">
        <v>0</v>
      </c>
      <c r="AI763" s="1182">
        <v>110000</v>
      </c>
      <c r="AJ763" s="1182" t="s">
        <v>1639</v>
      </c>
      <c r="AL763" s="1186" t="s">
        <v>4206</v>
      </c>
      <c r="AM763" s="1182">
        <v>1</v>
      </c>
      <c r="AN763" s="1182">
        <v>0</v>
      </c>
      <c r="AO763" s="1182">
        <v>0</v>
      </c>
      <c r="AP763" s="1182">
        <v>0</v>
      </c>
      <c r="AQ763" s="1182" t="s">
        <v>1639</v>
      </c>
      <c r="AS763" s="1186" t="s">
        <v>2911</v>
      </c>
      <c r="AT763" s="1186" t="s">
        <v>1944</v>
      </c>
      <c r="AV763" s="1183">
        <v>110000</v>
      </c>
      <c r="AW763" s="1183">
        <v>0</v>
      </c>
      <c r="AX763" s="1183">
        <v>0</v>
      </c>
      <c r="AY763" s="1538">
        <v>110000</v>
      </c>
      <c r="AZ763" s="1183">
        <v>0</v>
      </c>
      <c r="BA763" s="1183">
        <v>0</v>
      </c>
      <c r="BB763" s="1540">
        <v>0</v>
      </c>
      <c r="BC763" s="1540">
        <v>110000</v>
      </c>
      <c r="BD763" s="1540">
        <v>0</v>
      </c>
      <c r="BF763" s="1539">
        <f t="shared" si="142"/>
        <v>110000</v>
      </c>
      <c r="BG763" s="1539">
        <f t="shared" si="143"/>
        <v>0</v>
      </c>
      <c r="BH763" s="1539">
        <f t="shared" si="144"/>
        <v>0</v>
      </c>
      <c r="BI763" s="1539">
        <f t="shared" si="145"/>
        <v>110000</v>
      </c>
      <c r="BJ763" s="1539">
        <f t="shared" si="146"/>
        <v>0</v>
      </c>
      <c r="BK763" s="1539">
        <f t="shared" si="147"/>
        <v>0</v>
      </c>
      <c r="BL763" s="1539">
        <f t="shared" si="148"/>
        <v>0</v>
      </c>
      <c r="BM763" s="1539">
        <f t="shared" si="149"/>
        <v>110000</v>
      </c>
      <c r="BO763" s="1556">
        <f>BA763*100/(100+$AT763)-BK763</f>
        <v>0</v>
      </c>
      <c r="BQ763" s="1182">
        <f t="shared" si="150"/>
        <v>0</v>
      </c>
      <c r="BR763" s="1182">
        <f t="shared" si="151"/>
        <v>0</v>
      </c>
    </row>
    <row r="764" spans="1:70" ht="13.5" customHeight="1">
      <c r="A764" s="1182" t="s">
        <v>1803</v>
      </c>
      <c r="B764" s="1182" t="s">
        <v>1804</v>
      </c>
      <c r="C764" s="1182" t="s">
        <v>1639</v>
      </c>
      <c r="D764" s="1182" t="s">
        <v>2866</v>
      </c>
      <c r="E764" s="1182" t="s">
        <v>2867</v>
      </c>
      <c r="F764" s="1182" t="s">
        <v>4207</v>
      </c>
      <c r="G764" s="1182" t="s">
        <v>4207</v>
      </c>
      <c r="H764" s="1182" t="s">
        <v>4208</v>
      </c>
      <c r="I764" s="1182" t="s">
        <v>1937</v>
      </c>
      <c r="J764" s="1182" t="s">
        <v>4209</v>
      </c>
      <c r="K764" s="1182" t="s">
        <v>1811</v>
      </c>
      <c r="L764" s="1182" t="s">
        <v>1812</v>
      </c>
      <c r="M764" s="1182" t="s">
        <v>1803</v>
      </c>
      <c r="N764" s="1182" t="s">
        <v>4190</v>
      </c>
      <c r="O764" s="1182" t="s">
        <v>1554</v>
      </c>
      <c r="P764" s="1182" t="s">
        <v>1553</v>
      </c>
      <c r="Q764" s="1182" t="s">
        <v>1559</v>
      </c>
      <c r="R764" s="1182" t="s">
        <v>1559</v>
      </c>
      <c r="S764" s="1182" t="s">
        <v>1639</v>
      </c>
      <c r="T764" s="1182" t="s">
        <v>1814</v>
      </c>
      <c r="U764" s="1182" t="s">
        <v>1815</v>
      </c>
      <c r="V764" s="1182">
        <v>0</v>
      </c>
      <c r="W764" s="1182">
        <v>0</v>
      </c>
      <c r="X764" s="1182">
        <v>0</v>
      </c>
      <c r="Y764" s="1183">
        <v>475</v>
      </c>
      <c r="Z764" s="1182" t="s">
        <v>1940</v>
      </c>
      <c r="AA764" s="1182" t="s">
        <v>1941</v>
      </c>
      <c r="AB764" s="1182">
        <v>475</v>
      </c>
      <c r="AC764" s="1182" t="s">
        <v>4193</v>
      </c>
      <c r="AD764" s="1182" t="s">
        <v>1559</v>
      </c>
      <c r="AE764" s="1182">
        <v>475</v>
      </c>
      <c r="AF764" s="1182" t="s">
        <v>1943</v>
      </c>
      <c r="AG764" s="1182" t="s">
        <v>1944</v>
      </c>
      <c r="AH764" s="1182">
        <v>0</v>
      </c>
      <c r="AI764" s="1182">
        <v>475</v>
      </c>
      <c r="AJ764" s="1182" t="s">
        <v>4210</v>
      </c>
      <c r="AL764" s="1186" t="s">
        <v>4211</v>
      </c>
      <c r="AM764" s="1182">
        <v>1</v>
      </c>
      <c r="AN764" s="1182">
        <v>0</v>
      </c>
      <c r="AO764" s="1182">
        <v>0</v>
      </c>
      <c r="AP764" s="1182">
        <v>0</v>
      </c>
      <c r="AQ764" s="1182" t="s">
        <v>1639</v>
      </c>
      <c r="AS764" s="1186" t="s">
        <v>1943</v>
      </c>
      <c r="AT764" s="1186" t="s">
        <v>1944</v>
      </c>
      <c r="AV764" s="1183">
        <v>237</v>
      </c>
      <c r="AW764" s="1183">
        <v>0</v>
      </c>
      <c r="AX764" s="1183">
        <v>0</v>
      </c>
      <c r="AY764" s="1538">
        <v>237</v>
      </c>
      <c r="AZ764" s="1183">
        <v>0</v>
      </c>
      <c r="BA764" s="1183">
        <v>238</v>
      </c>
      <c r="BB764" s="1540">
        <v>238</v>
      </c>
      <c r="BC764" s="1540">
        <v>475</v>
      </c>
      <c r="BD764" s="1540">
        <v>0</v>
      </c>
      <c r="BF764" s="1539">
        <f t="shared" si="142"/>
        <v>237</v>
      </c>
      <c r="BG764" s="1539">
        <f t="shared" si="143"/>
        <v>0</v>
      </c>
      <c r="BH764" s="1539">
        <f t="shared" si="144"/>
        <v>0</v>
      </c>
      <c r="BI764" s="1539">
        <f t="shared" si="145"/>
        <v>237</v>
      </c>
      <c r="BJ764" s="1539">
        <f t="shared" si="146"/>
        <v>0</v>
      </c>
      <c r="BK764" s="1539">
        <f t="shared" si="147"/>
        <v>238</v>
      </c>
      <c r="BL764" s="1539">
        <f t="shared" si="148"/>
        <v>238</v>
      </c>
      <c r="BM764" s="1539">
        <f t="shared" si="149"/>
        <v>475</v>
      </c>
      <c r="BO764" s="1183"/>
      <c r="BQ764" s="1182">
        <f t="shared" si="150"/>
        <v>0</v>
      </c>
      <c r="BR764" s="1182">
        <f t="shared" si="151"/>
        <v>0</v>
      </c>
    </row>
    <row r="765" spans="1:70" ht="13.5" customHeight="1">
      <c r="A765" s="1182" t="s">
        <v>1803</v>
      </c>
      <c r="B765" s="1182" t="s">
        <v>1804</v>
      </c>
      <c r="C765" s="1182" t="s">
        <v>1639</v>
      </c>
      <c r="D765" s="1182" t="s">
        <v>2590</v>
      </c>
      <c r="E765" s="1182" t="s">
        <v>2591</v>
      </c>
      <c r="F765" s="1182" t="s">
        <v>2912</v>
      </c>
      <c r="G765" s="1182" t="s">
        <v>2912</v>
      </c>
      <c r="H765" s="1182" t="s">
        <v>4212</v>
      </c>
      <c r="I765" s="1182" t="s">
        <v>1809</v>
      </c>
      <c r="J765" s="1182" t="s">
        <v>4213</v>
      </c>
      <c r="K765" s="1182" t="s">
        <v>1811</v>
      </c>
      <c r="L765" s="1182" t="s">
        <v>1812</v>
      </c>
      <c r="M765" s="1182" t="s">
        <v>1803</v>
      </c>
      <c r="N765" s="1182" t="s">
        <v>4190</v>
      </c>
      <c r="O765" s="1182" t="s">
        <v>1554</v>
      </c>
      <c r="P765" s="1182" t="s">
        <v>1553</v>
      </c>
      <c r="Q765" s="1182" t="s">
        <v>1559</v>
      </c>
      <c r="R765" s="1182" t="s">
        <v>1559</v>
      </c>
      <c r="S765" s="1182" t="s">
        <v>1639</v>
      </c>
      <c r="T765" s="1182" t="s">
        <v>1814</v>
      </c>
      <c r="U765" s="1182" t="s">
        <v>1815</v>
      </c>
      <c r="V765" s="1182">
        <v>0</v>
      </c>
      <c r="W765" s="1182">
        <v>0</v>
      </c>
      <c r="X765" s="1182">
        <v>0</v>
      </c>
      <c r="Y765" s="1183">
        <v>4690</v>
      </c>
      <c r="Z765" s="1182" t="s">
        <v>4214</v>
      </c>
      <c r="AA765" s="1182" t="s">
        <v>4215</v>
      </c>
      <c r="AB765" s="1182">
        <v>4690</v>
      </c>
      <c r="AC765" s="1182" t="s">
        <v>4193</v>
      </c>
      <c r="AD765" s="1182" t="s">
        <v>1559</v>
      </c>
      <c r="AE765" s="1182">
        <v>4690</v>
      </c>
      <c r="AF765" s="1182" t="s">
        <v>1930</v>
      </c>
      <c r="AG765" s="1182" t="s">
        <v>3911</v>
      </c>
      <c r="AH765" s="1182">
        <v>347</v>
      </c>
      <c r="AI765" s="1182">
        <v>4343</v>
      </c>
      <c r="AJ765" s="1182" t="s">
        <v>4216</v>
      </c>
      <c r="AL765" s="1186" t="s">
        <v>4217</v>
      </c>
      <c r="AM765" s="1182">
        <v>1</v>
      </c>
      <c r="AN765" s="1182">
        <v>0</v>
      </c>
      <c r="AO765" s="1182">
        <v>0</v>
      </c>
      <c r="AP765" s="1182">
        <v>0</v>
      </c>
      <c r="AQ765" s="1182" t="s">
        <v>1639</v>
      </c>
      <c r="AS765" s="1186" t="s">
        <v>1930</v>
      </c>
      <c r="AT765" s="1186" t="s">
        <v>3911</v>
      </c>
      <c r="AV765" s="1183">
        <v>0</v>
      </c>
      <c r="AW765" s="1183">
        <v>0</v>
      </c>
      <c r="AX765" s="1183">
        <v>0</v>
      </c>
      <c r="AY765" s="1538">
        <v>0</v>
      </c>
      <c r="AZ765" s="1183">
        <v>0</v>
      </c>
      <c r="BA765" s="1183">
        <v>4690</v>
      </c>
      <c r="BB765" s="1540">
        <v>4690</v>
      </c>
      <c r="BC765" s="1540">
        <v>4690</v>
      </c>
      <c r="BD765" s="1540">
        <v>0</v>
      </c>
      <c r="BF765" s="1539">
        <f t="shared" si="142"/>
        <v>0</v>
      </c>
      <c r="BG765" s="1539">
        <f t="shared" si="143"/>
        <v>0</v>
      </c>
      <c r="BH765" s="1539">
        <f t="shared" si="144"/>
        <v>0</v>
      </c>
      <c r="BI765" s="1539">
        <f t="shared" si="145"/>
        <v>0</v>
      </c>
      <c r="BJ765" s="1539">
        <f t="shared" si="146"/>
        <v>0</v>
      </c>
      <c r="BK765" s="1539">
        <f t="shared" si="147"/>
        <v>4343</v>
      </c>
      <c r="BL765" s="1539">
        <f t="shared" si="148"/>
        <v>4343</v>
      </c>
      <c r="BM765" s="1539">
        <f t="shared" si="149"/>
        <v>4343</v>
      </c>
      <c r="BO765" s="1556">
        <f>BA765*100/(100+$AT765)-BK765</f>
        <v>-0.40740740740784531</v>
      </c>
      <c r="BQ765" s="1182">
        <f t="shared" si="150"/>
        <v>0</v>
      </c>
      <c r="BR765" s="1182">
        <f t="shared" si="151"/>
        <v>-0.40740740740784531</v>
      </c>
    </row>
    <row r="766" spans="1:70" ht="13.5" customHeight="1">
      <c r="A766" s="1182" t="s">
        <v>1803</v>
      </c>
      <c r="B766" s="1182" t="s">
        <v>1804</v>
      </c>
      <c r="C766" s="1182" t="s">
        <v>1639</v>
      </c>
      <c r="D766" s="1182" t="s">
        <v>2590</v>
      </c>
      <c r="E766" s="1182" t="s">
        <v>2591</v>
      </c>
      <c r="F766" s="1182" t="s">
        <v>2665</v>
      </c>
      <c r="G766" s="1182" t="s">
        <v>2665</v>
      </c>
      <c r="H766" s="1182" t="s">
        <v>4218</v>
      </c>
      <c r="I766" s="1182" t="s">
        <v>1809</v>
      </c>
      <c r="J766" s="1182" t="s">
        <v>4219</v>
      </c>
      <c r="K766" s="1182" t="s">
        <v>1811</v>
      </c>
      <c r="L766" s="1182" t="s">
        <v>1812</v>
      </c>
      <c r="M766" s="1182" t="s">
        <v>1803</v>
      </c>
      <c r="N766" s="1182" t="s">
        <v>4190</v>
      </c>
      <c r="O766" s="1182" t="s">
        <v>1554</v>
      </c>
      <c r="P766" s="1182" t="s">
        <v>1553</v>
      </c>
      <c r="Q766" s="1182" t="s">
        <v>1559</v>
      </c>
      <c r="R766" s="1182" t="s">
        <v>1559</v>
      </c>
      <c r="S766" s="1182" t="s">
        <v>1639</v>
      </c>
      <c r="T766" s="1182" t="s">
        <v>1814</v>
      </c>
      <c r="U766" s="1182" t="s">
        <v>1815</v>
      </c>
      <c r="V766" s="1182">
        <v>0</v>
      </c>
      <c r="W766" s="1182">
        <v>0</v>
      </c>
      <c r="X766" s="1182">
        <v>0</v>
      </c>
      <c r="Y766" s="1183">
        <v>7672</v>
      </c>
      <c r="Z766" s="1182" t="s">
        <v>4214</v>
      </c>
      <c r="AA766" s="1182" t="s">
        <v>4215</v>
      </c>
      <c r="AB766" s="1182">
        <v>7672</v>
      </c>
      <c r="AC766" s="1182" t="s">
        <v>4193</v>
      </c>
      <c r="AD766" s="1182" t="s">
        <v>1559</v>
      </c>
      <c r="AE766" s="1182">
        <v>7672</v>
      </c>
      <c r="AF766" s="1182" t="s">
        <v>1930</v>
      </c>
      <c r="AG766" s="1182" t="s">
        <v>3911</v>
      </c>
      <c r="AH766" s="1182">
        <v>568</v>
      </c>
      <c r="AI766" s="1182">
        <v>7104</v>
      </c>
      <c r="AJ766" s="1182" t="s">
        <v>4216</v>
      </c>
      <c r="AL766" s="1186" t="s">
        <v>4220</v>
      </c>
      <c r="AM766" s="1182">
        <v>1</v>
      </c>
      <c r="AN766" s="1182">
        <v>0</v>
      </c>
      <c r="AO766" s="1182">
        <v>0</v>
      </c>
      <c r="AP766" s="1182">
        <v>0</v>
      </c>
      <c r="AQ766" s="1182" t="s">
        <v>1639</v>
      </c>
      <c r="AS766" s="1186" t="s">
        <v>1930</v>
      </c>
      <c r="AT766" s="1186" t="s">
        <v>3911</v>
      </c>
      <c r="AV766" s="1183">
        <v>0</v>
      </c>
      <c r="AW766" s="1183">
        <v>0</v>
      </c>
      <c r="AX766" s="1183">
        <v>0</v>
      </c>
      <c r="AY766" s="1538">
        <v>0</v>
      </c>
      <c r="AZ766" s="1183">
        <v>0</v>
      </c>
      <c r="BA766" s="1183">
        <v>7672</v>
      </c>
      <c r="BB766" s="1540">
        <v>7672</v>
      </c>
      <c r="BC766" s="1540">
        <v>7672</v>
      </c>
      <c r="BD766" s="1540">
        <v>0</v>
      </c>
      <c r="BF766" s="1539">
        <f t="shared" si="142"/>
        <v>0</v>
      </c>
      <c r="BG766" s="1539">
        <f t="shared" si="143"/>
        <v>0</v>
      </c>
      <c r="BH766" s="1539">
        <f t="shared" si="144"/>
        <v>0</v>
      </c>
      <c r="BI766" s="1539">
        <f t="shared" si="145"/>
        <v>0</v>
      </c>
      <c r="BJ766" s="1539">
        <f t="shared" si="146"/>
        <v>0</v>
      </c>
      <c r="BK766" s="1539">
        <f t="shared" si="147"/>
        <v>7104</v>
      </c>
      <c r="BL766" s="1539">
        <f t="shared" si="148"/>
        <v>7104</v>
      </c>
      <c r="BM766" s="1539">
        <f t="shared" si="149"/>
        <v>7104</v>
      </c>
      <c r="BO766" s="1183"/>
      <c r="BQ766" s="1182">
        <f t="shared" si="150"/>
        <v>0</v>
      </c>
      <c r="BR766" s="1182">
        <f t="shared" si="151"/>
        <v>-0.29629629629653209</v>
      </c>
    </row>
    <row r="767" spans="1:70" ht="13.5" customHeight="1">
      <c r="A767" s="1182" t="s">
        <v>3049</v>
      </c>
      <c r="B767" s="1182" t="s">
        <v>1804</v>
      </c>
      <c r="C767" s="1182" t="s">
        <v>1639</v>
      </c>
      <c r="D767" s="1182" t="s">
        <v>2590</v>
      </c>
      <c r="E767" s="1182" t="s">
        <v>2591</v>
      </c>
      <c r="F767" s="1182" t="s">
        <v>2912</v>
      </c>
      <c r="G767" s="1182" t="s">
        <v>2912</v>
      </c>
      <c r="H767" s="1182" t="s">
        <v>4221</v>
      </c>
      <c r="I767" s="1182" t="s">
        <v>1809</v>
      </c>
      <c r="J767" s="1182" t="s">
        <v>4222</v>
      </c>
      <c r="K767" s="1182" t="s">
        <v>1811</v>
      </c>
      <c r="L767" s="1182" t="s">
        <v>1812</v>
      </c>
      <c r="M767" s="1182" t="s">
        <v>1803</v>
      </c>
      <c r="N767" s="1182" t="s">
        <v>4190</v>
      </c>
      <c r="O767" s="1182" t="s">
        <v>1554</v>
      </c>
      <c r="P767" s="1182" t="s">
        <v>1553</v>
      </c>
      <c r="Q767" s="1182" t="s">
        <v>1559</v>
      </c>
      <c r="R767" s="1182" t="s">
        <v>1559</v>
      </c>
      <c r="S767" s="1182" t="s">
        <v>1639</v>
      </c>
      <c r="T767" s="1182" t="s">
        <v>1814</v>
      </c>
      <c r="U767" s="1182" t="s">
        <v>1815</v>
      </c>
      <c r="V767" s="1182">
        <v>0</v>
      </c>
      <c r="W767" s="1182">
        <v>0</v>
      </c>
      <c r="X767" s="1182">
        <v>0</v>
      </c>
      <c r="Y767" s="1183">
        <v>4503</v>
      </c>
      <c r="Z767" s="1182" t="s">
        <v>4214</v>
      </c>
      <c r="AA767" s="1182" t="s">
        <v>4215</v>
      </c>
      <c r="AB767" s="1182">
        <v>4503</v>
      </c>
      <c r="AC767" s="1182" t="s">
        <v>4193</v>
      </c>
      <c r="AD767" s="1182" t="s">
        <v>1559</v>
      </c>
      <c r="AE767" s="1182">
        <v>4503</v>
      </c>
      <c r="AF767" s="1182" t="s">
        <v>1930</v>
      </c>
      <c r="AG767" s="1182" t="s">
        <v>3911</v>
      </c>
      <c r="AH767" s="1182">
        <v>333</v>
      </c>
      <c r="AI767" s="1182">
        <v>4170</v>
      </c>
      <c r="AJ767" s="1182" t="s">
        <v>4216</v>
      </c>
      <c r="AL767" s="1186" t="s">
        <v>4223</v>
      </c>
      <c r="AM767" s="1182">
        <v>1</v>
      </c>
      <c r="AN767" s="1182">
        <v>0</v>
      </c>
      <c r="AO767" s="1182">
        <v>0</v>
      </c>
      <c r="AP767" s="1182">
        <v>0</v>
      </c>
      <c r="AQ767" s="1182" t="s">
        <v>1639</v>
      </c>
      <c r="AS767" s="1186" t="s">
        <v>1930</v>
      </c>
      <c r="AT767" s="1186" t="s">
        <v>3911</v>
      </c>
      <c r="AV767" s="1183">
        <v>0</v>
      </c>
      <c r="AW767" s="1183">
        <v>0</v>
      </c>
      <c r="AX767" s="1183">
        <v>0</v>
      </c>
      <c r="AY767" s="1538">
        <v>0</v>
      </c>
      <c r="AZ767" s="1183">
        <v>0</v>
      </c>
      <c r="BA767" s="1183">
        <v>4503</v>
      </c>
      <c r="BB767" s="1540">
        <v>4503</v>
      </c>
      <c r="BC767" s="1540">
        <v>4503</v>
      </c>
      <c r="BD767" s="1540">
        <v>0</v>
      </c>
      <c r="BF767" s="1539">
        <f t="shared" si="142"/>
        <v>0</v>
      </c>
      <c r="BG767" s="1539">
        <f t="shared" si="143"/>
        <v>0</v>
      </c>
      <c r="BH767" s="1539">
        <f t="shared" si="144"/>
        <v>0</v>
      </c>
      <c r="BI767" s="1539">
        <f t="shared" si="145"/>
        <v>0</v>
      </c>
      <c r="BJ767" s="1539">
        <f t="shared" si="146"/>
        <v>0</v>
      </c>
      <c r="BK767" s="1539">
        <f t="shared" si="147"/>
        <v>4169</v>
      </c>
      <c r="BL767" s="1539">
        <f t="shared" si="148"/>
        <v>4169</v>
      </c>
      <c r="BM767" s="1539">
        <f t="shared" si="149"/>
        <v>4169</v>
      </c>
      <c r="BO767" s="1556">
        <f t="shared" ref="BO767:BO778" si="152">BA767*100/(100+$AT767)-BK767</f>
        <v>0.44444444444434339</v>
      </c>
      <c r="BQ767" s="1182">
        <f t="shared" si="150"/>
        <v>0</v>
      </c>
      <c r="BR767" s="1182">
        <f t="shared" si="151"/>
        <v>0.44444444444434339</v>
      </c>
    </row>
    <row r="768" spans="1:70" ht="13.5" customHeight="1">
      <c r="A768" s="1182" t="s">
        <v>1803</v>
      </c>
      <c r="B768" s="1182" t="s">
        <v>1804</v>
      </c>
      <c r="C768" s="1182" t="s">
        <v>1639</v>
      </c>
      <c r="D768" s="1182" t="s">
        <v>2866</v>
      </c>
      <c r="E768" s="1182" t="s">
        <v>2867</v>
      </c>
      <c r="F768" s="1182" t="s">
        <v>2950</v>
      </c>
      <c r="G768" s="1182" t="s">
        <v>2950</v>
      </c>
      <c r="H768" s="1182" t="s">
        <v>4224</v>
      </c>
      <c r="I768" s="1182" t="s">
        <v>1937</v>
      </c>
      <c r="J768" s="1182" t="s">
        <v>4225</v>
      </c>
      <c r="K768" s="1182" t="s">
        <v>1811</v>
      </c>
      <c r="L768" s="1182" t="s">
        <v>1812</v>
      </c>
      <c r="M768" s="1182" t="s">
        <v>1803</v>
      </c>
      <c r="N768" s="1182" t="s">
        <v>4190</v>
      </c>
      <c r="O768" s="1182" t="s">
        <v>1554</v>
      </c>
      <c r="P768" s="1182" t="s">
        <v>1553</v>
      </c>
      <c r="Q768" s="1182" t="s">
        <v>1559</v>
      </c>
      <c r="R768" s="1182" t="s">
        <v>1559</v>
      </c>
      <c r="S768" s="1182" t="s">
        <v>1639</v>
      </c>
      <c r="T768" s="1182" t="s">
        <v>1814</v>
      </c>
      <c r="U768" s="1182" t="s">
        <v>1815</v>
      </c>
      <c r="V768" s="1182">
        <v>0</v>
      </c>
      <c r="W768" s="1182">
        <v>0</v>
      </c>
      <c r="X768" s="1182">
        <v>0</v>
      </c>
      <c r="Y768" s="1183">
        <v>487974</v>
      </c>
      <c r="Z768" s="1182" t="s">
        <v>1940</v>
      </c>
      <c r="AA768" s="1182" t="s">
        <v>1941</v>
      </c>
      <c r="AB768" s="1182">
        <v>487974</v>
      </c>
      <c r="AC768" s="1182" t="s">
        <v>4193</v>
      </c>
      <c r="AD768" s="1182" t="s">
        <v>1559</v>
      </c>
      <c r="AE768" s="1182">
        <v>487974</v>
      </c>
      <c r="AF768" s="1182" t="s">
        <v>2911</v>
      </c>
      <c r="AG768" s="1182" t="s">
        <v>1944</v>
      </c>
      <c r="AH768" s="1182">
        <v>0</v>
      </c>
      <c r="AI768" s="1182">
        <v>487974</v>
      </c>
      <c r="AJ768" s="1182" t="s">
        <v>4226</v>
      </c>
      <c r="AL768" s="1186" t="s">
        <v>4227</v>
      </c>
      <c r="AM768" s="1182">
        <v>1</v>
      </c>
      <c r="AN768" s="1182">
        <v>0</v>
      </c>
      <c r="AO768" s="1182">
        <v>0</v>
      </c>
      <c r="AP768" s="1182">
        <v>0</v>
      </c>
      <c r="AQ768" s="1182" t="s">
        <v>1639</v>
      </c>
      <c r="AS768" s="1186" t="s">
        <v>2911</v>
      </c>
      <c r="AT768" s="1186" t="s">
        <v>1944</v>
      </c>
      <c r="AV768" s="1185">
        <v>0</v>
      </c>
      <c r="AW768" s="1185">
        <v>0</v>
      </c>
      <c r="AX768" s="1185">
        <v>487974</v>
      </c>
      <c r="AY768" s="1539">
        <v>487974</v>
      </c>
      <c r="AZ768" s="1185">
        <v>0</v>
      </c>
      <c r="BA768" s="1185">
        <v>0</v>
      </c>
      <c r="BB768" s="1541">
        <v>0</v>
      </c>
      <c r="BC768" s="1540">
        <v>487974</v>
      </c>
      <c r="BD768" s="1540">
        <v>0</v>
      </c>
      <c r="BF768" s="1539">
        <f t="shared" si="142"/>
        <v>0</v>
      </c>
      <c r="BG768" s="1539">
        <f t="shared" si="143"/>
        <v>0</v>
      </c>
      <c r="BH768" s="1539">
        <f t="shared" si="144"/>
        <v>487974</v>
      </c>
      <c r="BI768" s="1539">
        <f t="shared" si="145"/>
        <v>487974</v>
      </c>
      <c r="BJ768" s="1539">
        <f t="shared" si="146"/>
        <v>0</v>
      </c>
      <c r="BK768" s="1539">
        <f t="shared" si="147"/>
        <v>0</v>
      </c>
      <c r="BL768" s="1539">
        <f t="shared" si="148"/>
        <v>0</v>
      </c>
      <c r="BM768" s="1539">
        <f t="shared" si="149"/>
        <v>487974</v>
      </c>
      <c r="BO768" s="1556">
        <f t="shared" si="152"/>
        <v>0</v>
      </c>
      <c r="BQ768" s="1182">
        <f t="shared" si="150"/>
        <v>0</v>
      </c>
      <c r="BR768" s="1182">
        <f t="shared" si="151"/>
        <v>0</v>
      </c>
    </row>
    <row r="769" spans="1:70" ht="13.5" customHeight="1">
      <c r="A769" s="1182" t="s">
        <v>1803</v>
      </c>
      <c r="B769" s="1182" t="s">
        <v>1804</v>
      </c>
      <c r="C769" s="1182" t="s">
        <v>1639</v>
      </c>
      <c r="D769" s="1182" t="s">
        <v>2590</v>
      </c>
      <c r="E769" s="1182" t="s">
        <v>2591</v>
      </c>
      <c r="F769" s="1182" t="s">
        <v>2665</v>
      </c>
      <c r="G769" s="1182" t="s">
        <v>2665</v>
      </c>
      <c r="H769" s="1182" t="s">
        <v>4228</v>
      </c>
      <c r="I769" s="1182" t="s">
        <v>1809</v>
      </c>
      <c r="J769" s="1182" t="s">
        <v>4229</v>
      </c>
      <c r="K769" s="1182" t="s">
        <v>1811</v>
      </c>
      <c r="L769" s="1182" t="s">
        <v>1812</v>
      </c>
      <c r="M769" s="1182" t="s">
        <v>1803</v>
      </c>
      <c r="N769" s="1182" t="s">
        <v>4190</v>
      </c>
      <c r="O769" s="1182" t="s">
        <v>1554</v>
      </c>
      <c r="P769" s="1182" t="s">
        <v>1553</v>
      </c>
      <c r="Q769" s="1182" t="s">
        <v>1559</v>
      </c>
      <c r="R769" s="1182" t="s">
        <v>1559</v>
      </c>
      <c r="S769" s="1182" t="s">
        <v>1639</v>
      </c>
      <c r="T769" s="1182" t="s">
        <v>1814</v>
      </c>
      <c r="U769" s="1182" t="s">
        <v>1815</v>
      </c>
      <c r="V769" s="1182">
        <v>0</v>
      </c>
      <c r="W769" s="1182">
        <v>0</v>
      </c>
      <c r="X769" s="1182">
        <v>0</v>
      </c>
      <c r="Y769" s="1183">
        <v>7619</v>
      </c>
      <c r="Z769" s="1182" t="s">
        <v>4230</v>
      </c>
      <c r="AA769" s="1182" t="s">
        <v>4231</v>
      </c>
      <c r="AB769" s="1182">
        <v>7619</v>
      </c>
      <c r="AC769" s="1182" t="s">
        <v>4193</v>
      </c>
      <c r="AD769" s="1182" t="s">
        <v>1559</v>
      </c>
      <c r="AE769" s="1182">
        <v>7619</v>
      </c>
      <c r="AF769" s="1182" t="s">
        <v>1930</v>
      </c>
      <c r="AG769" s="1182" t="s">
        <v>1820</v>
      </c>
      <c r="AH769" s="1182">
        <v>692</v>
      </c>
      <c r="AI769" s="1182">
        <v>6927</v>
      </c>
      <c r="AJ769" s="1182" t="s">
        <v>4216</v>
      </c>
      <c r="AL769" s="1186" t="s">
        <v>4232</v>
      </c>
      <c r="AM769" s="1182">
        <v>2</v>
      </c>
      <c r="AN769" s="1182">
        <v>17</v>
      </c>
      <c r="AO769" s="1182">
        <v>10</v>
      </c>
      <c r="AP769" s="1182">
        <v>0</v>
      </c>
      <c r="AQ769" s="1182" t="s">
        <v>1639</v>
      </c>
      <c r="AS769" s="1186">
        <v>17</v>
      </c>
      <c r="AT769" s="1186">
        <v>10</v>
      </c>
      <c r="AV769" s="1183">
        <v>0</v>
      </c>
      <c r="AW769" s="1183">
        <v>0</v>
      </c>
      <c r="AX769" s="1183">
        <v>0</v>
      </c>
      <c r="AY769" s="1538">
        <v>0</v>
      </c>
      <c r="AZ769" s="1183">
        <v>0</v>
      </c>
      <c r="BA769" s="1183">
        <v>7619</v>
      </c>
      <c r="BB769" s="1540">
        <v>7619</v>
      </c>
      <c r="BC769" s="1540">
        <v>7619</v>
      </c>
      <c r="BD769" s="1540">
        <v>0</v>
      </c>
      <c r="BF769" s="1539">
        <f t="shared" si="142"/>
        <v>0</v>
      </c>
      <c r="BG769" s="1539">
        <f t="shared" si="143"/>
        <v>0</v>
      </c>
      <c r="BH769" s="1539">
        <f t="shared" si="144"/>
        <v>0</v>
      </c>
      <c r="BI769" s="1539">
        <f t="shared" si="145"/>
        <v>0</v>
      </c>
      <c r="BJ769" s="1539">
        <f t="shared" si="146"/>
        <v>0</v>
      </c>
      <c r="BK769" s="1539">
        <f t="shared" si="147"/>
        <v>6926</v>
      </c>
      <c r="BL769" s="1539">
        <f t="shared" si="148"/>
        <v>6926</v>
      </c>
      <c r="BM769" s="1539">
        <f t="shared" si="149"/>
        <v>6926</v>
      </c>
      <c r="BO769" s="1556">
        <f t="shared" si="152"/>
        <v>0.36363636363603291</v>
      </c>
      <c r="BQ769" s="1182">
        <f t="shared" si="150"/>
        <v>0</v>
      </c>
      <c r="BR769" s="1182">
        <f t="shared" si="151"/>
        <v>0.36363636363603291</v>
      </c>
    </row>
    <row r="770" spans="1:70" ht="13.5" customHeight="1">
      <c r="A770" s="1182" t="s">
        <v>1803</v>
      </c>
      <c r="B770" s="1182" t="s">
        <v>1804</v>
      </c>
      <c r="C770" s="1182" t="s">
        <v>1639</v>
      </c>
      <c r="D770" s="1182" t="s">
        <v>2590</v>
      </c>
      <c r="E770" s="1182" t="s">
        <v>2591</v>
      </c>
      <c r="F770" s="1182" t="s">
        <v>2665</v>
      </c>
      <c r="G770" s="1182" t="s">
        <v>2665</v>
      </c>
      <c r="H770" s="1182" t="s">
        <v>4233</v>
      </c>
      <c r="I770" s="1182" t="s">
        <v>1809</v>
      </c>
      <c r="J770" s="1182" t="s">
        <v>4234</v>
      </c>
      <c r="K770" s="1182" t="s">
        <v>1811</v>
      </c>
      <c r="L770" s="1182" t="s">
        <v>1812</v>
      </c>
      <c r="M770" s="1182" t="s">
        <v>1803</v>
      </c>
      <c r="N770" s="1182" t="s">
        <v>4190</v>
      </c>
      <c r="O770" s="1182" t="s">
        <v>1554</v>
      </c>
      <c r="P770" s="1182" t="s">
        <v>1553</v>
      </c>
      <c r="Q770" s="1182" t="s">
        <v>1559</v>
      </c>
      <c r="R770" s="1182" t="s">
        <v>1559</v>
      </c>
      <c r="S770" s="1182" t="s">
        <v>1639</v>
      </c>
      <c r="T770" s="1182" t="s">
        <v>1814</v>
      </c>
      <c r="U770" s="1182" t="s">
        <v>1815</v>
      </c>
      <c r="V770" s="1182">
        <v>0</v>
      </c>
      <c r="W770" s="1182">
        <v>0</v>
      </c>
      <c r="X770" s="1182">
        <v>0</v>
      </c>
      <c r="Y770" s="1183">
        <v>14388</v>
      </c>
      <c r="Z770" s="1182" t="s">
        <v>4230</v>
      </c>
      <c r="AA770" s="1182" t="s">
        <v>4231</v>
      </c>
      <c r="AB770" s="1182">
        <v>14388</v>
      </c>
      <c r="AC770" s="1182" t="s">
        <v>4193</v>
      </c>
      <c r="AD770" s="1182" t="s">
        <v>1559</v>
      </c>
      <c r="AE770" s="1182">
        <v>14388</v>
      </c>
      <c r="AF770" s="1182" t="s">
        <v>1930</v>
      </c>
      <c r="AG770" s="1182" t="s">
        <v>3911</v>
      </c>
      <c r="AH770" s="1182">
        <v>1065</v>
      </c>
      <c r="AI770" s="1182">
        <v>13323</v>
      </c>
      <c r="AJ770" s="1182" t="s">
        <v>4216</v>
      </c>
      <c r="AL770" s="1186" t="s">
        <v>4235</v>
      </c>
      <c r="AM770" s="1182">
        <v>1</v>
      </c>
      <c r="AN770" s="1182">
        <v>0</v>
      </c>
      <c r="AO770" s="1182">
        <v>0</v>
      </c>
      <c r="AP770" s="1182">
        <v>0</v>
      </c>
      <c r="AQ770" s="1182" t="s">
        <v>1639</v>
      </c>
      <c r="AS770" s="1186" t="s">
        <v>1930</v>
      </c>
      <c r="AT770" s="1186" t="s">
        <v>3911</v>
      </c>
      <c r="AV770" s="1183">
        <v>0</v>
      </c>
      <c r="AW770" s="1183">
        <v>0</v>
      </c>
      <c r="AX770" s="1183">
        <v>0</v>
      </c>
      <c r="AY770" s="1538">
        <v>0</v>
      </c>
      <c r="AZ770" s="1183">
        <v>0</v>
      </c>
      <c r="BA770" s="1183">
        <v>14388</v>
      </c>
      <c r="BB770" s="1540">
        <v>14388</v>
      </c>
      <c r="BC770" s="1540">
        <v>14388</v>
      </c>
      <c r="BD770" s="1540">
        <v>0</v>
      </c>
      <c r="BF770" s="1539">
        <f t="shared" si="142"/>
        <v>0</v>
      </c>
      <c r="BG770" s="1539">
        <f t="shared" si="143"/>
        <v>0</v>
      </c>
      <c r="BH770" s="1539">
        <f t="shared" si="144"/>
        <v>0</v>
      </c>
      <c r="BI770" s="1539">
        <f t="shared" si="145"/>
        <v>0</v>
      </c>
      <c r="BJ770" s="1539">
        <f t="shared" si="146"/>
        <v>0</v>
      </c>
      <c r="BK770" s="1539">
        <f t="shared" si="147"/>
        <v>13322</v>
      </c>
      <c r="BL770" s="1539">
        <f t="shared" si="148"/>
        <v>13322</v>
      </c>
      <c r="BM770" s="1539">
        <f t="shared" si="149"/>
        <v>13322</v>
      </c>
      <c r="BO770" s="1556">
        <f t="shared" si="152"/>
        <v>0.22222222222262644</v>
      </c>
      <c r="BQ770" s="1182">
        <f t="shared" si="150"/>
        <v>0</v>
      </c>
      <c r="BR770" s="1182">
        <f t="shared" si="151"/>
        <v>0.22222222222262644</v>
      </c>
    </row>
    <row r="771" spans="1:70" ht="13.5" customHeight="1">
      <c r="A771" s="1182" t="s">
        <v>3049</v>
      </c>
      <c r="B771" s="1182" t="s">
        <v>1804</v>
      </c>
      <c r="C771" s="1182" t="s">
        <v>1639</v>
      </c>
      <c r="D771" s="1182" t="s">
        <v>2590</v>
      </c>
      <c r="E771" s="1182" t="s">
        <v>2591</v>
      </c>
      <c r="F771" s="1182" t="s">
        <v>2912</v>
      </c>
      <c r="G771" s="1182" t="s">
        <v>2912</v>
      </c>
      <c r="H771" s="1182" t="s">
        <v>4236</v>
      </c>
      <c r="I771" s="1182" t="s">
        <v>1809</v>
      </c>
      <c r="J771" s="1182" t="s">
        <v>4237</v>
      </c>
      <c r="K771" s="1182" t="s">
        <v>1811</v>
      </c>
      <c r="L771" s="1182" t="s">
        <v>1812</v>
      </c>
      <c r="M771" s="1182" t="s">
        <v>1803</v>
      </c>
      <c r="N771" s="1182" t="s">
        <v>4190</v>
      </c>
      <c r="O771" s="1182" t="s">
        <v>1554</v>
      </c>
      <c r="P771" s="1182" t="s">
        <v>1553</v>
      </c>
      <c r="Q771" s="1182" t="s">
        <v>1559</v>
      </c>
      <c r="R771" s="1182" t="s">
        <v>1559</v>
      </c>
      <c r="S771" s="1182" t="s">
        <v>1639</v>
      </c>
      <c r="T771" s="1182" t="s">
        <v>1814</v>
      </c>
      <c r="U771" s="1182" t="s">
        <v>1815</v>
      </c>
      <c r="V771" s="1182">
        <v>0</v>
      </c>
      <c r="W771" s="1182">
        <v>0</v>
      </c>
      <c r="X771" s="1182">
        <v>0</v>
      </c>
      <c r="Y771" s="1183">
        <v>3058</v>
      </c>
      <c r="Z771" s="1182" t="s">
        <v>4230</v>
      </c>
      <c r="AA771" s="1182" t="s">
        <v>4231</v>
      </c>
      <c r="AB771" s="1182">
        <v>3058</v>
      </c>
      <c r="AC771" s="1182" t="s">
        <v>4193</v>
      </c>
      <c r="AD771" s="1182" t="s">
        <v>1559</v>
      </c>
      <c r="AE771" s="1182">
        <v>3058</v>
      </c>
      <c r="AF771" s="1182" t="s">
        <v>1819</v>
      </c>
      <c r="AG771" s="1182" t="s">
        <v>1820</v>
      </c>
      <c r="AH771" s="1182">
        <v>278</v>
      </c>
      <c r="AI771" s="1182">
        <v>2780</v>
      </c>
      <c r="AJ771" s="1182" t="s">
        <v>4216</v>
      </c>
      <c r="AL771" s="1186" t="s">
        <v>4238</v>
      </c>
      <c r="AM771" s="1182">
        <v>1</v>
      </c>
      <c r="AN771" s="1182">
        <v>0</v>
      </c>
      <c r="AO771" s="1182">
        <v>0</v>
      </c>
      <c r="AP771" s="1182">
        <v>0</v>
      </c>
      <c r="AQ771" s="1182" t="s">
        <v>1639</v>
      </c>
      <c r="AS771" s="1186" t="s">
        <v>1819</v>
      </c>
      <c r="AT771" s="1186" t="s">
        <v>1820</v>
      </c>
      <c r="AV771" s="1183">
        <v>0</v>
      </c>
      <c r="AW771" s="1183">
        <v>0</v>
      </c>
      <c r="AX771" s="1183">
        <v>0</v>
      </c>
      <c r="AY771" s="1538">
        <v>0</v>
      </c>
      <c r="AZ771" s="1183">
        <v>0</v>
      </c>
      <c r="BA771" s="1183">
        <v>3058</v>
      </c>
      <c r="BB771" s="1540">
        <v>3058</v>
      </c>
      <c r="BC771" s="1540">
        <v>3058</v>
      </c>
      <c r="BD771" s="1540">
        <v>0</v>
      </c>
      <c r="BF771" s="1539">
        <f t="shared" si="142"/>
        <v>0</v>
      </c>
      <c r="BG771" s="1539">
        <f t="shared" si="143"/>
        <v>0</v>
      </c>
      <c r="BH771" s="1539">
        <f t="shared" si="144"/>
        <v>0</v>
      </c>
      <c r="BI771" s="1539">
        <f t="shared" si="145"/>
        <v>0</v>
      </c>
      <c r="BJ771" s="1539">
        <f t="shared" si="146"/>
        <v>0</v>
      </c>
      <c r="BK771" s="1539">
        <f t="shared" si="147"/>
        <v>2780</v>
      </c>
      <c r="BL771" s="1539">
        <f t="shared" si="148"/>
        <v>2780</v>
      </c>
      <c r="BM771" s="1539">
        <f t="shared" si="149"/>
        <v>2780</v>
      </c>
      <c r="BO771" s="1556">
        <f t="shared" si="152"/>
        <v>0</v>
      </c>
      <c r="BQ771" s="1182">
        <f t="shared" si="150"/>
        <v>0</v>
      </c>
      <c r="BR771" s="1182">
        <f t="shared" si="151"/>
        <v>0</v>
      </c>
    </row>
    <row r="772" spans="1:70" ht="13.5" customHeight="1">
      <c r="A772" s="1182" t="s">
        <v>3049</v>
      </c>
      <c r="B772" s="1182" t="s">
        <v>1804</v>
      </c>
      <c r="C772" s="1182" t="s">
        <v>1639</v>
      </c>
      <c r="D772" s="1182" t="s">
        <v>2590</v>
      </c>
      <c r="E772" s="1182" t="s">
        <v>2591</v>
      </c>
      <c r="F772" s="1182" t="s">
        <v>2912</v>
      </c>
      <c r="G772" s="1182" t="s">
        <v>2912</v>
      </c>
      <c r="H772" s="1182" t="s">
        <v>4239</v>
      </c>
      <c r="I772" s="1182" t="s">
        <v>1809</v>
      </c>
      <c r="J772" s="1182" t="s">
        <v>4240</v>
      </c>
      <c r="K772" s="1182" t="s">
        <v>1811</v>
      </c>
      <c r="L772" s="1182" t="s">
        <v>1812</v>
      </c>
      <c r="M772" s="1182" t="s">
        <v>1803</v>
      </c>
      <c r="N772" s="1182" t="s">
        <v>4190</v>
      </c>
      <c r="O772" s="1182" t="s">
        <v>1554</v>
      </c>
      <c r="P772" s="1182" t="s">
        <v>1553</v>
      </c>
      <c r="Q772" s="1182" t="s">
        <v>1559</v>
      </c>
      <c r="R772" s="1182" t="s">
        <v>1559</v>
      </c>
      <c r="S772" s="1182" t="s">
        <v>1639</v>
      </c>
      <c r="T772" s="1182" t="s">
        <v>1814</v>
      </c>
      <c r="U772" s="1182" t="s">
        <v>1815</v>
      </c>
      <c r="V772" s="1182">
        <v>0</v>
      </c>
      <c r="W772" s="1182">
        <v>0</v>
      </c>
      <c r="X772" s="1182">
        <v>0</v>
      </c>
      <c r="Y772" s="1183">
        <v>6014</v>
      </c>
      <c r="Z772" s="1182" t="s">
        <v>4230</v>
      </c>
      <c r="AA772" s="1182" t="s">
        <v>4231</v>
      </c>
      <c r="AB772" s="1182">
        <v>6014</v>
      </c>
      <c r="AC772" s="1182" t="s">
        <v>4193</v>
      </c>
      <c r="AD772" s="1182" t="s">
        <v>1559</v>
      </c>
      <c r="AE772" s="1182">
        <v>6014</v>
      </c>
      <c r="AF772" s="1182" t="s">
        <v>1930</v>
      </c>
      <c r="AG772" s="1182" t="s">
        <v>3911</v>
      </c>
      <c r="AH772" s="1182">
        <v>444</v>
      </c>
      <c r="AI772" s="1182">
        <v>5570</v>
      </c>
      <c r="AJ772" s="1182" t="s">
        <v>4216</v>
      </c>
      <c r="AL772" s="1186" t="s">
        <v>4241</v>
      </c>
      <c r="AM772" s="1182">
        <v>1</v>
      </c>
      <c r="AN772" s="1182">
        <v>0</v>
      </c>
      <c r="AO772" s="1182">
        <v>0</v>
      </c>
      <c r="AP772" s="1182">
        <v>0</v>
      </c>
      <c r="AQ772" s="1182" t="s">
        <v>1639</v>
      </c>
      <c r="AS772" s="1186" t="s">
        <v>1930</v>
      </c>
      <c r="AT772" s="1186" t="s">
        <v>3911</v>
      </c>
      <c r="AV772" s="1183">
        <v>0</v>
      </c>
      <c r="AW772" s="1183">
        <v>0</v>
      </c>
      <c r="AX772" s="1183">
        <v>0</v>
      </c>
      <c r="AY772" s="1538">
        <v>0</v>
      </c>
      <c r="AZ772" s="1183">
        <v>0</v>
      </c>
      <c r="BA772" s="1183">
        <v>6014</v>
      </c>
      <c r="BB772" s="1540">
        <v>6014</v>
      </c>
      <c r="BC772" s="1540">
        <v>6014</v>
      </c>
      <c r="BD772" s="1540">
        <v>0</v>
      </c>
      <c r="BF772" s="1539">
        <f t="shared" si="142"/>
        <v>0</v>
      </c>
      <c r="BG772" s="1539">
        <f t="shared" si="143"/>
        <v>0</v>
      </c>
      <c r="BH772" s="1539">
        <f t="shared" si="144"/>
        <v>0</v>
      </c>
      <c r="BI772" s="1539">
        <f t="shared" si="145"/>
        <v>0</v>
      </c>
      <c r="BJ772" s="1539">
        <f t="shared" si="146"/>
        <v>0</v>
      </c>
      <c r="BK772" s="1563">
        <f>+IFERROR(ROUND(BA772*100/(100+$AT772),0),BA772)-1</f>
        <v>5568</v>
      </c>
      <c r="BL772" s="1539">
        <f t="shared" si="148"/>
        <v>5568</v>
      </c>
      <c r="BM772" s="1539">
        <f t="shared" si="149"/>
        <v>5568</v>
      </c>
      <c r="BO772" s="1556">
        <f t="shared" si="152"/>
        <v>0.51851851851824904</v>
      </c>
      <c r="BQ772" s="1182">
        <f t="shared" si="150"/>
        <v>0</v>
      </c>
      <c r="BR772" s="1182">
        <f t="shared" si="151"/>
        <v>0.51851851851824904</v>
      </c>
    </row>
    <row r="773" spans="1:70" ht="13.5" customHeight="1">
      <c r="A773" s="1182" t="s">
        <v>1803</v>
      </c>
      <c r="B773" s="1182" t="s">
        <v>1804</v>
      </c>
      <c r="C773" s="1182" t="s">
        <v>1639</v>
      </c>
      <c r="D773" s="1182" t="s">
        <v>2590</v>
      </c>
      <c r="E773" s="1182" t="s">
        <v>2591</v>
      </c>
      <c r="F773" s="1182" t="s">
        <v>4201</v>
      </c>
      <c r="G773" s="1182" t="s">
        <v>4201</v>
      </c>
      <c r="H773" s="1182" t="s">
        <v>4243</v>
      </c>
      <c r="I773" s="1182" t="s">
        <v>1809</v>
      </c>
      <c r="J773" s="1182" t="s">
        <v>4248</v>
      </c>
      <c r="K773" s="1182" t="s">
        <v>1811</v>
      </c>
      <c r="L773" s="1182" t="s">
        <v>1812</v>
      </c>
      <c r="M773" s="1182" t="s">
        <v>1803</v>
      </c>
      <c r="N773" s="1182" t="s">
        <v>4190</v>
      </c>
      <c r="O773" s="1182" t="s">
        <v>1554</v>
      </c>
      <c r="P773" s="1182" t="s">
        <v>1553</v>
      </c>
      <c r="Q773" s="1182" t="s">
        <v>1559</v>
      </c>
      <c r="R773" s="1182" t="s">
        <v>1559</v>
      </c>
      <c r="S773" s="1182" t="s">
        <v>1639</v>
      </c>
      <c r="T773" s="1182" t="s">
        <v>1814</v>
      </c>
      <c r="U773" s="1182" t="s">
        <v>1815</v>
      </c>
      <c r="V773" s="1182">
        <v>0</v>
      </c>
      <c r="W773" s="1182">
        <v>0</v>
      </c>
      <c r="X773" s="1182">
        <v>0</v>
      </c>
      <c r="Y773" s="1183">
        <v>1529</v>
      </c>
      <c r="Z773" s="1182" t="s">
        <v>4245</v>
      </c>
      <c r="AA773" s="1182" t="s">
        <v>4246</v>
      </c>
      <c r="AB773" s="1182">
        <v>1529</v>
      </c>
      <c r="AC773" s="1182" t="s">
        <v>4193</v>
      </c>
      <c r="AD773" s="1182" t="s">
        <v>1559</v>
      </c>
      <c r="AE773" s="1182">
        <v>1529</v>
      </c>
      <c r="AF773" s="1182" t="s">
        <v>1819</v>
      </c>
      <c r="AG773" s="1182" t="s">
        <v>1820</v>
      </c>
      <c r="AH773" s="1182">
        <v>139</v>
      </c>
      <c r="AI773" s="1182">
        <v>1390</v>
      </c>
      <c r="AJ773" s="1182" t="s">
        <v>4216</v>
      </c>
      <c r="AL773" s="1186" t="s">
        <v>4249</v>
      </c>
      <c r="AM773" s="1182">
        <v>1</v>
      </c>
      <c r="AN773" s="1182">
        <v>0</v>
      </c>
      <c r="AO773" s="1182">
        <v>0</v>
      </c>
      <c r="AP773" s="1182">
        <v>0</v>
      </c>
      <c r="AQ773" s="1182" t="s">
        <v>1639</v>
      </c>
      <c r="AS773" s="1186" t="s">
        <v>1819</v>
      </c>
      <c r="AT773" s="1186" t="s">
        <v>1820</v>
      </c>
      <c r="AV773" s="1183">
        <v>0</v>
      </c>
      <c r="AW773" s="1183">
        <v>0</v>
      </c>
      <c r="AX773" s="1183">
        <v>0</v>
      </c>
      <c r="AY773" s="1538">
        <v>0</v>
      </c>
      <c r="AZ773" s="1183">
        <v>0</v>
      </c>
      <c r="BA773" s="1183">
        <v>1529</v>
      </c>
      <c r="BB773" s="1540">
        <v>1529</v>
      </c>
      <c r="BC773" s="1540">
        <v>1529</v>
      </c>
      <c r="BD773" s="1540">
        <v>0</v>
      </c>
      <c r="BF773" s="1539">
        <f t="shared" si="142"/>
        <v>0</v>
      </c>
      <c r="BG773" s="1539">
        <f t="shared" si="143"/>
        <v>0</v>
      </c>
      <c r="BH773" s="1539">
        <f t="shared" si="144"/>
        <v>0</v>
      </c>
      <c r="BI773" s="1539">
        <f t="shared" si="145"/>
        <v>0</v>
      </c>
      <c r="BJ773" s="1539">
        <f t="shared" si="146"/>
        <v>0</v>
      </c>
      <c r="BK773" s="1539">
        <f t="shared" si="147"/>
        <v>1390</v>
      </c>
      <c r="BL773" s="1539">
        <f t="shared" si="148"/>
        <v>1390</v>
      </c>
      <c r="BM773" s="1539">
        <f t="shared" si="149"/>
        <v>1390</v>
      </c>
      <c r="BO773" s="1556">
        <f t="shared" si="152"/>
        <v>0</v>
      </c>
      <c r="BQ773" s="1182">
        <f t="shared" si="150"/>
        <v>0</v>
      </c>
      <c r="BR773" s="1182">
        <f t="shared" si="151"/>
        <v>0</v>
      </c>
    </row>
    <row r="774" spans="1:70" ht="13.5" customHeight="1">
      <c r="A774" s="1182" t="s">
        <v>1803</v>
      </c>
      <c r="B774" s="1182" t="s">
        <v>1804</v>
      </c>
      <c r="C774" s="1182" t="s">
        <v>1639</v>
      </c>
      <c r="D774" s="1182" t="s">
        <v>2590</v>
      </c>
      <c r="E774" s="1182" t="s">
        <v>2591</v>
      </c>
      <c r="F774" s="1182" t="s">
        <v>4242</v>
      </c>
      <c r="G774" s="1182" t="s">
        <v>4242</v>
      </c>
      <c r="H774" s="1182" t="s">
        <v>4243</v>
      </c>
      <c r="I774" s="1182" t="s">
        <v>1809</v>
      </c>
      <c r="J774" s="1182" t="s">
        <v>4244</v>
      </c>
      <c r="K774" s="1182" t="s">
        <v>1811</v>
      </c>
      <c r="L774" s="1182" t="s">
        <v>1812</v>
      </c>
      <c r="M774" s="1182" t="s">
        <v>1803</v>
      </c>
      <c r="N774" s="1182" t="s">
        <v>4190</v>
      </c>
      <c r="O774" s="1182" t="s">
        <v>1554</v>
      </c>
      <c r="P774" s="1182" t="s">
        <v>1553</v>
      </c>
      <c r="Q774" s="1182" t="s">
        <v>1559</v>
      </c>
      <c r="R774" s="1182" t="s">
        <v>1559</v>
      </c>
      <c r="S774" s="1182" t="s">
        <v>1639</v>
      </c>
      <c r="T774" s="1182" t="s">
        <v>1814</v>
      </c>
      <c r="U774" s="1182" t="s">
        <v>1815</v>
      </c>
      <c r="V774" s="1182">
        <v>0</v>
      </c>
      <c r="W774" s="1182">
        <v>0</v>
      </c>
      <c r="X774" s="1182">
        <v>0</v>
      </c>
      <c r="Y774" s="1183">
        <v>1529</v>
      </c>
      <c r="Z774" s="1182" t="s">
        <v>4245</v>
      </c>
      <c r="AA774" s="1182" t="s">
        <v>4246</v>
      </c>
      <c r="AB774" s="1182">
        <v>1529</v>
      </c>
      <c r="AC774" s="1182" t="s">
        <v>4193</v>
      </c>
      <c r="AD774" s="1182" t="s">
        <v>1559</v>
      </c>
      <c r="AE774" s="1182">
        <v>1529</v>
      </c>
      <c r="AF774" s="1182" t="s">
        <v>1819</v>
      </c>
      <c r="AG774" s="1182" t="s">
        <v>1820</v>
      </c>
      <c r="AH774" s="1182">
        <v>139</v>
      </c>
      <c r="AI774" s="1182">
        <v>1390</v>
      </c>
      <c r="AJ774" s="1182" t="s">
        <v>4216</v>
      </c>
      <c r="AL774" s="1186" t="s">
        <v>4247</v>
      </c>
      <c r="AM774" s="1182">
        <v>1</v>
      </c>
      <c r="AN774" s="1182">
        <v>0</v>
      </c>
      <c r="AO774" s="1182">
        <v>0</v>
      </c>
      <c r="AP774" s="1182">
        <v>0</v>
      </c>
      <c r="AQ774" s="1182" t="s">
        <v>1639</v>
      </c>
      <c r="AS774" s="1186" t="s">
        <v>1819</v>
      </c>
      <c r="AT774" s="1186" t="s">
        <v>1820</v>
      </c>
      <c r="AV774" s="1183">
        <v>0</v>
      </c>
      <c r="AW774" s="1183">
        <v>0</v>
      </c>
      <c r="AX774" s="1183">
        <v>0</v>
      </c>
      <c r="AY774" s="1538">
        <v>0</v>
      </c>
      <c r="AZ774" s="1183">
        <v>0</v>
      </c>
      <c r="BA774" s="1183">
        <v>1529</v>
      </c>
      <c r="BB774" s="1540">
        <v>1529</v>
      </c>
      <c r="BC774" s="1540">
        <v>1529</v>
      </c>
      <c r="BD774" s="1540">
        <v>0</v>
      </c>
      <c r="BF774" s="1539">
        <f t="shared" si="142"/>
        <v>0</v>
      </c>
      <c r="BG774" s="1539">
        <f t="shared" si="143"/>
        <v>0</v>
      </c>
      <c r="BH774" s="1539">
        <f t="shared" si="144"/>
        <v>0</v>
      </c>
      <c r="BI774" s="1539">
        <f t="shared" si="145"/>
        <v>0</v>
      </c>
      <c r="BJ774" s="1539">
        <f t="shared" si="146"/>
        <v>0</v>
      </c>
      <c r="BK774" s="1539">
        <f t="shared" si="147"/>
        <v>1390</v>
      </c>
      <c r="BL774" s="1539">
        <f t="shared" si="148"/>
        <v>1390</v>
      </c>
      <c r="BM774" s="1539">
        <f t="shared" si="149"/>
        <v>1390</v>
      </c>
      <c r="BO774" s="1556">
        <f t="shared" si="152"/>
        <v>0</v>
      </c>
      <c r="BQ774" s="1182">
        <f t="shared" si="150"/>
        <v>0</v>
      </c>
      <c r="BR774" s="1182">
        <f t="shared" si="151"/>
        <v>0</v>
      </c>
    </row>
    <row r="775" spans="1:70" ht="13.5" customHeight="1">
      <c r="A775" s="1182" t="s">
        <v>1803</v>
      </c>
      <c r="B775" s="1182" t="s">
        <v>1804</v>
      </c>
      <c r="C775" s="1182" t="s">
        <v>1639</v>
      </c>
      <c r="D775" s="1182" t="s">
        <v>2590</v>
      </c>
      <c r="E775" s="1182" t="s">
        <v>2591</v>
      </c>
      <c r="F775" s="1182" t="s">
        <v>2764</v>
      </c>
      <c r="G775" s="1182" t="s">
        <v>2764</v>
      </c>
      <c r="H775" s="1182" t="s">
        <v>4253</v>
      </c>
      <c r="I775" s="1182" t="s">
        <v>1809</v>
      </c>
      <c r="J775" s="1182" t="s">
        <v>4254</v>
      </c>
      <c r="K775" s="1182" t="s">
        <v>1811</v>
      </c>
      <c r="L775" s="1182" t="s">
        <v>1812</v>
      </c>
      <c r="M775" s="1182" t="s">
        <v>1803</v>
      </c>
      <c r="N775" s="1182" t="s">
        <v>4190</v>
      </c>
      <c r="O775" s="1182" t="s">
        <v>1554</v>
      </c>
      <c r="P775" s="1182" t="s">
        <v>1553</v>
      </c>
      <c r="Q775" s="1182" t="s">
        <v>1559</v>
      </c>
      <c r="R775" s="1182" t="s">
        <v>1559</v>
      </c>
      <c r="S775" s="1182" t="s">
        <v>1639</v>
      </c>
      <c r="T775" s="1182" t="s">
        <v>1814</v>
      </c>
      <c r="U775" s="1182" t="s">
        <v>1815</v>
      </c>
      <c r="V775" s="1182">
        <v>0</v>
      </c>
      <c r="W775" s="1182">
        <v>0</v>
      </c>
      <c r="X775" s="1182">
        <v>0</v>
      </c>
      <c r="Y775" s="1183">
        <v>2196</v>
      </c>
      <c r="Z775" s="1182" t="s">
        <v>4245</v>
      </c>
      <c r="AA775" s="1182" t="s">
        <v>4246</v>
      </c>
      <c r="AB775" s="1182">
        <v>2196</v>
      </c>
      <c r="AC775" s="1182" t="s">
        <v>4193</v>
      </c>
      <c r="AD775" s="1182" t="s">
        <v>1559</v>
      </c>
      <c r="AE775" s="1182">
        <v>2196</v>
      </c>
      <c r="AF775" s="1182" t="s">
        <v>1819</v>
      </c>
      <c r="AG775" s="1182" t="s">
        <v>1820</v>
      </c>
      <c r="AH775" s="1182">
        <v>198</v>
      </c>
      <c r="AI775" s="1182">
        <v>1998</v>
      </c>
      <c r="AJ775" s="1182" t="s">
        <v>4216</v>
      </c>
      <c r="AL775" s="1186" t="s">
        <v>4255</v>
      </c>
      <c r="AM775" s="1182">
        <v>1</v>
      </c>
      <c r="AN775" s="1182">
        <v>0</v>
      </c>
      <c r="AO775" s="1182">
        <v>0</v>
      </c>
      <c r="AP775" s="1182">
        <v>0</v>
      </c>
      <c r="AQ775" s="1182" t="s">
        <v>1639</v>
      </c>
      <c r="AS775" s="1186" t="s">
        <v>1819</v>
      </c>
      <c r="AT775" s="1186" t="s">
        <v>1820</v>
      </c>
      <c r="AV775" s="1183">
        <v>0</v>
      </c>
      <c r="AW775" s="1183">
        <v>0</v>
      </c>
      <c r="AX775" s="1183">
        <v>0</v>
      </c>
      <c r="AY775" s="1538">
        <v>0</v>
      </c>
      <c r="AZ775" s="1183">
        <v>0</v>
      </c>
      <c r="BA775" s="1183">
        <v>2196</v>
      </c>
      <c r="BB775" s="1540">
        <v>2196</v>
      </c>
      <c r="BC775" s="1540">
        <v>2196</v>
      </c>
      <c r="BD775" s="1540">
        <v>0</v>
      </c>
      <c r="BF775" s="1539">
        <f t="shared" ref="BF775:BF822" si="153">+IFERROR(ROUND(AV775*100/(100+$AT775),0),AV775)</f>
        <v>0</v>
      </c>
      <c r="BG775" s="1539">
        <f t="shared" ref="BG775:BG822" si="154">+IFERROR(ROUND(AW775*100/(100+$AT775),0),AW775)</f>
        <v>0</v>
      </c>
      <c r="BH775" s="1539">
        <f t="shared" ref="BH775:BH822" si="155">+IFERROR(ROUND(AX775*100/(100+$AT775),0),AX775)</f>
        <v>0</v>
      </c>
      <c r="BI775" s="1539">
        <f t="shared" ref="BI775:BI822" si="156">SUM(BF775:BH775)</f>
        <v>0</v>
      </c>
      <c r="BJ775" s="1539">
        <f t="shared" ref="BJ775:BJ822" si="157">+IFERROR(ROUND(AZ775*100/(100+$AT775),0),AZ775)</f>
        <v>0</v>
      </c>
      <c r="BK775" s="1539">
        <f t="shared" ref="BK775:BK822" si="158">+IFERROR(ROUND(BA775*100/(100+$AT775),0),BA775)</f>
        <v>1996</v>
      </c>
      <c r="BL775" s="1539">
        <f t="shared" ref="BL775:BL822" si="159">SUM(BJ775:BK775)</f>
        <v>1996</v>
      </c>
      <c r="BM775" s="1539">
        <f t="shared" ref="BM775:BM822" si="160">+BI775+BL775</f>
        <v>1996</v>
      </c>
      <c r="BO775" s="1556">
        <f t="shared" si="152"/>
        <v>0.36363636363626028</v>
      </c>
      <c r="BQ775" s="1182">
        <f t="shared" ref="BQ775:BQ822" si="161">AY775*100/(100+$AT775)-BI775</f>
        <v>0</v>
      </c>
      <c r="BR775" s="1182">
        <f t="shared" ref="BR775:BR822" si="162">BB775*100/(100+$AT775)-BL775</f>
        <v>0.36363636363626028</v>
      </c>
    </row>
    <row r="776" spans="1:70" ht="13.5" customHeight="1">
      <c r="A776" s="1182" t="s">
        <v>1803</v>
      </c>
      <c r="B776" s="1182" t="s">
        <v>1804</v>
      </c>
      <c r="C776" s="1182" t="s">
        <v>1639</v>
      </c>
      <c r="D776" s="1182" t="s">
        <v>2590</v>
      </c>
      <c r="E776" s="1182" t="s">
        <v>2591</v>
      </c>
      <c r="F776" s="1182" t="s">
        <v>2665</v>
      </c>
      <c r="G776" s="1182" t="s">
        <v>2665</v>
      </c>
      <c r="H776" s="1182" t="s">
        <v>4250</v>
      </c>
      <c r="I776" s="1182" t="s">
        <v>1809</v>
      </c>
      <c r="J776" s="1182" t="s">
        <v>4251</v>
      </c>
      <c r="K776" s="1182" t="s">
        <v>1811</v>
      </c>
      <c r="L776" s="1182" t="s">
        <v>1812</v>
      </c>
      <c r="M776" s="1182" t="s">
        <v>1803</v>
      </c>
      <c r="N776" s="1182" t="s">
        <v>4190</v>
      </c>
      <c r="O776" s="1182" t="s">
        <v>1554</v>
      </c>
      <c r="P776" s="1182" t="s">
        <v>1553</v>
      </c>
      <c r="Q776" s="1182" t="s">
        <v>1559</v>
      </c>
      <c r="R776" s="1182" t="s">
        <v>1559</v>
      </c>
      <c r="S776" s="1182" t="s">
        <v>1639</v>
      </c>
      <c r="T776" s="1182" t="s">
        <v>1814</v>
      </c>
      <c r="U776" s="1182" t="s">
        <v>1815</v>
      </c>
      <c r="V776" s="1182">
        <v>0</v>
      </c>
      <c r="W776" s="1182">
        <v>0</v>
      </c>
      <c r="X776" s="1182">
        <v>0</v>
      </c>
      <c r="Y776" s="1183">
        <v>22272</v>
      </c>
      <c r="Z776" s="1182" t="s">
        <v>4245</v>
      </c>
      <c r="AA776" s="1182" t="s">
        <v>4246</v>
      </c>
      <c r="AB776" s="1182">
        <v>22272</v>
      </c>
      <c r="AC776" s="1182" t="s">
        <v>4193</v>
      </c>
      <c r="AD776" s="1182" t="s">
        <v>1559</v>
      </c>
      <c r="AE776" s="1182">
        <v>22272</v>
      </c>
      <c r="AF776" s="1182" t="s">
        <v>1819</v>
      </c>
      <c r="AG776" s="1182" t="s">
        <v>1820</v>
      </c>
      <c r="AH776" s="1182">
        <v>2022</v>
      </c>
      <c r="AI776" s="1182">
        <v>20250</v>
      </c>
      <c r="AJ776" s="1182" t="s">
        <v>4216</v>
      </c>
      <c r="AL776" s="1186" t="s">
        <v>4252</v>
      </c>
      <c r="AM776" s="1182">
        <v>1</v>
      </c>
      <c r="AN776" s="1182">
        <v>0</v>
      </c>
      <c r="AO776" s="1182">
        <v>0</v>
      </c>
      <c r="AP776" s="1182">
        <v>0</v>
      </c>
      <c r="AQ776" s="1182" t="s">
        <v>1639</v>
      </c>
      <c r="AS776" s="1186" t="s">
        <v>1819</v>
      </c>
      <c r="AT776" s="1186" t="s">
        <v>1820</v>
      </c>
      <c r="AV776" s="1183">
        <v>0</v>
      </c>
      <c r="AW776" s="1183">
        <v>0</v>
      </c>
      <c r="AX776" s="1183">
        <v>0</v>
      </c>
      <c r="AY776" s="1538">
        <v>0</v>
      </c>
      <c r="AZ776" s="1183">
        <v>0</v>
      </c>
      <c r="BA776" s="1183">
        <v>22272</v>
      </c>
      <c r="BB776" s="1540">
        <v>22272</v>
      </c>
      <c r="BC776" s="1540">
        <v>22272</v>
      </c>
      <c r="BD776" s="1540">
        <v>0</v>
      </c>
      <c r="BF776" s="1539">
        <f t="shared" si="153"/>
        <v>0</v>
      </c>
      <c r="BG776" s="1539">
        <f t="shared" si="154"/>
        <v>0</v>
      </c>
      <c r="BH776" s="1539">
        <f t="shared" si="155"/>
        <v>0</v>
      </c>
      <c r="BI776" s="1539">
        <f t="shared" si="156"/>
        <v>0</v>
      </c>
      <c r="BJ776" s="1539">
        <f t="shared" si="157"/>
        <v>0</v>
      </c>
      <c r="BK776" s="1539">
        <f t="shared" si="158"/>
        <v>20247</v>
      </c>
      <c r="BL776" s="1539">
        <f t="shared" si="159"/>
        <v>20247</v>
      </c>
      <c r="BM776" s="1539">
        <f t="shared" si="160"/>
        <v>20247</v>
      </c>
      <c r="BO776" s="1556">
        <f t="shared" si="152"/>
        <v>0.27272727272793418</v>
      </c>
      <c r="BQ776" s="1182">
        <f t="shared" si="161"/>
        <v>0</v>
      </c>
      <c r="BR776" s="1182">
        <f t="shared" si="162"/>
        <v>0.27272727272793418</v>
      </c>
    </row>
    <row r="777" spans="1:70" ht="13.5" customHeight="1">
      <c r="A777" s="1182" t="s">
        <v>1803</v>
      </c>
      <c r="B777" s="1182" t="s">
        <v>1804</v>
      </c>
      <c r="C777" s="1182" t="s">
        <v>1639</v>
      </c>
      <c r="D777" s="1182" t="s">
        <v>2590</v>
      </c>
      <c r="E777" s="1182" t="s">
        <v>2591</v>
      </c>
      <c r="F777" s="1182" t="s">
        <v>2135</v>
      </c>
      <c r="G777" s="1182" t="s">
        <v>2135</v>
      </c>
      <c r="H777" s="1182" t="s">
        <v>4256</v>
      </c>
      <c r="I777" s="1182" t="s">
        <v>1809</v>
      </c>
      <c r="J777" s="1182" t="s">
        <v>4257</v>
      </c>
      <c r="K777" s="1182" t="s">
        <v>1811</v>
      </c>
      <c r="L777" s="1182" t="s">
        <v>1812</v>
      </c>
      <c r="M777" s="1182" t="s">
        <v>1803</v>
      </c>
      <c r="N777" s="1182" t="s">
        <v>4190</v>
      </c>
      <c r="O777" s="1182" t="s">
        <v>1554</v>
      </c>
      <c r="P777" s="1182" t="s">
        <v>1553</v>
      </c>
      <c r="Q777" s="1182" t="s">
        <v>1559</v>
      </c>
      <c r="R777" s="1182" t="s">
        <v>1559</v>
      </c>
      <c r="S777" s="1182" t="s">
        <v>1639</v>
      </c>
      <c r="T777" s="1182" t="s">
        <v>1814</v>
      </c>
      <c r="U777" s="1182" t="s">
        <v>1815</v>
      </c>
      <c r="V777" s="1182">
        <v>0</v>
      </c>
      <c r="W777" s="1182">
        <v>0</v>
      </c>
      <c r="X777" s="1182">
        <v>0</v>
      </c>
      <c r="Y777" s="1183">
        <v>10816</v>
      </c>
      <c r="Z777" s="1182" t="s">
        <v>4245</v>
      </c>
      <c r="AA777" s="1182" t="s">
        <v>4246</v>
      </c>
      <c r="AB777" s="1182">
        <v>10816</v>
      </c>
      <c r="AC777" s="1182" t="s">
        <v>4193</v>
      </c>
      <c r="AD777" s="1182" t="s">
        <v>1559</v>
      </c>
      <c r="AE777" s="1182">
        <v>10816</v>
      </c>
      <c r="AF777" s="1182" t="s">
        <v>1819</v>
      </c>
      <c r="AG777" s="1182" t="s">
        <v>1820</v>
      </c>
      <c r="AH777" s="1182">
        <v>981</v>
      </c>
      <c r="AI777" s="1182">
        <v>9835</v>
      </c>
      <c r="AJ777" s="1182" t="s">
        <v>4216</v>
      </c>
      <c r="AL777" s="1186" t="s">
        <v>4258</v>
      </c>
      <c r="AM777" s="1182">
        <v>1</v>
      </c>
      <c r="AN777" s="1182">
        <v>0</v>
      </c>
      <c r="AO777" s="1182">
        <v>0</v>
      </c>
      <c r="AP777" s="1182">
        <v>0</v>
      </c>
      <c r="AQ777" s="1182" t="s">
        <v>1639</v>
      </c>
      <c r="AS777" s="1186" t="s">
        <v>1819</v>
      </c>
      <c r="AT777" s="1186" t="s">
        <v>1820</v>
      </c>
      <c r="AV777" s="1183">
        <v>0</v>
      </c>
      <c r="AW777" s="1183">
        <v>0</v>
      </c>
      <c r="AX777" s="1183">
        <v>0</v>
      </c>
      <c r="AY777" s="1538">
        <v>0</v>
      </c>
      <c r="AZ777" s="1183">
        <v>0</v>
      </c>
      <c r="BA777" s="1183">
        <v>10816</v>
      </c>
      <c r="BB777" s="1540">
        <v>10816</v>
      </c>
      <c r="BC777" s="1540">
        <v>10816</v>
      </c>
      <c r="BD777" s="1540">
        <v>0</v>
      </c>
      <c r="BF777" s="1539">
        <f t="shared" si="153"/>
        <v>0</v>
      </c>
      <c r="BG777" s="1539">
        <f t="shared" si="154"/>
        <v>0</v>
      </c>
      <c r="BH777" s="1539">
        <f t="shared" si="155"/>
        <v>0</v>
      </c>
      <c r="BI777" s="1539">
        <f t="shared" si="156"/>
        <v>0</v>
      </c>
      <c r="BJ777" s="1539">
        <f t="shared" si="157"/>
        <v>0</v>
      </c>
      <c r="BK777" s="1539">
        <f t="shared" si="158"/>
        <v>9833</v>
      </c>
      <c r="BL777" s="1539">
        <f t="shared" si="159"/>
        <v>9833</v>
      </c>
      <c r="BM777" s="1539">
        <f t="shared" si="160"/>
        <v>9833</v>
      </c>
      <c r="BO777" s="1556">
        <f t="shared" si="152"/>
        <v>-0.27272727272793418</v>
      </c>
      <c r="BQ777" s="1182">
        <f t="shared" si="161"/>
        <v>0</v>
      </c>
      <c r="BR777" s="1182">
        <f t="shared" si="162"/>
        <v>-0.27272727272793418</v>
      </c>
    </row>
    <row r="778" spans="1:70" ht="13.5" customHeight="1">
      <c r="A778" s="1182" t="s">
        <v>3049</v>
      </c>
      <c r="B778" s="1182" t="s">
        <v>1804</v>
      </c>
      <c r="C778" s="1182" t="s">
        <v>1639</v>
      </c>
      <c r="D778" s="1182" t="s">
        <v>2590</v>
      </c>
      <c r="E778" s="1182" t="s">
        <v>2591</v>
      </c>
      <c r="F778" s="1182" t="s">
        <v>2912</v>
      </c>
      <c r="G778" s="1182" t="s">
        <v>2912</v>
      </c>
      <c r="H778" s="1182" t="s">
        <v>4259</v>
      </c>
      <c r="I778" s="1182" t="s">
        <v>1809</v>
      </c>
      <c r="J778" s="1182" t="s">
        <v>4260</v>
      </c>
      <c r="K778" s="1182" t="s">
        <v>1811</v>
      </c>
      <c r="L778" s="1182" t="s">
        <v>1812</v>
      </c>
      <c r="M778" s="1182" t="s">
        <v>1803</v>
      </c>
      <c r="N778" s="1182" t="s">
        <v>4190</v>
      </c>
      <c r="O778" s="1182" t="s">
        <v>1554</v>
      </c>
      <c r="P778" s="1182" t="s">
        <v>1553</v>
      </c>
      <c r="Q778" s="1182" t="s">
        <v>1559</v>
      </c>
      <c r="R778" s="1182" t="s">
        <v>1559</v>
      </c>
      <c r="S778" s="1182" t="s">
        <v>1639</v>
      </c>
      <c r="T778" s="1182" t="s">
        <v>1814</v>
      </c>
      <c r="U778" s="1182" t="s">
        <v>1815</v>
      </c>
      <c r="V778" s="1182">
        <v>0</v>
      </c>
      <c r="W778" s="1182">
        <v>0</v>
      </c>
      <c r="X778" s="1182">
        <v>0</v>
      </c>
      <c r="Y778" s="1183">
        <v>9195</v>
      </c>
      <c r="Z778" s="1182" t="s">
        <v>4245</v>
      </c>
      <c r="AA778" s="1182" t="s">
        <v>4246</v>
      </c>
      <c r="AB778" s="1182">
        <v>9195</v>
      </c>
      <c r="AC778" s="1182" t="s">
        <v>4193</v>
      </c>
      <c r="AD778" s="1182" t="s">
        <v>1559</v>
      </c>
      <c r="AE778" s="1182">
        <v>9195</v>
      </c>
      <c r="AF778" s="1182" t="s">
        <v>1819</v>
      </c>
      <c r="AG778" s="1182" t="s">
        <v>1820</v>
      </c>
      <c r="AH778" s="1182">
        <v>835</v>
      </c>
      <c r="AI778" s="1182">
        <v>8360</v>
      </c>
      <c r="AJ778" s="1182" t="s">
        <v>4216</v>
      </c>
      <c r="AL778" s="1186" t="s">
        <v>4261</v>
      </c>
      <c r="AM778" s="1182">
        <v>1</v>
      </c>
      <c r="AN778" s="1182">
        <v>0</v>
      </c>
      <c r="AO778" s="1182">
        <v>0</v>
      </c>
      <c r="AP778" s="1182">
        <v>0</v>
      </c>
      <c r="AQ778" s="1182" t="s">
        <v>1639</v>
      </c>
      <c r="AS778" s="1186" t="s">
        <v>1819</v>
      </c>
      <c r="AT778" s="1186" t="s">
        <v>1820</v>
      </c>
      <c r="AV778" s="1183">
        <v>0</v>
      </c>
      <c r="AW778" s="1183">
        <v>0</v>
      </c>
      <c r="AX778" s="1183">
        <v>0</v>
      </c>
      <c r="AY778" s="1538">
        <v>0</v>
      </c>
      <c r="AZ778" s="1183">
        <v>0</v>
      </c>
      <c r="BA778" s="1183">
        <v>9195</v>
      </c>
      <c r="BB778" s="1540">
        <v>9195</v>
      </c>
      <c r="BC778" s="1540">
        <v>9195</v>
      </c>
      <c r="BD778" s="1540">
        <v>0</v>
      </c>
      <c r="BF778" s="1539">
        <f t="shared" si="153"/>
        <v>0</v>
      </c>
      <c r="BG778" s="1539">
        <f t="shared" si="154"/>
        <v>0</v>
      </c>
      <c r="BH778" s="1539">
        <f t="shared" si="155"/>
        <v>0</v>
      </c>
      <c r="BI778" s="1539">
        <f t="shared" si="156"/>
        <v>0</v>
      </c>
      <c r="BJ778" s="1539">
        <f t="shared" si="157"/>
        <v>0</v>
      </c>
      <c r="BK778" s="1539">
        <f t="shared" si="158"/>
        <v>8359</v>
      </c>
      <c r="BL778" s="1539">
        <f t="shared" si="159"/>
        <v>8359</v>
      </c>
      <c r="BM778" s="1539">
        <f t="shared" si="160"/>
        <v>8359</v>
      </c>
      <c r="BO778" s="1556">
        <f t="shared" si="152"/>
        <v>9.0909090909917722E-2</v>
      </c>
      <c r="BQ778" s="1182">
        <f t="shared" si="161"/>
        <v>0</v>
      </c>
      <c r="BR778" s="1182">
        <f t="shared" si="162"/>
        <v>9.0909090909917722E-2</v>
      </c>
    </row>
    <row r="779" spans="1:70">
      <c r="A779" s="1182" t="s">
        <v>1803</v>
      </c>
      <c r="B779" s="1182" t="s">
        <v>1804</v>
      </c>
      <c r="C779" s="1182" t="s">
        <v>1639</v>
      </c>
      <c r="D779" s="1182" t="s">
        <v>2590</v>
      </c>
      <c r="E779" s="1182" t="s">
        <v>2591</v>
      </c>
      <c r="F779" s="1182" t="s">
        <v>2135</v>
      </c>
      <c r="G779" s="1182" t="s">
        <v>2135</v>
      </c>
      <c r="H779" s="1182" t="s">
        <v>4262</v>
      </c>
      <c r="I779" s="1182" t="s">
        <v>1809</v>
      </c>
      <c r="J779" s="1182" t="s">
        <v>4263</v>
      </c>
      <c r="K779" s="1182" t="s">
        <v>1811</v>
      </c>
      <c r="L779" s="1182" t="s">
        <v>1812</v>
      </c>
      <c r="M779" s="1182" t="s">
        <v>1803</v>
      </c>
      <c r="N779" s="1182" t="s">
        <v>4190</v>
      </c>
      <c r="O779" s="1182" t="s">
        <v>1554</v>
      </c>
      <c r="P779" s="1182" t="s">
        <v>1553</v>
      </c>
      <c r="Q779" s="1182" t="s">
        <v>1559</v>
      </c>
      <c r="R779" s="1182" t="s">
        <v>1559</v>
      </c>
      <c r="S779" s="1182" t="s">
        <v>1639</v>
      </c>
      <c r="T779" s="1182" t="s">
        <v>1814</v>
      </c>
      <c r="U779" s="1182" t="s">
        <v>1815</v>
      </c>
      <c r="V779" s="1182">
        <v>0</v>
      </c>
      <c r="W779" s="1182">
        <v>0</v>
      </c>
      <c r="X779" s="1182">
        <v>0</v>
      </c>
      <c r="Y779" s="1182">
        <v>17632</v>
      </c>
      <c r="Z779" s="1182" t="s">
        <v>4264</v>
      </c>
      <c r="AA779" s="1182" t="s">
        <v>4265</v>
      </c>
      <c r="AB779" s="1182">
        <v>17632</v>
      </c>
      <c r="AC779" s="1182" t="s">
        <v>4193</v>
      </c>
      <c r="AD779" s="1182" t="s">
        <v>1559</v>
      </c>
      <c r="AE779" s="1182">
        <v>17632</v>
      </c>
      <c r="AF779" s="1182" t="s">
        <v>1819</v>
      </c>
      <c r="AG779" s="1182" t="s">
        <v>1820</v>
      </c>
      <c r="AH779" s="1182">
        <v>1602</v>
      </c>
      <c r="AI779" s="1182">
        <v>16030</v>
      </c>
      <c r="AJ779" s="1182" t="s">
        <v>4216</v>
      </c>
      <c r="AL779" s="1182" t="s">
        <v>4266</v>
      </c>
      <c r="AM779" s="1182">
        <v>1</v>
      </c>
      <c r="AN779" s="1182">
        <v>0</v>
      </c>
      <c r="AO779" s="1182">
        <v>0</v>
      </c>
      <c r="AP779" s="1182">
        <v>0</v>
      </c>
      <c r="AQ779" s="1182" t="s">
        <v>1639</v>
      </c>
      <c r="AS779" s="1182" t="s">
        <v>1819</v>
      </c>
      <c r="AT779" s="1182" t="s">
        <v>1820</v>
      </c>
      <c r="AV779" s="1183">
        <v>0</v>
      </c>
      <c r="AW779" s="1183">
        <v>0</v>
      </c>
      <c r="AX779" s="1183">
        <v>0</v>
      </c>
      <c r="AY779" s="1538">
        <v>0</v>
      </c>
      <c r="AZ779" s="1183">
        <v>0</v>
      </c>
      <c r="BA779" s="1183">
        <v>17632</v>
      </c>
      <c r="BB779" s="1540">
        <v>17632</v>
      </c>
      <c r="BC779" s="1540">
        <v>17632</v>
      </c>
      <c r="BD779" s="1540">
        <v>0</v>
      </c>
      <c r="BF779" s="1539">
        <f t="shared" si="153"/>
        <v>0</v>
      </c>
      <c r="BG779" s="1539">
        <f t="shared" si="154"/>
        <v>0</v>
      </c>
      <c r="BH779" s="1539">
        <f t="shared" si="155"/>
        <v>0</v>
      </c>
      <c r="BI779" s="1539">
        <f t="shared" si="156"/>
        <v>0</v>
      </c>
      <c r="BJ779" s="1539">
        <f t="shared" si="157"/>
        <v>0</v>
      </c>
      <c r="BK779" s="1539">
        <f t="shared" si="158"/>
        <v>16029</v>
      </c>
      <c r="BL779" s="1539">
        <f t="shared" si="159"/>
        <v>16029</v>
      </c>
      <c r="BM779" s="1539">
        <f t="shared" si="160"/>
        <v>16029</v>
      </c>
      <c r="BQ779" s="1182">
        <f t="shared" si="161"/>
        <v>0</v>
      </c>
      <c r="BR779" s="1182">
        <f t="shared" si="162"/>
        <v>9.0909090909917722E-2</v>
      </c>
    </row>
    <row r="780" spans="1:70">
      <c r="A780" s="1182" t="s">
        <v>1803</v>
      </c>
      <c r="B780" s="1182" t="s">
        <v>1804</v>
      </c>
      <c r="C780" s="1182" t="s">
        <v>1639</v>
      </c>
      <c r="D780" s="1182" t="s">
        <v>2590</v>
      </c>
      <c r="E780" s="1182" t="s">
        <v>2591</v>
      </c>
      <c r="F780" s="1182" t="s">
        <v>2665</v>
      </c>
      <c r="G780" s="1182" t="s">
        <v>2665</v>
      </c>
      <c r="H780" s="1182" t="s">
        <v>4267</v>
      </c>
      <c r="I780" s="1182" t="s">
        <v>1809</v>
      </c>
      <c r="J780" s="1182" t="s">
        <v>4268</v>
      </c>
      <c r="K780" s="1182" t="s">
        <v>1811</v>
      </c>
      <c r="L780" s="1182" t="s">
        <v>1812</v>
      </c>
      <c r="M780" s="1182" t="s">
        <v>1803</v>
      </c>
      <c r="N780" s="1182" t="s">
        <v>4190</v>
      </c>
      <c r="O780" s="1182" t="s">
        <v>1554</v>
      </c>
      <c r="P780" s="1182" t="s">
        <v>1553</v>
      </c>
      <c r="Q780" s="1182" t="s">
        <v>1559</v>
      </c>
      <c r="R780" s="1182" t="s">
        <v>1559</v>
      </c>
      <c r="S780" s="1182" t="s">
        <v>1639</v>
      </c>
      <c r="T780" s="1182" t="s">
        <v>1814</v>
      </c>
      <c r="U780" s="1182" t="s">
        <v>1815</v>
      </c>
      <c r="V780" s="1182">
        <v>0</v>
      </c>
      <c r="W780" s="1182">
        <v>0</v>
      </c>
      <c r="X780" s="1182">
        <v>0</v>
      </c>
      <c r="Y780" s="1182">
        <v>1529</v>
      </c>
      <c r="Z780" s="1182" t="s">
        <v>4264</v>
      </c>
      <c r="AA780" s="1182" t="s">
        <v>4265</v>
      </c>
      <c r="AB780" s="1182">
        <v>1529</v>
      </c>
      <c r="AC780" s="1182" t="s">
        <v>4193</v>
      </c>
      <c r="AD780" s="1182" t="s">
        <v>1559</v>
      </c>
      <c r="AE780" s="1182">
        <v>1529</v>
      </c>
      <c r="AF780" s="1182" t="s">
        <v>1819</v>
      </c>
      <c r="AG780" s="1182" t="s">
        <v>1820</v>
      </c>
      <c r="AH780" s="1182">
        <v>139</v>
      </c>
      <c r="AI780" s="1182">
        <v>1390</v>
      </c>
      <c r="AJ780" s="1182" t="s">
        <v>4216</v>
      </c>
      <c r="AL780" s="1182" t="s">
        <v>4269</v>
      </c>
      <c r="AM780" s="1182">
        <v>1</v>
      </c>
      <c r="AN780" s="1182">
        <v>0</v>
      </c>
      <c r="AO780" s="1182">
        <v>0</v>
      </c>
      <c r="AP780" s="1182">
        <v>0</v>
      </c>
      <c r="AQ780" s="1182" t="s">
        <v>1639</v>
      </c>
      <c r="AS780" s="1182" t="s">
        <v>1819</v>
      </c>
      <c r="AT780" s="1182" t="s">
        <v>1820</v>
      </c>
      <c r="AV780" s="1183">
        <v>0</v>
      </c>
      <c r="AW780" s="1183">
        <v>0</v>
      </c>
      <c r="AX780" s="1183">
        <v>0</v>
      </c>
      <c r="AY780" s="1538">
        <v>0</v>
      </c>
      <c r="AZ780" s="1183">
        <v>0</v>
      </c>
      <c r="BA780" s="1183">
        <v>1529</v>
      </c>
      <c r="BB780" s="1540">
        <v>1529</v>
      </c>
      <c r="BC780" s="1540">
        <v>1529</v>
      </c>
      <c r="BD780" s="1540">
        <v>0</v>
      </c>
      <c r="BF780" s="1539">
        <f t="shared" si="153"/>
        <v>0</v>
      </c>
      <c r="BG780" s="1539">
        <f t="shared" si="154"/>
        <v>0</v>
      </c>
      <c r="BH780" s="1539">
        <f t="shared" si="155"/>
        <v>0</v>
      </c>
      <c r="BI780" s="1539">
        <f t="shared" si="156"/>
        <v>0</v>
      </c>
      <c r="BJ780" s="1539">
        <f t="shared" si="157"/>
        <v>0</v>
      </c>
      <c r="BK780" s="1539">
        <f t="shared" si="158"/>
        <v>1390</v>
      </c>
      <c r="BL780" s="1539">
        <f t="shared" si="159"/>
        <v>1390</v>
      </c>
      <c r="BM780" s="1539">
        <f t="shared" si="160"/>
        <v>1390</v>
      </c>
      <c r="BO780" s="1556">
        <f>BA780*100/(100+$AT780)-BK780</f>
        <v>0</v>
      </c>
      <c r="BQ780" s="1182">
        <f t="shared" si="161"/>
        <v>0</v>
      </c>
      <c r="BR780" s="1182">
        <f t="shared" si="162"/>
        <v>0</v>
      </c>
    </row>
    <row r="781" spans="1:70">
      <c r="A781" s="1182" t="s">
        <v>1803</v>
      </c>
      <c r="B781" s="1182" t="s">
        <v>1804</v>
      </c>
      <c r="C781" s="1182" t="s">
        <v>1639</v>
      </c>
      <c r="D781" s="1182" t="s">
        <v>2590</v>
      </c>
      <c r="E781" s="1182" t="s">
        <v>2591</v>
      </c>
      <c r="F781" s="1182" t="s">
        <v>2764</v>
      </c>
      <c r="G781" s="1182" t="s">
        <v>2764</v>
      </c>
      <c r="H781" s="1182" t="s">
        <v>4270</v>
      </c>
      <c r="I781" s="1182" t="s">
        <v>1809</v>
      </c>
      <c r="J781" s="1182" t="s">
        <v>4271</v>
      </c>
      <c r="K781" s="1182" t="s">
        <v>1811</v>
      </c>
      <c r="L781" s="1182" t="s">
        <v>1812</v>
      </c>
      <c r="M781" s="1182" t="s">
        <v>1803</v>
      </c>
      <c r="N781" s="1182" t="s">
        <v>4190</v>
      </c>
      <c r="O781" s="1182" t="s">
        <v>1554</v>
      </c>
      <c r="P781" s="1182" t="s">
        <v>1553</v>
      </c>
      <c r="Q781" s="1182" t="s">
        <v>1559</v>
      </c>
      <c r="R781" s="1182" t="s">
        <v>1559</v>
      </c>
      <c r="S781" s="1182" t="s">
        <v>1639</v>
      </c>
      <c r="T781" s="1182" t="s">
        <v>1814</v>
      </c>
      <c r="U781" s="1182" t="s">
        <v>1815</v>
      </c>
      <c r="V781" s="1182">
        <v>0</v>
      </c>
      <c r="W781" s="1182">
        <v>0</v>
      </c>
      <c r="X781" s="1182">
        <v>0</v>
      </c>
      <c r="Y781" s="1182">
        <v>3833</v>
      </c>
      <c r="Z781" s="1182" t="s">
        <v>4264</v>
      </c>
      <c r="AA781" s="1182" t="s">
        <v>4265</v>
      </c>
      <c r="AB781" s="1182">
        <v>3833</v>
      </c>
      <c r="AC781" s="1182" t="s">
        <v>4193</v>
      </c>
      <c r="AD781" s="1182" t="s">
        <v>1559</v>
      </c>
      <c r="AE781" s="1182">
        <v>3833</v>
      </c>
      <c r="AF781" s="1182" t="s">
        <v>1819</v>
      </c>
      <c r="AG781" s="1182" t="s">
        <v>1820</v>
      </c>
      <c r="AH781" s="1182">
        <v>347</v>
      </c>
      <c r="AI781" s="1182">
        <v>3486</v>
      </c>
      <c r="AJ781" s="1182" t="s">
        <v>4216</v>
      </c>
      <c r="AL781" s="1182" t="s">
        <v>4272</v>
      </c>
      <c r="AM781" s="1182">
        <v>1</v>
      </c>
      <c r="AN781" s="1182">
        <v>0</v>
      </c>
      <c r="AO781" s="1182">
        <v>0</v>
      </c>
      <c r="AP781" s="1182">
        <v>0</v>
      </c>
      <c r="AQ781" s="1182" t="s">
        <v>1639</v>
      </c>
      <c r="AS781" s="1182" t="s">
        <v>1819</v>
      </c>
      <c r="AT781" s="1182" t="s">
        <v>1820</v>
      </c>
      <c r="AV781" s="1183">
        <v>0</v>
      </c>
      <c r="AW781" s="1183">
        <v>0</v>
      </c>
      <c r="AX781" s="1183">
        <v>0</v>
      </c>
      <c r="AY781" s="1538">
        <v>0</v>
      </c>
      <c r="AZ781" s="1183">
        <v>0</v>
      </c>
      <c r="BA781" s="1183">
        <v>3833</v>
      </c>
      <c r="BB781" s="1540">
        <v>3833</v>
      </c>
      <c r="BC781" s="1540">
        <v>3833</v>
      </c>
      <c r="BD781" s="1540">
        <v>0</v>
      </c>
      <c r="BF781" s="1539">
        <f t="shared" si="153"/>
        <v>0</v>
      </c>
      <c r="BG781" s="1539">
        <f t="shared" si="154"/>
        <v>0</v>
      </c>
      <c r="BH781" s="1539">
        <f t="shared" si="155"/>
        <v>0</v>
      </c>
      <c r="BI781" s="1539">
        <f t="shared" si="156"/>
        <v>0</v>
      </c>
      <c r="BJ781" s="1539">
        <f t="shared" si="157"/>
        <v>0</v>
      </c>
      <c r="BK781" s="1539">
        <f t="shared" si="158"/>
        <v>3485</v>
      </c>
      <c r="BL781" s="1539">
        <f t="shared" si="159"/>
        <v>3485</v>
      </c>
      <c r="BM781" s="1539">
        <f t="shared" si="160"/>
        <v>3485</v>
      </c>
      <c r="BO781" s="1556">
        <f t="shared" ref="BO781" si="163">BA781*100/(100+$AT781)-BK781</f>
        <v>-0.45454545454549589</v>
      </c>
      <c r="BQ781" s="1182">
        <f t="shared" si="161"/>
        <v>0</v>
      </c>
      <c r="BR781" s="1182">
        <f t="shared" si="162"/>
        <v>-0.45454545454549589</v>
      </c>
    </row>
    <row r="782" spans="1:70">
      <c r="A782" s="1182" t="s">
        <v>1803</v>
      </c>
      <c r="B782" s="1182" t="s">
        <v>1804</v>
      </c>
      <c r="C782" s="1182" t="s">
        <v>1639</v>
      </c>
      <c r="D782" s="1182" t="s">
        <v>2590</v>
      </c>
      <c r="E782" s="1182" t="s">
        <v>2591</v>
      </c>
      <c r="F782" s="1182" t="s">
        <v>2665</v>
      </c>
      <c r="G782" s="1182" t="s">
        <v>2665</v>
      </c>
      <c r="H782" s="1182" t="s">
        <v>4273</v>
      </c>
      <c r="I782" s="1182" t="s">
        <v>1809</v>
      </c>
      <c r="J782" s="1182" t="s">
        <v>4274</v>
      </c>
      <c r="K782" s="1182" t="s">
        <v>1811</v>
      </c>
      <c r="L782" s="1182" t="s">
        <v>1812</v>
      </c>
      <c r="M782" s="1182" t="s">
        <v>1803</v>
      </c>
      <c r="N782" s="1182" t="s">
        <v>4190</v>
      </c>
      <c r="O782" s="1182" t="s">
        <v>1554</v>
      </c>
      <c r="P782" s="1182" t="s">
        <v>1553</v>
      </c>
      <c r="Q782" s="1182" t="s">
        <v>1559</v>
      </c>
      <c r="R782" s="1182" t="s">
        <v>1559</v>
      </c>
      <c r="S782" s="1182" t="s">
        <v>1639</v>
      </c>
      <c r="T782" s="1182" t="s">
        <v>1814</v>
      </c>
      <c r="U782" s="1182" t="s">
        <v>1815</v>
      </c>
      <c r="V782" s="1182">
        <v>0</v>
      </c>
      <c r="W782" s="1182">
        <v>0</v>
      </c>
      <c r="X782" s="1182">
        <v>0</v>
      </c>
      <c r="Y782" s="1182">
        <v>22467</v>
      </c>
      <c r="Z782" s="1182" t="s">
        <v>4264</v>
      </c>
      <c r="AA782" s="1182" t="s">
        <v>4265</v>
      </c>
      <c r="AB782" s="1182">
        <v>22467</v>
      </c>
      <c r="AC782" s="1182" t="s">
        <v>4193</v>
      </c>
      <c r="AD782" s="1182" t="s">
        <v>1559</v>
      </c>
      <c r="AE782" s="1182">
        <v>22467</v>
      </c>
      <c r="AF782" s="1182" t="s">
        <v>1819</v>
      </c>
      <c r="AG782" s="1182" t="s">
        <v>1820</v>
      </c>
      <c r="AH782" s="1182">
        <v>2040</v>
      </c>
      <c r="AI782" s="1182">
        <v>20427</v>
      </c>
      <c r="AJ782" s="1182" t="s">
        <v>4216</v>
      </c>
      <c r="AL782" s="1182" t="s">
        <v>4275</v>
      </c>
      <c r="AM782" s="1182">
        <v>1</v>
      </c>
      <c r="AN782" s="1182">
        <v>0</v>
      </c>
      <c r="AO782" s="1182">
        <v>0</v>
      </c>
      <c r="AP782" s="1182">
        <v>0</v>
      </c>
      <c r="AQ782" s="1182" t="s">
        <v>1639</v>
      </c>
      <c r="AS782" s="1182" t="s">
        <v>1819</v>
      </c>
      <c r="AT782" s="1182" t="s">
        <v>1820</v>
      </c>
      <c r="AV782" s="1183">
        <v>0</v>
      </c>
      <c r="AW782" s="1183">
        <v>0</v>
      </c>
      <c r="AX782" s="1183">
        <v>0</v>
      </c>
      <c r="AY782" s="1538">
        <v>0</v>
      </c>
      <c r="AZ782" s="1183">
        <v>0</v>
      </c>
      <c r="BA782" s="1183">
        <v>22467</v>
      </c>
      <c r="BB782" s="1540">
        <v>22467</v>
      </c>
      <c r="BC782" s="1540">
        <v>22467</v>
      </c>
      <c r="BD782" s="1540">
        <v>0</v>
      </c>
      <c r="BF782" s="1539">
        <f t="shared" si="153"/>
        <v>0</v>
      </c>
      <c r="BG782" s="1539">
        <f t="shared" si="154"/>
        <v>0</v>
      </c>
      <c r="BH782" s="1539">
        <f t="shared" si="155"/>
        <v>0</v>
      </c>
      <c r="BI782" s="1539">
        <f t="shared" si="156"/>
        <v>0</v>
      </c>
      <c r="BJ782" s="1539">
        <f t="shared" si="157"/>
        <v>0</v>
      </c>
      <c r="BK782" s="1539">
        <f t="shared" si="158"/>
        <v>20425</v>
      </c>
      <c r="BL782" s="1539">
        <f t="shared" si="159"/>
        <v>20425</v>
      </c>
      <c r="BM782" s="1539">
        <f t="shared" si="160"/>
        <v>20425</v>
      </c>
      <c r="BO782" s="1556">
        <f t="shared" ref="BO782:BO810" si="164">BA782*100/(100+$AT782)-BK782</f>
        <v>-0.45454545454413164</v>
      </c>
      <c r="BQ782" s="1182">
        <f t="shared" si="161"/>
        <v>0</v>
      </c>
      <c r="BR782" s="1182">
        <f t="shared" si="162"/>
        <v>-0.45454545454413164</v>
      </c>
    </row>
    <row r="783" spans="1:70">
      <c r="A783" s="1182" t="s">
        <v>1803</v>
      </c>
      <c r="B783" s="1182" t="s">
        <v>1804</v>
      </c>
      <c r="C783" s="1182" t="s">
        <v>1639</v>
      </c>
      <c r="D783" s="1182" t="s">
        <v>2590</v>
      </c>
      <c r="E783" s="1182" t="s">
        <v>2591</v>
      </c>
      <c r="F783" s="1182" t="s">
        <v>4242</v>
      </c>
      <c r="G783" s="1182" t="s">
        <v>4242</v>
      </c>
      <c r="H783" s="1182" t="s">
        <v>4273</v>
      </c>
      <c r="I783" s="1182" t="s">
        <v>1809</v>
      </c>
      <c r="J783" s="1182" t="s">
        <v>4276</v>
      </c>
      <c r="K783" s="1182" t="s">
        <v>1811</v>
      </c>
      <c r="L783" s="1182" t="s">
        <v>1812</v>
      </c>
      <c r="M783" s="1182" t="s">
        <v>1803</v>
      </c>
      <c r="N783" s="1182" t="s">
        <v>4190</v>
      </c>
      <c r="O783" s="1182" t="s">
        <v>1554</v>
      </c>
      <c r="P783" s="1182" t="s">
        <v>1553</v>
      </c>
      <c r="Q783" s="1182" t="s">
        <v>1559</v>
      </c>
      <c r="R783" s="1182" t="s">
        <v>1559</v>
      </c>
      <c r="S783" s="1182" t="s">
        <v>1639</v>
      </c>
      <c r="T783" s="1182" t="s">
        <v>1814</v>
      </c>
      <c r="U783" s="1182" t="s">
        <v>1815</v>
      </c>
      <c r="V783" s="1182">
        <v>0</v>
      </c>
      <c r="W783" s="1182">
        <v>0</v>
      </c>
      <c r="X783" s="1182">
        <v>0</v>
      </c>
      <c r="Y783" s="1182">
        <v>9179</v>
      </c>
      <c r="Z783" s="1182" t="s">
        <v>4264</v>
      </c>
      <c r="AA783" s="1182" t="s">
        <v>4265</v>
      </c>
      <c r="AB783" s="1182">
        <v>9179</v>
      </c>
      <c r="AC783" s="1182" t="s">
        <v>4193</v>
      </c>
      <c r="AD783" s="1182" t="s">
        <v>1559</v>
      </c>
      <c r="AE783" s="1182">
        <v>9179</v>
      </c>
      <c r="AF783" s="1182" t="s">
        <v>1819</v>
      </c>
      <c r="AG783" s="1182" t="s">
        <v>1820</v>
      </c>
      <c r="AH783" s="1182">
        <v>834</v>
      </c>
      <c r="AI783" s="1182">
        <v>8345</v>
      </c>
      <c r="AJ783" s="1182" t="s">
        <v>4216</v>
      </c>
      <c r="AL783" s="1182" t="s">
        <v>4277</v>
      </c>
      <c r="AM783" s="1182">
        <v>1</v>
      </c>
      <c r="AN783" s="1182">
        <v>0</v>
      </c>
      <c r="AO783" s="1182">
        <v>0</v>
      </c>
      <c r="AP783" s="1182">
        <v>0</v>
      </c>
      <c r="AQ783" s="1182" t="s">
        <v>1639</v>
      </c>
      <c r="AS783" s="1182" t="s">
        <v>1819</v>
      </c>
      <c r="AT783" s="1182" t="s">
        <v>1820</v>
      </c>
      <c r="AV783" s="1183">
        <v>0</v>
      </c>
      <c r="AW783" s="1183">
        <v>0</v>
      </c>
      <c r="AX783" s="1183">
        <v>0</v>
      </c>
      <c r="AY783" s="1538">
        <v>0</v>
      </c>
      <c r="AZ783" s="1183">
        <v>0</v>
      </c>
      <c r="BA783" s="1183">
        <v>9179</v>
      </c>
      <c r="BB783" s="1540">
        <v>9179</v>
      </c>
      <c r="BC783" s="1540">
        <v>9179</v>
      </c>
      <c r="BD783" s="1540">
        <v>0</v>
      </c>
      <c r="BF783" s="1539">
        <f t="shared" si="153"/>
        <v>0</v>
      </c>
      <c r="BG783" s="1539">
        <f t="shared" si="154"/>
        <v>0</v>
      </c>
      <c r="BH783" s="1539">
        <f t="shared" si="155"/>
        <v>0</v>
      </c>
      <c r="BI783" s="1539">
        <f t="shared" si="156"/>
        <v>0</v>
      </c>
      <c r="BJ783" s="1539">
        <f t="shared" si="157"/>
        <v>0</v>
      </c>
      <c r="BK783" s="1539">
        <f t="shared" si="158"/>
        <v>8345</v>
      </c>
      <c r="BL783" s="1539">
        <f t="shared" si="159"/>
        <v>8345</v>
      </c>
      <c r="BM783" s="1539">
        <f t="shared" si="160"/>
        <v>8345</v>
      </c>
      <c r="BO783" s="1556">
        <f t="shared" si="164"/>
        <v>-0.45454545454595063</v>
      </c>
      <c r="BQ783" s="1182">
        <f t="shared" si="161"/>
        <v>0</v>
      </c>
      <c r="BR783" s="1182">
        <f t="shared" si="162"/>
        <v>-0.45454545454595063</v>
      </c>
    </row>
    <row r="784" spans="1:70">
      <c r="A784" s="1182" t="s">
        <v>3049</v>
      </c>
      <c r="B784" s="1182" t="s">
        <v>1804</v>
      </c>
      <c r="C784" s="1182" t="s">
        <v>1639</v>
      </c>
      <c r="D784" s="1182" t="s">
        <v>2590</v>
      </c>
      <c r="E784" s="1182" t="s">
        <v>2591</v>
      </c>
      <c r="F784" s="1182" t="s">
        <v>2912</v>
      </c>
      <c r="G784" s="1182" t="s">
        <v>2912</v>
      </c>
      <c r="H784" s="1182" t="s">
        <v>4278</v>
      </c>
      <c r="I784" s="1182" t="s">
        <v>1809</v>
      </c>
      <c r="J784" s="1182" t="s">
        <v>4279</v>
      </c>
      <c r="K784" s="1182" t="s">
        <v>1811</v>
      </c>
      <c r="L784" s="1182" t="s">
        <v>1812</v>
      </c>
      <c r="M784" s="1182" t="s">
        <v>1803</v>
      </c>
      <c r="N784" s="1182" t="s">
        <v>4190</v>
      </c>
      <c r="O784" s="1182" t="s">
        <v>1554</v>
      </c>
      <c r="P784" s="1182" t="s">
        <v>1553</v>
      </c>
      <c r="Q784" s="1182" t="s">
        <v>1559</v>
      </c>
      <c r="R784" s="1182" t="s">
        <v>1559</v>
      </c>
      <c r="S784" s="1182" t="s">
        <v>1639</v>
      </c>
      <c r="T784" s="1182" t="s">
        <v>1814</v>
      </c>
      <c r="U784" s="1182" t="s">
        <v>1815</v>
      </c>
      <c r="V784" s="1182">
        <v>0</v>
      </c>
      <c r="W784" s="1182">
        <v>0</v>
      </c>
      <c r="X784" s="1182">
        <v>0</v>
      </c>
      <c r="Y784" s="1182">
        <v>9227</v>
      </c>
      <c r="Z784" s="1182" t="s">
        <v>4264</v>
      </c>
      <c r="AA784" s="1182" t="s">
        <v>4265</v>
      </c>
      <c r="AB784" s="1182">
        <v>9227</v>
      </c>
      <c r="AC784" s="1182" t="s">
        <v>4193</v>
      </c>
      <c r="AD784" s="1182" t="s">
        <v>1559</v>
      </c>
      <c r="AE784" s="1182">
        <v>9227</v>
      </c>
      <c r="AF784" s="1182" t="s">
        <v>1819</v>
      </c>
      <c r="AG784" s="1182" t="s">
        <v>1820</v>
      </c>
      <c r="AH784" s="1182">
        <v>837</v>
      </c>
      <c r="AI784" s="1182">
        <v>8390</v>
      </c>
      <c r="AJ784" s="1182" t="s">
        <v>4216</v>
      </c>
      <c r="AL784" s="1182" t="s">
        <v>4280</v>
      </c>
      <c r="AM784" s="1182">
        <v>1</v>
      </c>
      <c r="AN784" s="1182">
        <v>0</v>
      </c>
      <c r="AO784" s="1182">
        <v>0</v>
      </c>
      <c r="AP784" s="1182">
        <v>0</v>
      </c>
      <c r="AQ784" s="1182" t="s">
        <v>1639</v>
      </c>
      <c r="AS784" s="1182" t="s">
        <v>1819</v>
      </c>
      <c r="AT784" s="1182" t="s">
        <v>1820</v>
      </c>
      <c r="AV784" s="1183">
        <v>0</v>
      </c>
      <c r="AW784" s="1183">
        <v>0</v>
      </c>
      <c r="AX784" s="1183">
        <v>0</v>
      </c>
      <c r="AY784" s="1538">
        <v>0</v>
      </c>
      <c r="AZ784" s="1183">
        <v>0</v>
      </c>
      <c r="BA784" s="1183">
        <v>9227</v>
      </c>
      <c r="BB784" s="1540">
        <v>9227</v>
      </c>
      <c r="BC784" s="1540">
        <v>9227</v>
      </c>
      <c r="BD784" s="1540">
        <v>0</v>
      </c>
      <c r="BF784" s="1539">
        <f t="shared" si="153"/>
        <v>0</v>
      </c>
      <c r="BG784" s="1539">
        <f t="shared" si="154"/>
        <v>0</v>
      </c>
      <c r="BH784" s="1539">
        <f t="shared" si="155"/>
        <v>0</v>
      </c>
      <c r="BI784" s="1539">
        <f t="shared" si="156"/>
        <v>0</v>
      </c>
      <c r="BJ784" s="1539">
        <f t="shared" si="157"/>
        <v>0</v>
      </c>
      <c r="BK784" s="1539">
        <f t="shared" si="158"/>
        <v>8388</v>
      </c>
      <c r="BL784" s="1539">
        <f t="shared" si="159"/>
        <v>8388</v>
      </c>
      <c r="BM784" s="1539">
        <f t="shared" si="160"/>
        <v>8388</v>
      </c>
      <c r="BO784" s="1556">
        <f t="shared" si="164"/>
        <v>0.18181818181801646</v>
      </c>
      <c r="BQ784" s="1182">
        <f t="shared" si="161"/>
        <v>0</v>
      </c>
      <c r="BR784" s="1182">
        <f t="shared" si="162"/>
        <v>0.18181818181801646</v>
      </c>
    </row>
    <row r="785" spans="1:70">
      <c r="A785" s="1182" t="s">
        <v>1803</v>
      </c>
      <c r="B785" s="1182" t="s">
        <v>1804</v>
      </c>
      <c r="C785" s="1182" t="s">
        <v>1639</v>
      </c>
      <c r="D785" s="1182" t="s">
        <v>2866</v>
      </c>
      <c r="E785" s="1182" t="s">
        <v>2867</v>
      </c>
      <c r="F785" s="1182" t="s">
        <v>2448</v>
      </c>
      <c r="G785" s="1182" t="s">
        <v>2448</v>
      </c>
      <c r="H785" s="1182" t="s">
        <v>4281</v>
      </c>
      <c r="I785" s="1182" t="s">
        <v>2933</v>
      </c>
      <c r="J785" s="1182" t="s">
        <v>4282</v>
      </c>
      <c r="K785" s="1182" t="s">
        <v>1811</v>
      </c>
      <c r="L785" s="1182" t="s">
        <v>1812</v>
      </c>
      <c r="M785" s="1182" t="s">
        <v>1803</v>
      </c>
      <c r="N785" s="1182" t="s">
        <v>4190</v>
      </c>
      <c r="O785" s="1182" t="s">
        <v>1554</v>
      </c>
      <c r="P785" s="1182" t="s">
        <v>1553</v>
      </c>
      <c r="Q785" s="1182" t="s">
        <v>1559</v>
      </c>
      <c r="R785" s="1182" t="s">
        <v>1559</v>
      </c>
      <c r="S785" s="1182" t="s">
        <v>1639</v>
      </c>
      <c r="T785" s="1182" t="s">
        <v>1814</v>
      </c>
      <c r="U785" s="1182" t="s">
        <v>1815</v>
      </c>
      <c r="V785" s="1182">
        <v>0</v>
      </c>
      <c r="W785" s="1182">
        <v>0</v>
      </c>
      <c r="X785" s="1182">
        <v>0</v>
      </c>
      <c r="Y785" s="1182">
        <v>435</v>
      </c>
      <c r="Z785" s="1182" t="s">
        <v>4283</v>
      </c>
      <c r="AA785" s="1182" t="s">
        <v>4284</v>
      </c>
      <c r="AB785" s="1182">
        <v>435</v>
      </c>
      <c r="AC785" s="1182" t="s">
        <v>4193</v>
      </c>
      <c r="AD785" s="1182" t="s">
        <v>1559</v>
      </c>
      <c r="AE785" s="1182">
        <v>435</v>
      </c>
      <c r="AF785" s="1182" t="s">
        <v>3082</v>
      </c>
      <c r="AG785" s="1182" t="s">
        <v>1944</v>
      </c>
      <c r="AH785" s="1182">
        <v>0</v>
      </c>
      <c r="AI785" s="1182">
        <v>435</v>
      </c>
      <c r="AJ785" s="1182" t="s">
        <v>1639</v>
      </c>
      <c r="AL785" s="1182" t="s">
        <v>4285</v>
      </c>
      <c r="AM785" s="1182">
        <v>2</v>
      </c>
      <c r="AN785" s="1182">
        <v>21</v>
      </c>
      <c r="AO785" s="1182">
        <v>0</v>
      </c>
      <c r="AP785" s="1182">
        <v>0</v>
      </c>
      <c r="AQ785" s="1182" t="s">
        <v>1639</v>
      </c>
      <c r="AS785" s="1182">
        <v>21</v>
      </c>
      <c r="AT785" s="1182">
        <v>0</v>
      </c>
      <c r="AV785" s="1183">
        <v>217</v>
      </c>
      <c r="AW785" s="1183">
        <v>0</v>
      </c>
      <c r="AX785" s="1183">
        <v>0</v>
      </c>
      <c r="AY785" s="1538">
        <v>217</v>
      </c>
      <c r="AZ785" s="1183">
        <v>0</v>
      </c>
      <c r="BA785" s="1183">
        <v>218</v>
      </c>
      <c r="BB785" s="1540">
        <v>218</v>
      </c>
      <c r="BC785" s="1540">
        <v>435</v>
      </c>
      <c r="BD785" s="1540">
        <v>0</v>
      </c>
      <c r="BF785" s="1539">
        <f t="shared" si="153"/>
        <v>217</v>
      </c>
      <c r="BG785" s="1539">
        <f t="shared" si="154"/>
        <v>0</v>
      </c>
      <c r="BH785" s="1539">
        <f t="shared" si="155"/>
        <v>0</v>
      </c>
      <c r="BI785" s="1539">
        <f t="shared" si="156"/>
        <v>217</v>
      </c>
      <c r="BJ785" s="1539">
        <f t="shared" si="157"/>
        <v>0</v>
      </c>
      <c r="BK785" s="1539">
        <f t="shared" si="158"/>
        <v>218</v>
      </c>
      <c r="BL785" s="1539">
        <f t="shared" si="159"/>
        <v>218</v>
      </c>
      <c r="BM785" s="1539">
        <f t="shared" si="160"/>
        <v>435</v>
      </c>
      <c r="BO785" s="1556">
        <f t="shared" si="164"/>
        <v>0</v>
      </c>
      <c r="BQ785" s="1182">
        <f t="shared" si="161"/>
        <v>0</v>
      </c>
      <c r="BR785" s="1182">
        <f t="shared" si="162"/>
        <v>0</v>
      </c>
    </row>
    <row r="786" spans="1:70">
      <c r="A786" s="1182" t="s">
        <v>1803</v>
      </c>
      <c r="B786" s="1182" t="s">
        <v>1804</v>
      </c>
      <c r="C786" s="1182" t="s">
        <v>1639</v>
      </c>
      <c r="D786" s="1182" t="s">
        <v>2590</v>
      </c>
      <c r="E786" s="1182" t="s">
        <v>2591</v>
      </c>
      <c r="F786" s="1182" t="s">
        <v>2611</v>
      </c>
      <c r="G786" s="1182" t="s">
        <v>2611</v>
      </c>
      <c r="H786" s="1182" t="s">
        <v>4286</v>
      </c>
      <c r="I786" s="1182" t="s">
        <v>1809</v>
      </c>
      <c r="J786" s="1182" t="s">
        <v>4287</v>
      </c>
      <c r="K786" s="1182" t="s">
        <v>1811</v>
      </c>
      <c r="L786" s="1182" t="s">
        <v>1812</v>
      </c>
      <c r="M786" s="1182" t="s">
        <v>1803</v>
      </c>
      <c r="N786" s="1182" t="s">
        <v>4190</v>
      </c>
      <c r="O786" s="1182" t="s">
        <v>1554</v>
      </c>
      <c r="P786" s="1182" t="s">
        <v>1553</v>
      </c>
      <c r="Q786" s="1182" t="s">
        <v>1559</v>
      </c>
      <c r="R786" s="1182" t="s">
        <v>1559</v>
      </c>
      <c r="S786" s="1182" t="s">
        <v>1639</v>
      </c>
      <c r="T786" s="1182" t="s">
        <v>1814</v>
      </c>
      <c r="U786" s="1182" t="s">
        <v>1815</v>
      </c>
      <c r="V786" s="1182">
        <v>0</v>
      </c>
      <c r="W786" s="1182">
        <v>0</v>
      </c>
      <c r="X786" s="1182">
        <v>0</v>
      </c>
      <c r="Y786" s="1182">
        <v>30680</v>
      </c>
      <c r="Z786" s="1182" t="s">
        <v>4288</v>
      </c>
      <c r="AA786" s="1182" t="s">
        <v>4289</v>
      </c>
      <c r="AB786" s="1182">
        <v>30680</v>
      </c>
      <c r="AC786" s="1182" t="s">
        <v>4193</v>
      </c>
      <c r="AD786" s="1182" t="s">
        <v>1559</v>
      </c>
      <c r="AE786" s="1182">
        <v>30680</v>
      </c>
      <c r="AF786" s="1182" t="s">
        <v>1819</v>
      </c>
      <c r="AG786" s="1182" t="s">
        <v>1820</v>
      </c>
      <c r="AH786" s="1182">
        <v>2789</v>
      </c>
      <c r="AI786" s="1182">
        <v>27891</v>
      </c>
      <c r="AJ786" s="1182" t="s">
        <v>4290</v>
      </c>
      <c r="AL786" s="1182" t="s">
        <v>4291</v>
      </c>
      <c r="AM786" s="1182">
        <v>1</v>
      </c>
      <c r="AN786" s="1182">
        <v>0</v>
      </c>
      <c r="AO786" s="1182">
        <v>0</v>
      </c>
      <c r="AP786" s="1182">
        <v>0</v>
      </c>
      <c r="AQ786" s="1182" t="s">
        <v>1639</v>
      </c>
      <c r="AS786" s="1182" t="s">
        <v>1819</v>
      </c>
      <c r="AT786" s="1182" t="s">
        <v>1820</v>
      </c>
      <c r="AV786" s="1183">
        <v>0</v>
      </c>
      <c r="AW786" s="1183">
        <v>0</v>
      </c>
      <c r="AX786" s="1183">
        <v>0</v>
      </c>
      <c r="AY786" s="1538">
        <v>0</v>
      </c>
      <c r="AZ786" s="1183">
        <v>0</v>
      </c>
      <c r="BA786" s="1183">
        <v>30680</v>
      </c>
      <c r="BB786" s="1540">
        <v>30680</v>
      </c>
      <c r="BC786" s="1540">
        <v>30680</v>
      </c>
      <c r="BD786" s="1540">
        <v>0</v>
      </c>
      <c r="BF786" s="1539">
        <f t="shared" si="153"/>
        <v>0</v>
      </c>
      <c r="BG786" s="1539">
        <f t="shared" si="154"/>
        <v>0</v>
      </c>
      <c r="BH786" s="1539">
        <f t="shared" si="155"/>
        <v>0</v>
      </c>
      <c r="BI786" s="1539">
        <f t="shared" si="156"/>
        <v>0</v>
      </c>
      <c r="BJ786" s="1539">
        <f t="shared" si="157"/>
        <v>0</v>
      </c>
      <c r="BK786" s="1539">
        <f t="shared" si="158"/>
        <v>27891</v>
      </c>
      <c r="BL786" s="1539">
        <f t="shared" si="159"/>
        <v>27891</v>
      </c>
      <c r="BM786" s="1539">
        <f t="shared" si="160"/>
        <v>27891</v>
      </c>
      <c r="BO786" s="1556">
        <f t="shared" si="164"/>
        <v>-9.0909090908098733E-2</v>
      </c>
      <c r="BQ786" s="1182">
        <f t="shared" si="161"/>
        <v>0</v>
      </c>
      <c r="BR786" s="1182">
        <f t="shared" si="162"/>
        <v>-9.0909090908098733E-2</v>
      </c>
    </row>
    <row r="787" spans="1:70">
      <c r="A787" s="1182" t="s">
        <v>1803</v>
      </c>
      <c r="B787" s="1182" t="s">
        <v>1804</v>
      </c>
      <c r="C787" s="1182" t="s">
        <v>1639</v>
      </c>
      <c r="D787" s="1182" t="s">
        <v>2590</v>
      </c>
      <c r="E787" s="1182" t="s">
        <v>2591</v>
      </c>
      <c r="F787" s="1182" t="s">
        <v>2611</v>
      </c>
      <c r="G787" s="1182" t="s">
        <v>2611</v>
      </c>
      <c r="H787" s="1182" t="s">
        <v>4286</v>
      </c>
      <c r="I787" s="1182" t="s">
        <v>1809</v>
      </c>
      <c r="J787" s="1182" t="s">
        <v>4292</v>
      </c>
      <c r="K787" s="1182" t="s">
        <v>1811</v>
      </c>
      <c r="L787" s="1182" t="s">
        <v>1812</v>
      </c>
      <c r="M787" s="1182" t="s">
        <v>1803</v>
      </c>
      <c r="N787" s="1182" t="s">
        <v>4190</v>
      </c>
      <c r="O787" s="1182" t="s">
        <v>1554</v>
      </c>
      <c r="P787" s="1182" t="s">
        <v>1553</v>
      </c>
      <c r="Q787" s="1182" t="s">
        <v>1559</v>
      </c>
      <c r="R787" s="1182" t="s">
        <v>1559</v>
      </c>
      <c r="S787" s="1182" t="s">
        <v>1639</v>
      </c>
      <c r="T787" s="1182" t="s">
        <v>1814</v>
      </c>
      <c r="U787" s="1182" t="s">
        <v>1815</v>
      </c>
      <c r="V787" s="1182">
        <v>0</v>
      </c>
      <c r="W787" s="1182">
        <v>0</v>
      </c>
      <c r="X787" s="1182">
        <v>0</v>
      </c>
      <c r="Y787" s="1182">
        <v>9786</v>
      </c>
      <c r="Z787" s="1182" t="s">
        <v>4288</v>
      </c>
      <c r="AA787" s="1182" t="s">
        <v>4289</v>
      </c>
      <c r="AB787" s="1182">
        <v>9786</v>
      </c>
      <c r="AC787" s="1182" t="s">
        <v>4193</v>
      </c>
      <c r="AD787" s="1182" t="s">
        <v>1559</v>
      </c>
      <c r="AE787" s="1182">
        <v>9786</v>
      </c>
      <c r="AF787" s="1182" t="s">
        <v>1930</v>
      </c>
      <c r="AG787" s="1182" t="s">
        <v>3911</v>
      </c>
      <c r="AH787" s="1182">
        <v>724</v>
      </c>
      <c r="AI787" s="1182">
        <v>9062</v>
      </c>
      <c r="AJ787" s="1182" t="s">
        <v>4290</v>
      </c>
      <c r="AL787" s="1182" t="s">
        <v>4293</v>
      </c>
      <c r="AM787" s="1182">
        <v>1</v>
      </c>
      <c r="AN787" s="1182">
        <v>0</v>
      </c>
      <c r="AO787" s="1182">
        <v>0</v>
      </c>
      <c r="AP787" s="1182">
        <v>0</v>
      </c>
      <c r="AQ787" s="1182" t="s">
        <v>1639</v>
      </c>
      <c r="AS787" s="1182" t="s">
        <v>1930</v>
      </c>
      <c r="AT787" s="1182" t="s">
        <v>3911</v>
      </c>
      <c r="AV787" s="1183">
        <v>0</v>
      </c>
      <c r="AW787" s="1183">
        <v>0</v>
      </c>
      <c r="AX787" s="1183">
        <v>0</v>
      </c>
      <c r="AY787" s="1538">
        <v>0</v>
      </c>
      <c r="AZ787" s="1183">
        <v>0</v>
      </c>
      <c r="BA787" s="1183">
        <v>9786</v>
      </c>
      <c r="BB787" s="1540">
        <v>9786</v>
      </c>
      <c r="BC787" s="1540">
        <v>9786</v>
      </c>
      <c r="BD787" s="1540">
        <v>0</v>
      </c>
      <c r="BF787" s="1539">
        <f t="shared" si="153"/>
        <v>0</v>
      </c>
      <c r="BG787" s="1539">
        <f t="shared" si="154"/>
        <v>0</v>
      </c>
      <c r="BH787" s="1539">
        <f t="shared" si="155"/>
        <v>0</v>
      </c>
      <c r="BI787" s="1539">
        <f t="shared" si="156"/>
        <v>0</v>
      </c>
      <c r="BJ787" s="1539">
        <f t="shared" si="157"/>
        <v>0</v>
      </c>
      <c r="BK787" s="1539">
        <f t="shared" si="158"/>
        <v>9061</v>
      </c>
      <c r="BL787" s="1539">
        <f t="shared" si="159"/>
        <v>9061</v>
      </c>
      <c r="BM787" s="1539">
        <f t="shared" si="160"/>
        <v>9061</v>
      </c>
      <c r="BO787" s="1556">
        <f t="shared" si="164"/>
        <v>0.11111111111131322</v>
      </c>
      <c r="BQ787" s="1182">
        <f t="shared" si="161"/>
        <v>0</v>
      </c>
      <c r="BR787" s="1182">
        <f t="shared" si="162"/>
        <v>0.11111111111131322</v>
      </c>
    </row>
    <row r="788" spans="1:70">
      <c r="A788" s="1182" t="s">
        <v>1803</v>
      </c>
      <c r="B788" s="1182" t="s">
        <v>1804</v>
      </c>
      <c r="C788" s="1182" t="s">
        <v>1639</v>
      </c>
      <c r="D788" s="1182" t="s">
        <v>2590</v>
      </c>
      <c r="E788" s="1182" t="s">
        <v>2591</v>
      </c>
      <c r="F788" s="1182" t="s">
        <v>2665</v>
      </c>
      <c r="G788" s="1182" t="s">
        <v>2665</v>
      </c>
      <c r="H788" s="1182" t="s">
        <v>4294</v>
      </c>
      <c r="I788" s="1182" t="s">
        <v>1809</v>
      </c>
      <c r="J788" s="1182" t="s">
        <v>4295</v>
      </c>
      <c r="K788" s="1182" t="s">
        <v>1811</v>
      </c>
      <c r="L788" s="1182" t="s">
        <v>1812</v>
      </c>
      <c r="M788" s="1182" t="s">
        <v>1803</v>
      </c>
      <c r="N788" s="1182" t="s">
        <v>4190</v>
      </c>
      <c r="O788" s="1182" t="s">
        <v>1554</v>
      </c>
      <c r="P788" s="1182" t="s">
        <v>1553</v>
      </c>
      <c r="Q788" s="1182" t="s">
        <v>1559</v>
      </c>
      <c r="R788" s="1182" t="s">
        <v>1559</v>
      </c>
      <c r="S788" s="1182" t="s">
        <v>1639</v>
      </c>
      <c r="T788" s="1182" t="s">
        <v>1814</v>
      </c>
      <c r="U788" s="1182" t="s">
        <v>1815</v>
      </c>
      <c r="V788" s="1182">
        <v>0</v>
      </c>
      <c r="W788" s="1182">
        <v>0</v>
      </c>
      <c r="X788" s="1182">
        <v>0</v>
      </c>
      <c r="Y788" s="1182">
        <v>28457</v>
      </c>
      <c r="Z788" s="1182" t="s">
        <v>4288</v>
      </c>
      <c r="AA788" s="1182" t="s">
        <v>4289</v>
      </c>
      <c r="AB788" s="1182">
        <v>28457</v>
      </c>
      <c r="AC788" s="1182" t="s">
        <v>4193</v>
      </c>
      <c r="AD788" s="1182" t="s">
        <v>1559</v>
      </c>
      <c r="AE788" s="1182">
        <v>28457</v>
      </c>
      <c r="AF788" s="1182" t="s">
        <v>1819</v>
      </c>
      <c r="AG788" s="1182" t="s">
        <v>1820</v>
      </c>
      <c r="AH788" s="1182">
        <v>2582</v>
      </c>
      <c r="AI788" s="1182">
        <v>25875</v>
      </c>
      <c r="AJ788" s="1182" t="s">
        <v>4216</v>
      </c>
      <c r="AL788" s="1182" t="s">
        <v>4296</v>
      </c>
      <c r="AM788" s="1182">
        <v>1</v>
      </c>
      <c r="AN788" s="1182">
        <v>0</v>
      </c>
      <c r="AO788" s="1182">
        <v>0</v>
      </c>
      <c r="AP788" s="1182">
        <v>0</v>
      </c>
      <c r="AQ788" s="1182" t="s">
        <v>1639</v>
      </c>
      <c r="AS788" s="1182" t="s">
        <v>1819</v>
      </c>
      <c r="AT788" s="1182" t="s">
        <v>1820</v>
      </c>
      <c r="AV788" s="1183">
        <v>0</v>
      </c>
      <c r="AW788" s="1183">
        <v>0</v>
      </c>
      <c r="AX788" s="1183">
        <v>0</v>
      </c>
      <c r="AY788" s="1538">
        <v>0</v>
      </c>
      <c r="AZ788" s="1183">
        <v>0</v>
      </c>
      <c r="BA788" s="1183">
        <v>28457</v>
      </c>
      <c r="BB788" s="1540">
        <v>28457</v>
      </c>
      <c r="BC788" s="1540">
        <v>28457</v>
      </c>
      <c r="BD788" s="1540">
        <v>0</v>
      </c>
      <c r="BF788" s="1539">
        <f t="shared" si="153"/>
        <v>0</v>
      </c>
      <c r="BG788" s="1539">
        <f t="shared" si="154"/>
        <v>0</v>
      </c>
      <c r="BH788" s="1539">
        <f t="shared" si="155"/>
        <v>0</v>
      </c>
      <c r="BI788" s="1539">
        <f t="shared" si="156"/>
        <v>0</v>
      </c>
      <c r="BJ788" s="1539">
        <f t="shared" si="157"/>
        <v>0</v>
      </c>
      <c r="BK788" s="1539">
        <f t="shared" si="158"/>
        <v>25870</v>
      </c>
      <c r="BL788" s="1539">
        <f t="shared" si="159"/>
        <v>25870</v>
      </c>
      <c r="BM788" s="1539">
        <f t="shared" si="160"/>
        <v>25870</v>
      </c>
      <c r="BO788" s="1556">
        <f t="shared" si="164"/>
        <v>0</v>
      </c>
      <c r="BQ788" s="1182">
        <f t="shared" si="161"/>
        <v>0</v>
      </c>
      <c r="BR788" s="1182">
        <f t="shared" si="162"/>
        <v>0</v>
      </c>
    </row>
    <row r="789" spans="1:70">
      <c r="A789" s="1182" t="s">
        <v>1803</v>
      </c>
      <c r="B789" s="1182" t="s">
        <v>1804</v>
      </c>
      <c r="C789" s="1182" t="s">
        <v>1639</v>
      </c>
      <c r="D789" s="1182" t="s">
        <v>2590</v>
      </c>
      <c r="E789" s="1182" t="s">
        <v>2591</v>
      </c>
      <c r="F789" s="1182" t="s">
        <v>2135</v>
      </c>
      <c r="G789" s="1182" t="s">
        <v>2135</v>
      </c>
      <c r="H789" s="1182" t="s">
        <v>4297</v>
      </c>
      <c r="I789" s="1182" t="s">
        <v>1809</v>
      </c>
      <c r="J789" s="1182" t="s">
        <v>4298</v>
      </c>
      <c r="K789" s="1182" t="s">
        <v>1811</v>
      </c>
      <c r="L789" s="1182" t="s">
        <v>1812</v>
      </c>
      <c r="M789" s="1182" t="s">
        <v>1803</v>
      </c>
      <c r="N789" s="1182" t="s">
        <v>4190</v>
      </c>
      <c r="O789" s="1182" t="s">
        <v>1554</v>
      </c>
      <c r="P789" s="1182" t="s">
        <v>1553</v>
      </c>
      <c r="Q789" s="1182" t="s">
        <v>1559</v>
      </c>
      <c r="R789" s="1182" t="s">
        <v>1559</v>
      </c>
      <c r="S789" s="1182" t="s">
        <v>1639</v>
      </c>
      <c r="T789" s="1182" t="s">
        <v>1814</v>
      </c>
      <c r="U789" s="1182" t="s">
        <v>1815</v>
      </c>
      <c r="V789" s="1182">
        <v>0</v>
      </c>
      <c r="W789" s="1182">
        <v>0</v>
      </c>
      <c r="X789" s="1182">
        <v>0</v>
      </c>
      <c r="Y789" s="1182">
        <v>18369</v>
      </c>
      <c r="Z789" s="1182" t="s">
        <v>4288</v>
      </c>
      <c r="AA789" s="1182" t="s">
        <v>4289</v>
      </c>
      <c r="AB789" s="1182">
        <v>18369</v>
      </c>
      <c r="AC789" s="1182" t="s">
        <v>4193</v>
      </c>
      <c r="AD789" s="1182" t="s">
        <v>1559</v>
      </c>
      <c r="AE789" s="1182">
        <v>18369</v>
      </c>
      <c r="AF789" s="1182" t="s">
        <v>1819</v>
      </c>
      <c r="AG789" s="1182" t="s">
        <v>1820</v>
      </c>
      <c r="AH789" s="1182">
        <v>1669</v>
      </c>
      <c r="AI789" s="1182">
        <v>16700</v>
      </c>
      <c r="AJ789" s="1182" t="s">
        <v>4216</v>
      </c>
      <c r="AL789" s="1182" t="s">
        <v>4299</v>
      </c>
      <c r="AM789" s="1182">
        <v>1</v>
      </c>
      <c r="AN789" s="1182">
        <v>0</v>
      </c>
      <c r="AO789" s="1182">
        <v>0</v>
      </c>
      <c r="AP789" s="1182">
        <v>0</v>
      </c>
      <c r="AQ789" s="1182" t="s">
        <v>1639</v>
      </c>
      <c r="AS789" s="1182" t="s">
        <v>1819</v>
      </c>
      <c r="AT789" s="1182" t="s">
        <v>1820</v>
      </c>
      <c r="AV789" s="1183">
        <v>0</v>
      </c>
      <c r="AW789" s="1183">
        <v>0</v>
      </c>
      <c r="AX789" s="1183">
        <v>0</v>
      </c>
      <c r="AY789" s="1538">
        <v>0</v>
      </c>
      <c r="AZ789" s="1183">
        <v>0</v>
      </c>
      <c r="BA789" s="1183">
        <v>18369</v>
      </c>
      <c r="BB789" s="1540">
        <v>18369</v>
      </c>
      <c r="BC789" s="1540">
        <v>18369</v>
      </c>
      <c r="BD789" s="1540">
        <v>0</v>
      </c>
      <c r="BF789" s="1539">
        <f t="shared" si="153"/>
        <v>0</v>
      </c>
      <c r="BG789" s="1539">
        <f t="shared" si="154"/>
        <v>0</v>
      </c>
      <c r="BH789" s="1539">
        <f t="shared" si="155"/>
        <v>0</v>
      </c>
      <c r="BI789" s="1539">
        <f t="shared" si="156"/>
        <v>0</v>
      </c>
      <c r="BJ789" s="1539">
        <f t="shared" si="157"/>
        <v>0</v>
      </c>
      <c r="BK789" s="1539">
        <f t="shared" si="158"/>
        <v>16699</v>
      </c>
      <c r="BL789" s="1539">
        <f t="shared" si="159"/>
        <v>16699</v>
      </c>
      <c r="BM789" s="1539">
        <f t="shared" si="160"/>
        <v>16699</v>
      </c>
      <c r="BO789" s="1556">
        <f t="shared" si="164"/>
        <v>9.0909090908098733E-2</v>
      </c>
      <c r="BQ789" s="1182">
        <f t="shared" si="161"/>
        <v>0</v>
      </c>
      <c r="BR789" s="1182">
        <f t="shared" si="162"/>
        <v>9.0909090908098733E-2</v>
      </c>
    </row>
    <row r="790" spans="1:70">
      <c r="A790" s="1182" t="s">
        <v>1803</v>
      </c>
      <c r="B790" s="1182" t="s">
        <v>1804</v>
      </c>
      <c r="C790" s="1182" t="s">
        <v>1639</v>
      </c>
      <c r="D790" s="1182" t="s">
        <v>2590</v>
      </c>
      <c r="E790" s="1182" t="s">
        <v>2591</v>
      </c>
      <c r="F790" s="1182" t="s">
        <v>2912</v>
      </c>
      <c r="G790" s="1182" t="s">
        <v>2912</v>
      </c>
      <c r="H790" s="1182" t="s">
        <v>4300</v>
      </c>
      <c r="I790" s="1182" t="s">
        <v>1809</v>
      </c>
      <c r="J790" s="1182" t="s">
        <v>4303</v>
      </c>
      <c r="K790" s="1182" t="s">
        <v>1811</v>
      </c>
      <c r="L790" s="1182" t="s">
        <v>1812</v>
      </c>
      <c r="M790" s="1182" t="s">
        <v>1803</v>
      </c>
      <c r="N790" s="1182" t="s">
        <v>4190</v>
      </c>
      <c r="O790" s="1182" t="s">
        <v>1554</v>
      </c>
      <c r="P790" s="1182" t="s">
        <v>1553</v>
      </c>
      <c r="Q790" s="1182" t="s">
        <v>1559</v>
      </c>
      <c r="R790" s="1182" t="s">
        <v>1559</v>
      </c>
      <c r="S790" s="1182" t="s">
        <v>1639</v>
      </c>
      <c r="T790" s="1182" t="s">
        <v>1814</v>
      </c>
      <c r="U790" s="1182" t="s">
        <v>1815</v>
      </c>
      <c r="V790" s="1182">
        <v>0</v>
      </c>
      <c r="W790" s="1182">
        <v>0</v>
      </c>
      <c r="X790" s="1182">
        <v>0</v>
      </c>
      <c r="Y790" s="1182">
        <v>1529</v>
      </c>
      <c r="Z790" s="1182" t="s">
        <v>4288</v>
      </c>
      <c r="AA790" s="1182" t="s">
        <v>4289</v>
      </c>
      <c r="AB790" s="1182">
        <v>1529</v>
      </c>
      <c r="AC790" s="1182" t="s">
        <v>4193</v>
      </c>
      <c r="AD790" s="1182" t="s">
        <v>1559</v>
      </c>
      <c r="AE790" s="1182">
        <v>1529</v>
      </c>
      <c r="AF790" s="1182" t="s">
        <v>1819</v>
      </c>
      <c r="AG790" s="1182" t="s">
        <v>1820</v>
      </c>
      <c r="AH790" s="1182">
        <v>139</v>
      </c>
      <c r="AI790" s="1182">
        <v>1390</v>
      </c>
      <c r="AJ790" s="1182" t="s">
        <v>4216</v>
      </c>
      <c r="AL790" s="1182" t="s">
        <v>4304</v>
      </c>
      <c r="AM790" s="1182">
        <v>1</v>
      </c>
      <c r="AN790" s="1182">
        <v>0</v>
      </c>
      <c r="AO790" s="1182">
        <v>0</v>
      </c>
      <c r="AP790" s="1182">
        <v>0</v>
      </c>
      <c r="AQ790" s="1182" t="s">
        <v>1639</v>
      </c>
      <c r="AS790" s="1182" t="s">
        <v>1819</v>
      </c>
      <c r="AT790" s="1182" t="s">
        <v>1820</v>
      </c>
      <c r="AV790" s="1183">
        <v>0</v>
      </c>
      <c r="AW790" s="1183">
        <v>0</v>
      </c>
      <c r="AX790" s="1183">
        <v>0</v>
      </c>
      <c r="AY790" s="1538">
        <v>0</v>
      </c>
      <c r="AZ790" s="1183">
        <v>0</v>
      </c>
      <c r="BA790" s="1183">
        <v>1529</v>
      </c>
      <c r="BB790" s="1540">
        <v>1529</v>
      </c>
      <c r="BC790" s="1540">
        <v>1529</v>
      </c>
      <c r="BD790" s="1540">
        <v>0</v>
      </c>
      <c r="BF790" s="1539">
        <f t="shared" si="153"/>
        <v>0</v>
      </c>
      <c r="BG790" s="1539">
        <f t="shared" si="154"/>
        <v>0</v>
      </c>
      <c r="BH790" s="1539">
        <f t="shared" si="155"/>
        <v>0</v>
      </c>
      <c r="BI790" s="1539">
        <f t="shared" si="156"/>
        <v>0</v>
      </c>
      <c r="BJ790" s="1539">
        <f t="shared" si="157"/>
        <v>0</v>
      </c>
      <c r="BK790" s="1539">
        <f t="shared" si="158"/>
        <v>1390</v>
      </c>
      <c r="BL790" s="1539">
        <f t="shared" si="159"/>
        <v>1390</v>
      </c>
      <c r="BM790" s="1539">
        <f t="shared" si="160"/>
        <v>1390</v>
      </c>
      <c r="BO790" s="1556">
        <f t="shared" si="164"/>
        <v>0</v>
      </c>
      <c r="BQ790" s="1182">
        <f t="shared" si="161"/>
        <v>0</v>
      </c>
      <c r="BR790" s="1182">
        <f t="shared" si="162"/>
        <v>0</v>
      </c>
    </row>
    <row r="791" spans="1:70">
      <c r="A791" s="1182" t="s">
        <v>1803</v>
      </c>
      <c r="B791" s="1182" t="s">
        <v>1804</v>
      </c>
      <c r="C791" s="1182" t="s">
        <v>1639</v>
      </c>
      <c r="D791" s="1182" t="s">
        <v>2590</v>
      </c>
      <c r="E791" s="1182" t="s">
        <v>2591</v>
      </c>
      <c r="F791" s="1182" t="s">
        <v>2912</v>
      </c>
      <c r="G791" s="1182" t="s">
        <v>2912</v>
      </c>
      <c r="H791" s="1182" t="s">
        <v>4300</v>
      </c>
      <c r="I791" s="1182" t="s">
        <v>1809</v>
      </c>
      <c r="J791" s="1182" t="s">
        <v>4305</v>
      </c>
      <c r="K791" s="1182" t="s">
        <v>1811</v>
      </c>
      <c r="L791" s="1182" t="s">
        <v>1812</v>
      </c>
      <c r="M791" s="1182" t="s">
        <v>1803</v>
      </c>
      <c r="N791" s="1182" t="s">
        <v>4190</v>
      </c>
      <c r="O791" s="1182" t="s">
        <v>1554</v>
      </c>
      <c r="P791" s="1182" t="s">
        <v>1553</v>
      </c>
      <c r="Q791" s="1182" t="s">
        <v>1559</v>
      </c>
      <c r="R791" s="1182" t="s">
        <v>1559</v>
      </c>
      <c r="S791" s="1182" t="s">
        <v>1639</v>
      </c>
      <c r="T791" s="1182" t="s">
        <v>1814</v>
      </c>
      <c r="U791" s="1182" t="s">
        <v>1815</v>
      </c>
      <c r="V791" s="1182">
        <v>0</v>
      </c>
      <c r="W791" s="1182">
        <v>0</v>
      </c>
      <c r="X791" s="1182">
        <v>0</v>
      </c>
      <c r="Y791" s="1182">
        <v>764</v>
      </c>
      <c r="Z791" s="1182" t="s">
        <v>4288</v>
      </c>
      <c r="AA791" s="1182" t="s">
        <v>4289</v>
      </c>
      <c r="AB791" s="1182">
        <v>764</v>
      </c>
      <c r="AC791" s="1182" t="s">
        <v>4193</v>
      </c>
      <c r="AD791" s="1182" t="s">
        <v>1559</v>
      </c>
      <c r="AE791" s="1182">
        <v>764</v>
      </c>
      <c r="AF791" s="1182" t="s">
        <v>1819</v>
      </c>
      <c r="AG791" s="1182" t="s">
        <v>1820</v>
      </c>
      <c r="AH791" s="1182">
        <v>69</v>
      </c>
      <c r="AI791" s="1182">
        <v>695</v>
      </c>
      <c r="AJ791" s="1182" t="s">
        <v>4216</v>
      </c>
      <c r="AL791" s="1182" t="s">
        <v>4306</v>
      </c>
      <c r="AM791" s="1182">
        <v>1</v>
      </c>
      <c r="AN791" s="1182">
        <v>0</v>
      </c>
      <c r="AO791" s="1182">
        <v>0</v>
      </c>
      <c r="AP791" s="1182">
        <v>0</v>
      </c>
      <c r="AQ791" s="1182" t="s">
        <v>1639</v>
      </c>
      <c r="AS791" s="1182" t="s">
        <v>1819</v>
      </c>
      <c r="AT791" s="1182" t="s">
        <v>1820</v>
      </c>
      <c r="AV791" s="1183">
        <v>0</v>
      </c>
      <c r="AW791" s="1183">
        <v>0</v>
      </c>
      <c r="AX791" s="1183">
        <v>0</v>
      </c>
      <c r="AY791" s="1538">
        <v>0</v>
      </c>
      <c r="AZ791" s="1183">
        <v>0</v>
      </c>
      <c r="BA791" s="1183">
        <v>764</v>
      </c>
      <c r="BB791" s="1540">
        <v>764</v>
      </c>
      <c r="BC791" s="1540">
        <v>764</v>
      </c>
      <c r="BD791" s="1540">
        <v>0</v>
      </c>
      <c r="BF791" s="1539">
        <f t="shared" si="153"/>
        <v>0</v>
      </c>
      <c r="BG791" s="1539">
        <f t="shared" si="154"/>
        <v>0</v>
      </c>
      <c r="BH791" s="1539">
        <f t="shared" si="155"/>
        <v>0</v>
      </c>
      <c r="BI791" s="1539">
        <f t="shared" si="156"/>
        <v>0</v>
      </c>
      <c r="BJ791" s="1539">
        <f t="shared" si="157"/>
        <v>0</v>
      </c>
      <c r="BK791" s="1539">
        <f t="shared" si="158"/>
        <v>695</v>
      </c>
      <c r="BL791" s="1539">
        <f t="shared" si="159"/>
        <v>695</v>
      </c>
      <c r="BM791" s="1539">
        <f t="shared" si="160"/>
        <v>695</v>
      </c>
      <c r="BO791" s="1556">
        <f t="shared" si="164"/>
        <v>-0.45454545454549589</v>
      </c>
      <c r="BQ791" s="1182">
        <f t="shared" si="161"/>
        <v>0</v>
      </c>
      <c r="BR791" s="1182">
        <f t="shared" si="162"/>
        <v>-0.45454545454549589</v>
      </c>
    </row>
    <row r="792" spans="1:70">
      <c r="A792" s="1182" t="s">
        <v>1803</v>
      </c>
      <c r="B792" s="1182" t="s">
        <v>1804</v>
      </c>
      <c r="C792" s="1182" t="s">
        <v>1639</v>
      </c>
      <c r="D792" s="1182" t="s">
        <v>2590</v>
      </c>
      <c r="E792" s="1182" t="s">
        <v>2591</v>
      </c>
      <c r="F792" s="1182" t="s">
        <v>4201</v>
      </c>
      <c r="G792" s="1182" t="s">
        <v>4201</v>
      </c>
      <c r="H792" s="1182" t="s">
        <v>4300</v>
      </c>
      <c r="I792" s="1182" t="s">
        <v>1809</v>
      </c>
      <c r="J792" s="1182" t="s">
        <v>4307</v>
      </c>
      <c r="K792" s="1182" t="s">
        <v>1811</v>
      </c>
      <c r="L792" s="1182" t="s">
        <v>1812</v>
      </c>
      <c r="M792" s="1182" t="s">
        <v>1803</v>
      </c>
      <c r="N792" s="1182" t="s">
        <v>4190</v>
      </c>
      <c r="O792" s="1182" t="s">
        <v>1554</v>
      </c>
      <c r="P792" s="1182" t="s">
        <v>1553</v>
      </c>
      <c r="Q792" s="1182" t="s">
        <v>1559</v>
      </c>
      <c r="R792" s="1182" t="s">
        <v>1559</v>
      </c>
      <c r="S792" s="1182" t="s">
        <v>1639</v>
      </c>
      <c r="T792" s="1182" t="s">
        <v>1814</v>
      </c>
      <c r="U792" s="1182" t="s">
        <v>1815</v>
      </c>
      <c r="V792" s="1182">
        <v>0</v>
      </c>
      <c r="W792" s="1182">
        <v>0</v>
      </c>
      <c r="X792" s="1182">
        <v>0</v>
      </c>
      <c r="Y792" s="1182">
        <v>1529</v>
      </c>
      <c r="Z792" s="1182" t="s">
        <v>4288</v>
      </c>
      <c r="AA792" s="1182" t="s">
        <v>4289</v>
      </c>
      <c r="AB792" s="1182">
        <v>1529</v>
      </c>
      <c r="AC792" s="1182" t="s">
        <v>4193</v>
      </c>
      <c r="AD792" s="1182" t="s">
        <v>1559</v>
      </c>
      <c r="AE792" s="1182">
        <v>1529</v>
      </c>
      <c r="AF792" s="1182" t="s">
        <v>1819</v>
      </c>
      <c r="AG792" s="1182" t="s">
        <v>1820</v>
      </c>
      <c r="AH792" s="1182">
        <v>139</v>
      </c>
      <c r="AI792" s="1182">
        <v>1390</v>
      </c>
      <c r="AJ792" s="1182" t="s">
        <v>4216</v>
      </c>
      <c r="AL792" s="1182" t="s">
        <v>4308</v>
      </c>
      <c r="AM792" s="1182">
        <v>1</v>
      </c>
      <c r="AN792" s="1182">
        <v>0</v>
      </c>
      <c r="AO792" s="1182">
        <v>0</v>
      </c>
      <c r="AP792" s="1182">
        <v>0</v>
      </c>
      <c r="AQ792" s="1182" t="s">
        <v>1639</v>
      </c>
      <c r="AS792" s="1182" t="s">
        <v>1819</v>
      </c>
      <c r="AT792" s="1182" t="s">
        <v>1820</v>
      </c>
      <c r="AV792" s="1183">
        <v>0</v>
      </c>
      <c r="AW792" s="1183">
        <v>0</v>
      </c>
      <c r="AX792" s="1183">
        <v>0</v>
      </c>
      <c r="AY792" s="1538">
        <v>0</v>
      </c>
      <c r="AZ792" s="1183">
        <v>0</v>
      </c>
      <c r="BA792" s="1183">
        <v>1529</v>
      </c>
      <c r="BB792" s="1540">
        <v>1529</v>
      </c>
      <c r="BC792" s="1540">
        <v>1529</v>
      </c>
      <c r="BD792" s="1540">
        <v>0</v>
      </c>
      <c r="BF792" s="1539">
        <f t="shared" si="153"/>
        <v>0</v>
      </c>
      <c r="BG792" s="1539">
        <f t="shared" si="154"/>
        <v>0</v>
      </c>
      <c r="BH792" s="1539">
        <f t="shared" si="155"/>
        <v>0</v>
      </c>
      <c r="BI792" s="1539">
        <f t="shared" si="156"/>
        <v>0</v>
      </c>
      <c r="BJ792" s="1539">
        <f t="shared" si="157"/>
        <v>0</v>
      </c>
      <c r="BK792" s="1539">
        <f t="shared" si="158"/>
        <v>1390</v>
      </c>
      <c r="BL792" s="1539">
        <f t="shared" si="159"/>
        <v>1390</v>
      </c>
      <c r="BM792" s="1539">
        <f t="shared" si="160"/>
        <v>1390</v>
      </c>
      <c r="BO792" s="1556">
        <f t="shared" si="164"/>
        <v>0</v>
      </c>
      <c r="BQ792" s="1182">
        <f t="shared" si="161"/>
        <v>0</v>
      </c>
      <c r="BR792" s="1182">
        <f t="shared" si="162"/>
        <v>0</v>
      </c>
    </row>
    <row r="793" spans="1:70">
      <c r="A793" s="1182" t="s">
        <v>1803</v>
      </c>
      <c r="B793" s="1182" t="s">
        <v>1804</v>
      </c>
      <c r="C793" s="1182" t="s">
        <v>1639</v>
      </c>
      <c r="D793" s="1182" t="s">
        <v>2590</v>
      </c>
      <c r="E793" s="1182" t="s">
        <v>2591</v>
      </c>
      <c r="F793" s="1182" t="s">
        <v>2135</v>
      </c>
      <c r="G793" s="1182" t="s">
        <v>2135</v>
      </c>
      <c r="H793" s="1182" t="s">
        <v>4309</v>
      </c>
      <c r="I793" s="1182" t="s">
        <v>1809</v>
      </c>
      <c r="J793" s="1182" t="s">
        <v>4310</v>
      </c>
      <c r="K793" s="1182" t="s">
        <v>1811</v>
      </c>
      <c r="L793" s="1182" t="s">
        <v>1812</v>
      </c>
      <c r="M793" s="1182" t="s">
        <v>1803</v>
      </c>
      <c r="N793" s="1182" t="s">
        <v>4190</v>
      </c>
      <c r="O793" s="1182" t="s">
        <v>1554</v>
      </c>
      <c r="P793" s="1182" t="s">
        <v>1553</v>
      </c>
      <c r="Q793" s="1182" t="s">
        <v>1559</v>
      </c>
      <c r="R793" s="1182" t="s">
        <v>1559</v>
      </c>
      <c r="S793" s="1182" t="s">
        <v>1639</v>
      </c>
      <c r="T793" s="1182" t="s">
        <v>1814</v>
      </c>
      <c r="U793" s="1182" t="s">
        <v>1815</v>
      </c>
      <c r="V793" s="1182">
        <v>0</v>
      </c>
      <c r="W793" s="1182">
        <v>0</v>
      </c>
      <c r="X793" s="1182">
        <v>0</v>
      </c>
      <c r="Y793" s="1182">
        <v>1529</v>
      </c>
      <c r="Z793" s="1182" t="s">
        <v>4288</v>
      </c>
      <c r="AA793" s="1182" t="s">
        <v>4289</v>
      </c>
      <c r="AB793" s="1182">
        <v>1529</v>
      </c>
      <c r="AC793" s="1182" t="s">
        <v>4193</v>
      </c>
      <c r="AD793" s="1182" t="s">
        <v>1559</v>
      </c>
      <c r="AE793" s="1182">
        <v>1529</v>
      </c>
      <c r="AF793" s="1182" t="s">
        <v>1819</v>
      </c>
      <c r="AG793" s="1182" t="s">
        <v>1820</v>
      </c>
      <c r="AH793" s="1182">
        <v>139</v>
      </c>
      <c r="AI793" s="1182">
        <v>1390</v>
      </c>
      <c r="AJ793" s="1182" t="s">
        <v>4216</v>
      </c>
      <c r="AL793" s="1182" t="s">
        <v>4311</v>
      </c>
      <c r="AM793" s="1182">
        <v>1</v>
      </c>
      <c r="AN793" s="1182">
        <v>0</v>
      </c>
      <c r="AO793" s="1182">
        <v>0</v>
      </c>
      <c r="AP793" s="1182">
        <v>0</v>
      </c>
      <c r="AQ793" s="1182" t="s">
        <v>1639</v>
      </c>
      <c r="AS793" s="1182" t="s">
        <v>1819</v>
      </c>
      <c r="AT793" s="1182" t="s">
        <v>1820</v>
      </c>
      <c r="AV793" s="1183">
        <v>0</v>
      </c>
      <c r="AW793" s="1183">
        <v>0</v>
      </c>
      <c r="AX793" s="1183">
        <v>0</v>
      </c>
      <c r="AY793" s="1538">
        <v>0</v>
      </c>
      <c r="AZ793" s="1183">
        <v>0</v>
      </c>
      <c r="BA793" s="1183">
        <v>1529</v>
      </c>
      <c r="BB793" s="1540">
        <v>1529</v>
      </c>
      <c r="BC793" s="1540">
        <v>1529</v>
      </c>
      <c r="BD793" s="1540">
        <v>0</v>
      </c>
      <c r="BF793" s="1539">
        <f t="shared" si="153"/>
        <v>0</v>
      </c>
      <c r="BG793" s="1539">
        <f t="shared" si="154"/>
        <v>0</v>
      </c>
      <c r="BH793" s="1539">
        <f t="shared" si="155"/>
        <v>0</v>
      </c>
      <c r="BI793" s="1539">
        <f t="shared" si="156"/>
        <v>0</v>
      </c>
      <c r="BJ793" s="1539">
        <f t="shared" si="157"/>
        <v>0</v>
      </c>
      <c r="BK793" s="1539">
        <f t="shared" si="158"/>
        <v>1390</v>
      </c>
      <c r="BL793" s="1539">
        <f t="shared" si="159"/>
        <v>1390</v>
      </c>
      <c r="BM793" s="1539">
        <f t="shared" si="160"/>
        <v>1390</v>
      </c>
      <c r="BO793" s="1556">
        <f t="shared" si="164"/>
        <v>0</v>
      </c>
      <c r="BQ793" s="1182">
        <f t="shared" si="161"/>
        <v>0</v>
      </c>
      <c r="BR793" s="1182">
        <f t="shared" si="162"/>
        <v>0</v>
      </c>
    </row>
    <row r="794" spans="1:70">
      <c r="A794" s="1182" t="s">
        <v>1803</v>
      </c>
      <c r="B794" s="1182" t="s">
        <v>1804</v>
      </c>
      <c r="C794" s="1182" t="s">
        <v>1639</v>
      </c>
      <c r="D794" s="1182" t="s">
        <v>2590</v>
      </c>
      <c r="E794" s="1182" t="s">
        <v>2591</v>
      </c>
      <c r="F794" s="1182" t="s">
        <v>2950</v>
      </c>
      <c r="G794" s="1182" t="s">
        <v>2950</v>
      </c>
      <c r="H794" s="1182" t="s">
        <v>4309</v>
      </c>
      <c r="I794" s="1182" t="s">
        <v>1809</v>
      </c>
      <c r="J794" s="1182" t="s">
        <v>4314</v>
      </c>
      <c r="K794" s="1182" t="s">
        <v>1811</v>
      </c>
      <c r="L794" s="1182" t="s">
        <v>1812</v>
      </c>
      <c r="M794" s="1182" t="s">
        <v>1803</v>
      </c>
      <c r="N794" s="1182" t="s">
        <v>4190</v>
      </c>
      <c r="O794" s="1182" t="s">
        <v>1554</v>
      </c>
      <c r="P794" s="1182" t="s">
        <v>1553</v>
      </c>
      <c r="Q794" s="1182" t="s">
        <v>1559</v>
      </c>
      <c r="R794" s="1182" t="s">
        <v>1559</v>
      </c>
      <c r="S794" s="1182" t="s">
        <v>1639</v>
      </c>
      <c r="T794" s="1182" t="s">
        <v>1814</v>
      </c>
      <c r="U794" s="1182" t="s">
        <v>1815</v>
      </c>
      <c r="V794" s="1182">
        <v>0</v>
      </c>
      <c r="W794" s="1182">
        <v>0</v>
      </c>
      <c r="X794" s="1182">
        <v>0</v>
      </c>
      <c r="Y794" s="1182">
        <v>1529</v>
      </c>
      <c r="Z794" s="1182" t="s">
        <v>4288</v>
      </c>
      <c r="AA794" s="1182" t="s">
        <v>4289</v>
      </c>
      <c r="AB794" s="1182">
        <v>1529</v>
      </c>
      <c r="AC794" s="1182" t="s">
        <v>4193</v>
      </c>
      <c r="AD794" s="1182" t="s">
        <v>1559</v>
      </c>
      <c r="AE794" s="1182">
        <v>1529</v>
      </c>
      <c r="AF794" s="1182" t="s">
        <v>1819</v>
      </c>
      <c r="AG794" s="1182" t="s">
        <v>1820</v>
      </c>
      <c r="AH794" s="1182">
        <v>139</v>
      </c>
      <c r="AI794" s="1182">
        <v>1390</v>
      </c>
      <c r="AJ794" s="1182" t="s">
        <v>4216</v>
      </c>
      <c r="AL794" s="1182" t="s">
        <v>4315</v>
      </c>
      <c r="AM794" s="1182">
        <v>1</v>
      </c>
      <c r="AN794" s="1182">
        <v>0</v>
      </c>
      <c r="AO794" s="1182">
        <v>0</v>
      </c>
      <c r="AP794" s="1182">
        <v>0</v>
      </c>
      <c r="AQ794" s="1182" t="s">
        <v>1639</v>
      </c>
      <c r="AS794" s="1182" t="s">
        <v>1819</v>
      </c>
      <c r="AT794" s="1182" t="s">
        <v>1820</v>
      </c>
      <c r="AV794" s="1183">
        <v>0</v>
      </c>
      <c r="AW794" s="1183">
        <v>0</v>
      </c>
      <c r="AX794" s="1183">
        <v>0</v>
      </c>
      <c r="AY794" s="1538">
        <v>0</v>
      </c>
      <c r="AZ794" s="1183">
        <v>0</v>
      </c>
      <c r="BA794" s="1183">
        <v>1529</v>
      </c>
      <c r="BB794" s="1540">
        <v>1529</v>
      </c>
      <c r="BC794" s="1540">
        <v>1529</v>
      </c>
      <c r="BD794" s="1540">
        <v>0</v>
      </c>
      <c r="BF794" s="1539">
        <f t="shared" si="153"/>
        <v>0</v>
      </c>
      <c r="BG794" s="1539">
        <f t="shared" si="154"/>
        <v>0</v>
      </c>
      <c r="BH794" s="1539">
        <f t="shared" si="155"/>
        <v>0</v>
      </c>
      <c r="BI794" s="1539">
        <f t="shared" si="156"/>
        <v>0</v>
      </c>
      <c r="BJ794" s="1539">
        <f t="shared" si="157"/>
        <v>0</v>
      </c>
      <c r="BK794" s="1539">
        <f t="shared" si="158"/>
        <v>1390</v>
      </c>
      <c r="BL794" s="1539">
        <f t="shared" si="159"/>
        <v>1390</v>
      </c>
      <c r="BM794" s="1539">
        <f t="shared" si="160"/>
        <v>1390</v>
      </c>
      <c r="BO794" s="1556">
        <f t="shared" si="164"/>
        <v>0</v>
      </c>
      <c r="BQ794" s="1182">
        <f t="shared" si="161"/>
        <v>0</v>
      </c>
      <c r="BR794" s="1182">
        <f t="shared" si="162"/>
        <v>0</v>
      </c>
    </row>
    <row r="795" spans="1:70">
      <c r="A795" s="1182" t="s">
        <v>1803</v>
      </c>
      <c r="B795" s="1182" t="s">
        <v>1804</v>
      </c>
      <c r="C795" s="1182" t="s">
        <v>1639</v>
      </c>
      <c r="D795" s="1182" t="s">
        <v>2590</v>
      </c>
      <c r="E795" s="1182" t="s">
        <v>2591</v>
      </c>
      <c r="F795" s="1182" t="s">
        <v>3834</v>
      </c>
      <c r="G795" s="1182" t="s">
        <v>3834</v>
      </c>
      <c r="H795" s="1182" t="s">
        <v>4300</v>
      </c>
      <c r="I795" s="1182" t="s">
        <v>1809</v>
      </c>
      <c r="J795" s="1182" t="s">
        <v>4301</v>
      </c>
      <c r="K795" s="1182" t="s">
        <v>1811</v>
      </c>
      <c r="L795" s="1182" t="s">
        <v>1812</v>
      </c>
      <c r="M795" s="1182" t="s">
        <v>1803</v>
      </c>
      <c r="N795" s="1182" t="s">
        <v>4190</v>
      </c>
      <c r="O795" s="1182" t="s">
        <v>1554</v>
      </c>
      <c r="P795" s="1182" t="s">
        <v>1553</v>
      </c>
      <c r="Q795" s="1182" t="s">
        <v>1559</v>
      </c>
      <c r="R795" s="1182" t="s">
        <v>1559</v>
      </c>
      <c r="S795" s="1182" t="s">
        <v>1639</v>
      </c>
      <c r="T795" s="1182" t="s">
        <v>1814</v>
      </c>
      <c r="U795" s="1182" t="s">
        <v>1815</v>
      </c>
      <c r="V795" s="1182">
        <v>0</v>
      </c>
      <c r="W795" s="1182">
        <v>0</v>
      </c>
      <c r="X795" s="1182">
        <v>0</v>
      </c>
      <c r="Y795" s="1182">
        <v>1529</v>
      </c>
      <c r="Z795" s="1182" t="s">
        <v>4288</v>
      </c>
      <c r="AA795" s="1182" t="s">
        <v>4289</v>
      </c>
      <c r="AB795" s="1182">
        <v>1529</v>
      </c>
      <c r="AC795" s="1182" t="s">
        <v>4193</v>
      </c>
      <c r="AD795" s="1182" t="s">
        <v>1559</v>
      </c>
      <c r="AE795" s="1182">
        <v>1529</v>
      </c>
      <c r="AF795" s="1182" t="s">
        <v>1819</v>
      </c>
      <c r="AG795" s="1182" t="s">
        <v>1820</v>
      </c>
      <c r="AH795" s="1182">
        <v>139</v>
      </c>
      <c r="AI795" s="1182">
        <v>1390</v>
      </c>
      <c r="AJ795" s="1182" t="s">
        <v>4216</v>
      </c>
      <c r="AL795" s="1182" t="s">
        <v>4302</v>
      </c>
      <c r="AM795" s="1182">
        <v>1</v>
      </c>
      <c r="AN795" s="1182">
        <v>0</v>
      </c>
      <c r="AO795" s="1182">
        <v>0</v>
      </c>
      <c r="AP795" s="1182">
        <v>0</v>
      </c>
      <c r="AQ795" s="1182" t="s">
        <v>1639</v>
      </c>
      <c r="AS795" s="1182" t="s">
        <v>1819</v>
      </c>
      <c r="AT795" s="1182" t="s">
        <v>1820</v>
      </c>
      <c r="AV795" s="1183">
        <v>0</v>
      </c>
      <c r="AW795" s="1183">
        <v>0</v>
      </c>
      <c r="AX795" s="1183">
        <v>0</v>
      </c>
      <c r="AY795" s="1538">
        <v>0</v>
      </c>
      <c r="AZ795" s="1183">
        <v>0</v>
      </c>
      <c r="BA795" s="1183">
        <v>1529</v>
      </c>
      <c r="BB795" s="1540">
        <v>1529</v>
      </c>
      <c r="BC795" s="1540">
        <v>1529</v>
      </c>
      <c r="BD795" s="1540">
        <v>0</v>
      </c>
      <c r="BF795" s="1539">
        <f t="shared" si="153"/>
        <v>0</v>
      </c>
      <c r="BG795" s="1539">
        <f t="shared" si="154"/>
        <v>0</v>
      </c>
      <c r="BH795" s="1539">
        <f t="shared" si="155"/>
        <v>0</v>
      </c>
      <c r="BI795" s="1539">
        <f t="shared" si="156"/>
        <v>0</v>
      </c>
      <c r="BJ795" s="1539">
        <f t="shared" si="157"/>
        <v>0</v>
      </c>
      <c r="BK795" s="1539">
        <f t="shared" si="158"/>
        <v>1390</v>
      </c>
      <c r="BL795" s="1539">
        <f t="shared" si="159"/>
        <v>1390</v>
      </c>
      <c r="BM795" s="1539">
        <f t="shared" si="160"/>
        <v>1390</v>
      </c>
      <c r="BO795" s="1556">
        <f t="shared" si="164"/>
        <v>0</v>
      </c>
      <c r="BQ795" s="1182">
        <f t="shared" si="161"/>
        <v>0</v>
      </c>
      <c r="BR795" s="1182">
        <f t="shared" si="162"/>
        <v>0</v>
      </c>
    </row>
    <row r="796" spans="1:70">
      <c r="A796" s="1182" t="s">
        <v>1803</v>
      </c>
      <c r="B796" s="1182" t="s">
        <v>1804</v>
      </c>
      <c r="C796" s="1182" t="s">
        <v>1639</v>
      </c>
      <c r="D796" s="1182" t="s">
        <v>2590</v>
      </c>
      <c r="E796" s="1182" t="s">
        <v>2591</v>
      </c>
      <c r="F796" s="1182" t="s">
        <v>4242</v>
      </c>
      <c r="G796" s="1182" t="s">
        <v>4242</v>
      </c>
      <c r="H796" s="1182" t="s">
        <v>4300</v>
      </c>
      <c r="I796" s="1182" t="s">
        <v>1809</v>
      </c>
      <c r="J796" s="1182" t="s">
        <v>4312</v>
      </c>
      <c r="K796" s="1182" t="s">
        <v>1811</v>
      </c>
      <c r="L796" s="1182" t="s">
        <v>1812</v>
      </c>
      <c r="M796" s="1182" t="s">
        <v>1803</v>
      </c>
      <c r="N796" s="1182" t="s">
        <v>4190</v>
      </c>
      <c r="O796" s="1182" t="s">
        <v>1554</v>
      </c>
      <c r="P796" s="1182" t="s">
        <v>1553</v>
      </c>
      <c r="Q796" s="1182" t="s">
        <v>1559</v>
      </c>
      <c r="R796" s="1182" t="s">
        <v>1559</v>
      </c>
      <c r="S796" s="1182" t="s">
        <v>1639</v>
      </c>
      <c r="T796" s="1182" t="s">
        <v>1814</v>
      </c>
      <c r="U796" s="1182" t="s">
        <v>1815</v>
      </c>
      <c r="V796" s="1182">
        <v>0</v>
      </c>
      <c r="W796" s="1182">
        <v>0</v>
      </c>
      <c r="X796" s="1182">
        <v>0</v>
      </c>
      <c r="Y796" s="1182">
        <v>764</v>
      </c>
      <c r="Z796" s="1182" t="s">
        <v>4288</v>
      </c>
      <c r="AA796" s="1182" t="s">
        <v>4289</v>
      </c>
      <c r="AB796" s="1182">
        <v>764</v>
      </c>
      <c r="AC796" s="1182" t="s">
        <v>4193</v>
      </c>
      <c r="AD796" s="1182" t="s">
        <v>1559</v>
      </c>
      <c r="AE796" s="1182">
        <v>764</v>
      </c>
      <c r="AF796" s="1182" t="s">
        <v>1819</v>
      </c>
      <c r="AG796" s="1182" t="s">
        <v>1820</v>
      </c>
      <c r="AH796" s="1182">
        <v>69</v>
      </c>
      <c r="AI796" s="1182">
        <v>695</v>
      </c>
      <c r="AJ796" s="1182" t="s">
        <v>4216</v>
      </c>
      <c r="AL796" s="1182" t="s">
        <v>4313</v>
      </c>
      <c r="AM796" s="1182">
        <v>1</v>
      </c>
      <c r="AN796" s="1182">
        <v>0</v>
      </c>
      <c r="AO796" s="1182">
        <v>0</v>
      </c>
      <c r="AP796" s="1182">
        <v>0</v>
      </c>
      <c r="AQ796" s="1182" t="s">
        <v>1639</v>
      </c>
      <c r="AS796" s="1182" t="s">
        <v>1819</v>
      </c>
      <c r="AT796" s="1182" t="s">
        <v>1820</v>
      </c>
      <c r="AV796" s="1183">
        <v>0</v>
      </c>
      <c r="AW796" s="1183">
        <v>0</v>
      </c>
      <c r="AX796" s="1183">
        <v>0</v>
      </c>
      <c r="AY796" s="1538">
        <v>0</v>
      </c>
      <c r="AZ796" s="1183">
        <v>0</v>
      </c>
      <c r="BA796" s="1183">
        <v>764</v>
      </c>
      <c r="BB796" s="1540">
        <v>764</v>
      </c>
      <c r="BC796" s="1540">
        <v>764</v>
      </c>
      <c r="BD796" s="1540">
        <v>0</v>
      </c>
      <c r="BF796" s="1539">
        <f t="shared" si="153"/>
        <v>0</v>
      </c>
      <c r="BG796" s="1539">
        <f t="shared" si="154"/>
        <v>0</v>
      </c>
      <c r="BH796" s="1539">
        <f t="shared" si="155"/>
        <v>0</v>
      </c>
      <c r="BI796" s="1539">
        <f t="shared" si="156"/>
        <v>0</v>
      </c>
      <c r="BJ796" s="1539">
        <f t="shared" si="157"/>
        <v>0</v>
      </c>
      <c r="BK796" s="1539">
        <f t="shared" si="158"/>
        <v>695</v>
      </c>
      <c r="BL796" s="1539">
        <f t="shared" si="159"/>
        <v>695</v>
      </c>
      <c r="BM796" s="1539">
        <f t="shared" si="160"/>
        <v>695</v>
      </c>
      <c r="BO796" s="1556">
        <f t="shared" si="164"/>
        <v>-0.45454545454549589</v>
      </c>
      <c r="BQ796" s="1182">
        <f t="shared" si="161"/>
        <v>0</v>
      </c>
      <c r="BR796" s="1182">
        <f t="shared" si="162"/>
        <v>-0.45454545454549589</v>
      </c>
    </row>
    <row r="797" spans="1:70">
      <c r="A797" s="1182" t="s">
        <v>1803</v>
      </c>
      <c r="B797" s="1182" t="s">
        <v>1804</v>
      </c>
      <c r="C797" s="1182" t="s">
        <v>1639</v>
      </c>
      <c r="D797" s="1182" t="s">
        <v>2590</v>
      </c>
      <c r="E797" s="1182" t="s">
        <v>2591</v>
      </c>
      <c r="F797" s="1182" t="s">
        <v>4201</v>
      </c>
      <c r="G797" s="1182" t="s">
        <v>4201</v>
      </c>
      <c r="H797" s="1182" t="s">
        <v>4316</v>
      </c>
      <c r="I797" s="1182" t="s">
        <v>1809</v>
      </c>
      <c r="J797" s="1182" t="s">
        <v>4317</v>
      </c>
      <c r="K797" s="1182" t="s">
        <v>1811</v>
      </c>
      <c r="L797" s="1182" t="s">
        <v>1812</v>
      </c>
      <c r="M797" s="1182" t="s">
        <v>1803</v>
      </c>
      <c r="N797" s="1182" t="s">
        <v>4190</v>
      </c>
      <c r="O797" s="1182" t="s">
        <v>1554</v>
      </c>
      <c r="P797" s="1182" t="s">
        <v>1553</v>
      </c>
      <c r="Q797" s="1182" t="s">
        <v>1559</v>
      </c>
      <c r="R797" s="1182" t="s">
        <v>1559</v>
      </c>
      <c r="S797" s="1182" t="s">
        <v>1639</v>
      </c>
      <c r="T797" s="1182" t="s">
        <v>1814</v>
      </c>
      <c r="U797" s="1182" t="s">
        <v>1815</v>
      </c>
      <c r="V797" s="1182">
        <v>0</v>
      </c>
      <c r="W797" s="1182">
        <v>0</v>
      </c>
      <c r="X797" s="1182">
        <v>0</v>
      </c>
      <c r="Y797" s="1182">
        <v>31388</v>
      </c>
      <c r="Z797" s="1182" t="s">
        <v>4288</v>
      </c>
      <c r="AA797" s="1182" t="s">
        <v>4289</v>
      </c>
      <c r="AB797" s="1182">
        <v>31388</v>
      </c>
      <c r="AC797" s="1182" t="s">
        <v>4193</v>
      </c>
      <c r="AD797" s="1182" t="s">
        <v>1559</v>
      </c>
      <c r="AE797" s="1182">
        <v>31388</v>
      </c>
      <c r="AF797" s="1182" t="s">
        <v>1819</v>
      </c>
      <c r="AG797" s="1182" t="s">
        <v>1820</v>
      </c>
      <c r="AH797" s="1182">
        <v>2850</v>
      </c>
      <c r="AI797" s="1182">
        <v>28538</v>
      </c>
      <c r="AJ797" s="1182" t="s">
        <v>4216</v>
      </c>
      <c r="AL797" s="1182" t="s">
        <v>4318</v>
      </c>
      <c r="AM797" s="1182">
        <v>1</v>
      </c>
      <c r="AN797" s="1182">
        <v>0</v>
      </c>
      <c r="AO797" s="1182">
        <v>0</v>
      </c>
      <c r="AP797" s="1182">
        <v>0</v>
      </c>
      <c r="AQ797" s="1182" t="s">
        <v>1639</v>
      </c>
      <c r="AS797" s="1182" t="s">
        <v>1819</v>
      </c>
      <c r="AT797" s="1182" t="s">
        <v>1820</v>
      </c>
      <c r="AV797" s="1183">
        <v>0</v>
      </c>
      <c r="AW797" s="1183">
        <v>0</v>
      </c>
      <c r="AX797" s="1183">
        <v>0</v>
      </c>
      <c r="AY797" s="1538">
        <v>0</v>
      </c>
      <c r="AZ797" s="1183">
        <v>0</v>
      </c>
      <c r="BA797" s="1183">
        <v>31388</v>
      </c>
      <c r="BB797" s="1540">
        <v>31388</v>
      </c>
      <c r="BC797" s="1540">
        <v>31388</v>
      </c>
      <c r="BD797" s="1540">
        <v>0</v>
      </c>
      <c r="BF797" s="1539">
        <f t="shared" si="153"/>
        <v>0</v>
      </c>
      <c r="BG797" s="1539">
        <f t="shared" si="154"/>
        <v>0</v>
      </c>
      <c r="BH797" s="1539">
        <f t="shared" si="155"/>
        <v>0</v>
      </c>
      <c r="BI797" s="1539">
        <f t="shared" si="156"/>
        <v>0</v>
      </c>
      <c r="BJ797" s="1539">
        <f t="shared" si="157"/>
        <v>0</v>
      </c>
      <c r="BK797" s="1563">
        <f>+IFERROR(ROUND(BA797*100/(100+$AT797),0),BA797)-1</f>
        <v>28534</v>
      </c>
      <c r="BL797" s="1539">
        <f t="shared" si="159"/>
        <v>28534</v>
      </c>
      <c r="BM797" s="1539">
        <f t="shared" si="160"/>
        <v>28534</v>
      </c>
      <c r="BO797" s="1556">
        <f t="shared" si="164"/>
        <v>0.54545454545586836</v>
      </c>
      <c r="BQ797" s="1182">
        <f t="shared" si="161"/>
        <v>0</v>
      </c>
      <c r="BR797" s="1182">
        <f t="shared" si="162"/>
        <v>0.54545454545586836</v>
      </c>
    </row>
    <row r="798" spans="1:70">
      <c r="A798" s="1182" t="s">
        <v>1803</v>
      </c>
      <c r="B798" s="1182" t="s">
        <v>1804</v>
      </c>
      <c r="C798" s="1182" t="s">
        <v>1639</v>
      </c>
      <c r="D798" s="1182" t="s">
        <v>2590</v>
      </c>
      <c r="E798" s="1182" t="s">
        <v>2591</v>
      </c>
      <c r="F798" s="1182" t="s">
        <v>4319</v>
      </c>
      <c r="G798" s="1182" t="s">
        <v>4319</v>
      </c>
      <c r="H798" s="1182" t="s">
        <v>4320</v>
      </c>
      <c r="I798" s="1182" t="s">
        <v>1809</v>
      </c>
      <c r="J798" s="1182" t="s">
        <v>4321</v>
      </c>
      <c r="K798" s="1182" t="s">
        <v>1811</v>
      </c>
      <c r="L798" s="1182" t="s">
        <v>1812</v>
      </c>
      <c r="M798" s="1182" t="s">
        <v>1803</v>
      </c>
      <c r="N798" s="1182" t="s">
        <v>4190</v>
      </c>
      <c r="O798" s="1182" t="s">
        <v>1554</v>
      </c>
      <c r="P798" s="1182" t="s">
        <v>1553</v>
      </c>
      <c r="Q798" s="1182" t="s">
        <v>1559</v>
      </c>
      <c r="R798" s="1182" t="s">
        <v>1559</v>
      </c>
      <c r="S798" s="1182" t="s">
        <v>1639</v>
      </c>
      <c r="T798" s="1182" t="s">
        <v>1814</v>
      </c>
      <c r="U798" s="1182" t="s">
        <v>1815</v>
      </c>
      <c r="V798" s="1182">
        <v>0</v>
      </c>
      <c r="W798" s="1182">
        <v>0</v>
      </c>
      <c r="X798" s="1182">
        <v>0</v>
      </c>
      <c r="Y798" s="1182">
        <v>275042</v>
      </c>
      <c r="Z798" s="1182" t="s">
        <v>4288</v>
      </c>
      <c r="AA798" s="1182" t="s">
        <v>4289</v>
      </c>
      <c r="AB798" s="1182">
        <v>275042</v>
      </c>
      <c r="AC798" s="1182" t="s">
        <v>4193</v>
      </c>
      <c r="AD798" s="1182" t="s">
        <v>1559</v>
      </c>
      <c r="AE798" s="1182">
        <v>275042</v>
      </c>
      <c r="AF798" s="1182" t="s">
        <v>1819</v>
      </c>
      <c r="AG798" s="1182" t="s">
        <v>1820</v>
      </c>
      <c r="AH798" s="1182">
        <v>25628</v>
      </c>
      <c r="AI798" s="1182">
        <v>249414</v>
      </c>
      <c r="AJ798" s="1182" t="s">
        <v>4216</v>
      </c>
      <c r="AL798" s="1182" t="s">
        <v>4322</v>
      </c>
      <c r="AM798" s="1182">
        <v>1</v>
      </c>
      <c r="AN798" s="1182">
        <v>0</v>
      </c>
      <c r="AO798" s="1182">
        <v>0</v>
      </c>
      <c r="AP798" s="1182">
        <v>0</v>
      </c>
      <c r="AQ798" s="1182" t="s">
        <v>1639</v>
      </c>
      <c r="AS798" s="1182" t="s">
        <v>1819</v>
      </c>
      <c r="AT798" s="1182" t="s">
        <v>1820</v>
      </c>
      <c r="AV798" s="1183">
        <v>0</v>
      </c>
      <c r="AW798" s="1183">
        <v>0</v>
      </c>
      <c r="AX798" s="1183">
        <v>0</v>
      </c>
      <c r="AY798" s="1538">
        <v>0</v>
      </c>
      <c r="AZ798" s="1183">
        <v>0</v>
      </c>
      <c r="BA798" s="1183">
        <v>275042</v>
      </c>
      <c r="BB798" s="1540">
        <v>275042</v>
      </c>
      <c r="BC798" s="1540">
        <v>275042</v>
      </c>
      <c r="BD798" s="1540">
        <v>0</v>
      </c>
      <c r="BF798" s="1539">
        <f t="shared" si="153"/>
        <v>0</v>
      </c>
      <c r="BG798" s="1539">
        <f t="shared" si="154"/>
        <v>0</v>
      </c>
      <c r="BH798" s="1539">
        <f t="shared" si="155"/>
        <v>0</v>
      </c>
      <c r="BI798" s="1539">
        <f t="shared" si="156"/>
        <v>0</v>
      </c>
      <c r="BJ798" s="1539">
        <f t="shared" si="157"/>
        <v>0</v>
      </c>
      <c r="BK798" s="1539">
        <f t="shared" si="158"/>
        <v>250038</v>
      </c>
      <c r="BL798" s="1539">
        <f t="shared" si="159"/>
        <v>250038</v>
      </c>
      <c r="BM798" s="1539">
        <f t="shared" si="160"/>
        <v>250038</v>
      </c>
      <c r="BO798" s="1556">
        <f t="shared" si="164"/>
        <v>0.18181818182347342</v>
      </c>
      <c r="BQ798" s="1182">
        <f t="shared" si="161"/>
        <v>0</v>
      </c>
      <c r="BR798" s="1182">
        <f t="shared" si="162"/>
        <v>0.18181818182347342</v>
      </c>
    </row>
    <row r="799" spans="1:70">
      <c r="A799" s="1182" t="s">
        <v>1803</v>
      </c>
      <c r="B799" s="1182" t="s">
        <v>1804</v>
      </c>
      <c r="C799" s="1182" t="s">
        <v>1639</v>
      </c>
      <c r="D799" s="1182" t="s">
        <v>2590</v>
      </c>
      <c r="E799" s="1182" t="s">
        <v>2591</v>
      </c>
      <c r="F799" s="1182" t="s">
        <v>4201</v>
      </c>
      <c r="G799" s="1182" t="s">
        <v>4201</v>
      </c>
      <c r="H799" s="1182" t="s">
        <v>4323</v>
      </c>
      <c r="I799" s="1182" t="s">
        <v>1809</v>
      </c>
      <c r="J799" s="1182" t="s">
        <v>4326</v>
      </c>
      <c r="K799" s="1182" t="s">
        <v>1811</v>
      </c>
      <c r="L799" s="1182" t="s">
        <v>1812</v>
      </c>
      <c r="M799" s="1182" t="s">
        <v>1803</v>
      </c>
      <c r="N799" s="1182" t="s">
        <v>4190</v>
      </c>
      <c r="O799" s="1182" t="s">
        <v>1554</v>
      </c>
      <c r="P799" s="1182" t="s">
        <v>1553</v>
      </c>
      <c r="Q799" s="1182" t="s">
        <v>1559</v>
      </c>
      <c r="R799" s="1182" t="s">
        <v>1559</v>
      </c>
      <c r="S799" s="1182" t="s">
        <v>1639</v>
      </c>
      <c r="T799" s="1182" t="s">
        <v>1814</v>
      </c>
      <c r="U799" s="1182" t="s">
        <v>1815</v>
      </c>
      <c r="V799" s="1182">
        <v>0</v>
      </c>
      <c r="W799" s="1182">
        <v>0</v>
      </c>
      <c r="X799" s="1182">
        <v>0</v>
      </c>
      <c r="Y799" s="1182">
        <v>2304</v>
      </c>
      <c r="Z799" s="1182" t="s">
        <v>4288</v>
      </c>
      <c r="AA799" s="1182" t="s">
        <v>4289</v>
      </c>
      <c r="AB799" s="1182">
        <v>2304</v>
      </c>
      <c r="AC799" s="1182" t="s">
        <v>4193</v>
      </c>
      <c r="AD799" s="1182" t="s">
        <v>1559</v>
      </c>
      <c r="AE799" s="1182">
        <v>2304</v>
      </c>
      <c r="AF799" s="1182" t="s">
        <v>1819</v>
      </c>
      <c r="AG799" s="1182" t="s">
        <v>1820</v>
      </c>
      <c r="AH799" s="1182">
        <v>209</v>
      </c>
      <c r="AI799" s="1182">
        <v>2095</v>
      </c>
      <c r="AJ799" s="1182" t="s">
        <v>4216</v>
      </c>
      <c r="AL799" s="1182" t="s">
        <v>4327</v>
      </c>
      <c r="AM799" s="1182">
        <v>1</v>
      </c>
      <c r="AN799" s="1182">
        <v>0</v>
      </c>
      <c r="AO799" s="1182">
        <v>0</v>
      </c>
      <c r="AP799" s="1182">
        <v>0</v>
      </c>
      <c r="AQ799" s="1182" t="s">
        <v>1639</v>
      </c>
      <c r="AS799" s="1182" t="s">
        <v>1819</v>
      </c>
      <c r="AT799" s="1182" t="s">
        <v>1820</v>
      </c>
      <c r="AV799" s="1183">
        <v>0</v>
      </c>
      <c r="AW799" s="1183">
        <v>0</v>
      </c>
      <c r="AX799" s="1183">
        <v>0</v>
      </c>
      <c r="AY799" s="1538">
        <v>0</v>
      </c>
      <c r="AZ799" s="1183">
        <v>0</v>
      </c>
      <c r="BA799" s="1183">
        <v>2304</v>
      </c>
      <c r="BB799" s="1540">
        <v>2304</v>
      </c>
      <c r="BC799" s="1540">
        <v>2304</v>
      </c>
      <c r="BD799" s="1540">
        <v>0</v>
      </c>
      <c r="BF799" s="1539">
        <f t="shared" si="153"/>
        <v>0</v>
      </c>
      <c r="BG799" s="1539">
        <f t="shared" si="154"/>
        <v>0</v>
      </c>
      <c r="BH799" s="1539">
        <f t="shared" si="155"/>
        <v>0</v>
      </c>
      <c r="BI799" s="1539">
        <f t="shared" si="156"/>
        <v>0</v>
      </c>
      <c r="BJ799" s="1539">
        <f t="shared" si="157"/>
        <v>0</v>
      </c>
      <c r="BK799" s="1539">
        <f t="shared" si="158"/>
        <v>2095</v>
      </c>
      <c r="BL799" s="1539">
        <f t="shared" si="159"/>
        <v>2095</v>
      </c>
      <c r="BM799" s="1539">
        <f t="shared" si="160"/>
        <v>2095</v>
      </c>
      <c r="BO799" s="1556">
        <f t="shared" si="164"/>
        <v>-0.45454545454549589</v>
      </c>
      <c r="BQ799" s="1182">
        <f t="shared" si="161"/>
        <v>0</v>
      </c>
      <c r="BR799" s="1182">
        <f t="shared" si="162"/>
        <v>-0.45454545454549589</v>
      </c>
    </row>
    <row r="800" spans="1:70">
      <c r="A800" s="1182" t="s">
        <v>1803</v>
      </c>
      <c r="B800" s="1182" t="s">
        <v>1804</v>
      </c>
      <c r="C800" s="1182" t="s">
        <v>1639</v>
      </c>
      <c r="D800" s="1182" t="s">
        <v>2590</v>
      </c>
      <c r="E800" s="1182" t="s">
        <v>2591</v>
      </c>
      <c r="F800" s="1182" t="s">
        <v>2665</v>
      </c>
      <c r="G800" s="1182" t="s">
        <v>2665</v>
      </c>
      <c r="H800" s="1182" t="s">
        <v>4323</v>
      </c>
      <c r="I800" s="1182" t="s">
        <v>1809</v>
      </c>
      <c r="J800" s="1182" t="s">
        <v>4324</v>
      </c>
      <c r="K800" s="1182" t="s">
        <v>1811</v>
      </c>
      <c r="L800" s="1182" t="s">
        <v>1812</v>
      </c>
      <c r="M800" s="1182" t="s">
        <v>1803</v>
      </c>
      <c r="N800" s="1182" t="s">
        <v>4190</v>
      </c>
      <c r="O800" s="1182" t="s">
        <v>1554</v>
      </c>
      <c r="P800" s="1182" t="s">
        <v>1553</v>
      </c>
      <c r="Q800" s="1182" t="s">
        <v>1559</v>
      </c>
      <c r="R800" s="1182" t="s">
        <v>1559</v>
      </c>
      <c r="S800" s="1182" t="s">
        <v>1639</v>
      </c>
      <c r="T800" s="1182" t="s">
        <v>1814</v>
      </c>
      <c r="U800" s="1182" t="s">
        <v>1815</v>
      </c>
      <c r="V800" s="1182">
        <v>0</v>
      </c>
      <c r="W800" s="1182">
        <v>0</v>
      </c>
      <c r="X800" s="1182">
        <v>0</v>
      </c>
      <c r="Y800" s="1182">
        <v>3058</v>
      </c>
      <c r="Z800" s="1182" t="s">
        <v>4288</v>
      </c>
      <c r="AA800" s="1182" t="s">
        <v>4289</v>
      </c>
      <c r="AB800" s="1182">
        <v>3058</v>
      </c>
      <c r="AC800" s="1182" t="s">
        <v>4193</v>
      </c>
      <c r="AD800" s="1182" t="s">
        <v>1559</v>
      </c>
      <c r="AE800" s="1182">
        <v>3058</v>
      </c>
      <c r="AF800" s="1182" t="s">
        <v>1819</v>
      </c>
      <c r="AG800" s="1182" t="s">
        <v>1820</v>
      </c>
      <c r="AH800" s="1182">
        <v>278</v>
      </c>
      <c r="AI800" s="1182">
        <v>2780</v>
      </c>
      <c r="AJ800" s="1182" t="s">
        <v>4216</v>
      </c>
      <c r="AL800" s="1182" t="s">
        <v>4325</v>
      </c>
      <c r="AM800" s="1182">
        <v>1</v>
      </c>
      <c r="AN800" s="1182">
        <v>0</v>
      </c>
      <c r="AO800" s="1182">
        <v>0</v>
      </c>
      <c r="AP800" s="1182">
        <v>0</v>
      </c>
      <c r="AQ800" s="1182" t="s">
        <v>1639</v>
      </c>
      <c r="AS800" s="1182" t="s">
        <v>1819</v>
      </c>
      <c r="AT800" s="1182" t="s">
        <v>1820</v>
      </c>
      <c r="AV800" s="1183">
        <v>0</v>
      </c>
      <c r="AW800" s="1183">
        <v>0</v>
      </c>
      <c r="AX800" s="1183">
        <v>0</v>
      </c>
      <c r="AY800" s="1538">
        <v>0</v>
      </c>
      <c r="AZ800" s="1183">
        <v>0</v>
      </c>
      <c r="BA800" s="1183">
        <v>3058</v>
      </c>
      <c r="BB800" s="1540">
        <v>3058</v>
      </c>
      <c r="BC800" s="1540">
        <v>3058</v>
      </c>
      <c r="BD800" s="1540">
        <v>0</v>
      </c>
      <c r="BF800" s="1539">
        <f t="shared" si="153"/>
        <v>0</v>
      </c>
      <c r="BG800" s="1539">
        <f t="shared" si="154"/>
        <v>0</v>
      </c>
      <c r="BH800" s="1539">
        <f t="shared" si="155"/>
        <v>0</v>
      </c>
      <c r="BI800" s="1539">
        <f t="shared" si="156"/>
        <v>0</v>
      </c>
      <c r="BJ800" s="1539">
        <f t="shared" si="157"/>
        <v>0</v>
      </c>
      <c r="BK800" s="1539">
        <f t="shared" si="158"/>
        <v>2780</v>
      </c>
      <c r="BL800" s="1539">
        <f t="shared" si="159"/>
        <v>2780</v>
      </c>
      <c r="BM800" s="1539">
        <f t="shared" si="160"/>
        <v>2780</v>
      </c>
      <c r="BO800" s="1556">
        <f t="shared" si="164"/>
        <v>0</v>
      </c>
      <c r="BQ800" s="1182">
        <f t="shared" si="161"/>
        <v>0</v>
      </c>
      <c r="BR800" s="1182">
        <f t="shared" si="162"/>
        <v>0</v>
      </c>
    </row>
    <row r="801" spans="1:70">
      <c r="A801" s="1182" t="s">
        <v>1803</v>
      </c>
      <c r="B801" s="1182" t="s">
        <v>1804</v>
      </c>
      <c r="C801" s="1182" t="s">
        <v>1639</v>
      </c>
      <c r="D801" s="1182" t="s">
        <v>2590</v>
      </c>
      <c r="E801" s="1182" t="s">
        <v>2591</v>
      </c>
      <c r="F801" s="1182" t="s">
        <v>4201</v>
      </c>
      <c r="G801" s="1182" t="s">
        <v>4201</v>
      </c>
      <c r="H801" s="1182" t="s">
        <v>4328</v>
      </c>
      <c r="I801" s="1182" t="s">
        <v>1809</v>
      </c>
      <c r="J801" s="1182" t="s">
        <v>4329</v>
      </c>
      <c r="K801" s="1182" t="s">
        <v>1811</v>
      </c>
      <c r="L801" s="1182" t="s">
        <v>1812</v>
      </c>
      <c r="M801" s="1182" t="s">
        <v>1803</v>
      </c>
      <c r="N801" s="1182" t="s">
        <v>4190</v>
      </c>
      <c r="O801" s="1182" t="s">
        <v>1554</v>
      </c>
      <c r="P801" s="1182" t="s">
        <v>1553</v>
      </c>
      <c r="Q801" s="1182" t="s">
        <v>1559</v>
      </c>
      <c r="R801" s="1182" t="s">
        <v>1559</v>
      </c>
      <c r="S801" s="1182" t="s">
        <v>1639</v>
      </c>
      <c r="T801" s="1182" t="s">
        <v>1814</v>
      </c>
      <c r="U801" s="1182" t="s">
        <v>1815</v>
      </c>
      <c r="V801" s="1182">
        <v>0</v>
      </c>
      <c r="W801" s="1182">
        <v>0</v>
      </c>
      <c r="X801" s="1182">
        <v>0</v>
      </c>
      <c r="Y801" s="1182">
        <v>47543</v>
      </c>
      <c r="Z801" s="1182" t="s">
        <v>4288</v>
      </c>
      <c r="AA801" s="1182" t="s">
        <v>4289</v>
      </c>
      <c r="AB801" s="1182">
        <v>47543</v>
      </c>
      <c r="AC801" s="1182" t="s">
        <v>4193</v>
      </c>
      <c r="AD801" s="1182" t="s">
        <v>1559</v>
      </c>
      <c r="AE801" s="1182">
        <v>47543</v>
      </c>
      <c r="AF801" s="1182" t="s">
        <v>1819</v>
      </c>
      <c r="AG801" s="1182" t="s">
        <v>1820</v>
      </c>
      <c r="AH801" s="1182">
        <v>4343</v>
      </c>
      <c r="AI801" s="1182">
        <v>43200</v>
      </c>
      <c r="AJ801" s="1182" t="s">
        <v>4216</v>
      </c>
      <c r="AL801" s="1182" t="s">
        <v>4330</v>
      </c>
      <c r="AM801" s="1182">
        <v>1</v>
      </c>
      <c r="AN801" s="1182">
        <v>0</v>
      </c>
      <c r="AO801" s="1182">
        <v>0</v>
      </c>
      <c r="AP801" s="1182">
        <v>0</v>
      </c>
      <c r="AQ801" s="1182" t="s">
        <v>1639</v>
      </c>
      <c r="AS801" s="1182" t="s">
        <v>1819</v>
      </c>
      <c r="AT801" s="1182" t="s">
        <v>1820</v>
      </c>
      <c r="AV801" s="1183">
        <v>0</v>
      </c>
      <c r="AW801" s="1183">
        <v>0</v>
      </c>
      <c r="AX801" s="1183">
        <v>0</v>
      </c>
      <c r="AY801" s="1538">
        <v>0</v>
      </c>
      <c r="AZ801" s="1183">
        <v>0</v>
      </c>
      <c r="BA801" s="1183">
        <v>47543</v>
      </c>
      <c r="BB801" s="1540">
        <v>47543</v>
      </c>
      <c r="BC801" s="1540">
        <v>47543</v>
      </c>
      <c r="BD801" s="1540">
        <v>0</v>
      </c>
      <c r="BF801" s="1539">
        <f t="shared" si="153"/>
        <v>0</v>
      </c>
      <c r="BG801" s="1539">
        <f t="shared" si="154"/>
        <v>0</v>
      </c>
      <c r="BH801" s="1539">
        <f t="shared" si="155"/>
        <v>0</v>
      </c>
      <c r="BI801" s="1539">
        <f t="shared" si="156"/>
        <v>0</v>
      </c>
      <c r="BJ801" s="1539">
        <f t="shared" si="157"/>
        <v>0</v>
      </c>
      <c r="BK801" s="1539">
        <f t="shared" si="158"/>
        <v>43221</v>
      </c>
      <c r="BL801" s="1539">
        <f t="shared" si="159"/>
        <v>43221</v>
      </c>
      <c r="BM801" s="1539">
        <f t="shared" si="160"/>
        <v>43221</v>
      </c>
      <c r="BO801" s="1556">
        <f t="shared" si="164"/>
        <v>-9.0909090911736712E-2</v>
      </c>
      <c r="BQ801" s="1182">
        <f t="shared" si="161"/>
        <v>0</v>
      </c>
      <c r="BR801" s="1182">
        <f t="shared" si="162"/>
        <v>-9.0909090911736712E-2</v>
      </c>
    </row>
    <row r="802" spans="1:70">
      <c r="A802" s="1182" t="s">
        <v>1803</v>
      </c>
      <c r="B802" s="1182" t="s">
        <v>1804</v>
      </c>
      <c r="C802" s="1182" t="s">
        <v>1639</v>
      </c>
      <c r="D802" s="1182" t="s">
        <v>2590</v>
      </c>
      <c r="E802" s="1182" t="s">
        <v>2591</v>
      </c>
      <c r="F802" s="1182" t="s">
        <v>2266</v>
      </c>
      <c r="G802" s="1182" t="s">
        <v>2266</v>
      </c>
      <c r="H802" s="1182" t="s">
        <v>4331</v>
      </c>
      <c r="I802" s="1182" t="s">
        <v>1809</v>
      </c>
      <c r="J802" s="1182" t="s">
        <v>4332</v>
      </c>
      <c r="K802" s="1182" t="s">
        <v>1811</v>
      </c>
      <c r="L802" s="1182" t="s">
        <v>1812</v>
      </c>
      <c r="M802" s="1182" t="s">
        <v>1803</v>
      </c>
      <c r="N802" s="1182" t="s">
        <v>4190</v>
      </c>
      <c r="O802" s="1182" t="s">
        <v>1554</v>
      </c>
      <c r="P802" s="1182" t="s">
        <v>1553</v>
      </c>
      <c r="Q802" s="1182" t="s">
        <v>1559</v>
      </c>
      <c r="R802" s="1182" t="s">
        <v>1559</v>
      </c>
      <c r="S802" s="1182" t="s">
        <v>1639</v>
      </c>
      <c r="T802" s="1182" t="s">
        <v>1814</v>
      </c>
      <c r="U802" s="1182" t="s">
        <v>1815</v>
      </c>
      <c r="V802" s="1182">
        <v>0</v>
      </c>
      <c r="W802" s="1182">
        <v>0</v>
      </c>
      <c r="X802" s="1182">
        <v>0</v>
      </c>
      <c r="Y802" s="1182">
        <v>670434</v>
      </c>
      <c r="Z802" s="1182" t="s">
        <v>4288</v>
      </c>
      <c r="AA802" s="1182" t="s">
        <v>4289</v>
      </c>
      <c r="AB802" s="1182">
        <v>670434</v>
      </c>
      <c r="AC802" s="1182" t="s">
        <v>4193</v>
      </c>
      <c r="AD802" s="1182" t="s">
        <v>1559</v>
      </c>
      <c r="AE802" s="1182">
        <v>670434</v>
      </c>
      <c r="AF802" s="1182" t="s">
        <v>1819</v>
      </c>
      <c r="AG802" s="1182" t="s">
        <v>1820</v>
      </c>
      <c r="AH802" s="1182">
        <v>60944</v>
      </c>
      <c r="AI802" s="1182">
        <v>609490</v>
      </c>
      <c r="AJ802" s="1182" t="s">
        <v>4216</v>
      </c>
      <c r="AL802" s="1182" t="s">
        <v>4333</v>
      </c>
      <c r="AM802" s="1182">
        <v>1</v>
      </c>
      <c r="AN802" s="1182">
        <v>0</v>
      </c>
      <c r="AO802" s="1182">
        <v>0</v>
      </c>
      <c r="AP802" s="1182">
        <v>0</v>
      </c>
      <c r="AQ802" s="1182" t="s">
        <v>1639</v>
      </c>
      <c r="AS802" s="1182" t="s">
        <v>1819</v>
      </c>
      <c r="AT802" s="1182" t="s">
        <v>1820</v>
      </c>
      <c r="AV802" s="1183">
        <v>0</v>
      </c>
      <c r="AW802" s="1183">
        <v>0</v>
      </c>
      <c r="AX802" s="1183">
        <v>0</v>
      </c>
      <c r="AY802" s="1538">
        <v>0</v>
      </c>
      <c r="AZ802" s="1183">
        <v>0</v>
      </c>
      <c r="BA802" s="1183">
        <v>670434</v>
      </c>
      <c r="BB802" s="1540">
        <v>670434</v>
      </c>
      <c r="BC802" s="1540">
        <v>670434</v>
      </c>
      <c r="BD802" s="1540">
        <v>0</v>
      </c>
      <c r="BF802" s="1539">
        <f t="shared" si="153"/>
        <v>0</v>
      </c>
      <c r="BG802" s="1539">
        <f t="shared" si="154"/>
        <v>0</v>
      </c>
      <c r="BH802" s="1539">
        <f t="shared" si="155"/>
        <v>0</v>
      </c>
      <c r="BI802" s="1539">
        <f t="shared" si="156"/>
        <v>0</v>
      </c>
      <c r="BJ802" s="1539">
        <f t="shared" si="157"/>
        <v>0</v>
      </c>
      <c r="BK802" s="1539">
        <f t="shared" si="158"/>
        <v>609485</v>
      </c>
      <c r="BL802" s="1539">
        <f t="shared" si="159"/>
        <v>609485</v>
      </c>
      <c r="BM802" s="1539">
        <f t="shared" si="160"/>
        <v>609485</v>
      </c>
      <c r="BO802" s="1556">
        <f t="shared" si="164"/>
        <v>0.45454545458778739</v>
      </c>
      <c r="BQ802" s="1182">
        <f t="shared" si="161"/>
        <v>0</v>
      </c>
      <c r="BR802" s="1182">
        <f t="shared" si="162"/>
        <v>0.45454545458778739</v>
      </c>
    </row>
    <row r="803" spans="1:70">
      <c r="A803" s="1182" t="s">
        <v>1803</v>
      </c>
      <c r="B803" s="1182" t="s">
        <v>1804</v>
      </c>
      <c r="C803" s="1182" t="s">
        <v>1639</v>
      </c>
      <c r="D803" s="1182" t="s">
        <v>2590</v>
      </c>
      <c r="E803" s="1182" t="s">
        <v>2591</v>
      </c>
      <c r="F803" s="1182" t="s">
        <v>4201</v>
      </c>
      <c r="G803" s="1182" t="s">
        <v>4201</v>
      </c>
      <c r="H803" s="1182" t="s">
        <v>4334</v>
      </c>
      <c r="I803" s="1182" t="s">
        <v>1809</v>
      </c>
      <c r="J803" s="1182" t="s">
        <v>4335</v>
      </c>
      <c r="K803" s="1182" t="s">
        <v>1811</v>
      </c>
      <c r="L803" s="1182" t="s">
        <v>1812</v>
      </c>
      <c r="M803" s="1182" t="s">
        <v>1803</v>
      </c>
      <c r="N803" s="1182" t="s">
        <v>4190</v>
      </c>
      <c r="O803" s="1182" t="s">
        <v>1554</v>
      </c>
      <c r="P803" s="1182" t="s">
        <v>1553</v>
      </c>
      <c r="Q803" s="1182" t="s">
        <v>1559</v>
      </c>
      <c r="R803" s="1182" t="s">
        <v>1559</v>
      </c>
      <c r="S803" s="1182" t="s">
        <v>1639</v>
      </c>
      <c r="T803" s="1182" t="s">
        <v>1814</v>
      </c>
      <c r="U803" s="1182" t="s">
        <v>1815</v>
      </c>
      <c r="V803" s="1182">
        <v>0</v>
      </c>
      <c r="W803" s="1182">
        <v>0</v>
      </c>
      <c r="X803" s="1182">
        <v>0</v>
      </c>
      <c r="Y803" s="1182">
        <v>3882</v>
      </c>
      <c r="Z803" s="1182" t="s">
        <v>4288</v>
      </c>
      <c r="AA803" s="1182" t="s">
        <v>4289</v>
      </c>
      <c r="AB803" s="1182">
        <v>3882</v>
      </c>
      <c r="AC803" s="1182" t="s">
        <v>4193</v>
      </c>
      <c r="AD803" s="1182" t="s">
        <v>1559</v>
      </c>
      <c r="AE803" s="1182">
        <v>3882</v>
      </c>
      <c r="AF803" s="1182" t="s">
        <v>1819</v>
      </c>
      <c r="AG803" s="1182" t="s">
        <v>1820</v>
      </c>
      <c r="AH803" s="1182">
        <v>352</v>
      </c>
      <c r="AI803" s="1182">
        <v>3530</v>
      </c>
      <c r="AJ803" s="1182" t="s">
        <v>4216</v>
      </c>
      <c r="AL803" s="1182" t="s">
        <v>4336</v>
      </c>
      <c r="AM803" s="1182">
        <v>1</v>
      </c>
      <c r="AN803" s="1182">
        <v>0</v>
      </c>
      <c r="AO803" s="1182">
        <v>0</v>
      </c>
      <c r="AP803" s="1182" t="s">
        <v>2949</v>
      </c>
      <c r="AQ803" s="1182" t="s">
        <v>1639</v>
      </c>
      <c r="AS803" s="1182" t="s">
        <v>1819</v>
      </c>
      <c r="AT803" s="1182" t="s">
        <v>1820</v>
      </c>
      <c r="AV803" s="1183">
        <v>0</v>
      </c>
      <c r="AW803" s="1183">
        <v>0</v>
      </c>
      <c r="AX803" s="1183">
        <v>0</v>
      </c>
      <c r="AY803" s="1538">
        <v>0</v>
      </c>
      <c r="AZ803" s="1183">
        <v>0</v>
      </c>
      <c r="BA803" s="1183">
        <v>3882</v>
      </c>
      <c r="BB803" s="1540">
        <v>3882</v>
      </c>
      <c r="BC803" s="1540">
        <v>3882</v>
      </c>
      <c r="BD803" s="1540">
        <v>0</v>
      </c>
      <c r="BF803" s="1539">
        <f t="shared" si="153"/>
        <v>0</v>
      </c>
      <c r="BG803" s="1539">
        <f t="shared" si="154"/>
        <v>0</v>
      </c>
      <c r="BH803" s="1539">
        <f t="shared" si="155"/>
        <v>0</v>
      </c>
      <c r="BI803" s="1539">
        <f t="shared" si="156"/>
        <v>0</v>
      </c>
      <c r="BJ803" s="1539">
        <f t="shared" si="157"/>
        <v>0</v>
      </c>
      <c r="BK803" s="1539">
        <f t="shared" si="158"/>
        <v>3529</v>
      </c>
      <c r="BL803" s="1539">
        <f t="shared" si="159"/>
        <v>3529</v>
      </c>
      <c r="BM803" s="1539">
        <f t="shared" si="160"/>
        <v>3529</v>
      </c>
      <c r="BO803" s="1556">
        <f t="shared" si="164"/>
        <v>9.0909090909008228E-2</v>
      </c>
      <c r="BQ803" s="1182">
        <f t="shared" si="161"/>
        <v>0</v>
      </c>
      <c r="BR803" s="1182">
        <f t="shared" si="162"/>
        <v>9.0909090909008228E-2</v>
      </c>
    </row>
    <row r="804" spans="1:70">
      <c r="A804" s="1182" t="s">
        <v>1803</v>
      </c>
      <c r="B804" s="1182" t="s">
        <v>1804</v>
      </c>
      <c r="C804" s="1182" t="s">
        <v>1639</v>
      </c>
      <c r="D804" s="1182" t="s">
        <v>2590</v>
      </c>
      <c r="E804" s="1182" t="s">
        <v>2591</v>
      </c>
      <c r="F804" s="1182" t="s">
        <v>4201</v>
      </c>
      <c r="G804" s="1182" t="s">
        <v>4201</v>
      </c>
      <c r="H804" s="1182" t="s">
        <v>4337</v>
      </c>
      <c r="I804" s="1182" t="s">
        <v>1809</v>
      </c>
      <c r="J804" s="1182" t="s">
        <v>4342</v>
      </c>
      <c r="K804" s="1182" t="s">
        <v>1811</v>
      </c>
      <c r="L804" s="1182" t="s">
        <v>1812</v>
      </c>
      <c r="M804" s="1182" t="s">
        <v>1803</v>
      </c>
      <c r="N804" s="1182" t="s">
        <v>4190</v>
      </c>
      <c r="O804" s="1182" t="s">
        <v>1554</v>
      </c>
      <c r="P804" s="1182" t="s">
        <v>1553</v>
      </c>
      <c r="Q804" s="1182" t="s">
        <v>1559</v>
      </c>
      <c r="R804" s="1182" t="s">
        <v>1559</v>
      </c>
      <c r="S804" s="1182" t="s">
        <v>1639</v>
      </c>
      <c r="T804" s="1182" t="s">
        <v>1814</v>
      </c>
      <c r="U804" s="1182" t="s">
        <v>1815</v>
      </c>
      <c r="V804" s="1182">
        <v>0</v>
      </c>
      <c r="W804" s="1182">
        <v>0</v>
      </c>
      <c r="X804" s="1182">
        <v>0</v>
      </c>
      <c r="Y804" s="1182">
        <v>5439</v>
      </c>
      <c r="Z804" s="1182" t="s">
        <v>4288</v>
      </c>
      <c r="AA804" s="1182" t="s">
        <v>4289</v>
      </c>
      <c r="AB804" s="1182">
        <v>5439</v>
      </c>
      <c r="AC804" s="1182" t="s">
        <v>4193</v>
      </c>
      <c r="AD804" s="1182" t="s">
        <v>1559</v>
      </c>
      <c r="AE804" s="1182">
        <v>5439</v>
      </c>
      <c r="AF804" s="1182" t="s">
        <v>1819</v>
      </c>
      <c r="AG804" s="1182" t="s">
        <v>1820</v>
      </c>
      <c r="AH804" s="1182">
        <v>494</v>
      </c>
      <c r="AI804" s="1182">
        <v>4945</v>
      </c>
      <c r="AJ804" s="1182" t="s">
        <v>4216</v>
      </c>
      <c r="AL804" s="1182" t="s">
        <v>4343</v>
      </c>
      <c r="AM804" s="1182">
        <v>1</v>
      </c>
      <c r="AN804" s="1182">
        <v>0</v>
      </c>
      <c r="AO804" s="1182">
        <v>0</v>
      </c>
      <c r="AP804" s="1182">
        <v>0</v>
      </c>
      <c r="AQ804" s="1182" t="s">
        <v>1639</v>
      </c>
      <c r="AS804" s="1182" t="s">
        <v>1819</v>
      </c>
      <c r="AT804" s="1182" t="s">
        <v>1820</v>
      </c>
      <c r="AV804" s="1183">
        <v>0</v>
      </c>
      <c r="AW804" s="1183">
        <v>0</v>
      </c>
      <c r="AX804" s="1183">
        <v>0</v>
      </c>
      <c r="AY804" s="1538">
        <v>0</v>
      </c>
      <c r="AZ804" s="1183">
        <v>0</v>
      </c>
      <c r="BA804" s="1183">
        <v>5439</v>
      </c>
      <c r="BB804" s="1540">
        <v>5439</v>
      </c>
      <c r="BC804" s="1540">
        <v>5439</v>
      </c>
      <c r="BD804" s="1540">
        <v>0</v>
      </c>
      <c r="BF804" s="1539">
        <f t="shared" si="153"/>
        <v>0</v>
      </c>
      <c r="BG804" s="1539">
        <f t="shared" si="154"/>
        <v>0</v>
      </c>
      <c r="BH804" s="1539">
        <f t="shared" si="155"/>
        <v>0</v>
      </c>
      <c r="BI804" s="1539">
        <f t="shared" si="156"/>
        <v>0</v>
      </c>
      <c r="BJ804" s="1539">
        <f t="shared" si="157"/>
        <v>0</v>
      </c>
      <c r="BK804" s="1539">
        <f t="shared" si="158"/>
        <v>4945</v>
      </c>
      <c r="BL804" s="1539">
        <f t="shared" si="159"/>
        <v>4945</v>
      </c>
      <c r="BM804" s="1539">
        <f t="shared" si="160"/>
        <v>4945</v>
      </c>
      <c r="BO804" s="1556">
        <f t="shared" si="164"/>
        <v>-0.45454545454504114</v>
      </c>
      <c r="BQ804" s="1182">
        <f t="shared" si="161"/>
        <v>0</v>
      </c>
      <c r="BR804" s="1182">
        <f t="shared" si="162"/>
        <v>-0.45454545454504114</v>
      </c>
    </row>
    <row r="805" spans="1:70">
      <c r="A805" s="1182" t="s">
        <v>1803</v>
      </c>
      <c r="B805" s="1182" t="s">
        <v>1804</v>
      </c>
      <c r="C805" s="1182" t="s">
        <v>1639</v>
      </c>
      <c r="D805" s="1182" t="s">
        <v>2590</v>
      </c>
      <c r="E805" s="1182" t="s">
        <v>2591</v>
      </c>
      <c r="F805" s="1182" t="s">
        <v>4201</v>
      </c>
      <c r="G805" s="1182" t="s">
        <v>4201</v>
      </c>
      <c r="H805" s="1182" t="s">
        <v>4337</v>
      </c>
      <c r="I805" s="1182" t="s">
        <v>1809</v>
      </c>
      <c r="J805" s="1182" t="s">
        <v>4340</v>
      </c>
      <c r="K805" s="1182" t="s">
        <v>1811</v>
      </c>
      <c r="L805" s="1182" t="s">
        <v>1812</v>
      </c>
      <c r="M805" s="1182" t="s">
        <v>1803</v>
      </c>
      <c r="N805" s="1182" t="s">
        <v>4190</v>
      </c>
      <c r="O805" s="1182" t="s">
        <v>1554</v>
      </c>
      <c r="P805" s="1182" t="s">
        <v>1553</v>
      </c>
      <c r="Q805" s="1182" t="s">
        <v>1559</v>
      </c>
      <c r="R805" s="1182" t="s">
        <v>1559</v>
      </c>
      <c r="S805" s="1182" t="s">
        <v>1639</v>
      </c>
      <c r="T805" s="1182" t="s">
        <v>1814</v>
      </c>
      <c r="U805" s="1182" t="s">
        <v>1815</v>
      </c>
      <c r="V805" s="1182">
        <v>0</v>
      </c>
      <c r="W805" s="1182">
        <v>0</v>
      </c>
      <c r="X805" s="1182">
        <v>0</v>
      </c>
      <c r="Y805" s="1182">
        <v>4586</v>
      </c>
      <c r="Z805" s="1182" t="s">
        <v>4288</v>
      </c>
      <c r="AA805" s="1182" t="s">
        <v>4289</v>
      </c>
      <c r="AB805" s="1182">
        <v>4586</v>
      </c>
      <c r="AC805" s="1182" t="s">
        <v>4193</v>
      </c>
      <c r="AD805" s="1182" t="s">
        <v>1559</v>
      </c>
      <c r="AE805" s="1182">
        <v>4586</v>
      </c>
      <c r="AF805" s="1182" t="s">
        <v>1819</v>
      </c>
      <c r="AG805" s="1182" t="s">
        <v>1820</v>
      </c>
      <c r="AH805" s="1182">
        <v>416</v>
      </c>
      <c r="AI805" s="1182">
        <v>4170</v>
      </c>
      <c r="AJ805" s="1182" t="s">
        <v>4216</v>
      </c>
      <c r="AL805" s="1182" t="s">
        <v>4341</v>
      </c>
      <c r="AM805" s="1182">
        <v>1</v>
      </c>
      <c r="AN805" s="1182">
        <v>0</v>
      </c>
      <c r="AO805" s="1182">
        <v>0</v>
      </c>
      <c r="AP805" s="1182">
        <v>0</v>
      </c>
      <c r="AQ805" s="1182" t="s">
        <v>1639</v>
      </c>
      <c r="AS805" s="1182" t="s">
        <v>1819</v>
      </c>
      <c r="AT805" s="1182" t="s">
        <v>1820</v>
      </c>
      <c r="AV805" s="1183">
        <v>0</v>
      </c>
      <c r="AW805" s="1183">
        <v>0</v>
      </c>
      <c r="AX805" s="1183">
        <v>0</v>
      </c>
      <c r="AY805" s="1538">
        <v>0</v>
      </c>
      <c r="AZ805" s="1183">
        <v>0</v>
      </c>
      <c r="BA805" s="1183">
        <v>4586</v>
      </c>
      <c r="BB805" s="1540">
        <v>4586</v>
      </c>
      <c r="BC805" s="1540">
        <v>4586</v>
      </c>
      <c r="BD805" s="1540">
        <v>0</v>
      </c>
      <c r="BF805" s="1539">
        <f t="shared" si="153"/>
        <v>0</v>
      </c>
      <c r="BG805" s="1539">
        <f t="shared" si="154"/>
        <v>0</v>
      </c>
      <c r="BH805" s="1539">
        <f t="shared" si="155"/>
        <v>0</v>
      </c>
      <c r="BI805" s="1539">
        <f t="shared" si="156"/>
        <v>0</v>
      </c>
      <c r="BJ805" s="1539">
        <f t="shared" si="157"/>
        <v>0</v>
      </c>
      <c r="BK805" s="1539">
        <f t="shared" si="158"/>
        <v>4169</v>
      </c>
      <c r="BL805" s="1539">
        <f t="shared" si="159"/>
        <v>4169</v>
      </c>
      <c r="BM805" s="1539">
        <f t="shared" si="160"/>
        <v>4169</v>
      </c>
      <c r="BO805" s="1556">
        <f t="shared" si="164"/>
        <v>9.0909090909008228E-2</v>
      </c>
      <c r="BQ805" s="1182">
        <f t="shared" si="161"/>
        <v>0</v>
      </c>
      <c r="BR805" s="1182">
        <f t="shared" si="162"/>
        <v>9.0909090909008228E-2</v>
      </c>
    </row>
    <row r="806" spans="1:70">
      <c r="A806" s="1182" t="s">
        <v>1803</v>
      </c>
      <c r="B806" s="1182" t="s">
        <v>1804</v>
      </c>
      <c r="C806" s="1182" t="s">
        <v>1639</v>
      </c>
      <c r="D806" s="1182" t="s">
        <v>2590</v>
      </c>
      <c r="E806" s="1182" t="s">
        <v>2591</v>
      </c>
      <c r="F806" s="1182" t="s">
        <v>4242</v>
      </c>
      <c r="G806" s="1182" t="s">
        <v>4242</v>
      </c>
      <c r="H806" s="1182" t="s">
        <v>4337</v>
      </c>
      <c r="I806" s="1182" t="s">
        <v>1809</v>
      </c>
      <c r="J806" s="1182" t="s">
        <v>4338</v>
      </c>
      <c r="K806" s="1182" t="s">
        <v>1811</v>
      </c>
      <c r="L806" s="1182" t="s">
        <v>1812</v>
      </c>
      <c r="M806" s="1182" t="s">
        <v>1803</v>
      </c>
      <c r="N806" s="1182" t="s">
        <v>4190</v>
      </c>
      <c r="O806" s="1182" t="s">
        <v>1554</v>
      </c>
      <c r="P806" s="1182" t="s">
        <v>1553</v>
      </c>
      <c r="Q806" s="1182" t="s">
        <v>1559</v>
      </c>
      <c r="R806" s="1182" t="s">
        <v>1559</v>
      </c>
      <c r="S806" s="1182" t="s">
        <v>1639</v>
      </c>
      <c r="T806" s="1182" t="s">
        <v>1814</v>
      </c>
      <c r="U806" s="1182" t="s">
        <v>1815</v>
      </c>
      <c r="V806" s="1182">
        <v>0</v>
      </c>
      <c r="W806" s="1182">
        <v>0</v>
      </c>
      <c r="X806" s="1182">
        <v>0</v>
      </c>
      <c r="Y806" s="1182">
        <v>34</v>
      </c>
      <c r="Z806" s="1182" t="s">
        <v>4288</v>
      </c>
      <c r="AA806" s="1182" t="s">
        <v>4289</v>
      </c>
      <c r="AB806" s="1182">
        <v>34</v>
      </c>
      <c r="AC806" s="1182" t="s">
        <v>4193</v>
      </c>
      <c r="AD806" s="1182" t="s">
        <v>1559</v>
      </c>
      <c r="AE806" s="1182">
        <v>34</v>
      </c>
      <c r="AF806" s="1182" t="s">
        <v>1819</v>
      </c>
      <c r="AG806" s="1182" t="s">
        <v>1820</v>
      </c>
      <c r="AH806" s="1182">
        <v>14</v>
      </c>
      <c r="AI806" s="1182">
        <v>20</v>
      </c>
      <c r="AJ806" s="1182" t="s">
        <v>4216</v>
      </c>
      <c r="AL806" s="1182" t="s">
        <v>4339</v>
      </c>
      <c r="AM806" s="1182">
        <v>1</v>
      </c>
      <c r="AN806" s="1182">
        <v>0</v>
      </c>
      <c r="AO806" s="1182">
        <v>0</v>
      </c>
      <c r="AP806" s="1182">
        <v>0</v>
      </c>
      <c r="AQ806" s="1182" t="s">
        <v>1639</v>
      </c>
      <c r="AS806" s="1182" t="s">
        <v>1819</v>
      </c>
      <c r="AT806" s="1182" t="s">
        <v>1820</v>
      </c>
      <c r="AV806" s="1183">
        <v>0</v>
      </c>
      <c r="AW806" s="1183">
        <v>0</v>
      </c>
      <c r="AX806" s="1183">
        <v>0</v>
      </c>
      <c r="AY806" s="1538">
        <v>0</v>
      </c>
      <c r="AZ806" s="1183">
        <v>0</v>
      </c>
      <c r="BA806" s="1183">
        <v>34</v>
      </c>
      <c r="BB806" s="1540">
        <v>34</v>
      </c>
      <c r="BC806" s="1540">
        <v>34</v>
      </c>
      <c r="BD806" s="1540">
        <v>0</v>
      </c>
      <c r="BF806" s="1539">
        <f t="shared" si="153"/>
        <v>0</v>
      </c>
      <c r="BG806" s="1539">
        <f t="shared" si="154"/>
        <v>0</v>
      </c>
      <c r="BH806" s="1539">
        <f t="shared" si="155"/>
        <v>0</v>
      </c>
      <c r="BI806" s="1539">
        <f t="shared" si="156"/>
        <v>0</v>
      </c>
      <c r="BJ806" s="1539">
        <f t="shared" si="157"/>
        <v>0</v>
      </c>
      <c r="BK806" s="1539">
        <f t="shared" si="158"/>
        <v>31</v>
      </c>
      <c r="BL806" s="1539">
        <f t="shared" si="159"/>
        <v>31</v>
      </c>
      <c r="BM806" s="1539">
        <f t="shared" si="160"/>
        <v>31</v>
      </c>
      <c r="BO806" s="1556">
        <f t="shared" si="164"/>
        <v>-9.090909090908994E-2</v>
      </c>
      <c r="BQ806" s="1182">
        <f t="shared" si="161"/>
        <v>0</v>
      </c>
      <c r="BR806" s="1182">
        <f t="shared" si="162"/>
        <v>-9.090909090908994E-2</v>
      </c>
    </row>
    <row r="807" spans="1:70">
      <c r="A807" s="1182" t="s">
        <v>1803</v>
      </c>
      <c r="B807" s="1182" t="s">
        <v>1804</v>
      </c>
      <c r="C807" s="1182" t="s">
        <v>1639</v>
      </c>
      <c r="D807" s="1182" t="s">
        <v>2590</v>
      </c>
      <c r="E807" s="1182" t="s">
        <v>2591</v>
      </c>
      <c r="F807" s="1182" t="s">
        <v>4201</v>
      </c>
      <c r="G807" s="1182" t="s">
        <v>4201</v>
      </c>
      <c r="H807" s="1182" t="s">
        <v>4344</v>
      </c>
      <c r="I807" s="1182" t="s">
        <v>1809</v>
      </c>
      <c r="J807" s="1182" t="s">
        <v>4345</v>
      </c>
      <c r="K807" s="1182" t="s">
        <v>1811</v>
      </c>
      <c r="L807" s="1182" t="s">
        <v>1812</v>
      </c>
      <c r="M807" s="1182" t="s">
        <v>1803</v>
      </c>
      <c r="N807" s="1182" t="s">
        <v>4190</v>
      </c>
      <c r="O807" s="1182" t="s">
        <v>1554</v>
      </c>
      <c r="P807" s="1182" t="s">
        <v>1553</v>
      </c>
      <c r="Q807" s="1182" t="s">
        <v>1559</v>
      </c>
      <c r="R807" s="1182" t="s">
        <v>1559</v>
      </c>
      <c r="S807" s="1182" t="s">
        <v>1639</v>
      </c>
      <c r="T807" s="1182" t="s">
        <v>1814</v>
      </c>
      <c r="U807" s="1182" t="s">
        <v>1815</v>
      </c>
      <c r="V807" s="1182">
        <v>0</v>
      </c>
      <c r="W807" s="1182">
        <v>0</v>
      </c>
      <c r="X807" s="1182">
        <v>0</v>
      </c>
      <c r="Y807" s="1182">
        <v>6940</v>
      </c>
      <c r="Z807" s="1182" t="s">
        <v>4288</v>
      </c>
      <c r="AA807" s="1182" t="s">
        <v>4289</v>
      </c>
      <c r="AB807" s="1182">
        <v>6940</v>
      </c>
      <c r="AC807" s="1182" t="s">
        <v>4193</v>
      </c>
      <c r="AD807" s="1182" t="s">
        <v>1559</v>
      </c>
      <c r="AE807" s="1182">
        <v>6940</v>
      </c>
      <c r="AF807" s="1182" t="s">
        <v>1819</v>
      </c>
      <c r="AG807" s="1182" t="s">
        <v>1820</v>
      </c>
      <c r="AH807" s="1182">
        <v>630</v>
      </c>
      <c r="AI807" s="1182">
        <v>6310</v>
      </c>
      <c r="AJ807" s="1182" t="s">
        <v>4216</v>
      </c>
      <c r="AL807" s="1182" t="s">
        <v>4346</v>
      </c>
      <c r="AM807" s="1182">
        <v>1</v>
      </c>
      <c r="AN807" s="1182">
        <v>0</v>
      </c>
      <c r="AO807" s="1182">
        <v>0</v>
      </c>
      <c r="AP807" s="1182">
        <v>0</v>
      </c>
      <c r="AQ807" s="1182" t="s">
        <v>1639</v>
      </c>
      <c r="AS807" s="1182" t="s">
        <v>1819</v>
      </c>
      <c r="AT807" s="1182" t="s">
        <v>1820</v>
      </c>
      <c r="AV807" s="1183">
        <v>0</v>
      </c>
      <c r="AW807" s="1183">
        <v>0</v>
      </c>
      <c r="AX807" s="1183">
        <v>0</v>
      </c>
      <c r="AY807" s="1538">
        <v>0</v>
      </c>
      <c r="AZ807" s="1183">
        <v>0</v>
      </c>
      <c r="BA807" s="1183">
        <v>6940</v>
      </c>
      <c r="BB807" s="1540">
        <v>6940</v>
      </c>
      <c r="BC807" s="1540">
        <v>6940</v>
      </c>
      <c r="BD807" s="1540">
        <v>0</v>
      </c>
      <c r="BF807" s="1539">
        <f t="shared" si="153"/>
        <v>0</v>
      </c>
      <c r="BG807" s="1539">
        <f t="shared" si="154"/>
        <v>0</v>
      </c>
      <c r="BH807" s="1539">
        <f t="shared" si="155"/>
        <v>0</v>
      </c>
      <c r="BI807" s="1539">
        <f t="shared" si="156"/>
        <v>0</v>
      </c>
      <c r="BJ807" s="1539">
        <f t="shared" si="157"/>
        <v>0</v>
      </c>
      <c r="BK807" s="1539">
        <f t="shared" si="158"/>
        <v>6309</v>
      </c>
      <c r="BL807" s="1539">
        <f t="shared" si="159"/>
        <v>6309</v>
      </c>
      <c r="BM807" s="1539">
        <f t="shared" si="160"/>
        <v>6309</v>
      </c>
      <c r="BO807" s="1556">
        <f t="shared" si="164"/>
        <v>9.0909090909008228E-2</v>
      </c>
      <c r="BQ807" s="1182">
        <f t="shared" si="161"/>
        <v>0</v>
      </c>
      <c r="BR807" s="1182">
        <f t="shared" si="162"/>
        <v>9.0909090909008228E-2</v>
      </c>
    </row>
    <row r="808" spans="1:70">
      <c r="A808" s="1182" t="s">
        <v>1803</v>
      </c>
      <c r="B808" s="1182" t="s">
        <v>1804</v>
      </c>
      <c r="C808" s="1182" t="s">
        <v>1639</v>
      </c>
      <c r="D808" s="1182" t="s">
        <v>2590</v>
      </c>
      <c r="E808" s="1182" t="s">
        <v>2591</v>
      </c>
      <c r="F808" s="1182" t="s">
        <v>2782</v>
      </c>
      <c r="G808" s="1182" t="s">
        <v>2782</v>
      </c>
      <c r="H808" s="1182" t="s">
        <v>4352</v>
      </c>
      <c r="I808" s="1182" t="s">
        <v>1809</v>
      </c>
      <c r="J808" s="1182" t="s">
        <v>4353</v>
      </c>
      <c r="K808" s="1182" t="s">
        <v>1811</v>
      </c>
      <c r="L808" s="1182" t="s">
        <v>1812</v>
      </c>
      <c r="M808" s="1182" t="s">
        <v>1803</v>
      </c>
      <c r="N808" s="1182" t="s">
        <v>4190</v>
      </c>
      <c r="O808" s="1182" t="s">
        <v>1554</v>
      </c>
      <c r="P808" s="1182" t="s">
        <v>1553</v>
      </c>
      <c r="Q808" s="1182" t="s">
        <v>1559</v>
      </c>
      <c r="R808" s="1182" t="s">
        <v>1559</v>
      </c>
      <c r="S808" s="1182" t="s">
        <v>1639</v>
      </c>
      <c r="T808" s="1182" t="s">
        <v>1814</v>
      </c>
      <c r="U808" s="1182" t="s">
        <v>1815</v>
      </c>
      <c r="V808" s="1182">
        <v>0</v>
      </c>
      <c r="W808" s="1182">
        <v>0</v>
      </c>
      <c r="X808" s="1182">
        <v>0</v>
      </c>
      <c r="Y808" s="1182">
        <v>3261</v>
      </c>
      <c r="Z808" s="1182" t="s">
        <v>4288</v>
      </c>
      <c r="AA808" s="1182" t="s">
        <v>4289</v>
      </c>
      <c r="AB808" s="1182">
        <v>3261</v>
      </c>
      <c r="AC808" s="1182" t="s">
        <v>4193</v>
      </c>
      <c r="AD808" s="1182" t="s">
        <v>1559</v>
      </c>
      <c r="AE808" s="1182">
        <v>3261</v>
      </c>
      <c r="AF808" s="1182" t="s">
        <v>1819</v>
      </c>
      <c r="AG808" s="1182" t="s">
        <v>1820</v>
      </c>
      <c r="AH808" s="1182">
        <v>295</v>
      </c>
      <c r="AI808" s="1182">
        <v>2966</v>
      </c>
      <c r="AJ808" s="1182" t="s">
        <v>4216</v>
      </c>
      <c r="AL808" s="1182" t="s">
        <v>4354</v>
      </c>
      <c r="AM808" s="1182">
        <v>1</v>
      </c>
      <c r="AN808" s="1182">
        <v>0</v>
      </c>
      <c r="AO808" s="1182">
        <v>0</v>
      </c>
      <c r="AP808" s="1182">
        <v>0</v>
      </c>
      <c r="AQ808" s="1182" t="s">
        <v>1639</v>
      </c>
      <c r="AS808" s="1182" t="s">
        <v>1819</v>
      </c>
      <c r="AT808" s="1182" t="s">
        <v>1820</v>
      </c>
      <c r="AV808" s="1183">
        <v>0</v>
      </c>
      <c r="AW808" s="1183">
        <v>0</v>
      </c>
      <c r="AX808" s="1183">
        <v>0</v>
      </c>
      <c r="AY808" s="1538">
        <v>0</v>
      </c>
      <c r="AZ808" s="1183">
        <v>0</v>
      </c>
      <c r="BA808" s="1183">
        <v>3261</v>
      </c>
      <c r="BB808" s="1540">
        <v>3261</v>
      </c>
      <c r="BC808" s="1540">
        <v>3261</v>
      </c>
      <c r="BD808" s="1540">
        <v>0</v>
      </c>
      <c r="BF808" s="1539">
        <f t="shared" si="153"/>
        <v>0</v>
      </c>
      <c r="BG808" s="1539">
        <f t="shared" si="154"/>
        <v>0</v>
      </c>
      <c r="BH808" s="1539">
        <f t="shared" si="155"/>
        <v>0</v>
      </c>
      <c r="BI808" s="1539">
        <f t="shared" si="156"/>
        <v>0</v>
      </c>
      <c r="BJ808" s="1539">
        <f t="shared" si="157"/>
        <v>0</v>
      </c>
      <c r="BK808" s="1539">
        <f t="shared" si="158"/>
        <v>2965</v>
      </c>
      <c r="BL808" s="1539">
        <f t="shared" si="159"/>
        <v>2965</v>
      </c>
      <c r="BM808" s="1539">
        <f t="shared" si="160"/>
        <v>2965</v>
      </c>
      <c r="BO808" s="1556">
        <f t="shared" si="164"/>
        <v>-0.45454545454549589</v>
      </c>
      <c r="BQ808" s="1182">
        <f t="shared" si="161"/>
        <v>0</v>
      </c>
      <c r="BR808" s="1182">
        <f t="shared" si="162"/>
        <v>-0.45454545454549589</v>
      </c>
    </row>
    <row r="809" spans="1:70">
      <c r="A809" s="1182" t="s">
        <v>1803</v>
      </c>
      <c r="B809" s="1182" t="s">
        <v>1804</v>
      </c>
      <c r="C809" s="1182" t="s">
        <v>1639</v>
      </c>
      <c r="D809" s="1182" t="s">
        <v>2590</v>
      </c>
      <c r="E809" s="1182" t="s">
        <v>2591</v>
      </c>
      <c r="F809" s="1182" t="s">
        <v>2665</v>
      </c>
      <c r="G809" s="1182" t="s">
        <v>2665</v>
      </c>
      <c r="H809" s="1182" t="s">
        <v>4347</v>
      </c>
      <c r="I809" s="1182" t="s">
        <v>1809</v>
      </c>
      <c r="J809" s="1182" t="s">
        <v>4348</v>
      </c>
      <c r="K809" s="1182" t="s">
        <v>1811</v>
      </c>
      <c r="L809" s="1182" t="s">
        <v>1812</v>
      </c>
      <c r="M809" s="1182" t="s">
        <v>1803</v>
      </c>
      <c r="N809" s="1182" t="s">
        <v>4190</v>
      </c>
      <c r="O809" s="1182" t="s">
        <v>1554</v>
      </c>
      <c r="P809" s="1182" t="s">
        <v>1553</v>
      </c>
      <c r="Q809" s="1182" t="s">
        <v>1559</v>
      </c>
      <c r="R809" s="1182" t="s">
        <v>1559</v>
      </c>
      <c r="S809" s="1182" t="s">
        <v>1639</v>
      </c>
      <c r="T809" s="1182" t="s">
        <v>1814</v>
      </c>
      <c r="U809" s="1182" t="s">
        <v>1815</v>
      </c>
      <c r="V809" s="1182">
        <v>0</v>
      </c>
      <c r="W809" s="1182">
        <v>0</v>
      </c>
      <c r="X809" s="1182">
        <v>0</v>
      </c>
      <c r="Y809" s="1182">
        <v>9382</v>
      </c>
      <c r="Z809" s="1182" t="s">
        <v>4288</v>
      </c>
      <c r="AA809" s="1182" t="s">
        <v>4289</v>
      </c>
      <c r="AB809" s="1182">
        <v>9382</v>
      </c>
      <c r="AC809" s="1182" t="s">
        <v>4193</v>
      </c>
      <c r="AD809" s="1182" t="s">
        <v>1559</v>
      </c>
      <c r="AE809" s="1182">
        <v>9382</v>
      </c>
      <c r="AF809" s="1182" t="s">
        <v>1819</v>
      </c>
      <c r="AG809" s="1182" t="s">
        <v>1820</v>
      </c>
      <c r="AH809" s="1182">
        <v>852</v>
      </c>
      <c r="AI809" s="1182">
        <v>8530</v>
      </c>
      <c r="AJ809" s="1182" t="s">
        <v>4216</v>
      </c>
      <c r="AL809" s="1182" t="s">
        <v>4349</v>
      </c>
      <c r="AM809" s="1182">
        <v>1</v>
      </c>
      <c r="AN809" s="1182">
        <v>0</v>
      </c>
      <c r="AO809" s="1182">
        <v>0</v>
      </c>
      <c r="AP809" s="1182">
        <v>0</v>
      </c>
      <c r="AQ809" s="1182" t="s">
        <v>1639</v>
      </c>
      <c r="AS809" s="1182" t="s">
        <v>1819</v>
      </c>
      <c r="AT809" s="1182" t="s">
        <v>1820</v>
      </c>
      <c r="AV809" s="1183">
        <v>0</v>
      </c>
      <c r="AW809" s="1183">
        <v>0</v>
      </c>
      <c r="AX809" s="1183">
        <v>0</v>
      </c>
      <c r="AY809" s="1538">
        <v>0</v>
      </c>
      <c r="AZ809" s="1183">
        <v>0</v>
      </c>
      <c r="BA809" s="1183">
        <v>9382</v>
      </c>
      <c r="BB809" s="1540">
        <v>9382</v>
      </c>
      <c r="BC809" s="1540">
        <v>9382</v>
      </c>
      <c r="BD809" s="1540">
        <v>0</v>
      </c>
      <c r="BF809" s="1539">
        <f t="shared" si="153"/>
        <v>0</v>
      </c>
      <c r="BG809" s="1539">
        <f t="shared" si="154"/>
        <v>0</v>
      </c>
      <c r="BH809" s="1539">
        <f t="shared" si="155"/>
        <v>0</v>
      </c>
      <c r="BI809" s="1539">
        <f t="shared" si="156"/>
        <v>0</v>
      </c>
      <c r="BJ809" s="1539">
        <f t="shared" si="157"/>
        <v>0</v>
      </c>
      <c r="BK809" s="1539">
        <f t="shared" si="158"/>
        <v>8529</v>
      </c>
      <c r="BL809" s="1539">
        <f t="shared" si="159"/>
        <v>8529</v>
      </c>
      <c r="BM809" s="1539">
        <f t="shared" si="160"/>
        <v>8529</v>
      </c>
      <c r="BO809" s="1556">
        <f t="shared" si="164"/>
        <v>9.0909090909917722E-2</v>
      </c>
      <c r="BQ809" s="1182">
        <f t="shared" si="161"/>
        <v>0</v>
      </c>
      <c r="BR809" s="1182">
        <f t="shared" si="162"/>
        <v>9.0909090909917722E-2</v>
      </c>
    </row>
    <row r="810" spans="1:70">
      <c r="A810" s="1182" t="s">
        <v>1803</v>
      </c>
      <c r="B810" s="1182" t="s">
        <v>1804</v>
      </c>
      <c r="C810" s="1182" t="s">
        <v>1639</v>
      </c>
      <c r="D810" s="1182" t="s">
        <v>2590</v>
      </c>
      <c r="E810" s="1182" t="s">
        <v>2591</v>
      </c>
      <c r="F810" s="1182" t="s">
        <v>4242</v>
      </c>
      <c r="G810" s="1182" t="s">
        <v>4242</v>
      </c>
      <c r="H810" s="1182" t="s">
        <v>4347</v>
      </c>
      <c r="I810" s="1182" t="s">
        <v>1809</v>
      </c>
      <c r="J810" s="1182" t="s">
        <v>4350</v>
      </c>
      <c r="K810" s="1182" t="s">
        <v>1811</v>
      </c>
      <c r="L810" s="1182" t="s">
        <v>1812</v>
      </c>
      <c r="M810" s="1182" t="s">
        <v>1803</v>
      </c>
      <c r="N810" s="1182" t="s">
        <v>4190</v>
      </c>
      <c r="O810" s="1182" t="s">
        <v>1554</v>
      </c>
      <c r="P810" s="1182" t="s">
        <v>1553</v>
      </c>
      <c r="Q810" s="1182" t="s">
        <v>1559</v>
      </c>
      <c r="R810" s="1182" t="s">
        <v>1559</v>
      </c>
      <c r="S810" s="1182" t="s">
        <v>1639</v>
      </c>
      <c r="T810" s="1182" t="s">
        <v>1814</v>
      </c>
      <c r="U810" s="1182" t="s">
        <v>1815</v>
      </c>
      <c r="V810" s="1182">
        <v>0</v>
      </c>
      <c r="W810" s="1182">
        <v>0</v>
      </c>
      <c r="X810" s="1182">
        <v>0</v>
      </c>
      <c r="Y810" s="1182">
        <v>9190</v>
      </c>
      <c r="Z810" s="1182" t="s">
        <v>4288</v>
      </c>
      <c r="AA810" s="1182" t="s">
        <v>4289</v>
      </c>
      <c r="AB810" s="1182">
        <v>9190</v>
      </c>
      <c r="AC810" s="1182" t="s">
        <v>4193</v>
      </c>
      <c r="AD810" s="1182" t="s">
        <v>1559</v>
      </c>
      <c r="AE810" s="1182">
        <v>9190</v>
      </c>
      <c r="AF810" s="1182" t="s">
        <v>1819</v>
      </c>
      <c r="AG810" s="1182" t="s">
        <v>1820</v>
      </c>
      <c r="AH810" s="1182">
        <v>835</v>
      </c>
      <c r="AI810" s="1182">
        <v>8355</v>
      </c>
      <c r="AJ810" s="1182" t="s">
        <v>4216</v>
      </c>
      <c r="AL810" s="1182" t="s">
        <v>4351</v>
      </c>
      <c r="AM810" s="1182">
        <v>1</v>
      </c>
      <c r="AN810" s="1182">
        <v>0</v>
      </c>
      <c r="AO810" s="1182">
        <v>0</v>
      </c>
      <c r="AP810" s="1182">
        <v>0</v>
      </c>
      <c r="AQ810" s="1182" t="s">
        <v>1639</v>
      </c>
      <c r="AS810" s="1182" t="s">
        <v>1819</v>
      </c>
      <c r="AT810" s="1182" t="s">
        <v>1820</v>
      </c>
      <c r="AV810" s="1183">
        <v>0</v>
      </c>
      <c r="AW810" s="1183">
        <v>0</v>
      </c>
      <c r="AX810" s="1183">
        <v>0</v>
      </c>
      <c r="AY810" s="1538">
        <v>0</v>
      </c>
      <c r="AZ810" s="1183">
        <v>0</v>
      </c>
      <c r="BA810" s="1183">
        <v>9190</v>
      </c>
      <c r="BB810" s="1540">
        <v>9190</v>
      </c>
      <c r="BC810" s="1540">
        <v>9190</v>
      </c>
      <c r="BD810" s="1540">
        <v>0</v>
      </c>
      <c r="BF810" s="1539">
        <f t="shared" si="153"/>
        <v>0</v>
      </c>
      <c r="BG810" s="1539">
        <f t="shared" si="154"/>
        <v>0</v>
      </c>
      <c r="BH810" s="1539">
        <f t="shared" si="155"/>
        <v>0</v>
      </c>
      <c r="BI810" s="1539">
        <f t="shared" si="156"/>
        <v>0</v>
      </c>
      <c r="BJ810" s="1539">
        <f t="shared" si="157"/>
        <v>0</v>
      </c>
      <c r="BK810" s="1539">
        <f t="shared" si="158"/>
        <v>8355</v>
      </c>
      <c r="BL810" s="1539">
        <f t="shared" si="159"/>
        <v>8355</v>
      </c>
      <c r="BM810" s="1539">
        <f t="shared" si="160"/>
        <v>8355</v>
      </c>
      <c r="BO810" s="1556">
        <f t="shared" si="164"/>
        <v>-0.45454545454595063</v>
      </c>
      <c r="BQ810" s="1182">
        <f t="shared" si="161"/>
        <v>0</v>
      </c>
      <c r="BR810" s="1182">
        <f t="shared" si="162"/>
        <v>-0.45454545454595063</v>
      </c>
    </row>
    <row r="811" spans="1:70">
      <c r="A811" s="1182" t="s">
        <v>1803</v>
      </c>
      <c r="B811" s="1182" t="s">
        <v>1804</v>
      </c>
      <c r="C811" s="1182" t="s">
        <v>1639</v>
      </c>
      <c r="D811" s="1182" t="s">
        <v>2590</v>
      </c>
      <c r="E811" s="1182" t="s">
        <v>2591</v>
      </c>
      <c r="F811" s="1182" t="s">
        <v>4201</v>
      </c>
      <c r="G811" s="1182" t="s">
        <v>4201</v>
      </c>
      <c r="H811" s="1182" t="s">
        <v>4355</v>
      </c>
      <c r="I811" s="1182" t="s">
        <v>1809</v>
      </c>
      <c r="J811" s="1182" t="s">
        <v>4356</v>
      </c>
      <c r="K811" s="1182" t="s">
        <v>1811</v>
      </c>
      <c r="L811" s="1182" t="s">
        <v>1812</v>
      </c>
      <c r="M811" s="1182" t="s">
        <v>1803</v>
      </c>
      <c r="N811" s="1182" t="s">
        <v>4190</v>
      </c>
      <c r="O811" s="1182" t="s">
        <v>1554</v>
      </c>
      <c r="P811" s="1182" t="s">
        <v>1553</v>
      </c>
      <c r="Q811" s="1182" t="s">
        <v>1559</v>
      </c>
      <c r="R811" s="1182" t="s">
        <v>1559</v>
      </c>
      <c r="S811" s="1182" t="s">
        <v>1639</v>
      </c>
      <c r="T811" s="1182" t="s">
        <v>1814</v>
      </c>
      <c r="U811" s="1182" t="s">
        <v>1815</v>
      </c>
      <c r="V811" s="1182">
        <v>0</v>
      </c>
      <c r="W811" s="1182">
        <v>0</v>
      </c>
      <c r="X811" s="1182">
        <v>0</v>
      </c>
      <c r="Y811" s="1182">
        <v>26142</v>
      </c>
      <c r="Z811" s="1182" t="s">
        <v>4288</v>
      </c>
      <c r="AA811" s="1182" t="s">
        <v>4289</v>
      </c>
      <c r="AB811" s="1182">
        <v>26142</v>
      </c>
      <c r="AC811" s="1182" t="s">
        <v>4193</v>
      </c>
      <c r="AD811" s="1182" t="s">
        <v>1559</v>
      </c>
      <c r="AE811" s="1182">
        <v>26142</v>
      </c>
      <c r="AF811" s="1182" t="s">
        <v>1819</v>
      </c>
      <c r="AG811" s="1182" t="s">
        <v>1820</v>
      </c>
      <c r="AH811" s="1182">
        <v>2374</v>
      </c>
      <c r="AI811" s="1182">
        <v>23768</v>
      </c>
      <c r="AJ811" s="1182" t="s">
        <v>4216</v>
      </c>
      <c r="AL811" s="1182" t="s">
        <v>4357</v>
      </c>
      <c r="AM811" s="1182">
        <v>1</v>
      </c>
      <c r="AN811" s="1182">
        <v>0</v>
      </c>
      <c r="AO811" s="1182">
        <v>0</v>
      </c>
      <c r="AP811" s="1182">
        <v>0</v>
      </c>
      <c r="AQ811" s="1182" t="s">
        <v>1639</v>
      </c>
      <c r="AS811" s="1182" t="s">
        <v>1819</v>
      </c>
      <c r="AT811" s="1182" t="s">
        <v>1820</v>
      </c>
      <c r="AV811" s="1183">
        <v>0</v>
      </c>
      <c r="AW811" s="1183">
        <v>0</v>
      </c>
      <c r="AX811" s="1183">
        <v>0</v>
      </c>
      <c r="AY811" s="1538">
        <v>0</v>
      </c>
      <c r="AZ811" s="1183">
        <v>0</v>
      </c>
      <c r="BA811" s="1183">
        <v>26142</v>
      </c>
      <c r="BB811" s="1540">
        <v>26142</v>
      </c>
      <c r="BC811" s="1540">
        <v>26142</v>
      </c>
      <c r="BD811" s="1540">
        <v>0</v>
      </c>
      <c r="BF811" s="1539">
        <f t="shared" si="153"/>
        <v>0</v>
      </c>
      <c r="BG811" s="1539">
        <f t="shared" si="154"/>
        <v>0</v>
      </c>
      <c r="BH811" s="1539">
        <f t="shared" si="155"/>
        <v>0</v>
      </c>
      <c r="BI811" s="1539">
        <f t="shared" si="156"/>
        <v>0</v>
      </c>
      <c r="BJ811" s="1539">
        <f t="shared" si="157"/>
        <v>0</v>
      </c>
      <c r="BK811" s="1539">
        <f t="shared" si="158"/>
        <v>23765</v>
      </c>
      <c r="BL811" s="1539">
        <f t="shared" si="159"/>
        <v>23765</v>
      </c>
      <c r="BM811" s="1539">
        <f t="shared" si="160"/>
        <v>23765</v>
      </c>
      <c r="BQ811" s="1182">
        <f t="shared" si="161"/>
        <v>0</v>
      </c>
      <c r="BR811" s="1182">
        <f t="shared" si="162"/>
        <v>0.45454545454413164</v>
      </c>
    </row>
    <row r="812" spans="1:70">
      <c r="A812" s="1182" t="s">
        <v>1803</v>
      </c>
      <c r="B812" s="1182" t="s">
        <v>1804</v>
      </c>
      <c r="C812" s="1182" t="s">
        <v>1639</v>
      </c>
      <c r="D812" s="1182" t="s">
        <v>2590</v>
      </c>
      <c r="E812" s="1182" t="s">
        <v>2591</v>
      </c>
      <c r="F812" s="1182" t="s">
        <v>4364</v>
      </c>
      <c r="G812" s="1182" t="s">
        <v>4364</v>
      </c>
      <c r="H812" s="1182" t="s">
        <v>4358</v>
      </c>
      <c r="I812" s="1182" t="s">
        <v>1809</v>
      </c>
      <c r="J812" s="1182" t="s">
        <v>4365</v>
      </c>
      <c r="K812" s="1182" t="s">
        <v>1811</v>
      </c>
      <c r="L812" s="1182" t="s">
        <v>1812</v>
      </c>
      <c r="M812" s="1182" t="s">
        <v>1803</v>
      </c>
      <c r="N812" s="1182" t="s">
        <v>4190</v>
      </c>
      <c r="O812" s="1182" t="s">
        <v>1554</v>
      </c>
      <c r="P812" s="1182" t="s">
        <v>1553</v>
      </c>
      <c r="Q812" s="1182" t="s">
        <v>1559</v>
      </c>
      <c r="R812" s="1182" t="s">
        <v>1559</v>
      </c>
      <c r="S812" s="1182" t="s">
        <v>1639</v>
      </c>
      <c r="T812" s="1182" t="s">
        <v>1814</v>
      </c>
      <c r="U812" s="1182" t="s">
        <v>1815</v>
      </c>
      <c r="V812" s="1182">
        <v>0</v>
      </c>
      <c r="W812" s="1182">
        <v>0</v>
      </c>
      <c r="X812" s="1182">
        <v>0</v>
      </c>
      <c r="Y812" s="1182">
        <v>12268</v>
      </c>
      <c r="Z812" s="1182" t="s">
        <v>4288</v>
      </c>
      <c r="AA812" s="1182" t="s">
        <v>4289</v>
      </c>
      <c r="AB812" s="1182">
        <v>12268</v>
      </c>
      <c r="AC812" s="1182" t="s">
        <v>4193</v>
      </c>
      <c r="AD812" s="1182" t="s">
        <v>1559</v>
      </c>
      <c r="AE812" s="1182">
        <v>12268</v>
      </c>
      <c r="AF812" s="1182" t="s">
        <v>1819</v>
      </c>
      <c r="AG812" s="1182" t="s">
        <v>1820</v>
      </c>
      <c r="AH812" s="1182">
        <v>1114</v>
      </c>
      <c r="AI812" s="1182">
        <v>11154</v>
      </c>
      <c r="AJ812" s="1182" t="s">
        <v>4216</v>
      </c>
      <c r="AL812" s="1182" t="s">
        <v>4366</v>
      </c>
      <c r="AM812" s="1182">
        <v>1</v>
      </c>
      <c r="AN812" s="1182">
        <v>0</v>
      </c>
      <c r="AO812" s="1182">
        <v>0</v>
      </c>
      <c r="AP812" s="1182">
        <v>0</v>
      </c>
      <c r="AQ812" s="1182" t="s">
        <v>1639</v>
      </c>
      <c r="AS812" s="1182" t="s">
        <v>1819</v>
      </c>
      <c r="AT812" s="1182" t="s">
        <v>1820</v>
      </c>
      <c r="AV812" s="1183">
        <v>0</v>
      </c>
      <c r="AW812" s="1183">
        <v>0</v>
      </c>
      <c r="AX812" s="1183">
        <v>0</v>
      </c>
      <c r="AY812" s="1538">
        <v>0</v>
      </c>
      <c r="AZ812" s="1183">
        <v>0</v>
      </c>
      <c r="BA812" s="1183">
        <v>12268</v>
      </c>
      <c r="BB812" s="1540">
        <v>12268</v>
      </c>
      <c r="BC812" s="1540">
        <v>12268</v>
      </c>
      <c r="BD812" s="1540">
        <v>0</v>
      </c>
      <c r="BF812" s="1539">
        <f t="shared" si="153"/>
        <v>0</v>
      </c>
      <c r="BG812" s="1539">
        <f t="shared" si="154"/>
        <v>0</v>
      </c>
      <c r="BH812" s="1539">
        <f t="shared" si="155"/>
        <v>0</v>
      </c>
      <c r="BI812" s="1539">
        <f t="shared" si="156"/>
        <v>0</v>
      </c>
      <c r="BJ812" s="1539">
        <f t="shared" si="157"/>
        <v>0</v>
      </c>
      <c r="BK812" s="1539">
        <f t="shared" si="158"/>
        <v>11153</v>
      </c>
      <c r="BL812" s="1539">
        <f t="shared" si="159"/>
        <v>11153</v>
      </c>
      <c r="BM812" s="1539">
        <f t="shared" si="160"/>
        <v>11153</v>
      </c>
      <c r="BQ812" s="1182">
        <f t="shared" si="161"/>
        <v>0</v>
      </c>
      <c r="BR812" s="1182">
        <f t="shared" si="162"/>
        <v>-0.27272727272793418</v>
      </c>
    </row>
    <row r="813" spans="1:70">
      <c r="A813" s="1182" t="s">
        <v>1803</v>
      </c>
      <c r="B813" s="1182" t="s">
        <v>1804</v>
      </c>
      <c r="C813" s="1182" t="s">
        <v>1639</v>
      </c>
      <c r="D813" s="1182" t="s">
        <v>2590</v>
      </c>
      <c r="E813" s="1182" t="s">
        <v>2591</v>
      </c>
      <c r="F813" s="1182" t="s">
        <v>2912</v>
      </c>
      <c r="G813" s="1182" t="s">
        <v>2912</v>
      </c>
      <c r="H813" s="1182" t="s">
        <v>4358</v>
      </c>
      <c r="I813" s="1182" t="s">
        <v>1809</v>
      </c>
      <c r="J813" s="1182" t="s">
        <v>4359</v>
      </c>
      <c r="K813" s="1182" t="s">
        <v>1811</v>
      </c>
      <c r="L813" s="1182" t="s">
        <v>1812</v>
      </c>
      <c r="M813" s="1182" t="s">
        <v>1803</v>
      </c>
      <c r="N813" s="1182" t="s">
        <v>4190</v>
      </c>
      <c r="O813" s="1182" t="s">
        <v>1554</v>
      </c>
      <c r="P813" s="1182" t="s">
        <v>1553</v>
      </c>
      <c r="Q813" s="1182" t="s">
        <v>1559</v>
      </c>
      <c r="R813" s="1182" t="s">
        <v>1559</v>
      </c>
      <c r="S813" s="1182" t="s">
        <v>1639</v>
      </c>
      <c r="T813" s="1182" t="s">
        <v>1814</v>
      </c>
      <c r="U813" s="1182" t="s">
        <v>1815</v>
      </c>
      <c r="V813" s="1182">
        <v>0</v>
      </c>
      <c r="W813" s="1182">
        <v>0</v>
      </c>
      <c r="X813" s="1182">
        <v>0</v>
      </c>
      <c r="Y813" s="1182">
        <v>12275</v>
      </c>
      <c r="Z813" s="1182" t="s">
        <v>4288</v>
      </c>
      <c r="AA813" s="1182" t="s">
        <v>4289</v>
      </c>
      <c r="AB813" s="1182">
        <v>12275</v>
      </c>
      <c r="AC813" s="1182" t="s">
        <v>4193</v>
      </c>
      <c r="AD813" s="1182" t="s">
        <v>1559</v>
      </c>
      <c r="AE813" s="1182">
        <v>12275</v>
      </c>
      <c r="AF813" s="1182" t="s">
        <v>1819</v>
      </c>
      <c r="AG813" s="1182" t="s">
        <v>1820</v>
      </c>
      <c r="AH813" s="1182">
        <v>1115</v>
      </c>
      <c r="AI813" s="1182">
        <v>11160</v>
      </c>
      <c r="AJ813" s="1182" t="s">
        <v>4216</v>
      </c>
      <c r="AL813" s="1182" t="s">
        <v>4360</v>
      </c>
      <c r="AM813" s="1182">
        <v>1</v>
      </c>
      <c r="AN813" s="1182">
        <v>0</v>
      </c>
      <c r="AO813" s="1182">
        <v>0</v>
      </c>
      <c r="AP813" s="1182">
        <v>0</v>
      </c>
      <c r="AQ813" s="1182" t="s">
        <v>1639</v>
      </c>
      <c r="AS813" s="1182" t="s">
        <v>1819</v>
      </c>
      <c r="AT813" s="1182" t="s">
        <v>1820</v>
      </c>
      <c r="AV813" s="1183">
        <v>0</v>
      </c>
      <c r="AW813" s="1183">
        <v>0</v>
      </c>
      <c r="AX813" s="1183">
        <v>0</v>
      </c>
      <c r="AY813" s="1538">
        <v>0</v>
      </c>
      <c r="AZ813" s="1183">
        <v>0</v>
      </c>
      <c r="BA813" s="1183">
        <v>12275</v>
      </c>
      <c r="BB813" s="1540">
        <v>12275</v>
      </c>
      <c r="BC813" s="1540">
        <v>12275</v>
      </c>
      <c r="BD813" s="1540">
        <v>0</v>
      </c>
      <c r="BF813" s="1539">
        <f t="shared" si="153"/>
        <v>0</v>
      </c>
      <c r="BG813" s="1539">
        <f t="shared" si="154"/>
        <v>0</v>
      </c>
      <c r="BH813" s="1539">
        <f t="shared" si="155"/>
        <v>0</v>
      </c>
      <c r="BI813" s="1539">
        <f t="shared" si="156"/>
        <v>0</v>
      </c>
      <c r="BJ813" s="1539">
        <f t="shared" si="157"/>
        <v>0</v>
      </c>
      <c r="BK813" s="1539">
        <f t="shared" si="158"/>
        <v>11159</v>
      </c>
      <c r="BL813" s="1539">
        <f t="shared" si="159"/>
        <v>11159</v>
      </c>
      <c r="BM813" s="1539">
        <f t="shared" si="160"/>
        <v>11159</v>
      </c>
      <c r="BQ813" s="1182">
        <f t="shared" si="161"/>
        <v>0</v>
      </c>
      <c r="BR813" s="1182">
        <f t="shared" si="162"/>
        <v>9.0909090909917722E-2</v>
      </c>
    </row>
    <row r="814" spans="1:70">
      <c r="A814" s="1182" t="s">
        <v>1803</v>
      </c>
      <c r="B814" s="1182" t="s">
        <v>1804</v>
      </c>
      <c r="C814" s="1182" t="s">
        <v>1639</v>
      </c>
      <c r="D814" s="1182" t="s">
        <v>2590</v>
      </c>
      <c r="E814" s="1182" t="s">
        <v>2591</v>
      </c>
      <c r="F814" s="1182" t="s">
        <v>4361</v>
      </c>
      <c r="G814" s="1182" t="s">
        <v>4361</v>
      </c>
      <c r="H814" s="1182" t="s">
        <v>4358</v>
      </c>
      <c r="I814" s="1182" t="s">
        <v>1809</v>
      </c>
      <c r="J814" s="1182" t="s">
        <v>4362</v>
      </c>
      <c r="K814" s="1182" t="s">
        <v>1811</v>
      </c>
      <c r="L814" s="1182" t="s">
        <v>1812</v>
      </c>
      <c r="M814" s="1182" t="s">
        <v>1803</v>
      </c>
      <c r="N814" s="1182" t="s">
        <v>4190</v>
      </c>
      <c r="O814" s="1182" t="s">
        <v>1554</v>
      </c>
      <c r="P814" s="1182" t="s">
        <v>1553</v>
      </c>
      <c r="Q814" s="1182" t="s">
        <v>1559</v>
      </c>
      <c r="R814" s="1182" t="s">
        <v>1559</v>
      </c>
      <c r="S814" s="1182" t="s">
        <v>1639</v>
      </c>
      <c r="T814" s="1182" t="s">
        <v>1814</v>
      </c>
      <c r="U814" s="1182" t="s">
        <v>1815</v>
      </c>
      <c r="V814" s="1182">
        <v>0</v>
      </c>
      <c r="W814" s="1182">
        <v>0</v>
      </c>
      <c r="X814" s="1182">
        <v>0</v>
      </c>
      <c r="Y814" s="1182">
        <v>207806</v>
      </c>
      <c r="Z814" s="1182" t="s">
        <v>4288</v>
      </c>
      <c r="AA814" s="1182" t="s">
        <v>4289</v>
      </c>
      <c r="AB814" s="1182">
        <v>207806</v>
      </c>
      <c r="AC814" s="1182" t="s">
        <v>4193</v>
      </c>
      <c r="AD814" s="1182" t="s">
        <v>1559</v>
      </c>
      <c r="AE814" s="1182">
        <v>207806</v>
      </c>
      <c r="AF814" s="1182" t="s">
        <v>1819</v>
      </c>
      <c r="AG814" s="1182" t="s">
        <v>1820</v>
      </c>
      <c r="AH814" s="1182">
        <v>18890</v>
      </c>
      <c r="AI814" s="1182">
        <v>188916</v>
      </c>
      <c r="AJ814" s="1182" t="s">
        <v>4216</v>
      </c>
      <c r="AL814" s="1182" t="s">
        <v>4363</v>
      </c>
      <c r="AM814" s="1182">
        <v>1</v>
      </c>
      <c r="AN814" s="1182">
        <v>0</v>
      </c>
      <c r="AO814" s="1182">
        <v>0</v>
      </c>
      <c r="AP814" s="1182">
        <v>0</v>
      </c>
      <c r="AQ814" s="1182" t="s">
        <v>1639</v>
      </c>
      <c r="AS814" s="1182" t="s">
        <v>1819</v>
      </c>
      <c r="AT814" s="1182" t="s">
        <v>1820</v>
      </c>
      <c r="AV814" s="1183">
        <v>0</v>
      </c>
      <c r="AW814" s="1183">
        <v>0</v>
      </c>
      <c r="AX814" s="1183">
        <v>0</v>
      </c>
      <c r="AY814" s="1538">
        <v>0</v>
      </c>
      <c r="AZ814" s="1183">
        <v>0</v>
      </c>
      <c r="BA814" s="1183">
        <v>207806</v>
      </c>
      <c r="BB814" s="1540">
        <v>207806</v>
      </c>
      <c r="BC814" s="1540">
        <v>207806</v>
      </c>
      <c r="BD814" s="1540">
        <v>0</v>
      </c>
      <c r="BE814" s="1183" t="s">
        <v>4716</v>
      </c>
      <c r="BF814" s="1539">
        <f t="shared" si="153"/>
        <v>0</v>
      </c>
      <c r="BG814" s="1539">
        <f t="shared" si="154"/>
        <v>0</v>
      </c>
      <c r="BH814" s="1539">
        <f t="shared" si="155"/>
        <v>0</v>
      </c>
      <c r="BI814" s="1539">
        <f t="shared" si="156"/>
        <v>0</v>
      </c>
      <c r="BJ814" s="1539">
        <f t="shared" si="157"/>
        <v>0</v>
      </c>
      <c r="BK814" s="1563">
        <f>+IFERROR(ROUND(BA814*100/(100+$AT814),0),BA814)-1</f>
        <v>188914</v>
      </c>
      <c r="BL814" s="1539">
        <f t="shared" si="159"/>
        <v>188914</v>
      </c>
      <c r="BM814" s="1539">
        <f t="shared" si="160"/>
        <v>188914</v>
      </c>
      <c r="BQ814" s="1182">
        <f t="shared" si="161"/>
        <v>0</v>
      </c>
      <c r="BR814" s="1182">
        <f t="shared" si="162"/>
        <v>0.54545454544131644</v>
      </c>
    </row>
    <row r="815" spans="1:70">
      <c r="A815" s="1182" t="s">
        <v>3765</v>
      </c>
      <c r="B815" s="1182" t="s">
        <v>1804</v>
      </c>
      <c r="C815" s="1182" t="s">
        <v>1639</v>
      </c>
      <c r="D815" s="1182" t="s">
        <v>2590</v>
      </c>
      <c r="E815" s="1182" t="s">
        <v>2591</v>
      </c>
      <c r="F815" s="1182" t="s">
        <v>2266</v>
      </c>
      <c r="G815" s="1182" t="s">
        <v>2266</v>
      </c>
      <c r="H815" s="1182" t="s">
        <v>4367</v>
      </c>
      <c r="I815" s="1182" t="s">
        <v>1809</v>
      </c>
      <c r="J815" s="1182" t="s">
        <v>4368</v>
      </c>
      <c r="K815" s="1182" t="s">
        <v>1811</v>
      </c>
      <c r="L815" s="1182" t="s">
        <v>1812</v>
      </c>
      <c r="M815" s="1182" t="s">
        <v>1803</v>
      </c>
      <c r="N815" s="1182" t="s">
        <v>4190</v>
      </c>
      <c r="O815" s="1182" t="s">
        <v>1554</v>
      </c>
      <c r="P815" s="1182" t="s">
        <v>1553</v>
      </c>
      <c r="Q815" s="1182" t="s">
        <v>1559</v>
      </c>
      <c r="R815" s="1182" t="s">
        <v>1559</v>
      </c>
      <c r="S815" s="1182" t="s">
        <v>1639</v>
      </c>
      <c r="T815" s="1182" t="s">
        <v>1814</v>
      </c>
      <c r="U815" s="1182" t="s">
        <v>1815</v>
      </c>
      <c r="V815" s="1182">
        <v>0</v>
      </c>
      <c r="W815" s="1182">
        <v>0</v>
      </c>
      <c r="X815" s="1182">
        <v>0</v>
      </c>
      <c r="Y815" s="1182">
        <v>17509</v>
      </c>
      <c r="Z815" s="1182" t="s">
        <v>4288</v>
      </c>
      <c r="AA815" s="1182" t="s">
        <v>4289</v>
      </c>
      <c r="AB815" s="1182">
        <v>17509</v>
      </c>
      <c r="AC815" s="1182" t="s">
        <v>4193</v>
      </c>
      <c r="AD815" s="1182" t="s">
        <v>1559</v>
      </c>
      <c r="AE815" s="1182">
        <v>17509</v>
      </c>
      <c r="AF815" s="1182" t="s">
        <v>1819</v>
      </c>
      <c r="AG815" s="1182" t="s">
        <v>1820</v>
      </c>
      <c r="AH815" s="1182">
        <v>1591</v>
      </c>
      <c r="AI815" s="1182">
        <v>15918</v>
      </c>
      <c r="AJ815" s="1182" t="s">
        <v>4216</v>
      </c>
      <c r="AL815" s="1182" t="s">
        <v>4369</v>
      </c>
      <c r="AM815" s="1182">
        <v>1</v>
      </c>
      <c r="AN815" s="1182">
        <v>0</v>
      </c>
      <c r="AO815" s="1182">
        <v>0</v>
      </c>
      <c r="AP815" s="1182">
        <v>0</v>
      </c>
      <c r="AQ815" s="1182" t="s">
        <v>1639</v>
      </c>
      <c r="AS815" s="1182" t="s">
        <v>1819</v>
      </c>
      <c r="AT815" s="1182" t="s">
        <v>1820</v>
      </c>
      <c r="AV815" s="1183">
        <v>0</v>
      </c>
      <c r="AW815" s="1183">
        <v>0</v>
      </c>
      <c r="AX815" s="1183">
        <v>0</v>
      </c>
      <c r="AY815" s="1538">
        <v>0</v>
      </c>
      <c r="AZ815" s="1183">
        <v>0</v>
      </c>
      <c r="BA815" s="1183">
        <v>17509</v>
      </c>
      <c r="BB815" s="1540">
        <v>17509</v>
      </c>
      <c r="BC815" s="1540">
        <v>17509</v>
      </c>
      <c r="BD815" s="1540">
        <v>0</v>
      </c>
      <c r="BF815" s="1539">
        <f t="shared" si="153"/>
        <v>0</v>
      </c>
      <c r="BG815" s="1539">
        <f t="shared" si="154"/>
        <v>0</v>
      </c>
      <c r="BH815" s="1539">
        <f t="shared" si="155"/>
        <v>0</v>
      </c>
      <c r="BI815" s="1539">
        <f t="shared" si="156"/>
        <v>0</v>
      </c>
      <c r="BJ815" s="1539">
        <f t="shared" si="157"/>
        <v>0</v>
      </c>
      <c r="BK815" s="1539">
        <f t="shared" si="158"/>
        <v>15917</v>
      </c>
      <c r="BL815" s="1539">
        <f t="shared" si="159"/>
        <v>15917</v>
      </c>
      <c r="BM815" s="1539">
        <f t="shared" si="160"/>
        <v>15917</v>
      </c>
      <c r="BQ815" s="1182">
        <f t="shared" si="161"/>
        <v>0</v>
      </c>
      <c r="BR815" s="1182">
        <f t="shared" si="162"/>
        <v>0.27272727272793418</v>
      </c>
    </row>
    <row r="816" spans="1:70">
      <c r="A816" s="1182" t="s">
        <v>3049</v>
      </c>
      <c r="B816" s="1182" t="s">
        <v>1804</v>
      </c>
      <c r="C816" s="1182" t="s">
        <v>1639</v>
      </c>
      <c r="D816" s="1182" t="s">
        <v>2590</v>
      </c>
      <c r="E816" s="1182" t="s">
        <v>2591</v>
      </c>
      <c r="F816" s="1182" t="s">
        <v>2912</v>
      </c>
      <c r="G816" s="1182" t="s">
        <v>2912</v>
      </c>
      <c r="H816" s="1182" t="s">
        <v>4370</v>
      </c>
      <c r="I816" s="1182" t="s">
        <v>1809</v>
      </c>
      <c r="J816" s="1182" t="s">
        <v>4371</v>
      </c>
      <c r="K816" s="1182" t="s">
        <v>1811</v>
      </c>
      <c r="L816" s="1182" t="s">
        <v>1812</v>
      </c>
      <c r="M816" s="1182" t="s">
        <v>1803</v>
      </c>
      <c r="N816" s="1182" t="s">
        <v>4190</v>
      </c>
      <c r="O816" s="1182" t="s">
        <v>1554</v>
      </c>
      <c r="P816" s="1182" t="s">
        <v>1553</v>
      </c>
      <c r="Q816" s="1182" t="s">
        <v>1559</v>
      </c>
      <c r="R816" s="1182" t="s">
        <v>1559</v>
      </c>
      <c r="S816" s="1182" t="s">
        <v>1639</v>
      </c>
      <c r="T816" s="1182" t="s">
        <v>1814</v>
      </c>
      <c r="U816" s="1182" t="s">
        <v>1815</v>
      </c>
      <c r="V816" s="1182">
        <v>0</v>
      </c>
      <c r="W816" s="1182">
        <v>0</v>
      </c>
      <c r="X816" s="1182">
        <v>0</v>
      </c>
      <c r="Y816" s="1182">
        <v>9189</v>
      </c>
      <c r="Z816" s="1182" t="s">
        <v>4288</v>
      </c>
      <c r="AA816" s="1182" t="s">
        <v>4289</v>
      </c>
      <c r="AB816" s="1182">
        <v>9189</v>
      </c>
      <c r="AC816" s="1182" t="s">
        <v>4193</v>
      </c>
      <c r="AD816" s="1182" t="s">
        <v>1559</v>
      </c>
      <c r="AE816" s="1182">
        <v>9189</v>
      </c>
      <c r="AF816" s="1182" t="s">
        <v>1819</v>
      </c>
      <c r="AG816" s="1182" t="s">
        <v>1820</v>
      </c>
      <c r="AH816" s="1182">
        <v>834</v>
      </c>
      <c r="AI816" s="1182">
        <v>8355</v>
      </c>
      <c r="AJ816" s="1182" t="s">
        <v>4216</v>
      </c>
      <c r="AL816" s="1182" t="s">
        <v>4372</v>
      </c>
      <c r="AM816" s="1182">
        <v>1</v>
      </c>
      <c r="AN816" s="1182">
        <v>0</v>
      </c>
      <c r="AO816" s="1182">
        <v>0</v>
      </c>
      <c r="AP816" s="1182">
        <v>0</v>
      </c>
      <c r="AQ816" s="1182" t="s">
        <v>1639</v>
      </c>
      <c r="AS816" s="1182" t="s">
        <v>1819</v>
      </c>
      <c r="AT816" s="1182" t="s">
        <v>1820</v>
      </c>
      <c r="AV816" s="1183">
        <v>0</v>
      </c>
      <c r="AW816" s="1183">
        <v>0</v>
      </c>
      <c r="AX816" s="1183">
        <v>0</v>
      </c>
      <c r="AY816" s="1538">
        <v>0</v>
      </c>
      <c r="AZ816" s="1183">
        <v>0</v>
      </c>
      <c r="BA816" s="1183">
        <v>9189</v>
      </c>
      <c r="BB816" s="1540">
        <v>9189</v>
      </c>
      <c r="BC816" s="1540">
        <v>9189</v>
      </c>
      <c r="BD816" s="1540">
        <v>0</v>
      </c>
      <c r="BF816" s="1539">
        <f t="shared" si="153"/>
        <v>0</v>
      </c>
      <c r="BG816" s="1539">
        <f t="shared" si="154"/>
        <v>0</v>
      </c>
      <c r="BH816" s="1539">
        <f t="shared" si="155"/>
        <v>0</v>
      </c>
      <c r="BI816" s="1539">
        <f t="shared" si="156"/>
        <v>0</v>
      </c>
      <c r="BJ816" s="1539">
        <f t="shared" si="157"/>
        <v>0</v>
      </c>
      <c r="BK816" s="1539">
        <f t="shared" si="158"/>
        <v>8354</v>
      </c>
      <c r="BL816" s="1539">
        <f t="shared" si="159"/>
        <v>8354</v>
      </c>
      <c r="BM816" s="1539">
        <f t="shared" si="160"/>
        <v>8354</v>
      </c>
      <c r="BQ816" s="1182">
        <f t="shared" si="161"/>
        <v>0</v>
      </c>
      <c r="BR816" s="1182">
        <f t="shared" si="162"/>
        <v>-0.36363636363603291</v>
      </c>
    </row>
    <row r="817" spans="1:70">
      <c r="A817" s="1182" t="s">
        <v>1803</v>
      </c>
      <c r="B817" s="1182" t="s">
        <v>1804</v>
      </c>
      <c r="C817" s="1182" t="s">
        <v>1639</v>
      </c>
      <c r="D817" s="1182" t="s">
        <v>2866</v>
      </c>
      <c r="E817" s="1182" t="s">
        <v>2867</v>
      </c>
      <c r="F817" s="1182" t="s">
        <v>3972</v>
      </c>
      <c r="G817" s="1182" t="s">
        <v>3972</v>
      </c>
      <c r="H817" s="1182" t="s">
        <v>4373</v>
      </c>
      <c r="I817" s="1182" t="s">
        <v>2933</v>
      </c>
      <c r="J817" s="1182" t="s">
        <v>4374</v>
      </c>
      <c r="K817" s="1182" t="s">
        <v>1811</v>
      </c>
      <c r="L817" s="1182" t="s">
        <v>1812</v>
      </c>
      <c r="M817" s="1182" t="s">
        <v>1803</v>
      </c>
      <c r="N817" s="1182" t="s">
        <v>4190</v>
      </c>
      <c r="O817" s="1182" t="s">
        <v>1554</v>
      </c>
      <c r="P817" s="1182" t="s">
        <v>1553</v>
      </c>
      <c r="Q817" s="1182" t="s">
        <v>1559</v>
      </c>
      <c r="R817" s="1182" t="s">
        <v>1559</v>
      </c>
      <c r="S817" s="1182" t="s">
        <v>1639</v>
      </c>
      <c r="T817" s="1182" t="s">
        <v>1814</v>
      </c>
      <c r="U817" s="1182" t="s">
        <v>1815</v>
      </c>
      <c r="V817" s="1182">
        <v>0</v>
      </c>
      <c r="W817" s="1182">
        <v>0</v>
      </c>
      <c r="X817" s="1182">
        <v>0</v>
      </c>
      <c r="Y817" s="1182">
        <v>160</v>
      </c>
      <c r="Z817" s="1182" t="s">
        <v>4375</v>
      </c>
      <c r="AA817" s="1182" t="s">
        <v>4376</v>
      </c>
      <c r="AB817" s="1182">
        <v>160</v>
      </c>
      <c r="AC817" s="1182" t="s">
        <v>4193</v>
      </c>
      <c r="AD817" s="1182" t="s">
        <v>1559</v>
      </c>
      <c r="AE817" s="1182">
        <v>160</v>
      </c>
      <c r="AF817" s="1182" t="s">
        <v>2911</v>
      </c>
      <c r="AG817" s="1182" t="s">
        <v>1944</v>
      </c>
      <c r="AH817" s="1182">
        <v>0</v>
      </c>
      <c r="AI817" s="1182">
        <v>160</v>
      </c>
      <c r="AJ817" s="1182" t="s">
        <v>1639</v>
      </c>
      <c r="AL817" s="1182" t="s">
        <v>4377</v>
      </c>
      <c r="AM817" s="1182">
        <v>1</v>
      </c>
      <c r="AN817" s="1182">
        <v>0</v>
      </c>
      <c r="AO817" s="1182">
        <v>0</v>
      </c>
      <c r="AP817" s="1182" t="s">
        <v>4378</v>
      </c>
      <c r="AQ817" s="1182" t="s">
        <v>1639</v>
      </c>
      <c r="AS817" s="1182" t="s">
        <v>2911</v>
      </c>
      <c r="AT817" s="1182" t="s">
        <v>1944</v>
      </c>
      <c r="AV817" s="1183">
        <v>0</v>
      </c>
      <c r="AW817" s="1183">
        <v>0</v>
      </c>
      <c r="AX817" s="1183">
        <v>0</v>
      </c>
      <c r="AY817" s="1538">
        <v>0</v>
      </c>
      <c r="AZ817" s="1183">
        <v>0</v>
      </c>
      <c r="BA817" s="1183">
        <v>160</v>
      </c>
      <c r="BB817" s="1540">
        <v>160</v>
      </c>
      <c r="BC817" s="1540">
        <v>160</v>
      </c>
      <c r="BD817" s="1540">
        <v>0</v>
      </c>
      <c r="BF817" s="1539">
        <f t="shared" si="153"/>
        <v>0</v>
      </c>
      <c r="BG817" s="1539">
        <f t="shared" si="154"/>
        <v>0</v>
      </c>
      <c r="BH817" s="1539">
        <f t="shared" si="155"/>
        <v>0</v>
      </c>
      <c r="BI817" s="1539">
        <f t="shared" si="156"/>
        <v>0</v>
      </c>
      <c r="BJ817" s="1539">
        <f t="shared" si="157"/>
        <v>0</v>
      </c>
      <c r="BK817" s="1539">
        <f t="shared" si="158"/>
        <v>160</v>
      </c>
      <c r="BL817" s="1539">
        <f t="shared" si="159"/>
        <v>160</v>
      </c>
      <c r="BM817" s="1539">
        <f t="shared" si="160"/>
        <v>160</v>
      </c>
      <c r="BQ817" s="1182">
        <f t="shared" si="161"/>
        <v>0</v>
      </c>
      <c r="BR817" s="1182">
        <f t="shared" si="162"/>
        <v>0</v>
      </c>
    </row>
    <row r="818" spans="1:70">
      <c r="A818" s="1182" t="s">
        <v>1803</v>
      </c>
      <c r="B818" s="1182" t="s">
        <v>1804</v>
      </c>
      <c r="C818" s="1182" t="s">
        <v>1639</v>
      </c>
      <c r="D818" s="1182" t="s">
        <v>2866</v>
      </c>
      <c r="E818" s="1182" t="s">
        <v>2867</v>
      </c>
      <c r="F818" s="1182" t="s">
        <v>2123</v>
      </c>
      <c r="G818" s="1182" t="s">
        <v>2123</v>
      </c>
      <c r="H818" s="1182" t="s">
        <v>4379</v>
      </c>
      <c r="I818" s="1182" t="s">
        <v>1937</v>
      </c>
      <c r="J818" s="1182" t="s">
        <v>4380</v>
      </c>
      <c r="K818" s="1182" t="s">
        <v>1811</v>
      </c>
      <c r="L818" s="1182" t="s">
        <v>1812</v>
      </c>
      <c r="M818" s="1182" t="s">
        <v>1803</v>
      </c>
      <c r="N818" s="1182" t="s">
        <v>4190</v>
      </c>
      <c r="O818" s="1182" t="s">
        <v>1554</v>
      </c>
      <c r="P818" s="1182" t="s">
        <v>1553</v>
      </c>
      <c r="Q818" s="1182" t="s">
        <v>1559</v>
      </c>
      <c r="R818" s="1182" t="s">
        <v>1559</v>
      </c>
      <c r="S818" s="1182" t="s">
        <v>1639</v>
      </c>
      <c r="T818" s="1182" t="s">
        <v>1814</v>
      </c>
      <c r="U818" s="1182" t="s">
        <v>1815</v>
      </c>
      <c r="V818" s="1182">
        <v>0</v>
      </c>
      <c r="W818" s="1182">
        <v>0</v>
      </c>
      <c r="X818" s="1182">
        <v>0</v>
      </c>
      <c r="Y818" s="1182">
        <v>274208</v>
      </c>
      <c r="Z818" s="1182" t="s">
        <v>1940</v>
      </c>
      <c r="AA818" s="1182" t="s">
        <v>1941</v>
      </c>
      <c r="AB818" s="1182">
        <v>274208</v>
      </c>
      <c r="AC818" s="1182" t="s">
        <v>4193</v>
      </c>
      <c r="AD818" s="1182" t="s">
        <v>1559</v>
      </c>
      <c r="AE818" s="1182">
        <v>274208</v>
      </c>
      <c r="AF818" s="1182" t="s">
        <v>2911</v>
      </c>
      <c r="AG818" s="1182" t="s">
        <v>1944</v>
      </c>
      <c r="AH818" s="1182">
        <v>0</v>
      </c>
      <c r="AI818" s="1182">
        <v>274208</v>
      </c>
      <c r="AJ818" s="1182" t="s">
        <v>4381</v>
      </c>
      <c r="AL818" s="1182" t="s">
        <v>4382</v>
      </c>
      <c r="AM818" s="1182">
        <v>1</v>
      </c>
      <c r="AN818" s="1182">
        <v>0</v>
      </c>
      <c r="AO818" s="1182">
        <v>0</v>
      </c>
      <c r="AP818" s="1182" t="s">
        <v>4383</v>
      </c>
      <c r="AQ818" s="1182" t="s">
        <v>1639</v>
      </c>
      <c r="AS818" s="1182" t="s">
        <v>2911</v>
      </c>
      <c r="AT818" s="1182" t="s">
        <v>1944</v>
      </c>
      <c r="AV818" s="1183">
        <v>41131</v>
      </c>
      <c r="AW818" s="1183">
        <v>0</v>
      </c>
      <c r="AX818" s="1183">
        <v>0</v>
      </c>
      <c r="AY818" s="1538">
        <v>41131</v>
      </c>
      <c r="AZ818" s="1183">
        <v>0</v>
      </c>
      <c r="BA818" s="1183">
        <v>233077</v>
      </c>
      <c r="BB818" s="1540">
        <v>233077</v>
      </c>
      <c r="BC818" s="1540">
        <v>274208</v>
      </c>
      <c r="BD818" s="1540">
        <v>0</v>
      </c>
      <c r="BF818" s="1539">
        <f t="shared" si="153"/>
        <v>41131</v>
      </c>
      <c r="BG818" s="1539">
        <f t="shared" si="154"/>
        <v>0</v>
      </c>
      <c r="BH818" s="1539">
        <f t="shared" si="155"/>
        <v>0</v>
      </c>
      <c r="BI818" s="1539">
        <f t="shared" si="156"/>
        <v>41131</v>
      </c>
      <c r="BJ818" s="1539">
        <f t="shared" si="157"/>
        <v>0</v>
      </c>
      <c r="BK818" s="1539">
        <f t="shared" si="158"/>
        <v>233077</v>
      </c>
      <c r="BL818" s="1539">
        <f t="shared" si="159"/>
        <v>233077</v>
      </c>
      <c r="BM818" s="1539">
        <f t="shared" si="160"/>
        <v>274208</v>
      </c>
      <c r="BQ818" s="1182">
        <f t="shared" si="161"/>
        <v>0</v>
      </c>
      <c r="BR818" s="1182">
        <f t="shared" si="162"/>
        <v>0</v>
      </c>
    </row>
    <row r="819" spans="1:70">
      <c r="A819" s="1182" t="s">
        <v>1803</v>
      </c>
      <c r="B819" s="1182" t="s">
        <v>1804</v>
      </c>
      <c r="C819" s="1182" t="s">
        <v>1639</v>
      </c>
      <c r="D819" s="1182" t="s">
        <v>2866</v>
      </c>
      <c r="E819" s="1182" t="s">
        <v>2867</v>
      </c>
      <c r="F819" s="1182" t="s">
        <v>2687</v>
      </c>
      <c r="G819" s="1182" t="s">
        <v>2687</v>
      </c>
      <c r="H819" s="1182" t="s">
        <v>4384</v>
      </c>
      <c r="I819" s="1182" t="s">
        <v>1937</v>
      </c>
      <c r="J819" s="1182" t="s">
        <v>4385</v>
      </c>
      <c r="K819" s="1182" t="s">
        <v>1811</v>
      </c>
      <c r="L819" s="1182" t="s">
        <v>1812</v>
      </c>
      <c r="M819" s="1182" t="s">
        <v>1803</v>
      </c>
      <c r="N819" s="1182" t="s">
        <v>4190</v>
      </c>
      <c r="O819" s="1182" t="s">
        <v>1554</v>
      </c>
      <c r="P819" s="1182" t="s">
        <v>1553</v>
      </c>
      <c r="Q819" s="1182" t="s">
        <v>1559</v>
      </c>
      <c r="R819" s="1182" t="s">
        <v>1559</v>
      </c>
      <c r="S819" s="1182" t="s">
        <v>1639</v>
      </c>
      <c r="T819" s="1182" t="s">
        <v>1814</v>
      </c>
      <c r="U819" s="1182" t="s">
        <v>1815</v>
      </c>
      <c r="V819" s="1182">
        <v>0</v>
      </c>
      <c r="W819" s="1182">
        <v>0</v>
      </c>
      <c r="X819" s="1182">
        <v>0</v>
      </c>
      <c r="Y819" s="1182">
        <v>58520</v>
      </c>
      <c r="Z819" s="1182" t="s">
        <v>1940</v>
      </c>
      <c r="AA819" s="1182" t="s">
        <v>1941</v>
      </c>
      <c r="AB819" s="1182">
        <v>58520</v>
      </c>
      <c r="AC819" s="1182" t="s">
        <v>4193</v>
      </c>
      <c r="AD819" s="1182" t="s">
        <v>1559</v>
      </c>
      <c r="AE819" s="1182">
        <v>58520</v>
      </c>
      <c r="AF819" s="1182" t="s">
        <v>2911</v>
      </c>
      <c r="AG819" s="1182" t="s">
        <v>1944</v>
      </c>
      <c r="AH819" s="1182">
        <v>0</v>
      </c>
      <c r="AI819" s="1182">
        <v>58520</v>
      </c>
      <c r="AJ819" s="1182" t="s">
        <v>4386</v>
      </c>
      <c r="AL819" s="1182" t="s">
        <v>4387</v>
      </c>
      <c r="AM819" s="1182">
        <v>1</v>
      </c>
      <c r="AN819" s="1182">
        <v>0</v>
      </c>
      <c r="AO819" s="1182">
        <v>0</v>
      </c>
      <c r="AP819" s="1182" t="s">
        <v>4388</v>
      </c>
      <c r="AQ819" s="1182" t="s">
        <v>1639</v>
      </c>
      <c r="AS819" s="1182" t="s">
        <v>2911</v>
      </c>
      <c r="AT819" s="1182" t="s">
        <v>1944</v>
      </c>
      <c r="AV819" s="1183">
        <v>29260</v>
      </c>
      <c r="AW819" s="1183">
        <v>0</v>
      </c>
      <c r="AX819" s="1183">
        <v>0</v>
      </c>
      <c r="AY819" s="1538">
        <v>29260</v>
      </c>
      <c r="AZ819" s="1183">
        <v>29260</v>
      </c>
      <c r="BA819" s="1183">
        <v>0</v>
      </c>
      <c r="BB819" s="1540">
        <v>29260</v>
      </c>
      <c r="BC819" s="1540">
        <v>58520</v>
      </c>
      <c r="BD819" s="1540">
        <v>0</v>
      </c>
      <c r="BF819" s="1539">
        <f t="shared" si="153"/>
        <v>29260</v>
      </c>
      <c r="BG819" s="1539">
        <f t="shared" si="154"/>
        <v>0</v>
      </c>
      <c r="BH819" s="1539">
        <f t="shared" si="155"/>
        <v>0</v>
      </c>
      <c r="BI819" s="1539">
        <f t="shared" si="156"/>
        <v>29260</v>
      </c>
      <c r="BJ819" s="1539">
        <f t="shared" si="157"/>
        <v>29260</v>
      </c>
      <c r="BK819" s="1539">
        <f t="shared" si="158"/>
        <v>0</v>
      </c>
      <c r="BL819" s="1539">
        <f t="shared" si="159"/>
        <v>29260</v>
      </c>
      <c r="BM819" s="1539">
        <f t="shared" si="160"/>
        <v>58520</v>
      </c>
      <c r="BQ819" s="1182">
        <f t="shared" si="161"/>
        <v>0</v>
      </c>
      <c r="BR819" s="1182">
        <f t="shared" si="162"/>
        <v>0</v>
      </c>
    </row>
    <row r="820" spans="1:70">
      <c r="A820" s="1182" t="s">
        <v>1803</v>
      </c>
      <c r="B820" s="1182" t="s">
        <v>1804</v>
      </c>
      <c r="C820" s="1182" t="s">
        <v>1639</v>
      </c>
      <c r="D820" s="1182" t="s">
        <v>2866</v>
      </c>
      <c r="E820" s="1182" t="s">
        <v>2867</v>
      </c>
      <c r="F820" s="1182" t="s">
        <v>3041</v>
      </c>
      <c r="G820" s="1182" t="s">
        <v>3041</v>
      </c>
      <c r="H820" s="1182" t="s">
        <v>4389</v>
      </c>
      <c r="I820" s="1182" t="s">
        <v>1937</v>
      </c>
      <c r="J820" s="1182" t="s">
        <v>4390</v>
      </c>
      <c r="K820" s="1182" t="s">
        <v>1811</v>
      </c>
      <c r="L820" s="1182" t="s">
        <v>1812</v>
      </c>
      <c r="M820" s="1182" t="s">
        <v>1803</v>
      </c>
      <c r="N820" s="1182" t="s">
        <v>4391</v>
      </c>
      <c r="O820" s="1182" t="s">
        <v>1554</v>
      </c>
      <c r="P820" s="1182" t="s">
        <v>1553</v>
      </c>
      <c r="Q820" s="1182" t="s">
        <v>1552</v>
      </c>
      <c r="R820" s="1182" t="s">
        <v>1552</v>
      </c>
      <c r="S820" s="1182" t="s">
        <v>1639</v>
      </c>
      <c r="T820" s="1182" t="s">
        <v>1814</v>
      </c>
      <c r="U820" s="1182" t="s">
        <v>1815</v>
      </c>
      <c r="V820" s="1182">
        <v>0</v>
      </c>
      <c r="W820" s="1182">
        <v>0</v>
      </c>
      <c r="X820" s="1182">
        <v>0</v>
      </c>
      <c r="Y820" s="1182">
        <v>864807</v>
      </c>
      <c r="Z820" s="1182" t="s">
        <v>1940</v>
      </c>
      <c r="AA820" s="1182" t="s">
        <v>1941</v>
      </c>
      <c r="AB820" s="1182">
        <v>864807</v>
      </c>
      <c r="AC820" s="1182" t="s">
        <v>4392</v>
      </c>
      <c r="AD820" s="1182" t="s">
        <v>1552</v>
      </c>
      <c r="AE820" s="1182">
        <v>864807</v>
      </c>
      <c r="AF820" s="1182" t="s">
        <v>2911</v>
      </c>
      <c r="AG820" s="1182" t="s">
        <v>1944</v>
      </c>
      <c r="AH820" s="1182">
        <v>0</v>
      </c>
      <c r="AI820" s="1182">
        <v>864807</v>
      </c>
      <c r="AJ820" s="1182" t="s">
        <v>4393</v>
      </c>
      <c r="AL820" s="1182" t="s">
        <v>4394</v>
      </c>
      <c r="AM820" s="1182">
        <v>1</v>
      </c>
      <c r="AN820" s="1182">
        <v>0</v>
      </c>
      <c r="AO820" s="1182">
        <v>0</v>
      </c>
      <c r="AP820" s="1182" t="s">
        <v>4395</v>
      </c>
      <c r="AQ820" s="1182" t="s">
        <v>1639</v>
      </c>
      <c r="AS820" s="1182" t="s">
        <v>2911</v>
      </c>
      <c r="AT820" s="1182" t="s">
        <v>1944</v>
      </c>
      <c r="AV820" s="1183">
        <v>588069</v>
      </c>
      <c r="AW820" s="1183">
        <v>0</v>
      </c>
      <c r="AX820" s="1183">
        <v>0</v>
      </c>
      <c r="AY820" s="1538">
        <v>588069</v>
      </c>
      <c r="AZ820" s="1183">
        <v>0</v>
      </c>
      <c r="BA820" s="1183">
        <v>276738</v>
      </c>
      <c r="BB820" s="1540">
        <v>276738</v>
      </c>
      <c r="BC820" s="1540">
        <v>864807</v>
      </c>
      <c r="BD820" s="1540">
        <v>0</v>
      </c>
      <c r="BF820" s="1539">
        <f t="shared" si="153"/>
        <v>588069</v>
      </c>
      <c r="BG820" s="1539">
        <f t="shared" si="154"/>
        <v>0</v>
      </c>
      <c r="BH820" s="1539">
        <f t="shared" si="155"/>
        <v>0</v>
      </c>
      <c r="BI820" s="1539">
        <f t="shared" si="156"/>
        <v>588069</v>
      </c>
      <c r="BJ820" s="1539">
        <f t="shared" si="157"/>
        <v>0</v>
      </c>
      <c r="BK820" s="1539">
        <f t="shared" si="158"/>
        <v>276738</v>
      </c>
      <c r="BL820" s="1539">
        <f t="shared" si="159"/>
        <v>276738</v>
      </c>
      <c r="BM820" s="1539">
        <f t="shared" si="160"/>
        <v>864807</v>
      </c>
      <c r="BQ820" s="1182">
        <f t="shared" si="161"/>
        <v>0</v>
      </c>
      <c r="BR820" s="1182">
        <f t="shared" si="162"/>
        <v>0</v>
      </c>
    </row>
    <row r="821" spans="1:70">
      <c r="A821" s="1182" t="s">
        <v>1803</v>
      </c>
      <c r="B821" s="1182" t="s">
        <v>1804</v>
      </c>
      <c r="C821" s="1182" t="s">
        <v>1639</v>
      </c>
      <c r="D821" s="1182" t="s">
        <v>2590</v>
      </c>
      <c r="E821" s="1182" t="s">
        <v>2591</v>
      </c>
      <c r="F821" s="1182" t="s">
        <v>1864</v>
      </c>
      <c r="G821" s="1182" t="s">
        <v>1864</v>
      </c>
      <c r="H821" s="1182" t="s">
        <v>4396</v>
      </c>
      <c r="I821" s="1182" t="s">
        <v>2933</v>
      </c>
      <c r="J821" s="1182" t="s">
        <v>4397</v>
      </c>
      <c r="K821" s="1182" t="s">
        <v>1811</v>
      </c>
      <c r="L821" s="1182" t="s">
        <v>1812</v>
      </c>
      <c r="M821" s="1182" t="s">
        <v>1803</v>
      </c>
      <c r="N821" s="1182" t="s">
        <v>4398</v>
      </c>
      <c r="O821" s="1182" t="s">
        <v>1554</v>
      </c>
      <c r="P821" s="1182" t="s">
        <v>1553</v>
      </c>
      <c r="Q821" s="1182" t="s">
        <v>1552</v>
      </c>
      <c r="R821" s="1182" t="s">
        <v>1556</v>
      </c>
      <c r="S821" s="1182" t="s">
        <v>1639</v>
      </c>
      <c r="T821" s="1182" t="s">
        <v>1814</v>
      </c>
      <c r="U821" s="1182" t="s">
        <v>1815</v>
      </c>
      <c r="V821" s="1182">
        <v>0</v>
      </c>
      <c r="W821" s="1182">
        <v>0</v>
      </c>
      <c r="X821" s="1182">
        <v>0</v>
      </c>
      <c r="Y821" s="1182">
        <v>16334</v>
      </c>
      <c r="Z821" s="1182" t="s">
        <v>4399</v>
      </c>
      <c r="AA821" s="1182" t="s">
        <v>4400</v>
      </c>
      <c r="AB821" s="1182">
        <v>16334</v>
      </c>
      <c r="AC821" s="1182" t="s">
        <v>4401</v>
      </c>
      <c r="AD821" s="1182" t="s">
        <v>1556</v>
      </c>
      <c r="AE821" s="1182">
        <v>16334</v>
      </c>
      <c r="AF821" s="1182" t="s">
        <v>2911</v>
      </c>
      <c r="AG821" s="1182" t="s">
        <v>1944</v>
      </c>
      <c r="AH821" s="1182">
        <v>0</v>
      </c>
      <c r="AI821" s="1182">
        <v>16334</v>
      </c>
      <c r="AJ821" s="1182" t="s">
        <v>1639</v>
      </c>
      <c r="AL821" s="1182" t="s">
        <v>4402</v>
      </c>
      <c r="AM821" s="1182">
        <v>1</v>
      </c>
      <c r="AN821" s="1182">
        <v>0</v>
      </c>
      <c r="AO821" s="1182">
        <v>0</v>
      </c>
      <c r="AP821" s="1182" t="e">
        <v>#N/A</v>
      </c>
      <c r="AQ821" s="1182" t="s">
        <v>1639</v>
      </c>
      <c r="AS821" s="1182" t="s">
        <v>2911</v>
      </c>
      <c r="AT821" s="1182" t="s">
        <v>1944</v>
      </c>
      <c r="AV821" s="1183">
        <v>0</v>
      </c>
      <c r="AW821" s="1183">
        <v>0</v>
      </c>
      <c r="AX821" s="1183">
        <v>16334</v>
      </c>
      <c r="AY821" s="1538">
        <v>16334</v>
      </c>
      <c r="AZ821" s="1183">
        <v>0</v>
      </c>
      <c r="BA821" s="1183">
        <v>0</v>
      </c>
      <c r="BB821" s="1540">
        <v>0</v>
      </c>
      <c r="BC821" s="1540">
        <v>16334</v>
      </c>
      <c r="BD821" s="1540">
        <v>0</v>
      </c>
      <c r="BF821" s="1539">
        <f t="shared" si="153"/>
        <v>0</v>
      </c>
      <c r="BG821" s="1539">
        <f t="shared" si="154"/>
        <v>0</v>
      </c>
      <c r="BH821" s="1539">
        <f t="shared" si="155"/>
        <v>16334</v>
      </c>
      <c r="BI821" s="1539">
        <f t="shared" si="156"/>
        <v>16334</v>
      </c>
      <c r="BJ821" s="1539">
        <f t="shared" si="157"/>
        <v>0</v>
      </c>
      <c r="BK821" s="1539">
        <f t="shared" si="158"/>
        <v>0</v>
      </c>
      <c r="BL821" s="1539">
        <f t="shared" si="159"/>
        <v>0</v>
      </c>
      <c r="BM821" s="1539">
        <f t="shared" si="160"/>
        <v>16334</v>
      </c>
      <c r="BQ821" s="1182">
        <f t="shared" si="161"/>
        <v>0</v>
      </c>
      <c r="BR821" s="1182">
        <f t="shared" si="162"/>
        <v>0</v>
      </c>
    </row>
    <row r="822" spans="1:70">
      <c r="A822" s="1182" t="s">
        <v>1803</v>
      </c>
      <c r="B822" s="1182" t="s">
        <v>1804</v>
      </c>
      <c r="C822" s="1182" t="s">
        <v>1639</v>
      </c>
      <c r="D822" s="1182" t="s">
        <v>2866</v>
      </c>
      <c r="E822" s="1182" t="s">
        <v>2867</v>
      </c>
      <c r="F822" s="1182" t="s">
        <v>4201</v>
      </c>
      <c r="G822" s="1182" t="s">
        <v>4201</v>
      </c>
      <c r="H822" s="1182" t="s">
        <v>4403</v>
      </c>
      <c r="I822" s="1182" t="s">
        <v>2933</v>
      </c>
      <c r="J822" s="1182" t="s">
        <v>4404</v>
      </c>
      <c r="K822" s="1182" t="s">
        <v>1811</v>
      </c>
      <c r="L822" s="1182" t="s">
        <v>1812</v>
      </c>
      <c r="M822" s="1182" t="s">
        <v>1803</v>
      </c>
      <c r="N822" s="1182" t="s">
        <v>4405</v>
      </c>
      <c r="O822" s="1182" t="s">
        <v>1554</v>
      </c>
      <c r="P822" s="1182" t="s">
        <v>1553</v>
      </c>
      <c r="Q822" s="1182" t="s">
        <v>1552</v>
      </c>
      <c r="R822" s="1182" t="s">
        <v>1551</v>
      </c>
      <c r="S822" s="1182" t="s">
        <v>1639</v>
      </c>
      <c r="T822" s="1182" t="s">
        <v>1814</v>
      </c>
      <c r="U822" s="1182" t="s">
        <v>1815</v>
      </c>
      <c r="V822" s="1182">
        <v>0</v>
      </c>
      <c r="W822" s="1182">
        <v>0</v>
      </c>
      <c r="X822" s="1182">
        <v>0</v>
      </c>
      <c r="Y822" s="1182">
        <v>109000</v>
      </c>
      <c r="Z822" s="1182" t="s">
        <v>4406</v>
      </c>
      <c r="AA822" s="1182" t="s">
        <v>4407</v>
      </c>
      <c r="AB822" s="1182">
        <v>109000</v>
      </c>
      <c r="AC822" s="1182" t="s">
        <v>4408</v>
      </c>
      <c r="AD822" s="1182" t="s">
        <v>1551</v>
      </c>
      <c r="AE822" s="1182">
        <v>109000</v>
      </c>
      <c r="AF822" s="1182" t="s">
        <v>2911</v>
      </c>
      <c r="AG822" s="1182" t="s">
        <v>1944</v>
      </c>
      <c r="AH822" s="1182">
        <v>0</v>
      </c>
      <c r="AI822" s="1182">
        <v>109000</v>
      </c>
      <c r="AJ822" s="1182" t="s">
        <v>1639</v>
      </c>
      <c r="AL822" s="1182" t="s">
        <v>4409</v>
      </c>
      <c r="AM822" s="1182">
        <v>1</v>
      </c>
      <c r="AN822" s="1182">
        <v>0</v>
      </c>
      <c r="AO822" s="1182">
        <v>0</v>
      </c>
      <c r="AP822" s="1182">
        <v>0</v>
      </c>
      <c r="AQ822" s="1182" t="s">
        <v>1639</v>
      </c>
      <c r="AS822" s="1182" t="s">
        <v>2911</v>
      </c>
      <c r="AT822" s="1182" t="s">
        <v>1944</v>
      </c>
      <c r="AV822" s="1183">
        <v>54500</v>
      </c>
      <c r="AW822" s="1183">
        <v>0</v>
      </c>
      <c r="AX822" s="1183">
        <v>0</v>
      </c>
      <c r="AY822" s="1538">
        <v>54500</v>
      </c>
      <c r="AZ822" s="1183">
        <v>0</v>
      </c>
      <c r="BA822" s="1183">
        <v>54500</v>
      </c>
      <c r="BB822" s="1540">
        <v>54500</v>
      </c>
      <c r="BC822" s="1540">
        <v>109000</v>
      </c>
      <c r="BD822" s="1540">
        <v>0</v>
      </c>
      <c r="BF822" s="1539">
        <f t="shared" si="153"/>
        <v>54500</v>
      </c>
      <c r="BG822" s="1539">
        <f t="shared" si="154"/>
        <v>0</v>
      </c>
      <c r="BH822" s="1539">
        <f t="shared" si="155"/>
        <v>0</v>
      </c>
      <c r="BI822" s="1539">
        <f t="shared" si="156"/>
        <v>54500</v>
      </c>
      <c r="BJ822" s="1539">
        <f t="shared" si="157"/>
        <v>0</v>
      </c>
      <c r="BK822" s="1539">
        <f t="shared" si="158"/>
        <v>54500</v>
      </c>
      <c r="BL822" s="1539">
        <f t="shared" si="159"/>
        <v>54500</v>
      </c>
      <c r="BM822" s="1539">
        <f t="shared" si="160"/>
        <v>109000</v>
      </c>
      <c r="BQ822" s="1182">
        <f t="shared" si="161"/>
        <v>0</v>
      </c>
      <c r="BR822" s="1182">
        <f t="shared" si="162"/>
        <v>0</v>
      </c>
    </row>
    <row r="823" spans="1:70">
      <c r="A823" s="1182" t="s">
        <v>1803</v>
      </c>
      <c r="B823" s="1182" t="s">
        <v>1804</v>
      </c>
      <c r="C823" s="1182" t="s">
        <v>1639</v>
      </c>
      <c r="D823" s="1182" t="s">
        <v>2590</v>
      </c>
      <c r="E823" s="1182" t="s">
        <v>2591</v>
      </c>
      <c r="F823" s="1182" t="s">
        <v>1864</v>
      </c>
      <c r="G823" s="1182" t="s">
        <v>1864</v>
      </c>
      <c r="H823" s="1182" t="s">
        <v>4771</v>
      </c>
      <c r="I823" s="1182" t="s">
        <v>2933</v>
      </c>
      <c r="J823" s="1182" t="s">
        <v>4772</v>
      </c>
      <c r="K823" s="1182" t="s">
        <v>1811</v>
      </c>
      <c r="L823" s="1182" t="s">
        <v>1956</v>
      </c>
      <c r="M823" s="1182" t="s">
        <v>1803</v>
      </c>
      <c r="N823" s="1182" t="s">
        <v>4398</v>
      </c>
      <c r="O823" s="1182" t="s">
        <v>1554</v>
      </c>
      <c r="P823" s="1182" t="s">
        <v>1553</v>
      </c>
      <c r="Q823" s="1182" t="s">
        <v>1552</v>
      </c>
      <c r="R823" s="1182" t="s">
        <v>1556</v>
      </c>
      <c r="S823" s="1182" t="s">
        <v>1639</v>
      </c>
      <c r="T823" s="1182" t="s">
        <v>1814</v>
      </c>
      <c r="U823" s="1182" t="s">
        <v>1815</v>
      </c>
      <c r="V823" s="1182">
        <v>0</v>
      </c>
      <c r="W823" s="1182">
        <v>0</v>
      </c>
      <c r="X823" s="1182">
        <v>0</v>
      </c>
      <c r="Y823" s="1182">
        <v>411741</v>
      </c>
      <c r="Z823" s="1182" t="s">
        <v>4773</v>
      </c>
      <c r="AA823" s="1182" t="s">
        <v>1763</v>
      </c>
      <c r="AB823" s="1182">
        <v>411741</v>
      </c>
      <c r="AC823" s="1182" t="s">
        <v>4401</v>
      </c>
      <c r="AD823" s="1182" t="s">
        <v>1556</v>
      </c>
      <c r="AE823" s="1182">
        <v>411741</v>
      </c>
      <c r="AF823" s="1182" t="s">
        <v>2911</v>
      </c>
      <c r="AG823" s="1182" t="s">
        <v>1944</v>
      </c>
      <c r="AH823" s="1182">
        <v>0</v>
      </c>
      <c r="AI823" s="1182">
        <v>411741</v>
      </c>
      <c r="AJ823" s="1182" t="s">
        <v>1639</v>
      </c>
      <c r="AL823" s="1182" t="s">
        <v>4774</v>
      </c>
      <c r="AM823" s="1182">
        <v>1</v>
      </c>
      <c r="AS823" s="1182" t="s">
        <v>2911</v>
      </c>
      <c r="AT823" s="1182" t="s">
        <v>1944</v>
      </c>
      <c r="AV823" s="1183">
        <v>0</v>
      </c>
      <c r="AW823" s="1183">
        <v>0</v>
      </c>
      <c r="AX823" s="1183">
        <v>0</v>
      </c>
      <c r="AY823" s="1538">
        <v>0</v>
      </c>
      <c r="AZ823" s="1183">
        <v>0</v>
      </c>
      <c r="BA823" s="1183">
        <v>411741</v>
      </c>
      <c r="BB823" s="1540">
        <v>411741</v>
      </c>
      <c r="BC823" s="1540">
        <v>411741</v>
      </c>
      <c r="BD823" s="1540">
        <v>0</v>
      </c>
      <c r="BF823" s="1539">
        <f t="shared" ref="BF823:BF824" si="165">+IFERROR(ROUND(AV823*100/(100+$AT823),0),AV823)</f>
        <v>0</v>
      </c>
      <c r="BG823" s="1539">
        <f t="shared" ref="BG823:BG824" si="166">+IFERROR(ROUND(AW823*100/(100+$AT823),0),AW823)</f>
        <v>0</v>
      </c>
      <c r="BH823" s="1539">
        <f t="shared" ref="BH823:BH824" si="167">+IFERROR(ROUND(AX823*100/(100+$AT823),0),AX823)</f>
        <v>0</v>
      </c>
      <c r="BI823" s="1539">
        <f t="shared" ref="BI823:BI824" si="168">SUM(BF823:BH823)</f>
        <v>0</v>
      </c>
      <c r="BJ823" s="1539">
        <f t="shared" ref="BJ823:BJ824" si="169">+IFERROR(ROUND(AZ823*100/(100+$AT823),0),AZ823)</f>
        <v>0</v>
      </c>
      <c r="BK823" s="1539">
        <f t="shared" ref="BK823:BK824" si="170">+IFERROR(ROUND(BA823*100/(100+$AT823),0),BA823)</f>
        <v>411741</v>
      </c>
      <c r="BL823" s="1539">
        <f t="shared" ref="BL823:BL824" si="171">SUM(BJ823:BK823)</f>
        <v>411741</v>
      </c>
      <c r="BM823" s="1539">
        <f t="shared" ref="BM823:BM824" si="172">+BI823+BL823</f>
        <v>411741</v>
      </c>
    </row>
    <row r="824" spans="1:70">
      <c r="A824" s="1182" t="s">
        <v>3049</v>
      </c>
      <c r="B824" s="1182" t="s">
        <v>1804</v>
      </c>
      <c r="C824" s="1182" t="s">
        <v>1639</v>
      </c>
      <c r="D824" s="1182" t="s">
        <v>2590</v>
      </c>
      <c r="E824" s="1182" t="s">
        <v>2591</v>
      </c>
      <c r="F824" s="1182" t="s">
        <v>1864</v>
      </c>
      <c r="G824" s="1182" t="s">
        <v>1864</v>
      </c>
      <c r="H824" s="1182" t="s">
        <v>4771</v>
      </c>
      <c r="I824" s="1182" t="s">
        <v>2933</v>
      </c>
      <c r="J824" s="1182" t="s">
        <v>4775</v>
      </c>
      <c r="K824" s="1182" t="s">
        <v>1811</v>
      </c>
      <c r="L824" s="1182" t="s">
        <v>1956</v>
      </c>
      <c r="M824" s="1182" t="s">
        <v>1803</v>
      </c>
      <c r="N824" s="1182" t="s">
        <v>4398</v>
      </c>
      <c r="O824" s="1182" t="s">
        <v>1554</v>
      </c>
      <c r="P824" s="1182" t="s">
        <v>1553</v>
      </c>
      <c r="Q824" s="1182" t="s">
        <v>1552</v>
      </c>
      <c r="R824" s="1182" t="s">
        <v>1556</v>
      </c>
      <c r="S824" s="1182" t="s">
        <v>1639</v>
      </c>
      <c r="T824" s="1182" t="s">
        <v>1814</v>
      </c>
      <c r="U824" s="1182" t="s">
        <v>1815</v>
      </c>
      <c r="V824" s="1182">
        <v>0</v>
      </c>
      <c r="W824" s="1182">
        <v>0</v>
      </c>
      <c r="X824" s="1182">
        <v>0</v>
      </c>
      <c r="Y824" s="1182">
        <v>27547</v>
      </c>
      <c r="Z824" s="1182" t="s">
        <v>4773</v>
      </c>
      <c r="AA824" s="1182" t="s">
        <v>1763</v>
      </c>
      <c r="AB824" s="1182">
        <v>27547</v>
      </c>
      <c r="AC824" s="1182" t="s">
        <v>4401</v>
      </c>
      <c r="AD824" s="1182" t="s">
        <v>1556</v>
      </c>
      <c r="AE824" s="1182">
        <v>27547</v>
      </c>
      <c r="AF824" s="1182" t="s">
        <v>2911</v>
      </c>
      <c r="AG824" s="1182" t="s">
        <v>1944</v>
      </c>
      <c r="AH824" s="1182">
        <v>0</v>
      </c>
      <c r="AI824" s="1182">
        <v>27547</v>
      </c>
      <c r="AJ824" s="1182" t="s">
        <v>1639</v>
      </c>
      <c r="AL824" s="1182" t="s">
        <v>4776</v>
      </c>
      <c r="AM824" s="1182">
        <v>1</v>
      </c>
      <c r="AS824" s="1182" t="s">
        <v>2911</v>
      </c>
      <c r="AT824" s="1182" t="s">
        <v>1944</v>
      </c>
      <c r="AV824" s="1183">
        <v>0</v>
      </c>
      <c r="AW824" s="1183">
        <v>0</v>
      </c>
      <c r="AX824" s="1183">
        <v>0</v>
      </c>
      <c r="AY824" s="1183">
        <v>0</v>
      </c>
      <c r="AZ824" s="1183">
        <v>0</v>
      </c>
      <c r="BA824" s="1183">
        <v>27547</v>
      </c>
      <c r="BB824" s="1183">
        <v>27547</v>
      </c>
      <c r="BC824" s="1183">
        <v>27547</v>
      </c>
      <c r="BD824" s="1183">
        <v>0</v>
      </c>
      <c r="BF824" s="1539">
        <f t="shared" si="165"/>
        <v>0</v>
      </c>
      <c r="BG824" s="1539">
        <f t="shared" si="166"/>
        <v>0</v>
      </c>
      <c r="BH824" s="1539">
        <f t="shared" si="167"/>
        <v>0</v>
      </c>
      <c r="BI824" s="1539">
        <f t="shared" si="168"/>
        <v>0</v>
      </c>
      <c r="BJ824" s="1539">
        <f t="shared" si="169"/>
        <v>0</v>
      </c>
      <c r="BK824" s="1539">
        <f t="shared" si="170"/>
        <v>27547</v>
      </c>
      <c r="BL824" s="1539">
        <f t="shared" si="171"/>
        <v>27547</v>
      </c>
      <c r="BM824" s="1539">
        <f t="shared" si="172"/>
        <v>27547</v>
      </c>
    </row>
    <row r="825" spans="1:70">
      <c r="BF825" s="1539"/>
      <c r="BG825" s="1539"/>
      <c r="BH825" s="1539"/>
      <c r="BI825" s="1539"/>
      <c r="BJ825" s="1539"/>
      <c r="BK825" s="1539"/>
      <c r="BL825" s="1539"/>
      <c r="BM825" s="1539"/>
    </row>
    <row r="826" spans="1:70">
      <c r="BF826" s="1539"/>
      <c r="BG826" s="1539"/>
      <c r="BH826" s="1539"/>
      <c r="BI826" s="1539"/>
      <c r="BJ826" s="1539"/>
      <c r="BK826" s="1539"/>
      <c r="BL826" s="1539"/>
      <c r="BM826" s="1539"/>
    </row>
    <row r="827" spans="1:70">
      <c r="BF827" s="1539"/>
      <c r="BG827" s="1539"/>
      <c r="BH827" s="1539"/>
      <c r="BI827" s="1539"/>
      <c r="BJ827" s="1539"/>
      <c r="BK827" s="1539"/>
      <c r="BL827" s="1539"/>
      <c r="BM827" s="1539"/>
    </row>
    <row r="828" spans="1:70">
      <c r="BF828" s="1539"/>
      <c r="BG828" s="1539"/>
      <c r="BH828" s="1539"/>
      <c r="BI828" s="1539"/>
      <c r="BJ828" s="1539"/>
      <c r="BK828" s="1539"/>
      <c r="BL828" s="1539"/>
      <c r="BM828" s="1539"/>
    </row>
    <row r="829" spans="1:70">
      <c r="BF829" s="1539"/>
      <c r="BG829" s="1539"/>
      <c r="BH829" s="1539"/>
      <c r="BI829" s="1539"/>
      <c r="BJ829" s="1539"/>
      <c r="BK829" s="1539"/>
      <c r="BL829" s="1539"/>
      <c r="BM829" s="1539"/>
    </row>
    <row r="830" spans="1:70">
      <c r="BF830" s="1539"/>
      <c r="BG830" s="1539"/>
      <c r="BH830" s="1539"/>
      <c r="BI830" s="1539"/>
      <c r="BJ830" s="1539"/>
      <c r="BK830" s="1539"/>
      <c r="BL830" s="1539"/>
      <c r="BM830" s="1539"/>
    </row>
    <row r="831" spans="1:70">
      <c r="BF831" s="1539"/>
      <c r="BG831" s="1539"/>
      <c r="BH831" s="1539"/>
      <c r="BI831" s="1539"/>
      <c r="BJ831" s="1539"/>
      <c r="BK831" s="1539"/>
      <c r="BL831" s="1539"/>
      <c r="BM831" s="1539"/>
    </row>
    <row r="832" spans="1:70">
      <c r="BF832" s="1539"/>
      <c r="BG832" s="1539"/>
      <c r="BH832" s="1539"/>
      <c r="BI832" s="1539"/>
      <c r="BJ832" s="1539"/>
      <c r="BK832" s="1539"/>
      <c r="BL832" s="1539"/>
      <c r="BM832" s="1539"/>
    </row>
    <row r="833" spans="58:65">
      <c r="BF833" s="1539"/>
      <c r="BG833" s="1539"/>
      <c r="BH833" s="1539"/>
      <c r="BI833" s="1539"/>
      <c r="BJ833" s="1539"/>
      <c r="BK833" s="1539"/>
      <c r="BL833" s="1539"/>
      <c r="BM833" s="1539"/>
    </row>
    <row r="834" spans="58:65">
      <c r="BF834" s="1539"/>
      <c r="BG834" s="1539"/>
      <c r="BH834" s="1539"/>
      <c r="BI834" s="1539"/>
      <c r="BJ834" s="1539"/>
      <c r="BK834" s="1539"/>
      <c r="BL834" s="1539"/>
      <c r="BM834" s="1539"/>
    </row>
    <row r="835" spans="58:65">
      <c r="BF835" s="1539"/>
      <c r="BG835" s="1539"/>
      <c r="BH835" s="1539"/>
      <c r="BI835" s="1539"/>
      <c r="BJ835" s="1539"/>
      <c r="BK835" s="1539"/>
      <c r="BL835" s="1539"/>
      <c r="BM835" s="1539"/>
    </row>
    <row r="836" spans="58:65">
      <c r="BF836" s="1539"/>
      <c r="BG836" s="1539"/>
      <c r="BH836" s="1539"/>
      <c r="BI836" s="1539"/>
      <c r="BJ836" s="1539"/>
      <c r="BK836" s="1539"/>
      <c r="BL836" s="1539"/>
      <c r="BM836" s="1539"/>
    </row>
    <row r="837" spans="58:65">
      <c r="BF837" s="1539"/>
      <c r="BG837" s="1539"/>
      <c r="BH837" s="1539"/>
      <c r="BI837" s="1539"/>
      <c r="BJ837" s="1539"/>
      <c r="BK837" s="1539"/>
      <c r="BL837" s="1539"/>
      <c r="BM837" s="1539"/>
    </row>
    <row r="838" spans="58:65">
      <c r="BF838" s="1539"/>
      <c r="BG838" s="1539"/>
      <c r="BH838" s="1539"/>
      <c r="BI838" s="1539"/>
      <c r="BJ838" s="1539"/>
      <c r="BK838" s="1539"/>
      <c r="BL838" s="1539"/>
      <c r="BM838" s="1539"/>
    </row>
    <row r="839" spans="58:65">
      <c r="BF839" s="1539"/>
      <c r="BG839" s="1539"/>
      <c r="BH839" s="1539"/>
      <c r="BI839" s="1539"/>
      <c r="BJ839" s="1539"/>
      <c r="BK839" s="1539"/>
      <c r="BL839" s="1539"/>
      <c r="BM839" s="1539"/>
    </row>
    <row r="840" spans="58:65">
      <c r="BF840" s="1539"/>
      <c r="BG840" s="1539"/>
      <c r="BH840" s="1539"/>
      <c r="BI840" s="1539"/>
      <c r="BJ840" s="1539"/>
      <c r="BK840" s="1539"/>
      <c r="BL840" s="1539"/>
      <c r="BM840" s="1539"/>
    </row>
    <row r="841" spans="58:65">
      <c r="BF841" s="1539"/>
      <c r="BG841" s="1539"/>
      <c r="BH841" s="1539"/>
      <c r="BI841" s="1539"/>
      <c r="BJ841" s="1539"/>
      <c r="BK841" s="1539"/>
      <c r="BL841" s="1539"/>
      <c r="BM841" s="1539"/>
    </row>
    <row r="842" spans="58:65">
      <c r="BF842" s="1539"/>
      <c r="BG842" s="1539"/>
      <c r="BH842" s="1539"/>
      <c r="BI842" s="1539"/>
      <c r="BJ842" s="1539"/>
      <c r="BK842" s="1539"/>
      <c r="BL842" s="1539"/>
      <c r="BM842" s="1539"/>
    </row>
    <row r="843" spans="58:65">
      <c r="BF843" s="1539"/>
      <c r="BG843" s="1539"/>
      <c r="BH843" s="1539"/>
      <c r="BI843" s="1539"/>
      <c r="BJ843" s="1539"/>
      <c r="BK843" s="1539"/>
      <c r="BL843" s="1539"/>
      <c r="BM843" s="1539"/>
    </row>
    <row r="844" spans="58:65">
      <c r="BF844" s="1539"/>
      <c r="BG844" s="1539"/>
      <c r="BH844" s="1539"/>
      <c r="BI844" s="1539"/>
      <c r="BJ844" s="1539"/>
      <c r="BK844" s="1539"/>
      <c r="BL844" s="1539"/>
      <c r="BM844" s="1539"/>
    </row>
    <row r="845" spans="58:65">
      <c r="BF845" s="1539"/>
      <c r="BG845" s="1539"/>
      <c r="BH845" s="1539"/>
      <c r="BI845" s="1539"/>
      <c r="BJ845" s="1539"/>
      <c r="BK845" s="1539"/>
      <c r="BL845" s="1539"/>
      <c r="BM845" s="1539"/>
    </row>
    <row r="846" spans="58:65">
      <c r="BF846" s="1539"/>
      <c r="BG846" s="1539"/>
      <c r="BH846" s="1539"/>
      <c r="BI846" s="1539"/>
      <c r="BJ846" s="1539"/>
      <c r="BK846" s="1539"/>
      <c r="BL846" s="1539"/>
      <c r="BM846" s="1539"/>
    </row>
    <row r="847" spans="58:65">
      <c r="BF847" s="1539"/>
      <c r="BG847" s="1539"/>
      <c r="BH847" s="1539"/>
      <c r="BI847" s="1539"/>
      <c r="BJ847" s="1539"/>
      <c r="BK847" s="1539"/>
      <c r="BL847" s="1539"/>
      <c r="BM847" s="1539"/>
    </row>
    <row r="848" spans="58:65">
      <c r="BF848" s="1539"/>
      <c r="BG848" s="1539"/>
      <c r="BH848" s="1539"/>
      <c r="BI848" s="1539"/>
      <c r="BJ848" s="1539"/>
      <c r="BK848" s="1539"/>
      <c r="BL848" s="1539"/>
      <c r="BM848" s="1539"/>
    </row>
    <row r="849" spans="58:65">
      <c r="BF849" s="1539"/>
      <c r="BG849" s="1539"/>
      <c r="BH849" s="1539"/>
      <c r="BI849" s="1539"/>
      <c r="BJ849" s="1539"/>
      <c r="BK849" s="1539"/>
      <c r="BL849" s="1539"/>
      <c r="BM849" s="1539"/>
    </row>
    <row r="850" spans="58:65">
      <c r="BF850" s="1539"/>
      <c r="BG850" s="1539"/>
      <c r="BH850" s="1539"/>
      <c r="BI850" s="1539"/>
      <c r="BJ850" s="1539"/>
      <c r="BK850" s="1539"/>
      <c r="BL850" s="1539"/>
      <c r="BM850" s="1539"/>
    </row>
    <row r="851" spans="58:65">
      <c r="BF851" s="1539"/>
      <c r="BG851" s="1539"/>
      <c r="BH851" s="1539"/>
      <c r="BI851" s="1539"/>
      <c r="BJ851" s="1539"/>
      <c r="BK851" s="1539"/>
      <c r="BL851" s="1539"/>
      <c r="BM851" s="1539"/>
    </row>
    <row r="852" spans="58:65">
      <c r="BF852" s="1539"/>
      <c r="BG852" s="1539"/>
      <c r="BH852" s="1539"/>
      <c r="BI852" s="1539"/>
      <c r="BJ852" s="1539"/>
      <c r="BK852" s="1539"/>
      <c r="BL852" s="1539"/>
      <c r="BM852" s="1539"/>
    </row>
    <row r="853" spans="58:65">
      <c r="BF853" s="1539"/>
      <c r="BG853" s="1539"/>
      <c r="BH853" s="1539"/>
      <c r="BI853" s="1539"/>
      <c r="BJ853" s="1539"/>
      <c r="BK853" s="1539"/>
      <c r="BL853" s="1539"/>
      <c r="BM853" s="1539"/>
    </row>
    <row r="854" spans="58:65">
      <c r="BF854" s="1539"/>
      <c r="BG854" s="1539"/>
      <c r="BH854" s="1539"/>
      <c r="BI854" s="1539"/>
      <c r="BJ854" s="1539"/>
      <c r="BK854" s="1539"/>
      <c r="BL854" s="1539"/>
      <c r="BM854" s="1539"/>
    </row>
    <row r="855" spans="58:65">
      <c r="BF855" s="1539"/>
      <c r="BG855" s="1539"/>
      <c r="BH855" s="1539"/>
      <c r="BI855" s="1539"/>
      <c r="BJ855" s="1539"/>
      <c r="BK855" s="1539"/>
      <c r="BL855" s="1539"/>
      <c r="BM855" s="1539"/>
    </row>
    <row r="856" spans="58:65">
      <c r="BF856" s="1539"/>
      <c r="BG856" s="1539"/>
      <c r="BH856" s="1539"/>
      <c r="BI856" s="1539"/>
      <c r="BJ856" s="1539"/>
      <c r="BK856" s="1539"/>
      <c r="BL856" s="1539"/>
      <c r="BM856" s="1539"/>
    </row>
    <row r="857" spans="58:65">
      <c r="BF857" s="1539"/>
      <c r="BG857" s="1539"/>
      <c r="BH857" s="1539"/>
      <c r="BI857" s="1539"/>
      <c r="BJ857" s="1539"/>
      <c r="BK857" s="1539"/>
      <c r="BL857" s="1539"/>
      <c r="BM857" s="1539"/>
    </row>
    <row r="858" spans="58:65">
      <c r="BF858" s="1539"/>
      <c r="BG858" s="1539"/>
      <c r="BH858" s="1539"/>
      <c r="BI858" s="1539"/>
      <c r="BJ858" s="1539"/>
      <c r="BK858" s="1539"/>
      <c r="BL858" s="1539"/>
      <c r="BM858" s="1539"/>
    </row>
    <row r="859" spans="58:65">
      <c r="BF859" s="1539"/>
      <c r="BG859" s="1539"/>
      <c r="BH859" s="1539"/>
      <c r="BI859" s="1539"/>
      <c r="BJ859" s="1539"/>
      <c r="BK859" s="1539"/>
      <c r="BL859" s="1539"/>
      <c r="BM859" s="1539"/>
    </row>
    <row r="860" spans="58:65">
      <c r="BF860" s="1539"/>
      <c r="BG860" s="1539"/>
      <c r="BH860" s="1539"/>
      <c r="BI860" s="1539"/>
      <c r="BJ860" s="1539"/>
      <c r="BK860" s="1539"/>
      <c r="BL860" s="1539"/>
      <c r="BM860" s="1539"/>
    </row>
    <row r="861" spans="58:65">
      <c r="BF861" s="1539"/>
      <c r="BG861" s="1539"/>
      <c r="BH861" s="1539"/>
      <c r="BI861" s="1539"/>
      <c r="BJ861" s="1539"/>
      <c r="BK861" s="1539"/>
      <c r="BL861" s="1539"/>
      <c r="BM861" s="1539"/>
    </row>
    <row r="862" spans="58:65">
      <c r="BF862" s="1539"/>
      <c r="BG862" s="1539"/>
      <c r="BH862" s="1539"/>
      <c r="BI862" s="1539"/>
      <c r="BJ862" s="1539"/>
      <c r="BK862" s="1539"/>
      <c r="BL862" s="1539"/>
      <c r="BM862" s="1539"/>
    </row>
    <row r="863" spans="58:65">
      <c r="BF863" s="1539"/>
      <c r="BG863" s="1539"/>
      <c r="BH863" s="1539"/>
      <c r="BI863" s="1539"/>
      <c r="BJ863" s="1539"/>
      <c r="BK863" s="1539"/>
      <c r="BL863" s="1539"/>
      <c r="BM863" s="1539"/>
    </row>
    <row r="864" spans="58:65">
      <c r="BF864" s="1539"/>
      <c r="BG864" s="1539"/>
      <c r="BH864" s="1539"/>
      <c r="BI864" s="1539"/>
      <c r="BJ864" s="1539"/>
      <c r="BK864" s="1539"/>
      <c r="BL864" s="1539"/>
      <c r="BM864" s="1539"/>
    </row>
    <row r="865" spans="58:65">
      <c r="BF865" s="1539"/>
      <c r="BG865" s="1539"/>
      <c r="BH865" s="1539"/>
      <c r="BI865" s="1539"/>
      <c r="BJ865" s="1539"/>
      <c r="BK865" s="1539"/>
      <c r="BL865" s="1539"/>
      <c r="BM865" s="1539"/>
    </row>
    <row r="866" spans="58:65">
      <c r="BF866" s="1539"/>
      <c r="BG866" s="1539"/>
      <c r="BH866" s="1539"/>
      <c r="BI866" s="1539"/>
      <c r="BJ866" s="1539"/>
      <c r="BK866" s="1539"/>
      <c r="BL866" s="1539"/>
      <c r="BM866" s="1539"/>
    </row>
    <row r="867" spans="58:65">
      <c r="BF867" s="1539"/>
      <c r="BG867" s="1539"/>
      <c r="BH867" s="1539"/>
      <c r="BI867" s="1539"/>
      <c r="BJ867" s="1539"/>
      <c r="BK867" s="1539"/>
      <c r="BL867" s="1539"/>
      <c r="BM867" s="1539"/>
    </row>
    <row r="868" spans="58:65">
      <c r="BF868" s="1539"/>
      <c r="BG868" s="1539"/>
      <c r="BH868" s="1539"/>
      <c r="BI868" s="1539"/>
      <c r="BJ868" s="1539"/>
      <c r="BK868" s="1539"/>
      <c r="BL868" s="1539"/>
      <c r="BM868" s="1539"/>
    </row>
    <row r="869" spans="58:65">
      <c r="BF869" s="1539"/>
      <c r="BG869" s="1539"/>
      <c r="BH869" s="1539"/>
      <c r="BI869" s="1539"/>
      <c r="BJ869" s="1539"/>
      <c r="BK869" s="1539"/>
      <c r="BL869" s="1539"/>
      <c r="BM869" s="1539"/>
    </row>
    <row r="870" spans="58:65">
      <c r="BF870" s="1539"/>
      <c r="BG870" s="1539"/>
      <c r="BH870" s="1539"/>
      <c r="BI870" s="1539"/>
      <c r="BJ870" s="1539"/>
      <c r="BK870" s="1539"/>
      <c r="BL870" s="1539"/>
      <c r="BM870" s="1539"/>
    </row>
    <row r="871" spans="58:65">
      <c r="BF871" s="1539"/>
      <c r="BG871" s="1539"/>
      <c r="BH871" s="1539"/>
      <c r="BI871" s="1539"/>
      <c r="BJ871" s="1539"/>
      <c r="BK871" s="1539"/>
      <c r="BL871" s="1539"/>
      <c r="BM871" s="1539"/>
    </row>
    <row r="872" spans="58:65">
      <c r="BF872" s="1539"/>
      <c r="BG872" s="1539"/>
      <c r="BH872" s="1539"/>
      <c r="BI872" s="1539"/>
      <c r="BJ872" s="1539"/>
      <c r="BK872" s="1539"/>
      <c r="BL872" s="1539"/>
      <c r="BM872" s="1539"/>
    </row>
    <row r="873" spans="58:65">
      <c r="BF873" s="1539"/>
      <c r="BG873" s="1539"/>
      <c r="BH873" s="1539"/>
      <c r="BI873" s="1539"/>
      <c r="BJ873" s="1539"/>
      <c r="BK873" s="1539"/>
      <c r="BL873" s="1539"/>
      <c r="BM873" s="1539"/>
    </row>
    <row r="874" spans="58:65">
      <c r="BF874" s="1539"/>
      <c r="BG874" s="1539"/>
      <c r="BH874" s="1539"/>
      <c r="BI874" s="1539"/>
      <c r="BJ874" s="1539"/>
      <c r="BK874" s="1539"/>
      <c r="BL874" s="1539"/>
      <c r="BM874" s="1539"/>
    </row>
    <row r="875" spans="58:65">
      <c r="BF875" s="1539"/>
      <c r="BG875" s="1539"/>
      <c r="BH875" s="1539"/>
      <c r="BI875" s="1539"/>
      <c r="BJ875" s="1539"/>
      <c r="BK875" s="1539"/>
      <c r="BL875" s="1539"/>
      <c r="BM875" s="1539"/>
    </row>
    <row r="876" spans="58:65">
      <c r="BF876" s="1539"/>
      <c r="BG876" s="1539"/>
      <c r="BH876" s="1539"/>
      <c r="BI876" s="1539"/>
      <c r="BJ876" s="1539"/>
      <c r="BK876" s="1539"/>
      <c r="BL876" s="1539"/>
      <c r="BM876" s="1539"/>
    </row>
    <row r="877" spans="58:65">
      <c r="BF877" s="1539"/>
      <c r="BG877" s="1539"/>
      <c r="BH877" s="1539"/>
      <c r="BI877" s="1539"/>
      <c r="BJ877" s="1539"/>
      <c r="BK877" s="1539"/>
      <c r="BL877" s="1539"/>
      <c r="BM877" s="1539"/>
    </row>
    <row r="878" spans="58:65">
      <c r="BF878" s="1539"/>
      <c r="BG878" s="1539"/>
      <c r="BH878" s="1539"/>
      <c r="BI878" s="1539"/>
      <c r="BJ878" s="1539"/>
      <c r="BK878" s="1539"/>
      <c r="BL878" s="1539"/>
      <c r="BM878" s="1539"/>
    </row>
    <row r="879" spans="58:65">
      <c r="BF879" s="1539"/>
      <c r="BG879" s="1539"/>
      <c r="BH879" s="1539"/>
      <c r="BI879" s="1539"/>
      <c r="BJ879" s="1539"/>
      <c r="BK879" s="1539"/>
      <c r="BL879" s="1539"/>
      <c r="BM879" s="1539"/>
    </row>
    <row r="880" spans="58:65">
      <c r="BF880" s="1539"/>
      <c r="BG880" s="1539"/>
      <c r="BH880" s="1539"/>
      <c r="BI880" s="1539"/>
      <c r="BJ880" s="1539"/>
      <c r="BK880" s="1539"/>
      <c r="BL880" s="1539"/>
      <c r="BM880" s="1539"/>
    </row>
    <row r="881" spans="58:65">
      <c r="BF881" s="1539"/>
      <c r="BG881" s="1539"/>
      <c r="BH881" s="1539"/>
      <c r="BI881" s="1539"/>
      <c r="BJ881" s="1539"/>
      <c r="BK881" s="1539"/>
      <c r="BL881" s="1539"/>
      <c r="BM881" s="1539"/>
    </row>
    <row r="882" spans="58:65">
      <c r="BF882" s="1539"/>
      <c r="BG882" s="1539"/>
      <c r="BH882" s="1539"/>
      <c r="BI882" s="1539"/>
      <c r="BJ882" s="1539"/>
      <c r="BK882" s="1539"/>
      <c r="BL882" s="1539"/>
      <c r="BM882" s="1539"/>
    </row>
    <row r="883" spans="58:65">
      <c r="BF883" s="1539"/>
      <c r="BG883" s="1539"/>
      <c r="BH883" s="1539"/>
      <c r="BI883" s="1539"/>
      <c r="BJ883" s="1539"/>
      <c r="BK883" s="1539"/>
      <c r="BL883" s="1539"/>
      <c r="BM883" s="1539"/>
    </row>
    <row r="884" spans="58:65">
      <c r="BF884" s="1539"/>
      <c r="BG884" s="1539"/>
      <c r="BH884" s="1539"/>
      <c r="BI884" s="1539"/>
      <c r="BJ884" s="1539"/>
      <c r="BK884" s="1539"/>
      <c r="BL884" s="1539"/>
      <c r="BM884" s="1539"/>
    </row>
    <row r="885" spans="58:65">
      <c r="BF885" s="1539"/>
      <c r="BG885" s="1539"/>
      <c r="BH885" s="1539"/>
      <c r="BI885" s="1539"/>
      <c r="BJ885" s="1539"/>
      <c r="BK885" s="1539"/>
      <c r="BL885" s="1539"/>
      <c r="BM885" s="1539"/>
    </row>
    <row r="886" spans="58:65">
      <c r="BF886" s="1539"/>
      <c r="BG886" s="1539"/>
      <c r="BH886" s="1539"/>
      <c r="BI886" s="1539"/>
      <c r="BJ886" s="1539"/>
      <c r="BK886" s="1539"/>
      <c r="BL886" s="1539"/>
      <c r="BM886" s="1539"/>
    </row>
    <row r="887" spans="58:65">
      <c r="BF887" s="1539"/>
      <c r="BG887" s="1539"/>
      <c r="BH887" s="1539"/>
      <c r="BI887" s="1539"/>
      <c r="BJ887" s="1539"/>
      <c r="BK887" s="1539"/>
      <c r="BL887" s="1539"/>
      <c r="BM887" s="1539"/>
    </row>
    <row r="888" spans="58:65">
      <c r="BF888" s="1539"/>
      <c r="BG888" s="1539"/>
      <c r="BH888" s="1539"/>
      <c r="BI888" s="1539"/>
      <c r="BJ888" s="1539"/>
      <c r="BK888" s="1539"/>
      <c r="BL888" s="1539"/>
      <c r="BM888" s="1539"/>
    </row>
    <row r="889" spans="58:65">
      <c r="BF889" s="1539"/>
      <c r="BG889" s="1539"/>
      <c r="BH889" s="1539"/>
      <c r="BI889" s="1539"/>
      <c r="BJ889" s="1539"/>
      <c r="BK889" s="1539"/>
      <c r="BL889" s="1539"/>
      <c r="BM889" s="1539"/>
    </row>
    <row r="890" spans="58:65">
      <c r="BF890" s="1539"/>
      <c r="BG890" s="1539"/>
      <c r="BH890" s="1539"/>
      <c r="BI890" s="1539"/>
      <c r="BJ890" s="1539"/>
      <c r="BK890" s="1539"/>
      <c r="BL890" s="1539"/>
      <c r="BM890" s="1539"/>
    </row>
    <row r="891" spans="58:65">
      <c r="BF891" s="1539"/>
      <c r="BG891" s="1539"/>
      <c r="BH891" s="1539"/>
      <c r="BI891" s="1539"/>
      <c r="BJ891" s="1539"/>
      <c r="BK891" s="1539"/>
      <c r="BL891" s="1539"/>
      <c r="BM891" s="1539"/>
    </row>
    <row r="892" spans="58:65">
      <c r="BF892" s="1539"/>
      <c r="BG892" s="1539"/>
      <c r="BH892" s="1539"/>
      <c r="BI892" s="1539"/>
      <c r="BJ892" s="1539"/>
      <c r="BK892" s="1539"/>
      <c r="BL892" s="1539"/>
      <c r="BM892" s="1539"/>
    </row>
    <row r="893" spans="58:65">
      <c r="BF893" s="1539"/>
      <c r="BG893" s="1539"/>
      <c r="BH893" s="1539"/>
      <c r="BI893" s="1539"/>
      <c r="BJ893" s="1539"/>
      <c r="BK893" s="1539"/>
      <c r="BL893" s="1539"/>
      <c r="BM893" s="1539"/>
    </row>
    <row r="894" spans="58:65">
      <c r="BF894" s="1539"/>
      <c r="BG894" s="1539"/>
      <c r="BH894" s="1539"/>
      <c r="BI894" s="1539"/>
      <c r="BJ894" s="1539"/>
      <c r="BK894" s="1539"/>
      <c r="BL894" s="1539"/>
      <c r="BM894" s="1539"/>
    </row>
    <row r="895" spans="58:65">
      <c r="BF895" s="1539"/>
      <c r="BG895" s="1539"/>
      <c r="BH895" s="1539"/>
      <c r="BI895" s="1539"/>
      <c r="BJ895" s="1539"/>
      <c r="BK895" s="1539"/>
      <c r="BL895" s="1539"/>
      <c r="BM895" s="1539"/>
    </row>
    <row r="896" spans="58:65">
      <c r="BF896" s="1539"/>
      <c r="BG896" s="1539"/>
      <c r="BH896" s="1539"/>
      <c r="BI896" s="1539"/>
      <c r="BJ896" s="1539"/>
      <c r="BK896" s="1539"/>
      <c r="BL896" s="1539"/>
      <c r="BM896" s="1539"/>
    </row>
    <row r="897" spans="58:65">
      <c r="BF897" s="1539"/>
      <c r="BG897" s="1539"/>
      <c r="BH897" s="1539"/>
      <c r="BI897" s="1539"/>
      <c r="BJ897" s="1539"/>
      <c r="BK897" s="1539"/>
      <c r="BL897" s="1539"/>
      <c r="BM897" s="1539"/>
    </row>
    <row r="898" spans="58:65">
      <c r="BF898" s="1539"/>
      <c r="BG898" s="1539"/>
      <c r="BH898" s="1539"/>
      <c r="BI898" s="1539"/>
      <c r="BJ898" s="1539"/>
      <c r="BK898" s="1539"/>
      <c r="BL898" s="1539"/>
      <c r="BM898" s="1539"/>
    </row>
    <row r="899" spans="58:65">
      <c r="BF899" s="1539"/>
      <c r="BG899" s="1539"/>
      <c r="BH899" s="1539"/>
      <c r="BI899" s="1539"/>
      <c r="BJ899" s="1539"/>
      <c r="BK899" s="1539"/>
      <c r="BL899" s="1539"/>
      <c r="BM899" s="1539"/>
    </row>
    <row r="900" spans="58:65">
      <c r="BF900" s="1539"/>
      <c r="BG900" s="1539"/>
      <c r="BH900" s="1539"/>
      <c r="BI900" s="1539"/>
      <c r="BJ900" s="1539"/>
      <c r="BK900" s="1539"/>
      <c r="BL900" s="1539"/>
      <c r="BM900" s="1539"/>
    </row>
    <row r="901" spans="58:65">
      <c r="BF901" s="1539"/>
      <c r="BG901" s="1539"/>
      <c r="BH901" s="1539"/>
      <c r="BI901" s="1539"/>
      <c r="BJ901" s="1539"/>
      <c r="BK901" s="1539"/>
      <c r="BL901" s="1539"/>
      <c r="BM901" s="1539"/>
    </row>
    <row r="902" spans="58:65">
      <c r="BF902" s="1539"/>
      <c r="BG902" s="1539"/>
      <c r="BH902" s="1539"/>
      <c r="BI902" s="1539"/>
      <c r="BJ902" s="1539"/>
      <c r="BK902" s="1539"/>
      <c r="BL902" s="1539"/>
      <c r="BM902" s="1539"/>
    </row>
  </sheetData>
  <autoFilter ref="A69:BT902"/>
  <sortState ref="A70:BN798">
    <sortCondition ref="N70:N798"/>
    <sortCondition ref="D70:D798"/>
    <sortCondition ref="H70:H798"/>
    <sortCondition ref="A70:A798"/>
    <sortCondition ref="G70:G798"/>
  </sortState>
  <mergeCells count="31">
    <mergeCell ref="BM1:BM2"/>
    <mergeCell ref="BN1:BN2"/>
    <mergeCell ref="BO1:BO2"/>
    <mergeCell ref="BJ68:BL68"/>
    <mergeCell ref="BN23:BN24"/>
    <mergeCell ref="BN45:BN46"/>
    <mergeCell ref="BO45:BO46"/>
    <mergeCell ref="BO23:BO24"/>
    <mergeCell ref="BM45:BM46"/>
    <mergeCell ref="BM23:BM24"/>
    <mergeCell ref="BF1:BI1"/>
    <mergeCell ref="BJ1:BL1"/>
    <mergeCell ref="AV68:AY68"/>
    <mergeCell ref="AZ68:BB68"/>
    <mergeCell ref="BF68:BI68"/>
    <mergeCell ref="AV1:AY1"/>
    <mergeCell ref="AZ1:BB1"/>
    <mergeCell ref="BC1:BC2"/>
    <mergeCell ref="BD1:BD2"/>
    <mergeCell ref="AV23:AY23"/>
    <mergeCell ref="AZ23:BB23"/>
    <mergeCell ref="BC23:BC24"/>
    <mergeCell ref="BD23:BD24"/>
    <mergeCell ref="AV45:AY45"/>
    <mergeCell ref="AZ45:BB45"/>
    <mergeCell ref="BC45:BC46"/>
    <mergeCell ref="BD45:BD46"/>
    <mergeCell ref="BF23:BI23"/>
    <mergeCell ref="BJ23:BL23"/>
    <mergeCell ref="BF45:BI45"/>
    <mergeCell ref="BJ45:BL45"/>
  </mergeCells>
  <phoneticPr fontId="2"/>
  <conditionalFormatting sqref="BD3:BD7 BD14:BD22 BD36:BD44 BD58:BD66 BD25:BD29 BD47:BD51 BD9 BD11:BD12 BD31 BD33:BD34 BD53 BD55:BD56 BD824:BD1048576 BD68:BD820">
    <cfRule type="cellIs" dxfId="493" priority="38" operator="notEqual">
      <formula>0</formula>
    </cfRule>
  </conditionalFormatting>
  <conditionalFormatting sqref="BN1:BN7 BN14:BN20 BN23:BN29 BN45:BN51 BN36:BN42 BN58:BN65 BN9 BN11 BN31 BN33:BN34 BN53 BN55:BN56">
    <cfRule type="cellIs" dxfId="492" priority="37" operator="notEqual">
      <formula>0</formula>
    </cfRule>
  </conditionalFormatting>
  <conditionalFormatting sqref="BD13">
    <cfRule type="cellIs" dxfId="491" priority="36" operator="notEqual">
      <formula>0</formula>
    </cfRule>
  </conditionalFormatting>
  <conditionalFormatting sqref="BN13">
    <cfRule type="cellIs" dxfId="490" priority="35" operator="notEqual">
      <formula>0</formula>
    </cfRule>
  </conditionalFormatting>
  <conditionalFormatting sqref="BD35">
    <cfRule type="cellIs" dxfId="489" priority="34" operator="notEqual">
      <formula>0</formula>
    </cfRule>
  </conditionalFormatting>
  <conditionalFormatting sqref="BN35">
    <cfRule type="cellIs" dxfId="488" priority="33" operator="notEqual">
      <formula>0</formula>
    </cfRule>
  </conditionalFormatting>
  <conditionalFormatting sqref="BD57">
    <cfRule type="cellIs" dxfId="487" priority="32" operator="notEqual">
      <formula>0</formula>
    </cfRule>
  </conditionalFormatting>
  <conditionalFormatting sqref="BN57">
    <cfRule type="cellIs" dxfId="486" priority="31" operator="notEqual">
      <formula>0</formula>
    </cfRule>
  </conditionalFormatting>
  <conditionalFormatting sqref="BD23:BD24">
    <cfRule type="cellIs" dxfId="485" priority="30" operator="notEqual">
      <formula>0</formula>
    </cfRule>
  </conditionalFormatting>
  <conditionalFormatting sqref="BD1:BD2">
    <cfRule type="cellIs" dxfId="484" priority="29" operator="notEqual">
      <formula>0</formula>
    </cfRule>
  </conditionalFormatting>
  <conditionalFormatting sqref="BD45:BD46">
    <cfRule type="cellIs" dxfId="483" priority="28" operator="notEqual">
      <formula>0</formula>
    </cfRule>
  </conditionalFormatting>
  <conditionalFormatting sqref="BD8">
    <cfRule type="cellIs" dxfId="482" priority="20" operator="notEqual">
      <formula>0</formula>
    </cfRule>
  </conditionalFormatting>
  <conditionalFormatting sqref="BN8">
    <cfRule type="cellIs" dxfId="481" priority="19" operator="notEqual">
      <formula>0</formula>
    </cfRule>
  </conditionalFormatting>
  <conditionalFormatting sqref="BD10">
    <cfRule type="cellIs" dxfId="480" priority="18" operator="notEqual">
      <formula>0</formula>
    </cfRule>
  </conditionalFormatting>
  <conditionalFormatting sqref="BN10">
    <cfRule type="cellIs" dxfId="479" priority="17" operator="notEqual">
      <formula>0</formula>
    </cfRule>
  </conditionalFormatting>
  <conditionalFormatting sqref="BD30">
    <cfRule type="cellIs" dxfId="478" priority="16" operator="notEqual">
      <formula>0</formula>
    </cfRule>
  </conditionalFormatting>
  <conditionalFormatting sqref="BN30">
    <cfRule type="cellIs" dxfId="477" priority="15" operator="notEqual">
      <formula>0</formula>
    </cfRule>
  </conditionalFormatting>
  <conditionalFormatting sqref="BD32">
    <cfRule type="cellIs" dxfId="476" priority="14" operator="notEqual">
      <formula>0</formula>
    </cfRule>
  </conditionalFormatting>
  <conditionalFormatting sqref="BN32">
    <cfRule type="cellIs" dxfId="475" priority="13" operator="notEqual">
      <formula>0</formula>
    </cfRule>
  </conditionalFormatting>
  <conditionalFormatting sqref="BD52">
    <cfRule type="cellIs" dxfId="474" priority="12" operator="notEqual">
      <formula>0</formula>
    </cfRule>
  </conditionalFormatting>
  <conditionalFormatting sqref="BN52">
    <cfRule type="cellIs" dxfId="473" priority="11" operator="notEqual">
      <formula>0</formula>
    </cfRule>
  </conditionalFormatting>
  <conditionalFormatting sqref="BD54">
    <cfRule type="cellIs" dxfId="472" priority="10" operator="notEqual">
      <formula>0</formula>
    </cfRule>
  </conditionalFormatting>
  <conditionalFormatting sqref="BN54">
    <cfRule type="cellIs" dxfId="471" priority="9" operator="notEqual">
      <formula>0</formula>
    </cfRule>
  </conditionalFormatting>
  <conditionalFormatting sqref="BD817:BD820">
    <cfRule type="cellIs" dxfId="470" priority="5" operator="notEqual">
      <formula>0</formula>
    </cfRule>
  </conditionalFormatting>
  <conditionalFormatting sqref="BD821:BD823">
    <cfRule type="cellIs" dxfId="469" priority="4" operator="notEqual">
      <formula>0</formula>
    </cfRule>
  </conditionalFormatting>
  <conditionalFormatting sqref="BD821:BD823">
    <cfRule type="cellIs" dxfId="468" priority="3" operator="notEqual">
      <formula>0</formula>
    </cfRule>
  </conditionalFormatting>
  <pageMargins left="0.7" right="0.7" top="0.75" bottom="0.75" header="0.3" footer="0.3"/>
  <pageSetup paperSize="9" scale="52" orientation="landscape" r:id="rId1"/>
</worksheet>
</file>

<file path=xl/worksheets/w5_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7C80"/>
  </sheetPr>
  <dimension ref="A1:BV135"/>
  <sheetViews>
    <sheetView zoomScale="80" zoomScaleNormal="80" workbookViewId="0">
      <pane xSplit="18" ySplit="12" topLeftCell="S13" activePane="bottomRight" state="frozen"/>
      <selection pane="topRight" activeCell="S1" sqref="S1"/>
      <selection pane="bottomLeft" activeCell="A13" sqref="A13"/>
      <selection pane="bottomRight" activeCell="H56" sqref="H56"/>
    </sheetView>
  </sheetViews>
  <sheetFormatPr defaultColWidth="9" defaultRowHeight="13.5" outlineLevelCol="1"/>
  <cols>
    <col min="1" max="1" width="3.375" style="1182" customWidth="1" outlineLevel="1"/>
    <col min="2" max="2" width="2.25" style="1182" customWidth="1" outlineLevel="1"/>
    <col min="3" max="3" width="5.75" style="1182" customWidth="1" outlineLevel="1"/>
    <col min="4" max="4" width="2.375" style="1182" customWidth="1" outlineLevel="1"/>
    <col min="5" max="5" width="5.75" style="1182" customWidth="1"/>
    <col min="6" max="7" width="2.375" style="1182" customWidth="1" outlineLevel="1"/>
    <col min="8" max="8" width="37.875" style="1182" customWidth="1"/>
    <col min="9" max="9" width="4.875" style="1182" customWidth="1" outlineLevel="1"/>
    <col min="10" max="12" width="3.75" style="1182" customWidth="1" outlineLevel="1"/>
    <col min="13" max="13" width="6.25" style="1182" customWidth="1" outlineLevel="1"/>
    <col min="14" max="14" width="11.875" style="1182" customWidth="1" outlineLevel="1"/>
    <col min="15" max="15" width="5.75" style="1182" customWidth="1" outlineLevel="1"/>
    <col min="16" max="16" width="6" style="1182" customWidth="1"/>
    <col min="17" max="18" width="9" style="1182"/>
    <col min="19" max="19" width="5.75" style="1182" customWidth="1"/>
    <col min="20" max="20" width="9" style="1182" customWidth="1" outlineLevel="1"/>
    <col min="21" max="21" width="32" style="1182" customWidth="1" outlineLevel="1"/>
    <col min="22" max="24" width="9" style="1182" customWidth="1" outlineLevel="1"/>
    <col min="25" max="25" width="13.5" style="1182" customWidth="1"/>
    <col min="26" max="31" width="3.75" style="1182" customWidth="1" outlineLevel="1"/>
    <col min="32" max="33" width="5.375" style="1182" customWidth="1" outlineLevel="1"/>
    <col min="34" max="34" width="8" style="1182" customWidth="1" outlineLevel="1"/>
    <col min="35" max="36" width="9" style="1182" customWidth="1" outlineLevel="1"/>
    <col min="37" max="37" width="3.625" style="1182" customWidth="1" outlineLevel="1"/>
    <col min="38" max="38" width="5.875" style="1182" customWidth="1" outlineLevel="1"/>
    <col min="39" max="39" width="6.125" style="1182" customWidth="1" outlineLevel="1"/>
    <col min="40" max="41" width="9" style="1182" customWidth="1" outlineLevel="1"/>
    <col min="42" max="42" width="9" style="1555" customWidth="1" outlineLevel="1"/>
    <col min="43" max="43" width="6.625" style="1182" customWidth="1" outlineLevel="1"/>
    <col min="44" max="44" width="3.25" style="1182" customWidth="1" outlineLevel="1"/>
    <col min="45" max="46" width="9" style="1182" customWidth="1"/>
    <col min="47" max="47" width="2.125" style="1182" customWidth="1" outlineLevel="1"/>
    <col min="48" max="56" width="10.625" style="1183" customWidth="1"/>
    <col min="57" max="57" width="4" style="1183" customWidth="1"/>
    <col min="58" max="65" width="10.625" style="1183" customWidth="1"/>
    <col min="66" max="66" width="10.375" style="1182" customWidth="1"/>
    <col min="67" max="67" width="10.25" style="1182" bestFit="1" customWidth="1"/>
    <col min="68" max="71" width="9" style="1182"/>
    <col min="72" max="72" width="16.5" style="1182" bestFit="1" customWidth="1"/>
    <col min="73" max="16384" width="9" style="1182"/>
  </cols>
  <sheetData>
    <row r="1" spans="1:74" ht="13.5" customHeight="1">
      <c r="R1" s="1195" t="s">
        <v>1667</v>
      </c>
      <c r="AV1" s="1596" t="s">
        <v>1638</v>
      </c>
      <c r="AW1" s="1596"/>
      <c r="AX1" s="1596"/>
      <c r="AY1" s="1596"/>
      <c r="AZ1" s="1596" t="s">
        <v>1637</v>
      </c>
      <c r="BA1" s="1596"/>
      <c r="BB1" s="1596"/>
      <c r="BC1" s="1598" t="s">
        <v>1636</v>
      </c>
      <c r="BD1" s="1596" t="s">
        <v>1649</v>
      </c>
      <c r="BE1" s="1187"/>
      <c r="BF1" s="1596" t="s">
        <v>1792</v>
      </c>
      <c r="BG1" s="1596"/>
      <c r="BH1" s="1596"/>
      <c r="BI1" s="1596"/>
      <c r="BJ1" s="1596" t="s">
        <v>1634</v>
      </c>
      <c r="BK1" s="1596"/>
      <c r="BL1" s="1596"/>
      <c r="BM1" s="1598" t="s">
        <v>1633</v>
      </c>
      <c r="BN1" s="1598" t="s">
        <v>1648</v>
      </c>
      <c r="BO1" s="1598" t="s">
        <v>1666</v>
      </c>
    </row>
    <row r="2" spans="1:74">
      <c r="AV2" s="1373" t="s">
        <v>1587</v>
      </c>
      <c r="AW2" s="1373" t="s">
        <v>1586</v>
      </c>
      <c r="AX2" s="1373" t="s">
        <v>1784</v>
      </c>
      <c r="AY2" s="1373" t="s">
        <v>1583</v>
      </c>
      <c r="AZ2" s="1187" t="s">
        <v>1585</v>
      </c>
      <c r="BA2" s="1187" t="s">
        <v>1584</v>
      </c>
      <c r="BB2" s="1187" t="s">
        <v>1583</v>
      </c>
      <c r="BC2" s="1598"/>
      <c r="BD2" s="1596"/>
      <c r="BE2" s="1187"/>
      <c r="BF2" s="1373" t="s">
        <v>1587</v>
      </c>
      <c r="BG2" s="1373" t="s">
        <v>1586</v>
      </c>
      <c r="BH2" s="1373" t="s">
        <v>1784</v>
      </c>
      <c r="BI2" s="1373" t="s">
        <v>1583</v>
      </c>
      <c r="BJ2" s="1187" t="s">
        <v>1585</v>
      </c>
      <c r="BK2" s="1187" t="s">
        <v>1584</v>
      </c>
      <c r="BL2" s="1187" t="s">
        <v>1583</v>
      </c>
      <c r="BM2" s="1598"/>
      <c r="BN2" s="1598"/>
      <c r="BO2" s="1598"/>
    </row>
    <row r="3" spans="1:74">
      <c r="N3" s="1182" t="s">
        <v>1662</v>
      </c>
      <c r="O3" s="1182" t="s">
        <v>1654</v>
      </c>
      <c r="P3" s="1182" t="s">
        <v>1657</v>
      </c>
      <c r="Q3" s="1182" t="s">
        <v>1661</v>
      </c>
      <c r="R3" s="1182" t="s">
        <v>1468</v>
      </c>
      <c r="Y3" s="1183">
        <f t="shared" ref="Y3:Y8" si="0">+SUMIFS(Y$12:Y$380,$N$12:$N$380,$N3)</f>
        <v>2483</v>
      </c>
      <c r="AV3" s="1183">
        <f t="shared" ref="AV3:BD8" si="1">+SUMIFS(AV$12:AV$135,$N$12:$N$135,$N3)</f>
        <v>0</v>
      </c>
      <c r="AW3" s="1183">
        <f t="shared" si="1"/>
        <v>0</v>
      </c>
      <c r="AX3" s="1183">
        <f t="shared" si="1"/>
        <v>0</v>
      </c>
      <c r="AY3" s="1183">
        <f t="shared" si="1"/>
        <v>0</v>
      </c>
      <c r="AZ3" s="1183">
        <f t="shared" si="1"/>
        <v>0</v>
      </c>
      <c r="BA3" s="1183">
        <f t="shared" si="1"/>
        <v>2483</v>
      </c>
      <c r="BB3" s="1183">
        <f t="shared" si="1"/>
        <v>2483</v>
      </c>
      <c r="BC3" s="1183">
        <f t="shared" si="1"/>
        <v>2483</v>
      </c>
      <c r="BD3" s="1183">
        <f t="shared" si="1"/>
        <v>0</v>
      </c>
      <c r="BF3" s="1183">
        <f t="shared" ref="BF3:BM8" si="2">+SUMIFS(BF$12:BF$135,$N$12:$N$135,$N3)</f>
        <v>0</v>
      </c>
      <c r="BG3" s="1183">
        <f t="shared" si="2"/>
        <v>0</v>
      </c>
      <c r="BH3" s="1183">
        <f t="shared" si="2"/>
        <v>0</v>
      </c>
      <c r="BI3" s="1183">
        <f t="shared" si="2"/>
        <v>0</v>
      </c>
      <c r="BJ3" s="1183">
        <f t="shared" si="2"/>
        <v>0</v>
      </c>
      <c r="BK3" s="1183">
        <f t="shared" si="2"/>
        <v>2483</v>
      </c>
      <c r="BL3" s="1183">
        <f t="shared" si="2"/>
        <v>2483</v>
      </c>
      <c r="BM3" s="1183">
        <f t="shared" si="2"/>
        <v>2483</v>
      </c>
      <c r="BN3" s="1183">
        <f t="shared" ref="BN3:BN8" si="3">+BO3-BM3</f>
        <v>0</v>
      </c>
      <c r="BO3" s="1198">
        <f>+営外!T11</f>
        <v>2483</v>
      </c>
    </row>
    <row r="4" spans="1:74">
      <c r="N4" s="1182" t="s">
        <v>1660</v>
      </c>
      <c r="O4" s="1182" t="s">
        <v>1654</v>
      </c>
      <c r="P4" s="1182" t="s">
        <v>1657</v>
      </c>
      <c r="Q4" s="1182" t="s">
        <v>1656</v>
      </c>
      <c r="R4" s="1182" t="s">
        <v>1659</v>
      </c>
      <c r="Y4" s="1183">
        <f t="shared" si="0"/>
        <v>0</v>
      </c>
      <c r="AV4" s="1183">
        <f t="shared" si="1"/>
        <v>0</v>
      </c>
      <c r="AW4" s="1183">
        <f t="shared" si="1"/>
        <v>0</v>
      </c>
      <c r="AX4" s="1183">
        <f t="shared" si="1"/>
        <v>0</v>
      </c>
      <c r="AY4" s="1183">
        <f t="shared" si="1"/>
        <v>0</v>
      </c>
      <c r="AZ4" s="1183">
        <f t="shared" si="1"/>
        <v>0</v>
      </c>
      <c r="BA4" s="1183">
        <f t="shared" si="1"/>
        <v>0</v>
      </c>
      <c r="BB4" s="1183">
        <f t="shared" si="1"/>
        <v>0</v>
      </c>
      <c r="BC4" s="1183">
        <f t="shared" si="1"/>
        <v>0</v>
      </c>
      <c r="BD4" s="1183">
        <f t="shared" si="1"/>
        <v>0</v>
      </c>
      <c r="BF4" s="1183">
        <f t="shared" si="2"/>
        <v>0</v>
      </c>
      <c r="BG4" s="1183">
        <f t="shared" si="2"/>
        <v>0</v>
      </c>
      <c r="BH4" s="1183">
        <f t="shared" si="2"/>
        <v>0</v>
      </c>
      <c r="BI4" s="1183">
        <f t="shared" si="2"/>
        <v>0</v>
      </c>
      <c r="BJ4" s="1183">
        <f t="shared" si="2"/>
        <v>0</v>
      </c>
      <c r="BK4" s="1183">
        <f t="shared" si="2"/>
        <v>0</v>
      </c>
      <c r="BL4" s="1183">
        <f t="shared" si="2"/>
        <v>0</v>
      </c>
      <c r="BM4" s="1183">
        <f t="shared" si="2"/>
        <v>0</v>
      </c>
      <c r="BN4" s="1183">
        <f t="shared" si="3"/>
        <v>0</v>
      </c>
      <c r="BO4" s="1198">
        <f>+営外!T15</f>
        <v>0</v>
      </c>
    </row>
    <row r="5" spans="1:74">
      <c r="N5" s="1182" t="s">
        <v>1658</v>
      </c>
      <c r="O5" s="1182" t="s">
        <v>1654</v>
      </c>
      <c r="P5" s="1182" t="s">
        <v>1657</v>
      </c>
      <c r="Q5" s="1182" t="s">
        <v>1656</v>
      </c>
      <c r="R5" s="1182" t="s">
        <v>1802</v>
      </c>
      <c r="Y5" s="1183">
        <f t="shared" si="0"/>
        <v>9224169</v>
      </c>
      <c r="AV5" s="1183">
        <f t="shared" si="1"/>
        <v>0</v>
      </c>
      <c r="AW5" s="1183">
        <f t="shared" si="1"/>
        <v>0</v>
      </c>
      <c r="AX5" s="1183">
        <f t="shared" si="1"/>
        <v>0</v>
      </c>
      <c r="AY5" s="1183">
        <f t="shared" si="1"/>
        <v>0</v>
      </c>
      <c r="AZ5" s="1183">
        <f t="shared" si="1"/>
        <v>0</v>
      </c>
      <c r="BA5" s="1183">
        <f t="shared" si="1"/>
        <v>9224169</v>
      </c>
      <c r="BB5" s="1183">
        <f t="shared" si="1"/>
        <v>9224169</v>
      </c>
      <c r="BC5" s="1183">
        <f t="shared" si="1"/>
        <v>9224169</v>
      </c>
      <c r="BD5" s="1183">
        <f t="shared" si="1"/>
        <v>0</v>
      </c>
      <c r="BF5" s="1183">
        <f t="shared" si="2"/>
        <v>0</v>
      </c>
      <c r="BG5" s="1183">
        <f t="shared" si="2"/>
        <v>0</v>
      </c>
      <c r="BH5" s="1183">
        <f t="shared" si="2"/>
        <v>0</v>
      </c>
      <c r="BI5" s="1183">
        <f t="shared" si="2"/>
        <v>0</v>
      </c>
      <c r="BJ5" s="1183">
        <f t="shared" si="2"/>
        <v>0</v>
      </c>
      <c r="BK5" s="1183">
        <f t="shared" si="2"/>
        <v>8734347</v>
      </c>
      <c r="BL5" s="1183">
        <f t="shared" si="2"/>
        <v>8734347</v>
      </c>
      <c r="BM5" s="1183">
        <f t="shared" si="2"/>
        <v>8734347</v>
      </c>
      <c r="BN5" s="1183">
        <f t="shared" si="3"/>
        <v>0</v>
      </c>
      <c r="BO5" s="1198">
        <f>+営外!T16</f>
        <v>8734347</v>
      </c>
    </row>
    <row r="6" spans="1:74">
      <c r="N6" s="1194" t="s">
        <v>1665</v>
      </c>
      <c r="O6" s="1182" t="s">
        <v>1654</v>
      </c>
      <c r="P6" s="1182" t="s">
        <v>1653</v>
      </c>
      <c r="Q6" s="1193" t="s">
        <v>1664</v>
      </c>
      <c r="R6" s="1193" t="s">
        <v>1664</v>
      </c>
      <c r="Y6" s="1183">
        <f t="shared" si="0"/>
        <v>10315355</v>
      </c>
      <c r="AV6" s="1183">
        <f t="shared" si="1"/>
        <v>0</v>
      </c>
      <c r="AW6" s="1183">
        <f t="shared" si="1"/>
        <v>0</v>
      </c>
      <c r="AX6" s="1183">
        <f t="shared" si="1"/>
        <v>0</v>
      </c>
      <c r="AY6" s="1183">
        <f t="shared" si="1"/>
        <v>0</v>
      </c>
      <c r="AZ6" s="1183">
        <f t="shared" si="1"/>
        <v>0</v>
      </c>
      <c r="BA6" s="1183">
        <f t="shared" si="1"/>
        <v>10315355</v>
      </c>
      <c r="BB6" s="1183">
        <f t="shared" si="1"/>
        <v>10315355</v>
      </c>
      <c r="BC6" s="1183">
        <f t="shared" si="1"/>
        <v>10315355</v>
      </c>
      <c r="BD6" s="1183">
        <f t="shared" si="1"/>
        <v>0</v>
      </c>
      <c r="BF6" s="1183">
        <f t="shared" si="2"/>
        <v>0</v>
      </c>
      <c r="BG6" s="1183">
        <f t="shared" si="2"/>
        <v>0</v>
      </c>
      <c r="BH6" s="1183">
        <f t="shared" si="2"/>
        <v>0</v>
      </c>
      <c r="BI6" s="1183">
        <f t="shared" si="2"/>
        <v>0</v>
      </c>
      <c r="BJ6" s="1183">
        <f t="shared" si="2"/>
        <v>0</v>
      </c>
      <c r="BK6" s="1183">
        <f t="shared" si="2"/>
        <v>10315355</v>
      </c>
      <c r="BL6" s="1183">
        <f t="shared" si="2"/>
        <v>10315355</v>
      </c>
      <c r="BM6" s="1183">
        <f t="shared" si="2"/>
        <v>10315355</v>
      </c>
      <c r="BN6" s="1183">
        <f t="shared" si="3"/>
        <v>0</v>
      </c>
      <c r="BO6" s="1198">
        <f>+特損!T32</f>
        <v>10315355</v>
      </c>
    </row>
    <row r="7" spans="1:74">
      <c r="N7" s="1182" t="s">
        <v>1655</v>
      </c>
      <c r="O7" s="1182" t="s">
        <v>1654</v>
      </c>
      <c r="P7" s="1182" t="s">
        <v>1653</v>
      </c>
      <c r="Q7" s="1182" t="s">
        <v>1452</v>
      </c>
      <c r="R7" s="1182" t="s">
        <v>1452</v>
      </c>
      <c r="Y7" s="1183">
        <f t="shared" si="0"/>
        <v>10679943</v>
      </c>
      <c r="AV7" s="1183">
        <f t="shared" si="1"/>
        <v>6760</v>
      </c>
      <c r="AW7" s="1183">
        <f t="shared" si="1"/>
        <v>0</v>
      </c>
      <c r="AX7" s="1183">
        <f t="shared" si="1"/>
        <v>0</v>
      </c>
      <c r="AY7" s="1183">
        <f t="shared" si="1"/>
        <v>6760</v>
      </c>
      <c r="AZ7" s="1183">
        <f t="shared" si="1"/>
        <v>0</v>
      </c>
      <c r="BA7" s="1183">
        <f t="shared" si="1"/>
        <v>10673183</v>
      </c>
      <c r="BB7" s="1183">
        <f t="shared" si="1"/>
        <v>10673183</v>
      </c>
      <c r="BC7" s="1183">
        <f t="shared" si="1"/>
        <v>10679943</v>
      </c>
      <c r="BD7" s="1183">
        <f t="shared" si="1"/>
        <v>0</v>
      </c>
      <c r="BF7" s="1183">
        <f t="shared" si="2"/>
        <v>6733</v>
      </c>
      <c r="BG7" s="1183">
        <f t="shared" si="2"/>
        <v>0</v>
      </c>
      <c r="BH7" s="1183">
        <f t="shared" si="2"/>
        <v>0</v>
      </c>
      <c r="BI7" s="1183">
        <f t="shared" si="2"/>
        <v>6733</v>
      </c>
      <c r="BJ7" s="1183">
        <f t="shared" si="2"/>
        <v>0</v>
      </c>
      <c r="BK7" s="1183">
        <f t="shared" si="2"/>
        <v>9704766</v>
      </c>
      <c r="BL7" s="1183">
        <f t="shared" si="2"/>
        <v>9704766</v>
      </c>
      <c r="BM7" s="1183">
        <f t="shared" si="2"/>
        <v>9711499</v>
      </c>
      <c r="BN7" s="1183">
        <f t="shared" si="3"/>
        <v>0</v>
      </c>
      <c r="BO7" s="1198">
        <f>+特損!T5</f>
        <v>9711499</v>
      </c>
    </row>
    <row r="8" spans="1:74">
      <c r="N8" s="1193" t="s">
        <v>1663</v>
      </c>
      <c r="O8" s="1193" t="s">
        <v>1654</v>
      </c>
      <c r="P8" s="1193" t="s">
        <v>1653</v>
      </c>
      <c r="Q8" s="1193" t="s">
        <v>1435</v>
      </c>
      <c r="R8" s="1193" t="s">
        <v>1435</v>
      </c>
      <c r="Y8" s="1183">
        <f t="shared" si="0"/>
        <v>0</v>
      </c>
      <c r="AV8" s="1183">
        <f t="shared" si="1"/>
        <v>0</v>
      </c>
      <c r="AW8" s="1183">
        <f t="shared" si="1"/>
        <v>0</v>
      </c>
      <c r="AX8" s="1183">
        <f t="shared" si="1"/>
        <v>0</v>
      </c>
      <c r="AY8" s="1183">
        <f t="shared" si="1"/>
        <v>0</v>
      </c>
      <c r="AZ8" s="1183">
        <f t="shared" si="1"/>
        <v>0</v>
      </c>
      <c r="BA8" s="1183">
        <f t="shared" si="1"/>
        <v>0</v>
      </c>
      <c r="BB8" s="1183">
        <f t="shared" si="1"/>
        <v>0</v>
      </c>
      <c r="BC8" s="1183">
        <f t="shared" si="1"/>
        <v>0</v>
      </c>
      <c r="BD8" s="1183">
        <f t="shared" si="1"/>
        <v>0</v>
      </c>
      <c r="BF8" s="1183">
        <f t="shared" si="2"/>
        <v>0</v>
      </c>
      <c r="BG8" s="1183">
        <f t="shared" si="2"/>
        <v>0</v>
      </c>
      <c r="BH8" s="1183">
        <f t="shared" si="2"/>
        <v>0</v>
      </c>
      <c r="BI8" s="1183">
        <f t="shared" si="2"/>
        <v>0</v>
      </c>
      <c r="BJ8" s="1183">
        <f t="shared" si="2"/>
        <v>0</v>
      </c>
      <c r="BK8" s="1183">
        <f t="shared" si="2"/>
        <v>0</v>
      </c>
      <c r="BL8" s="1183">
        <f t="shared" si="2"/>
        <v>0</v>
      </c>
      <c r="BM8" s="1183">
        <f t="shared" si="2"/>
        <v>0</v>
      </c>
      <c r="BN8" s="1183">
        <f t="shared" si="3"/>
        <v>0</v>
      </c>
      <c r="BO8" s="1198">
        <f>+特損!T14</f>
        <v>0</v>
      </c>
    </row>
    <row r="10" spans="1:74">
      <c r="Y10" s="1183">
        <f>+SUBTOTAL(109,Y12:Y135)</f>
        <v>10679082</v>
      </c>
      <c r="AV10" s="1183">
        <f t="shared" ref="AV10:BD10" si="4">+SUBTOTAL(109,AV12:AV135)</f>
        <v>0</v>
      </c>
      <c r="AW10" s="1183">
        <f t="shared" si="4"/>
        <v>0</v>
      </c>
      <c r="AX10" s="1183">
        <f t="shared" si="4"/>
        <v>0</v>
      </c>
      <c r="AY10" s="1183">
        <f t="shared" si="4"/>
        <v>0</v>
      </c>
      <c r="AZ10" s="1183">
        <f t="shared" si="4"/>
        <v>0</v>
      </c>
      <c r="BA10" s="1183">
        <f t="shared" si="4"/>
        <v>10679082</v>
      </c>
      <c r="BB10" s="1183">
        <f t="shared" si="4"/>
        <v>10679082</v>
      </c>
      <c r="BC10" s="1183">
        <f t="shared" si="4"/>
        <v>10679082</v>
      </c>
      <c r="BD10" s="1183">
        <f t="shared" si="4"/>
        <v>0</v>
      </c>
      <c r="BF10" s="1183">
        <f t="shared" ref="BF10:BM10" si="5">+SUBTOTAL(109,BF12:BF135)</f>
        <v>0</v>
      </c>
      <c r="BG10" s="1183">
        <f t="shared" si="5"/>
        <v>0</v>
      </c>
      <c r="BH10" s="1183">
        <f t="shared" si="5"/>
        <v>0</v>
      </c>
      <c r="BI10" s="1183">
        <f t="shared" si="5"/>
        <v>0</v>
      </c>
      <c r="BJ10" s="1183">
        <f t="shared" si="5"/>
        <v>0</v>
      </c>
      <c r="BK10" s="1183">
        <f t="shared" si="5"/>
        <v>9708919</v>
      </c>
      <c r="BL10" s="1183">
        <f t="shared" si="5"/>
        <v>9708919</v>
      </c>
      <c r="BM10" s="1183">
        <f t="shared" si="5"/>
        <v>9708919</v>
      </c>
    </row>
    <row r="11" spans="1:74" ht="13.5" customHeight="1">
      <c r="V11" s="1189"/>
      <c r="W11" s="1189"/>
      <c r="X11" s="1189"/>
      <c r="Y11" s="1191"/>
      <c r="AB11" s="1189"/>
      <c r="AE11" s="1189"/>
      <c r="AG11" s="1189"/>
      <c r="AH11" s="1189"/>
      <c r="AI11" s="1189"/>
      <c r="AL11" s="1186" t="s">
        <v>1640</v>
      </c>
      <c r="AQ11" s="1182" t="s">
        <v>1639</v>
      </c>
      <c r="AS11" s="1186">
        <v>0</v>
      </c>
      <c r="AT11" s="1186">
        <v>0</v>
      </c>
      <c r="AV11" s="1596" t="s">
        <v>1638</v>
      </c>
      <c r="AW11" s="1596"/>
      <c r="AX11" s="1596"/>
      <c r="AY11" s="1596"/>
      <c r="AZ11" s="1596" t="s">
        <v>1637</v>
      </c>
      <c r="BA11" s="1596"/>
      <c r="BB11" s="1596"/>
      <c r="BC11" s="1560" t="s">
        <v>1636</v>
      </c>
      <c r="BD11" s="1183" t="s">
        <v>1635</v>
      </c>
      <c r="BE11" s="1187"/>
      <c r="BF11" s="1596" t="s">
        <v>1800</v>
      </c>
      <c r="BG11" s="1596"/>
      <c r="BH11" s="1596"/>
      <c r="BI11" s="1596"/>
      <c r="BJ11" s="1596" t="s">
        <v>1634</v>
      </c>
      <c r="BK11" s="1596"/>
      <c r="BL11" s="1596"/>
      <c r="BM11" s="1551" t="s">
        <v>1633</v>
      </c>
      <c r="BN11" s="1561" t="s">
        <v>1632</v>
      </c>
      <c r="BO11" s="1190"/>
      <c r="BP11" s="1190"/>
      <c r="BQ11" s="1190"/>
      <c r="BR11" s="1190"/>
      <c r="BS11" s="1190"/>
      <c r="BT11" s="1190"/>
      <c r="BU11" s="1190"/>
      <c r="BV11" s="1190"/>
    </row>
    <row r="12" spans="1:74">
      <c r="A12" s="1182" t="s">
        <v>1631</v>
      </c>
      <c r="B12" s="1182" t="s">
        <v>1630</v>
      </c>
      <c r="C12" s="1182" t="s">
        <v>1629</v>
      </c>
      <c r="D12" s="1182" t="s">
        <v>1628</v>
      </c>
      <c r="E12" s="1182" t="s">
        <v>1627</v>
      </c>
      <c r="F12" s="1182" t="s">
        <v>1626</v>
      </c>
      <c r="G12" s="1182" t="s">
        <v>1625</v>
      </c>
      <c r="H12" s="1182" t="s">
        <v>1624</v>
      </c>
      <c r="I12" s="1182" t="s">
        <v>1623</v>
      </c>
      <c r="J12" s="1182" t="s">
        <v>1622</v>
      </c>
      <c r="K12" s="1182" t="s">
        <v>1621</v>
      </c>
      <c r="L12" s="1182" t="s">
        <v>1620</v>
      </c>
      <c r="M12" s="1182" t="s">
        <v>1619</v>
      </c>
      <c r="N12" s="1182" t="s">
        <v>1618</v>
      </c>
      <c r="O12" s="1182" t="s">
        <v>1617</v>
      </c>
      <c r="P12" s="1182" t="s">
        <v>1616</v>
      </c>
      <c r="Q12" s="1182" t="s">
        <v>1615</v>
      </c>
      <c r="R12" s="1188" t="s">
        <v>1614</v>
      </c>
      <c r="S12" s="1182" t="s">
        <v>1613</v>
      </c>
      <c r="T12" s="1182" t="s">
        <v>1612</v>
      </c>
      <c r="U12" s="1182" t="s">
        <v>1611</v>
      </c>
      <c r="V12" s="1189" t="s">
        <v>1610</v>
      </c>
      <c r="W12" s="1189" t="s">
        <v>1609</v>
      </c>
      <c r="X12" s="1189" t="s">
        <v>1608</v>
      </c>
      <c r="Y12" s="1183" t="s">
        <v>1607</v>
      </c>
      <c r="Z12" s="1182" t="s">
        <v>1606</v>
      </c>
      <c r="AA12" s="1182" t="s">
        <v>1605</v>
      </c>
      <c r="AB12" s="1189" t="s">
        <v>1604</v>
      </c>
      <c r="AC12" s="1182" t="s">
        <v>1603</v>
      </c>
      <c r="AD12" s="1182" t="s">
        <v>1602</v>
      </c>
      <c r="AE12" s="1189" t="s">
        <v>1601</v>
      </c>
      <c r="AF12" s="1182" t="s">
        <v>1600</v>
      </c>
      <c r="AG12" s="1189" t="s">
        <v>1599</v>
      </c>
      <c r="AH12" s="1189" t="s">
        <v>1598</v>
      </c>
      <c r="AI12" s="1189" t="s">
        <v>1597</v>
      </c>
      <c r="AJ12" s="1182" t="s">
        <v>1596</v>
      </c>
      <c r="AL12" s="1184" t="s">
        <v>1595</v>
      </c>
      <c r="AM12" s="1184" t="s">
        <v>1594</v>
      </c>
      <c r="AN12" s="1188" t="s">
        <v>1593</v>
      </c>
      <c r="AO12" s="1188" t="s">
        <v>1592</v>
      </c>
      <c r="AP12" s="1557" t="s">
        <v>1591</v>
      </c>
      <c r="AQ12" s="1184" t="s">
        <v>1590</v>
      </c>
      <c r="AS12" s="1182" t="s">
        <v>1589</v>
      </c>
      <c r="AT12" s="1182" t="s">
        <v>1588</v>
      </c>
      <c r="AV12" s="1373" t="s">
        <v>1587</v>
      </c>
      <c r="AW12" s="1373" t="s">
        <v>1586</v>
      </c>
      <c r="AX12" s="1373" t="s">
        <v>1784</v>
      </c>
      <c r="AY12" s="1373" t="s">
        <v>1583</v>
      </c>
      <c r="AZ12" s="1187" t="s">
        <v>1585</v>
      </c>
      <c r="BA12" s="1187" t="s">
        <v>1584</v>
      </c>
      <c r="BB12" s="1187" t="s">
        <v>1583</v>
      </c>
      <c r="BC12" s="1551"/>
      <c r="BE12" s="1187"/>
      <c r="BF12" s="1373" t="s">
        <v>1587</v>
      </c>
      <c r="BG12" s="1373" t="s">
        <v>1586</v>
      </c>
      <c r="BH12" s="1373" t="s">
        <v>1784</v>
      </c>
      <c r="BI12" s="1373" t="s">
        <v>1583</v>
      </c>
      <c r="BJ12" s="1187" t="s">
        <v>1585</v>
      </c>
      <c r="BK12" s="1187" t="s">
        <v>1584</v>
      </c>
      <c r="BL12" s="1187" t="s">
        <v>1583</v>
      </c>
      <c r="BM12" s="1551"/>
      <c r="BN12" s="1561"/>
    </row>
    <row r="13" spans="1:74" hidden="1">
      <c r="A13" s="1182" t="s">
        <v>1803</v>
      </c>
      <c r="B13" s="1182" t="s">
        <v>1804</v>
      </c>
      <c r="C13" s="1182" t="s">
        <v>1639</v>
      </c>
      <c r="D13" s="1182" t="s">
        <v>2866</v>
      </c>
      <c r="E13" s="1182" t="s">
        <v>2867</v>
      </c>
      <c r="F13" s="1182" t="s">
        <v>1864</v>
      </c>
      <c r="G13" s="1182" t="s">
        <v>1864</v>
      </c>
      <c r="H13" s="1182" t="s">
        <v>4706</v>
      </c>
      <c r="I13" s="1182" t="s">
        <v>4411</v>
      </c>
      <c r="J13" s="1182" t="s">
        <v>4707</v>
      </c>
      <c r="K13" s="1182" t="s">
        <v>1811</v>
      </c>
      <c r="L13" s="1182" t="s">
        <v>1812</v>
      </c>
      <c r="M13" s="1182" t="s">
        <v>1803</v>
      </c>
      <c r="N13" s="1182" t="s">
        <v>4708</v>
      </c>
      <c r="O13" s="1182" t="s">
        <v>1654</v>
      </c>
      <c r="P13" s="1182" t="s">
        <v>1657</v>
      </c>
      <c r="Q13" s="1182" t="s">
        <v>1661</v>
      </c>
      <c r="R13" s="1182" t="s">
        <v>1468</v>
      </c>
      <c r="S13" s="1182" t="s">
        <v>1639</v>
      </c>
      <c r="T13" s="1182" t="s">
        <v>4709</v>
      </c>
      <c r="U13" s="1182" t="s">
        <v>4710</v>
      </c>
      <c r="V13" s="1182">
        <v>0</v>
      </c>
      <c r="W13" s="1182">
        <v>0</v>
      </c>
      <c r="X13" s="1182">
        <v>0</v>
      </c>
      <c r="Y13" s="1183">
        <v>2477</v>
      </c>
      <c r="Z13" s="1182" t="s">
        <v>4711</v>
      </c>
      <c r="AA13" s="1182" t="s">
        <v>1468</v>
      </c>
      <c r="AB13" s="1182">
        <v>2477</v>
      </c>
      <c r="AC13" s="1182" t="s">
        <v>4283</v>
      </c>
      <c r="AD13" s="1182" t="s">
        <v>4284</v>
      </c>
      <c r="AE13" s="1182">
        <v>2477</v>
      </c>
      <c r="AF13" s="1182" t="s">
        <v>1943</v>
      </c>
      <c r="AG13" s="1182" t="s">
        <v>1944</v>
      </c>
      <c r="AH13" s="1182">
        <v>0</v>
      </c>
      <c r="AI13" s="1182">
        <v>2477</v>
      </c>
      <c r="AJ13" s="1182" t="s">
        <v>3478</v>
      </c>
      <c r="AL13" s="1186" t="s">
        <v>4712</v>
      </c>
      <c r="AM13" s="1182">
        <v>1</v>
      </c>
      <c r="AN13" s="1182">
        <v>0</v>
      </c>
      <c r="AO13" s="1182">
        <v>0</v>
      </c>
      <c r="AP13" s="1555">
        <v>0</v>
      </c>
      <c r="AQ13" s="1182" t="s">
        <v>1639</v>
      </c>
      <c r="AS13" s="1554" t="s">
        <v>1943</v>
      </c>
      <c r="AT13" s="1554" t="s">
        <v>1944</v>
      </c>
      <c r="AV13" s="1183">
        <v>0</v>
      </c>
      <c r="AW13" s="1183">
        <v>0</v>
      </c>
      <c r="AX13" s="1185">
        <v>0</v>
      </c>
      <c r="AY13" s="1540">
        <v>0</v>
      </c>
      <c r="AZ13" s="1183">
        <v>0</v>
      </c>
      <c r="BA13" s="1183">
        <v>2477</v>
      </c>
      <c r="BB13" s="1540">
        <v>2477</v>
      </c>
      <c r="BC13" s="1540">
        <v>2477</v>
      </c>
      <c r="BD13" s="1540">
        <v>0</v>
      </c>
      <c r="BF13" s="1540">
        <f t="shared" ref="BF13" si="6">+IFERROR(ROUND(AV13*100/(100+$AT13),0),AV13)</f>
        <v>0</v>
      </c>
      <c r="BG13" s="1540">
        <f t="shared" ref="BG13" si="7">+IFERROR(ROUND(AW13*100/(100+$AT13),0),AW13)</f>
        <v>0</v>
      </c>
      <c r="BH13" s="1540">
        <f t="shared" ref="BH13" si="8">+IFERROR(ROUND(AX13*100/(100+$AT13),0),AX13)</f>
        <v>0</v>
      </c>
      <c r="BI13" s="1540">
        <f t="shared" ref="BI13" si="9">SUM(BF13:BH13)</f>
        <v>0</v>
      </c>
      <c r="BJ13" s="1540">
        <f t="shared" ref="BJ13" si="10">+IFERROR(ROUND(AZ13*100/(100+$AT13),0),AZ13)</f>
        <v>0</v>
      </c>
      <c r="BK13" s="1540">
        <f t="shared" ref="BK13" si="11">+IFERROR(ROUND(BA13*100/(100+$AT13),0),BA13)</f>
        <v>2477</v>
      </c>
      <c r="BL13" s="1540">
        <f t="shared" ref="BL13" si="12">SUM(BJ13:BK13)</f>
        <v>2477</v>
      </c>
      <c r="BM13" s="1540">
        <f t="shared" ref="BM13" si="13">+BI13+BL13</f>
        <v>2477</v>
      </c>
      <c r="BN13" s="1183"/>
      <c r="BO13" s="1182">
        <f t="shared" ref="BO13" si="14">AV13*100/(100+$AT13)-BF13</f>
        <v>0</v>
      </c>
      <c r="BP13" s="1182">
        <f t="shared" ref="BP13" si="15">AW13*100/(100+$AT13)-BG13</f>
        <v>0</v>
      </c>
      <c r="BQ13" s="1182">
        <f t="shared" ref="BQ13" si="16">AX13*100/(100+$AT13)-BH13</f>
        <v>0</v>
      </c>
      <c r="BR13" s="1182">
        <f t="shared" ref="BR13" si="17">AY13*100/(100+$AT13)-BI13</f>
        <v>0</v>
      </c>
      <c r="BS13" s="1182">
        <f t="shared" ref="BS13" si="18">AZ13*100/(100+$AT13)-BJ13</f>
        <v>0</v>
      </c>
      <c r="BT13" s="1182">
        <f t="shared" ref="BT13" si="19">BA13*100/(100+$AT13)-BK13</f>
        <v>0</v>
      </c>
      <c r="BU13" s="1182">
        <f t="shared" ref="BU13" si="20">BB13*100/(100+$AT13)-BL13</f>
        <v>0</v>
      </c>
    </row>
    <row r="14" spans="1:74" hidden="1">
      <c r="A14" s="1182" t="s">
        <v>4713</v>
      </c>
      <c r="B14" s="1182" t="s">
        <v>1804</v>
      </c>
      <c r="C14" s="1182" t="s">
        <v>1639</v>
      </c>
      <c r="D14" s="1182" t="s">
        <v>2866</v>
      </c>
      <c r="E14" s="1182" t="s">
        <v>2867</v>
      </c>
      <c r="F14" s="1182" t="s">
        <v>1864</v>
      </c>
      <c r="G14" s="1182" t="s">
        <v>1864</v>
      </c>
      <c r="H14" s="1182" t="s">
        <v>4706</v>
      </c>
      <c r="I14" s="1182" t="s">
        <v>4411</v>
      </c>
      <c r="J14" s="1182" t="s">
        <v>4707</v>
      </c>
      <c r="K14" s="1182" t="s">
        <v>1811</v>
      </c>
      <c r="L14" s="1182" t="s">
        <v>1956</v>
      </c>
      <c r="M14" s="1182" t="s">
        <v>1803</v>
      </c>
      <c r="N14" s="1182" t="s">
        <v>4708</v>
      </c>
      <c r="O14" s="1182" t="s">
        <v>1654</v>
      </c>
      <c r="P14" s="1182" t="s">
        <v>1657</v>
      </c>
      <c r="Q14" s="1182" t="s">
        <v>1661</v>
      </c>
      <c r="R14" s="1182" t="s">
        <v>1468</v>
      </c>
      <c r="S14" s="1182" t="s">
        <v>1639</v>
      </c>
      <c r="T14" s="1182" t="s">
        <v>4714</v>
      </c>
      <c r="U14" s="1182" t="s">
        <v>4710</v>
      </c>
      <c r="V14" s="1182">
        <v>0</v>
      </c>
      <c r="W14" s="1182">
        <v>0</v>
      </c>
      <c r="X14" s="1182">
        <v>0</v>
      </c>
      <c r="Y14" s="1183">
        <v>6</v>
      </c>
      <c r="Z14" s="1182" t="s">
        <v>4711</v>
      </c>
      <c r="AA14" s="1182" t="s">
        <v>1468</v>
      </c>
      <c r="AB14" s="1182">
        <v>6</v>
      </c>
      <c r="AC14" s="1182" t="s">
        <v>4283</v>
      </c>
      <c r="AD14" s="1182" t="s">
        <v>4284</v>
      </c>
      <c r="AE14" s="1182">
        <v>6</v>
      </c>
      <c r="AF14" s="1182" t="s">
        <v>1943</v>
      </c>
      <c r="AG14" s="1182" t="s">
        <v>1944</v>
      </c>
      <c r="AH14" s="1182">
        <v>0</v>
      </c>
      <c r="AI14" s="1182">
        <v>6</v>
      </c>
      <c r="AJ14" s="1182" t="s">
        <v>3478</v>
      </c>
      <c r="AL14" s="1186" t="s">
        <v>4715</v>
      </c>
      <c r="AM14" s="1182">
        <v>1</v>
      </c>
      <c r="AN14" s="1182">
        <v>0</v>
      </c>
      <c r="AO14" s="1182">
        <v>0</v>
      </c>
      <c r="AP14" s="1555">
        <v>0</v>
      </c>
      <c r="AQ14" s="1182" t="s">
        <v>1639</v>
      </c>
      <c r="AS14" s="1554" t="s">
        <v>1943</v>
      </c>
      <c r="AT14" s="1554" t="s">
        <v>1944</v>
      </c>
      <c r="AV14" s="1183">
        <v>0</v>
      </c>
      <c r="AW14" s="1183">
        <v>0</v>
      </c>
      <c r="AX14" s="1183">
        <v>0</v>
      </c>
      <c r="AY14" s="1540">
        <v>0</v>
      </c>
      <c r="AZ14" s="1183">
        <v>0</v>
      </c>
      <c r="BA14" s="1183">
        <v>6</v>
      </c>
      <c r="BB14" s="1540">
        <v>6</v>
      </c>
      <c r="BC14" s="1540">
        <v>6</v>
      </c>
      <c r="BD14" s="1540">
        <v>0</v>
      </c>
      <c r="BF14" s="1540">
        <f t="shared" ref="BF14:BF77" si="21">+IFERROR(ROUND(AV14*100/(100+$AT14),0),AV14)</f>
        <v>0</v>
      </c>
      <c r="BG14" s="1540">
        <f t="shared" ref="BG14:BG77" si="22">+IFERROR(ROUND(AW14*100/(100+$AT14),0),AW14)</f>
        <v>0</v>
      </c>
      <c r="BH14" s="1540">
        <f t="shared" ref="BH14:BH77" si="23">+IFERROR(ROUND(AX14*100/(100+$AT14),0),AX14)</f>
        <v>0</v>
      </c>
      <c r="BI14" s="1540">
        <f t="shared" ref="BI14:BI77" si="24">SUM(BF14:BH14)</f>
        <v>0</v>
      </c>
      <c r="BJ14" s="1540">
        <f t="shared" ref="BJ14:BJ77" si="25">+IFERROR(ROUND(AZ14*100/(100+$AT14),0),AZ14)</f>
        <v>0</v>
      </c>
      <c r="BK14" s="1540">
        <f t="shared" ref="BK14:BK77" si="26">+IFERROR(ROUND(BA14*100/(100+$AT14),0),BA14)</f>
        <v>6</v>
      </c>
      <c r="BL14" s="1540">
        <f t="shared" ref="BL14:BL77" si="27">SUM(BJ14:BK14)</f>
        <v>6</v>
      </c>
      <c r="BM14" s="1540">
        <f t="shared" ref="BM14:BM77" si="28">+BI14+BL14</f>
        <v>6</v>
      </c>
      <c r="BN14" s="1183"/>
      <c r="BO14" s="1182">
        <f t="shared" ref="BO14" si="29">AV14*100/(100+$AT14)-BF14</f>
        <v>0</v>
      </c>
      <c r="BP14" s="1182">
        <f t="shared" ref="BP14" si="30">AW14*100/(100+$AT14)-BG14</f>
        <v>0</v>
      </c>
      <c r="BQ14" s="1182">
        <f t="shared" ref="BQ14" si="31">AX14*100/(100+$AT14)-BH14</f>
        <v>0</v>
      </c>
      <c r="BR14" s="1182">
        <f t="shared" ref="BR14" si="32">AY14*100/(100+$AT14)-BI14</f>
        <v>0</v>
      </c>
      <c r="BS14" s="1182">
        <f t="shared" ref="BS14" si="33">AZ14*100/(100+$AT14)-BJ14</f>
        <v>0</v>
      </c>
      <c r="BT14" s="1182">
        <f t="shared" ref="BT14" si="34">BA14*100/(100+$AT14)-BK14</f>
        <v>0</v>
      </c>
      <c r="BU14" s="1182">
        <f t="shared" ref="BU14" si="35">BB14*100/(100+$AT14)-BL14</f>
        <v>0</v>
      </c>
    </row>
    <row r="15" spans="1:74">
      <c r="A15" s="1182" t="s">
        <v>1803</v>
      </c>
      <c r="B15" s="1182" t="s">
        <v>1804</v>
      </c>
      <c r="C15" s="1182" t="s">
        <v>1639</v>
      </c>
      <c r="D15" s="1182" t="s">
        <v>2590</v>
      </c>
      <c r="E15" s="1182" t="s">
        <v>2591</v>
      </c>
      <c r="F15" s="1182" t="s">
        <v>1827</v>
      </c>
      <c r="G15" s="1182" t="s">
        <v>1827</v>
      </c>
      <c r="H15" s="1188" t="s">
        <v>4410</v>
      </c>
      <c r="I15" s="1182" t="s">
        <v>4411</v>
      </c>
      <c r="J15" s="1182" t="s">
        <v>4412</v>
      </c>
      <c r="K15" s="1182" t="s">
        <v>1811</v>
      </c>
      <c r="L15" s="1182" t="s">
        <v>1812</v>
      </c>
      <c r="M15" s="1182" t="s">
        <v>1803</v>
      </c>
      <c r="N15" s="1182" t="s">
        <v>4413</v>
      </c>
      <c r="O15" s="1182" t="s">
        <v>1654</v>
      </c>
      <c r="P15" s="1182" t="s">
        <v>1657</v>
      </c>
      <c r="Q15" s="1182" t="s">
        <v>1656</v>
      </c>
      <c r="R15" s="1182" t="s">
        <v>4414</v>
      </c>
      <c r="S15" s="1182" t="s">
        <v>1639</v>
      </c>
      <c r="T15" s="1182" t="s">
        <v>4415</v>
      </c>
      <c r="U15" s="1182" t="s">
        <v>4416</v>
      </c>
      <c r="V15" s="1182">
        <v>0</v>
      </c>
      <c r="W15" s="1182">
        <v>0</v>
      </c>
      <c r="X15" s="1182">
        <v>0</v>
      </c>
      <c r="Y15" s="1183">
        <v>23932</v>
      </c>
      <c r="Z15" s="1182" t="s">
        <v>4417</v>
      </c>
      <c r="AA15" s="1182" t="s">
        <v>4414</v>
      </c>
      <c r="AB15" s="1182">
        <v>23932</v>
      </c>
      <c r="AC15" s="1182" t="s">
        <v>4283</v>
      </c>
      <c r="AD15" s="1182" t="s">
        <v>4284</v>
      </c>
      <c r="AE15" s="1182">
        <v>23932</v>
      </c>
      <c r="AF15" s="1182" t="s">
        <v>4418</v>
      </c>
      <c r="AG15" s="1182" t="s">
        <v>3911</v>
      </c>
      <c r="AH15" s="1182">
        <v>1767</v>
      </c>
      <c r="AI15" s="1182">
        <v>22165</v>
      </c>
      <c r="AJ15" s="1182" t="s">
        <v>4419</v>
      </c>
      <c r="AL15" s="1186" t="s">
        <v>4420</v>
      </c>
      <c r="AM15" s="1182">
        <v>1</v>
      </c>
      <c r="AN15" s="1182">
        <v>0</v>
      </c>
      <c r="AO15" s="1182">
        <v>0</v>
      </c>
      <c r="AP15" s="1555">
        <v>0</v>
      </c>
      <c r="AQ15" s="1182" t="s">
        <v>1639</v>
      </c>
      <c r="AS15" s="1554" t="s">
        <v>4418</v>
      </c>
      <c r="AT15" s="1554" t="s">
        <v>3911</v>
      </c>
      <c r="AV15" s="1183">
        <v>0</v>
      </c>
      <c r="AW15" s="1183">
        <v>0</v>
      </c>
      <c r="AX15" s="1183">
        <v>0</v>
      </c>
      <c r="AY15" s="1540">
        <v>0</v>
      </c>
      <c r="AZ15" s="1183">
        <v>0</v>
      </c>
      <c r="BA15" s="1183">
        <v>23932</v>
      </c>
      <c r="BB15" s="1540">
        <v>23932</v>
      </c>
      <c r="BC15" s="1540">
        <v>23932</v>
      </c>
      <c r="BD15" s="1540">
        <v>0</v>
      </c>
      <c r="BF15" s="1540">
        <f t="shared" si="21"/>
        <v>0</v>
      </c>
      <c r="BG15" s="1540">
        <f t="shared" si="22"/>
        <v>0</v>
      </c>
      <c r="BH15" s="1540">
        <f t="shared" si="23"/>
        <v>0</v>
      </c>
      <c r="BI15" s="1540">
        <f t="shared" si="24"/>
        <v>0</v>
      </c>
      <c r="BJ15" s="1540">
        <f t="shared" si="25"/>
        <v>0</v>
      </c>
      <c r="BK15" s="1540">
        <f t="shared" si="26"/>
        <v>22159</v>
      </c>
      <c r="BL15" s="1540">
        <f t="shared" si="27"/>
        <v>22159</v>
      </c>
      <c r="BM15" s="1540">
        <f t="shared" si="28"/>
        <v>22159</v>
      </c>
      <c r="BN15" s="1183"/>
      <c r="BO15" s="1182">
        <f t="shared" ref="BO15:BO78" si="36">AV15*100/(100+$AT15)-BF15</f>
        <v>0</v>
      </c>
      <c r="BP15" s="1182">
        <f t="shared" ref="BP15:BP78" si="37">AW15*100/(100+$AT15)-BG15</f>
        <v>0</v>
      </c>
      <c r="BQ15" s="1182">
        <f t="shared" ref="BQ15:BQ78" si="38">AX15*100/(100+$AT15)-BH15</f>
        <v>0</v>
      </c>
      <c r="BR15" s="1182">
        <f t="shared" ref="BR15:BR78" si="39">AY15*100/(100+$AT15)-BI15</f>
        <v>0</v>
      </c>
      <c r="BS15" s="1182">
        <f t="shared" ref="BS15:BS78" si="40">AZ15*100/(100+$AT15)-BJ15</f>
        <v>0</v>
      </c>
      <c r="BT15" s="1182">
        <f t="shared" ref="BT15:BT78" si="41">BA15*100/(100+$AT15)-BK15</f>
        <v>0.25925925925912452</v>
      </c>
      <c r="BU15" s="1182">
        <f t="shared" ref="BU15:BU78" si="42">BB15*100/(100+$AT15)-BL15</f>
        <v>0.25925925925912452</v>
      </c>
    </row>
    <row r="16" spans="1:74" hidden="1">
      <c r="A16" s="1182" t="s">
        <v>1803</v>
      </c>
      <c r="B16" s="1182" t="s">
        <v>1804</v>
      </c>
      <c r="C16" s="1182" t="s">
        <v>1639</v>
      </c>
      <c r="D16" s="1182" t="s">
        <v>2590</v>
      </c>
      <c r="E16" s="1182" t="s">
        <v>2591</v>
      </c>
      <c r="F16" s="1182" t="s">
        <v>1827</v>
      </c>
      <c r="G16" s="1182" t="s">
        <v>1827</v>
      </c>
      <c r="H16" s="1184" t="s">
        <v>4410</v>
      </c>
      <c r="I16" s="1182" t="s">
        <v>4411</v>
      </c>
      <c r="J16" s="1182" t="s">
        <v>4412</v>
      </c>
      <c r="K16" s="1182" t="s">
        <v>1811</v>
      </c>
      <c r="L16" s="1182" t="s">
        <v>1956</v>
      </c>
      <c r="M16" s="1182" t="s">
        <v>1803</v>
      </c>
      <c r="N16" s="1182" t="s">
        <v>4413</v>
      </c>
      <c r="O16" s="1182" t="s">
        <v>1654</v>
      </c>
      <c r="P16" s="1182" t="s">
        <v>1657</v>
      </c>
      <c r="Q16" s="1182" t="s">
        <v>1656</v>
      </c>
      <c r="R16" s="1182" t="s">
        <v>4414</v>
      </c>
      <c r="S16" s="1182" t="s">
        <v>1639</v>
      </c>
      <c r="T16" s="1182" t="s">
        <v>4415</v>
      </c>
      <c r="U16" s="1182" t="s">
        <v>4416</v>
      </c>
      <c r="V16" s="1182">
        <v>0</v>
      </c>
      <c r="W16" s="1182">
        <v>0</v>
      </c>
      <c r="X16" s="1182">
        <v>0</v>
      </c>
      <c r="Y16" s="1183">
        <v>1964</v>
      </c>
      <c r="Z16" s="1182" t="s">
        <v>4417</v>
      </c>
      <c r="AA16" s="1182" t="s">
        <v>4414</v>
      </c>
      <c r="AB16" s="1182">
        <v>1964</v>
      </c>
      <c r="AC16" s="1182" t="s">
        <v>4283</v>
      </c>
      <c r="AD16" s="1182" t="s">
        <v>4284</v>
      </c>
      <c r="AE16" s="1182">
        <v>1964</v>
      </c>
      <c r="AF16" s="1182" t="s">
        <v>2911</v>
      </c>
      <c r="AG16" s="1182" t="s">
        <v>1944</v>
      </c>
      <c r="AH16" s="1182">
        <v>0</v>
      </c>
      <c r="AI16" s="1182">
        <v>1964</v>
      </c>
      <c r="AJ16" s="1182" t="s">
        <v>4419</v>
      </c>
      <c r="AL16" s="1186" t="s">
        <v>4421</v>
      </c>
      <c r="AM16" s="1182">
        <v>1</v>
      </c>
      <c r="AN16" s="1182">
        <v>0</v>
      </c>
      <c r="AO16" s="1182">
        <v>0</v>
      </c>
      <c r="AP16" s="1555">
        <v>0</v>
      </c>
      <c r="AQ16" s="1182" t="s">
        <v>1639</v>
      </c>
      <c r="AS16" s="1554" t="s">
        <v>2911</v>
      </c>
      <c r="AT16" s="1554" t="s">
        <v>1944</v>
      </c>
      <c r="AV16" s="1183">
        <v>0</v>
      </c>
      <c r="AW16" s="1183">
        <v>0</v>
      </c>
      <c r="AX16" s="1183">
        <v>0</v>
      </c>
      <c r="AY16" s="1540">
        <v>0</v>
      </c>
      <c r="AZ16" s="1183">
        <v>0</v>
      </c>
      <c r="BA16" s="1183">
        <v>1964</v>
      </c>
      <c r="BB16" s="1540">
        <v>1964</v>
      </c>
      <c r="BC16" s="1540">
        <v>1964</v>
      </c>
      <c r="BD16" s="1540">
        <v>0</v>
      </c>
      <c r="BF16" s="1540">
        <f t="shared" si="21"/>
        <v>0</v>
      </c>
      <c r="BG16" s="1540">
        <f t="shared" si="22"/>
        <v>0</v>
      </c>
      <c r="BH16" s="1540">
        <f t="shared" si="23"/>
        <v>0</v>
      </c>
      <c r="BI16" s="1540">
        <f t="shared" si="24"/>
        <v>0</v>
      </c>
      <c r="BJ16" s="1540">
        <f t="shared" si="25"/>
        <v>0</v>
      </c>
      <c r="BK16" s="1540">
        <f t="shared" si="26"/>
        <v>1964</v>
      </c>
      <c r="BL16" s="1540">
        <f t="shared" si="27"/>
        <v>1964</v>
      </c>
      <c r="BM16" s="1540">
        <f t="shared" si="28"/>
        <v>1964</v>
      </c>
      <c r="BN16" s="1183"/>
      <c r="BO16" s="1182">
        <f t="shared" si="36"/>
        <v>0</v>
      </c>
      <c r="BP16" s="1182">
        <f t="shared" si="37"/>
        <v>0</v>
      </c>
      <c r="BQ16" s="1182">
        <f t="shared" si="38"/>
        <v>0</v>
      </c>
      <c r="BR16" s="1182">
        <f t="shared" si="39"/>
        <v>0</v>
      </c>
      <c r="BS16" s="1182">
        <f t="shared" si="40"/>
        <v>0</v>
      </c>
      <c r="BT16" s="1182">
        <f t="shared" si="41"/>
        <v>0</v>
      </c>
      <c r="BU16" s="1182">
        <f t="shared" si="42"/>
        <v>0</v>
      </c>
    </row>
    <row r="17" spans="1:73" hidden="1">
      <c r="A17" s="1182" t="s">
        <v>1803</v>
      </c>
      <c r="B17" s="1182" t="s">
        <v>1804</v>
      </c>
      <c r="C17" s="1182" t="s">
        <v>1639</v>
      </c>
      <c r="D17" s="1182" t="s">
        <v>2866</v>
      </c>
      <c r="E17" s="1182" t="s">
        <v>2867</v>
      </c>
      <c r="F17" s="1182" t="s">
        <v>1864</v>
      </c>
      <c r="G17" s="1182" t="s">
        <v>1864</v>
      </c>
      <c r="H17" s="1182" t="s">
        <v>4422</v>
      </c>
      <c r="I17" s="1182" t="s">
        <v>2933</v>
      </c>
      <c r="J17" s="1182" t="s">
        <v>4423</v>
      </c>
      <c r="K17" s="1182" t="s">
        <v>1811</v>
      </c>
      <c r="L17" s="1182" t="s">
        <v>1812</v>
      </c>
      <c r="M17" s="1182" t="s">
        <v>1803</v>
      </c>
      <c r="N17" s="1182" t="s">
        <v>4413</v>
      </c>
      <c r="O17" s="1182" t="s">
        <v>1654</v>
      </c>
      <c r="P17" s="1182" t="s">
        <v>1657</v>
      </c>
      <c r="Q17" s="1182" t="s">
        <v>1656</v>
      </c>
      <c r="R17" s="1182" t="s">
        <v>4414</v>
      </c>
      <c r="S17" s="1182" t="s">
        <v>1639</v>
      </c>
      <c r="T17" s="1182" t="s">
        <v>4424</v>
      </c>
      <c r="U17" s="1182" t="s">
        <v>4425</v>
      </c>
      <c r="V17" s="1182">
        <v>0</v>
      </c>
      <c r="W17" s="1182">
        <v>2866935</v>
      </c>
      <c r="X17" s="1182">
        <v>2866935</v>
      </c>
      <c r="Y17" s="1183">
        <v>2866935</v>
      </c>
      <c r="Z17" s="1182" t="s">
        <v>4417</v>
      </c>
      <c r="AA17" s="1182" t="s">
        <v>4414</v>
      </c>
      <c r="AB17" s="1182">
        <v>2866935</v>
      </c>
      <c r="AC17" s="1182" t="s">
        <v>4426</v>
      </c>
      <c r="AD17" s="1182" t="s">
        <v>4427</v>
      </c>
      <c r="AE17" s="1182">
        <v>2866935</v>
      </c>
      <c r="AF17" s="1182" t="s">
        <v>2911</v>
      </c>
      <c r="AG17" s="1182" t="s">
        <v>1944</v>
      </c>
      <c r="AH17" s="1182">
        <v>0</v>
      </c>
      <c r="AI17" s="1182">
        <v>2866935</v>
      </c>
      <c r="AJ17" s="1182" t="s">
        <v>1639</v>
      </c>
      <c r="AL17" s="1186" t="s">
        <v>4428</v>
      </c>
      <c r="AM17" s="1182">
        <v>1</v>
      </c>
      <c r="AN17" s="1182">
        <v>0</v>
      </c>
      <c r="AO17" s="1182">
        <v>0</v>
      </c>
      <c r="AP17" s="1555">
        <v>0</v>
      </c>
      <c r="AQ17" s="1182" t="s">
        <v>1639</v>
      </c>
      <c r="AS17" s="1554" t="s">
        <v>2911</v>
      </c>
      <c r="AT17" s="1554" t="s">
        <v>1944</v>
      </c>
      <c r="AV17" s="1183">
        <v>0</v>
      </c>
      <c r="AW17" s="1183">
        <v>0</v>
      </c>
      <c r="AX17" s="1183">
        <v>0</v>
      </c>
      <c r="AY17" s="1540">
        <v>0</v>
      </c>
      <c r="AZ17" s="1183">
        <v>0</v>
      </c>
      <c r="BA17" s="1183">
        <v>2866935</v>
      </c>
      <c r="BB17" s="1540">
        <v>2866935</v>
      </c>
      <c r="BC17" s="1540">
        <v>2866935</v>
      </c>
      <c r="BD17" s="1540">
        <v>0</v>
      </c>
      <c r="BF17" s="1540">
        <f t="shared" si="21"/>
        <v>0</v>
      </c>
      <c r="BG17" s="1540">
        <f t="shared" si="22"/>
        <v>0</v>
      </c>
      <c r="BH17" s="1540">
        <f t="shared" si="23"/>
        <v>0</v>
      </c>
      <c r="BI17" s="1540">
        <f t="shared" si="24"/>
        <v>0</v>
      </c>
      <c r="BJ17" s="1540">
        <f t="shared" si="25"/>
        <v>0</v>
      </c>
      <c r="BK17" s="1540">
        <f t="shared" si="26"/>
        <v>2866935</v>
      </c>
      <c r="BL17" s="1540">
        <f t="shared" si="27"/>
        <v>2866935</v>
      </c>
      <c r="BM17" s="1540">
        <f t="shared" si="28"/>
        <v>2866935</v>
      </c>
      <c r="BN17" s="1183"/>
      <c r="BO17" s="1182">
        <f t="shared" si="36"/>
        <v>0</v>
      </c>
      <c r="BP17" s="1182">
        <f t="shared" si="37"/>
        <v>0</v>
      </c>
      <c r="BQ17" s="1182">
        <f t="shared" si="38"/>
        <v>0</v>
      </c>
      <c r="BR17" s="1182">
        <f t="shared" si="39"/>
        <v>0</v>
      </c>
      <c r="BS17" s="1182">
        <f t="shared" si="40"/>
        <v>0</v>
      </c>
      <c r="BT17" s="1182">
        <f t="shared" si="41"/>
        <v>0</v>
      </c>
      <c r="BU17" s="1182">
        <f t="shared" si="42"/>
        <v>0</v>
      </c>
    </row>
    <row r="18" spans="1:73" hidden="1">
      <c r="A18" s="1182" t="s">
        <v>1803</v>
      </c>
      <c r="B18" s="1182" t="s">
        <v>1804</v>
      </c>
      <c r="C18" s="1182" t="s">
        <v>1639</v>
      </c>
      <c r="D18" s="1182" t="s">
        <v>2866</v>
      </c>
      <c r="E18" s="1182" t="s">
        <v>2867</v>
      </c>
      <c r="F18" s="1182" t="s">
        <v>1864</v>
      </c>
      <c r="G18" s="1182" t="s">
        <v>1864</v>
      </c>
      <c r="H18" s="1182" t="s">
        <v>4422</v>
      </c>
      <c r="I18" s="1182" t="s">
        <v>2933</v>
      </c>
      <c r="J18" s="1182" t="s">
        <v>4423</v>
      </c>
      <c r="K18" s="1182" t="s">
        <v>1811</v>
      </c>
      <c r="L18" s="1182" t="s">
        <v>1956</v>
      </c>
      <c r="M18" s="1182" t="s">
        <v>1803</v>
      </c>
      <c r="N18" s="1182" t="s">
        <v>4413</v>
      </c>
      <c r="O18" s="1182" t="s">
        <v>1654</v>
      </c>
      <c r="P18" s="1182" t="s">
        <v>1657</v>
      </c>
      <c r="Q18" s="1182" t="s">
        <v>1656</v>
      </c>
      <c r="R18" s="1182" t="s">
        <v>4414</v>
      </c>
      <c r="S18" s="1182" t="s">
        <v>1639</v>
      </c>
      <c r="T18" s="1182" t="s">
        <v>4424</v>
      </c>
      <c r="U18" s="1182" t="s">
        <v>4425</v>
      </c>
      <c r="V18" s="1182">
        <v>0</v>
      </c>
      <c r="W18" s="1182">
        <v>398682</v>
      </c>
      <c r="X18" s="1182">
        <v>398682</v>
      </c>
      <c r="Y18" s="1183">
        <v>398682</v>
      </c>
      <c r="Z18" s="1182" t="s">
        <v>4417</v>
      </c>
      <c r="AA18" s="1182" t="s">
        <v>4414</v>
      </c>
      <c r="AB18" s="1182">
        <v>398682</v>
      </c>
      <c r="AC18" s="1182" t="s">
        <v>4429</v>
      </c>
      <c r="AD18" s="1182" t="s">
        <v>4427</v>
      </c>
      <c r="AE18" s="1182">
        <v>398682</v>
      </c>
      <c r="AF18" s="1182" t="s">
        <v>2911</v>
      </c>
      <c r="AG18" s="1182" t="s">
        <v>1944</v>
      </c>
      <c r="AH18" s="1182">
        <v>0</v>
      </c>
      <c r="AI18" s="1182">
        <v>398682</v>
      </c>
      <c r="AJ18" s="1182" t="s">
        <v>1639</v>
      </c>
      <c r="AL18" s="1186" t="s">
        <v>4430</v>
      </c>
      <c r="AM18" s="1182">
        <v>1</v>
      </c>
      <c r="AN18" s="1182">
        <v>0</v>
      </c>
      <c r="AO18" s="1182">
        <v>0</v>
      </c>
      <c r="AP18" s="1555">
        <v>0</v>
      </c>
      <c r="AQ18" s="1182" t="s">
        <v>1639</v>
      </c>
      <c r="AS18" s="1554" t="s">
        <v>2911</v>
      </c>
      <c r="AT18" s="1554" t="s">
        <v>1944</v>
      </c>
      <c r="AV18" s="1183">
        <v>0</v>
      </c>
      <c r="AW18" s="1183">
        <v>0</v>
      </c>
      <c r="AX18" s="1183">
        <v>0</v>
      </c>
      <c r="AY18" s="1540">
        <v>0</v>
      </c>
      <c r="AZ18" s="1183">
        <v>0</v>
      </c>
      <c r="BA18" s="1183">
        <v>398682</v>
      </c>
      <c r="BB18" s="1540">
        <v>398682</v>
      </c>
      <c r="BC18" s="1540">
        <v>398682</v>
      </c>
      <c r="BD18" s="1540">
        <v>0</v>
      </c>
      <c r="BF18" s="1540">
        <f t="shared" si="21"/>
        <v>0</v>
      </c>
      <c r="BG18" s="1540">
        <f t="shared" si="22"/>
        <v>0</v>
      </c>
      <c r="BH18" s="1540">
        <f t="shared" si="23"/>
        <v>0</v>
      </c>
      <c r="BI18" s="1540">
        <f t="shared" si="24"/>
        <v>0</v>
      </c>
      <c r="BJ18" s="1540">
        <f t="shared" si="25"/>
        <v>0</v>
      </c>
      <c r="BK18" s="1540">
        <f t="shared" si="26"/>
        <v>398682</v>
      </c>
      <c r="BL18" s="1540">
        <f t="shared" si="27"/>
        <v>398682</v>
      </c>
      <c r="BM18" s="1540">
        <f t="shared" si="28"/>
        <v>398682</v>
      </c>
      <c r="BN18" s="1183"/>
      <c r="BO18" s="1182">
        <f t="shared" si="36"/>
        <v>0</v>
      </c>
      <c r="BP18" s="1182">
        <f t="shared" si="37"/>
        <v>0</v>
      </c>
      <c r="BQ18" s="1182">
        <f t="shared" si="38"/>
        <v>0</v>
      </c>
      <c r="BR18" s="1182">
        <f t="shared" si="39"/>
        <v>0</v>
      </c>
      <c r="BS18" s="1182">
        <f t="shared" si="40"/>
        <v>0</v>
      </c>
      <c r="BT18" s="1182">
        <f t="shared" si="41"/>
        <v>0</v>
      </c>
      <c r="BU18" s="1182">
        <f t="shared" si="42"/>
        <v>0</v>
      </c>
    </row>
    <row r="19" spans="1:73" hidden="1">
      <c r="A19" s="1182" t="s">
        <v>1803</v>
      </c>
      <c r="B19" s="1182" t="s">
        <v>1804</v>
      </c>
      <c r="C19" s="1182" t="s">
        <v>1639</v>
      </c>
      <c r="D19" s="1182" t="s">
        <v>2866</v>
      </c>
      <c r="E19" s="1182" t="s">
        <v>2867</v>
      </c>
      <c r="F19" s="1182" t="s">
        <v>1864</v>
      </c>
      <c r="G19" s="1182" t="s">
        <v>1864</v>
      </c>
      <c r="H19" s="1182" t="s">
        <v>4422</v>
      </c>
      <c r="I19" s="1182" t="s">
        <v>2933</v>
      </c>
      <c r="J19" s="1182" t="s">
        <v>4423</v>
      </c>
      <c r="K19" s="1182" t="s">
        <v>1811</v>
      </c>
      <c r="L19" s="1182" t="s">
        <v>1978</v>
      </c>
      <c r="M19" s="1182" t="s">
        <v>1803</v>
      </c>
      <c r="N19" s="1182" t="s">
        <v>4413</v>
      </c>
      <c r="O19" s="1182" t="s">
        <v>1654</v>
      </c>
      <c r="P19" s="1182" t="s">
        <v>1657</v>
      </c>
      <c r="Q19" s="1182" t="s">
        <v>1656</v>
      </c>
      <c r="R19" s="1182" t="s">
        <v>4414</v>
      </c>
      <c r="S19" s="1182" t="s">
        <v>1639</v>
      </c>
      <c r="T19" s="1182" t="s">
        <v>4424</v>
      </c>
      <c r="U19" s="1182" t="s">
        <v>4425</v>
      </c>
      <c r="V19" s="1182">
        <v>0</v>
      </c>
      <c r="W19" s="1182">
        <v>547871</v>
      </c>
      <c r="X19" s="1182">
        <v>547871</v>
      </c>
      <c r="Y19" s="1183">
        <v>547871</v>
      </c>
      <c r="Z19" s="1182" t="s">
        <v>4417</v>
      </c>
      <c r="AA19" s="1182" t="s">
        <v>4414</v>
      </c>
      <c r="AB19" s="1182">
        <v>547871</v>
      </c>
      <c r="AC19" s="1182" t="s">
        <v>4431</v>
      </c>
      <c r="AD19" s="1182" t="s">
        <v>4427</v>
      </c>
      <c r="AE19" s="1182">
        <v>547871</v>
      </c>
      <c r="AF19" s="1182" t="s">
        <v>2911</v>
      </c>
      <c r="AG19" s="1182" t="s">
        <v>1944</v>
      </c>
      <c r="AH19" s="1182">
        <v>0</v>
      </c>
      <c r="AI19" s="1182">
        <v>547871</v>
      </c>
      <c r="AJ19" s="1182" t="s">
        <v>1639</v>
      </c>
      <c r="AL19" s="1186" t="s">
        <v>4432</v>
      </c>
      <c r="AM19" s="1182">
        <v>1</v>
      </c>
      <c r="AN19" s="1182">
        <v>0</v>
      </c>
      <c r="AO19" s="1182">
        <v>0</v>
      </c>
      <c r="AP19" s="1555">
        <v>0</v>
      </c>
      <c r="AQ19" s="1182" t="s">
        <v>1639</v>
      </c>
      <c r="AS19" s="1554" t="s">
        <v>2911</v>
      </c>
      <c r="AT19" s="1554" t="s">
        <v>1944</v>
      </c>
      <c r="AV19" s="1183">
        <v>0</v>
      </c>
      <c r="AW19" s="1183">
        <v>0</v>
      </c>
      <c r="AX19" s="1183">
        <v>0</v>
      </c>
      <c r="AY19" s="1540">
        <v>0</v>
      </c>
      <c r="AZ19" s="1183">
        <v>0</v>
      </c>
      <c r="BA19" s="1183">
        <v>547871</v>
      </c>
      <c r="BB19" s="1540">
        <v>547871</v>
      </c>
      <c r="BC19" s="1540">
        <v>547871</v>
      </c>
      <c r="BD19" s="1540">
        <v>0</v>
      </c>
      <c r="BF19" s="1540">
        <f t="shared" si="21"/>
        <v>0</v>
      </c>
      <c r="BG19" s="1540">
        <f t="shared" si="22"/>
        <v>0</v>
      </c>
      <c r="BH19" s="1540">
        <f t="shared" si="23"/>
        <v>0</v>
      </c>
      <c r="BI19" s="1540">
        <f t="shared" si="24"/>
        <v>0</v>
      </c>
      <c r="BJ19" s="1540">
        <f t="shared" si="25"/>
        <v>0</v>
      </c>
      <c r="BK19" s="1540">
        <f t="shared" si="26"/>
        <v>547871</v>
      </c>
      <c r="BL19" s="1540">
        <f t="shared" si="27"/>
        <v>547871</v>
      </c>
      <c r="BM19" s="1540">
        <f t="shared" si="28"/>
        <v>547871</v>
      </c>
      <c r="BN19" s="1183"/>
      <c r="BO19" s="1182">
        <f t="shared" si="36"/>
        <v>0</v>
      </c>
      <c r="BP19" s="1182">
        <f t="shared" si="37"/>
        <v>0</v>
      </c>
      <c r="BQ19" s="1182">
        <f t="shared" si="38"/>
        <v>0</v>
      </c>
      <c r="BR19" s="1182">
        <f t="shared" si="39"/>
        <v>0</v>
      </c>
      <c r="BS19" s="1182">
        <f t="shared" si="40"/>
        <v>0</v>
      </c>
      <c r="BT19" s="1182">
        <f t="shared" si="41"/>
        <v>0</v>
      </c>
      <c r="BU19" s="1182">
        <f t="shared" si="42"/>
        <v>0</v>
      </c>
    </row>
    <row r="20" spans="1:73" hidden="1">
      <c r="A20" s="1182" t="s">
        <v>1803</v>
      </c>
      <c r="B20" s="1182" t="s">
        <v>1804</v>
      </c>
      <c r="C20" s="1182" t="s">
        <v>1639</v>
      </c>
      <c r="D20" s="1182" t="s">
        <v>2866</v>
      </c>
      <c r="E20" s="1182" t="s">
        <v>2867</v>
      </c>
      <c r="F20" s="1182" t="s">
        <v>1864</v>
      </c>
      <c r="G20" s="1182" t="s">
        <v>1864</v>
      </c>
      <c r="H20" s="1182" t="s">
        <v>4433</v>
      </c>
      <c r="I20" s="1182" t="s">
        <v>2933</v>
      </c>
      <c r="J20" s="1182" t="s">
        <v>4434</v>
      </c>
      <c r="K20" s="1182" t="s">
        <v>1811</v>
      </c>
      <c r="L20" s="1182" t="s">
        <v>1812</v>
      </c>
      <c r="M20" s="1182" t="s">
        <v>1803</v>
      </c>
      <c r="N20" s="1182" t="s">
        <v>4413</v>
      </c>
      <c r="O20" s="1182" t="s">
        <v>1654</v>
      </c>
      <c r="P20" s="1182" t="s">
        <v>1657</v>
      </c>
      <c r="Q20" s="1182" t="s">
        <v>1656</v>
      </c>
      <c r="R20" s="1182" t="s">
        <v>4414</v>
      </c>
      <c r="S20" s="1182" t="s">
        <v>1639</v>
      </c>
      <c r="T20" s="1182" t="s">
        <v>4424</v>
      </c>
      <c r="U20" s="1182" t="s">
        <v>4425</v>
      </c>
      <c r="V20" s="1182">
        <v>0</v>
      </c>
      <c r="W20" s="1182">
        <v>5368538</v>
      </c>
      <c r="X20" s="1182">
        <v>5368538</v>
      </c>
      <c r="Y20" s="1183">
        <v>5368538</v>
      </c>
      <c r="Z20" s="1182" t="s">
        <v>4417</v>
      </c>
      <c r="AA20" s="1182" t="s">
        <v>4414</v>
      </c>
      <c r="AB20" s="1182">
        <v>5368538</v>
      </c>
      <c r="AC20" s="1182" t="s">
        <v>4435</v>
      </c>
      <c r="AD20" s="1182" t="s">
        <v>4436</v>
      </c>
      <c r="AE20" s="1182">
        <v>5368538</v>
      </c>
      <c r="AF20" s="1182" t="s">
        <v>4437</v>
      </c>
      <c r="AG20" s="1182" t="s">
        <v>1820</v>
      </c>
      <c r="AH20" s="1182">
        <v>488017</v>
      </c>
      <c r="AI20" s="1182">
        <v>4880521</v>
      </c>
      <c r="AJ20" s="1182" t="s">
        <v>1639</v>
      </c>
      <c r="AL20" s="1186" t="s">
        <v>4438</v>
      </c>
      <c r="AM20" s="1182">
        <v>1</v>
      </c>
      <c r="AN20" s="1182">
        <v>0</v>
      </c>
      <c r="AO20" s="1182">
        <v>0</v>
      </c>
      <c r="AP20" s="1555">
        <v>0</v>
      </c>
      <c r="AQ20" s="1182" t="s">
        <v>1639</v>
      </c>
      <c r="AS20" s="1554" t="s">
        <v>4437</v>
      </c>
      <c r="AT20" s="1554" t="s">
        <v>1820</v>
      </c>
      <c r="AV20" s="1183">
        <v>0</v>
      </c>
      <c r="AW20" s="1183">
        <v>0</v>
      </c>
      <c r="AX20" s="1183">
        <v>0</v>
      </c>
      <c r="AY20" s="1540">
        <v>0</v>
      </c>
      <c r="AZ20" s="1183">
        <v>0</v>
      </c>
      <c r="BA20" s="1183">
        <v>5368538</v>
      </c>
      <c r="BB20" s="1540">
        <v>5368538</v>
      </c>
      <c r="BC20" s="1540">
        <v>5368538</v>
      </c>
      <c r="BD20" s="1540">
        <v>0</v>
      </c>
      <c r="BF20" s="1540">
        <f t="shared" si="21"/>
        <v>0</v>
      </c>
      <c r="BG20" s="1540">
        <f t="shared" si="22"/>
        <v>0</v>
      </c>
      <c r="BH20" s="1540">
        <f t="shared" si="23"/>
        <v>0</v>
      </c>
      <c r="BI20" s="1540">
        <f t="shared" si="24"/>
        <v>0</v>
      </c>
      <c r="BJ20" s="1540">
        <f t="shared" si="25"/>
        <v>0</v>
      </c>
      <c r="BK20" s="1540">
        <f t="shared" si="26"/>
        <v>4880489</v>
      </c>
      <c r="BL20" s="1540">
        <f t="shared" si="27"/>
        <v>4880489</v>
      </c>
      <c r="BM20" s="1540">
        <f t="shared" si="28"/>
        <v>4880489</v>
      </c>
      <c r="BN20" s="1183"/>
      <c r="BO20" s="1182">
        <f t="shared" si="36"/>
        <v>0</v>
      </c>
      <c r="BP20" s="1182">
        <f t="shared" si="37"/>
        <v>0</v>
      </c>
      <c r="BQ20" s="1182">
        <f t="shared" si="38"/>
        <v>0</v>
      </c>
      <c r="BR20" s="1182">
        <f t="shared" si="39"/>
        <v>0</v>
      </c>
      <c r="BS20" s="1182">
        <f t="shared" si="40"/>
        <v>0</v>
      </c>
      <c r="BT20" s="1182">
        <f t="shared" si="41"/>
        <v>9.090909082442522E-2</v>
      </c>
      <c r="BU20" s="1182">
        <f t="shared" si="42"/>
        <v>9.090909082442522E-2</v>
      </c>
    </row>
    <row r="21" spans="1:73" hidden="1">
      <c r="A21" s="1182" t="s">
        <v>1803</v>
      </c>
      <c r="B21" s="1182" t="s">
        <v>1804</v>
      </c>
      <c r="C21" s="1182" t="s">
        <v>1639</v>
      </c>
      <c r="D21" s="1182" t="s">
        <v>2866</v>
      </c>
      <c r="E21" s="1182" t="s">
        <v>2867</v>
      </c>
      <c r="F21" s="1182" t="s">
        <v>1864</v>
      </c>
      <c r="G21" s="1182" t="s">
        <v>1864</v>
      </c>
      <c r="H21" s="1182" t="s">
        <v>4433</v>
      </c>
      <c r="I21" s="1182" t="s">
        <v>2933</v>
      </c>
      <c r="J21" s="1182" t="s">
        <v>4434</v>
      </c>
      <c r="K21" s="1182" t="s">
        <v>1811</v>
      </c>
      <c r="L21" s="1182" t="s">
        <v>1956</v>
      </c>
      <c r="M21" s="1182" t="s">
        <v>1803</v>
      </c>
      <c r="N21" s="1182" t="s">
        <v>4413</v>
      </c>
      <c r="O21" s="1182" t="s">
        <v>1654</v>
      </c>
      <c r="P21" s="1182" t="s">
        <v>1657</v>
      </c>
      <c r="Q21" s="1182" t="s">
        <v>1656</v>
      </c>
      <c r="R21" s="1182" t="s">
        <v>4414</v>
      </c>
      <c r="S21" s="1182" t="s">
        <v>1639</v>
      </c>
      <c r="T21" s="1182" t="s">
        <v>4424</v>
      </c>
      <c r="U21" s="1182" t="s">
        <v>4425</v>
      </c>
      <c r="V21" s="1182">
        <v>0</v>
      </c>
      <c r="W21" s="1182">
        <v>16247</v>
      </c>
      <c r="X21" s="1182">
        <v>16247</v>
      </c>
      <c r="Y21" s="1183">
        <v>16247</v>
      </c>
      <c r="Z21" s="1182" t="s">
        <v>4417</v>
      </c>
      <c r="AA21" s="1182" t="s">
        <v>4414</v>
      </c>
      <c r="AB21" s="1182">
        <v>16247</v>
      </c>
      <c r="AC21" s="1182" t="s">
        <v>4435</v>
      </c>
      <c r="AD21" s="1182" t="s">
        <v>4436</v>
      </c>
      <c r="AE21" s="1182">
        <v>16247</v>
      </c>
      <c r="AF21" s="1182" t="s">
        <v>2911</v>
      </c>
      <c r="AG21" s="1182" t="s">
        <v>1944</v>
      </c>
      <c r="AH21" s="1182">
        <v>0</v>
      </c>
      <c r="AI21" s="1182">
        <v>16247</v>
      </c>
      <c r="AJ21" s="1182" t="s">
        <v>1639</v>
      </c>
      <c r="AL21" s="1186" t="s">
        <v>4439</v>
      </c>
      <c r="AM21" s="1182">
        <v>1</v>
      </c>
      <c r="AN21" s="1182">
        <v>0</v>
      </c>
      <c r="AO21" s="1182">
        <v>0</v>
      </c>
      <c r="AP21" s="1555" t="s">
        <v>4440</v>
      </c>
      <c r="AQ21" s="1182" t="s">
        <v>1639</v>
      </c>
      <c r="AS21" s="1554" t="s">
        <v>2911</v>
      </c>
      <c r="AT21" s="1554" t="s">
        <v>1944</v>
      </c>
      <c r="AV21" s="1183">
        <v>0</v>
      </c>
      <c r="AW21" s="1183">
        <v>0</v>
      </c>
      <c r="AX21" s="1183">
        <v>0</v>
      </c>
      <c r="AY21" s="1540">
        <v>0</v>
      </c>
      <c r="AZ21" s="1183">
        <v>0</v>
      </c>
      <c r="BA21" s="1183">
        <v>16247</v>
      </c>
      <c r="BB21" s="1540">
        <v>16247</v>
      </c>
      <c r="BC21" s="1540">
        <v>16247</v>
      </c>
      <c r="BD21" s="1540">
        <v>0</v>
      </c>
      <c r="BF21" s="1540">
        <f t="shared" si="21"/>
        <v>0</v>
      </c>
      <c r="BG21" s="1540">
        <f t="shared" si="22"/>
        <v>0</v>
      </c>
      <c r="BH21" s="1540">
        <f t="shared" si="23"/>
        <v>0</v>
      </c>
      <c r="BI21" s="1540">
        <f t="shared" si="24"/>
        <v>0</v>
      </c>
      <c r="BJ21" s="1540">
        <f t="shared" si="25"/>
        <v>0</v>
      </c>
      <c r="BK21" s="1540">
        <f t="shared" si="26"/>
        <v>16247</v>
      </c>
      <c r="BL21" s="1540">
        <f t="shared" si="27"/>
        <v>16247</v>
      </c>
      <c r="BM21" s="1540">
        <f t="shared" si="28"/>
        <v>16247</v>
      </c>
      <c r="BN21" s="1183"/>
      <c r="BO21" s="1182">
        <f t="shared" si="36"/>
        <v>0</v>
      </c>
      <c r="BP21" s="1182">
        <f t="shared" si="37"/>
        <v>0</v>
      </c>
      <c r="BQ21" s="1182">
        <f t="shared" si="38"/>
        <v>0</v>
      </c>
      <c r="BR21" s="1182">
        <f t="shared" si="39"/>
        <v>0</v>
      </c>
      <c r="BS21" s="1182">
        <f t="shared" si="40"/>
        <v>0</v>
      </c>
      <c r="BT21" s="1182">
        <f t="shared" si="41"/>
        <v>0</v>
      </c>
      <c r="BU21" s="1182">
        <f t="shared" si="42"/>
        <v>0</v>
      </c>
    </row>
    <row r="22" spans="1:73" hidden="1">
      <c r="A22" s="1182" t="s">
        <v>1803</v>
      </c>
      <c r="B22" s="1182" t="s">
        <v>1804</v>
      </c>
      <c r="C22" s="1182" t="s">
        <v>1639</v>
      </c>
      <c r="D22" s="1182" t="s">
        <v>2866</v>
      </c>
      <c r="E22" s="1182" t="s">
        <v>2867</v>
      </c>
      <c r="F22" s="1182" t="s">
        <v>2950</v>
      </c>
      <c r="G22" s="1182" t="s">
        <v>2950</v>
      </c>
      <c r="H22" s="1182" t="s">
        <v>4441</v>
      </c>
      <c r="I22" s="1182" t="s">
        <v>2933</v>
      </c>
      <c r="J22" s="1182" t="s">
        <v>4442</v>
      </c>
      <c r="K22" s="1182" t="s">
        <v>1811</v>
      </c>
      <c r="L22" s="1182" t="s">
        <v>1812</v>
      </c>
      <c r="M22" s="1182" t="s">
        <v>1803</v>
      </c>
      <c r="N22" s="1182" t="s">
        <v>4443</v>
      </c>
      <c r="O22" s="1182" t="s">
        <v>1654</v>
      </c>
      <c r="P22" s="1182" t="s">
        <v>1653</v>
      </c>
      <c r="Q22" s="1182" t="s">
        <v>4444</v>
      </c>
      <c r="R22" s="1182" t="s">
        <v>4444</v>
      </c>
      <c r="S22" s="1182" t="s">
        <v>1639</v>
      </c>
      <c r="T22" s="1182" t="s">
        <v>4445</v>
      </c>
      <c r="U22" s="1182" t="s">
        <v>4446</v>
      </c>
      <c r="V22" s="1182">
        <v>0</v>
      </c>
      <c r="W22" s="1182">
        <v>10315355</v>
      </c>
      <c r="X22" s="1182">
        <v>10315355</v>
      </c>
      <c r="Y22" s="1183">
        <v>10315355</v>
      </c>
      <c r="Z22" s="1182" t="s">
        <v>4447</v>
      </c>
      <c r="AA22" s="1182" t="s">
        <v>4444</v>
      </c>
      <c r="AB22" s="1182">
        <v>10315355</v>
      </c>
      <c r="AC22" s="1182" t="s">
        <v>4448</v>
      </c>
      <c r="AD22" s="1182" t="s">
        <v>4449</v>
      </c>
      <c r="AE22" s="1182">
        <v>10315355</v>
      </c>
      <c r="AF22" s="1182" t="s">
        <v>2911</v>
      </c>
      <c r="AG22" s="1182" t="s">
        <v>1944</v>
      </c>
      <c r="AH22" s="1182">
        <v>0</v>
      </c>
      <c r="AI22" s="1182">
        <v>10315355</v>
      </c>
      <c r="AJ22" s="1182" t="s">
        <v>1639</v>
      </c>
      <c r="AL22" s="1186" t="s">
        <v>4450</v>
      </c>
      <c r="AM22" s="1182">
        <v>1</v>
      </c>
      <c r="AN22" s="1182">
        <v>0</v>
      </c>
      <c r="AO22" s="1182">
        <v>0</v>
      </c>
      <c r="AP22" s="1555">
        <v>0</v>
      </c>
      <c r="AQ22" s="1182" t="s">
        <v>1639</v>
      </c>
      <c r="AS22" s="1554" t="s">
        <v>2911</v>
      </c>
      <c r="AT22" s="1554" t="s">
        <v>1944</v>
      </c>
      <c r="AV22" s="1183">
        <v>0</v>
      </c>
      <c r="AW22" s="1183">
        <v>0</v>
      </c>
      <c r="AX22" s="1183">
        <v>0</v>
      </c>
      <c r="AY22" s="1540">
        <v>0</v>
      </c>
      <c r="AZ22" s="1183">
        <v>0</v>
      </c>
      <c r="BA22" s="1183">
        <v>10315355</v>
      </c>
      <c r="BB22" s="1540">
        <v>10315355</v>
      </c>
      <c r="BC22" s="1540">
        <v>10315355</v>
      </c>
      <c r="BD22" s="1540">
        <v>0</v>
      </c>
      <c r="BF22" s="1540">
        <f t="shared" si="21"/>
        <v>0</v>
      </c>
      <c r="BG22" s="1540">
        <f t="shared" si="22"/>
        <v>0</v>
      </c>
      <c r="BH22" s="1540">
        <f t="shared" si="23"/>
        <v>0</v>
      </c>
      <c r="BI22" s="1540">
        <f t="shared" si="24"/>
        <v>0</v>
      </c>
      <c r="BJ22" s="1540">
        <f t="shared" si="25"/>
        <v>0</v>
      </c>
      <c r="BK22" s="1540">
        <f t="shared" si="26"/>
        <v>10315355</v>
      </c>
      <c r="BL22" s="1540">
        <f t="shared" si="27"/>
        <v>10315355</v>
      </c>
      <c r="BM22" s="1540">
        <f t="shared" si="28"/>
        <v>10315355</v>
      </c>
      <c r="BN22" s="1183"/>
      <c r="BO22" s="1182">
        <f t="shared" si="36"/>
        <v>0</v>
      </c>
      <c r="BP22" s="1182">
        <f t="shared" si="37"/>
        <v>0</v>
      </c>
      <c r="BQ22" s="1182">
        <f t="shared" si="38"/>
        <v>0</v>
      </c>
      <c r="BR22" s="1182">
        <f t="shared" si="39"/>
        <v>0</v>
      </c>
      <c r="BS22" s="1182">
        <f t="shared" si="40"/>
        <v>0</v>
      </c>
      <c r="BT22" s="1182">
        <f t="shared" si="41"/>
        <v>0</v>
      </c>
      <c r="BU22" s="1182">
        <f t="shared" si="42"/>
        <v>0</v>
      </c>
    </row>
    <row r="23" spans="1:73">
      <c r="A23" s="1182" t="s">
        <v>1803</v>
      </c>
      <c r="B23" s="1182" t="s">
        <v>1804</v>
      </c>
      <c r="C23" s="1182" t="s">
        <v>1639</v>
      </c>
      <c r="D23" s="1182" t="s">
        <v>2590</v>
      </c>
      <c r="E23" s="1182" t="s">
        <v>2591</v>
      </c>
      <c r="F23" s="1182" t="s">
        <v>2665</v>
      </c>
      <c r="G23" s="1182" t="s">
        <v>2665</v>
      </c>
      <c r="H23" s="1188" t="s">
        <v>4451</v>
      </c>
      <c r="I23" s="1182" t="s">
        <v>2933</v>
      </c>
      <c r="J23" s="1182" t="s">
        <v>4452</v>
      </c>
      <c r="K23" s="1182" t="s">
        <v>1811</v>
      </c>
      <c r="L23" s="1182" t="s">
        <v>1812</v>
      </c>
      <c r="M23" s="1182" t="s">
        <v>1803</v>
      </c>
      <c r="N23" s="1182" t="s">
        <v>4453</v>
      </c>
      <c r="O23" s="1182" t="s">
        <v>1654</v>
      </c>
      <c r="P23" s="1182" t="s">
        <v>1653</v>
      </c>
      <c r="Q23" s="1182" t="s">
        <v>1452</v>
      </c>
      <c r="R23" s="1182" t="s">
        <v>1452</v>
      </c>
      <c r="S23" s="1182" t="s">
        <v>1639</v>
      </c>
      <c r="T23" s="1182" t="s">
        <v>4454</v>
      </c>
      <c r="U23" s="1182" t="s">
        <v>4455</v>
      </c>
      <c r="V23" s="1182">
        <v>0</v>
      </c>
      <c r="W23" s="1182">
        <v>0</v>
      </c>
      <c r="X23" s="1182">
        <v>0</v>
      </c>
      <c r="Y23" s="1183">
        <v>7639</v>
      </c>
      <c r="Z23" s="1182" t="s">
        <v>4456</v>
      </c>
      <c r="AA23" s="1182" t="s">
        <v>1452</v>
      </c>
      <c r="AB23" s="1182">
        <v>7639</v>
      </c>
      <c r="AC23" s="1182" t="s">
        <v>4457</v>
      </c>
      <c r="AD23" s="1182" t="s">
        <v>4458</v>
      </c>
      <c r="AE23" s="1182">
        <v>7639</v>
      </c>
      <c r="AF23" s="1182" t="s">
        <v>4437</v>
      </c>
      <c r="AG23" s="1182" t="s">
        <v>1820</v>
      </c>
      <c r="AH23" s="1182">
        <v>694</v>
      </c>
      <c r="AI23" s="1182">
        <v>6945</v>
      </c>
      <c r="AJ23" s="1182" t="s">
        <v>1639</v>
      </c>
      <c r="AL23" s="1186" t="s">
        <v>4459</v>
      </c>
      <c r="AM23" s="1182">
        <v>1</v>
      </c>
      <c r="AN23" s="1182">
        <v>0</v>
      </c>
      <c r="AO23" s="1182">
        <v>0</v>
      </c>
      <c r="AP23" s="1555">
        <v>0</v>
      </c>
      <c r="AQ23" s="1182" t="s">
        <v>1639</v>
      </c>
      <c r="AS23" s="1554" t="s">
        <v>4437</v>
      </c>
      <c r="AT23" s="1554" t="s">
        <v>1820</v>
      </c>
      <c r="AV23" s="1183">
        <v>0</v>
      </c>
      <c r="AW23" s="1183">
        <v>0</v>
      </c>
      <c r="AX23" s="1183">
        <v>0</v>
      </c>
      <c r="AY23" s="1540">
        <v>0</v>
      </c>
      <c r="AZ23" s="1183">
        <v>0</v>
      </c>
      <c r="BA23" s="1183">
        <v>7639</v>
      </c>
      <c r="BB23" s="1540">
        <v>7639</v>
      </c>
      <c r="BC23" s="1540">
        <v>7639</v>
      </c>
      <c r="BD23" s="1540">
        <v>0</v>
      </c>
      <c r="BF23" s="1540">
        <f t="shared" si="21"/>
        <v>0</v>
      </c>
      <c r="BG23" s="1540">
        <f t="shared" si="22"/>
        <v>0</v>
      </c>
      <c r="BH23" s="1540">
        <f t="shared" si="23"/>
        <v>0</v>
      </c>
      <c r="BI23" s="1540">
        <f t="shared" si="24"/>
        <v>0</v>
      </c>
      <c r="BJ23" s="1540">
        <f t="shared" si="25"/>
        <v>0</v>
      </c>
      <c r="BK23" s="1540">
        <f t="shared" si="26"/>
        <v>6945</v>
      </c>
      <c r="BL23" s="1540">
        <f t="shared" si="27"/>
        <v>6945</v>
      </c>
      <c r="BM23" s="1540">
        <f t="shared" si="28"/>
        <v>6945</v>
      </c>
      <c r="BN23" s="1183"/>
      <c r="BO23" s="1182">
        <f t="shared" si="36"/>
        <v>0</v>
      </c>
      <c r="BP23" s="1182">
        <f t="shared" si="37"/>
        <v>0</v>
      </c>
      <c r="BQ23" s="1182">
        <f t="shared" si="38"/>
        <v>0</v>
      </c>
      <c r="BR23" s="1182">
        <f t="shared" si="39"/>
        <v>0</v>
      </c>
      <c r="BS23" s="1182">
        <f t="shared" si="40"/>
        <v>0</v>
      </c>
      <c r="BT23" s="1182">
        <f t="shared" si="41"/>
        <v>-0.45454545454504114</v>
      </c>
      <c r="BU23" s="1182">
        <f t="shared" si="42"/>
        <v>-0.45454545454504114</v>
      </c>
    </row>
    <row r="24" spans="1:73">
      <c r="A24" s="1182" t="s">
        <v>1803</v>
      </c>
      <c r="B24" s="1182" t="s">
        <v>1804</v>
      </c>
      <c r="C24" s="1182" t="s">
        <v>1639</v>
      </c>
      <c r="D24" s="1182" t="s">
        <v>2590</v>
      </c>
      <c r="E24" s="1182" t="s">
        <v>2591</v>
      </c>
      <c r="F24" s="1182" t="s">
        <v>2665</v>
      </c>
      <c r="G24" s="1182" t="s">
        <v>2665</v>
      </c>
      <c r="H24" s="1188" t="s">
        <v>4451</v>
      </c>
      <c r="I24" s="1182" t="s">
        <v>2933</v>
      </c>
      <c r="J24" s="1182" t="s">
        <v>4460</v>
      </c>
      <c r="K24" s="1182" t="s">
        <v>1811</v>
      </c>
      <c r="L24" s="1182" t="s">
        <v>1812</v>
      </c>
      <c r="M24" s="1182" t="s">
        <v>1803</v>
      </c>
      <c r="N24" s="1182" t="s">
        <v>4453</v>
      </c>
      <c r="O24" s="1182" t="s">
        <v>1654</v>
      </c>
      <c r="P24" s="1182" t="s">
        <v>1653</v>
      </c>
      <c r="Q24" s="1182" t="s">
        <v>1452</v>
      </c>
      <c r="R24" s="1182" t="s">
        <v>1452</v>
      </c>
      <c r="S24" s="1182" t="s">
        <v>1639</v>
      </c>
      <c r="T24" s="1182" t="s">
        <v>4454</v>
      </c>
      <c r="U24" s="1182" t="s">
        <v>4455</v>
      </c>
      <c r="V24" s="1182">
        <v>0</v>
      </c>
      <c r="W24" s="1182">
        <v>0</v>
      </c>
      <c r="X24" s="1182">
        <v>0</v>
      </c>
      <c r="Y24" s="1183">
        <v>3359</v>
      </c>
      <c r="Z24" s="1182" t="s">
        <v>4456</v>
      </c>
      <c r="AA24" s="1182" t="s">
        <v>1452</v>
      </c>
      <c r="AB24" s="1182">
        <v>3359</v>
      </c>
      <c r="AC24" s="1182" t="s">
        <v>4457</v>
      </c>
      <c r="AD24" s="1182" t="s">
        <v>4458</v>
      </c>
      <c r="AE24" s="1182">
        <v>3359</v>
      </c>
      <c r="AF24" s="1182" t="s">
        <v>4437</v>
      </c>
      <c r="AG24" s="1182" t="s">
        <v>1820</v>
      </c>
      <c r="AH24" s="1182">
        <v>305</v>
      </c>
      <c r="AI24" s="1182">
        <v>3054</v>
      </c>
      <c r="AJ24" s="1182" t="s">
        <v>1639</v>
      </c>
      <c r="AL24" s="1186" t="s">
        <v>4461</v>
      </c>
      <c r="AM24" s="1182">
        <v>1</v>
      </c>
      <c r="AN24" s="1182">
        <v>0</v>
      </c>
      <c r="AO24" s="1182">
        <v>0</v>
      </c>
      <c r="AP24" s="1555">
        <v>0</v>
      </c>
      <c r="AQ24" s="1182" t="s">
        <v>1639</v>
      </c>
      <c r="AS24" s="1554" t="s">
        <v>4437</v>
      </c>
      <c r="AT24" s="1554" t="s">
        <v>1820</v>
      </c>
      <c r="AV24" s="1183">
        <v>0</v>
      </c>
      <c r="AW24" s="1183">
        <v>0</v>
      </c>
      <c r="AX24" s="1183">
        <v>0</v>
      </c>
      <c r="AY24" s="1540">
        <v>0</v>
      </c>
      <c r="AZ24" s="1183">
        <v>0</v>
      </c>
      <c r="BA24" s="1183">
        <v>3359</v>
      </c>
      <c r="BB24" s="1540">
        <v>3359</v>
      </c>
      <c r="BC24" s="1540">
        <v>3359</v>
      </c>
      <c r="BD24" s="1540">
        <v>0</v>
      </c>
      <c r="BF24" s="1540">
        <f t="shared" si="21"/>
        <v>0</v>
      </c>
      <c r="BG24" s="1540">
        <f t="shared" si="22"/>
        <v>0</v>
      </c>
      <c r="BH24" s="1540">
        <f t="shared" si="23"/>
        <v>0</v>
      </c>
      <c r="BI24" s="1540">
        <f t="shared" si="24"/>
        <v>0</v>
      </c>
      <c r="BJ24" s="1540">
        <f t="shared" si="25"/>
        <v>0</v>
      </c>
      <c r="BK24" s="1540">
        <f t="shared" si="26"/>
        <v>3054</v>
      </c>
      <c r="BL24" s="1540">
        <f t="shared" si="27"/>
        <v>3054</v>
      </c>
      <c r="BM24" s="1540">
        <f t="shared" si="28"/>
        <v>3054</v>
      </c>
      <c r="BN24" s="1183"/>
      <c r="BO24" s="1182">
        <f t="shared" si="36"/>
        <v>0</v>
      </c>
      <c r="BP24" s="1182">
        <f t="shared" si="37"/>
        <v>0</v>
      </c>
      <c r="BQ24" s="1182">
        <f t="shared" si="38"/>
        <v>0</v>
      </c>
      <c r="BR24" s="1182">
        <f t="shared" si="39"/>
        <v>0</v>
      </c>
      <c r="BS24" s="1182">
        <f t="shared" si="40"/>
        <v>0</v>
      </c>
      <c r="BT24" s="1182">
        <f t="shared" si="41"/>
        <v>-0.36363636363648766</v>
      </c>
      <c r="BU24" s="1182">
        <f t="shared" si="42"/>
        <v>-0.36363636363648766</v>
      </c>
    </row>
    <row r="25" spans="1:73">
      <c r="A25" s="1182" t="s">
        <v>1803</v>
      </c>
      <c r="B25" s="1182" t="s">
        <v>1804</v>
      </c>
      <c r="C25" s="1182" t="s">
        <v>1639</v>
      </c>
      <c r="D25" s="1182" t="s">
        <v>2590</v>
      </c>
      <c r="E25" s="1182" t="s">
        <v>2591</v>
      </c>
      <c r="F25" s="1182" t="s">
        <v>2665</v>
      </c>
      <c r="G25" s="1182" t="s">
        <v>2665</v>
      </c>
      <c r="H25" s="1188" t="s">
        <v>4451</v>
      </c>
      <c r="I25" s="1182" t="s">
        <v>2933</v>
      </c>
      <c r="J25" s="1182" t="s">
        <v>4462</v>
      </c>
      <c r="K25" s="1182" t="s">
        <v>1811</v>
      </c>
      <c r="L25" s="1182" t="s">
        <v>1812</v>
      </c>
      <c r="M25" s="1182" t="s">
        <v>1803</v>
      </c>
      <c r="N25" s="1182" t="s">
        <v>4453</v>
      </c>
      <c r="O25" s="1182" t="s">
        <v>1654</v>
      </c>
      <c r="P25" s="1182" t="s">
        <v>1653</v>
      </c>
      <c r="Q25" s="1182" t="s">
        <v>1452</v>
      </c>
      <c r="R25" s="1182" t="s">
        <v>1452</v>
      </c>
      <c r="S25" s="1182" t="s">
        <v>1639</v>
      </c>
      <c r="T25" s="1182" t="s">
        <v>4454</v>
      </c>
      <c r="U25" s="1182" t="s">
        <v>4455</v>
      </c>
      <c r="V25" s="1182">
        <v>0</v>
      </c>
      <c r="W25" s="1182">
        <v>0</v>
      </c>
      <c r="X25" s="1182">
        <v>0</v>
      </c>
      <c r="Y25" s="1183">
        <v>465</v>
      </c>
      <c r="Z25" s="1182" t="s">
        <v>4456</v>
      </c>
      <c r="AA25" s="1182" t="s">
        <v>1452</v>
      </c>
      <c r="AB25" s="1182">
        <v>465</v>
      </c>
      <c r="AC25" s="1182" t="s">
        <v>4457</v>
      </c>
      <c r="AD25" s="1182" t="s">
        <v>4458</v>
      </c>
      <c r="AE25" s="1182">
        <v>465</v>
      </c>
      <c r="AF25" s="1182" t="s">
        <v>4437</v>
      </c>
      <c r="AG25" s="1182" t="s">
        <v>1820</v>
      </c>
      <c r="AH25" s="1182">
        <v>42</v>
      </c>
      <c r="AI25" s="1182">
        <v>423</v>
      </c>
      <c r="AJ25" s="1182" t="s">
        <v>1639</v>
      </c>
      <c r="AL25" s="1186" t="s">
        <v>4463</v>
      </c>
      <c r="AM25" s="1182">
        <v>1</v>
      </c>
      <c r="AN25" s="1182">
        <v>0</v>
      </c>
      <c r="AO25" s="1182">
        <v>0</v>
      </c>
      <c r="AP25" s="1555">
        <v>0</v>
      </c>
      <c r="AQ25" s="1182" t="s">
        <v>1639</v>
      </c>
      <c r="AS25" s="1554" t="s">
        <v>4437</v>
      </c>
      <c r="AT25" s="1554" t="s">
        <v>1820</v>
      </c>
      <c r="AV25" s="1183">
        <v>0</v>
      </c>
      <c r="AW25" s="1183">
        <v>0</v>
      </c>
      <c r="AX25" s="1183">
        <v>0</v>
      </c>
      <c r="AY25" s="1540">
        <v>0</v>
      </c>
      <c r="AZ25" s="1183">
        <v>0</v>
      </c>
      <c r="BA25" s="1183">
        <v>465</v>
      </c>
      <c r="BB25" s="1540">
        <v>465</v>
      </c>
      <c r="BC25" s="1540">
        <v>465</v>
      </c>
      <c r="BD25" s="1540">
        <v>0</v>
      </c>
      <c r="BF25" s="1540">
        <f t="shared" si="21"/>
        <v>0</v>
      </c>
      <c r="BG25" s="1540">
        <f t="shared" si="22"/>
        <v>0</v>
      </c>
      <c r="BH25" s="1540">
        <f t="shared" si="23"/>
        <v>0</v>
      </c>
      <c r="BI25" s="1540">
        <f t="shared" si="24"/>
        <v>0</v>
      </c>
      <c r="BJ25" s="1540">
        <f t="shared" si="25"/>
        <v>0</v>
      </c>
      <c r="BK25" s="1540">
        <f t="shared" si="26"/>
        <v>423</v>
      </c>
      <c r="BL25" s="1540">
        <f t="shared" si="27"/>
        <v>423</v>
      </c>
      <c r="BM25" s="1540">
        <f t="shared" si="28"/>
        <v>423</v>
      </c>
      <c r="BN25" s="1183"/>
      <c r="BO25" s="1182">
        <f t="shared" si="36"/>
        <v>0</v>
      </c>
      <c r="BP25" s="1182">
        <f t="shared" si="37"/>
        <v>0</v>
      </c>
      <c r="BQ25" s="1182">
        <f t="shared" si="38"/>
        <v>0</v>
      </c>
      <c r="BR25" s="1182">
        <f t="shared" si="39"/>
        <v>0</v>
      </c>
      <c r="BS25" s="1182">
        <f t="shared" si="40"/>
        <v>0</v>
      </c>
      <c r="BT25" s="1182">
        <f t="shared" si="41"/>
        <v>-0.27272727272725206</v>
      </c>
      <c r="BU25" s="1182">
        <f t="shared" si="42"/>
        <v>-0.27272727272725206</v>
      </c>
    </row>
    <row r="26" spans="1:73">
      <c r="A26" s="1182" t="s">
        <v>1803</v>
      </c>
      <c r="B26" s="1182" t="s">
        <v>1804</v>
      </c>
      <c r="C26" s="1182" t="s">
        <v>1639</v>
      </c>
      <c r="D26" s="1182" t="s">
        <v>2590</v>
      </c>
      <c r="E26" s="1182" t="s">
        <v>2591</v>
      </c>
      <c r="F26" s="1182" t="s">
        <v>3834</v>
      </c>
      <c r="G26" s="1182" t="s">
        <v>3834</v>
      </c>
      <c r="H26" s="1188" t="s">
        <v>4464</v>
      </c>
      <c r="I26" s="1182" t="s">
        <v>2933</v>
      </c>
      <c r="J26" s="1182" t="s">
        <v>4465</v>
      </c>
      <c r="K26" s="1182" t="s">
        <v>1811</v>
      </c>
      <c r="L26" s="1182" t="s">
        <v>1812</v>
      </c>
      <c r="M26" s="1182" t="s">
        <v>1803</v>
      </c>
      <c r="N26" s="1182" t="s">
        <v>4453</v>
      </c>
      <c r="O26" s="1182" t="s">
        <v>1654</v>
      </c>
      <c r="P26" s="1182" t="s">
        <v>1653</v>
      </c>
      <c r="Q26" s="1182" t="s">
        <v>1452</v>
      </c>
      <c r="R26" s="1182" t="s">
        <v>1452</v>
      </c>
      <c r="S26" s="1182" t="s">
        <v>1639</v>
      </c>
      <c r="T26" s="1182" t="s">
        <v>4454</v>
      </c>
      <c r="U26" s="1182" t="s">
        <v>4455</v>
      </c>
      <c r="V26" s="1182">
        <v>0</v>
      </c>
      <c r="W26" s="1182">
        <v>0</v>
      </c>
      <c r="X26" s="1182">
        <v>0</v>
      </c>
      <c r="Y26" s="1183">
        <v>797</v>
      </c>
      <c r="Z26" s="1182" t="s">
        <v>4456</v>
      </c>
      <c r="AA26" s="1182" t="s">
        <v>1452</v>
      </c>
      <c r="AB26" s="1182">
        <v>797</v>
      </c>
      <c r="AC26" s="1182" t="s">
        <v>4457</v>
      </c>
      <c r="AD26" s="1182" t="s">
        <v>4458</v>
      </c>
      <c r="AE26" s="1182">
        <v>797</v>
      </c>
      <c r="AF26" s="1182" t="s">
        <v>4437</v>
      </c>
      <c r="AG26" s="1182" t="s">
        <v>1820</v>
      </c>
      <c r="AH26" s="1182">
        <v>72</v>
      </c>
      <c r="AI26" s="1182">
        <v>725</v>
      </c>
      <c r="AJ26" s="1182" t="s">
        <v>1639</v>
      </c>
      <c r="AL26" s="1186" t="s">
        <v>4466</v>
      </c>
      <c r="AM26" s="1182">
        <v>1</v>
      </c>
      <c r="AN26" s="1182">
        <v>0</v>
      </c>
      <c r="AO26" s="1182">
        <v>0</v>
      </c>
      <c r="AP26" s="1555">
        <v>0</v>
      </c>
      <c r="AQ26" s="1182" t="s">
        <v>1639</v>
      </c>
      <c r="AS26" s="1554" t="s">
        <v>4437</v>
      </c>
      <c r="AT26" s="1554" t="s">
        <v>1820</v>
      </c>
      <c r="AV26" s="1183">
        <v>0</v>
      </c>
      <c r="AW26" s="1183">
        <v>0</v>
      </c>
      <c r="AX26" s="1183">
        <v>0</v>
      </c>
      <c r="AY26" s="1540">
        <v>0</v>
      </c>
      <c r="AZ26" s="1183">
        <v>0</v>
      </c>
      <c r="BA26" s="1183">
        <v>797</v>
      </c>
      <c r="BB26" s="1540">
        <v>797</v>
      </c>
      <c r="BC26" s="1540">
        <v>797</v>
      </c>
      <c r="BD26" s="1540">
        <v>0</v>
      </c>
      <c r="BF26" s="1540">
        <f t="shared" si="21"/>
        <v>0</v>
      </c>
      <c r="BG26" s="1540">
        <f t="shared" si="22"/>
        <v>0</v>
      </c>
      <c r="BH26" s="1540">
        <f t="shared" si="23"/>
        <v>0</v>
      </c>
      <c r="BI26" s="1540">
        <f t="shared" si="24"/>
        <v>0</v>
      </c>
      <c r="BJ26" s="1540">
        <f t="shared" si="25"/>
        <v>0</v>
      </c>
      <c r="BK26" s="1540">
        <f t="shared" si="26"/>
        <v>725</v>
      </c>
      <c r="BL26" s="1540">
        <f t="shared" si="27"/>
        <v>725</v>
      </c>
      <c r="BM26" s="1540">
        <f t="shared" si="28"/>
        <v>725</v>
      </c>
      <c r="BN26" s="1183"/>
      <c r="BO26" s="1182">
        <f t="shared" si="36"/>
        <v>0</v>
      </c>
      <c r="BP26" s="1182">
        <f t="shared" si="37"/>
        <v>0</v>
      </c>
      <c r="BQ26" s="1182">
        <f t="shared" si="38"/>
        <v>0</v>
      </c>
      <c r="BR26" s="1182">
        <f t="shared" si="39"/>
        <v>0</v>
      </c>
      <c r="BS26" s="1182">
        <f t="shared" si="40"/>
        <v>0</v>
      </c>
      <c r="BT26" s="1182">
        <f t="shared" si="41"/>
        <v>-0.45454545454549589</v>
      </c>
      <c r="BU26" s="1182">
        <f t="shared" si="42"/>
        <v>-0.45454545454549589</v>
      </c>
    </row>
    <row r="27" spans="1:73">
      <c r="A27" s="1182" t="s">
        <v>1803</v>
      </c>
      <c r="B27" s="1182" t="s">
        <v>1804</v>
      </c>
      <c r="C27" s="1182" t="s">
        <v>1639</v>
      </c>
      <c r="D27" s="1182" t="s">
        <v>2590</v>
      </c>
      <c r="E27" s="1182" t="s">
        <v>2591</v>
      </c>
      <c r="F27" s="1182" t="s">
        <v>3834</v>
      </c>
      <c r="G27" s="1182" t="s">
        <v>3834</v>
      </c>
      <c r="H27" s="1188" t="s">
        <v>4464</v>
      </c>
      <c r="I27" s="1182" t="s">
        <v>2933</v>
      </c>
      <c r="J27" s="1182" t="s">
        <v>4467</v>
      </c>
      <c r="K27" s="1182" t="s">
        <v>1811</v>
      </c>
      <c r="L27" s="1182" t="s">
        <v>1812</v>
      </c>
      <c r="M27" s="1182" t="s">
        <v>1803</v>
      </c>
      <c r="N27" s="1182" t="s">
        <v>4453</v>
      </c>
      <c r="O27" s="1182" t="s">
        <v>1654</v>
      </c>
      <c r="P27" s="1182" t="s">
        <v>1653</v>
      </c>
      <c r="Q27" s="1182" t="s">
        <v>1452</v>
      </c>
      <c r="R27" s="1182" t="s">
        <v>1452</v>
      </c>
      <c r="S27" s="1182" t="s">
        <v>1639</v>
      </c>
      <c r="T27" s="1182" t="s">
        <v>4454</v>
      </c>
      <c r="U27" s="1182" t="s">
        <v>4455</v>
      </c>
      <c r="V27" s="1182">
        <v>0</v>
      </c>
      <c r="W27" s="1182">
        <v>0</v>
      </c>
      <c r="X27" s="1182">
        <v>0</v>
      </c>
      <c r="Y27" s="1183">
        <v>377</v>
      </c>
      <c r="Z27" s="1182" t="s">
        <v>4456</v>
      </c>
      <c r="AA27" s="1182" t="s">
        <v>1452</v>
      </c>
      <c r="AB27" s="1182">
        <v>377</v>
      </c>
      <c r="AC27" s="1182" t="s">
        <v>4457</v>
      </c>
      <c r="AD27" s="1182" t="s">
        <v>4458</v>
      </c>
      <c r="AE27" s="1182">
        <v>377</v>
      </c>
      <c r="AF27" s="1182" t="s">
        <v>4437</v>
      </c>
      <c r="AG27" s="1182" t="s">
        <v>1820</v>
      </c>
      <c r="AH27" s="1182">
        <v>32</v>
      </c>
      <c r="AI27" s="1182">
        <v>345</v>
      </c>
      <c r="AJ27" s="1182" t="s">
        <v>1639</v>
      </c>
      <c r="AL27" s="1186" t="s">
        <v>4468</v>
      </c>
      <c r="AM27" s="1182">
        <v>1</v>
      </c>
      <c r="AN27" s="1182">
        <v>0</v>
      </c>
      <c r="AO27" s="1182">
        <v>0</v>
      </c>
      <c r="AP27" s="1555">
        <v>0</v>
      </c>
      <c r="AQ27" s="1182" t="s">
        <v>1639</v>
      </c>
      <c r="AS27" s="1554" t="s">
        <v>4437</v>
      </c>
      <c r="AT27" s="1554" t="s">
        <v>1820</v>
      </c>
      <c r="AV27" s="1183">
        <v>0</v>
      </c>
      <c r="AW27" s="1183">
        <v>0</v>
      </c>
      <c r="AX27" s="1183">
        <v>0</v>
      </c>
      <c r="AY27" s="1540">
        <v>0</v>
      </c>
      <c r="AZ27" s="1183">
        <v>0</v>
      </c>
      <c r="BA27" s="1183">
        <v>377</v>
      </c>
      <c r="BB27" s="1540">
        <v>377</v>
      </c>
      <c r="BC27" s="1540">
        <v>377</v>
      </c>
      <c r="BD27" s="1540">
        <v>0</v>
      </c>
      <c r="BF27" s="1540">
        <f t="shared" si="21"/>
        <v>0</v>
      </c>
      <c r="BG27" s="1540">
        <f t="shared" si="22"/>
        <v>0</v>
      </c>
      <c r="BH27" s="1540">
        <f t="shared" si="23"/>
        <v>0</v>
      </c>
      <c r="BI27" s="1540">
        <f t="shared" si="24"/>
        <v>0</v>
      </c>
      <c r="BJ27" s="1540">
        <f t="shared" si="25"/>
        <v>0</v>
      </c>
      <c r="BK27" s="1540">
        <f t="shared" si="26"/>
        <v>343</v>
      </c>
      <c r="BL27" s="1540">
        <f t="shared" si="27"/>
        <v>343</v>
      </c>
      <c r="BM27" s="1540">
        <f t="shared" si="28"/>
        <v>343</v>
      </c>
      <c r="BN27" s="1183"/>
      <c r="BO27" s="1182">
        <f t="shared" si="36"/>
        <v>0</v>
      </c>
      <c r="BP27" s="1182">
        <f t="shared" si="37"/>
        <v>0</v>
      </c>
      <c r="BQ27" s="1182">
        <f t="shared" si="38"/>
        <v>0</v>
      </c>
      <c r="BR27" s="1182">
        <f t="shared" si="39"/>
        <v>0</v>
      </c>
      <c r="BS27" s="1182">
        <f t="shared" si="40"/>
        <v>0</v>
      </c>
      <c r="BT27" s="1182">
        <f t="shared" si="41"/>
        <v>-0.27272727272725206</v>
      </c>
      <c r="BU27" s="1182">
        <f t="shared" si="42"/>
        <v>-0.27272727272725206</v>
      </c>
    </row>
    <row r="28" spans="1:73">
      <c r="A28" s="1182" t="s">
        <v>1803</v>
      </c>
      <c r="B28" s="1182" t="s">
        <v>1804</v>
      </c>
      <c r="C28" s="1182" t="s">
        <v>1639</v>
      </c>
      <c r="D28" s="1182" t="s">
        <v>2590</v>
      </c>
      <c r="E28" s="1182" t="s">
        <v>2591</v>
      </c>
      <c r="F28" s="1182" t="s">
        <v>3834</v>
      </c>
      <c r="G28" s="1182" t="s">
        <v>3834</v>
      </c>
      <c r="H28" s="1188" t="s">
        <v>4464</v>
      </c>
      <c r="I28" s="1182" t="s">
        <v>2933</v>
      </c>
      <c r="J28" s="1182" t="s">
        <v>4469</v>
      </c>
      <c r="K28" s="1182" t="s">
        <v>1811</v>
      </c>
      <c r="L28" s="1182" t="s">
        <v>1812</v>
      </c>
      <c r="M28" s="1182" t="s">
        <v>1803</v>
      </c>
      <c r="N28" s="1182" t="s">
        <v>4453</v>
      </c>
      <c r="O28" s="1182" t="s">
        <v>1654</v>
      </c>
      <c r="P28" s="1182" t="s">
        <v>1653</v>
      </c>
      <c r="Q28" s="1182" t="s">
        <v>1452</v>
      </c>
      <c r="R28" s="1182" t="s">
        <v>1452</v>
      </c>
      <c r="S28" s="1182" t="s">
        <v>1639</v>
      </c>
      <c r="T28" s="1182" t="s">
        <v>4454</v>
      </c>
      <c r="U28" s="1182" t="s">
        <v>4455</v>
      </c>
      <c r="V28" s="1182">
        <v>0</v>
      </c>
      <c r="W28" s="1182">
        <v>0</v>
      </c>
      <c r="X28" s="1182">
        <v>0</v>
      </c>
      <c r="Y28" s="1183">
        <v>1117</v>
      </c>
      <c r="Z28" s="1182" t="s">
        <v>4456</v>
      </c>
      <c r="AA28" s="1182" t="s">
        <v>1452</v>
      </c>
      <c r="AB28" s="1182">
        <v>1117</v>
      </c>
      <c r="AC28" s="1182" t="s">
        <v>4457</v>
      </c>
      <c r="AD28" s="1182" t="s">
        <v>4458</v>
      </c>
      <c r="AE28" s="1182">
        <v>1117</v>
      </c>
      <c r="AF28" s="1182" t="s">
        <v>4437</v>
      </c>
      <c r="AG28" s="1182" t="s">
        <v>1820</v>
      </c>
      <c r="AH28" s="1182">
        <v>101</v>
      </c>
      <c r="AI28" s="1182">
        <v>1016</v>
      </c>
      <c r="AJ28" s="1182" t="s">
        <v>1639</v>
      </c>
      <c r="AL28" s="1186" t="s">
        <v>4470</v>
      </c>
      <c r="AM28" s="1182">
        <v>1</v>
      </c>
      <c r="AN28" s="1182">
        <v>0</v>
      </c>
      <c r="AO28" s="1182">
        <v>0</v>
      </c>
      <c r="AP28" s="1555">
        <v>0</v>
      </c>
      <c r="AQ28" s="1182" t="s">
        <v>1639</v>
      </c>
      <c r="AS28" s="1554" t="s">
        <v>4437</v>
      </c>
      <c r="AT28" s="1554" t="s">
        <v>1820</v>
      </c>
      <c r="AV28" s="1183">
        <v>0</v>
      </c>
      <c r="AW28" s="1183">
        <v>0</v>
      </c>
      <c r="AX28" s="1183">
        <v>0</v>
      </c>
      <c r="AY28" s="1540">
        <v>0</v>
      </c>
      <c r="AZ28" s="1183">
        <v>0</v>
      </c>
      <c r="BA28" s="1183">
        <v>1117</v>
      </c>
      <c r="BB28" s="1540">
        <v>1117</v>
      </c>
      <c r="BC28" s="1540">
        <v>1117</v>
      </c>
      <c r="BD28" s="1540">
        <v>0</v>
      </c>
      <c r="BF28" s="1540">
        <f t="shared" si="21"/>
        <v>0</v>
      </c>
      <c r="BG28" s="1540">
        <f t="shared" si="22"/>
        <v>0</v>
      </c>
      <c r="BH28" s="1540">
        <f t="shared" si="23"/>
        <v>0</v>
      </c>
      <c r="BI28" s="1540">
        <f t="shared" si="24"/>
        <v>0</v>
      </c>
      <c r="BJ28" s="1540">
        <f t="shared" si="25"/>
        <v>0</v>
      </c>
      <c r="BK28" s="1540">
        <f t="shared" si="26"/>
        <v>1015</v>
      </c>
      <c r="BL28" s="1540">
        <f t="shared" si="27"/>
        <v>1015</v>
      </c>
      <c r="BM28" s="1540">
        <f t="shared" si="28"/>
        <v>1015</v>
      </c>
      <c r="BN28" s="1183"/>
      <c r="BO28" s="1182">
        <f t="shared" si="36"/>
        <v>0</v>
      </c>
      <c r="BP28" s="1182">
        <f t="shared" si="37"/>
        <v>0</v>
      </c>
      <c r="BQ28" s="1182">
        <f t="shared" si="38"/>
        <v>0</v>
      </c>
      <c r="BR28" s="1182">
        <f t="shared" si="39"/>
        <v>0</v>
      </c>
      <c r="BS28" s="1182">
        <f t="shared" si="40"/>
        <v>0</v>
      </c>
      <c r="BT28" s="1182">
        <f t="shared" si="41"/>
        <v>0.45454545454549589</v>
      </c>
      <c r="BU28" s="1182">
        <f t="shared" si="42"/>
        <v>0.45454545454549589</v>
      </c>
    </row>
    <row r="29" spans="1:73">
      <c r="A29" s="1182" t="s">
        <v>1803</v>
      </c>
      <c r="B29" s="1182" t="s">
        <v>1804</v>
      </c>
      <c r="C29" s="1182" t="s">
        <v>1639</v>
      </c>
      <c r="D29" s="1182" t="s">
        <v>2590</v>
      </c>
      <c r="E29" s="1182" t="s">
        <v>2591</v>
      </c>
      <c r="F29" s="1182" t="s">
        <v>4242</v>
      </c>
      <c r="G29" s="1182" t="s">
        <v>4242</v>
      </c>
      <c r="H29" s="1188" t="s">
        <v>4471</v>
      </c>
      <c r="I29" s="1182" t="s">
        <v>2933</v>
      </c>
      <c r="J29" s="1182" t="s">
        <v>4472</v>
      </c>
      <c r="K29" s="1182" t="s">
        <v>1811</v>
      </c>
      <c r="L29" s="1182" t="s">
        <v>1812</v>
      </c>
      <c r="M29" s="1182" t="s">
        <v>1803</v>
      </c>
      <c r="N29" s="1182" t="s">
        <v>4453</v>
      </c>
      <c r="O29" s="1182" t="s">
        <v>1654</v>
      </c>
      <c r="P29" s="1182" t="s">
        <v>1653</v>
      </c>
      <c r="Q29" s="1182" t="s">
        <v>1452</v>
      </c>
      <c r="R29" s="1182" t="s">
        <v>1452</v>
      </c>
      <c r="S29" s="1182" t="s">
        <v>1639</v>
      </c>
      <c r="T29" s="1182" t="s">
        <v>4454</v>
      </c>
      <c r="U29" s="1182" t="s">
        <v>4455</v>
      </c>
      <c r="V29" s="1182">
        <v>0</v>
      </c>
      <c r="W29" s="1182">
        <v>0</v>
      </c>
      <c r="X29" s="1182">
        <v>0</v>
      </c>
      <c r="Y29" s="1183">
        <v>455</v>
      </c>
      <c r="Z29" s="1182" t="s">
        <v>4456</v>
      </c>
      <c r="AA29" s="1182" t="s">
        <v>1452</v>
      </c>
      <c r="AB29" s="1182">
        <v>455</v>
      </c>
      <c r="AC29" s="1182" t="s">
        <v>4457</v>
      </c>
      <c r="AD29" s="1182" t="s">
        <v>4458</v>
      </c>
      <c r="AE29" s="1182">
        <v>455</v>
      </c>
      <c r="AF29" s="1182" t="s">
        <v>4437</v>
      </c>
      <c r="AG29" s="1182" t="s">
        <v>1820</v>
      </c>
      <c r="AH29" s="1182">
        <v>41</v>
      </c>
      <c r="AI29" s="1182">
        <v>414</v>
      </c>
      <c r="AJ29" s="1182" t="s">
        <v>1639</v>
      </c>
      <c r="AL29" s="1186" t="s">
        <v>4473</v>
      </c>
      <c r="AM29" s="1182">
        <v>1</v>
      </c>
      <c r="AN29" s="1182">
        <v>0</v>
      </c>
      <c r="AO29" s="1182">
        <v>0</v>
      </c>
      <c r="AP29" s="1555">
        <v>0</v>
      </c>
      <c r="AQ29" s="1182" t="s">
        <v>1639</v>
      </c>
      <c r="AS29" s="1554" t="s">
        <v>4437</v>
      </c>
      <c r="AT29" s="1554" t="s">
        <v>1820</v>
      </c>
      <c r="AV29" s="1183">
        <v>0</v>
      </c>
      <c r="AW29" s="1183">
        <v>0</v>
      </c>
      <c r="AX29" s="1183">
        <v>0</v>
      </c>
      <c r="AY29" s="1540">
        <v>0</v>
      </c>
      <c r="AZ29" s="1183">
        <v>0</v>
      </c>
      <c r="BA29" s="1183">
        <v>455</v>
      </c>
      <c r="BB29" s="1540">
        <v>455</v>
      </c>
      <c r="BC29" s="1540">
        <v>455</v>
      </c>
      <c r="BD29" s="1540">
        <v>0</v>
      </c>
      <c r="BF29" s="1540">
        <f t="shared" si="21"/>
        <v>0</v>
      </c>
      <c r="BG29" s="1540">
        <f t="shared" si="22"/>
        <v>0</v>
      </c>
      <c r="BH29" s="1540">
        <f t="shared" si="23"/>
        <v>0</v>
      </c>
      <c r="BI29" s="1540">
        <f t="shared" si="24"/>
        <v>0</v>
      </c>
      <c r="BJ29" s="1540">
        <f t="shared" si="25"/>
        <v>0</v>
      </c>
      <c r="BK29" s="1540">
        <f t="shared" si="26"/>
        <v>414</v>
      </c>
      <c r="BL29" s="1540">
        <f t="shared" si="27"/>
        <v>414</v>
      </c>
      <c r="BM29" s="1540">
        <f t="shared" si="28"/>
        <v>414</v>
      </c>
      <c r="BN29" s="1183"/>
      <c r="BO29" s="1182">
        <f t="shared" si="36"/>
        <v>0</v>
      </c>
      <c r="BP29" s="1182">
        <f t="shared" si="37"/>
        <v>0</v>
      </c>
      <c r="BQ29" s="1182">
        <f t="shared" si="38"/>
        <v>0</v>
      </c>
      <c r="BR29" s="1182">
        <f t="shared" si="39"/>
        <v>0</v>
      </c>
      <c r="BS29" s="1182">
        <f t="shared" si="40"/>
        <v>0</v>
      </c>
      <c r="BT29" s="1182">
        <f t="shared" si="41"/>
        <v>-0.36363636363637397</v>
      </c>
      <c r="BU29" s="1182">
        <f t="shared" si="42"/>
        <v>-0.36363636363637397</v>
      </c>
    </row>
    <row r="30" spans="1:73">
      <c r="A30" s="1182" t="s">
        <v>1803</v>
      </c>
      <c r="B30" s="1182" t="s">
        <v>1804</v>
      </c>
      <c r="C30" s="1182" t="s">
        <v>1639</v>
      </c>
      <c r="D30" s="1182" t="s">
        <v>2590</v>
      </c>
      <c r="E30" s="1182" t="s">
        <v>2591</v>
      </c>
      <c r="F30" s="1182" t="s">
        <v>4242</v>
      </c>
      <c r="G30" s="1182" t="s">
        <v>4242</v>
      </c>
      <c r="H30" s="1188" t="s">
        <v>4471</v>
      </c>
      <c r="I30" s="1182" t="s">
        <v>2933</v>
      </c>
      <c r="J30" s="1182" t="s">
        <v>4474</v>
      </c>
      <c r="K30" s="1182" t="s">
        <v>1811</v>
      </c>
      <c r="L30" s="1182" t="s">
        <v>1812</v>
      </c>
      <c r="M30" s="1182" t="s">
        <v>1803</v>
      </c>
      <c r="N30" s="1182" t="s">
        <v>4453</v>
      </c>
      <c r="O30" s="1182" t="s">
        <v>1654</v>
      </c>
      <c r="P30" s="1182" t="s">
        <v>1653</v>
      </c>
      <c r="Q30" s="1182" t="s">
        <v>1452</v>
      </c>
      <c r="R30" s="1182" t="s">
        <v>1452</v>
      </c>
      <c r="S30" s="1182" t="s">
        <v>1639</v>
      </c>
      <c r="T30" s="1182" t="s">
        <v>4454</v>
      </c>
      <c r="U30" s="1182" t="s">
        <v>4455</v>
      </c>
      <c r="V30" s="1182">
        <v>0</v>
      </c>
      <c r="W30" s="1182">
        <v>0</v>
      </c>
      <c r="X30" s="1182">
        <v>0</v>
      </c>
      <c r="Y30" s="1183">
        <v>119045</v>
      </c>
      <c r="Z30" s="1182" t="s">
        <v>4456</v>
      </c>
      <c r="AA30" s="1182" t="s">
        <v>1452</v>
      </c>
      <c r="AB30" s="1182">
        <v>119045</v>
      </c>
      <c r="AC30" s="1182" t="s">
        <v>4457</v>
      </c>
      <c r="AD30" s="1182" t="s">
        <v>4458</v>
      </c>
      <c r="AE30" s="1182">
        <v>119045</v>
      </c>
      <c r="AF30" s="1182" t="s">
        <v>4437</v>
      </c>
      <c r="AG30" s="1182" t="s">
        <v>1820</v>
      </c>
      <c r="AH30" s="1182">
        <v>10822</v>
      </c>
      <c r="AI30" s="1182">
        <v>108223</v>
      </c>
      <c r="AJ30" s="1182" t="s">
        <v>1639</v>
      </c>
      <c r="AL30" s="1186" t="s">
        <v>4475</v>
      </c>
      <c r="AM30" s="1182">
        <v>1</v>
      </c>
      <c r="AN30" s="1182">
        <v>0</v>
      </c>
      <c r="AO30" s="1182">
        <v>0</v>
      </c>
      <c r="AP30" s="1555">
        <v>0</v>
      </c>
      <c r="AQ30" s="1182" t="s">
        <v>1639</v>
      </c>
      <c r="AS30" s="1554" t="s">
        <v>4437</v>
      </c>
      <c r="AT30" s="1554" t="s">
        <v>1820</v>
      </c>
      <c r="AV30" s="1183">
        <v>0</v>
      </c>
      <c r="AW30" s="1183">
        <v>0</v>
      </c>
      <c r="AX30" s="1183">
        <v>0</v>
      </c>
      <c r="AY30" s="1540">
        <v>0</v>
      </c>
      <c r="AZ30" s="1183">
        <v>0</v>
      </c>
      <c r="BA30" s="1183">
        <v>119045</v>
      </c>
      <c r="BB30" s="1540">
        <v>119045</v>
      </c>
      <c r="BC30" s="1540">
        <v>119045</v>
      </c>
      <c r="BD30" s="1540">
        <v>0</v>
      </c>
      <c r="BF30" s="1540">
        <f t="shared" si="21"/>
        <v>0</v>
      </c>
      <c r="BG30" s="1540">
        <f t="shared" si="22"/>
        <v>0</v>
      </c>
      <c r="BH30" s="1540">
        <f t="shared" si="23"/>
        <v>0</v>
      </c>
      <c r="BI30" s="1540">
        <f t="shared" si="24"/>
        <v>0</v>
      </c>
      <c r="BJ30" s="1540">
        <f t="shared" si="25"/>
        <v>0</v>
      </c>
      <c r="BK30" s="1540">
        <f t="shared" si="26"/>
        <v>108223</v>
      </c>
      <c r="BL30" s="1540">
        <f t="shared" si="27"/>
        <v>108223</v>
      </c>
      <c r="BM30" s="1540">
        <f t="shared" si="28"/>
        <v>108223</v>
      </c>
      <c r="BN30" s="1183"/>
      <c r="BO30" s="1182">
        <f t="shared" si="36"/>
        <v>0</v>
      </c>
      <c r="BP30" s="1182">
        <f t="shared" si="37"/>
        <v>0</v>
      </c>
      <c r="BQ30" s="1182">
        <f t="shared" si="38"/>
        <v>0</v>
      </c>
      <c r="BR30" s="1182">
        <f t="shared" si="39"/>
        <v>0</v>
      </c>
      <c r="BS30" s="1182">
        <f t="shared" si="40"/>
        <v>0</v>
      </c>
      <c r="BT30" s="1182">
        <f t="shared" si="41"/>
        <v>-0.27272727272065822</v>
      </c>
      <c r="BU30" s="1182">
        <f t="shared" si="42"/>
        <v>-0.27272727272065822</v>
      </c>
    </row>
    <row r="31" spans="1:73">
      <c r="A31" s="1182" t="s">
        <v>1803</v>
      </c>
      <c r="B31" s="1182" t="s">
        <v>1804</v>
      </c>
      <c r="C31" s="1182" t="s">
        <v>1639</v>
      </c>
      <c r="D31" s="1182" t="s">
        <v>2590</v>
      </c>
      <c r="E31" s="1182" t="s">
        <v>2591</v>
      </c>
      <c r="F31" s="1182" t="s">
        <v>2135</v>
      </c>
      <c r="G31" s="1182" t="s">
        <v>2135</v>
      </c>
      <c r="H31" s="1188" t="s">
        <v>4476</v>
      </c>
      <c r="I31" s="1182" t="s">
        <v>2933</v>
      </c>
      <c r="J31" s="1182" t="s">
        <v>4477</v>
      </c>
      <c r="K31" s="1182" t="s">
        <v>1811</v>
      </c>
      <c r="L31" s="1182" t="s">
        <v>1812</v>
      </c>
      <c r="M31" s="1182" t="s">
        <v>1803</v>
      </c>
      <c r="N31" s="1182" t="s">
        <v>4453</v>
      </c>
      <c r="O31" s="1182" t="s">
        <v>1654</v>
      </c>
      <c r="P31" s="1182" t="s">
        <v>1653</v>
      </c>
      <c r="Q31" s="1182" t="s">
        <v>1452</v>
      </c>
      <c r="R31" s="1182" t="s">
        <v>1452</v>
      </c>
      <c r="S31" s="1182" t="s">
        <v>1639</v>
      </c>
      <c r="T31" s="1182" t="s">
        <v>4454</v>
      </c>
      <c r="U31" s="1182" t="s">
        <v>4455</v>
      </c>
      <c r="V31" s="1182">
        <v>0</v>
      </c>
      <c r="W31" s="1182">
        <v>0</v>
      </c>
      <c r="X31" s="1182">
        <v>0</v>
      </c>
      <c r="Y31" s="1183">
        <v>46834</v>
      </c>
      <c r="Z31" s="1182" t="s">
        <v>4456</v>
      </c>
      <c r="AA31" s="1182" t="s">
        <v>1452</v>
      </c>
      <c r="AB31" s="1182">
        <v>46834</v>
      </c>
      <c r="AC31" s="1182" t="s">
        <v>4457</v>
      </c>
      <c r="AD31" s="1182" t="s">
        <v>4458</v>
      </c>
      <c r="AE31" s="1182">
        <v>46834</v>
      </c>
      <c r="AF31" s="1182" t="s">
        <v>4437</v>
      </c>
      <c r="AG31" s="1182" t="s">
        <v>1820</v>
      </c>
      <c r="AH31" s="1182">
        <v>4257</v>
      </c>
      <c r="AI31" s="1182">
        <v>42577</v>
      </c>
      <c r="AJ31" s="1182" t="s">
        <v>1639</v>
      </c>
      <c r="AL31" s="1186" t="s">
        <v>4478</v>
      </c>
      <c r="AM31" s="1182">
        <v>1</v>
      </c>
      <c r="AN31" s="1182">
        <v>0</v>
      </c>
      <c r="AO31" s="1182">
        <v>0</v>
      </c>
      <c r="AP31" s="1555">
        <v>0</v>
      </c>
      <c r="AQ31" s="1182" t="s">
        <v>1639</v>
      </c>
      <c r="AS31" s="1554" t="s">
        <v>4437</v>
      </c>
      <c r="AT31" s="1554" t="s">
        <v>1820</v>
      </c>
      <c r="AV31" s="1183">
        <v>0</v>
      </c>
      <c r="AW31" s="1183">
        <v>0</v>
      </c>
      <c r="AX31" s="1183">
        <v>0</v>
      </c>
      <c r="AY31" s="1540">
        <v>0</v>
      </c>
      <c r="AZ31" s="1183">
        <v>0</v>
      </c>
      <c r="BA31" s="1183">
        <v>46834</v>
      </c>
      <c r="BB31" s="1540">
        <v>46834</v>
      </c>
      <c r="BC31" s="1540">
        <v>46834</v>
      </c>
      <c r="BD31" s="1540">
        <v>0</v>
      </c>
      <c r="BF31" s="1540">
        <f t="shared" si="21"/>
        <v>0</v>
      </c>
      <c r="BG31" s="1540">
        <f t="shared" si="22"/>
        <v>0</v>
      </c>
      <c r="BH31" s="1540">
        <f t="shared" si="23"/>
        <v>0</v>
      </c>
      <c r="BI31" s="1540">
        <f t="shared" si="24"/>
        <v>0</v>
      </c>
      <c r="BJ31" s="1540">
        <f t="shared" si="25"/>
        <v>0</v>
      </c>
      <c r="BK31" s="1540">
        <f t="shared" si="26"/>
        <v>42576</v>
      </c>
      <c r="BL31" s="1540">
        <f t="shared" si="27"/>
        <v>42576</v>
      </c>
      <c r="BM31" s="1540">
        <f t="shared" si="28"/>
        <v>42576</v>
      </c>
      <c r="BN31" s="1183"/>
      <c r="BO31" s="1182">
        <f t="shared" si="36"/>
        <v>0</v>
      </c>
      <c r="BP31" s="1182">
        <f t="shared" si="37"/>
        <v>0</v>
      </c>
      <c r="BQ31" s="1182">
        <f t="shared" si="38"/>
        <v>0</v>
      </c>
      <c r="BR31" s="1182">
        <f t="shared" si="39"/>
        <v>0</v>
      </c>
      <c r="BS31" s="1182">
        <f t="shared" si="40"/>
        <v>0</v>
      </c>
      <c r="BT31" s="1182">
        <f t="shared" si="41"/>
        <v>0.36363636363967089</v>
      </c>
      <c r="BU31" s="1182">
        <f t="shared" si="42"/>
        <v>0.36363636363967089</v>
      </c>
    </row>
    <row r="32" spans="1:73">
      <c r="A32" s="1182" t="s">
        <v>1803</v>
      </c>
      <c r="B32" s="1182" t="s">
        <v>1804</v>
      </c>
      <c r="C32" s="1182" t="s">
        <v>1639</v>
      </c>
      <c r="D32" s="1182" t="s">
        <v>2590</v>
      </c>
      <c r="E32" s="1182" t="s">
        <v>2591</v>
      </c>
      <c r="F32" s="1182" t="s">
        <v>2135</v>
      </c>
      <c r="G32" s="1182" t="s">
        <v>2135</v>
      </c>
      <c r="H32" s="1188" t="s">
        <v>4476</v>
      </c>
      <c r="I32" s="1182" t="s">
        <v>2933</v>
      </c>
      <c r="J32" s="1182" t="s">
        <v>4479</v>
      </c>
      <c r="K32" s="1182" t="s">
        <v>1811</v>
      </c>
      <c r="L32" s="1182" t="s">
        <v>1812</v>
      </c>
      <c r="M32" s="1182" t="s">
        <v>1803</v>
      </c>
      <c r="N32" s="1182" t="s">
        <v>4453</v>
      </c>
      <c r="O32" s="1182" t="s">
        <v>1654</v>
      </c>
      <c r="P32" s="1182" t="s">
        <v>1653</v>
      </c>
      <c r="Q32" s="1182" t="s">
        <v>1452</v>
      </c>
      <c r="R32" s="1182" t="s">
        <v>1452</v>
      </c>
      <c r="S32" s="1182" t="s">
        <v>1639</v>
      </c>
      <c r="T32" s="1182" t="s">
        <v>4454</v>
      </c>
      <c r="U32" s="1182" t="s">
        <v>4455</v>
      </c>
      <c r="V32" s="1182">
        <v>0</v>
      </c>
      <c r="W32" s="1182">
        <v>0</v>
      </c>
      <c r="X32" s="1182">
        <v>0</v>
      </c>
      <c r="Y32" s="1183">
        <v>139433</v>
      </c>
      <c r="Z32" s="1182" t="s">
        <v>4456</v>
      </c>
      <c r="AA32" s="1182" t="s">
        <v>1452</v>
      </c>
      <c r="AB32" s="1182">
        <v>139433</v>
      </c>
      <c r="AC32" s="1182" t="s">
        <v>4457</v>
      </c>
      <c r="AD32" s="1182" t="s">
        <v>4458</v>
      </c>
      <c r="AE32" s="1182">
        <v>139433</v>
      </c>
      <c r="AF32" s="1182" t="s">
        <v>4437</v>
      </c>
      <c r="AG32" s="1182" t="s">
        <v>1820</v>
      </c>
      <c r="AH32" s="1182">
        <v>12675</v>
      </c>
      <c r="AI32" s="1182">
        <v>126758</v>
      </c>
      <c r="AJ32" s="1182" t="s">
        <v>1639</v>
      </c>
      <c r="AL32" s="1186" t="s">
        <v>4480</v>
      </c>
      <c r="AM32" s="1182">
        <v>1</v>
      </c>
      <c r="AN32" s="1182">
        <v>0</v>
      </c>
      <c r="AO32" s="1182">
        <v>0</v>
      </c>
      <c r="AP32" s="1555">
        <v>0</v>
      </c>
      <c r="AQ32" s="1182" t="s">
        <v>1639</v>
      </c>
      <c r="AS32" s="1554" t="s">
        <v>4437</v>
      </c>
      <c r="AT32" s="1554" t="s">
        <v>1820</v>
      </c>
      <c r="AV32" s="1183">
        <v>0</v>
      </c>
      <c r="AW32" s="1183">
        <v>0</v>
      </c>
      <c r="AX32" s="1183">
        <v>0</v>
      </c>
      <c r="AY32" s="1540">
        <v>0</v>
      </c>
      <c r="AZ32" s="1183">
        <v>0</v>
      </c>
      <c r="BA32" s="1183">
        <v>139433</v>
      </c>
      <c r="BB32" s="1540">
        <v>139433</v>
      </c>
      <c r="BC32" s="1540">
        <v>139433</v>
      </c>
      <c r="BD32" s="1540">
        <v>0</v>
      </c>
      <c r="BF32" s="1540">
        <f t="shared" si="21"/>
        <v>0</v>
      </c>
      <c r="BG32" s="1540">
        <f t="shared" si="22"/>
        <v>0</v>
      </c>
      <c r="BH32" s="1540">
        <f t="shared" si="23"/>
        <v>0</v>
      </c>
      <c r="BI32" s="1540">
        <f t="shared" si="24"/>
        <v>0</v>
      </c>
      <c r="BJ32" s="1540">
        <f t="shared" si="25"/>
        <v>0</v>
      </c>
      <c r="BK32" s="1540">
        <f t="shared" si="26"/>
        <v>126757</v>
      </c>
      <c r="BL32" s="1540">
        <f t="shared" si="27"/>
        <v>126757</v>
      </c>
      <c r="BM32" s="1540">
        <f t="shared" si="28"/>
        <v>126757</v>
      </c>
      <c r="BN32" s="1183"/>
      <c r="BO32" s="1182">
        <f t="shared" si="36"/>
        <v>0</v>
      </c>
      <c r="BP32" s="1182">
        <f t="shared" si="37"/>
        <v>0</v>
      </c>
      <c r="BQ32" s="1182">
        <f t="shared" si="38"/>
        <v>0</v>
      </c>
      <c r="BR32" s="1182">
        <f t="shared" si="39"/>
        <v>0</v>
      </c>
      <c r="BS32" s="1182">
        <f t="shared" si="40"/>
        <v>0</v>
      </c>
      <c r="BT32" s="1182">
        <f t="shared" si="41"/>
        <v>0.27272727272065822</v>
      </c>
      <c r="BU32" s="1182">
        <f t="shared" si="42"/>
        <v>0.27272727272065822</v>
      </c>
    </row>
    <row r="33" spans="1:73">
      <c r="A33" s="1182" t="s">
        <v>1803</v>
      </c>
      <c r="B33" s="1182" t="s">
        <v>1804</v>
      </c>
      <c r="C33" s="1182" t="s">
        <v>1639</v>
      </c>
      <c r="D33" s="1182" t="s">
        <v>2590</v>
      </c>
      <c r="E33" s="1182" t="s">
        <v>2591</v>
      </c>
      <c r="F33" s="1182" t="s">
        <v>2950</v>
      </c>
      <c r="G33" s="1182" t="s">
        <v>2950</v>
      </c>
      <c r="H33" s="1188" t="s">
        <v>4481</v>
      </c>
      <c r="I33" s="1182" t="s">
        <v>2933</v>
      </c>
      <c r="J33" s="1182" t="s">
        <v>4482</v>
      </c>
      <c r="K33" s="1182" t="s">
        <v>1811</v>
      </c>
      <c r="L33" s="1182" t="s">
        <v>1812</v>
      </c>
      <c r="M33" s="1182" t="s">
        <v>1803</v>
      </c>
      <c r="N33" s="1182" t="s">
        <v>4453</v>
      </c>
      <c r="O33" s="1182" t="s">
        <v>1654</v>
      </c>
      <c r="P33" s="1182" t="s">
        <v>1653</v>
      </c>
      <c r="Q33" s="1182" t="s">
        <v>1452</v>
      </c>
      <c r="R33" s="1182" t="s">
        <v>1452</v>
      </c>
      <c r="S33" s="1182" t="s">
        <v>1639</v>
      </c>
      <c r="T33" s="1182" t="s">
        <v>4454</v>
      </c>
      <c r="U33" s="1182" t="s">
        <v>4455</v>
      </c>
      <c r="V33" s="1182">
        <v>0</v>
      </c>
      <c r="W33" s="1182">
        <v>0</v>
      </c>
      <c r="X33" s="1182">
        <v>0</v>
      </c>
      <c r="Y33" s="1183">
        <v>288</v>
      </c>
      <c r="Z33" s="1182" t="s">
        <v>4456</v>
      </c>
      <c r="AA33" s="1182" t="s">
        <v>1452</v>
      </c>
      <c r="AB33" s="1182">
        <v>288</v>
      </c>
      <c r="AC33" s="1182" t="s">
        <v>4457</v>
      </c>
      <c r="AD33" s="1182" t="s">
        <v>4458</v>
      </c>
      <c r="AE33" s="1182">
        <v>288</v>
      </c>
      <c r="AF33" s="1182" t="s">
        <v>4437</v>
      </c>
      <c r="AG33" s="1182" t="s">
        <v>1820</v>
      </c>
      <c r="AH33" s="1182">
        <v>26</v>
      </c>
      <c r="AI33" s="1182">
        <v>262</v>
      </c>
      <c r="AJ33" s="1182" t="s">
        <v>1639</v>
      </c>
      <c r="AL33" s="1186" t="s">
        <v>4483</v>
      </c>
      <c r="AM33" s="1182">
        <v>1</v>
      </c>
      <c r="AN33" s="1182">
        <v>0</v>
      </c>
      <c r="AO33" s="1182">
        <v>0</v>
      </c>
      <c r="AP33" s="1555">
        <v>0</v>
      </c>
      <c r="AQ33" s="1182" t="s">
        <v>1639</v>
      </c>
      <c r="AS33" s="1554" t="s">
        <v>4437</v>
      </c>
      <c r="AT33" s="1554" t="s">
        <v>1820</v>
      </c>
      <c r="AV33" s="1183">
        <v>0</v>
      </c>
      <c r="AW33" s="1183">
        <v>0</v>
      </c>
      <c r="AX33" s="1183">
        <v>0</v>
      </c>
      <c r="AY33" s="1540">
        <v>0</v>
      </c>
      <c r="AZ33" s="1183">
        <v>0</v>
      </c>
      <c r="BA33" s="1183">
        <v>288</v>
      </c>
      <c r="BB33" s="1540">
        <v>288</v>
      </c>
      <c r="BC33" s="1540">
        <v>288</v>
      </c>
      <c r="BD33" s="1540">
        <v>0</v>
      </c>
      <c r="BF33" s="1540">
        <f t="shared" si="21"/>
        <v>0</v>
      </c>
      <c r="BG33" s="1540">
        <f t="shared" si="22"/>
        <v>0</v>
      </c>
      <c r="BH33" s="1540">
        <f t="shared" si="23"/>
        <v>0</v>
      </c>
      <c r="BI33" s="1540">
        <f t="shared" si="24"/>
        <v>0</v>
      </c>
      <c r="BJ33" s="1540">
        <f t="shared" si="25"/>
        <v>0</v>
      </c>
      <c r="BK33" s="1540">
        <f t="shared" si="26"/>
        <v>262</v>
      </c>
      <c r="BL33" s="1540">
        <f t="shared" si="27"/>
        <v>262</v>
      </c>
      <c r="BM33" s="1540">
        <f t="shared" si="28"/>
        <v>262</v>
      </c>
      <c r="BN33" s="1183"/>
      <c r="BO33" s="1182">
        <f t="shared" si="36"/>
        <v>0</v>
      </c>
      <c r="BP33" s="1182">
        <f t="shared" si="37"/>
        <v>0</v>
      </c>
      <c r="BQ33" s="1182">
        <f t="shared" si="38"/>
        <v>0</v>
      </c>
      <c r="BR33" s="1182">
        <f t="shared" si="39"/>
        <v>0</v>
      </c>
      <c r="BS33" s="1182">
        <f t="shared" si="40"/>
        <v>0</v>
      </c>
      <c r="BT33" s="1182">
        <f t="shared" si="41"/>
        <v>-0.18181818181818699</v>
      </c>
      <c r="BU33" s="1182">
        <f t="shared" si="42"/>
        <v>-0.18181818181818699</v>
      </c>
    </row>
    <row r="34" spans="1:73">
      <c r="A34" s="1182" t="s">
        <v>1803</v>
      </c>
      <c r="B34" s="1182" t="s">
        <v>1804</v>
      </c>
      <c r="C34" s="1182" t="s">
        <v>1639</v>
      </c>
      <c r="D34" s="1182" t="s">
        <v>2590</v>
      </c>
      <c r="E34" s="1182" t="s">
        <v>2591</v>
      </c>
      <c r="F34" s="1182" t="s">
        <v>2950</v>
      </c>
      <c r="G34" s="1182" t="s">
        <v>2950</v>
      </c>
      <c r="H34" s="1188" t="s">
        <v>4481</v>
      </c>
      <c r="I34" s="1182" t="s">
        <v>2933</v>
      </c>
      <c r="J34" s="1182" t="s">
        <v>4484</v>
      </c>
      <c r="K34" s="1182" t="s">
        <v>1811</v>
      </c>
      <c r="L34" s="1182" t="s">
        <v>1812</v>
      </c>
      <c r="M34" s="1182" t="s">
        <v>1803</v>
      </c>
      <c r="N34" s="1182" t="s">
        <v>4453</v>
      </c>
      <c r="O34" s="1182" t="s">
        <v>1654</v>
      </c>
      <c r="P34" s="1182" t="s">
        <v>1653</v>
      </c>
      <c r="Q34" s="1182" t="s">
        <v>1452</v>
      </c>
      <c r="R34" s="1182" t="s">
        <v>1452</v>
      </c>
      <c r="S34" s="1182" t="s">
        <v>1639</v>
      </c>
      <c r="T34" s="1182" t="s">
        <v>4454</v>
      </c>
      <c r="U34" s="1182" t="s">
        <v>4455</v>
      </c>
      <c r="V34" s="1182">
        <v>0</v>
      </c>
      <c r="W34" s="1182">
        <v>0</v>
      </c>
      <c r="X34" s="1182">
        <v>0</v>
      </c>
      <c r="Y34" s="1183">
        <v>765</v>
      </c>
      <c r="Z34" s="1182" t="s">
        <v>4456</v>
      </c>
      <c r="AA34" s="1182" t="s">
        <v>1452</v>
      </c>
      <c r="AB34" s="1182">
        <v>765</v>
      </c>
      <c r="AC34" s="1182" t="s">
        <v>4457</v>
      </c>
      <c r="AD34" s="1182" t="s">
        <v>4458</v>
      </c>
      <c r="AE34" s="1182">
        <v>765</v>
      </c>
      <c r="AF34" s="1182" t="s">
        <v>4437</v>
      </c>
      <c r="AG34" s="1182" t="s">
        <v>1820</v>
      </c>
      <c r="AH34" s="1182">
        <v>69</v>
      </c>
      <c r="AI34" s="1182">
        <v>696</v>
      </c>
      <c r="AJ34" s="1182" t="s">
        <v>1639</v>
      </c>
      <c r="AL34" s="1186" t="s">
        <v>4485</v>
      </c>
      <c r="AM34" s="1182">
        <v>1</v>
      </c>
      <c r="AN34" s="1182">
        <v>0</v>
      </c>
      <c r="AO34" s="1182">
        <v>0</v>
      </c>
      <c r="AP34" s="1555">
        <v>0</v>
      </c>
      <c r="AQ34" s="1182" t="s">
        <v>1639</v>
      </c>
      <c r="AS34" s="1554" t="s">
        <v>4437</v>
      </c>
      <c r="AT34" s="1554" t="s">
        <v>1820</v>
      </c>
      <c r="AV34" s="1183">
        <v>0</v>
      </c>
      <c r="AW34" s="1183">
        <v>0</v>
      </c>
      <c r="AX34" s="1183">
        <v>0</v>
      </c>
      <c r="AY34" s="1540">
        <v>0</v>
      </c>
      <c r="AZ34" s="1183">
        <v>0</v>
      </c>
      <c r="BA34" s="1183">
        <v>765</v>
      </c>
      <c r="BB34" s="1540">
        <v>765</v>
      </c>
      <c r="BC34" s="1540">
        <v>765</v>
      </c>
      <c r="BD34" s="1540">
        <v>0</v>
      </c>
      <c r="BF34" s="1540">
        <f t="shared" si="21"/>
        <v>0</v>
      </c>
      <c r="BG34" s="1540">
        <f t="shared" si="22"/>
        <v>0</v>
      </c>
      <c r="BH34" s="1540">
        <f t="shared" si="23"/>
        <v>0</v>
      </c>
      <c r="BI34" s="1540">
        <f t="shared" si="24"/>
        <v>0</v>
      </c>
      <c r="BJ34" s="1540">
        <f t="shared" si="25"/>
        <v>0</v>
      </c>
      <c r="BK34" s="1540">
        <f t="shared" si="26"/>
        <v>695</v>
      </c>
      <c r="BL34" s="1540">
        <f t="shared" si="27"/>
        <v>695</v>
      </c>
      <c r="BM34" s="1540">
        <f t="shared" si="28"/>
        <v>695</v>
      </c>
      <c r="BN34" s="1183"/>
      <c r="BO34" s="1182">
        <f t="shared" si="36"/>
        <v>0</v>
      </c>
      <c r="BP34" s="1182">
        <f t="shared" si="37"/>
        <v>0</v>
      </c>
      <c r="BQ34" s="1182">
        <f t="shared" si="38"/>
        <v>0</v>
      </c>
      <c r="BR34" s="1182">
        <f t="shared" si="39"/>
        <v>0</v>
      </c>
      <c r="BS34" s="1182">
        <f t="shared" si="40"/>
        <v>0</v>
      </c>
      <c r="BT34" s="1182">
        <f t="shared" si="41"/>
        <v>0.45454545454549589</v>
      </c>
      <c r="BU34" s="1182">
        <f t="shared" si="42"/>
        <v>0.45454545454549589</v>
      </c>
    </row>
    <row r="35" spans="1:73">
      <c r="A35" s="1182" t="s">
        <v>1803</v>
      </c>
      <c r="B35" s="1182" t="s">
        <v>1804</v>
      </c>
      <c r="C35" s="1182" t="s">
        <v>1639</v>
      </c>
      <c r="D35" s="1182" t="s">
        <v>2590</v>
      </c>
      <c r="E35" s="1182" t="s">
        <v>2591</v>
      </c>
      <c r="F35" s="1182" t="s">
        <v>1864</v>
      </c>
      <c r="G35" s="1182" t="s">
        <v>1864</v>
      </c>
      <c r="H35" s="1188" t="s">
        <v>4486</v>
      </c>
      <c r="I35" s="1182" t="s">
        <v>2933</v>
      </c>
      <c r="J35" s="1182" t="s">
        <v>4487</v>
      </c>
      <c r="K35" s="1182" t="s">
        <v>1811</v>
      </c>
      <c r="L35" s="1182" t="s">
        <v>1812</v>
      </c>
      <c r="M35" s="1182" t="s">
        <v>1803</v>
      </c>
      <c r="N35" s="1182" t="s">
        <v>4453</v>
      </c>
      <c r="O35" s="1182" t="s">
        <v>1654</v>
      </c>
      <c r="P35" s="1182" t="s">
        <v>1653</v>
      </c>
      <c r="Q35" s="1182" t="s">
        <v>1452</v>
      </c>
      <c r="R35" s="1182" t="s">
        <v>1452</v>
      </c>
      <c r="S35" s="1182" t="s">
        <v>1639</v>
      </c>
      <c r="T35" s="1182" t="s">
        <v>4454</v>
      </c>
      <c r="U35" s="1182" t="s">
        <v>4455</v>
      </c>
      <c r="V35" s="1182">
        <v>0</v>
      </c>
      <c r="W35" s="1182">
        <v>0</v>
      </c>
      <c r="X35" s="1182">
        <v>0</v>
      </c>
      <c r="Y35" s="1183">
        <v>5363</v>
      </c>
      <c r="Z35" s="1182" t="s">
        <v>4456</v>
      </c>
      <c r="AA35" s="1182" t="s">
        <v>1452</v>
      </c>
      <c r="AB35" s="1182">
        <v>5363</v>
      </c>
      <c r="AC35" s="1182" t="s">
        <v>4457</v>
      </c>
      <c r="AD35" s="1182" t="s">
        <v>4458</v>
      </c>
      <c r="AE35" s="1182">
        <v>5363</v>
      </c>
      <c r="AF35" s="1182" t="s">
        <v>4437</v>
      </c>
      <c r="AG35" s="1182" t="s">
        <v>1820</v>
      </c>
      <c r="AH35" s="1182">
        <v>487</v>
      </c>
      <c r="AI35" s="1182">
        <v>4876</v>
      </c>
      <c r="AJ35" s="1182" t="s">
        <v>1639</v>
      </c>
      <c r="AL35" s="1186" t="s">
        <v>4488</v>
      </c>
      <c r="AM35" s="1182">
        <v>1</v>
      </c>
      <c r="AN35" s="1182">
        <v>0</v>
      </c>
      <c r="AO35" s="1182">
        <v>0</v>
      </c>
      <c r="AP35" s="1555">
        <v>0</v>
      </c>
      <c r="AQ35" s="1182" t="s">
        <v>1639</v>
      </c>
      <c r="AS35" s="1554" t="s">
        <v>4437</v>
      </c>
      <c r="AT35" s="1554" t="s">
        <v>1820</v>
      </c>
      <c r="AV35" s="1183">
        <v>0</v>
      </c>
      <c r="AW35" s="1183">
        <v>0</v>
      </c>
      <c r="AX35" s="1183">
        <v>0</v>
      </c>
      <c r="AY35" s="1540">
        <v>0</v>
      </c>
      <c r="AZ35" s="1183">
        <v>0</v>
      </c>
      <c r="BA35" s="1183">
        <v>5363</v>
      </c>
      <c r="BB35" s="1540">
        <v>5363</v>
      </c>
      <c r="BC35" s="1540">
        <v>5363</v>
      </c>
      <c r="BD35" s="1540">
        <v>0</v>
      </c>
      <c r="BF35" s="1540">
        <f t="shared" si="21"/>
        <v>0</v>
      </c>
      <c r="BG35" s="1540">
        <f t="shared" si="22"/>
        <v>0</v>
      </c>
      <c r="BH35" s="1540">
        <f t="shared" si="23"/>
        <v>0</v>
      </c>
      <c r="BI35" s="1540">
        <f t="shared" si="24"/>
        <v>0</v>
      </c>
      <c r="BJ35" s="1540">
        <f t="shared" si="25"/>
        <v>0</v>
      </c>
      <c r="BK35" s="1540">
        <f t="shared" si="26"/>
        <v>4875</v>
      </c>
      <c r="BL35" s="1540">
        <f t="shared" si="27"/>
        <v>4875</v>
      </c>
      <c r="BM35" s="1540">
        <f t="shared" si="28"/>
        <v>4875</v>
      </c>
      <c r="BN35" s="1183"/>
      <c r="BO35" s="1182">
        <f t="shared" si="36"/>
        <v>0</v>
      </c>
      <c r="BP35" s="1182">
        <f t="shared" si="37"/>
        <v>0</v>
      </c>
      <c r="BQ35" s="1182">
        <f t="shared" si="38"/>
        <v>0</v>
      </c>
      <c r="BR35" s="1182">
        <f t="shared" si="39"/>
        <v>0</v>
      </c>
      <c r="BS35" s="1182">
        <f t="shared" si="40"/>
        <v>0</v>
      </c>
      <c r="BT35" s="1182">
        <f t="shared" si="41"/>
        <v>0.45454545454504114</v>
      </c>
      <c r="BU35" s="1182">
        <f t="shared" si="42"/>
        <v>0.45454545454504114</v>
      </c>
    </row>
    <row r="36" spans="1:73">
      <c r="A36" s="1182" t="s">
        <v>1803</v>
      </c>
      <c r="B36" s="1182" t="s">
        <v>1804</v>
      </c>
      <c r="C36" s="1182" t="s">
        <v>1639</v>
      </c>
      <c r="D36" s="1182" t="s">
        <v>2590</v>
      </c>
      <c r="E36" s="1182" t="s">
        <v>2591</v>
      </c>
      <c r="F36" s="1182" t="s">
        <v>4364</v>
      </c>
      <c r="G36" s="1182" t="s">
        <v>4364</v>
      </c>
      <c r="H36" s="1188" t="s">
        <v>4489</v>
      </c>
      <c r="I36" s="1182" t="s">
        <v>2933</v>
      </c>
      <c r="J36" s="1182" t="s">
        <v>4490</v>
      </c>
      <c r="K36" s="1182" t="s">
        <v>1811</v>
      </c>
      <c r="L36" s="1182" t="s">
        <v>1812</v>
      </c>
      <c r="M36" s="1182" t="s">
        <v>1803</v>
      </c>
      <c r="N36" s="1182" t="s">
        <v>4453</v>
      </c>
      <c r="O36" s="1182" t="s">
        <v>1654</v>
      </c>
      <c r="P36" s="1182" t="s">
        <v>1653</v>
      </c>
      <c r="Q36" s="1182" t="s">
        <v>1452</v>
      </c>
      <c r="R36" s="1182" t="s">
        <v>1452</v>
      </c>
      <c r="S36" s="1182" t="s">
        <v>1639</v>
      </c>
      <c r="T36" s="1182" t="s">
        <v>4454</v>
      </c>
      <c r="U36" s="1182" t="s">
        <v>4455</v>
      </c>
      <c r="V36" s="1182">
        <v>0</v>
      </c>
      <c r="W36" s="1182">
        <v>0</v>
      </c>
      <c r="X36" s="1182">
        <v>0</v>
      </c>
      <c r="Y36" s="1183">
        <v>932</v>
      </c>
      <c r="Z36" s="1182" t="s">
        <v>4456</v>
      </c>
      <c r="AA36" s="1182" t="s">
        <v>1452</v>
      </c>
      <c r="AB36" s="1182">
        <v>932</v>
      </c>
      <c r="AC36" s="1182" t="s">
        <v>4457</v>
      </c>
      <c r="AD36" s="1182" t="s">
        <v>4458</v>
      </c>
      <c r="AE36" s="1182">
        <v>932</v>
      </c>
      <c r="AF36" s="1182" t="s">
        <v>4437</v>
      </c>
      <c r="AG36" s="1182" t="s">
        <v>1820</v>
      </c>
      <c r="AH36" s="1182">
        <v>84</v>
      </c>
      <c r="AI36" s="1182">
        <v>848</v>
      </c>
      <c r="AJ36" s="1182" t="s">
        <v>1639</v>
      </c>
      <c r="AL36" s="1186" t="s">
        <v>4491</v>
      </c>
      <c r="AM36" s="1182">
        <v>1</v>
      </c>
      <c r="AN36" s="1182">
        <v>0</v>
      </c>
      <c r="AO36" s="1182">
        <v>0</v>
      </c>
      <c r="AP36" s="1555">
        <v>0</v>
      </c>
      <c r="AQ36" s="1182" t="s">
        <v>1639</v>
      </c>
      <c r="AS36" s="1554" t="s">
        <v>4437</v>
      </c>
      <c r="AT36" s="1554" t="s">
        <v>1820</v>
      </c>
      <c r="AV36" s="1183">
        <v>0</v>
      </c>
      <c r="AW36" s="1183">
        <v>0</v>
      </c>
      <c r="AX36" s="1183">
        <v>0</v>
      </c>
      <c r="AY36" s="1540">
        <v>0</v>
      </c>
      <c r="AZ36" s="1183">
        <v>0</v>
      </c>
      <c r="BA36" s="1183">
        <v>932</v>
      </c>
      <c r="BB36" s="1540">
        <v>932</v>
      </c>
      <c r="BC36" s="1540">
        <v>932</v>
      </c>
      <c r="BD36" s="1540">
        <v>0</v>
      </c>
      <c r="BF36" s="1540">
        <f t="shared" si="21"/>
        <v>0</v>
      </c>
      <c r="BG36" s="1540">
        <f t="shared" si="22"/>
        <v>0</v>
      </c>
      <c r="BH36" s="1540">
        <f t="shared" si="23"/>
        <v>0</v>
      </c>
      <c r="BI36" s="1540">
        <f t="shared" si="24"/>
        <v>0</v>
      </c>
      <c r="BJ36" s="1540">
        <f t="shared" si="25"/>
        <v>0</v>
      </c>
      <c r="BK36" s="1540">
        <f t="shared" si="26"/>
        <v>847</v>
      </c>
      <c r="BL36" s="1540">
        <f t="shared" si="27"/>
        <v>847</v>
      </c>
      <c r="BM36" s="1540">
        <f t="shared" si="28"/>
        <v>847</v>
      </c>
      <c r="BN36" s="1183"/>
      <c r="BO36" s="1182">
        <f t="shared" si="36"/>
        <v>0</v>
      </c>
      <c r="BP36" s="1182">
        <f t="shared" si="37"/>
        <v>0</v>
      </c>
      <c r="BQ36" s="1182">
        <f t="shared" si="38"/>
        <v>0</v>
      </c>
      <c r="BR36" s="1182">
        <f t="shared" si="39"/>
        <v>0</v>
      </c>
      <c r="BS36" s="1182">
        <f t="shared" si="40"/>
        <v>0</v>
      </c>
      <c r="BT36" s="1182">
        <f t="shared" si="41"/>
        <v>0.27272727272725206</v>
      </c>
      <c r="BU36" s="1182">
        <f t="shared" si="42"/>
        <v>0.27272727272725206</v>
      </c>
    </row>
    <row r="37" spans="1:73">
      <c r="A37" s="1182" t="s">
        <v>1803</v>
      </c>
      <c r="B37" s="1182" t="s">
        <v>1804</v>
      </c>
      <c r="C37" s="1182" t="s">
        <v>1639</v>
      </c>
      <c r="D37" s="1182" t="s">
        <v>2590</v>
      </c>
      <c r="E37" s="1182" t="s">
        <v>2591</v>
      </c>
      <c r="F37" s="1182" t="s">
        <v>4364</v>
      </c>
      <c r="G37" s="1182" t="s">
        <v>4364</v>
      </c>
      <c r="H37" s="1188" t="s">
        <v>4489</v>
      </c>
      <c r="I37" s="1182" t="s">
        <v>2933</v>
      </c>
      <c r="J37" s="1182" t="s">
        <v>4492</v>
      </c>
      <c r="K37" s="1182" t="s">
        <v>1811</v>
      </c>
      <c r="L37" s="1182" t="s">
        <v>1812</v>
      </c>
      <c r="M37" s="1182" t="s">
        <v>1803</v>
      </c>
      <c r="N37" s="1182" t="s">
        <v>4453</v>
      </c>
      <c r="O37" s="1182" t="s">
        <v>1654</v>
      </c>
      <c r="P37" s="1182" t="s">
        <v>1653</v>
      </c>
      <c r="Q37" s="1182" t="s">
        <v>1452</v>
      </c>
      <c r="R37" s="1182" t="s">
        <v>1452</v>
      </c>
      <c r="S37" s="1182" t="s">
        <v>1639</v>
      </c>
      <c r="T37" s="1182" t="s">
        <v>4454</v>
      </c>
      <c r="U37" s="1182" t="s">
        <v>4455</v>
      </c>
      <c r="V37" s="1182">
        <v>0</v>
      </c>
      <c r="W37" s="1182">
        <v>0</v>
      </c>
      <c r="X37" s="1182">
        <v>0</v>
      </c>
      <c r="Y37" s="1183">
        <v>2471</v>
      </c>
      <c r="Z37" s="1182" t="s">
        <v>4456</v>
      </c>
      <c r="AA37" s="1182" t="s">
        <v>1452</v>
      </c>
      <c r="AB37" s="1182">
        <v>2471</v>
      </c>
      <c r="AC37" s="1182" t="s">
        <v>4457</v>
      </c>
      <c r="AD37" s="1182" t="s">
        <v>4458</v>
      </c>
      <c r="AE37" s="1182">
        <v>2471</v>
      </c>
      <c r="AF37" s="1182" t="s">
        <v>4437</v>
      </c>
      <c r="AG37" s="1182" t="s">
        <v>1820</v>
      </c>
      <c r="AH37" s="1182">
        <v>224</v>
      </c>
      <c r="AI37" s="1182">
        <v>2247</v>
      </c>
      <c r="AJ37" s="1182" t="s">
        <v>1639</v>
      </c>
      <c r="AL37" s="1186" t="s">
        <v>4493</v>
      </c>
      <c r="AM37" s="1182">
        <v>1</v>
      </c>
      <c r="AN37" s="1182">
        <v>0</v>
      </c>
      <c r="AO37" s="1182">
        <v>0</v>
      </c>
      <c r="AP37" s="1555">
        <v>0</v>
      </c>
      <c r="AQ37" s="1182" t="s">
        <v>1639</v>
      </c>
      <c r="AS37" s="1554" t="s">
        <v>4437</v>
      </c>
      <c r="AT37" s="1554" t="s">
        <v>1820</v>
      </c>
      <c r="AV37" s="1183">
        <v>0</v>
      </c>
      <c r="AW37" s="1183">
        <v>0</v>
      </c>
      <c r="AX37" s="1183">
        <v>0</v>
      </c>
      <c r="AY37" s="1540">
        <v>0</v>
      </c>
      <c r="AZ37" s="1183">
        <v>0</v>
      </c>
      <c r="BA37" s="1183">
        <v>2471</v>
      </c>
      <c r="BB37" s="1540">
        <v>2471</v>
      </c>
      <c r="BC37" s="1540">
        <v>2471</v>
      </c>
      <c r="BD37" s="1540">
        <v>0</v>
      </c>
      <c r="BF37" s="1540">
        <f t="shared" si="21"/>
        <v>0</v>
      </c>
      <c r="BG37" s="1540">
        <f t="shared" si="22"/>
        <v>0</v>
      </c>
      <c r="BH37" s="1540">
        <f t="shared" si="23"/>
        <v>0</v>
      </c>
      <c r="BI37" s="1540">
        <f t="shared" si="24"/>
        <v>0</v>
      </c>
      <c r="BJ37" s="1540">
        <f t="shared" si="25"/>
        <v>0</v>
      </c>
      <c r="BK37" s="1540">
        <f t="shared" si="26"/>
        <v>2246</v>
      </c>
      <c r="BL37" s="1540">
        <f t="shared" si="27"/>
        <v>2246</v>
      </c>
      <c r="BM37" s="1540">
        <f t="shared" si="28"/>
        <v>2246</v>
      </c>
      <c r="BN37" s="1183"/>
      <c r="BO37" s="1182">
        <f t="shared" si="36"/>
        <v>0</v>
      </c>
      <c r="BP37" s="1182">
        <f t="shared" si="37"/>
        <v>0</v>
      </c>
      <c r="BQ37" s="1182">
        <f t="shared" si="38"/>
        <v>0</v>
      </c>
      <c r="BR37" s="1182">
        <f t="shared" si="39"/>
        <v>0</v>
      </c>
      <c r="BS37" s="1182">
        <f t="shared" si="40"/>
        <v>0</v>
      </c>
      <c r="BT37" s="1182">
        <f t="shared" si="41"/>
        <v>0.36363636363648766</v>
      </c>
      <c r="BU37" s="1182">
        <f t="shared" si="42"/>
        <v>0.36363636363648766</v>
      </c>
    </row>
    <row r="38" spans="1:73">
      <c r="A38" s="1182" t="s">
        <v>1803</v>
      </c>
      <c r="B38" s="1182" t="s">
        <v>1804</v>
      </c>
      <c r="C38" s="1182" t="s">
        <v>1639</v>
      </c>
      <c r="D38" s="1182" t="s">
        <v>2590</v>
      </c>
      <c r="E38" s="1182" t="s">
        <v>2591</v>
      </c>
      <c r="F38" s="1182" t="s">
        <v>4364</v>
      </c>
      <c r="G38" s="1182" t="s">
        <v>4364</v>
      </c>
      <c r="H38" s="1188" t="s">
        <v>4489</v>
      </c>
      <c r="I38" s="1182" t="s">
        <v>2933</v>
      </c>
      <c r="J38" s="1182" t="s">
        <v>4494</v>
      </c>
      <c r="K38" s="1182" t="s">
        <v>1811</v>
      </c>
      <c r="L38" s="1182" t="s">
        <v>1812</v>
      </c>
      <c r="M38" s="1182" t="s">
        <v>1803</v>
      </c>
      <c r="N38" s="1182" t="s">
        <v>4453</v>
      </c>
      <c r="O38" s="1182" t="s">
        <v>1654</v>
      </c>
      <c r="P38" s="1182" t="s">
        <v>1653</v>
      </c>
      <c r="Q38" s="1182" t="s">
        <v>1452</v>
      </c>
      <c r="R38" s="1182" t="s">
        <v>1452</v>
      </c>
      <c r="S38" s="1182" t="s">
        <v>1639</v>
      </c>
      <c r="T38" s="1182" t="s">
        <v>4454</v>
      </c>
      <c r="U38" s="1182" t="s">
        <v>4455</v>
      </c>
      <c r="V38" s="1182">
        <v>0</v>
      </c>
      <c r="W38" s="1182">
        <v>0</v>
      </c>
      <c r="X38" s="1182">
        <v>0</v>
      </c>
      <c r="Y38" s="1183">
        <v>41272</v>
      </c>
      <c r="Z38" s="1182" t="s">
        <v>4456</v>
      </c>
      <c r="AA38" s="1182" t="s">
        <v>1452</v>
      </c>
      <c r="AB38" s="1182">
        <v>41272</v>
      </c>
      <c r="AC38" s="1182" t="s">
        <v>4457</v>
      </c>
      <c r="AD38" s="1182" t="s">
        <v>4458</v>
      </c>
      <c r="AE38" s="1182">
        <v>41272</v>
      </c>
      <c r="AF38" s="1182" t="s">
        <v>4437</v>
      </c>
      <c r="AG38" s="1182" t="s">
        <v>1820</v>
      </c>
      <c r="AH38" s="1182">
        <v>3752</v>
      </c>
      <c r="AI38" s="1182">
        <v>37520</v>
      </c>
      <c r="AJ38" s="1182" t="s">
        <v>1639</v>
      </c>
      <c r="AL38" s="1186" t="s">
        <v>4495</v>
      </c>
      <c r="AM38" s="1182">
        <v>1</v>
      </c>
      <c r="AN38" s="1182">
        <v>0</v>
      </c>
      <c r="AO38" s="1182">
        <v>0</v>
      </c>
      <c r="AP38" s="1555">
        <v>0</v>
      </c>
      <c r="AQ38" s="1182" t="s">
        <v>1639</v>
      </c>
      <c r="AS38" s="1554" t="s">
        <v>4437</v>
      </c>
      <c r="AT38" s="1554" t="s">
        <v>1820</v>
      </c>
      <c r="AV38" s="1183">
        <v>0</v>
      </c>
      <c r="AW38" s="1183">
        <v>0</v>
      </c>
      <c r="AX38" s="1183">
        <v>0</v>
      </c>
      <c r="AY38" s="1540">
        <v>0</v>
      </c>
      <c r="AZ38" s="1183">
        <v>0</v>
      </c>
      <c r="BA38" s="1183">
        <v>41272</v>
      </c>
      <c r="BB38" s="1540">
        <v>41272</v>
      </c>
      <c r="BC38" s="1540">
        <v>41272</v>
      </c>
      <c r="BD38" s="1540">
        <v>0</v>
      </c>
      <c r="BF38" s="1540">
        <f t="shared" si="21"/>
        <v>0</v>
      </c>
      <c r="BG38" s="1540">
        <f t="shared" si="22"/>
        <v>0</v>
      </c>
      <c r="BH38" s="1540">
        <f t="shared" si="23"/>
        <v>0</v>
      </c>
      <c r="BI38" s="1540">
        <f t="shared" si="24"/>
        <v>0</v>
      </c>
      <c r="BJ38" s="1540">
        <f t="shared" si="25"/>
        <v>0</v>
      </c>
      <c r="BK38" s="1540">
        <f t="shared" si="26"/>
        <v>37520</v>
      </c>
      <c r="BL38" s="1540">
        <f t="shared" si="27"/>
        <v>37520</v>
      </c>
      <c r="BM38" s="1540">
        <f t="shared" si="28"/>
        <v>37520</v>
      </c>
      <c r="BN38" s="1183"/>
      <c r="BO38" s="1182">
        <f t="shared" si="36"/>
        <v>0</v>
      </c>
      <c r="BP38" s="1182">
        <f t="shared" si="37"/>
        <v>0</v>
      </c>
      <c r="BQ38" s="1182">
        <f t="shared" si="38"/>
        <v>0</v>
      </c>
      <c r="BR38" s="1182">
        <f t="shared" si="39"/>
        <v>0</v>
      </c>
      <c r="BS38" s="1182">
        <f t="shared" si="40"/>
        <v>0</v>
      </c>
      <c r="BT38" s="1182">
        <f t="shared" si="41"/>
        <v>0</v>
      </c>
      <c r="BU38" s="1182">
        <f t="shared" si="42"/>
        <v>0</v>
      </c>
    </row>
    <row r="39" spans="1:73">
      <c r="A39" s="1182" t="s">
        <v>1803</v>
      </c>
      <c r="B39" s="1182" t="s">
        <v>1804</v>
      </c>
      <c r="C39" s="1182" t="s">
        <v>1639</v>
      </c>
      <c r="D39" s="1182" t="s">
        <v>2590</v>
      </c>
      <c r="E39" s="1182" t="s">
        <v>2591</v>
      </c>
      <c r="F39" s="1182" t="s">
        <v>4364</v>
      </c>
      <c r="G39" s="1182" t="s">
        <v>4364</v>
      </c>
      <c r="H39" s="1188" t="s">
        <v>4489</v>
      </c>
      <c r="I39" s="1182" t="s">
        <v>2933</v>
      </c>
      <c r="J39" s="1182" t="s">
        <v>4496</v>
      </c>
      <c r="K39" s="1182" t="s">
        <v>1811</v>
      </c>
      <c r="L39" s="1182" t="s">
        <v>1812</v>
      </c>
      <c r="M39" s="1182" t="s">
        <v>1803</v>
      </c>
      <c r="N39" s="1182" t="s">
        <v>4453</v>
      </c>
      <c r="O39" s="1182" t="s">
        <v>1654</v>
      </c>
      <c r="P39" s="1182" t="s">
        <v>1653</v>
      </c>
      <c r="Q39" s="1182" t="s">
        <v>1452</v>
      </c>
      <c r="R39" s="1182" t="s">
        <v>1452</v>
      </c>
      <c r="S39" s="1182" t="s">
        <v>1639</v>
      </c>
      <c r="T39" s="1182" t="s">
        <v>4454</v>
      </c>
      <c r="U39" s="1182" t="s">
        <v>4455</v>
      </c>
      <c r="V39" s="1182">
        <v>0</v>
      </c>
      <c r="W39" s="1182">
        <v>0</v>
      </c>
      <c r="X39" s="1182">
        <v>0</v>
      </c>
      <c r="Y39" s="1183">
        <v>764</v>
      </c>
      <c r="Z39" s="1182" t="s">
        <v>4456</v>
      </c>
      <c r="AA39" s="1182" t="s">
        <v>1452</v>
      </c>
      <c r="AB39" s="1182">
        <v>764</v>
      </c>
      <c r="AC39" s="1182" t="s">
        <v>4457</v>
      </c>
      <c r="AD39" s="1182" t="s">
        <v>4458</v>
      </c>
      <c r="AE39" s="1182">
        <v>764</v>
      </c>
      <c r="AF39" s="1182" t="s">
        <v>4437</v>
      </c>
      <c r="AG39" s="1182" t="s">
        <v>1820</v>
      </c>
      <c r="AH39" s="1182">
        <v>69</v>
      </c>
      <c r="AI39" s="1182">
        <v>695</v>
      </c>
      <c r="AJ39" s="1182" t="s">
        <v>1639</v>
      </c>
      <c r="AL39" s="1186" t="s">
        <v>4497</v>
      </c>
      <c r="AM39" s="1182">
        <v>1</v>
      </c>
      <c r="AN39" s="1182">
        <v>0</v>
      </c>
      <c r="AO39" s="1182">
        <v>0</v>
      </c>
      <c r="AP39" s="1555">
        <v>0</v>
      </c>
      <c r="AQ39" s="1182" t="s">
        <v>1639</v>
      </c>
      <c r="AS39" s="1554" t="s">
        <v>4437</v>
      </c>
      <c r="AT39" s="1554" t="s">
        <v>1820</v>
      </c>
      <c r="AV39" s="1183">
        <v>0</v>
      </c>
      <c r="AW39" s="1183">
        <v>0</v>
      </c>
      <c r="AX39" s="1183">
        <v>0</v>
      </c>
      <c r="AY39" s="1540">
        <v>0</v>
      </c>
      <c r="AZ39" s="1183">
        <v>0</v>
      </c>
      <c r="BA39" s="1183">
        <v>764</v>
      </c>
      <c r="BB39" s="1540">
        <v>764</v>
      </c>
      <c r="BC39" s="1540">
        <v>764</v>
      </c>
      <c r="BD39" s="1540">
        <v>0</v>
      </c>
      <c r="BF39" s="1540">
        <f t="shared" si="21"/>
        <v>0</v>
      </c>
      <c r="BG39" s="1540">
        <f t="shared" si="22"/>
        <v>0</v>
      </c>
      <c r="BH39" s="1540">
        <f t="shared" si="23"/>
        <v>0</v>
      </c>
      <c r="BI39" s="1540">
        <f t="shared" si="24"/>
        <v>0</v>
      </c>
      <c r="BJ39" s="1540">
        <f t="shared" si="25"/>
        <v>0</v>
      </c>
      <c r="BK39" s="1540">
        <f t="shared" si="26"/>
        <v>695</v>
      </c>
      <c r="BL39" s="1540">
        <f t="shared" si="27"/>
        <v>695</v>
      </c>
      <c r="BM39" s="1540">
        <f t="shared" si="28"/>
        <v>695</v>
      </c>
      <c r="BN39" s="1183"/>
      <c r="BO39" s="1182">
        <f t="shared" si="36"/>
        <v>0</v>
      </c>
      <c r="BP39" s="1182">
        <f t="shared" si="37"/>
        <v>0</v>
      </c>
      <c r="BQ39" s="1182">
        <f t="shared" si="38"/>
        <v>0</v>
      </c>
      <c r="BR39" s="1182">
        <f t="shared" si="39"/>
        <v>0</v>
      </c>
      <c r="BS39" s="1182">
        <f t="shared" si="40"/>
        <v>0</v>
      </c>
      <c r="BT39" s="1182">
        <f t="shared" si="41"/>
        <v>-0.45454545454549589</v>
      </c>
      <c r="BU39" s="1182">
        <f t="shared" si="42"/>
        <v>-0.45454545454549589</v>
      </c>
    </row>
    <row r="40" spans="1:73">
      <c r="A40" s="1182" t="s">
        <v>1803</v>
      </c>
      <c r="B40" s="1182" t="s">
        <v>1804</v>
      </c>
      <c r="C40" s="1182" t="s">
        <v>1639</v>
      </c>
      <c r="D40" s="1182" t="s">
        <v>2590</v>
      </c>
      <c r="E40" s="1182" t="s">
        <v>2591</v>
      </c>
      <c r="F40" s="1182" t="s">
        <v>2280</v>
      </c>
      <c r="G40" s="1182" t="s">
        <v>2280</v>
      </c>
      <c r="H40" s="1188" t="s">
        <v>4498</v>
      </c>
      <c r="I40" s="1182" t="s">
        <v>2933</v>
      </c>
      <c r="J40" s="1182" t="s">
        <v>4499</v>
      </c>
      <c r="K40" s="1182" t="s">
        <v>1811</v>
      </c>
      <c r="L40" s="1182" t="s">
        <v>1812</v>
      </c>
      <c r="M40" s="1182" t="s">
        <v>1803</v>
      </c>
      <c r="N40" s="1182" t="s">
        <v>4453</v>
      </c>
      <c r="O40" s="1182" t="s">
        <v>1654</v>
      </c>
      <c r="P40" s="1182" t="s">
        <v>1653</v>
      </c>
      <c r="Q40" s="1182" t="s">
        <v>1452</v>
      </c>
      <c r="R40" s="1182" t="s">
        <v>1452</v>
      </c>
      <c r="S40" s="1182" t="s">
        <v>1639</v>
      </c>
      <c r="T40" s="1182" t="s">
        <v>4454</v>
      </c>
      <c r="U40" s="1182" t="s">
        <v>4455</v>
      </c>
      <c r="V40" s="1182">
        <v>0</v>
      </c>
      <c r="W40" s="1182">
        <v>0</v>
      </c>
      <c r="X40" s="1182">
        <v>0</v>
      </c>
      <c r="Y40" s="1183">
        <v>49628</v>
      </c>
      <c r="Z40" s="1182" t="s">
        <v>4456</v>
      </c>
      <c r="AA40" s="1182" t="s">
        <v>1452</v>
      </c>
      <c r="AB40" s="1182">
        <v>49628</v>
      </c>
      <c r="AC40" s="1182" t="s">
        <v>4457</v>
      </c>
      <c r="AD40" s="1182" t="s">
        <v>4458</v>
      </c>
      <c r="AE40" s="1182">
        <v>49628</v>
      </c>
      <c r="AF40" s="1182" t="s">
        <v>4437</v>
      </c>
      <c r="AG40" s="1182" t="s">
        <v>1820</v>
      </c>
      <c r="AH40" s="1182">
        <v>4511</v>
      </c>
      <c r="AI40" s="1182">
        <v>45117</v>
      </c>
      <c r="AJ40" s="1182" t="s">
        <v>1639</v>
      </c>
      <c r="AL40" s="1186" t="s">
        <v>4500</v>
      </c>
      <c r="AM40" s="1182">
        <v>1</v>
      </c>
      <c r="AN40" s="1182">
        <v>0</v>
      </c>
      <c r="AO40" s="1182">
        <v>0</v>
      </c>
      <c r="AP40" s="1555">
        <v>0</v>
      </c>
      <c r="AQ40" s="1182" t="s">
        <v>1639</v>
      </c>
      <c r="AS40" s="1554" t="s">
        <v>4437</v>
      </c>
      <c r="AT40" s="1554" t="s">
        <v>1820</v>
      </c>
      <c r="AV40" s="1183">
        <v>0</v>
      </c>
      <c r="AW40" s="1183">
        <v>0</v>
      </c>
      <c r="AX40" s="1183">
        <v>0</v>
      </c>
      <c r="AY40" s="1540">
        <v>0</v>
      </c>
      <c r="AZ40" s="1183">
        <v>0</v>
      </c>
      <c r="BA40" s="1183">
        <v>49628</v>
      </c>
      <c r="BB40" s="1540">
        <v>49628</v>
      </c>
      <c r="BC40" s="1540">
        <v>49628</v>
      </c>
      <c r="BD40" s="1540">
        <v>0</v>
      </c>
      <c r="BF40" s="1540">
        <f t="shared" si="21"/>
        <v>0</v>
      </c>
      <c r="BG40" s="1540">
        <f t="shared" si="22"/>
        <v>0</v>
      </c>
      <c r="BH40" s="1540">
        <f t="shared" si="23"/>
        <v>0</v>
      </c>
      <c r="BI40" s="1540">
        <f t="shared" si="24"/>
        <v>0</v>
      </c>
      <c r="BJ40" s="1540">
        <f t="shared" si="25"/>
        <v>0</v>
      </c>
      <c r="BK40" s="1540">
        <f t="shared" si="26"/>
        <v>45116</v>
      </c>
      <c r="BL40" s="1540">
        <f t="shared" si="27"/>
        <v>45116</v>
      </c>
      <c r="BM40" s="1540">
        <f t="shared" si="28"/>
        <v>45116</v>
      </c>
      <c r="BN40" s="1183"/>
      <c r="BO40" s="1182">
        <f t="shared" si="36"/>
        <v>0</v>
      </c>
      <c r="BP40" s="1182">
        <f t="shared" si="37"/>
        <v>0</v>
      </c>
      <c r="BQ40" s="1182">
        <f t="shared" si="38"/>
        <v>0</v>
      </c>
      <c r="BR40" s="1182">
        <f t="shared" si="39"/>
        <v>0</v>
      </c>
      <c r="BS40" s="1182">
        <f t="shared" si="40"/>
        <v>0</v>
      </c>
      <c r="BT40" s="1182">
        <f t="shared" si="41"/>
        <v>0.36363636363967089</v>
      </c>
      <c r="BU40" s="1182">
        <f t="shared" si="42"/>
        <v>0.36363636363967089</v>
      </c>
    </row>
    <row r="41" spans="1:73">
      <c r="A41" s="1182" t="s">
        <v>1803</v>
      </c>
      <c r="B41" s="1182" t="s">
        <v>1804</v>
      </c>
      <c r="C41" s="1182" t="s">
        <v>1639</v>
      </c>
      <c r="D41" s="1182" t="s">
        <v>2590</v>
      </c>
      <c r="E41" s="1182" t="s">
        <v>2591</v>
      </c>
      <c r="F41" s="1182" t="s">
        <v>2280</v>
      </c>
      <c r="G41" s="1182" t="s">
        <v>2280</v>
      </c>
      <c r="H41" s="1188" t="s">
        <v>4498</v>
      </c>
      <c r="I41" s="1182" t="s">
        <v>2933</v>
      </c>
      <c r="J41" s="1182" t="s">
        <v>4501</v>
      </c>
      <c r="K41" s="1182" t="s">
        <v>1811</v>
      </c>
      <c r="L41" s="1182" t="s">
        <v>1812</v>
      </c>
      <c r="M41" s="1182" t="s">
        <v>1803</v>
      </c>
      <c r="N41" s="1182" t="s">
        <v>4453</v>
      </c>
      <c r="O41" s="1182" t="s">
        <v>1654</v>
      </c>
      <c r="P41" s="1182" t="s">
        <v>1653</v>
      </c>
      <c r="Q41" s="1182" t="s">
        <v>1452</v>
      </c>
      <c r="R41" s="1182" t="s">
        <v>1452</v>
      </c>
      <c r="S41" s="1182" t="s">
        <v>1639</v>
      </c>
      <c r="T41" s="1182" t="s">
        <v>4454</v>
      </c>
      <c r="U41" s="1182" t="s">
        <v>4455</v>
      </c>
      <c r="V41" s="1182">
        <v>0</v>
      </c>
      <c r="W41" s="1182">
        <v>0</v>
      </c>
      <c r="X41" s="1182">
        <v>0</v>
      </c>
      <c r="Y41" s="1183">
        <v>85050</v>
      </c>
      <c r="Z41" s="1182" t="s">
        <v>4456</v>
      </c>
      <c r="AA41" s="1182" t="s">
        <v>1452</v>
      </c>
      <c r="AB41" s="1182">
        <v>85050</v>
      </c>
      <c r="AC41" s="1182" t="s">
        <v>4457</v>
      </c>
      <c r="AD41" s="1182" t="s">
        <v>4458</v>
      </c>
      <c r="AE41" s="1182">
        <v>85050</v>
      </c>
      <c r="AF41" s="1182" t="s">
        <v>4437</v>
      </c>
      <c r="AG41" s="1182" t="s">
        <v>1820</v>
      </c>
      <c r="AH41" s="1182">
        <v>7731</v>
      </c>
      <c r="AI41" s="1182">
        <v>77319</v>
      </c>
      <c r="AJ41" s="1182" t="s">
        <v>1639</v>
      </c>
      <c r="AL41" s="1186" t="s">
        <v>4502</v>
      </c>
      <c r="AM41" s="1182">
        <v>1</v>
      </c>
      <c r="AN41" s="1182">
        <v>0</v>
      </c>
      <c r="AO41" s="1182">
        <v>0</v>
      </c>
      <c r="AP41" s="1555">
        <v>0</v>
      </c>
      <c r="AQ41" s="1182" t="s">
        <v>1639</v>
      </c>
      <c r="AS41" s="1554" t="s">
        <v>4437</v>
      </c>
      <c r="AT41" s="1554" t="s">
        <v>1820</v>
      </c>
      <c r="AV41" s="1183">
        <v>0</v>
      </c>
      <c r="AW41" s="1183">
        <v>0</v>
      </c>
      <c r="AX41" s="1183">
        <v>0</v>
      </c>
      <c r="AY41" s="1540">
        <v>0</v>
      </c>
      <c r="AZ41" s="1183">
        <v>0</v>
      </c>
      <c r="BA41" s="1183">
        <v>85050</v>
      </c>
      <c r="BB41" s="1540">
        <v>85050</v>
      </c>
      <c r="BC41" s="1540">
        <v>85050</v>
      </c>
      <c r="BD41" s="1540">
        <v>0</v>
      </c>
      <c r="BF41" s="1540">
        <f t="shared" si="21"/>
        <v>0</v>
      </c>
      <c r="BG41" s="1540">
        <f t="shared" si="22"/>
        <v>0</v>
      </c>
      <c r="BH41" s="1540">
        <f t="shared" si="23"/>
        <v>0</v>
      </c>
      <c r="BI41" s="1540">
        <f t="shared" si="24"/>
        <v>0</v>
      </c>
      <c r="BJ41" s="1540">
        <f t="shared" si="25"/>
        <v>0</v>
      </c>
      <c r="BK41" s="1540">
        <f t="shared" si="26"/>
        <v>77318</v>
      </c>
      <c r="BL41" s="1540">
        <f t="shared" si="27"/>
        <v>77318</v>
      </c>
      <c r="BM41" s="1540">
        <f t="shared" si="28"/>
        <v>77318</v>
      </c>
      <c r="BN41" s="1183"/>
      <c r="BO41" s="1182">
        <f t="shared" si="36"/>
        <v>0</v>
      </c>
      <c r="BP41" s="1182">
        <f t="shared" si="37"/>
        <v>0</v>
      </c>
      <c r="BQ41" s="1182">
        <f t="shared" si="38"/>
        <v>0</v>
      </c>
      <c r="BR41" s="1182">
        <f t="shared" si="39"/>
        <v>0</v>
      </c>
      <c r="BS41" s="1182">
        <f t="shared" si="40"/>
        <v>0</v>
      </c>
      <c r="BT41" s="1182">
        <f t="shared" si="41"/>
        <v>0.18181818182347342</v>
      </c>
      <c r="BU41" s="1182">
        <f t="shared" si="42"/>
        <v>0.18181818182347342</v>
      </c>
    </row>
    <row r="42" spans="1:73">
      <c r="A42" s="1182" t="s">
        <v>1803</v>
      </c>
      <c r="B42" s="1182" t="s">
        <v>1804</v>
      </c>
      <c r="C42" s="1182" t="s">
        <v>1639</v>
      </c>
      <c r="D42" s="1182" t="s">
        <v>2590</v>
      </c>
      <c r="E42" s="1182" t="s">
        <v>2591</v>
      </c>
      <c r="F42" s="1182" t="s">
        <v>2280</v>
      </c>
      <c r="G42" s="1182" t="s">
        <v>2280</v>
      </c>
      <c r="H42" s="1188" t="s">
        <v>4498</v>
      </c>
      <c r="I42" s="1182" t="s">
        <v>2933</v>
      </c>
      <c r="J42" s="1182" t="s">
        <v>4503</v>
      </c>
      <c r="K42" s="1182" t="s">
        <v>1811</v>
      </c>
      <c r="L42" s="1182" t="s">
        <v>1812</v>
      </c>
      <c r="M42" s="1182" t="s">
        <v>1803</v>
      </c>
      <c r="N42" s="1182" t="s">
        <v>4453</v>
      </c>
      <c r="O42" s="1182" t="s">
        <v>1654</v>
      </c>
      <c r="P42" s="1182" t="s">
        <v>1653</v>
      </c>
      <c r="Q42" s="1182" t="s">
        <v>1452</v>
      </c>
      <c r="R42" s="1182" t="s">
        <v>1452</v>
      </c>
      <c r="S42" s="1182" t="s">
        <v>1639</v>
      </c>
      <c r="T42" s="1182" t="s">
        <v>4454</v>
      </c>
      <c r="U42" s="1182" t="s">
        <v>4455</v>
      </c>
      <c r="V42" s="1182">
        <v>0</v>
      </c>
      <c r="W42" s="1182">
        <v>0</v>
      </c>
      <c r="X42" s="1182">
        <v>0</v>
      </c>
      <c r="Y42" s="1183">
        <v>13580</v>
      </c>
      <c r="Z42" s="1182" t="s">
        <v>4456</v>
      </c>
      <c r="AA42" s="1182" t="s">
        <v>1452</v>
      </c>
      <c r="AB42" s="1182">
        <v>13580</v>
      </c>
      <c r="AC42" s="1182" t="s">
        <v>4457</v>
      </c>
      <c r="AD42" s="1182" t="s">
        <v>4458</v>
      </c>
      <c r="AE42" s="1182">
        <v>13580</v>
      </c>
      <c r="AF42" s="1182" t="s">
        <v>4437</v>
      </c>
      <c r="AG42" s="1182" t="s">
        <v>1820</v>
      </c>
      <c r="AH42" s="1182">
        <v>1234</v>
      </c>
      <c r="AI42" s="1182">
        <v>12346</v>
      </c>
      <c r="AJ42" s="1182" t="s">
        <v>1639</v>
      </c>
      <c r="AL42" s="1186" t="s">
        <v>4504</v>
      </c>
      <c r="AM42" s="1182">
        <v>1</v>
      </c>
      <c r="AN42" s="1182">
        <v>0</v>
      </c>
      <c r="AO42" s="1182">
        <v>0</v>
      </c>
      <c r="AP42" s="1555">
        <v>0</v>
      </c>
      <c r="AQ42" s="1182" t="s">
        <v>1639</v>
      </c>
      <c r="AS42" s="1554" t="s">
        <v>4437</v>
      </c>
      <c r="AT42" s="1554" t="s">
        <v>1820</v>
      </c>
      <c r="AV42" s="1183">
        <v>0</v>
      </c>
      <c r="AW42" s="1183">
        <v>0</v>
      </c>
      <c r="AX42" s="1183">
        <v>0</v>
      </c>
      <c r="AY42" s="1540">
        <v>0</v>
      </c>
      <c r="AZ42" s="1183">
        <v>0</v>
      </c>
      <c r="BA42" s="1183">
        <v>13580</v>
      </c>
      <c r="BB42" s="1540">
        <v>13580</v>
      </c>
      <c r="BC42" s="1540">
        <v>13580</v>
      </c>
      <c r="BD42" s="1540">
        <v>0</v>
      </c>
      <c r="BF42" s="1540">
        <f t="shared" si="21"/>
        <v>0</v>
      </c>
      <c r="BG42" s="1540">
        <f t="shared" si="22"/>
        <v>0</v>
      </c>
      <c r="BH42" s="1540">
        <f t="shared" si="23"/>
        <v>0</v>
      </c>
      <c r="BI42" s="1540">
        <f t="shared" si="24"/>
        <v>0</v>
      </c>
      <c r="BJ42" s="1540">
        <f t="shared" si="25"/>
        <v>0</v>
      </c>
      <c r="BK42" s="1540">
        <f t="shared" si="26"/>
        <v>12345</v>
      </c>
      <c r="BL42" s="1540">
        <f t="shared" si="27"/>
        <v>12345</v>
      </c>
      <c r="BM42" s="1540">
        <f t="shared" si="28"/>
        <v>12345</v>
      </c>
      <c r="BN42" s="1183"/>
      <c r="BO42" s="1182">
        <f t="shared" si="36"/>
        <v>0</v>
      </c>
      <c r="BP42" s="1182">
        <f t="shared" si="37"/>
        <v>0</v>
      </c>
      <c r="BQ42" s="1182">
        <f t="shared" si="38"/>
        <v>0</v>
      </c>
      <c r="BR42" s="1182">
        <f t="shared" si="39"/>
        <v>0</v>
      </c>
      <c r="BS42" s="1182">
        <f t="shared" si="40"/>
        <v>0</v>
      </c>
      <c r="BT42" s="1182">
        <f t="shared" si="41"/>
        <v>0.45454545454595063</v>
      </c>
      <c r="BU42" s="1182">
        <f t="shared" si="42"/>
        <v>0.45454545454595063</v>
      </c>
    </row>
    <row r="43" spans="1:73">
      <c r="A43" s="1182" t="s">
        <v>1803</v>
      </c>
      <c r="B43" s="1182" t="s">
        <v>1804</v>
      </c>
      <c r="C43" s="1182" t="s">
        <v>1639</v>
      </c>
      <c r="D43" s="1182" t="s">
        <v>2590</v>
      </c>
      <c r="E43" s="1182" t="s">
        <v>2591</v>
      </c>
      <c r="F43" s="1182" t="s">
        <v>2280</v>
      </c>
      <c r="G43" s="1182" t="s">
        <v>2280</v>
      </c>
      <c r="H43" s="1188" t="s">
        <v>4498</v>
      </c>
      <c r="I43" s="1182" t="s">
        <v>2933</v>
      </c>
      <c r="J43" s="1182" t="s">
        <v>4505</v>
      </c>
      <c r="K43" s="1182" t="s">
        <v>1811</v>
      </c>
      <c r="L43" s="1182" t="s">
        <v>1812</v>
      </c>
      <c r="M43" s="1182" t="s">
        <v>1803</v>
      </c>
      <c r="N43" s="1182" t="s">
        <v>4453</v>
      </c>
      <c r="O43" s="1182" t="s">
        <v>1654</v>
      </c>
      <c r="P43" s="1182" t="s">
        <v>1653</v>
      </c>
      <c r="Q43" s="1182" t="s">
        <v>1452</v>
      </c>
      <c r="R43" s="1182" t="s">
        <v>1452</v>
      </c>
      <c r="S43" s="1182" t="s">
        <v>1639</v>
      </c>
      <c r="T43" s="1182" t="s">
        <v>4454</v>
      </c>
      <c r="U43" s="1182" t="s">
        <v>4455</v>
      </c>
      <c r="V43" s="1182">
        <v>0</v>
      </c>
      <c r="W43" s="1182">
        <v>0</v>
      </c>
      <c r="X43" s="1182">
        <v>0</v>
      </c>
      <c r="Y43" s="1183">
        <v>23592</v>
      </c>
      <c r="Z43" s="1182" t="s">
        <v>4456</v>
      </c>
      <c r="AA43" s="1182" t="s">
        <v>1452</v>
      </c>
      <c r="AB43" s="1182">
        <v>23592</v>
      </c>
      <c r="AC43" s="1182" t="s">
        <v>4457</v>
      </c>
      <c r="AD43" s="1182" t="s">
        <v>4458</v>
      </c>
      <c r="AE43" s="1182">
        <v>23592</v>
      </c>
      <c r="AF43" s="1182" t="s">
        <v>4437</v>
      </c>
      <c r="AG43" s="1182" t="s">
        <v>1820</v>
      </c>
      <c r="AH43" s="1182">
        <v>2144</v>
      </c>
      <c r="AI43" s="1182">
        <v>21448</v>
      </c>
      <c r="AJ43" s="1182" t="s">
        <v>1639</v>
      </c>
      <c r="AL43" s="1186" t="s">
        <v>4506</v>
      </c>
      <c r="AM43" s="1182">
        <v>1</v>
      </c>
      <c r="AN43" s="1182">
        <v>0</v>
      </c>
      <c r="AO43" s="1182">
        <v>0</v>
      </c>
      <c r="AP43" s="1555">
        <v>0</v>
      </c>
      <c r="AQ43" s="1182" t="s">
        <v>1639</v>
      </c>
      <c r="AS43" s="1554" t="s">
        <v>4437</v>
      </c>
      <c r="AT43" s="1554" t="s">
        <v>1820</v>
      </c>
      <c r="AV43" s="1183">
        <v>0</v>
      </c>
      <c r="AW43" s="1183">
        <v>0</v>
      </c>
      <c r="AX43" s="1183">
        <v>0</v>
      </c>
      <c r="AY43" s="1540">
        <v>0</v>
      </c>
      <c r="AZ43" s="1183">
        <v>0</v>
      </c>
      <c r="BA43" s="1183">
        <v>23592</v>
      </c>
      <c r="BB43" s="1540">
        <v>23592</v>
      </c>
      <c r="BC43" s="1540">
        <v>23592</v>
      </c>
      <c r="BD43" s="1540">
        <v>0</v>
      </c>
      <c r="BF43" s="1540">
        <f t="shared" si="21"/>
        <v>0</v>
      </c>
      <c r="BG43" s="1540">
        <f t="shared" si="22"/>
        <v>0</v>
      </c>
      <c r="BH43" s="1540">
        <f t="shared" si="23"/>
        <v>0</v>
      </c>
      <c r="BI43" s="1540">
        <f t="shared" si="24"/>
        <v>0</v>
      </c>
      <c r="BJ43" s="1540">
        <f t="shared" si="25"/>
        <v>0</v>
      </c>
      <c r="BK43" s="1540">
        <f t="shared" si="26"/>
        <v>21447</v>
      </c>
      <c r="BL43" s="1540">
        <f t="shared" si="27"/>
        <v>21447</v>
      </c>
      <c r="BM43" s="1540">
        <f t="shared" si="28"/>
        <v>21447</v>
      </c>
      <c r="BN43" s="1183"/>
      <c r="BO43" s="1182">
        <f t="shared" si="36"/>
        <v>0</v>
      </c>
      <c r="BP43" s="1182">
        <f t="shared" si="37"/>
        <v>0</v>
      </c>
      <c r="BQ43" s="1182">
        <f t="shared" si="38"/>
        <v>0</v>
      </c>
      <c r="BR43" s="1182">
        <f t="shared" si="39"/>
        <v>0</v>
      </c>
      <c r="BS43" s="1182">
        <f t="shared" si="40"/>
        <v>0</v>
      </c>
      <c r="BT43" s="1182">
        <f t="shared" si="41"/>
        <v>0.27272727272793418</v>
      </c>
      <c r="BU43" s="1182">
        <f t="shared" si="42"/>
        <v>0.27272727272793418</v>
      </c>
    </row>
    <row r="44" spans="1:73">
      <c r="A44" s="1182" t="s">
        <v>1803</v>
      </c>
      <c r="B44" s="1182" t="s">
        <v>1804</v>
      </c>
      <c r="C44" s="1182" t="s">
        <v>1639</v>
      </c>
      <c r="D44" s="1182" t="s">
        <v>2590</v>
      </c>
      <c r="E44" s="1182" t="s">
        <v>2591</v>
      </c>
      <c r="F44" s="1182" t="s">
        <v>4507</v>
      </c>
      <c r="G44" s="1182" t="s">
        <v>4507</v>
      </c>
      <c r="H44" s="1188" t="s">
        <v>4508</v>
      </c>
      <c r="I44" s="1182" t="s">
        <v>2933</v>
      </c>
      <c r="J44" s="1182" t="s">
        <v>4509</v>
      </c>
      <c r="K44" s="1182" t="s">
        <v>1811</v>
      </c>
      <c r="L44" s="1182" t="s">
        <v>1812</v>
      </c>
      <c r="M44" s="1182" t="s">
        <v>1803</v>
      </c>
      <c r="N44" s="1182" t="s">
        <v>4453</v>
      </c>
      <c r="O44" s="1182" t="s">
        <v>1654</v>
      </c>
      <c r="P44" s="1182" t="s">
        <v>1653</v>
      </c>
      <c r="Q44" s="1182" t="s">
        <v>1452</v>
      </c>
      <c r="R44" s="1182" t="s">
        <v>1452</v>
      </c>
      <c r="S44" s="1182" t="s">
        <v>1639</v>
      </c>
      <c r="T44" s="1182" t="s">
        <v>4454</v>
      </c>
      <c r="U44" s="1182" t="s">
        <v>4455</v>
      </c>
      <c r="V44" s="1182">
        <v>0</v>
      </c>
      <c r="W44" s="1182">
        <v>0</v>
      </c>
      <c r="X44" s="1182">
        <v>0</v>
      </c>
      <c r="Y44" s="1183">
        <v>66041</v>
      </c>
      <c r="Z44" s="1182" t="s">
        <v>4456</v>
      </c>
      <c r="AA44" s="1182" t="s">
        <v>1452</v>
      </c>
      <c r="AB44" s="1182">
        <v>66041</v>
      </c>
      <c r="AC44" s="1182" t="s">
        <v>4457</v>
      </c>
      <c r="AD44" s="1182" t="s">
        <v>4458</v>
      </c>
      <c r="AE44" s="1182">
        <v>66041</v>
      </c>
      <c r="AF44" s="1182" t="s">
        <v>4437</v>
      </c>
      <c r="AG44" s="1182" t="s">
        <v>1820</v>
      </c>
      <c r="AH44" s="1182">
        <v>6003</v>
      </c>
      <c r="AI44" s="1182">
        <v>60038</v>
      </c>
      <c r="AJ44" s="1182" t="s">
        <v>1639</v>
      </c>
      <c r="AL44" s="1186" t="s">
        <v>4510</v>
      </c>
      <c r="AM44" s="1182">
        <v>1</v>
      </c>
      <c r="AN44" s="1182">
        <v>0</v>
      </c>
      <c r="AO44" s="1182">
        <v>0</v>
      </c>
      <c r="AP44" s="1555">
        <v>0</v>
      </c>
      <c r="AQ44" s="1182" t="s">
        <v>1639</v>
      </c>
      <c r="AS44" s="1554" t="s">
        <v>4437</v>
      </c>
      <c r="AT44" s="1554" t="s">
        <v>1820</v>
      </c>
      <c r="AV44" s="1183">
        <v>0</v>
      </c>
      <c r="AW44" s="1183">
        <v>0</v>
      </c>
      <c r="AX44" s="1183">
        <v>0</v>
      </c>
      <c r="AY44" s="1540">
        <v>0</v>
      </c>
      <c r="AZ44" s="1183">
        <v>0</v>
      </c>
      <c r="BA44" s="1183">
        <v>66041</v>
      </c>
      <c r="BB44" s="1540">
        <v>66041</v>
      </c>
      <c r="BC44" s="1540">
        <v>66041</v>
      </c>
      <c r="BD44" s="1540">
        <v>0</v>
      </c>
      <c r="BF44" s="1540">
        <f t="shared" si="21"/>
        <v>0</v>
      </c>
      <c r="BG44" s="1540">
        <f t="shared" si="22"/>
        <v>0</v>
      </c>
      <c r="BH44" s="1540">
        <f t="shared" si="23"/>
        <v>0</v>
      </c>
      <c r="BI44" s="1540">
        <f t="shared" si="24"/>
        <v>0</v>
      </c>
      <c r="BJ44" s="1540">
        <f t="shared" si="25"/>
        <v>0</v>
      </c>
      <c r="BK44" s="1540">
        <f t="shared" si="26"/>
        <v>60037</v>
      </c>
      <c r="BL44" s="1540">
        <f t="shared" si="27"/>
        <v>60037</v>
      </c>
      <c r="BM44" s="1540">
        <f t="shared" si="28"/>
        <v>60037</v>
      </c>
      <c r="BN44" s="1183"/>
      <c r="BO44" s="1182">
        <f t="shared" si="36"/>
        <v>0</v>
      </c>
      <c r="BP44" s="1182">
        <f t="shared" si="37"/>
        <v>0</v>
      </c>
      <c r="BQ44" s="1182">
        <f t="shared" si="38"/>
        <v>0</v>
      </c>
      <c r="BR44" s="1182">
        <f t="shared" si="39"/>
        <v>0</v>
      </c>
      <c r="BS44" s="1182">
        <f t="shared" si="40"/>
        <v>0</v>
      </c>
      <c r="BT44" s="1182">
        <f t="shared" si="41"/>
        <v>0.27272727272793418</v>
      </c>
      <c r="BU44" s="1182">
        <f t="shared" si="42"/>
        <v>0.27272727272793418</v>
      </c>
    </row>
    <row r="45" spans="1:73">
      <c r="A45" s="1182" t="s">
        <v>1803</v>
      </c>
      <c r="B45" s="1182" t="s">
        <v>1804</v>
      </c>
      <c r="C45" s="1182" t="s">
        <v>1639</v>
      </c>
      <c r="D45" s="1182" t="s">
        <v>2590</v>
      </c>
      <c r="E45" s="1182" t="s">
        <v>2591</v>
      </c>
      <c r="F45" s="1182" t="s">
        <v>4507</v>
      </c>
      <c r="G45" s="1182" t="s">
        <v>4507</v>
      </c>
      <c r="H45" s="1188" t="s">
        <v>4508</v>
      </c>
      <c r="I45" s="1182" t="s">
        <v>2933</v>
      </c>
      <c r="J45" s="1182" t="s">
        <v>4511</v>
      </c>
      <c r="K45" s="1182" t="s">
        <v>1811</v>
      </c>
      <c r="L45" s="1182" t="s">
        <v>1812</v>
      </c>
      <c r="M45" s="1182" t="s">
        <v>1803</v>
      </c>
      <c r="N45" s="1182" t="s">
        <v>4453</v>
      </c>
      <c r="O45" s="1182" t="s">
        <v>1654</v>
      </c>
      <c r="P45" s="1182" t="s">
        <v>1653</v>
      </c>
      <c r="Q45" s="1182" t="s">
        <v>1452</v>
      </c>
      <c r="R45" s="1182" t="s">
        <v>1452</v>
      </c>
      <c r="S45" s="1182" t="s">
        <v>1639</v>
      </c>
      <c r="T45" s="1182" t="s">
        <v>4454</v>
      </c>
      <c r="U45" s="1182" t="s">
        <v>4455</v>
      </c>
      <c r="V45" s="1182">
        <v>0</v>
      </c>
      <c r="W45" s="1182">
        <v>0</v>
      </c>
      <c r="X45" s="1182">
        <v>0</v>
      </c>
      <c r="Y45" s="1183">
        <v>11556</v>
      </c>
      <c r="Z45" s="1182" t="s">
        <v>4456</v>
      </c>
      <c r="AA45" s="1182" t="s">
        <v>1452</v>
      </c>
      <c r="AB45" s="1182">
        <v>11556</v>
      </c>
      <c r="AC45" s="1182" t="s">
        <v>4457</v>
      </c>
      <c r="AD45" s="1182" t="s">
        <v>4458</v>
      </c>
      <c r="AE45" s="1182">
        <v>11556</v>
      </c>
      <c r="AF45" s="1182" t="s">
        <v>4437</v>
      </c>
      <c r="AG45" s="1182" t="s">
        <v>1820</v>
      </c>
      <c r="AH45" s="1182">
        <v>1050</v>
      </c>
      <c r="AI45" s="1182">
        <v>10506</v>
      </c>
      <c r="AJ45" s="1182" t="s">
        <v>1639</v>
      </c>
      <c r="AL45" s="1186" t="s">
        <v>4512</v>
      </c>
      <c r="AM45" s="1182">
        <v>1</v>
      </c>
      <c r="AN45" s="1182">
        <v>0</v>
      </c>
      <c r="AO45" s="1182">
        <v>0</v>
      </c>
      <c r="AP45" s="1555">
        <v>0</v>
      </c>
      <c r="AQ45" s="1182" t="s">
        <v>1639</v>
      </c>
      <c r="AS45" s="1554" t="s">
        <v>4437</v>
      </c>
      <c r="AT45" s="1554" t="s">
        <v>1820</v>
      </c>
      <c r="AV45" s="1183">
        <v>0</v>
      </c>
      <c r="AW45" s="1183">
        <v>0</v>
      </c>
      <c r="AX45" s="1183">
        <v>0</v>
      </c>
      <c r="AY45" s="1540">
        <v>0</v>
      </c>
      <c r="AZ45" s="1183">
        <v>0</v>
      </c>
      <c r="BA45" s="1183">
        <v>11556</v>
      </c>
      <c r="BB45" s="1540">
        <v>11556</v>
      </c>
      <c r="BC45" s="1540">
        <v>11556</v>
      </c>
      <c r="BD45" s="1540">
        <v>0</v>
      </c>
      <c r="BF45" s="1540">
        <f t="shared" si="21"/>
        <v>0</v>
      </c>
      <c r="BG45" s="1540">
        <f t="shared" si="22"/>
        <v>0</v>
      </c>
      <c r="BH45" s="1540">
        <f t="shared" si="23"/>
        <v>0</v>
      </c>
      <c r="BI45" s="1540">
        <f t="shared" si="24"/>
        <v>0</v>
      </c>
      <c r="BJ45" s="1540">
        <f t="shared" si="25"/>
        <v>0</v>
      </c>
      <c r="BK45" s="1540">
        <f t="shared" si="26"/>
        <v>10505</v>
      </c>
      <c r="BL45" s="1540">
        <f t="shared" si="27"/>
        <v>10505</v>
      </c>
      <c r="BM45" s="1540">
        <f t="shared" si="28"/>
        <v>10505</v>
      </c>
      <c r="BN45" s="1183"/>
      <c r="BO45" s="1182">
        <f t="shared" si="36"/>
        <v>0</v>
      </c>
      <c r="BP45" s="1182">
        <f t="shared" si="37"/>
        <v>0</v>
      </c>
      <c r="BQ45" s="1182">
        <f t="shared" si="38"/>
        <v>0</v>
      </c>
      <c r="BR45" s="1182">
        <f t="shared" si="39"/>
        <v>0</v>
      </c>
      <c r="BS45" s="1182">
        <f t="shared" si="40"/>
        <v>0</v>
      </c>
      <c r="BT45" s="1182">
        <f t="shared" si="41"/>
        <v>0.45454545454595063</v>
      </c>
      <c r="BU45" s="1182">
        <f t="shared" si="42"/>
        <v>0.45454545454595063</v>
      </c>
    </row>
    <row r="46" spans="1:73">
      <c r="A46" s="1182" t="s">
        <v>1803</v>
      </c>
      <c r="B46" s="1182" t="s">
        <v>1804</v>
      </c>
      <c r="C46" s="1182" t="s">
        <v>1639</v>
      </c>
      <c r="D46" s="1182" t="s">
        <v>2590</v>
      </c>
      <c r="E46" s="1182" t="s">
        <v>2591</v>
      </c>
      <c r="F46" s="1182" t="s">
        <v>4507</v>
      </c>
      <c r="G46" s="1182" t="s">
        <v>4507</v>
      </c>
      <c r="H46" s="1188" t="s">
        <v>4508</v>
      </c>
      <c r="I46" s="1182" t="s">
        <v>2933</v>
      </c>
      <c r="J46" s="1182" t="s">
        <v>4513</v>
      </c>
      <c r="K46" s="1182" t="s">
        <v>1811</v>
      </c>
      <c r="L46" s="1182" t="s">
        <v>1812</v>
      </c>
      <c r="M46" s="1182" t="s">
        <v>1803</v>
      </c>
      <c r="N46" s="1182" t="s">
        <v>4453</v>
      </c>
      <c r="O46" s="1182" t="s">
        <v>1654</v>
      </c>
      <c r="P46" s="1182" t="s">
        <v>1653</v>
      </c>
      <c r="Q46" s="1182" t="s">
        <v>1452</v>
      </c>
      <c r="R46" s="1182" t="s">
        <v>1452</v>
      </c>
      <c r="S46" s="1182" t="s">
        <v>1639</v>
      </c>
      <c r="T46" s="1182" t="s">
        <v>4454</v>
      </c>
      <c r="U46" s="1182" t="s">
        <v>4455</v>
      </c>
      <c r="V46" s="1182">
        <v>0</v>
      </c>
      <c r="W46" s="1182">
        <v>0</v>
      </c>
      <c r="X46" s="1182">
        <v>0</v>
      </c>
      <c r="Y46" s="1183">
        <v>10706</v>
      </c>
      <c r="Z46" s="1182" t="s">
        <v>4456</v>
      </c>
      <c r="AA46" s="1182" t="s">
        <v>1452</v>
      </c>
      <c r="AB46" s="1182">
        <v>10706</v>
      </c>
      <c r="AC46" s="1182" t="s">
        <v>4457</v>
      </c>
      <c r="AD46" s="1182" t="s">
        <v>4458</v>
      </c>
      <c r="AE46" s="1182">
        <v>10706</v>
      </c>
      <c r="AF46" s="1182" t="s">
        <v>4437</v>
      </c>
      <c r="AG46" s="1182" t="s">
        <v>1820</v>
      </c>
      <c r="AH46" s="1182">
        <v>973</v>
      </c>
      <c r="AI46" s="1182">
        <v>9733</v>
      </c>
      <c r="AJ46" s="1182" t="s">
        <v>1639</v>
      </c>
      <c r="AL46" s="1186" t="s">
        <v>4514</v>
      </c>
      <c r="AM46" s="1182">
        <v>1</v>
      </c>
      <c r="AN46" s="1182">
        <v>0</v>
      </c>
      <c r="AO46" s="1182">
        <v>0</v>
      </c>
      <c r="AP46" s="1555">
        <v>0</v>
      </c>
      <c r="AQ46" s="1182" t="s">
        <v>1639</v>
      </c>
      <c r="AS46" s="1554" t="s">
        <v>4437</v>
      </c>
      <c r="AT46" s="1554" t="s">
        <v>1820</v>
      </c>
      <c r="AV46" s="1183">
        <v>0</v>
      </c>
      <c r="AW46" s="1183">
        <v>0</v>
      </c>
      <c r="AX46" s="1183">
        <v>0</v>
      </c>
      <c r="AY46" s="1540">
        <v>0</v>
      </c>
      <c r="AZ46" s="1183">
        <v>0</v>
      </c>
      <c r="BA46" s="1183">
        <v>10706</v>
      </c>
      <c r="BB46" s="1540">
        <v>10706</v>
      </c>
      <c r="BC46" s="1540">
        <v>10706</v>
      </c>
      <c r="BD46" s="1540">
        <v>0</v>
      </c>
      <c r="BF46" s="1540">
        <f t="shared" si="21"/>
        <v>0</v>
      </c>
      <c r="BG46" s="1540">
        <f t="shared" si="22"/>
        <v>0</v>
      </c>
      <c r="BH46" s="1540">
        <f t="shared" si="23"/>
        <v>0</v>
      </c>
      <c r="BI46" s="1540">
        <f t="shared" si="24"/>
        <v>0</v>
      </c>
      <c r="BJ46" s="1540">
        <f t="shared" si="25"/>
        <v>0</v>
      </c>
      <c r="BK46" s="1540">
        <f t="shared" si="26"/>
        <v>9733</v>
      </c>
      <c r="BL46" s="1540">
        <f t="shared" si="27"/>
        <v>9733</v>
      </c>
      <c r="BM46" s="1540">
        <f t="shared" si="28"/>
        <v>9733</v>
      </c>
      <c r="BN46" s="1183"/>
      <c r="BO46" s="1182">
        <f t="shared" si="36"/>
        <v>0</v>
      </c>
      <c r="BP46" s="1182">
        <f t="shared" si="37"/>
        <v>0</v>
      </c>
      <c r="BQ46" s="1182">
        <f t="shared" si="38"/>
        <v>0</v>
      </c>
      <c r="BR46" s="1182">
        <f t="shared" si="39"/>
        <v>0</v>
      </c>
      <c r="BS46" s="1182">
        <f t="shared" si="40"/>
        <v>0</v>
      </c>
      <c r="BT46" s="1182">
        <f t="shared" si="41"/>
        <v>-0.27272727272793418</v>
      </c>
      <c r="BU46" s="1182">
        <f t="shared" si="42"/>
        <v>-0.27272727272793418</v>
      </c>
    </row>
    <row r="47" spans="1:73">
      <c r="A47" s="1182" t="s">
        <v>1803</v>
      </c>
      <c r="B47" s="1182" t="s">
        <v>1804</v>
      </c>
      <c r="C47" s="1182" t="s">
        <v>1639</v>
      </c>
      <c r="D47" s="1182" t="s">
        <v>2590</v>
      </c>
      <c r="E47" s="1182" t="s">
        <v>2591</v>
      </c>
      <c r="F47" s="1182" t="s">
        <v>4507</v>
      </c>
      <c r="G47" s="1182" t="s">
        <v>4507</v>
      </c>
      <c r="H47" s="1188" t="s">
        <v>4508</v>
      </c>
      <c r="I47" s="1182" t="s">
        <v>2933</v>
      </c>
      <c r="J47" s="1182" t="s">
        <v>4515</v>
      </c>
      <c r="K47" s="1182" t="s">
        <v>1811</v>
      </c>
      <c r="L47" s="1182" t="s">
        <v>1812</v>
      </c>
      <c r="M47" s="1182" t="s">
        <v>1803</v>
      </c>
      <c r="N47" s="1182" t="s">
        <v>4453</v>
      </c>
      <c r="O47" s="1182" t="s">
        <v>1654</v>
      </c>
      <c r="P47" s="1182" t="s">
        <v>1653</v>
      </c>
      <c r="Q47" s="1182" t="s">
        <v>1452</v>
      </c>
      <c r="R47" s="1182" t="s">
        <v>1452</v>
      </c>
      <c r="S47" s="1182" t="s">
        <v>1639</v>
      </c>
      <c r="T47" s="1182" t="s">
        <v>4454</v>
      </c>
      <c r="U47" s="1182" t="s">
        <v>4455</v>
      </c>
      <c r="V47" s="1182">
        <v>0</v>
      </c>
      <c r="W47" s="1182">
        <v>0</v>
      </c>
      <c r="X47" s="1182">
        <v>0</v>
      </c>
      <c r="Y47" s="1183">
        <v>37</v>
      </c>
      <c r="Z47" s="1182" t="s">
        <v>4456</v>
      </c>
      <c r="AA47" s="1182" t="s">
        <v>1452</v>
      </c>
      <c r="AB47" s="1182">
        <v>37</v>
      </c>
      <c r="AC47" s="1182" t="s">
        <v>4457</v>
      </c>
      <c r="AD47" s="1182" t="s">
        <v>4458</v>
      </c>
      <c r="AE47" s="1182">
        <v>37</v>
      </c>
      <c r="AF47" s="1182" t="s">
        <v>4437</v>
      </c>
      <c r="AG47" s="1182" t="s">
        <v>1820</v>
      </c>
      <c r="AH47" s="1182">
        <v>3</v>
      </c>
      <c r="AI47" s="1182">
        <v>34</v>
      </c>
      <c r="AJ47" s="1182" t="s">
        <v>1639</v>
      </c>
      <c r="AL47" s="1186" t="s">
        <v>4516</v>
      </c>
      <c r="AM47" s="1182">
        <v>1</v>
      </c>
      <c r="AN47" s="1182">
        <v>0</v>
      </c>
      <c r="AO47" s="1182">
        <v>0</v>
      </c>
      <c r="AP47" s="1555">
        <v>0</v>
      </c>
      <c r="AQ47" s="1182" t="s">
        <v>1639</v>
      </c>
      <c r="AS47" s="1554" t="s">
        <v>4437</v>
      </c>
      <c r="AT47" s="1554" t="s">
        <v>1820</v>
      </c>
      <c r="AV47" s="1183">
        <v>0</v>
      </c>
      <c r="AW47" s="1183">
        <v>0</v>
      </c>
      <c r="AX47" s="1183">
        <v>0</v>
      </c>
      <c r="AY47" s="1540">
        <v>0</v>
      </c>
      <c r="AZ47" s="1183">
        <v>0</v>
      </c>
      <c r="BA47" s="1183">
        <v>37</v>
      </c>
      <c r="BB47" s="1540">
        <v>37</v>
      </c>
      <c r="BC47" s="1540">
        <v>37</v>
      </c>
      <c r="BD47" s="1540">
        <v>0</v>
      </c>
      <c r="BF47" s="1540">
        <f t="shared" si="21"/>
        <v>0</v>
      </c>
      <c r="BG47" s="1540">
        <f t="shared" si="22"/>
        <v>0</v>
      </c>
      <c r="BH47" s="1540">
        <f t="shared" si="23"/>
        <v>0</v>
      </c>
      <c r="BI47" s="1540">
        <f t="shared" si="24"/>
        <v>0</v>
      </c>
      <c r="BJ47" s="1540">
        <f t="shared" si="25"/>
        <v>0</v>
      </c>
      <c r="BK47" s="1540">
        <f t="shared" si="26"/>
        <v>34</v>
      </c>
      <c r="BL47" s="1540">
        <f t="shared" si="27"/>
        <v>34</v>
      </c>
      <c r="BM47" s="1540">
        <f t="shared" si="28"/>
        <v>34</v>
      </c>
      <c r="BN47" s="1183"/>
      <c r="BO47" s="1182">
        <f t="shared" si="36"/>
        <v>0</v>
      </c>
      <c r="BP47" s="1182">
        <f t="shared" si="37"/>
        <v>0</v>
      </c>
      <c r="BQ47" s="1182">
        <f t="shared" si="38"/>
        <v>0</v>
      </c>
      <c r="BR47" s="1182">
        <f t="shared" si="39"/>
        <v>0</v>
      </c>
      <c r="BS47" s="1182">
        <f t="shared" si="40"/>
        <v>0</v>
      </c>
      <c r="BT47" s="1182">
        <f t="shared" si="41"/>
        <v>-0.36363636363636687</v>
      </c>
      <c r="BU47" s="1182">
        <f t="shared" si="42"/>
        <v>-0.36363636363636687</v>
      </c>
    </row>
    <row r="48" spans="1:73">
      <c r="A48" s="1182" t="s">
        <v>1803</v>
      </c>
      <c r="B48" s="1182" t="s">
        <v>1804</v>
      </c>
      <c r="C48" s="1182" t="s">
        <v>1639</v>
      </c>
      <c r="D48" s="1182" t="s">
        <v>2590</v>
      </c>
      <c r="E48" s="1182" t="s">
        <v>2591</v>
      </c>
      <c r="F48" s="1182" t="s">
        <v>4507</v>
      </c>
      <c r="G48" s="1182" t="s">
        <v>4507</v>
      </c>
      <c r="H48" s="1188" t="s">
        <v>4508</v>
      </c>
      <c r="I48" s="1182" t="s">
        <v>2933</v>
      </c>
      <c r="J48" s="1182" t="s">
        <v>4517</v>
      </c>
      <c r="K48" s="1182" t="s">
        <v>1811</v>
      </c>
      <c r="L48" s="1182" t="s">
        <v>1812</v>
      </c>
      <c r="M48" s="1182" t="s">
        <v>1803</v>
      </c>
      <c r="N48" s="1182" t="s">
        <v>4453</v>
      </c>
      <c r="O48" s="1182" t="s">
        <v>1654</v>
      </c>
      <c r="P48" s="1182" t="s">
        <v>1653</v>
      </c>
      <c r="Q48" s="1182" t="s">
        <v>1452</v>
      </c>
      <c r="R48" s="1182" t="s">
        <v>1452</v>
      </c>
      <c r="S48" s="1182" t="s">
        <v>1639</v>
      </c>
      <c r="T48" s="1182" t="s">
        <v>4454</v>
      </c>
      <c r="U48" s="1182" t="s">
        <v>4455</v>
      </c>
      <c r="V48" s="1182">
        <v>0</v>
      </c>
      <c r="W48" s="1182">
        <v>0</v>
      </c>
      <c r="X48" s="1182">
        <v>0</v>
      </c>
      <c r="Y48" s="1183">
        <v>21887</v>
      </c>
      <c r="Z48" s="1182" t="s">
        <v>4456</v>
      </c>
      <c r="AA48" s="1182" t="s">
        <v>1452</v>
      </c>
      <c r="AB48" s="1182">
        <v>21887</v>
      </c>
      <c r="AC48" s="1182" t="s">
        <v>4457</v>
      </c>
      <c r="AD48" s="1182" t="s">
        <v>4458</v>
      </c>
      <c r="AE48" s="1182">
        <v>21887</v>
      </c>
      <c r="AF48" s="1182" t="s">
        <v>4437</v>
      </c>
      <c r="AG48" s="1182" t="s">
        <v>1820</v>
      </c>
      <c r="AH48" s="1182">
        <v>1989</v>
      </c>
      <c r="AI48" s="1182">
        <v>19898</v>
      </c>
      <c r="AJ48" s="1182" t="s">
        <v>1639</v>
      </c>
      <c r="AL48" s="1186" t="s">
        <v>4518</v>
      </c>
      <c r="AM48" s="1182">
        <v>1</v>
      </c>
      <c r="AN48" s="1182">
        <v>0</v>
      </c>
      <c r="AO48" s="1182">
        <v>0</v>
      </c>
      <c r="AP48" s="1555">
        <v>0</v>
      </c>
      <c r="AQ48" s="1182" t="s">
        <v>1639</v>
      </c>
      <c r="AS48" s="1554" t="s">
        <v>4437</v>
      </c>
      <c r="AT48" s="1554" t="s">
        <v>1820</v>
      </c>
      <c r="AV48" s="1183">
        <v>0</v>
      </c>
      <c r="AW48" s="1183">
        <v>0</v>
      </c>
      <c r="AX48" s="1183">
        <v>0</v>
      </c>
      <c r="AY48" s="1540">
        <v>0</v>
      </c>
      <c r="AZ48" s="1183">
        <v>0</v>
      </c>
      <c r="BA48" s="1183">
        <v>21887</v>
      </c>
      <c r="BB48" s="1540">
        <v>21887</v>
      </c>
      <c r="BC48" s="1540">
        <v>21887</v>
      </c>
      <c r="BD48" s="1540">
        <v>0</v>
      </c>
      <c r="BF48" s="1540">
        <f t="shared" si="21"/>
        <v>0</v>
      </c>
      <c r="BG48" s="1540">
        <f t="shared" si="22"/>
        <v>0</v>
      </c>
      <c r="BH48" s="1540">
        <f t="shared" si="23"/>
        <v>0</v>
      </c>
      <c r="BI48" s="1540">
        <f t="shared" si="24"/>
        <v>0</v>
      </c>
      <c r="BJ48" s="1540">
        <f t="shared" si="25"/>
        <v>0</v>
      </c>
      <c r="BK48" s="1540">
        <f t="shared" si="26"/>
        <v>19897</v>
      </c>
      <c r="BL48" s="1540">
        <f t="shared" si="27"/>
        <v>19897</v>
      </c>
      <c r="BM48" s="1540">
        <f t="shared" si="28"/>
        <v>19897</v>
      </c>
      <c r="BN48" s="1183"/>
      <c r="BO48" s="1182">
        <f t="shared" si="36"/>
        <v>0</v>
      </c>
      <c r="BP48" s="1182">
        <f t="shared" si="37"/>
        <v>0</v>
      </c>
      <c r="BQ48" s="1182">
        <f t="shared" si="38"/>
        <v>0</v>
      </c>
      <c r="BR48" s="1182">
        <f t="shared" si="39"/>
        <v>0</v>
      </c>
      <c r="BS48" s="1182">
        <f t="shared" si="40"/>
        <v>0</v>
      </c>
      <c r="BT48" s="1182">
        <f t="shared" si="41"/>
        <v>0.27272727272793418</v>
      </c>
      <c r="BU48" s="1182">
        <f t="shared" si="42"/>
        <v>0.27272727272793418</v>
      </c>
    </row>
    <row r="49" spans="1:73">
      <c r="A49" s="1182" t="s">
        <v>1803</v>
      </c>
      <c r="B49" s="1182" t="s">
        <v>1804</v>
      </c>
      <c r="C49" s="1182" t="s">
        <v>1639</v>
      </c>
      <c r="D49" s="1182" t="s">
        <v>2590</v>
      </c>
      <c r="E49" s="1182" t="s">
        <v>2591</v>
      </c>
      <c r="F49" s="1182" t="s">
        <v>4201</v>
      </c>
      <c r="G49" s="1182" t="s">
        <v>4201</v>
      </c>
      <c r="H49" s="1188" t="s">
        <v>4519</v>
      </c>
      <c r="I49" s="1182" t="s">
        <v>2933</v>
      </c>
      <c r="J49" s="1182" t="s">
        <v>4520</v>
      </c>
      <c r="K49" s="1182" t="s">
        <v>1811</v>
      </c>
      <c r="L49" s="1182" t="s">
        <v>1812</v>
      </c>
      <c r="M49" s="1182" t="s">
        <v>1803</v>
      </c>
      <c r="N49" s="1182" t="s">
        <v>4453</v>
      </c>
      <c r="O49" s="1182" t="s">
        <v>1654</v>
      </c>
      <c r="P49" s="1182" t="s">
        <v>1653</v>
      </c>
      <c r="Q49" s="1182" t="s">
        <v>1452</v>
      </c>
      <c r="R49" s="1182" t="s">
        <v>1452</v>
      </c>
      <c r="S49" s="1182" t="s">
        <v>1639</v>
      </c>
      <c r="T49" s="1182" t="s">
        <v>4454</v>
      </c>
      <c r="U49" s="1182" t="s">
        <v>4455</v>
      </c>
      <c r="V49" s="1182">
        <v>0</v>
      </c>
      <c r="W49" s="1182">
        <v>0</v>
      </c>
      <c r="X49" s="1182">
        <v>0</v>
      </c>
      <c r="Y49" s="1183">
        <v>878987</v>
      </c>
      <c r="Z49" s="1182" t="s">
        <v>4456</v>
      </c>
      <c r="AA49" s="1182" t="s">
        <v>1452</v>
      </c>
      <c r="AB49" s="1182">
        <v>878987</v>
      </c>
      <c r="AC49" s="1182" t="s">
        <v>4457</v>
      </c>
      <c r="AD49" s="1182" t="s">
        <v>4458</v>
      </c>
      <c r="AE49" s="1182">
        <v>878987</v>
      </c>
      <c r="AF49" s="1182" t="s">
        <v>4437</v>
      </c>
      <c r="AG49" s="1182" t="s">
        <v>1820</v>
      </c>
      <c r="AH49" s="1182">
        <v>79907</v>
      </c>
      <c r="AI49" s="1182">
        <v>799080</v>
      </c>
      <c r="AJ49" s="1182" t="s">
        <v>1639</v>
      </c>
      <c r="AL49" s="1186" t="s">
        <v>4521</v>
      </c>
      <c r="AM49" s="1182">
        <v>1</v>
      </c>
      <c r="AN49" s="1182">
        <v>0</v>
      </c>
      <c r="AO49" s="1182">
        <v>0</v>
      </c>
      <c r="AP49" s="1555">
        <v>0</v>
      </c>
      <c r="AQ49" s="1182" t="s">
        <v>1639</v>
      </c>
      <c r="AS49" s="1554" t="s">
        <v>4437</v>
      </c>
      <c r="AT49" s="1554" t="s">
        <v>1820</v>
      </c>
      <c r="AV49" s="1183">
        <v>0</v>
      </c>
      <c r="AW49" s="1183">
        <v>0</v>
      </c>
      <c r="AX49" s="1183">
        <v>0</v>
      </c>
      <c r="AY49" s="1540">
        <v>0</v>
      </c>
      <c r="AZ49" s="1183">
        <v>0</v>
      </c>
      <c r="BA49" s="1183">
        <v>878987</v>
      </c>
      <c r="BB49" s="1540">
        <v>878987</v>
      </c>
      <c r="BC49" s="1540">
        <v>878987</v>
      </c>
      <c r="BD49" s="1540">
        <v>0</v>
      </c>
      <c r="BF49" s="1540">
        <f t="shared" si="21"/>
        <v>0</v>
      </c>
      <c r="BG49" s="1540">
        <f t="shared" si="22"/>
        <v>0</v>
      </c>
      <c r="BH49" s="1540">
        <f t="shared" si="23"/>
        <v>0</v>
      </c>
      <c r="BI49" s="1540">
        <f t="shared" si="24"/>
        <v>0</v>
      </c>
      <c r="BJ49" s="1540">
        <f t="shared" si="25"/>
        <v>0</v>
      </c>
      <c r="BK49" s="1540">
        <f t="shared" si="26"/>
        <v>799079</v>
      </c>
      <c r="BL49" s="1540">
        <f t="shared" si="27"/>
        <v>799079</v>
      </c>
      <c r="BM49" s="1540">
        <f t="shared" si="28"/>
        <v>799079</v>
      </c>
      <c r="BN49" s="1183"/>
      <c r="BO49" s="1182">
        <f t="shared" si="36"/>
        <v>0</v>
      </c>
      <c r="BP49" s="1182">
        <f t="shared" si="37"/>
        <v>0</v>
      </c>
      <c r="BQ49" s="1182">
        <f t="shared" si="38"/>
        <v>0</v>
      </c>
      <c r="BR49" s="1182">
        <f t="shared" si="39"/>
        <v>0</v>
      </c>
      <c r="BS49" s="1182">
        <f t="shared" si="40"/>
        <v>0</v>
      </c>
      <c r="BT49" s="1182">
        <f t="shared" si="41"/>
        <v>9.0909090940840542E-2</v>
      </c>
      <c r="BU49" s="1182">
        <f t="shared" si="42"/>
        <v>9.0909090940840542E-2</v>
      </c>
    </row>
    <row r="50" spans="1:73">
      <c r="A50" s="1182" t="s">
        <v>1803</v>
      </c>
      <c r="B50" s="1182" t="s">
        <v>1804</v>
      </c>
      <c r="C50" s="1182" t="s">
        <v>1639</v>
      </c>
      <c r="D50" s="1182" t="s">
        <v>2590</v>
      </c>
      <c r="E50" s="1182" t="s">
        <v>2591</v>
      </c>
      <c r="F50" s="1182" t="s">
        <v>4201</v>
      </c>
      <c r="G50" s="1182" t="s">
        <v>4201</v>
      </c>
      <c r="H50" s="1188" t="s">
        <v>4519</v>
      </c>
      <c r="I50" s="1182" t="s">
        <v>2933</v>
      </c>
      <c r="J50" s="1182" t="s">
        <v>4522</v>
      </c>
      <c r="K50" s="1182" t="s">
        <v>1811</v>
      </c>
      <c r="L50" s="1182" t="s">
        <v>1812</v>
      </c>
      <c r="M50" s="1182" t="s">
        <v>1803</v>
      </c>
      <c r="N50" s="1182" t="s">
        <v>4453</v>
      </c>
      <c r="O50" s="1182" t="s">
        <v>1654</v>
      </c>
      <c r="P50" s="1182" t="s">
        <v>1653</v>
      </c>
      <c r="Q50" s="1182" t="s">
        <v>1452</v>
      </c>
      <c r="R50" s="1182" t="s">
        <v>1452</v>
      </c>
      <c r="S50" s="1182" t="s">
        <v>1639</v>
      </c>
      <c r="T50" s="1182" t="s">
        <v>4454</v>
      </c>
      <c r="U50" s="1182" t="s">
        <v>4455</v>
      </c>
      <c r="V50" s="1182">
        <v>0</v>
      </c>
      <c r="W50" s="1182">
        <v>0</v>
      </c>
      <c r="X50" s="1182">
        <v>0</v>
      </c>
      <c r="Y50" s="1183">
        <v>14357</v>
      </c>
      <c r="Z50" s="1182" t="s">
        <v>4456</v>
      </c>
      <c r="AA50" s="1182" t="s">
        <v>1452</v>
      </c>
      <c r="AB50" s="1182">
        <v>14357</v>
      </c>
      <c r="AC50" s="1182" t="s">
        <v>4457</v>
      </c>
      <c r="AD50" s="1182" t="s">
        <v>4458</v>
      </c>
      <c r="AE50" s="1182">
        <v>14357</v>
      </c>
      <c r="AF50" s="1182" t="s">
        <v>4437</v>
      </c>
      <c r="AG50" s="1182" t="s">
        <v>1820</v>
      </c>
      <c r="AH50" s="1182">
        <v>1305</v>
      </c>
      <c r="AI50" s="1182">
        <v>13052</v>
      </c>
      <c r="AJ50" s="1182" t="s">
        <v>1639</v>
      </c>
      <c r="AL50" s="1186" t="s">
        <v>4523</v>
      </c>
      <c r="AM50" s="1182">
        <v>1</v>
      </c>
      <c r="AN50" s="1182">
        <v>0</v>
      </c>
      <c r="AO50" s="1182">
        <v>0</v>
      </c>
      <c r="AP50" s="1555">
        <v>0</v>
      </c>
      <c r="AQ50" s="1182" t="s">
        <v>1639</v>
      </c>
      <c r="AS50" s="1554" t="s">
        <v>4437</v>
      </c>
      <c r="AT50" s="1554" t="s">
        <v>1820</v>
      </c>
      <c r="AV50" s="1183">
        <v>0</v>
      </c>
      <c r="AW50" s="1183">
        <v>0</v>
      </c>
      <c r="AX50" s="1183">
        <v>0</v>
      </c>
      <c r="AY50" s="1540">
        <v>0</v>
      </c>
      <c r="AZ50" s="1183">
        <v>0</v>
      </c>
      <c r="BA50" s="1183">
        <v>14357</v>
      </c>
      <c r="BB50" s="1540">
        <v>14357</v>
      </c>
      <c r="BC50" s="1540">
        <v>14357</v>
      </c>
      <c r="BD50" s="1540">
        <v>0</v>
      </c>
      <c r="BF50" s="1540">
        <f t="shared" si="21"/>
        <v>0</v>
      </c>
      <c r="BG50" s="1540">
        <f t="shared" si="22"/>
        <v>0</v>
      </c>
      <c r="BH50" s="1540">
        <f t="shared" si="23"/>
        <v>0</v>
      </c>
      <c r="BI50" s="1540">
        <f t="shared" si="24"/>
        <v>0</v>
      </c>
      <c r="BJ50" s="1540">
        <f t="shared" si="25"/>
        <v>0</v>
      </c>
      <c r="BK50" s="1540">
        <f t="shared" si="26"/>
        <v>13052</v>
      </c>
      <c r="BL50" s="1540">
        <f t="shared" si="27"/>
        <v>13052</v>
      </c>
      <c r="BM50" s="1540">
        <f t="shared" si="28"/>
        <v>13052</v>
      </c>
      <c r="BN50" s="1183"/>
      <c r="BO50" s="1182">
        <f t="shared" si="36"/>
        <v>0</v>
      </c>
      <c r="BP50" s="1182">
        <f t="shared" si="37"/>
        <v>0</v>
      </c>
      <c r="BQ50" s="1182">
        <f t="shared" si="38"/>
        <v>0</v>
      </c>
      <c r="BR50" s="1182">
        <f t="shared" si="39"/>
        <v>0</v>
      </c>
      <c r="BS50" s="1182">
        <f t="shared" si="40"/>
        <v>0</v>
      </c>
      <c r="BT50" s="1182">
        <f t="shared" si="41"/>
        <v>-0.18181818181801646</v>
      </c>
      <c r="BU50" s="1182">
        <f t="shared" si="42"/>
        <v>-0.18181818181801646</v>
      </c>
    </row>
    <row r="51" spans="1:73">
      <c r="A51" s="1182" t="s">
        <v>1803</v>
      </c>
      <c r="B51" s="1182" t="s">
        <v>1804</v>
      </c>
      <c r="C51" s="1182" t="s">
        <v>1639</v>
      </c>
      <c r="D51" s="1182" t="s">
        <v>2590</v>
      </c>
      <c r="E51" s="1182" t="s">
        <v>2591</v>
      </c>
      <c r="F51" s="1182" t="s">
        <v>4201</v>
      </c>
      <c r="G51" s="1182" t="s">
        <v>4201</v>
      </c>
      <c r="H51" s="1188" t="s">
        <v>4519</v>
      </c>
      <c r="I51" s="1182" t="s">
        <v>2933</v>
      </c>
      <c r="J51" s="1182" t="s">
        <v>4524</v>
      </c>
      <c r="K51" s="1182" t="s">
        <v>1811</v>
      </c>
      <c r="L51" s="1182" t="s">
        <v>1812</v>
      </c>
      <c r="M51" s="1182" t="s">
        <v>1803</v>
      </c>
      <c r="N51" s="1182" t="s">
        <v>4453</v>
      </c>
      <c r="O51" s="1182" t="s">
        <v>1654</v>
      </c>
      <c r="P51" s="1182" t="s">
        <v>1653</v>
      </c>
      <c r="Q51" s="1182" t="s">
        <v>1452</v>
      </c>
      <c r="R51" s="1182" t="s">
        <v>1452</v>
      </c>
      <c r="S51" s="1182" t="s">
        <v>1639</v>
      </c>
      <c r="T51" s="1182" t="s">
        <v>4454</v>
      </c>
      <c r="U51" s="1182" t="s">
        <v>4455</v>
      </c>
      <c r="V51" s="1182">
        <v>0</v>
      </c>
      <c r="W51" s="1182">
        <v>0</v>
      </c>
      <c r="X51" s="1182">
        <v>0</v>
      </c>
      <c r="Y51" s="1183">
        <v>72017</v>
      </c>
      <c r="Z51" s="1182" t="s">
        <v>4456</v>
      </c>
      <c r="AA51" s="1182" t="s">
        <v>1452</v>
      </c>
      <c r="AB51" s="1182">
        <v>72017</v>
      </c>
      <c r="AC51" s="1182" t="s">
        <v>4457</v>
      </c>
      <c r="AD51" s="1182" t="s">
        <v>4458</v>
      </c>
      <c r="AE51" s="1182">
        <v>72017</v>
      </c>
      <c r="AF51" s="1182" t="s">
        <v>4437</v>
      </c>
      <c r="AG51" s="1182" t="s">
        <v>1820</v>
      </c>
      <c r="AH51" s="1182">
        <v>6547</v>
      </c>
      <c r="AI51" s="1182">
        <v>65470</v>
      </c>
      <c r="AJ51" s="1182" t="s">
        <v>1639</v>
      </c>
      <c r="AL51" s="1186" t="s">
        <v>4525</v>
      </c>
      <c r="AM51" s="1182">
        <v>1</v>
      </c>
      <c r="AN51" s="1182">
        <v>0</v>
      </c>
      <c r="AO51" s="1182">
        <v>0</v>
      </c>
      <c r="AP51" s="1555">
        <v>0</v>
      </c>
      <c r="AQ51" s="1182" t="s">
        <v>1639</v>
      </c>
      <c r="AS51" s="1554" t="s">
        <v>4437</v>
      </c>
      <c r="AT51" s="1554" t="s">
        <v>1820</v>
      </c>
      <c r="AV51" s="1183">
        <v>0</v>
      </c>
      <c r="AW51" s="1183">
        <v>0</v>
      </c>
      <c r="AX51" s="1183">
        <v>0</v>
      </c>
      <c r="AY51" s="1540">
        <v>0</v>
      </c>
      <c r="AZ51" s="1183">
        <v>0</v>
      </c>
      <c r="BA51" s="1183">
        <v>72017</v>
      </c>
      <c r="BB51" s="1540">
        <v>72017</v>
      </c>
      <c r="BC51" s="1540">
        <v>72017</v>
      </c>
      <c r="BD51" s="1540">
        <v>0</v>
      </c>
      <c r="BF51" s="1540">
        <f t="shared" si="21"/>
        <v>0</v>
      </c>
      <c r="BG51" s="1540">
        <f t="shared" si="22"/>
        <v>0</v>
      </c>
      <c r="BH51" s="1540">
        <f t="shared" si="23"/>
        <v>0</v>
      </c>
      <c r="BI51" s="1540">
        <f t="shared" si="24"/>
        <v>0</v>
      </c>
      <c r="BJ51" s="1540">
        <f t="shared" si="25"/>
        <v>0</v>
      </c>
      <c r="BK51" s="1540">
        <f t="shared" si="26"/>
        <v>65470</v>
      </c>
      <c r="BL51" s="1540">
        <f t="shared" si="27"/>
        <v>65470</v>
      </c>
      <c r="BM51" s="1540">
        <f t="shared" si="28"/>
        <v>65470</v>
      </c>
      <c r="BN51" s="1183"/>
      <c r="BO51" s="1182">
        <f t="shared" si="36"/>
        <v>0</v>
      </c>
      <c r="BP51" s="1182">
        <f t="shared" si="37"/>
        <v>0</v>
      </c>
      <c r="BQ51" s="1182">
        <f t="shared" si="38"/>
        <v>0</v>
      </c>
      <c r="BR51" s="1182">
        <f t="shared" si="39"/>
        <v>0</v>
      </c>
      <c r="BS51" s="1182">
        <f t="shared" si="40"/>
        <v>0</v>
      </c>
      <c r="BT51" s="1182">
        <f t="shared" si="41"/>
        <v>0</v>
      </c>
      <c r="BU51" s="1182">
        <f t="shared" si="42"/>
        <v>0</v>
      </c>
    </row>
    <row r="52" spans="1:73">
      <c r="A52" s="1182" t="s">
        <v>1803</v>
      </c>
      <c r="B52" s="1182" t="s">
        <v>1804</v>
      </c>
      <c r="C52" s="1182" t="s">
        <v>1639</v>
      </c>
      <c r="D52" s="1182" t="s">
        <v>2590</v>
      </c>
      <c r="E52" s="1182" t="s">
        <v>2591</v>
      </c>
      <c r="F52" s="1182" t="s">
        <v>4201</v>
      </c>
      <c r="G52" s="1182" t="s">
        <v>4201</v>
      </c>
      <c r="H52" s="1188" t="s">
        <v>4519</v>
      </c>
      <c r="I52" s="1182" t="s">
        <v>2933</v>
      </c>
      <c r="J52" s="1182" t="s">
        <v>4526</v>
      </c>
      <c r="K52" s="1182" t="s">
        <v>1811</v>
      </c>
      <c r="L52" s="1182" t="s">
        <v>1812</v>
      </c>
      <c r="M52" s="1182" t="s">
        <v>1803</v>
      </c>
      <c r="N52" s="1182" t="s">
        <v>4453</v>
      </c>
      <c r="O52" s="1182" t="s">
        <v>1654</v>
      </c>
      <c r="P52" s="1182" t="s">
        <v>1653</v>
      </c>
      <c r="Q52" s="1182" t="s">
        <v>1452</v>
      </c>
      <c r="R52" s="1182" t="s">
        <v>1452</v>
      </c>
      <c r="S52" s="1182" t="s">
        <v>1639</v>
      </c>
      <c r="T52" s="1182" t="s">
        <v>4454</v>
      </c>
      <c r="U52" s="1182" t="s">
        <v>4455</v>
      </c>
      <c r="V52" s="1182">
        <v>0</v>
      </c>
      <c r="W52" s="1182">
        <v>0</v>
      </c>
      <c r="X52" s="1182">
        <v>0</v>
      </c>
      <c r="Y52" s="1183">
        <v>47795</v>
      </c>
      <c r="Z52" s="1182" t="s">
        <v>4456</v>
      </c>
      <c r="AA52" s="1182" t="s">
        <v>1452</v>
      </c>
      <c r="AB52" s="1182">
        <v>47795</v>
      </c>
      <c r="AC52" s="1182" t="s">
        <v>4457</v>
      </c>
      <c r="AD52" s="1182" t="s">
        <v>4458</v>
      </c>
      <c r="AE52" s="1182">
        <v>47795</v>
      </c>
      <c r="AF52" s="1182" t="s">
        <v>4437</v>
      </c>
      <c r="AG52" s="1182" t="s">
        <v>1820</v>
      </c>
      <c r="AH52" s="1182">
        <v>4345</v>
      </c>
      <c r="AI52" s="1182">
        <v>43450</v>
      </c>
      <c r="AJ52" s="1182" t="s">
        <v>1639</v>
      </c>
      <c r="AL52" s="1186" t="s">
        <v>4527</v>
      </c>
      <c r="AM52" s="1182">
        <v>1</v>
      </c>
      <c r="AN52" s="1182">
        <v>0</v>
      </c>
      <c r="AO52" s="1182">
        <v>0</v>
      </c>
      <c r="AP52" s="1555">
        <v>0</v>
      </c>
      <c r="AQ52" s="1182" t="s">
        <v>1639</v>
      </c>
      <c r="AS52" s="1554" t="s">
        <v>4437</v>
      </c>
      <c r="AT52" s="1554" t="s">
        <v>1820</v>
      </c>
      <c r="AV52" s="1183">
        <v>0</v>
      </c>
      <c r="AW52" s="1183">
        <v>0</v>
      </c>
      <c r="AX52" s="1183">
        <v>0</v>
      </c>
      <c r="AY52" s="1540">
        <v>0</v>
      </c>
      <c r="AZ52" s="1183">
        <v>0</v>
      </c>
      <c r="BA52" s="1183">
        <v>47795</v>
      </c>
      <c r="BB52" s="1540">
        <v>47795</v>
      </c>
      <c r="BC52" s="1540">
        <v>47795</v>
      </c>
      <c r="BD52" s="1540">
        <v>0</v>
      </c>
      <c r="BF52" s="1540">
        <f t="shared" si="21"/>
        <v>0</v>
      </c>
      <c r="BG52" s="1540">
        <f t="shared" si="22"/>
        <v>0</v>
      </c>
      <c r="BH52" s="1540">
        <f t="shared" si="23"/>
        <v>0</v>
      </c>
      <c r="BI52" s="1540">
        <f t="shared" si="24"/>
        <v>0</v>
      </c>
      <c r="BJ52" s="1540">
        <f t="shared" si="25"/>
        <v>0</v>
      </c>
      <c r="BK52" s="1540">
        <f t="shared" si="26"/>
        <v>43450</v>
      </c>
      <c r="BL52" s="1540">
        <f t="shared" si="27"/>
        <v>43450</v>
      </c>
      <c r="BM52" s="1540">
        <f t="shared" si="28"/>
        <v>43450</v>
      </c>
      <c r="BN52" s="1183"/>
      <c r="BO52" s="1182">
        <f t="shared" si="36"/>
        <v>0</v>
      </c>
      <c r="BP52" s="1182">
        <f t="shared" si="37"/>
        <v>0</v>
      </c>
      <c r="BQ52" s="1182">
        <f t="shared" si="38"/>
        <v>0</v>
      </c>
      <c r="BR52" s="1182">
        <f t="shared" si="39"/>
        <v>0</v>
      </c>
      <c r="BS52" s="1182">
        <f t="shared" si="40"/>
        <v>0</v>
      </c>
      <c r="BT52" s="1182">
        <f t="shared" si="41"/>
        <v>0</v>
      </c>
      <c r="BU52" s="1182">
        <f t="shared" si="42"/>
        <v>0</v>
      </c>
    </row>
    <row r="53" spans="1:73">
      <c r="A53" s="1182" t="s">
        <v>1803</v>
      </c>
      <c r="B53" s="1182" t="s">
        <v>1804</v>
      </c>
      <c r="C53" s="1182" t="s">
        <v>1639</v>
      </c>
      <c r="D53" s="1182" t="s">
        <v>2590</v>
      </c>
      <c r="E53" s="1182" t="s">
        <v>2591</v>
      </c>
      <c r="F53" s="1182" t="s">
        <v>4201</v>
      </c>
      <c r="G53" s="1182" t="s">
        <v>4201</v>
      </c>
      <c r="H53" s="1188" t="s">
        <v>4519</v>
      </c>
      <c r="I53" s="1182" t="s">
        <v>2933</v>
      </c>
      <c r="J53" s="1182" t="s">
        <v>4528</v>
      </c>
      <c r="K53" s="1182" t="s">
        <v>1811</v>
      </c>
      <c r="L53" s="1182" t="s">
        <v>1812</v>
      </c>
      <c r="M53" s="1182" t="s">
        <v>1803</v>
      </c>
      <c r="N53" s="1182" t="s">
        <v>4453</v>
      </c>
      <c r="O53" s="1182" t="s">
        <v>1654</v>
      </c>
      <c r="P53" s="1182" t="s">
        <v>1653</v>
      </c>
      <c r="Q53" s="1182" t="s">
        <v>1452</v>
      </c>
      <c r="R53" s="1182" t="s">
        <v>1452</v>
      </c>
      <c r="S53" s="1182" t="s">
        <v>1639</v>
      </c>
      <c r="T53" s="1182" t="s">
        <v>4454</v>
      </c>
      <c r="U53" s="1182" t="s">
        <v>4455</v>
      </c>
      <c r="V53" s="1182">
        <v>0</v>
      </c>
      <c r="W53" s="1182">
        <v>0</v>
      </c>
      <c r="X53" s="1182">
        <v>0</v>
      </c>
      <c r="Y53" s="1183">
        <v>5553</v>
      </c>
      <c r="Z53" s="1182" t="s">
        <v>4456</v>
      </c>
      <c r="AA53" s="1182" t="s">
        <v>1452</v>
      </c>
      <c r="AB53" s="1182">
        <v>5553</v>
      </c>
      <c r="AC53" s="1182" t="s">
        <v>4457</v>
      </c>
      <c r="AD53" s="1182" t="s">
        <v>4458</v>
      </c>
      <c r="AE53" s="1182">
        <v>5553</v>
      </c>
      <c r="AF53" s="1182" t="s">
        <v>4437</v>
      </c>
      <c r="AG53" s="1182" t="s">
        <v>1820</v>
      </c>
      <c r="AH53" s="1182">
        <v>504</v>
      </c>
      <c r="AI53" s="1182">
        <v>5049</v>
      </c>
      <c r="AJ53" s="1182" t="s">
        <v>1639</v>
      </c>
      <c r="AL53" s="1186" t="s">
        <v>4529</v>
      </c>
      <c r="AM53" s="1182">
        <v>1</v>
      </c>
      <c r="AN53" s="1182">
        <v>0</v>
      </c>
      <c r="AO53" s="1182">
        <v>0</v>
      </c>
      <c r="AP53" s="1555">
        <v>0</v>
      </c>
      <c r="AQ53" s="1182" t="s">
        <v>1639</v>
      </c>
      <c r="AS53" s="1554" t="s">
        <v>4437</v>
      </c>
      <c r="AT53" s="1554" t="s">
        <v>1820</v>
      </c>
      <c r="AV53" s="1183">
        <v>0</v>
      </c>
      <c r="AW53" s="1183">
        <v>0</v>
      </c>
      <c r="AX53" s="1183">
        <v>0</v>
      </c>
      <c r="AY53" s="1540">
        <v>0</v>
      </c>
      <c r="AZ53" s="1183">
        <v>0</v>
      </c>
      <c r="BA53" s="1183">
        <v>5553</v>
      </c>
      <c r="BB53" s="1540">
        <v>5553</v>
      </c>
      <c r="BC53" s="1540">
        <v>5553</v>
      </c>
      <c r="BD53" s="1540">
        <v>0</v>
      </c>
      <c r="BF53" s="1540">
        <f t="shared" si="21"/>
        <v>0</v>
      </c>
      <c r="BG53" s="1540">
        <f t="shared" si="22"/>
        <v>0</v>
      </c>
      <c r="BH53" s="1540">
        <f t="shared" si="23"/>
        <v>0</v>
      </c>
      <c r="BI53" s="1540">
        <f t="shared" si="24"/>
        <v>0</v>
      </c>
      <c r="BJ53" s="1540">
        <f t="shared" si="25"/>
        <v>0</v>
      </c>
      <c r="BK53" s="1540">
        <f t="shared" si="26"/>
        <v>5048</v>
      </c>
      <c r="BL53" s="1540">
        <f t="shared" si="27"/>
        <v>5048</v>
      </c>
      <c r="BM53" s="1540">
        <f t="shared" si="28"/>
        <v>5048</v>
      </c>
      <c r="BN53" s="1183"/>
      <c r="BO53" s="1182">
        <f t="shared" si="36"/>
        <v>0</v>
      </c>
      <c r="BP53" s="1182">
        <f t="shared" si="37"/>
        <v>0</v>
      </c>
      <c r="BQ53" s="1182">
        <f t="shared" si="38"/>
        <v>0</v>
      </c>
      <c r="BR53" s="1182">
        <f t="shared" si="39"/>
        <v>0</v>
      </c>
      <c r="BS53" s="1182">
        <f t="shared" si="40"/>
        <v>0</v>
      </c>
      <c r="BT53" s="1182">
        <f t="shared" si="41"/>
        <v>0.18181818181801646</v>
      </c>
      <c r="BU53" s="1182">
        <f t="shared" si="42"/>
        <v>0.18181818181801646</v>
      </c>
    </row>
    <row r="54" spans="1:73">
      <c r="A54" s="1182" t="s">
        <v>1803</v>
      </c>
      <c r="B54" s="1182" t="s">
        <v>1804</v>
      </c>
      <c r="C54" s="1182" t="s">
        <v>1639</v>
      </c>
      <c r="D54" s="1182" t="s">
        <v>2590</v>
      </c>
      <c r="E54" s="1182" t="s">
        <v>2591</v>
      </c>
      <c r="F54" s="1182" t="s">
        <v>2912</v>
      </c>
      <c r="G54" s="1182" t="s">
        <v>2912</v>
      </c>
      <c r="H54" s="1188" t="s">
        <v>4530</v>
      </c>
      <c r="I54" s="1182" t="s">
        <v>2933</v>
      </c>
      <c r="J54" s="1182" t="s">
        <v>4531</v>
      </c>
      <c r="K54" s="1182" t="s">
        <v>1811</v>
      </c>
      <c r="L54" s="1182" t="s">
        <v>1812</v>
      </c>
      <c r="M54" s="1182" t="s">
        <v>1803</v>
      </c>
      <c r="N54" s="1182" t="s">
        <v>4453</v>
      </c>
      <c r="O54" s="1182" t="s">
        <v>1654</v>
      </c>
      <c r="P54" s="1182" t="s">
        <v>1653</v>
      </c>
      <c r="Q54" s="1182" t="s">
        <v>1452</v>
      </c>
      <c r="R54" s="1182" t="s">
        <v>1452</v>
      </c>
      <c r="S54" s="1182" t="s">
        <v>1639</v>
      </c>
      <c r="T54" s="1182" t="s">
        <v>4454</v>
      </c>
      <c r="U54" s="1182" t="s">
        <v>4455</v>
      </c>
      <c r="V54" s="1182">
        <v>0</v>
      </c>
      <c r="W54" s="1182">
        <v>0</v>
      </c>
      <c r="X54" s="1182">
        <v>0</v>
      </c>
      <c r="Y54" s="1183">
        <v>33450</v>
      </c>
      <c r="Z54" s="1182" t="s">
        <v>4456</v>
      </c>
      <c r="AA54" s="1182" t="s">
        <v>1452</v>
      </c>
      <c r="AB54" s="1182">
        <v>33450</v>
      </c>
      <c r="AC54" s="1182" t="s">
        <v>4457</v>
      </c>
      <c r="AD54" s="1182" t="s">
        <v>4458</v>
      </c>
      <c r="AE54" s="1182">
        <v>33450</v>
      </c>
      <c r="AF54" s="1182" t="s">
        <v>4437</v>
      </c>
      <c r="AG54" s="1182" t="s">
        <v>1820</v>
      </c>
      <c r="AH54" s="1182">
        <v>3040</v>
      </c>
      <c r="AI54" s="1182">
        <v>30410</v>
      </c>
      <c r="AJ54" s="1182" t="s">
        <v>1639</v>
      </c>
      <c r="AL54" s="1186" t="s">
        <v>4532</v>
      </c>
      <c r="AM54" s="1182">
        <v>1</v>
      </c>
      <c r="AN54" s="1182">
        <v>0</v>
      </c>
      <c r="AO54" s="1182">
        <v>0</v>
      </c>
      <c r="AP54" s="1555">
        <v>0</v>
      </c>
      <c r="AQ54" s="1182" t="s">
        <v>1639</v>
      </c>
      <c r="AS54" s="1554" t="s">
        <v>4437</v>
      </c>
      <c r="AT54" s="1554" t="s">
        <v>1820</v>
      </c>
      <c r="AV54" s="1183">
        <v>0</v>
      </c>
      <c r="AW54" s="1183">
        <v>0</v>
      </c>
      <c r="AX54" s="1183">
        <v>0</v>
      </c>
      <c r="AY54" s="1540">
        <v>0</v>
      </c>
      <c r="AZ54" s="1183">
        <v>0</v>
      </c>
      <c r="BA54" s="1183">
        <v>33450</v>
      </c>
      <c r="BB54" s="1540">
        <v>33450</v>
      </c>
      <c r="BC54" s="1540">
        <v>33450</v>
      </c>
      <c r="BD54" s="1540">
        <v>0</v>
      </c>
      <c r="BF54" s="1540">
        <f t="shared" si="21"/>
        <v>0</v>
      </c>
      <c r="BG54" s="1540">
        <f t="shared" si="22"/>
        <v>0</v>
      </c>
      <c r="BH54" s="1540">
        <f t="shared" si="23"/>
        <v>0</v>
      </c>
      <c r="BI54" s="1540">
        <f t="shared" si="24"/>
        <v>0</v>
      </c>
      <c r="BJ54" s="1540">
        <f t="shared" si="25"/>
        <v>0</v>
      </c>
      <c r="BK54" s="1540">
        <f t="shared" si="26"/>
        <v>30409</v>
      </c>
      <c r="BL54" s="1540">
        <f t="shared" si="27"/>
        <v>30409</v>
      </c>
      <c r="BM54" s="1540">
        <f t="shared" si="28"/>
        <v>30409</v>
      </c>
      <c r="BN54" s="1183"/>
      <c r="BO54" s="1182">
        <f t="shared" si="36"/>
        <v>0</v>
      </c>
      <c r="BP54" s="1182">
        <f t="shared" si="37"/>
        <v>0</v>
      </c>
      <c r="BQ54" s="1182">
        <f t="shared" si="38"/>
        <v>0</v>
      </c>
      <c r="BR54" s="1182">
        <f t="shared" si="39"/>
        <v>0</v>
      </c>
      <c r="BS54" s="1182">
        <f t="shared" si="40"/>
        <v>0</v>
      </c>
      <c r="BT54" s="1182">
        <f t="shared" si="41"/>
        <v>9.0909090908098733E-2</v>
      </c>
      <c r="BU54" s="1182">
        <f t="shared" si="42"/>
        <v>9.0909090908098733E-2</v>
      </c>
    </row>
    <row r="55" spans="1:73">
      <c r="A55" s="1182" t="s">
        <v>1803</v>
      </c>
      <c r="B55" s="1182" t="s">
        <v>1804</v>
      </c>
      <c r="C55" s="1182" t="s">
        <v>1639</v>
      </c>
      <c r="D55" s="1182" t="s">
        <v>2590</v>
      </c>
      <c r="E55" s="1182" t="s">
        <v>2591</v>
      </c>
      <c r="F55" s="1182" t="s">
        <v>2912</v>
      </c>
      <c r="G55" s="1182" t="s">
        <v>2912</v>
      </c>
      <c r="H55" s="1188" t="s">
        <v>4530</v>
      </c>
      <c r="I55" s="1182" t="s">
        <v>2933</v>
      </c>
      <c r="J55" s="1182" t="s">
        <v>4533</v>
      </c>
      <c r="K55" s="1182" t="s">
        <v>1811</v>
      </c>
      <c r="L55" s="1182" t="s">
        <v>1812</v>
      </c>
      <c r="M55" s="1182" t="s">
        <v>1803</v>
      </c>
      <c r="N55" s="1182" t="s">
        <v>4453</v>
      </c>
      <c r="O55" s="1182" t="s">
        <v>1654</v>
      </c>
      <c r="P55" s="1182" t="s">
        <v>1653</v>
      </c>
      <c r="Q55" s="1182" t="s">
        <v>1452</v>
      </c>
      <c r="R55" s="1182" t="s">
        <v>1452</v>
      </c>
      <c r="S55" s="1182" t="s">
        <v>1639</v>
      </c>
      <c r="T55" s="1182" t="s">
        <v>4454</v>
      </c>
      <c r="U55" s="1182" t="s">
        <v>4455</v>
      </c>
      <c r="V55" s="1182">
        <v>0</v>
      </c>
      <c r="W55" s="1182">
        <v>0</v>
      </c>
      <c r="X55" s="1182">
        <v>0</v>
      </c>
      <c r="Y55" s="1183">
        <v>3784</v>
      </c>
      <c r="Z55" s="1182" t="s">
        <v>4456</v>
      </c>
      <c r="AA55" s="1182" t="s">
        <v>1452</v>
      </c>
      <c r="AB55" s="1182">
        <v>3784</v>
      </c>
      <c r="AC55" s="1182" t="s">
        <v>4457</v>
      </c>
      <c r="AD55" s="1182" t="s">
        <v>4458</v>
      </c>
      <c r="AE55" s="1182">
        <v>3784</v>
      </c>
      <c r="AF55" s="1182" t="s">
        <v>4437</v>
      </c>
      <c r="AG55" s="1182" t="s">
        <v>1820</v>
      </c>
      <c r="AH55" s="1182">
        <v>344</v>
      </c>
      <c r="AI55" s="1182">
        <v>3440</v>
      </c>
      <c r="AJ55" s="1182" t="s">
        <v>1639</v>
      </c>
      <c r="AL55" s="1186" t="s">
        <v>4534</v>
      </c>
      <c r="AM55" s="1182">
        <v>1</v>
      </c>
      <c r="AN55" s="1182">
        <v>0</v>
      </c>
      <c r="AO55" s="1182">
        <v>0</v>
      </c>
      <c r="AP55" s="1555">
        <v>0</v>
      </c>
      <c r="AQ55" s="1182" t="s">
        <v>1639</v>
      </c>
      <c r="AS55" s="1554" t="s">
        <v>4437</v>
      </c>
      <c r="AT55" s="1554" t="s">
        <v>1820</v>
      </c>
      <c r="AV55" s="1183">
        <v>0</v>
      </c>
      <c r="AW55" s="1183">
        <v>0</v>
      </c>
      <c r="AX55" s="1183">
        <v>0</v>
      </c>
      <c r="AY55" s="1540">
        <v>0</v>
      </c>
      <c r="AZ55" s="1183">
        <v>0</v>
      </c>
      <c r="BA55" s="1183">
        <v>3784</v>
      </c>
      <c r="BB55" s="1540">
        <v>3784</v>
      </c>
      <c r="BC55" s="1540">
        <v>3784</v>
      </c>
      <c r="BD55" s="1540">
        <v>0</v>
      </c>
      <c r="BF55" s="1540">
        <f t="shared" si="21"/>
        <v>0</v>
      </c>
      <c r="BG55" s="1540">
        <f t="shared" si="22"/>
        <v>0</v>
      </c>
      <c r="BH55" s="1540">
        <f t="shared" si="23"/>
        <v>0</v>
      </c>
      <c r="BI55" s="1540">
        <f t="shared" si="24"/>
        <v>0</v>
      </c>
      <c r="BJ55" s="1540">
        <f t="shared" si="25"/>
        <v>0</v>
      </c>
      <c r="BK55" s="1540">
        <f t="shared" si="26"/>
        <v>3440</v>
      </c>
      <c r="BL55" s="1540">
        <f t="shared" si="27"/>
        <v>3440</v>
      </c>
      <c r="BM55" s="1540">
        <f t="shared" si="28"/>
        <v>3440</v>
      </c>
      <c r="BN55" s="1183"/>
      <c r="BO55" s="1182">
        <f t="shared" si="36"/>
        <v>0</v>
      </c>
      <c r="BP55" s="1182">
        <f t="shared" si="37"/>
        <v>0</v>
      </c>
      <c r="BQ55" s="1182">
        <f t="shared" si="38"/>
        <v>0</v>
      </c>
      <c r="BR55" s="1182">
        <f t="shared" si="39"/>
        <v>0</v>
      </c>
      <c r="BS55" s="1182">
        <f t="shared" si="40"/>
        <v>0</v>
      </c>
      <c r="BT55" s="1182">
        <f t="shared" si="41"/>
        <v>0</v>
      </c>
      <c r="BU55" s="1182">
        <f t="shared" si="42"/>
        <v>0</v>
      </c>
    </row>
    <row r="56" spans="1:73">
      <c r="A56" s="1182" t="s">
        <v>1803</v>
      </c>
      <c r="B56" s="1182" t="s">
        <v>1804</v>
      </c>
      <c r="C56" s="1182" t="s">
        <v>1639</v>
      </c>
      <c r="D56" s="1182" t="s">
        <v>2590</v>
      </c>
      <c r="E56" s="1182" t="s">
        <v>2591</v>
      </c>
      <c r="F56" s="1182" t="s">
        <v>2912</v>
      </c>
      <c r="G56" s="1182" t="s">
        <v>2912</v>
      </c>
      <c r="H56" s="1188" t="s">
        <v>4530</v>
      </c>
      <c r="I56" s="1182" t="s">
        <v>2933</v>
      </c>
      <c r="J56" s="1182" t="s">
        <v>4535</v>
      </c>
      <c r="K56" s="1182" t="s">
        <v>1811</v>
      </c>
      <c r="L56" s="1182" t="s">
        <v>1812</v>
      </c>
      <c r="M56" s="1182" t="s">
        <v>1803</v>
      </c>
      <c r="N56" s="1182" t="s">
        <v>4453</v>
      </c>
      <c r="O56" s="1182" t="s">
        <v>1654</v>
      </c>
      <c r="P56" s="1182" t="s">
        <v>1653</v>
      </c>
      <c r="Q56" s="1182" t="s">
        <v>1452</v>
      </c>
      <c r="R56" s="1182" t="s">
        <v>1452</v>
      </c>
      <c r="S56" s="1182" t="s">
        <v>1639</v>
      </c>
      <c r="T56" s="1182" t="s">
        <v>4454</v>
      </c>
      <c r="U56" s="1182" t="s">
        <v>4455</v>
      </c>
      <c r="V56" s="1182">
        <v>0</v>
      </c>
      <c r="W56" s="1182">
        <v>0</v>
      </c>
      <c r="X56" s="1182">
        <v>0</v>
      </c>
      <c r="Y56" s="1183">
        <v>8492</v>
      </c>
      <c r="Z56" s="1182" t="s">
        <v>4456</v>
      </c>
      <c r="AA56" s="1182" t="s">
        <v>1452</v>
      </c>
      <c r="AB56" s="1182">
        <v>8492</v>
      </c>
      <c r="AC56" s="1182" t="s">
        <v>4457</v>
      </c>
      <c r="AD56" s="1182" t="s">
        <v>4458</v>
      </c>
      <c r="AE56" s="1182">
        <v>8492</v>
      </c>
      <c r="AF56" s="1182" t="s">
        <v>4437</v>
      </c>
      <c r="AG56" s="1182" t="s">
        <v>1820</v>
      </c>
      <c r="AH56" s="1182">
        <v>772</v>
      </c>
      <c r="AI56" s="1182">
        <v>7720</v>
      </c>
      <c r="AJ56" s="1182" t="s">
        <v>1639</v>
      </c>
      <c r="AL56" s="1186" t="s">
        <v>4536</v>
      </c>
      <c r="AM56" s="1182">
        <v>1</v>
      </c>
      <c r="AN56" s="1182">
        <v>0</v>
      </c>
      <c r="AO56" s="1182">
        <v>0</v>
      </c>
      <c r="AP56" s="1555">
        <v>0</v>
      </c>
      <c r="AQ56" s="1182" t="s">
        <v>1639</v>
      </c>
      <c r="AS56" s="1554" t="s">
        <v>4437</v>
      </c>
      <c r="AT56" s="1554" t="s">
        <v>1820</v>
      </c>
      <c r="AV56" s="1183">
        <v>0</v>
      </c>
      <c r="AW56" s="1183">
        <v>0</v>
      </c>
      <c r="AX56" s="1183">
        <v>0</v>
      </c>
      <c r="AY56" s="1540">
        <v>0</v>
      </c>
      <c r="AZ56" s="1183">
        <v>0</v>
      </c>
      <c r="BA56" s="1183">
        <v>8492</v>
      </c>
      <c r="BB56" s="1540">
        <v>8492</v>
      </c>
      <c r="BC56" s="1540">
        <v>8492</v>
      </c>
      <c r="BD56" s="1540">
        <v>0</v>
      </c>
      <c r="BF56" s="1540">
        <f t="shared" si="21"/>
        <v>0</v>
      </c>
      <c r="BG56" s="1540">
        <f t="shared" si="22"/>
        <v>0</v>
      </c>
      <c r="BH56" s="1540">
        <f t="shared" si="23"/>
        <v>0</v>
      </c>
      <c r="BI56" s="1540">
        <f t="shared" si="24"/>
        <v>0</v>
      </c>
      <c r="BJ56" s="1540">
        <f t="shared" si="25"/>
        <v>0</v>
      </c>
      <c r="BK56" s="1540">
        <f t="shared" si="26"/>
        <v>7720</v>
      </c>
      <c r="BL56" s="1540">
        <f t="shared" si="27"/>
        <v>7720</v>
      </c>
      <c r="BM56" s="1540">
        <f t="shared" si="28"/>
        <v>7720</v>
      </c>
      <c r="BN56" s="1183"/>
      <c r="BO56" s="1182">
        <f t="shared" si="36"/>
        <v>0</v>
      </c>
      <c r="BP56" s="1182">
        <f t="shared" si="37"/>
        <v>0</v>
      </c>
      <c r="BQ56" s="1182">
        <f t="shared" si="38"/>
        <v>0</v>
      </c>
      <c r="BR56" s="1182">
        <f t="shared" si="39"/>
        <v>0</v>
      </c>
      <c r="BS56" s="1182">
        <f t="shared" si="40"/>
        <v>0</v>
      </c>
      <c r="BT56" s="1182">
        <f t="shared" si="41"/>
        <v>0</v>
      </c>
      <c r="BU56" s="1182">
        <f t="shared" si="42"/>
        <v>0</v>
      </c>
    </row>
    <row r="57" spans="1:73">
      <c r="A57" s="1182" t="s">
        <v>1803</v>
      </c>
      <c r="B57" s="1182" t="s">
        <v>1804</v>
      </c>
      <c r="C57" s="1182" t="s">
        <v>1639</v>
      </c>
      <c r="D57" s="1182" t="s">
        <v>2590</v>
      </c>
      <c r="E57" s="1182" t="s">
        <v>2591</v>
      </c>
      <c r="F57" s="1182" t="s">
        <v>2912</v>
      </c>
      <c r="G57" s="1182" t="s">
        <v>2912</v>
      </c>
      <c r="H57" s="1188" t="s">
        <v>4530</v>
      </c>
      <c r="I57" s="1182" t="s">
        <v>2933</v>
      </c>
      <c r="J57" s="1182" t="s">
        <v>4537</v>
      </c>
      <c r="K57" s="1182" t="s">
        <v>1811</v>
      </c>
      <c r="L57" s="1182" t="s">
        <v>1812</v>
      </c>
      <c r="M57" s="1182" t="s">
        <v>1803</v>
      </c>
      <c r="N57" s="1182" t="s">
        <v>4453</v>
      </c>
      <c r="O57" s="1182" t="s">
        <v>1654</v>
      </c>
      <c r="P57" s="1182" t="s">
        <v>1653</v>
      </c>
      <c r="Q57" s="1182" t="s">
        <v>1452</v>
      </c>
      <c r="R57" s="1182" t="s">
        <v>1452</v>
      </c>
      <c r="S57" s="1182" t="s">
        <v>1639</v>
      </c>
      <c r="T57" s="1182" t="s">
        <v>4454</v>
      </c>
      <c r="U57" s="1182" t="s">
        <v>4455</v>
      </c>
      <c r="V57" s="1182">
        <v>0</v>
      </c>
      <c r="W57" s="1182">
        <v>0</v>
      </c>
      <c r="X57" s="1182">
        <v>0</v>
      </c>
      <c r="Y57" s="1183">
        <v>393</v>
      </c>
      <c r="Z57" s="1182" t="s">
        <v>4456</v>
      </c>
      <c r="AA57" s="1182" t="s">
        <v>1452</v>
      </c>
      <c r="AB57" s="1182">
        <v>393</v>
      </c>
      <c r="AC57" s="1182" t="s">
        <v>4457</v>
      </c>
      <c r="AD57" s="1182" t="s">
        <v>4458</v>
      </c>
      <c r="AE57" s="1182">
        <v>393</v>
      </c>
      <c r="AF57" s="1182" t="s">
        <v>4437</v>
      </c>
      <c r="AG57" s="1182" t="s">
        <v>1820</v>
      </c>
      <c r="AH57" s="1182">
        <v>35</v>
      </c>
      <c r="AI57" s="1182">
        <v>358</v>
      </c>
      <c r="AJ57" s="1182" t="s">
        <v>1639</v>
      </c>
      <c r="AL57" s="1186" t="s">
        <v>4538</v>
      </c>
      <c r="AM57" s="1182">
        <v>1</v>
      </c>
      <c r="AN57" s="1182">
        <v>0</v>
      </c>
      <c r="AO57" s="1182">
        <v>0</v>
      </c>
      <c r="AP57" s="1555">
        <v>0</v>
      </c>
      <c r="AQ57" s="1182" t="s">
        <v>1639</v>
      </c>
      <c r="AS57" s="1554" t="s">
        <v>4437</v>
      </c>
      <c r="AT57" s="1554" t="s">
        <v>1820</v>
      </c>
      <c r="AV57" s="1183">
        <v>0</v>
      </c>
      <c r="AW57" s="1183">
        <v>0</v>
      </c>
      <c r="AX57" s="1183">
        <v>0</v>
      </c>
      <c r="AY57" s="1540">
        <v>0</v>
      </c>
      <c r="AZ57" s="1183">
        <v>0</v>
      </c>
      <c r="BA57" s="1183">
        <v>393</v>
      </c>
      <c r="BB57" s="1540">
        <v>393</v>
      </c>
      <c r="BC57" s="1540">
        <v>393</v>
      </c>
      <c r="BD57" s="1540">
        <v>0</v>
      </c>
      <c r="BF57" s="1540">
        <f t="shared" si="21"/>
        <v>0</v>
      </c>
      <c r="BG57" s="1540">
        <f t="shared" si="22"/>
        <v>0</v>
      </c>
      <c r="BH57" s="1540">
        <f t="shared" si="23"/>
        <v>0</v>
      </c>
      <c r="BI57" s="1540">
        <f t="shared" si="24"/>
        <v>0</v>
      </c>
      <c r="BJ57" s="1540">
        <f t="shared" si="25"/>
        <v>0</v>
      </c>
      <c r="BK57" s="1540">
        <f t="shared" si="26"/>
        <v>357</v>
      </c>
      <c r="BL57" s="1540">
        <f t="shared" si="27"/>
        <v>357</v>
      </c>
      <c r="BM57" s="1540">
        <f t="shared" si="28"/>
        <v>357</v>
      </c>
      <c r="BN57" s="1183"/>
      <c r="BO57" s="1182">
        <f t="shared" si="36"/>
        <v>0</v>
      </c>
      <c r="BP57" s="1182">
        <f t="shared" si="37"/>
        <v>0</v>
      </c>
      <c r="BQ57" s="1182">
        <f t="shared" si="38"/>
        <v>0</v>
      </c>
      <c r="BR57" s="1182">
        <f t="shared" si="39"/>
        <v>0</v>
      </c>
      <c r="BS57" s="1182">
        <f t="shared" si="40"/>
        <v>0</v>
      </c>
      <c r="BT57" s="1182">
        <f t="shared" si="41"/>
        <v>0.27272727272725206</v>
      </c>
      <c r="BU57" s="1182">
        <f t="shared" si="42"/>
        <v>0.27272727272725206</v>
      </c>
    </row>
    <row r="58" spans="1:73">
      <c r="A58" s="1182" t="s">
        <v>1803</v>
      </c>
      <c r="B58" s="1182" t="s">
        <v>1804</v>
      </c>
      <c r="C58" s="1182" t="s">
        <v>1639</v>
      </c>
      <c r="D58" s="1182" t="s">
        <v>2590</v>
      </c>
      <c r="E58" s="1182" t="s">
        <v>2591</v>
      </c>
      <c r="F58" s="1182" t="s">
        <v>4172</v>
      </c>
      <c r="G58" s="1182" t="s">
        <v>4172</v>
      </c>
      <c r="H58" s="1188" t="s">
        <v>4539</v>
      </c>
      <c r="I58" s="1182" t="s">
        <v>2933</v>
      </c>
      <c r="J58" s="1182" t="s">
        <v>4540</v>
      </c>
      <c r="K58" s="1182" t="s">
        <v>1811</v>
      </c>
      <c r="L58" s="1182" t="s">
        <v>1812</v>
      </c>
      <c r="M58" s="1182" t="s">
        <v>1803</v>
      </c>
      <c r="N58" s="1182" t="s">
        <v>4453</v>
      </c>
      <c r="O58" s="1182" t="s">
        <v>1654</v>
      </c>
      <c r="P58" s="1182" t="s">
        <v>1653</v>
      </c>
      <c r="Q58" s="1182" t="s">
        <v>1452</v>
      </c>
      <c r="R58" s="1182" t="s">
        <v>1452</v>
      </c>
      <c r="S58" s="1182" t="s">
        <v>1639</v>
      </c>
      <c r="T58" s="1182" t="s">
        <v>4454</v>
      </c>
      <c r="U58" s="1182" t="s">
        <v>4455</v>
      </c>
      <c r="V58" s="1182">
        <v>0</v>
      </c>
      <c r="W58" s="1182">
        <v>0</v>
      </c>
      <c r="X58" s="1182">
        <v>0</v>
      </c>
      <c r="Y58" s="1183">
        <v>51970</v>
      </c>
      <c r="Z58" s="1182" t="s">
        <v>4456</v>
      </c>
      <c r="AA58" s="1182" t="s">
        <v>1452</v>
      </c>
      <c r="AB58" s="1182">
        <v>51970</v>
      </c>
      <c r="AC58" s="1182" t="s">
        <v>4457</v>
      </c>
      <c r="AD58" s="1182" t="s">
        <v>4458</v>
      </c>
      <c r="AE58" s="1182">
        <v>51970</v>
      </c>
      <c r="AF58" s="1182" t="s">
        <v>4437</v>
      </c>
      <c r="AG58" s="1182" t="s">
        <v>1820</v>
      </c>
      <c r="AH58" s="1182">
        <v>4724</v>
      </c>
      <c r="AI58" s="1182">
        <v>47246</v>
      </c>
      <c r="AJ58" s="1182" t="s">
        <v>1639</v>
      </c>
      <c r="AL58" s="1186" t="s">
        <v>4541</v>
      </c>
      <c r="AM58" s="1182">
        <v>1</v>
      </c>
      <c r="AN58" s="1182">
        <v>0</v>
      </c>
      <c r="AO58" s="1182">
        <v>0</v>
      </c>
      <c r="AP58" s="1555">
        <v>0</v>
      </c>
      <c r="AQ58" s="1182" t="s">
        <v>1639</v>
      </c>
      <c r="AS58" s="1554" t="s">
        <v>4437</v>
      </c>
      <c r="AT58" s="1554" t="s">
        <v>1820</v>
      </c>
      <c r="AV58" s="1183">
        <v>0</v>
      </c>
      <c r="AW58" s="1183">
        <v>0</v>
      </c>
      <c r="AX58" s="1183">
        <v>0</v>
      </c>
      <c r="AY58" s="1540">
        <v>0</v>
      </c>
      <c r="AZ58" s="1183">
        <v>0</v>
      </c>
      <c r="BA58" s="1183">
        <v>51970</v>
      </c>
      <c r="BB58" s="1540">
        <v>51970</v>
      </c>
      <c r="BC58" s="1540">
        <v>51970</v>
      </c>
      <c r="BD58" s="1540">
        <v>0</v>
      </c>
      <c r="BF58" s="1540">
        <f t="shared" si="21"/>
        <v>0</v>
      </c>
      <c r="BG58" s="1540">
        <f t="shared" si="22"/>
        <v>0</v>
      </c>
      <c r="BH58" s="1540">
        <f t="shared" si="23"/>
        <v>0</v>
      </c>
      <c r="BI58" s="1540">
        <f t="shared" si="24"/>
        <v>0</v>
      </c>
      <c r="BJ58" s="1540">
        <f t="shared" si="25"/>
        <v>0</v>
      </c>
      <c r="BK58" s="1562">
        <f>+IFERROR(ROUND(BA58*100/(100+$AT58),0),BA58)+1</f>
        <v>47246</v>
      </c>
      <c r="BL58" s="1540">
        <f t="shared" si="27"/>
        <v>47246</v>
      </c>
      <c r="BM58" s="1540">
        <f t="shared" si="28"/>
        <v>47246</v>
      </c>
      <c r="BN58" s="1183"/>
      <c r="BO58" s="1182">
        <f t="shared" si="36"/>
        <v>0</v>
      </c>
      <c r="BP58" s="1182">
        <f t="shared" si="37"/>
        <v>0</v>
      </c>
      <c r="BQ58" s="1182">
        <f t="shared" si="38"/>
        <v>0</v>
      </c>
      <c r="BR58" s="1182">
        <f t="shared" si="39"/>
        <v>0</v>
      </c>
      <c r="BS58" s="1182">
        <f t="shared" si="40"/>
        <v>0</v>
      </c>
      <c r="BT58" s="1182">
        <f t="shared" si="41"/>
        <v>-0.54545454545586836</v>
      </c>
      <c r="BU58" s="1182">
        <f t="shared" si="42"/>
        <v>-0.54545454545586836</v>
      </c>
    </row>
    <row r="59" spans="1:73">
      <c r="A59" s="1182" t="s">
        <v>1803</v>
      </c>
      <c r="B59" s="1182" t="s">
        <v>1804</v>
      </c>
      <c r="C59" s="1182" t="s">
        <v>1639</v>
      </c>
      <c r="D59" s="1182" t="s">
        <v>2590</v>
      </c>
      <c r="E59" s="1182" t="s">
        <v>2591</v>
      </c>
      <c r="F59" s="1182" t="s">
        <v>4172</v>
      </c>
      <c r="G59" s="1182" t="s">
        <v>4172</v>
      </c>
      <c r="H59" s="1188" t="s">
        <v>4539</v>
      </c>
      <c r="I59" s="1182" t="s">
        <v>2933</v>
      </c>
      <c r="J59" s="1182" t="s">
        <v>4542</v>
      </c>
      <c r="K59" s="1182" t="s">
        <v>1811</v>
      </c>
      <c r="L59" s="1182" t="s">
        <v>1812</v>
      </c>
      <c r="M59" s="1182" t="s">
        <v>1803</v>
      </c>
      <c r="N59" s="1182" t="s">
        <v>4453</v>
      </c>
      <c r="O59" s="1182" t="s">
        <v>1654</v>
      </c>
      <c r="P59" s="1182" t="s">
        <v>1653</v>
      </c>
      <c r="Q59" s="1182" t="s">
        <v>1452</v>
      </c>
      <c r="R59" s="1182" t="s">
        <v>1452</v>
      </c>
      <c r="S59" s="1182" t="s">
        <v>1639</v>
      </c>
      <c r="T59" s="1182" t="s">
        <v>4454</v>
      </c>
      <c r="U59" s="1182" t="s">
        <v>4455</v>
      </c>
      <c r="V59" s="1182">
        <v>0</v>
      </c>
      <c r="W59" s="1182">
        <v>0</v>
      </c>
      <c r="X59" s="1182">
        <v>0</v>
      </c>
      <c r="Y59" s="1183">
        <v>1689</v>
      </c>
      <c r="Z59" s="1182" t="s">
        <v>4456</v>
      </c>
      <c r="AA59" s="1182" t="s">
        <v>1452</v>
      </c>
      <c r="AB59" s="1182">
        <v>1689</v>
      </c>
      <c r="AC59" s="1182" t="s">
        <v>4457</v>
      </c>
      <c r="AD59" s="1182" t="s">
        <v>4458</v>
      </c>
      <c r="AE59" s="1182">
        <v>1689</v>
      </c>
      <c r="AF59" s="1182" t="s">
        <v>4437</v>
      </c>
      <c r="AG59" s="1182" t="s">
        <v>1820</v>
      </c>
      <c r="AH59" s="1182">
        <v>153</v>
      </c>
      <c r="AI59" s="1182">
        <v>1536</v>
      </c>
      <c r="AJ59" s="1182" t="s">
        <v>1639</v>
      </c>
      <c r="AL59" s="1186" t="s">
        <v>4543</v>
      </c>
      <c r="AM59" s="1182">
        <v>1</v>
      </c>
      <c r="AN59" s="1182">
        <v>0</v>
      </c>
      <c r="AO59" s="1182">
        <v>0</v>
      </c>
      <c r="AP59" s="1555">
        <v>0</v>
      </c>
      <c r="AQ59" s="1182" t="s">
        <v>1639</v>
      </c>
      <c r="AS59" s="1554" t="s">
        <v>4437</v>
      </c>
      <c r="AT59" s="1554" t="s">
        <v>1820</v>
      </c>
      <c r="AV59" s="1183">
        <v>0</v>
      </c>
      <c r="AW59" s="1183">
        <v>0</v>
      </c>
      <c r="AX59" s="1183">
        <v>0</v>
      </c>
      <c r="AY59" s="1540">
        <v>0</v>
      </c>
      <c r="AZ59" s="1183">
        <v>0</v>
      </c>
      <c r="BA59" s="1183">
        <v>1689</v>
      </c>
      <c r="BB59" s="1540">
        <v>1689</v>
      </c>
      <c r="BC59" s="1540">
        <v>1689</v>
      </c>
      <c r="BD59" s="1540">
        <v>0</v>
      </c>
      <c r="BF59" s="1540">
        <f t="shared" si="21"/>
        <v>0</v>
      </c>
      <c r="BG59" s="1540">
        <f t="shared" si="22"/>
        <v>0</v>
      </c>
      <c r="BH59" s="1540">
        <f t="shared" si="23"/>
        <v>0</v>
      </c>
      <c r="BI59" s="1540">
        <f t="shared" si="24"/>
        <v>0</v>
      </c>
      <c r="BJ59" s="1540">
        <f t="shared" si="25"/>
        <v>0</v>
      </c>
      <c r="BK59" s="1540">
        <f t="shared" si="26"/>
        <v>1535</v>
      </c>
      <c r="BL59" s="1540">
        <f t="shared" si="27"/>
        <v>1535</v>
      </c>
      <c r="BM59" s="1540">
        <f t="shared" si="28"/>
        <v>1535</v>
      </c>
      <c r="BN59" s="1183"/>
      <c r="BO59" s="1182">
        <f t="shared" si="36"/>
        <v>0</v>
      </c>
      <c r="BP59" s="1182">
        <f t="shared" si="37"/>
        <v>0</v>
      </c>
      <c r="BQ59" s="1182">
        <f t="shared" si="38"/>
        <v>0</v>
      </c>
      <c r="BR59" s="1182">
        <f t="shared" si="39"/>
        <v>0</v>
      </c>
      <c r="BS59" s="1182">
        <f t="shared" si="40"/>
        <v>0</v>
      </c>
      <c r="BT59" s="1182">
        <f t="shared" si="41"/>
        <v>0.45454545454549589</v>
      </c>
      <c r="BU59" s="1182">
        <f t="shared" si="42"/>
        <v>0.45454545454549589</v>
      </c>
    </row>
    <row r="60" spans="1:73">
      <c r="A60" s="1182" t="s">
        <v>1803</v>
      </c>
      <c r="B60" s="1182" t="s">
        <v>1804</v>
      </c>
      <c r="C60" s="1182" t="s">
        <v>1639</v>
      </c>
      <c r="D60" s="1182" t="s">
        <v>2590</v>
      </c>
      <c r="E60" s="1182" t="s">
        <v>2591</v>
      </c>
      <c r="F60" s="1182" t="s">
        <v>4172</v>
      </c>
      <c r="G60" s="1182" t="s">
        <v>4172</v>
      </c>
      <c r="H60" s="1188" t="s">
        <v>4539</v>
      </c>
      <c r="I60" s="1182" t="s">
        <v>2933</v>
      </c>
      <c r="J60" s="1182" t="s">
        <v>4544</v>
      </c>
      <c r="K60" s="1182" t="s">
        <v>1811</v>
      </c>
      <c r="L60" s="1182" t="s">
        <v>1812</v>
      </c>
      <c r="M60" s="1182" t="s">
        <v>1803</v>
      </c>
      <c r="N60" s="1182" t="s">
        <v>4453</v>
      </c>
      <c r="O60" s="1182" t="s">
        <v>1654</v>
      </c>
      <c r="P60" s="1182" t="s">
        <v>1653</v>
      </c>
      <c r="Q60" s="1182" t="s">
        <v>1452</v>
      </c>
      <c r="R60" s="1182" t="s">
        <v>1452</v>
      </c>
      <c r="S60" s="1182" t="s">
        <v>1639</v>
      </c>
      <c r="T60" s="1182" t="s">
        <v>4454</v>
      </c>
      <c r="U60" s="1182" t="s">
        <v>4455</v>
      </c>
      <c r="V60" s="1182">
        <v>0</v>
      </c>
      <c r="W60" s="1182">
        <v>0</v>
      </c>
      <c r="X60" s="1182">
        <v>0</v>
      </c>
      <c r="Y60" s="1183">
        <v>1162</v>
      </c>
      <c r="Z60" s="1182" t="s">
        <v>4456</v>
      </c>
      <c r="AA60" s="1182" t="s">
        <v>1452</v>
      </c>
      <c r="AB60" s="1182">
        <v>1162</v>
      </c>
      <c r="AC60" s="1182" t="s">
        <v>4457</v>
      </c>
      <c r="AD60" s="1182" t="s">
        <v>4458</v>
      </c>
      <c r="AE60" s="1182">
        <v>1162</v>
      </c>
      <c r="AF60" s="1182" t="s">
        <v>4437</v>
      </c>
      <c r="AG60" s="1182" t="s">
        <v>1820</v>
      </c>
      <c r="AH60" s="1182">
        <v>105</v>
      </c>
      <c r="AI60" s="1182">
        <v>1057</v>
      </c>
      <c r="AJ60" s="1182" t="s">
        <v>1639</v>
      </c>
      <c r="AL60" s="1186" t="s">
        <v>4545</v>
      </c>
      <c r="AM60" s="1182">
        <v>1</v>
      </c>
      <c r="AN60" s="1182">
        <v>0</v>
      </c>
      <c r="AO60" s="1182">
        <v>0</v>
      </c>
      <c r="AP60" s="1555">
        <v>0</v>
      </c>
      <c r="AQ60" s="1182" t="s">
        <v>1639</v>
      </c>
      <c r="AS60" s="1554" t="s">
        <v>4437</v>
      </c>
      <c r="AT60" s="1554" t="s">
        <v>1820</v>
      </c>
      <c r="AV60" s="1183">
        <v>0</v>
      </c>
      <c r="AW60" s="1183">
        <v>0</v>
      </c>
      <c r="AX60" s="1183">
        <v>0</v>
      </c>
      <c r="AY60" s="1540">
        <v>0</v>
      </c>
      <c r="AZ60" s="1183">
        <v>0</v>
      </c>
      <c r="BA60" s="1183">
        <v>1162</v>
      </c>
      <c r="BB60" s="1540">
        <v>1162</v>
      </c>
      <c r="BC60" s="1540">
        <v>1162</v>
      </c>
      <c r="BD60" s="1540">
        <v>0</v>
      </c>
      <c r="BF60" s="1540">
        <f t="shared" si="21"/>
        <v>0</v>
      </c>
      <c r="BG60" s="1540">
        <f t="shared" si="22"/>
        <v>0</v>
      </c>
      <c r="BH60" s="1540">
        <f t="shared" si="23"/>
        <v>0</v>
      </c>
      <c r="BI60" s="1540">
        <f t="shared" si="24"/>
        <v>0</v>
      </c>
      <c r="BJ60" s="1540">
        <f t="shared" si="25"/>
        <v>0</v>
      </c>
      <c r="BK60" s="1540">
        <f t="shared" si="26"/>
        <v>1056</v>
      </c>
      <c r="BL60" s="1540">
        <f t="shared" si="27"/>
        <v>1056</v>
      </c>
      <c r="BM60" s="1540">
        <f t="shared" si="28"/>
        <v>1056</v>
      </c>
      <c r="BN60" s="1183"/>
      <c r="BO60" s="1182">
        <f t="shared" si="36"/>
        <v>0</v>
      </c>
      <c r="BP60" s="1182">
        <f t="shared" si="37"/>
        <v>0</v>
      </c>
      <c r="BQ60" s="1182">
        <f t="shared" si="38"/>
        <v>0</v>
      </c>
      <c r="BR60" s="1182">
        <f t="shared" si="39"/>
        <v>0</v>
      </c>
      <c r="BS60" s="1182">
        <f t="shared" si="40"/>
        <v>0</v>
      </c>
      <c r="BT60" s="1182">
        <f t="shared" si="41"/>
        <v>0.36363636363626028</v>
      </c>
      <c r="BU60" s="1182">
        <f t="shared" si="42"/>
        <v>0.36363636363626028</v>
      </c>
    </row>
    <row r="61" spans="1:73">
      <c r="A61" s="1182" t="s">
        <v>1803</v>
      </c>
      <c r="B61" s="1182" t="s">
        <v>1804</v>
      </c>
      <c r="C61" s="1182" t="s">
        <v>1639</v>
      </c>
      <c r="D61" s="1182" t="s">
        <v>2590</v>
      </c>
      <c r="E61" s="1182" t="s">
        <v>2591</v>
      </c>
      <c r="F61" s="1182" t="s">
        <v>4172</v>
      </c>
      <c r="G61" s="1182" t="s">
        <v>4172</v>
      </c>
      <c r="H61" s="1188" t="s">
        <v>4539</v>
      </c>
      <c r="I61" s="1182" t="s">
        <v>2933</v>
      </c>
      <c r="J61" s="1182" t="s">
        <v>4546</v>
      </c>
      <c r="K61" s="1182" t="s">
        <v>1811</v>
      </c>
      <c r="L61" s="1182" t="s">
        <v>1812</v>
      </c>
      <c r="M61" s="1182" t="s">
        <v>1803</v>
      </c>
      <c r="N61" s="1182" t="s">
        <v>4453</v>
      </c>
      <c r="O61" s="1182" t="s">
        <v>1654</v>
      </c>
      <c r="P61" s="1182" t="s">
        <v>1653</v>
      </c>
      <c r="Q61" s="1182" t="s">
        <v>1452</v>
      </c>
      <c r="R61" s="1182" t="s">
        <v>1452</v>
      </c>
      <c r="S61" s="1182" t="s">
        <v>1639</v>
      </c>
      <c r="T61" s="1182" t="s">
        <v>4454</v>
      </c>
      <c r="U61" s="1182" t="s">
        <v>4455</v>
      </c>
      <c r="V61" s="1182">
        <v>0</v>
      </c>
      <c r="W61" s="1182">
        <v>0</v>
      </c>
      <c r="X61" s="1182">
        <v>0</v>
      </c>
      <c r="Y61" s="1183">
        <v>869</v>
      </c>
      <c r="Z61" s="1182" t="s">
        <v>4456</v>
      </c>
      <c r="AA61" s="1182" t="s">
        <v>1452</v>
      </c>
      <c r="AB61" s="1182">
        <v>869</v>
      </c>
      <c r="AC61" s="1182" t="s">
        <v>4457</v>
      </c>
      <c r="AD61" s="1182" t="s">
        <v>4458</v>
      </c>
      <c r="AE61" s="1182">
        <v>869</v>
      </c>
      <c r="AF61" s="1182" t="s">
        <v>4437</v>
      </c>
      <c r="AG61" s="1182" t="s">
        <v>1820</v>
      </c>
      <c r="AH61" s="1182">
        <v>79</v>
      </c>
      <c r="AI61" s="1182">
        <v>790</v>
      </c>
      <c r="AJ61" s="1182" t="s">
        <v>1639</v>
      </c>
      <c r="AL61" s="1186" t="s">
        <v>4547</v>
      </c>
      <c r="AM61" s="1182">
        <v>1</v>
      </c>
      <c r="AN61" s="1182">
        <v>0</v>
      </c>
      <c r="AO61" s="1182">
        <v>0</v>
      </c>
      <c r="AP61" s="1555">
        <v>0</v>
      </c>
      <c r="AQ61" s="1182" t="s">
        <v>1639</v>
      </c>
      <c r="AS61" s="1554" t="s">
        <v>4437</v>
      </c>
      <c r="AT61" s="1554" t="s">
        <v>1820</v>
      </c>
      <c r="AV61" s="1183">
        <v>0</v>
      </c>
      <c r="AW61" s="1183">
        <v>0</v>
      </c>
      <c r="AX61" s="1183">
        <v>0</v>
      </c>
      <c r="AY61" s="1540">
        <v>0</v>
      </c>
      <c r="AZ61" s="1183">
        <v>0</v>
      </c>
      <c r="BA61" s="1183">
        <v>869</v>
      </c>
      <c r="BB61" s="1540">
        <v>869</v>
      </c>
      <c r="BC61" s="1540">
        <v>869</v>
      </c>
      <c r="BD61" s="1540">
        <v>0</v>
      </c>
      <c r="BF61" s="1540">
        <f t="shared" si="21"/>
        <v>0</v>
      </c>
      <c r="BG61" s="1540">
        <f t="shared" si="22"/>
        <v>0</v>
      </c>
      <c r="BH61" s="1540">
        <f t="shared" si="23"/>
        <v>0</v>
      </c>
      <c r="BI61" s="1540">
        <f t="shared" si="24"/>
        <v>0</v>
      </c>
      <c r="BJ61" s="1540">
        <f t="shared" si="25"/>
        <v>0</v>
      </c>
      <c r="BK61" s="1540">
        <f t="shared" si="26"/>
        <v>790</v>
      </c>
      <c r="BL61" s="1540">
        <f t="shared" si="27"/>
        <v>790</v>
      </c>
      <c r="BM61" s="1540">
        <f t="shared" si="28"/>
        <v>790</v>
      </c>
      <c r="BN61" s="1183"/>
      <c r="BO61" s="1182">
        <f t="shared" si="36"/>
        <v>0</v>
      </c>
      <c r="BP61" s="1182">
        <f t="shared" si="37"/>
        <v>0</v>
      </c>
      <c r="BQ61" s="1182">
        <f t="shared" si="38"/>
        <v>0</v>
      </c>
      <c r="BR61" s="1182">
        <f t="shared" si="39"/>
        <v>0</v>
      </c>
      <c r="BS61" s="1182">
        <f t="shared" si="40"/>
        <v>0</v>
      </c>
      <c r="BT61" s="1182">
        <f t="shared" si="41"/>
        <v>0</v>
      </c>
      <c r="BU61" s="1182">
        <f t="shared" si="42"/>
        <v>0</v>
      </c>
    </row>
    <row r="62" spans="1:73">
      <c r="A62" s="1182" t="s">
        <v>1803</v>
      </c>
      <c r="B62" s="1182" t="s">
        <v>1804</v>
      </c>
      <c r="C62" s="1182" t="s">
        <v>1639</v>
      </c>
      <c r="D62" s="1182" t="s">
        <v>2590</v>
      </c>
      <c r="E62" s="1182" t="s">
        <v>2591</v>
      </c>
      <c r="F62" s="1182" t="s">
        <v>2987</v>
      </c>
      <c r="G62" s="1182" t="s">
        <v>2987</v>
      </c>
      <c r="H62" s="1188" t="s">
        <v>4548</v>
      </c>
      <c r="I62" s="1182" t="s">
        <v>2933</v>
      </c>
      <c r="J62" s="1182" t="s">
        <v>4549</v>
      </c>
      <c r="K62" s="1182" t="s">
        <v>1811</v>
      </c>
      <c r="L62" s="1182" t="s">
        <v>1812</v>
      </c>
      <c r="M62" s="1182" t="s">
        <v>1803</v>
      </c>
      <c r="N62" s="1182" t="s">
        <v>4453</v>
      </c>
      <c r="O62" s="1182" t="s">
        <v>1654</v>
      </c>
      <c r="P62" s="1182" t="s">
        <v>1653</v>
      </c>
      <c r="Q62" s="1182" t="s">
        <v>1452</v>
      </c>
      <c r="R62" s="1182" t="s">
        <v>1452</v>
      </c>
      <c r="S62" s="1182" t="s">
        <v>1639</v>
      </c>
      <c r="T62" s="1182" t="s">
        <v>4454</v>
      </c>
      <c r="U62" s="1182" t="s">
        <v>4455</v>
      </c>
      <c r="V62" s="1182">
        <v>0</v>
      </c>
      <c r="W62" s="1182">
        <v>0</v>
      </c>
      <c r="X62" s="1182">
        <v>0</v>
      </c>
      <c r="Y62" s="1183">
        <v>83432</v>
      </c>
      <c r="Z62" s="1182" t="s">
        <v>4456</v>
      </c>
      <c r="AA62" s="1182" t="s">
        <v>1452</v>
      </c>
      <c r="AB62" s="1182">
        <v>83432</v>
      </c>
      <c r="AC62" s="1182" t="s">
        <v>4550</v>
      </c>
      <c r="AD62" s="1182" t="s">
        <v>4551</v>
      </c>
      <c r="AE62" s="1182">
        <v>83432</v>
      </c>
      <c r="AF62" s="1182" t="s">
        <v>4437</v>
      </c>
      <c r="AG62" s="1182" t="s">
        <v>1820</v>
      </c>
      <c r="AH62" s="1182">
        <v>7584</v>
      </c>
      <c r="AI62" s="1182">
        <v>75848</v>
      </c>
      <c r="AJ62" s="1182" t="s">
        <v>1639</v>
      </c>
      <c r="AL62" s="1186" t="s">
        <v>4552</v>
      </c>
      <c r="AM62" s="1182">
        <v>1</v>
      </c>
      <c r="AN62" s="1182">
        <v>0</v>
      </c>
      <c r="AO62" s="1182">
        <v>0</v>
      </c>
      <c r="AP62" s="1555">
        <v>0</v>
      </c>
      <c r="AQ62" s="1182" t="s">
        <v>1639</v>
      </c>
      <c r="AS62" s="1554" t="s">
        <v>4437</v>
      </c>
      <c r="AT62" s="1554" t="s">
        <v>1820</v>
      </c>
      <c r="AV62" s="1183">
        <v>0</v>
      </c>
      <c r="AW62" s="1183">
        <v>0</v>
      </c>
      <c r="AX62" s="1183">
        <v>0</v>
      </c>
      <c r="AY62" s="1540">
        <v>0</v>
      </c>
      <c r="AZ62" s="1183">
        <v>0</v>
      </c>
      <c r="BA62" s="1183">
        <v>83432</v>
      </c>
      <c r="BB62" s="1540">
        <v>83432</v>
      </c>
      <c r="BC62" s="1540">
        <v>83432</v>
      </c>
      <c r="BD62" s="1540">
        <v>0</v>
      </c>
      <c r="BF62" s="1540">
        <f t="shared" si="21"/>
        <v>0</v>
      </c>
      <c r="BG62" s="1540">
        <f t="shared" si="22"/>
        <v>0</v>
      </c>
      <c r="BH62" s="1540">
        <f t="shared" si="23"/>
        <v>0</v>
      </c>
      <c r="BI62" s="1540">
        <f t="shared" si="24"/>
        <v>0</v>
      </c>
      <c r="BJ62" s="1540">
        <f t="shared" si="25"/>
        <v>0</v>
      </c>
      <c r="BK62" s="1540">
        <f t="shared" si="26"/>
        <v>75847</v>
      </c>
      <c r="BL62" s="1540">
        <f t="shared" si="27"/>
        <v>75847</v>
      </c>
      <c r="BM62" s="1540">
        <f t="shared" si="28"/>
        <v>75847</v>
      </c>
      <c r="BN62" s="1183"/>
      <c r="BO62" s="1182">
        <f t="shared" si="36"/>
        <v>0</v>
      </c>
      <c r="BP62" s="1182">
        <f t="shared" si="37"/>
        <v>0</v>
      </c>
      <c r="BQ62" s="1182">
        <f t="shared" si="38"/>
        <v>0</v>
      </c>
      <c r="BR62" s="1182">
        <f t="shared" si="39"/>
        <v>0</v>
      </c>
      <c r="BS62" s="1182">
        <f t="shared" si="40"/>
        <v>0</v>
      </c>
      <c r="BT62" s="1182">
        <f t="shared" si="41"/>
        <v>0.27272727272065822</v>
      </c>
      <c r="BU62" s="1182">
        <f t="shared" si="42"/>
        <v>0.27272727272065822</v>
      </c>
    </row>
    <row r="63" spans="1:73">
      <c r="A63" s="1182" t="s">
        <v>1803</v>
      </c>
      <c r="B63" s="1182" t="s">
        <v>1804</v>
      </c>
      <c r="C63" s="1182" t="s">
        <v>1639</v>
      </c>
      <c r="D63" s="1182" t="s">
        <v>2590</v>
      </c>
      <c r="E63" s="1182" t="s">
        <v>2591</v>
      </c>
      <c r="F63" s="1182" t="s">
        <v>2290</v>
      </c>
      <c r="G63" s="1182" t="s">
        <v>2290</v>
      </c>
      <c r="H63" s="1188" t="s">
        <v>4548</v>
      </c>
      <c r="I63" s="1182" t="s">
        <v>2933</v>
      </c>
      <c r="J63" s="1182" t="s">
        <v>4553</v>
      </c>
      <c r="K63" s="1182" t="s">
        <v>1811</v>
      </c>
      <c r="L63" s="1182" t="s">
        <v>1812</v>
      </c>
      <c r="M63" s="1182" t="s">
        <v>1803</v>
      </c>
      <c r="N63" s="1182" t="s">
        <v>4453</v>
      </c>
      <c r="O63" s="1182" t="s">
        <v>1654</v>
      </c>
      <c r="P63" s="1182" t="s">
        <v>1653</v>
      </c>
      <c r="Q63" s="1182" t="s">
        <v>1452</v>
      </c>
      <c r="R63" s="1182" t="s">
        <v>1452</v>
      </c>
      <c r="S63" s="1182" t="s">
        <v>1639</v>
      </c>
      <c r="T63" s="1182" t="s">
        <v>4454</v>
      </c>
      <c r="U63" s="1182" t="s">
        <v>4455</v>
      </c>
      <c r="V63" s="1182">
        <v>0</v>
      </c>
      <c r="W63" s="1182">
        <v>0</v>
      </c>
      <c r="X63" s="1182">
        <v>0</v>
      </c>
      <c r="Y63" s="1183">
        <v>5402</v>
      </c>
      <c r="Z63" s="1182" t="s">
        <v>4456</v>
      </c>
      <c r="AA63" s="1182" t="s">
        <v>1452</v>
      </c>
      <c r="AB63" s="1182">
        <v>5402</v>
      </c>
      <c r="AC63" s="1182" t="s">
        <v>4550</v>
      </c>
      <c r="AD63" s="1182" t="s">
        <v>4551</v>
      </c>
      <c r="AE63" s="1182">
        <v>5402</v>
      </c>
      <c r="AF63" s="1182" t="s">
        <v>4418</v>
      </c>
      <c r="AG63" s="1182" t="s">
        <v>1820</v>
      </c>
      <c r="AH63" s="1182">
        <v>491</v>
      </c>
      <c r="AI63" s="1182">
        <v>4911</v>
      </c>
      <c r="AJ63" s="1182" t="s">
        <v>1639</v>
      </c>
      <c r="AL63" s="1186" t="s">
        <v>4554</v>
      </c>
      <c r="AM63" s="1182">
        <v>2</v>
      </c>
      <c r="AN63" s="1182">
        <v>18</v>
      </c>
      <c r="AO63" s="1182">
        <v>10</v>
      </c>
      <c r="AP63" s="1555">
        <v>0</v>
      </c>
      <c r="AQ63" s="1182" t="s">
        <v>1639</v>
      </c>
      <c r="AS63" s="1554">
        <v>18</v>
      </c>
      <c r="AT63" s="1554">
        <v>10</v>
      </c>
      <c r="AV63" s="1183">
        <v>0</v>
      </c>
      <c r="AW63" s="1183">
        <v>0</v>
      </c>
      <c r="AX63" s="1183">
        <v>0</v>
      </c>
      <c r="AY63" s="1540">
        <v>0</v>
      </c>
      <c r="AZ63" s="1183">
        <v>0</v>
      </c>
      <c r="BA63" s="1183">
        <v>5402</v>
      </c>
      <c r="BB63" s="1540">
        <v>5402</v>
      </c>
      <c r="BC63" s="1540">
        <v>5402</v>
      </c>
      <c r="BD63" s="1540">
        <v>0</v>
      </c>
      <c r="BF63" s="1540">
        <f t="shared" si="21"/>
        <v>0</v>
      </c>
      <c r="BG63" s="1540">
        <f t="shared" si="22"/>
        <v>0</v>
      </c>
      <c r="BH63" s="1540">
        <f t="shared" si="23"/>
        <v>0</v>
      </c>
      <c r="BI63" s="1540">
        <f t="shared" si="24"/>
        <v>0</v>
      </c>
      <c r="BJ63" s="1540">
        <f t="shared" si="25"/>
        <v>0</v>
      </c>
      <c r="BK63" s="1540">
        <f t="shared" si="26"/>
        <v>4911</v>
      </c>
      <c r="BL63" s="1540">
        <f t="shared" si="27"/>
        <v>4911</v>
      </c>
      <c r="BM63" s="1540">
        <f t="shared" si="28"/>
        <v>4911</v>
      </c>
      <c r="BN63" s="1183"/>
      <c r="BO63" s="1182">
        <f t="shared" si="36"/>
        <v>0</v>
      </c>
      <c r="BP63" s="1182">
        <f t="shared" si="37"/>
        <v>0</v>
      </c>
      <c r="BQ63" s="1182">
        <f t="shared" si="38"/>
        <v>0</v>
      </c>
      <c r="BR63" s="1182">
        <f t="shared" si="39"/>
        <v>0</v>
      </c>
      <c r="BS63" s="1182">
        <f t="shared" si="40"/>
        <v>0</v>
      </c>
      <c r="BT63" s="1182">
        <f t="shared" si="41"/>
        <v>-9.0909090909008228E-2</v>
      </c>
      <c r="BU63" s="1182">
        <f t="shared" si="42"/>
        <v>-9.0909090909008228E-2</v>
      </c>
    </row>
    <row r="64" spans="1:73">
      <c r="A64" s="1182" t="s">
        <v>1803</v>
      </c>
      <c r="B64" s="1182" t="s">
        <v>1804</v>
      </c>
      <c r="C64" s="1182" t="s">
        <v>1639</v>
      </c>
      <c r="D64" s="1182" t="s">
        <v>2590</v>
      </c>
      <c r="E64" s="1182" t="s">
        <v>2591</v>
      </c>
      <c r="F64" s="1182" t="s">
        <v>2032</v>
      </c>
      <c r="G64" s="1182" t="s">
        <v>2032</v>
      </c>
      <c r="H64" s="1188" t="s">
        <v>4548</v>
      </c>
      <c r="I64" s="1182" t="s">
        <v>2933</v>
      </c>
      <c r="J64" s="1182" t="s">
        <v>4555</v>
      </c>
      <c r="K64" s="1182" t="s">
        <v>1811</v>
      </c>
      <c r="L64" s="1182" t="s">
        <v>1812</v>
      </c>
      <c r="M64" s="1182" t="s">
        <v>1803</v>
      </c>
      <c r="N64" s="1182" t="s">
        <v>4453</v>
      </c>
      <c r="O64" s="1182" t="s">
        <v>1654</v>
      </c>
      <c r="P64" s="1182" t="s">
        <v>1653</v>
      </c>
      <c r="Q64" s="1182" t="s">
        <v>1452</v>
      </c>
      <c r="R64" s="1182" t="s">
        <v>1452</v>
      </c>
      <c r="S64" s="1182" t="s">
        <v>1639</v>
      </c>
      <c r="T64" s="1182" t="s">
        <v>4454</v>
      </c>
      <c r="U64" s="1182" t="s">
        <v>4455</v>
      </c>
      <c r="V64" s="1182">
        <v>0</v>
      </c>
      <c r="W64" s="1182">
        <v>0</v>
      </c>
      <c r="X64" s="1182">
        <v>0</v>
      </c>
      <c r="Y64" s="1183">
        <v>5696</v>
      </c>
      <c r="Z64" s="1182" t="s">
        <v>4456</v>
      </c>
      <c r="AA64" s="1182" t="s">
        <v>1452</v>
      </c>
      <c r="AB64" s="1182">
        <v>5696</v>
      </c>
      <c r="AC64" s="1182" t="s">
        <v>4550</v>
      </c>
      <c r="AD64" s="1182" t="s">
        <v>4551</v>
      </c>
      <c r="AE64" s="1182">
        <v>5696</v>
      </c>
      <c r="AF64" s="1182" t="s">
        <v>4418</v>
      </c>
      <c r="AG64" s="1182" t="s">
        <v>1820</v>
      </c>
      <c r="AH64" s="1182">
        <v>518</v>
      </c>
      <c r="AI64" s="1182">
        <v>5178</v>
      </c>
      <c r="AJ64" s="1182" t="s">
        <v>1639</v>
      </c>
      <c r="AL64" s="1186" t="s">
        <v>4556</v>
      </c>
      <c r="AM64" s="1182">
        <v>2</v>
      </c>
      <c r="AN64" s="1182">
        <v>18</v>
      </c>
      <c r="AO64" s="1182">
        <v>10</v>
      </c>
      <c r="AP64" s="1555">
        <v>0</v>
      </c>
      <c r="AQ64" s="1182" t="s">
        <v>1639</v>
      </c>
      <c r="AS64" s="1554">
        <v>18</v>
      </c>
      <c r="AT64" s="1554">
        <v>10</v>
      </c>
      <c r="AV64" s="1183">
        <v>0</v>
      </c>
      <c r="AW64" s="1183">
        <v>0</v>
      </c>
      <c r="AX64" s="1183">
        <v>0</v>
      </c>
      <c r="AY64" s="1540">
        <v>0</v>
      </c>
      <c r="AZ64" s="1183">
        <v>0</v>
      </c>
      <c r="BA64" s="1183">
        <v>5696</v>
      </c>
      <c r="BB64" s="1540">
        <v>5696</v>
      </c>
      <c r="BC64" s="1540">
        <v>5696</v>
      </c>
      <c r="BD64" s="1540">
        <v>0</v>
      </c>
      <c r="BF64" s="1540">
        <f t="shared" si="21"/>
        <v>0</v>
      </c>
      <c r="BG64" s="1540">
        <f t="shared" si="22"/>
        <v>0</v>
      </c>
      <c r="BH64" s="1540">
        <f t="shared" si="23"/>
        <v>0</v>
      </c>
      <c r="BI64" s="1540">
        <f t="shared" si="24"/>
        <v>0</v>
      </c>
      <c r="BJ64" s="1540">
        <f t="shared" si="25"/>
        <v>0</v>
      </c>
      <c r="BK64" s="1540">
        <f t="shared" si="26"/>
        <v>5178</v>
      </c>
      <c r="BL64" s="1540">
        <f t="shared" si="27"/>
        <v>5178</v>
      </c>
      <c r="BM64" s="1540">
        <f t="shared" si="28"/>
        <v>5178</v>
      </c>
      <c r="BN64" s="1183"/>
      <c r="BO64" s="1182">
        <f t="shared" si="36"/>
        <v>0</v>
      </c>
      <c r="BP64" s="1182">
        <f t="shared" si="37"/>
        <v>0</v>
      </c>
      <c r="BQ64" s="1182">
        <f t="shared" si="38"/>
        <v>0</v>
      </c>
      <c r="BR64" s="1182">
        <f t="shared" si="39"/>
        <v>0</v>
      </c>
      <c r="BS64" s="1182">
        <f t="shared" si="40"/>
        <v>0</v>
      </c>
      <c r="BT64" s="1182">
        <f t="shared" si="41"/>
        <v>0.18181818181801646</v>
      </c>
      <c r="BU64" s="1182">
        <f t="shared" si="42"/>
        <v>0.18181818181801646</v>
      </c>
    </row>
    <row r="65" spans="1:73">
      <c r="A65" s="1182" t="s">
        <v>1803</v>
      </c>
      <c r="B65" s="1182" t="s">
        <v>1804</v>
      </c>
      <c r="C65" s="1182" t="s">
        <v>1639</v>
      </c>
      <c r="D65" s="1182" t="s">
        <v>2590</v>
      </c>
      <c r="E65" s="1182" t="s">
        <v>2591</v>
      </c>
      <c r="F65" s="1182" t="s">
        <v>3460</v>
      </c>
      <c r="G65" s="1182" t="s">
        <v>3460</v>
      </c>
      <c r="H65" s="1188" t="s">
        <v>4557</v>
      </c>
      <c r="I65" s="1182" t="s">
        <v>2933</v>
      </c>
      <c r="J65" s="1182" t="s">
        <v>4558</v>
      </c>
      <c r="K65" s="1182" t="s">
        <v>1811</v>
      </c>
      <c r="L65" s="1182" t="s">
        <v>1812</v>
      </c>
      <c r="M65" s="1182" t="s">
        <v>1803</v>
      </c>
      <c r="N65" s="1182" t="s">
        <v>4453</v>
      </c>
      <c r="O65" s="1182" t="s">
        <v>1654</v>
      </c>
      <c r="P65" s="1182" t="s">
        <v>1653</v>
      </c>
      <c r="Q65" s="1182" t="s">
        <v>1452</v>
      </c>
      <c r="R65" s="1182" t="s">
        <v>1452</v>
      </c>
      <c r="S65" s="1182" t="s">
        <v>1639</v>
      </c>
      <c r="T65" s="1182" t="s">
        <v>4454</v>
      </c>
      <c r="U65" s="1182" t="s">
        <v>4455</v>
      </c>
      <c r="V65" s="1182">
        <v>0</v>
      </c>
      <c r="W65" s="1182">
        <v>0</v>
      </c>
      <c r="X65" s="1182">
        <v>0</v>
      </c>
      <c r="Y65" s="1183">
        <v>33818</v>
      </c>
      <c r="Z65" s="1182" t="s">
        <v>4456</v>
      </c>
      <c r="AA65" s="1182" t="s">
        <v>1452</v>
      </c>
      <c r="AB65" s="1182">
        <v>33818</v>
      </c>
      <c r="AC65" s="1182" t="s">
        <v>4550</v>
      </c>
      <c r="AD65" s="1182" t="s">
        <v>4551</v>
      </c>
      <c r="AE65" s="1182">
        <v>33818</v>
      </c>
      <c r="AF65" s="1182" t="s">
        <v>4437</v>
      </c>
      <c r="AG65" s="1182" t="s">
        <v>1820</v>
      </c>
      <c r="AH65" s="1182">
        <v>3073</v>
      </c>
      <c r="AI65" s="1182">
        <v>30745</v>
      </c>
      <c r="AJ65" s="1182" t="s">
        <v>1639</v>
      </c>
      <c r="AL65" s="1186" t="s">
        <v>4559</v>
      </c>
      <c r="AM65" s="1182">
        <v>1</v>
      </c>
      <c r="AN65" s="1182">
        <v>0</v>
      </c>
      <c r="AO65" s="1182">
        <v>0</v>
      </c>
      <c r="AP65" s="1555">
        <v>0</v>
      </c>
      <c r="AQ65" s="1182" t="s">
        <v>1639</v>
      </c>
      <c r="AS65" s="1554" t="s">
        <v>4437</v>
      </c>
      <c r="AT65" s="1554" t="s">
        <v>1820</v>
      </c>
      <c r="AV65" s="1183">
        <v>0</v>
      </c>
      <c r="AW65" s="1183">
        <v>0</v>
      </c>
      <c r="AX65" s="1183">
        <v>0</v>
      </c>
      <c r="AY65" s="1540">
        <v>0</v>
      </c>
      <c r="AZ65" s="1183">
        <v>0</v>
      </c>
      <c r="BA65" s="1183">
        <v>33818</v>
      </c>
      <c r="BB65" s="1540">
        <v>33818</v>
      </c>
      <c r="BC65" s="1540">
        <v>33818</v>
      </c>
      <c r="BD65" s="1540">
        <v>0</v>
      </c>
      <c r="BF65" s="1540">
        <f t="shared" si="21"/>
        <v>0</v>
      </c>
      <c r="BG65" s="1540">
        <f t="shared" si="22"/>
        <v>0</v>
      </c>
      <c r="BH65" s="1540">
        <f t="shared" si="23"/>
        <v>0</v>
      </c>
      <c r="BI65" s="1540">
        <f t="shared" si="24"/>
        <v>0</v>
      </c>
      <c r="BJ65" s="1540">
        <f t="shared" si="25"/>
        <v>0</v>
      </c>
      <c r="BK65" s="1540">
        <f t="shared" si="26"/>
        <v>30744</v>
      </c>
      <c r="BL65" s="1540">
        <f t="shared" si="27"/>
        <v>30744</v>
      </c>
      <c r="BM65" s="1540">
        <f t="shared" si="28"/>
        <v>30744</v>
      </c>
      <c r="BN65" s="1183"/>
      <c r="BO65" s="1182">
        <f t="shared" si="36"/>
        <v>0</v>
      </c>
      <c r="BP65" s="1182">
        <f t="shared" si="37"/>
        <v>0</v>
      </c>
      <c r="BQ65" s="1182">
        <f t="shared" si="38"/>
        <v>0</v>
      </c>
      <c r="BR65" s="1182">
        <f t="shared" si="39"/>
        <v>0</v>
      </c>
      <c r="BS65" s="1182">
        <f t="shared" si="40"/>
        <v>0</v>
      </c>
      <c r="BT65" s="1182">
        <f t="shared" si="41"/>
        <v>-0.36363636363603291</v>
      </c>
      <c r="BU65" s="1182">
        <f t="shared" si="42"/>
        <v>-0.36363636363603291</v>
      </c>
    </row>
    <row r="66" spans="1:73">
      <c r="A66" s="1182" t="s">
        <v>1803</v>
      </c>
      <c r="B66" s="1182" t="s">
        <v>1804</v>
      </c>
      <c r="C66" s="1182" t="s">
        <v>1639</v>
      </c>
      <c r="D66" s="1182" t="s">
        <v>2590</v>
      </c>
      <c r="E66" s="1182" t="s">
        <v>2591</v>
      </c>
      <c r="F66" s="1182" t="s">
        <v>3806</v>
      </c>
      <c r="G66" s="1182" t="s">
        <v>3806</v>
      </c>
      <c r="H66" s="1188" t="s">
        <v>4557</v>
      </c>
      <c r="I66" s="1182" t="s">
        <v>2933</v>
      </c>
      <c r="J66" s="1182" t="s">
        <v>4560</v>
      </c>
      <c r="K66" s="1182" t="s">
        <v>1811</v>
      </c>
      <c r="L66" s="1182" t="s">
        <v>1812</v>
      </c>
      <c r="M66" s="1182" t="s">
        <v>1803</v>
      </c>
      <c r="N66" s="1182" t="s">
        <v>4453</v>
      </c>
      <c r="O66" s="1182" t="s">
        <v>1654</v>
      </c>
      <c r="P66" s="1182" t="s">
        <v>1653</v>
      </c>
      <c r="Q66" s="1182" t="s">
        <v>1452</v>
      </c>
      <c r="R66" s="1182" t="s">
        <v>1452</v>
      </c>
      <c r="S66" s="1182" t="s">
        <v>1639</v>
      </c>
      <c r="T66" s="1182" t="s">
        <v>4454</v>
      </c>
      <c r="U66" s="1182" t="s">
        <v>4455</v>
      </c>
      <c r="V66" s="1182">
        <v>0</v>
      </c>
      <c r="W66" s="1182">
        <v>0</v>
      </c>
      <c r="X66" s="1182">
        <v>0</v>
      </c>
      <c r="Y66" s="1183">
        <v>764</v>
      </c>
      <c r="Z66" s="1182" t="s">
        <v>4456</v>
      </c>
      <c r="AA66" s="1182" t="s">
        <v>1452</v>
      </c>
      <c r="AB66" s="1182">
        <v>764</v>
      </c>
      <c r="AC66" s="1182" t="s">
        <v>4550</v>
      </c>
      <c r="AD66" s="1182" t="s">
        <v>4551</v>
      </c>
      <c r="AE66" s="1182">
        <v>764</v>
      </c>
      <c r="AF66" s="1182" t="s">
        <v>4437</v>
      </c>
      <c r="AG66" s="1182" t="s">
        <v>1820</v>
      </c>
      <c r="AH66" s="1182">
        <v>69</v>
      </c>
      <c r="AI66" s="1182">
        <v>695</v>
      </c>
      <c r="AJ66" s="1182" t="s">
        <v>1639</v>
      </c>
      <c r="AL66" s="1186" t="s">
        <v>4561</v>
      </c>
      <c r="AM66" s="1182">
        <v>1</v>
      </c>
      <c r="AN66" s="1182">
        <v>0</v>
      </c>
      <c r="AO66" s="1182">
        <v>0</v>
      </c>
      <c r="AP66" s="1555">
        <v>0</v>
      </c>
      <c r="AQ66" s="1182" t="s">
        <v>1639</v>
      </c>
      <c r="AS66" s="1554" t="s">
        <v>4437</v>
      </c>
      <c r="AT66" s="1554" t="s">
        <v>1820</v>
      </c>
      <c r="AV66" s="1183">
        <v>0</v>
      </c>
      <c r="AW66" s="1183">
        <v>0</v>
      </c>
      <c r="AX66" s="1183">
        <v>0</v>
      </c>
      <c r="AY66" s="1540">
        <v>0</v>
      </c>
      <c r="AZ66" s="1183">
        <v>0</v>
      </c>
      <c r="BA66" s="1183">
        <v>764</v>
      </c>
      <c r="BB66" s="1540">
        <v>764</v>
      </c>
      <c r="BC66" s="1540">
        <v>764</v>
      </c>
      <c r="BD66" s="1540">
        <v>0</v>
      </c>
      <c r="BF66" s="1540">
        <f t="shared" si="21"/>
        <v>0</v>
      </c>
      <c r="BG66" s="1540">
        <f t="shared" si="22"/>
        <v>0</v>
      </c>
      <c r="BH66" s="1540">
        <f t="shared" si="23"/>
        <v>0</v>
      </c>
      <c r="BI66" s="1540">
        <f t="shared" si="24"/>
        <v>0</v>
      </c>
      <c r="BJ66" s="1540">
        <f t="shared" si="25"/>
        <v>0</v>
      </c>
      <c r="BK66" s="1540">
        <f t="shared" si="26"/>
        <v>695</v>
      </c>
      <c r="BL66" s="1540">
        <f t="shared" si="27"/>
        <v>695</v>
      </c>
      <c r="BM66" s="1540">
        <f t="shared" si="28"/>
        <v>695</v>
      </c>
      <c r="BN66" s="1183"/>
      <c r="BO66" s="1182">
        <f t="shared" si="36"/>
        <v>0</v>
      </c>
      <c r="BP66" s="1182">
        <f t="shared" si="37"/>
        <v>0</v>
      </c>
      <c r="BQ66" s="1182">
        <f t="shared" si="38"/>
        <v>0</v>
      </c>
      <c r="BR66" s="1182">
        <f t="shared" si="39"/>
        <v>0</v>
      </c>
      <c r="BS66" s="1182">
        <f t="shared" si="40"/>
        <v>0</v>
      </c>
      <c r="BT66" s="1182">
        <f t="shared" si="41"/>
        <v>-0.45454545454549589</v>
      </c>
      <c r="BU66" s="1182">
        <f t="shared" si="42"/>
        <v>-0.45454545454549589</v>
      </c>
    </row>
    <row r="67" spans="1:73">
      <c r="A67" s="1182" t="s">
        <v>1803</v>
      </c>
      <c r="B67" s="1182" t="s">
        <v>1804</v>
      </c>
      <c r="C67" s="1182" t="s">
        <v>1639</v>
      </c>
      <c r="D67" s="1182" t="s">
        <v>2590</v>
      </c>
      <c r="E67" s="1182" t="s">
        <v>2591</v>
      </c>
      <c r="F67" s="1182" t="s">
        <v>2111</v>
      </c>
      <c r="G67" s="1182" t="s">
        <v>2111</v>
      </c>
      <c r="H67" s="1188" t="s">
        <v>4548</v>
      </c>
      <c r="I67" s="1182" t="s">
        <v>2933</v>
      </c>
      <c r="J67" s="1182" t="s">
        <v>4566</v>
      </c>
      <c r="K67" s="1182" t="s">
        <v>1811</v>
      </c>
      <c r="L67" s="1182" t="s">
        <v>1812</v>
      </c>
      <c r="M67" s="1182" t="s">
        <v>1803</v>
      </c>
      <c r="N67" s="1182" t="s">
        <v>4453</v>
      </c>
      <c r="O67" s="1182" t="s">
        <v>1654</v>
      </c>
      <c r="P67" s="1182" t="s">
        <v>1653</v>
      </c>
      <c r="Q67" s="1182" t="s">
        <v>1452</v>
      </c>
      <c r="R67" s="1182" t="s">
        <v>1452</v>
      </c>
      <c r="S67" s="1182" t="s">
        <v>1639</v>
      </c>
      <c r="T67" s="1182" t="s">
        <v>4454</v>
      </c>
      <c r="U67" s="1182" t="s">
        <v>4455</v>
      </c>
      <c r="V67" s="1182">
        <v>0</v>
      </c>
      <c r="W67" s="1182">
        <v>0</v>
      </c>
      <c r="X67" s="1182">
        <v>0</v>
      </c>
      <c r="Y67" s="1183">
        <v>31460</v>
      </c>
      <c r="Z67" s="1182" t="s">
        <v>4456</v>
      </c>
      <c r="AA67" s="1182" t="s">
        <v>1452</v>
      </c>
      <c r="AB67" s="1182">
        <v>31460</v>
      </c>
      <c r="AC67" s="1182" t="s">
        <v>4550</v>
      </c>
      <c r="AD67" s="1182" t="s">
        <v>4551</v>
      </c>
      <c r="AE67" s="1182">
        <v>31460</v>
      </c>
      <c r="AF67" s="1182" t="s">
        <v>4437</v>
      </c>
      <c r="AG67" s="1182" t="s">
        <v>1820</v>
      </c>
      <c r="AH67" s="1182">
        <v>2860</v>
      </c>
      <c r="AI67" s="1182">
        <v>28600</v>
      </c>
      <c r="AJ67" s="1182" t="s">
        <v>1639</v>
      </c>
      <c r="AL67" s="1186" t="s">
        <v>4567</v>
      </c>
      <c r="AM67" s="1182">
        <v>1</v>
      </c>
      <c r="AN67" s="1182">
        <v>0</v>
      </c>
      <c r="AO67" s="1182">
        <v>0</v>
      </c>
      <c r="AP67" s="1555">
        <v>0</v>
      </c>
      <c r="AQ67" s="1182" t="s">
        <v>1639</v>
      </c>
      <c r="AS67" s="1554" t="s">
        <v>4437</v>
      </c>
      <c r="AT67" s="1554" t="s">
        <v>1820</v>
      </c>
      <c r="AV67" s="1183">
        <v>0</v>
      </c>
      <c r="AW67" s="1183">
        <v>0</v>
      </c>
      <c r="AX67" s="1183">
        <v>0</v>
      </c>
      <c r="AY67" s="1540">
        <v>0</v>
      </c>
      <c r="AZ67" s="1183">
        <v>0</v>
      </c>
      <c r="BA67" s="1183">
        <v>31460</v>
      </c>
      <c r="BB67" s="1540">
        <v>31460</v>
      </c>
      <c r="BC67" s="1540">
        <v>31460</v>
      </c>
      <c r="BD67" s="1540">
        <v>0</v>
      </c>
      <c r="BF67" s="1540">
        <f t="shared" si="21"/>
        <v>0</v>
      </c>
      <c r="BG67" s="1540">
        <f t="shared" si="22"/>
        <v>0</v>
      </c>
      <c r="BH67" s="1540">
        <f t="shared" si="23"/>
        <v>0</v>
      </c>
      <c r="BI67" s="1540">
        <f t="shared" si="24"/>
        <v>0</v>
      </c>
      <c r="BJ67" s="1540">
        <f t="shared" si="25"/>
        <v>0</v>
      </c>
      <c r="BK67" s="1540">
        <f t="shared" si="26"/>
        <v>28600</v>
      </c>
      <c r="BL67" s="1540">
        <f t="shared" si="27"/>
        <v>28600</v>
      </c>
      <c r="BM67" s="1540">
        <f t="shared" si="28"/>
        <v>28600</v>
      </c>
      <c r="BN67" s="1183"/>
      <c r="BO67" s="1182">
        <f t="shared" si="36"/>
        <v>0</v>
      </c>
      <c r="BP67" s="1182">
        <f t="shared" si="37"/>
        <v>0</v>
      </c>
      <c r="BQ67" s="1182">
        <f t="shared" si="38"/>
        <v>0</v>
      </c>
      <c r="BR67" s="1182">
        <f t="shared" si="39"/>
        <v>0</v>
      </c>
      <c r="BS67" s="1182">
        <f t="shared" si="40"/>
        <v>0</v>
      </c>
      <c r="BT67" s="1182">
        <f t="shared" si="41"/>
        <v>0</v>
      </c>
      <c r="BU67" s="1182">
        <f t="shared" si="42"/>
        <v>0</v>
      </c>
    </row>
    <row r="68" spans="1:73">
      <c r="A68" s="1182" t="s">
        <v>1803</v>
      </c>
      <c r="B68" s="1182" t="s">
        <v>1804</v>
      </c>
      <c r="C68" s="1182" t="s">
        <v>1639</v>
      </c>
      <c r="D68" s="1182" t="s">
        <v>2590</v>
      </c>
      <c r="E68" s="1182" t="s">
        <v>2591</v>
      </c>
      <c r="F68" s="1182" t="s">
        <v>2111</v>
      </c>
      <c r="G68" s="1182" t="s">
        <v>2111</v>
      </c>
      <c r="H68" s="1188" t="s">
        <v>4548</v>
      </c>
      <c r="I68" s="1182" t="s">
        <v>2933</v>
      </c>
      <c r="J68" s="1182" t="s">
        <v>4568</v>
      </c>
      <c r="K68" s="1182" t="s">
        <v>1811</v>
      </c>
      <c r="L68" s="1182" t="s">
        <v>1812</v>
      </c>
      <c r="M68" s="1182" t="s">
        <v>1803</v>
      </c>
      <c r="N68" s="1182" t="s">
        <v>4453</v>
      </c>
      <c r="O68" s="1182" t="s">
        <v>1654</v>
      </c>
      <c r="P68" s="1182" t="s">
        <v>1653</v>
      </c>
      <c r="Q68" s="1182" t="s">
        <v>1452</v>
      </c>
      <c r="R68" s="1182" t="s">
        <v>1452</v>
      </c>
      <c r="S68" s="1182" t="s">
        <v>1639</v>
      </c>
      <c r="T68" s="1182" t="s">
        <v>4454</v>
      </c>
      <c r="U68" s="1182" t="s">
        <v>4455</v>
      </c>
      <c r="V68" s="1182">
        <v>0</v>
      </c>
      <c r="W68" s="1182">
        <v>0</v>
      </c>
      <c r="X68" s="1182">
        <v>0</v>
      </c>
      <c r="Y68" s="1183">
        <v>9264</v>
      </c>
      <c r="Z68" s="1182" t="s">
        <v>4456</v>
      </c>
      <c r="AA68" s="1182" t="s">
        <v>1452</v>
      </c>
      <c r="AB68" s="1182">
        <v>9264</v>
      </c>
      <c r="AC68" s="1182" t="s">
        <v>4550</v>
      </c>
      <c r="AD68" s="1182" t="s">
        <v>4551</v>
      </c>
      <c r="AE68" s="1182">
        <v>9264</v>
      </c>
      <c r="AF68" s="1182" t="s">
        <v>4418</v>
      </c>
      <c r="AG68" s="1182" t="s">
        <v>3911</v>
      </c>
      <c r="AH68" s="1182">
        <v>684</v>
      </c>
      <c r="AI68" s="1182">
        <v>8580</v>
      </c>
      <c r="AJ68" s="1182" t="s">
        <v>1639</v>
      </c>
      <c r="AL68" s="1186" t="s">
        <v>4569</v>
      </c>
      <c r="AM68" s="1182">
        <v>1</v>
      </c>
      <c r="AN68" s="1182">
        <v>0</v>
      </c>
      <c r="AO68" s="1182">
        <v>0</v>
      </c>
      <c r="AP68" s="1555">
        <v>0</v>
      </c>
      <c r="AQ68" s="1182" t="s">
        <v>1639</v>
      </c>
      <c r="AS68" s="1554" t="s">
        <v>4418</v>
      </c>
      <c r="AT68" s="1554" t="s">
        <v>3911</v>
      </c>
      <c r="AV68" s="1183">
        <v>0</v>
      </c>
      <c r="AW68" s="1183">
        <v>0</v>
      </c>
      <c r="AX68" s="1183">
        <v>0</v>
      </c>
      <c r="AY68" s="1540">
        <v>0</v>
      </c>
      <c r="AZ68" s="1183">
        <v>0</v>
      </c>
      <c r="BA68" s="1183">
        <v>9264</v>
      </c>
      <c r="BB68" s="1540">
        <v>9264</v>
      </c>
      <c r="BC68" s="1540">
        <v>9264</v>
      </c>
      <c r="BD68" s="1540">
        <v>0</v>
      </c>
      <c r="BF68" s="1540">
        <f t="shared" si="21"/>
        <v>0</v>
      </c>
      <c r="BG68" s="1540">
        <f t="shared" si="22"/>
        <v>0</v>
      </c>
      <c r="BH68" s="1540">
        <f t="shared" si="23"/>
        <v>0</v>
      </c>
      <c r="BI68" s="1540">
        <f t="shared" si="24"/>
        <v>0</v>
      </c>
      <c r="BJ68" s="1540">
        <f t="shared" si="25"/>
        <v>0</v>
      </c>
      <c r="BK68" s="1540">
        <f t="shared" si="26"/>
        <v>8578</v>
      </c>
      <c r="BL68" s="1540">
        <f t="shared" si="27"/>
        <v>8578</v>
      </c>
      <c r="BM68" s="1540">
        <f t="shared" si="28"/>
        <v>8578</v>
      </c>
      <c r="BN68" s="1183"/>
      <c r="BO68" s="1182">
        <f t="shared" si="36"/>
        <v>0</v>
      </c>
      <c r="BP68" s="1182">
        <f t="shared" si="37"/>
        <v>0</v>
      </c>
      <c r="BQ68" s="1182">
        <f t="shared" si="38"/>
        <v>0</v>
      </c>
      <c r="BR68" s="1182">
        <f t="shared" si="39"/>
        <v>0</v>
      </c>
      <c r="BS68" s="1182">
        <f t="shared" si="40"/>
        <v>0</v>
      </c>
      <c r="BT68" s="1182">
        <f t="shared" si="41"/>
        <v>-0.22222222222262644</v>
      </c>
      <c r="BU68" s="1182">
        <f t="shared" si="42"/>
        <v>-0.22222222222262644</v>
      </c>
    </row>
    <row r="69" spans="1:73">
      <c r="A69" s="1182" t="s">
        <v>1803</v>
      </c>
      <c r="B69" s="1182" t="s">
        <v>1804</v>
      </c>
      <c r="C69" s="1182" t="s">
        <v>1639</v>
      </c>
      <c r="D69" s="1182" t="s">
        <v>2590</v>
      </c>
      <c r="E69" s="1182" t="s">
        <v>2591</v>
      </c>
      <c r="F69" s="1182" t="s">
        <v>2845</v>
      </c>
      <c r="G69" s="1182" t="s">
        <v>2845</v>
      </c>
      <c r="H69" s="1188" t="s">
        <v>4548</v>
      </c>
      <c r="I69" s="1182" t="s">
        <v>2933</v>
      </c>
      <c r="J69" s="1182" t="s">
        <v>4570</v>
      </c>
      <c r="K69" s="1182" t="s">
        <v>1811</v>
      </c>
      <c r="L69" s="1182" t="s">
        <v>1812</v>
      </c>
      <c r="M69" s="1182" t="s">
        <v>1803</v>
      </c>
      <c r="N69" s="1182" t="s">
        <v>4453</v>
      </c>
      <c r="O69" s="1182" t="s">
        <v>1654</v>
      </c>
      <c r="P69" s="1182" t="s">
        <v>1653</v>
      </c>
      <c r="Q69" s="1182" t="s">
        <v>1452</v>
      </c>
      <c r="R69" s="1182" t="s">
        <v>1452</v>
      </c>
      <c r="S69" s="1182" t="s">
        <v>1639</v>
      </c>
      <c r="T69" s="1182" t="s">
        <v>4454</v>
      </c>
      <c r="U69" s="1182" t="s">
        <v>4455</v>
      </c>
      <c r="V69" s="1182">
        <v>0</v>
      </c>
      <c r="W69" s="1182">
        <v>0</v>
      </c>
      <c r="X69" s="1182">
        <v>0</v>
      </c>
      <c r="Y69" s="1183">
        <v>7770</v>
      </c>
      <c r="Z69" s="1182" t="s">
        <v>4456</v>
      </c>
      <c r="AA69" s="1182" t="s">
        <v>1452</v>
      </c>
      <c r="AB69" s="1182">
        <v>7770</v>
      </c>
      <c r="AC69" s="1182" t="s">
        <v>4550</v>
      </c>
      <c r="AD69" s="1182" t="s">
        <v>4551</v>
      </c>
      <c r="AE69" s="1182">
        <v>7770</v>
      </c>
      <c r="AF69" s="1182" t="s">
        <v>4437</v>
      </c>
      <c r="AG69" s="1182" t="s">
        <v>1820</v>
      </c>
      <c r="AH69" s="1182">
        <v>706</v>
      </c>
      <c r="AI69" s="1182">
        <v>7064</v>
      </c>
      <c r="AJ69" s="1182" t="s">
        <v>1639</v>
      </c>
      <c r="AL69" s="1186" t="s">
        <v>4571</v>
      </c>
      <c r="AM69" s="1182">
        <v>1</v>
      </c>
      <c r="AN69" s="1182">
        <v>0</v>
      </c>
      <c r="AO69" s="1182">
        <v>0</v>
      </c>
      <c r="AP69" s="1555">
        <v>0</v>
      </c>
      <c r="AQ69" s="1182" t="s">
        <v>1639</v>
      </c>
      <c r="AS69" s="1554" t="s">
        <v>4437</v>
      </c>
      <c r="AT69" s="1554" t="s">
        <v>1820</v>
      </c>
      <c r="AV69" s="1183">
        <v>0</v>
      </c>
      <c r="AW69" s="1183">
        <v>0</v>
      </c>
      <c r="AX69" s="1183">
        <v>0</v>
      </c>
      <c r="AY69" s="1540">
        <v>0</v>
      </c>
      <c r="AZ69" s="1183">
        <v>0</v>
      </c>
      <c r="BA69" s="1183">
        <v>7770</v>
      </c>
      <c r="BB69" s="1540">
        <v>7770</v>
      </c>
      <c r="BC69" s="1540">
        <v>7770</v>
      </c>
      <c r="BD69" s="1540">
        <v>0</v>
      </c>
      <c r="BF69" s="1540">
        <f t="shared" si="21"/>
        <v>0</v>
      </c>
      <c r="BG69" s="1540">
        <f t="shared" si="22"/>
        <v>0</v>
      </c>
      <c r="BH69" s="1540">
        <f t="shared" si="23"/>
        <v>0</v>
      </c>
      <c r="BI69" s="1540">
        <f t="shared" si="24"/>
        <v>0</v>
      </c>
      <c r="BJ69" s="1540">
        <f t="shared" si="25"/>
        <v>0</v>
      </c>
      <c r="BK69" s="1540">
        <f t="shared" si="26"/>
        <v>7064</v>
      </c>
      <c r="BL69" s="1540">
        <f t="shared" si="27"/>
        <v>7064</v>
      </c>
      <c r="BM69" s="1540">
        <f t="shared" si="28"/>
        <v>7064</v>
      </c>
      <c r="BN69" s="1183"/>
      <c r="BO69" s="1182">
        <f t="shared" si="36"/>
        <v>0</v>
      </c>
      <c r="BP69" s="1182">
        <f t="shared" si="37"/>
        <v>0</v>
      </c>
      <c r="BQ69" s="1182">
        <f t="shared" si="38"/>
        <v>0</v>
      </c>
      <c r="BR69" s="1182">
        <f t="shared" si="39"/>
        <v>0</v>
      </c>
      <c r="BS69" s="1182">
        <f t="shared" si="40"/>
        <v>0</v>
      </c>
      <c r="BT69" s="1182">
        <f t="shared" si="41"/>
        <v>-0.36363636363603291</v>
      </c>
      <c r="BU69" s="1182">
        <f t="shared" si="42"/>
        <v>-0.36363636363603291</v>
      </c>
    </row>
    <row r="70" spans="1:73">
      <c r="A70" s="1182" t="s">
        <v>1803</v>
      </c>
      <c r="B70" s="1182" t="s">
        <v>1804</v>
      </c>
      <c r="C70" s="1182" t="s">
        <v>1639</v>
      </c>
      <c r="D70" s="1182" t="s">
        <v>2590</v>
      </c>
      <c r="E70" s="1182" t="s">
        <v>2591</v>
      </c>
      <c r="F70" s="1182" t="s">
        <v>1935</v>
      </c>
      <c r="G70" s="1182" t="s">
        <v>1935</v>
      </c>
      <c r="H70" s="1188" t="s">
        <v>4557</v>
      </c>
      <c r="I70" s="1182" t="s">
        <v>2933</v>
      </c>
      <c r="J70" s="1182" t="s">
        <v>4562</v>
      </c>
      <c r="K70" s="1182" t="s">
        <v>1811</v>
      </c>
      <c r="L70" s="1182" t="s">
        <v>1812</v>
      </c>
      <c r="M70" s="1182" t="s">
        <v>1803</v>
      </c>
      <c r="N70" s="1182" t="s">
        <v>4453</v>
      </c>
      <c r="O70" s="1182" t="s">
        <v>1654</v>
      </c>
      <c r="P70" s="1182" t="s">
        <v>1653</v>
      </c>
      <c r="Q70" s="1182" t="s">
        <v>1452</v>
      </c>
      <c r="R70" s="1182" t="s">
        <v>1452</v>
      </c>
      <c r="S70" s="1182" t="s">
        <v>1639</v>
      </c>
      <c r="T70" s="1182" t="s">
        <v>4454</v>
      </c>
      <c r="U70" s="1182" t="s">
        <v>4455</v>
      </c>
      <c r="V70" s="1182">
        <v>0</v>
      </c>
      <c r="W70" s="1182">
        <v>0</v>
      </c>
      <c r="X70" s="1182">
        <v>0</v>
      </c>
      <c r="Y70" s="1183">
        <v>4587</v>
      </c>
      <c r="Z70" s="1182" t="s">
        <v>4456</v>
      </c>
      <c r="AA70" s="1182" t="s">
        <v>1452</v>
      </c>
      <c r="AB70" s="1182">
        <v>4587</v>
      </c>
      <c r="AC70" s="1182" t="s">
        <v>4550</v>
      </c>
      <c r="AD70" s="1182" t="s">
        <v>4551</v>
      </c>
      <c r="AE70" s="1182">
        <v>4587</v>
      </c>
      <c r="AF70" s="1182" t="s">
        <v>4437</v>
      </c>
      <c r="AG70" s="1182" t="s">
        <v>1820</v>
      </c>
      <c r="AH70" s="1182">
        <v>417</v>
      </c>
      <c r="AI70" s="1182">
        <v>4170</v>
      </c>
      <c r="AJ70" s="1182" t="s">
        <v>1639</v>
      </c>
      <c r="AL70" s="1186" t="s">
        <v>4563</v>
      </c>
      <c r="AM70" s="1182">
        <v>1</v>
      </c>
      <c r="AN70" s="1182">
        <v>0</v>
      </c>
      <c r="AO70" s="1182">
        <v>0</v>
      </c>
      <c r="AP70" s="1555">
        <v>0</v>
      </c>
      <c r="AQ70" s="1182" t="s">
        <v>1639</v>
      </c>
      <c r="AS70" s="1554" t="s">
        <v>4437</v>
      </c>
      <c r="AT70" s="1554" t="s">
        <v>1820</v>
      </c>
      <c r="AV70" s="1183">
        <v>0</v>
      </c>
      <c r="AW70" s="1183">
        <v>0</v>
      </c>
      <c r="AX70" s="1183">
        <v>0</v>
      </c>
      <c r="AY70" s="1540">
        <v>0</v>
      </c>
      <c r="AZ70" s="1183">
        <v>0</v>
      </c>
      <c r="BA70" s="1183">
        <v>4587</v>
      </c>
      <c r="BB70" s="1540">
        <v>4587</v>
      </c>
      <c r="BC70" s="1540">
        <v>4587</v>
      </c>
      <c r="BD70" s="1540">
        <v>0</v>
      </c>
      <c r="BF70" s="1540">
        <f t="shared" si="21"/>
        <v>0</v>
      </c>
      <c r="BG70" s="1540">
        <f t="shared" si="22"/>
        <v>0</v>
      </c>
      <c r="BH70" s="1540">
        <f t="shared" si="23"/>
        <v>0</v>
      </c>
      <c r="BI70" s="1540">
        <f t="shared" si="24"/>
        <v>0</v>
      </c>
      <c r="BJ70" s="1540">
        <f t="shared" si="25"/>
        <v>0</v>
      </c>
      <c r="BK70" s="1540">
        <f t="shared" si="26"/>
        <v>4170</v>
      </c>
      <c r="BL70" s="1540">
        <f t="shared" si="27"/>
        <v>4170</v>
      </c>
      <c r="BM70" s="1540">
        <f t="shared" si="28"/>
        <v>4170</v>
      </c>
      <c r="BN70" s="1183"/>
      <c r="BO70" s="1182">
        <f t="shared" si="36"/>
        <v>0</v>
      </c>
      <c r="BP70" s="1182">
        <f t="shared" si="37"/>
        <v>0</v>
      </c>
      <c r="BQ70" s="1182">
        <f t="shared" si="38"/>
        <v>0</v>
      </c>
      <c r="BR70" s="1182">
        <f t="shared" si="39"/>
        <v>0</v>
      </c>
      <c r="BS70" s="1182">
        <f t="shared" si="40"/>
        <v>0</v>
      </c>
      <c r="BT70" s="1182">
        <f t="shared" si="41"/>
        <v>0</v>
      </c>
      <c r="BU70" s="1182">
        <f t="shared" si="42"/>
        <v>0</v>
      </c>
    </row>
    <row r="71" spans="1:73">
      <c r="A71" s="1182" t="s">
        <v>1803</v>
      </c>
      <c r="B71" s="1182" t="s">
        <v>1804</v>
      </c>
      <c r="C71" s="1182" t="s">
        <v>1639</v>
      </c>
      <c r="D71" s="1182" t="s">
        <v>2590</v>
      </c>
      <c r="E71" s="1182" t="s">
        <v>2591</v>
      </c>
      <c r="F71" s="1182" t="s">
        <v>1996</v>
      </c>
      <c r="G71" s="1182" t="s">
        <v>1996</v>
      </c>
      <c r="H71" s="1188" t="s">
        <v>4548</v>
      </c>
      <c r="I71" s="1182" t="s">
        <v>2933</v>
      </c>
      <c r="J71" s="1182" t="s">
        <v>4564</v>
      </c>
      <c r="K71" s="1182" t="s">
        <v>1811</v>
      </c>
      <c r="L71" s="1182" t="s">
        <v>1812</v>
      </c>
      <c r="M71" s="1182" t="s">
        <v>1803</v>
      </c>
      <c r="N71" s="1182" t="s">
        <v>4453</v>
      </c>
      <c r="O71" s="1182" t="s">
        <v>1654</v>
      </c>
      <c r="P71" s="1182" t="s">
        <v>1653</v>
      </c>
      <c r="Q71" s="1182" t="s">
        <v>1452</v>
      </c>
      <c r="R71" s="1182" t="s">
        <v>1452</v>
      </c>
      <c r="S71" s="1182" t="s">
        <v>1639</v>
      </c>
      <c r="T71" s="1182" t="s">
        <v>4454</v>
      </c>
      <c r="U71" s="1182" t="s">
        <v>4455</v>
      </c>
      <c r="V71" s="1182">
        <v>0</v>
      </c>
      <c r="W71" s="1182">
        <v>0</v>
      </c>
      <c r="X71" s="1182">
        <v>0</v>
      </c>
      <c r="Y71" s="1183">
        <v>20972</v>
      </c>
      <c r="Z71" s="1182" t="s">
        <v>4456</v>
      </c>
      <c r="AA71" s="1182" t="s">
        <v>1452</v>
      </c>
      <c r="AB71" s="1182">
        <v>20972</v>
      </c>
      <c r="AC71" s="1182" t="s">
        <v>4550</v>
      </c>
      <c r="AD71" s="1182" t="s">
        <v>4551</v>
      </c>
      <c r="AE71" s="1182">
        <v>20972</v>
      </c>
      <c r="AF71" s="1182" t="s">
        <v>4437</v>
      </c>
      <c r="AG71" s="1182" t="s">
        <v>1820</v>
      </c>
      <c r="AH71" s="1182">
        <v>1907</v>
      </c>
      <c r="AI71" s="1182">
        <v>19065</v>
      </c>
      <c r="AJ71" s="1182" t="s">
        <v>1639</v>
      </c>
      <c r="AL71" s="1186" t="s">
        <v>4565</v>
      </c>
      <c r="AM71" s="1182">
        <v>1</v>
      </c>
      <c r="AN71" s="1182">
        <v>0</v>
      </c>
      <c r="AO71" s="1182">
        <v>0</v>
      </c>
      <c r="AP71" s="1555">
        <v>0</v>
      </c>
      <c r="AQ71" s="1182" t="s">
        <v>1639</v>
      </c>
      <c r="AS71" s="1554" t="s">
        <v>4437</v>
      </c>
      <c r="AT71" s="1554" t="s">
        <v>1820</v>
      </c>
      <c r="AV71" s="1183">
        <v>0</v>
      </c>
      <c r="AW71" s="1183">
        <v>0</v>
      </c>
      <c r="AX71" s="1183">
        <v>0</v>
      </c>
      <c r="AY71" s="1540">
        <v>0</v>
      </c>
      <c r="AZ71" s="1183">
        <v>0</v>
      </c>
      <c r="BA71" s="1183">
        <v>20972</v>
      </c>
      <c r="BB71" s="1540">
        <v>20972</v>
      </c>
      <c r="BC71" s="1540">
        <v>20972</v>
      </c>
      <c r="BD71" s="1540">
        <v>0</v>
      </c>
      <c r="BF71" s="1540">
        <f t="shared" si="21"/>
        <v>0</v>
      </c>
      <c r="BG71" s="1540">
        <f t="shared" si="22"/>
        <v>0</v>
      </c>
      <c r="BH71" s="1540">
        <f t="shared" si="23"/>
        <v>0</v>
      </c>
      <c r="BI71" s="1540">
        <f t="shared" si="24"/>
        <v>0</v>
      </c>
      <c r="BJ71" s="1540">
        <f t="shared" si="25"/>
        <v>0</v>
      </c>
      <c r="BK71" s="1562">
        <f>+IFERROR(ROUND(BA71*100/(100+$AT71),0),BA71)+1</f>
        <v>19066</v>
      </c>
      <c r="BL71" s="1540">
        <f t="shared" si="27"/>
        <v>19066</v>
      </c>
      <c r="BM71" s="1540">
        <f t="shared" si="28"/>
        <v>19066</v>
      </c>
      <c r="BN71" s="1183"/>
      <c r="BO71" s="1182">
        <f t="shared" si="36"/>
        <v>0</v>
      </c>
      <c r="BP71" s="1182">
        <f t="shared" si="37"/>
        <v>0</v>
      </c>
      <c r="BQ71" s="1182">
        <f t="shared" si="38"/>
        <v>0</v>
      </c>
      <c r="BR71" s="1182">
        <f t="shared" si="39"/>
        <v>0</v>
      </c>
      <c r="BS71" s="1182">
        <f t="shared" si="40"/>
        <v>0</v>
      </c>
      <c r="BT71" s="1182">
        <f t="shared" si="41"/>
        <v>-0.54545454545586836</v>
      </c>
      <c r="BU71" s="1182">
        <f t="shared" si="42"/>
        <v>-0.54545454545586836</v>
      </c>
    </row>
    <row r="72" spans="1:73">
      <c r="A72" s="1182" t="s">
        <v>1803</v>
      </c>
      <c r="B72" s="1182" t="s">
        <v>1804</v>
      </c>
      <c r="C72" s="1182" t="s">
        <v>1639</v>
      </c>
      <c r="D72" s="1182" t="s">
        <v>2590</v>
      </c>
      <c r="E72" s="1182" t="s">
        <v>2591</v>
      </c>
      <c r="F72" s="1182" t="s">
        <v>3915</v>
      </c>
      <c r="G72" s="1182" t="s">
        <v>3915</v>
      </c>
      <c r="H72" s="1188" t="s">
        <v>4548</v>
      </c>
      <c r="I72" s="1182" t="s">
        <v>2933</v>
      </c>
      <c r="J72" s="1182" t="s">
        <v>4572</v>
      </c>
      <c r="K72" s="1182" t="s">
        <v>1811</v>
      </c>
      <c r="L72" s="1182" t="s">
        <v>1812</v>
      </c>
      <c r="M72" s="1182" t="s">
        <v>1803</v>
      </c>
      <c r="N72" s="1182" t="s">
        <v>4453</v>
      </c>
      <c r="O72" s="1182" t="s">
        <v>1654</v>
      </c>
      <c r="P72" s="1182" t="s">
        <v>1653</v>
      </c>
      <c r="Q72" s="1182" t="s">
        <v>1452</v>
      </c>
      <c r="R72" s="1182" t="s">
        <v>1452</v>
      </c>
      <c r="S72" s="1182" t="s">
        <v>1639</v>
      </c>
      <c r="T72" s="1182" t="s">
        <v>4454</v>
      </c>
      <c r="U72" s="1182" t="s">
        <v>4455</v>
      </c>
      <c r="V72" s="1182">
        <v>0</v>
      </c>
      <c r="W72" s="1182">
        <v>0</v>
      </c>
      <c r="X72" s="1182">
        <v>0</v>
      </c>
      <c r="Y72" s="1183">
        <v>136155</v>
      </c>
      <c r="Z72" s="1182" t="s">
        <v>4456</v>
      </c>
      <c r="AA72" s="1182" t="s">
        <v>1452</v>
      </c>
      <c r="AB72" s="1182">
        <v>136155</v>
      </c>
      <c r="AC72" s="1182" t="s">
        <v>4550</v>
      </c>
      <c r="AD72" s="1182" t="s">
        <v>4551</v>
      </c>
      <c r="AE72" s="1182">
        <v>136155</v>
      </c>
      <c r="AF72" s="1182" t="s">
        <v>4437</v>
      </c>
      <c r="AG72" s="1182" t="s">
        <v>1820</v>
      </c>
      <c r="AH72" s="1182">
        <v>12377</v>
      </c>
      <c r="AI72" s="1182">
        <v>123778</v>
      </c>
      <c r="AJ72" s="1182" t="s">
        <v>1639</v>
      </c>
      <c r="AL72" s="1186" t="s">
        <v>4573</v>
      </c>
      <c r="AM72" s="1182">
        <v>1</v>
      </c>
      <c r="AN72" s="1182">
        <v>0</v>
      </c>
      <c r="AO72" s="1182">
        <v>0</v>
      </c>
      <c r="AP72" s="1555">
        <v>0</v>
      </c>
      <c r="AQ72" s="1182" t="s">
        <v>1639</v>
      </c>
      <c r="AS72" s="1554" t="s">
        <v>4437</v>
      </c>
      <c r="AT72" s="1554" t="s">
        <v>1820</v>
      </c>
      <c r="AV72" s="1183">
        <v>0</v>
      </c>
      <c r="AW72" s="1183">
        <v>0</v>
      </c>
      <c r="AX72" s="1183">
        <v>0</v>
      </c>
      <c r="AY72" s="1540">
        <v>0</v>
      </c>
      <c r="AZ72" s="1183">
        <v>0</v>
      </c>
      <c r="BA72" s="1183">
        <v>136155</v>
      </c>
      <c r="BB72" s="1540">
        <v>136155</v>
      </c>
      <c r="BC72" s="1540">
        <v>136155</v>
      </c>
      <c r="BD72" s="1540">
        <v>0</v>
      </c>
      <c r="BF72" s="1540">
        <f t="shared" si="21"/>
        <v>0</v>
      </c>
      <c r="BG72" s="1540">
        <f t="shared" si="22"/>
        <v>0</v>
      </c>
      <c r="BH72" s="1540">
        <f t="shared" si="23"/>
        <v>0</v>
      </c>
      <c r="BI72" s="1540">
        <f t="shared" si="24"/>
        <v>0</v>
      </c>
      <c r="BJ72" s="1540">
        <f t="shared" si="25"/>
        <v>0</v>
      </c>
      <c r="BK72" s="1540">
        <f t="shared" si="26"/>
        <v>123777</v>
      </c>
      <c r="BL72" s="1540">
        <f t="shared" si="27"/>
        <v>123777</v>
      </c>
      <c r="BM72" s="1540">
        <f t="shared" si="28"/>
        <v>123777</v>
      </c>
      <c r="BN72" s="1183"/>
      <c r="BO72" s="1182">
        <f t="shared" si="36"/>
        <v>0</v>
      </c>
      <c r="BP72" s="1182">
        <f t="shared" si="37"/>
        <v>0</v>
      </c>
      <c r="BQ72" s="1182">
        <f t="shared" si="38"/>
        <v>0</v>
      </c>
      <c r="BR72" s="1182">
        <f t="shared" si="39"/>
        <v>0</v>
      </c>
      <c r="BS72" s="1182">
        <f t="shared" si="40"/>
        <v>0</v>
      </c>
      <c r="BT72" s="1182">
        <f t="shared" si="41"/>
        <v>0.27272727272065822</v>
      </c>
      <c r="BU72" s="1182">
        <f t="shared" si="42"/>
        <v>0.27272727272065822</v>
      </c>
    </row>
    <row r="73" spans="1:73">
      <c r="A73" s="1182" t="s">
        <v>1803</v>
      </c>
      <c r="B73" s="1182" t="s">
        <v>1804</v>
      </c>
      <c r="C73" s="1182" t="s">
        <v>1639</v>
      </c>
      <c r="D73" s="1182" t="s">
        <v>2590</v>
      </c>
      <c r="E73" s="1182" t="s">
        <v>2591</v>
      </c>
      <c r="F73" s="1182" t="s">
        <v>1927</v>
      </c>
      <c r="G73" s="1182" t="s">
        <v>1927</v>
      </c>
      <c r="H73" s="1188" t="s">
        <v>4548</v>
      </c>
      <c r="I73" s="1182" t="s">
        <v>2933</v>
      </c>
      <c r="J73" s="1182" t="s">
        <v>4574</v>
      </c>
      <c r="K73" s="1182" t="s">
        <v>1811</v>
      </c>
      <c r="L73" s="1182" t="s">
        <v>1812</v>
      </c>
      <c r="M73" s="1182" t="s">
        <v>1803</v>
      </c>
      <c r="N73" s="1182" t="s">
        <v>4453</v>
      </c>
      <c r="O73" s="1182" t="s">
        <v>1654</v>
      </c>
      <c r="P73" s="1182" t="s">
        <v>1653</v>
      </c>
      <c r="Q73" s="1182" t="s">
        <v>1452</v>
      </c>
      <c r="R73" s="1182" t="s">
        <v>1452</v>
      </c>
      <c r="S73" s="1182" t="s">
        <v>1639</v>
      </c>
      <c r="T73" s="1182" t="s">
        <v>4454</v>
      </c>
      <c r="U73" s="1182" t="s">
        <v>4455</v>
      </c>
      <c r="V73" s="1182">
        <v>0</v>
      </c>
      <c r="W73" s="1182">
        <v>0</v>
      </c>
      <c r="X73" s="1182">
        <v>0</v>
      </c>
      <c r="Y73" s="1183">
        <v>789522</v>
      </c>
      <c r="Z73" s="1182" t="s">
        <v>4456</v>
      </c>
      <c r="AA73" s="1182" t="s">
        <v>1452</v>
      </c>
      <c r="AB73" s="1182">
        <v>789522</v>
      </c>
      <c r="AC73" s="1182" t="s">
        <v>4550</v>
      </c>
      <c r="AD73" s="1182" t="s">
        <v>4551</v>
      </c>
      <c r="AE73" s="1182">
        <v>789522</v>
      </c>
      <c r="AF73" s="1182" t="s">
        <v>4418</v>
      </c>
      <c r="AG73" s="1182" t="s">
        <v>1820</v>
      </c>
      <c r="AH73" s="1182">
        <v>71771</v>
      </c>
      <c r="AI73" s="1182">
        <v>717751</v>
      </c>
      <c r="AJ73" s="1182" t="s">
        <v>1639</v>
      </c>
      <c r="AL73" s="1186" t="s">
        <v>4575</v>
      </c>
      <c r="AM73" s="1182">
        <v>2</v>
      </c>
      <c r="AN73" s="1182">
        <v>18</v>
      </c>
      <c r="AO73" s="1182">
        <v>10</v>
      </c>
      <c r="AP73" s="1555">
        <v>0</v>
      </c>
      <c r="AQ73" s="1182" t="s">
        <v>1639</v>
      </c>
      <c r="AS73" s="1554">
        <v>18</v>
      </c>
      <c r="AT73" s="1554">
        <v>10</v>
      </c>
      <c r="AV73" s="1183">
        <v>0</v>
      </c>
      <c r="AW73" s="1183">
        <v>0</v>
      </c>
      <c r="AX73" s="1183">
        <v>0</v>
      </c>
      <c r="AY73" s="1540">
        <v>0</v>
      </c>
      <c r="AZ73" s="1183">
        <v>0</v>
      </c>
      <c r="BA73" s="1183">
        <v>789522</v>
      </c>
      <c r="BB73" s="1540">
        <v>789522</v>
      </c>
      <c r="BC73" s="1540">
        <v>789522</v>
      </c>
      <c r="BD73" s="1540">
        <v>0</v>
      </c>
      <c r="BF73" s="1540">
        <f t="shared" si="21"/>
        <v>0</v>
      </c>
      <c r="BG73" s="1540">
        <f t="shared" si="22"/>
        <v>0</v>
      </c>
      <c r="BH73" s="1540">
        <f t="shared" si="23"/>
        <v>0</v>
      </c>
      <c r="BI73" s="1540">
        <f t="shared" si="24"/>
        <v>0</v>
      </c>
      <c r="BJ73" s="1540">
        <f t="shared" si="25"/>
        <v>0</v>
      </c>
      <c r="BK73" s="1540">
        <f t="shared" si="26"/>
        <v>717747</v>
      </c>
      <c r="BL73" s="1540">
        <f t="shared" si="27"/>
        <v>717747</v>
      </c>
      <c r="BM73" s="1540">
        <f t="shared" si="28"/>
        <v>717747</v>
      </c>
      <c r="BN73" s="1183"/>
      <c r="BO73" s="1182">
        <f t="shared" si="36"/>
        <v>0</v>
      </c>
      <c r="BP73" s="1182">
        <f t="shared" si="37"/>
        <v>0</v>
      </c>
      <c r="BQ73" s="1182">
        <f t="shared" si="38"/>
        <v>0</v>
      </c>
      <c r="BR73" s="1182">
        <f t="shared" si="39"/>
        <v>0</v>
      </c>
      <c r="BS73" s="1182">
        <f t="shared" si="40"/>
        <v>0</v>
      </c>
      <c r="BT73" s="1182">
        <f t="shared" si="41"/>
        <v>0.27272727270610631</v>
      </c>
      <c r="BU73" s="1182">
        <f t="shared" si="42"/>
        <v>0.27272727270610631</v>
      </c>
    </row>
    <row r="74" spans="1:73">
      <c r="A74" s="1182" t="s">
        <v>1803</v>
      </c>
      <c r="B74" s="1182" t="s">
        <v>1804</v>
      </c>
      <c r="C74" s="1182" t="s">
        <v>1639</v>
      </c>
      <c r="D74" s="1182" t="s">
        <v>2590</v>
      </c>
      <c r="E74" s="1182" t="s">
        <v>2591</v>
      </c>
      <c r="F74" s="1182" t="s">
        <v>4507</v>
      </c>
      <c r="G74" s="1182" t="s">
        <v>4507</v>
      </c>
      <c r="H74" s="1188" t="s">
        <v>4548</v>
      </c>
      <c r="I74" s="1182" t="s">
        <v>2933</v>
      </c>
      <c r="J74" s="1182" t="s">
        <v>4576</v>
      </c>
      <c r="K74" s="1182" t="s">
        <v>1811</v>
      </c>
      <c r="L74" s="1182" t="s">
        <v>1812</v>
      </c>
      <c r="M74" s="1182" t="s">
        <v>1803</v>
      </c>
      <c r="N74" s="1182" t="s">
        <v>4453</v>
      </c>
      <c r="O74" s="1182" t="s">
        <v>1654</v>
      </c>
      <c r="P74" s="1182" t="s">
        <v>1653</v>
      </c>
      <c r="Q74" s="1182" t="s">
        <v>1452</v>
      </c>
      <c r="R74" s="1182" t="s">
        <v>1452</v>
      </c>
      <c r="S74" s="1182" t="s">
        <v>1639</v>
      </c>
      <c r="T74" s="1182" t="s">
        <v>4454</v>
      </c>
      <c r="U74" s="1182" t="s">
        <v>4455</v>
      </c>
      <c r="V74" s="1182">
        <v>0</v>
      </c>
      <c r="W74" s="1182">
        <v>0</v>
      </c>
      <c r="X74" s="1182">
        <v>0</v>
      </c>
      <c r="Y74" s="1183">
        <v>38149</v>
      </c>
      <c r="Z74" s="1182" t="s">
        <v>4456</v>
      </c>
      <c r="AA74" s="1182" t="s">
        <v>1452</v>
      </c>
      <c r="AB74" s="1182">
        <v>38149</v>
      </c>
      <c r="AC74" s="1182" t="s">
        <v>4550</v>
      </c>
      <c r="AD74" s="1182" t="s">
        <v>4551</v>
      </c>
      <c r="AE74" s="1182">
        <v>38149</v>
      </c>
      <c r="AF74" s="1182" t="s">
        <v>4437</v>
      </c>
      <c r="AG74" s="1182" t="s">
        <v>1820</v>
      </c>
      <c r="AH74" s="1182">
        <v>3466</v>
      </c>
      <c r="AI74" s="1182">
        <v>34683</v>
      </c>
      <c r="AJ74" s="1182" t="s">
        <v>1639</v>
      </c>
      <c r="AL74" s="1186" t="s">
        <v>4577</v>
      </c>
      <c r="AM74" s="1182">
        <v>1</v>
      </c>
      <c r="AN74" s="1182">
        <v>0</v>
      </c>
      <c r="AO74" s="1182">
        <v>0</v>
      </c>
      <c r="AP74" s="1555">
        <v>0</v>
      </c>
      <c r="AQ74" s="1182" t="s">
        <v>1639</v>
      </c>
      <c r="AS74" s="1554" t="s">
        <v>4437</v>
      </c>
      <c r="AT74" s="1554" t="s">
        <v>1820</v>
      </c>
      <c r="AV74" s="1183">
        <v>0</v>
      </c>
      <c r="AW74" s="1183">
        <v>0</v>
      </c>
      <c r="AX74" s="1183">
        <v>0</v>
      </c>
      <c r="AY74" s="1540">
        <v>0</v>
      </c>
      <c r="AZ74" s="1183">
        <v>0</v>
      </c>
      <c r="BA74" s="1183">
        <v>38149</v>
      </c>
      <c r="BB74" s="1540">
        <v>38149</v>
      </c>
      <c r="BC74" s="1540">
        <v>38149</v>
      </c>
      <c r="BD74" s="1540">
        <v>0</v>
      </c>
      <c r="BF74" s="1540">
        <f t="shared" si="21"/>
        <v>0</v>
      </c>
      <c r="BG74" s="1540">
        <f t="shared" si="22"/>
        <v>0</v>
      </c>
      <c r="BH74" s="1540">
        <f t="shared" si="23"/>
        <v>0</v>
      </c>
      <c r="BI74" s="1540">
        <f t="shared" si="24"/>
        <v>0</v>
      </c>
      <c r="BJ74" s="1540">
        <f t="shared" si="25"/>
        <v>0</v>
      </c>
      <c r="BK74" s="1540">
        <f t="shared" si="26"/>
        <v>34681</v>
      </c>
      <c r="BL74" s="1540">
        <f t="shared" si="27"/>
        <v>34681</v>
      </c>
      <c r="BM74" s="1540">
        <f t="shared" si="28"/>
        <v>34681</v>
      </c>
      <c r="BN74" s="1183"/>
      <c r="BO74" s="1182">
        <f t="shared" si="36"/>
        <v>0</v>
      </c>
      <c r="BP74" s="1182">
        <f t="shared" si="37"/>
        <v>0</v>
      </c>
      <c r="BQ74" s="1182">
        <f t="shared" si="38"/>
        <v>0</v>
      </c>
      <c r="BR74" s="1182">
        <f t="shared" si="39"/>
        <v>0</v>
      </c>
      <c r="BS74" s="1182">
        <f t="shared" si="40"/>
        <v>0</v>
      </c>
      <c r="BT74" s="1182">
        <f t="shared" si="41"/>
        <v>-9.0909090911736712E-2</v>
      </c>
      <c r="BU74" s="1182">
        <f t="shared" si="42"/>
        <v>-9.0909090911736712E-2</v>
      </c>
    </row>
    <row r="75" spans="1:73">
      <c r="A75" s="1182" t="s">
        <v>1803</v>
      </c>
      <c r="B75" s="1182" t="s">
        <v>1804</v>
      </c>
      <c r="C75" s="1182" t="s">
        <v>1639</v>
      </c>
      <c r="D75" s="1182" t="s">
        <v>2590</v>
      </c>
      <c r="E75" s="1182" t="s">
        <v>2591</v>
      </c>
      <c r="F75" s="1182" t="s">
        <v>4507</v>
      </c>
      <c r="G75" s="1182" t="s">
        <v>4507</v>
      </c>
      <c r="H75" s="1188" t="s">
        <v>4548</v>
      </c>
      <c r="I75" s="1182" t="s">
        <v>2933</v>
      </c>
      <c r="J75" s="1182" t="s">
        <v>4578</v>
      </c>
      <c r="K75" s="1182" t="s">
        <v>1811</v>
      </c>
      <c r="L75" s="1182" t="s">
        <v>1812</v>
      </c>
      <c r="M75" s="1182" t="s">
        <v>1803</v>
      </c>
      <c r="N75" s="1182" t="s">
        <v>4453</v>
      </c>
      <c r="O75" s="1182" t="s">
        <v>1654</v>
      </c>
      <c r="P75" s="1182" t="s">
        <v>1653</v>
      </c>
      <c r="Q75" s="1182" t="s">
        <v>1452</v>
      </c>
      <c r="R75" s="1182" t="s">
        <v>1452</v>
      </c>
      <c r="S75" s="1182" t="s">
        <v>1639</v>
      </c>
      <c r="T75" s="1182" t="s">
        <v>4454</v>
      </c>
      <c r="U75" s="1182" t="s">
        <v>4455</v>
      </c>
      <c r="V75" s="1182">
        <v>0</v>
      </c>
      <c r="W75" s="1182">
        <v>0</v>
      </c>
      <c r="X75" s="1182">
        <v>0</v>
      </c>
      <c r="Y75" s="1183">
        <v>55357</v>
      </c>
      <c r="Z75" s="1182" t="s">
        <v>4456</v>
      </c>
      <c r="AA75" s="1182" t="s">
        <v>1452</v>
      </c>
      <c r="AB75" s="1182">
        <v>55357</v>
      </c>
      <c r="AC75" s="1182" t="s">
        <v>4550</v>
      </c>
      <c r="AD75" s="1182" t="s">
        <v>4551</v>
      </c>
      <c r="AE75" s="1182">
        <v>55357</v>
      </c>
      <c r="AF75" s="1182" t="s">
        <v>4437</v>
      </c>
      <c r="AG75" s="1182" t="s">
        <v>1820</v>
      </c>
      <c r="AH75" s="1182">
        <v>5032</v>
      </c>
      <c r="AI75" s="1182">
        <v>50325</v>
      </c>
      <c r="AJ75" s="1182" t="s">
        <v>1639</v>
      </c>
      <c r="AL75" s="1186" t="s">
        <v>4579</v>
      </c>
      <c r="AM75" s="1182">
        <v>1</v>
      </c>
      <c r="AN75" s="1182">
        <v>0</v>
      </c>
      <c r="AO75" s="1182">
        <v>0</v>
      </c>
      <c r="AP75" s="1555">
        <v>0</v>
      </c>
      <c r="AQ75" s="1182" t="s">
        <v>1639</v>
      </c>
      <c r="AS75" s="1554" t="s">
        <v>4437</v>
      </c>
      <c r="AT75" s="1554" t="s">
        <v>1820</v>
      </c>
      <c r="AV75" s="1183">
        <v>0</v>
      </c>
      <c r="AW75" s="1183">
        <v>0</v>
      </c>
      <c r="AX75" s="1183">
        <v>0</v>
      </c>
      <c r="AY75" s="1540">
        <v>0</v>
      </c>
      <c r="AZ75" s="1183">
        <v>0</v>
      </c>
      <c r="BA75" s="1183">
        <v>55357</v>
      </c>
      <c r="BB75" s="1540">
        <v>55357</v>
      </c>
      <c r="BC75" s="1540">
        <v>55357</v>
      </c>
      <c r="BD75" s="1540">
        <v>0</v>
      </c>
      <c r="BF75" s="1540">
        <f t="shared" si="21"/>
        <v>0</v>
      </c>
      <c r="BG75" s="1540">
        <f t="shared" si="22"/>
        <v>0</v>
      </c>
      <c r="BH75" s="1540">
        <f t="shared" si="23"/>
        <v>0</v>
      </c>
      <c r="BI75" s="1540">
        <f t="shared" si="24"/>
        <v>0</v>
      </c>
      <c r="BJ75" s="1540">
        <f t="shared" si="25"/>
        <v>0</v>
      </c>
      <c r="BK75" s="1540">
        <f>+IFERROR(ROUND(BA75*100/(100+$AT75),0),BA75)</f>
        <v>50325</v>
      </c>
      <c r="BL75" s="1540">
        <f t="shared" si="27"/>
        <v>50325</v>
      </c>
      <c r="BM75" s="1540">
        <f t="shared" si="28"/>
        <v>50325</v>
      </c>
      <c r="BN75" s="1183"/>
      <c r="BO75" s="1182">
        <f t="shared" si="36"/>
        <v>0</v>
      </c>
      <c r="BP75" s="1182">
        <f t="shared" si="37"/>
        <v>0</v>
      </c>
      <c r="BQ75" s="1182">
        <f t="shared" si="38"/>
        <v>0</v>
      </c>
      <c r="BR75" s="1182">
        <f t="shared" si="39"/>
        <v>0</v>
      </c>
      <c r="BS75" s="1182">
        <f t="shared" si="40"/>
        <v>0</v>
      </c>
      <c r="BT75" s="1182">
        <f t="shared" si="41"/>
        <v>-0.45454545454413164</v>
      </c>
      <c r="BU75" s="1182">
        <f t="shared" si="42"/>
        <v>-0.45454545454413164</v>
      </c>
    </row>
    <row r="76" spans="1:73">
      <c r="A76" s="1182" t="s">
        <v>1803</v>
      </c>
      <c r="B76" s="1182" t="s">
        <v>1804</v>
      </c>
      <c r="C76" s="1182" t="s">
        <v>1639</v>
      </c>
      <c r="D76" s="1182" t="s">
        <v>2590</v>
      </c>
      <c r="E76" s="1182" t="s">
        <v>2591</v>
      </c>
      <c r="F76" s="1182" t="s">
        <v>4507</v>
      </c>
      <c r="G76" s="1182" t="s">
        <v>4507</v>
      </c>
      <c r="H76" s="1188" t="s">
        <v>4548</v>
      </c>
      <c r="I76" s="1182" t="s">
        <v>2933</v>
      </c>
      <c r="J76" s="1182" t="s">
        <v>4580</v>
      </c>
      <c r="K76" s="1182" t="s">
        <v>1811</v>
      </c>
      <c r="L76" s="1182" t="s">
        <v>1812</v>
      </c>
      <c r="M76" s="1182" t="s">
        <v>1803</v>
      </c>
      <c r="N76" s="1182" t="s">
        <v>4453</v>
      </c>
      <c r="O76" s="1182" t="s">
        <v>1654</v>
      </c>
      <c r="P76" s="1182" t="s">
        <v>1653</v>
      </c>
      <c r="Q76" s="1182" t="s">
        <v>1452</v>
      </c>
      <c r="R76" s="1182" t="s">
        <v>1452</v>
      </c>
      <c r="S76" s="1182" t="s">
        <v>1639</v>
      </c>
      <c r="T76" s="1182" t="s">
        <v>4454</v>
      </c>
      <c r="U76" s="1182" t="s">
        <v>4455</v>
      </c>
      <c r="V76" s="1182">
        <v>0</v>
      </c>
      <c r="W76" s="1182">
        <v>0</v>
      </c>
      <c r="X76" s="1182">
        <v>0</v>
      </c>
      <c r="Y76" s="1183">
        <v>1453</v>
      </c>
      <c r="Z76" s="1182" t="s">
        <v>4456</v>
      </c>
      <c r="AA76" s="1182" t="s">
        <v>1452</v>
      </c>
      <c r="AB76" s="1182">
        <v>1453</v>
      </c>
      <c r="AC76" s="1182" t="s">
        <v>4550</v>
      </c>
      <c r="AD76" s="1182" t="s">
        <v>4551</v>
      </c>
      <c r="AE76" s="1182">
        <v>1453</v>
      </c>
      <c r="AF76" s="1182" t="s">
        <v>4418</v>
      </c>
      <c r="AG76" s="1182" t="s">
        <v>3911</v>
      </c>
      <c r="AH76" s="1182">
        <v>103</v>
      </c>
      <c r="AI76" s="1182">
        <v>1350</v>
      </c>
      <c r="AJ76" s="1182" t="s">
        <v>1639</v>
      </c>
      <c r="AL76" s="1186" t="s">
        <v>4581</v>
      </c>
      <c r="AM76" s="1182">
        <v>1</v>
      </c>
      <c r="AN76" s="1182">
        <v>0</v>
      </c>
      <c r="AO76" s="1182">
        <v>0</v>
      </c>
      <c r="AP76" s="1555">
        <v>0</v>
      </c>
      <c r="AQ76" s="1182" t="s">
        <v>1639</v>
      </c>
      <c r="AS76" s="1554" t="s">
        <v>4418</v>
      </c>
      <c r="AT76" s="1554" t="s">
        <v>3911</v>
      </c>
      <c r="AV76" s="1183">
        <v>0</v>
      </c>
      <c r="AW76" s="1183">
        <v>0</v>
      </c>
      <c r="AX76" s="1183">
        <v>0</v>
      </c>
      <c r="AY76" s="1540">
        <v>0</v>
      </c>
      <c r="AZ76" s="1183">
        <v>0</v>
      </c>
      <c r="BA76" s="1183">
        <v>1453</v>
      </c>
      <c r="BB76" s="1540">
        <v>1453</v>
      </c>
      <c r="BC76" s="1540">
        <v>1453</v>
      </c>
      <c r="BD76" s="1540">
        <v>0</v>
      </c>
      <c r="BF76" s="1540">
        <f t="shared" si="21"/>
        <v>0</v>
      </c>
      <c r="BG76" s="1540">
        <f t="shared" si="22"/>
        <v>0</v>
      </c>
      <c r="BH76" s="1540">
        <f t="shared" si="23"/>
        <v>0</v>
      </c>
      <c r="BI76" s="1540">
        <f t="shared" si="24"/>
        <v>0</v>
      </c>
      <c r="BJ76" s="1540">
        <f t="shared" si="25"/>
        <v>0</v>
      </c>
      <c r="BK76" s="1540">
        <f t="shared" si="26"/>
        <v>1345</v>
      </c>
      <c r="BL76" s="1540">
        <f t="shared" si="27"/>
        <v>1345</v>
      </c>
      <c r="BM76" s="1540">
        <f t="shared" si="28"/>
        <v>1345</v>
      </c>
      <c r="BN76" s="1183"/>
      <c r="BO76" s="1182">
        <f t="shared" si="36"/>
        <v>0</v>
      </c>
      <c r="BP76" s="1182">
        <f t="shared" si="37"/>
        <v>0</v>
      </c>
      <c r="BQ76" s="1182">
        <f t="shared" si="38"/>
        <v>0</v>
      </c>
      <c r="BR76" s="1182">
        <f t="shared" si="39"/>
        <v>0</v>
      </c>
      <c r="BS76" s="1182">
        <f t="shared" si="40"/>
        <v>0</v>
      </c>
      <c r="BT76" s="1182">
        <f t="shared" si="41"/>
        <v>0.37037037037043774</v>
      </c>
      <c r="BU76" s="1182">
        <f t="shared" si="42"/>
        <v>0.37037037037043774</v>
      </c>
    </row>
    <row r="77" spans="1:73">
      <c r="A77" s="1182" t="s">
        <v>1803</v>
      </c>
      <c r="B77" s="1182" t="s">
        <v>1804</v>
      </c>
      <c r="C77" s="1182" t="s">
        <v>1639</v>
      </c>
      <c r="D77" s="1182" t="s">
        <v>2590</v>
      </c>
      <c r="E77" s="1182" t="s">
        <v>2591</v>
      </c>
      <c r="F77" s="1182" t="s">
        <v>4507</v>
      </c>
      <c r="G77" s="1182" t="s">
        <v>4507</v>
      </c>
      <c r="H77" s="1188" t="s">
        <v>4548</v>
      </c>
      <c r="I77" s="1182" t="s">
        <v>2933</v>
      </c>
      <c r="J77" s="1182" t="s">
        <v>4582</v>
      </c>
      <c r="K77" s="1182" t="s">
        <v>1811</v>
      </c>
      <c r="L77" s="1182" t="s">
        <v>1812</v>
      </c>
      <c r="M77" s="1182" t="s">
        <v>1803</v>
      </c>
      <c r="N77" s="1182" t="s">
        <v>4453</v>
      </c>
      <c r="O77" s="1182" t="s">
        <v>1654</v>
      </c>
      <c r="P77" s="1182" t="s">
        <v>1653</v>
      </c>
      <c r="Q77" s="1182" t="s">
        <v>1452</v>
      </c>
      <c r="R77" s="1182" t="s">
        <v>1452</v>
      </c>
      <c r="S77" s="1182" t="s">
        <v>1639</v>
      </c>
      <c r="T77" s="1182" t="s">
        <v>4454</v>
      </c>
      <c r="U77" s="1182" t="s">
        <v>4455</v>
      </c>
      <c r="V77" s="1182">
        <v>0</v>
      </c>
      <c r="W77" s="1182">
        <v>0</v>
      </c>
      <c r="X77" s="1182">
        <v>0</v>
      </c>
      <c r="Y77" s="1183">
        <v>138909</v>
      </c>
      <c r="Z77" s="1182" t="s">
        <v>4456</v>
      </c>
      <c r="AA77" s="1182" t="s">
        <v>1452</v>
      </c>
      <c r="AB77" s="1182">
        <v>138909</v>
      </c>
      <c r="AC77" s="1182" t="s">
        <v>4550</v>
      </c>
      <c r="AD77" s="1182" t="s">
        <v>4551</v>
      </c>
      <c r="AE77" s="1182">
        <v>138909</v>
      </c>
      <c r="AF77" s="1182" t="s">
        <v>4437</v>
      </c>
      <c r="AG77" s="1182" t="s">
        <v>1820</v>
      </c>
      <c r="AH77" s="1182">
        <v>12621</v>
      </c>
      <c r="AI77" s="1182">
        <v>126288</v>
      </c>
      <c r="AJ77" s="1182" t="s">
        <v>1639</v>
      </c>
      <c r="AL77" s="1186" t="s">
        <v>4583</v>
      </c>
      <c r="AM77" s="1182">
        <v>1</v>
      </c>
      <c r="AN77" s="1182">
        <v>0</v>
      </c>
      <c r="AO77" s="1182">
        <v>0</v>
      </c>
      <c r="AP77" s="1555">
        <v>0</v>
      </c>
      <c r="AQ77" s="1182" t="s">
        <v>1639</v>
      </c>
      <c r="AS77" s="1554" t="s">
        <v>4437</v>
      </c>
      <c r="AT77" s="1554" t="s">
        <v>1820</v>
      </c>
      <c r="AV77" s="1183">
        <v>0</v>
      </c>
      <c r="AW77" s="1183">
        <v>0</v>
      </c>
      <c r="AX77" s="1183">
        <v>0</v>
      </c>
      <c r="AY77" s="1540">
        <v>0</v>
      </c>
      <c r="AZ77" s="1183">
        <v>0</v>
      </c>
      <c r="BA77" s="1183">
        <v>138909</v>
      </c>
      <c r="BB77" s="1540">
        <v>138909</v>
      </c>
      <c r="BC77" s="1540">
        <v>138909</v>
      </c>
      <c r="BD77" s="1540">
        <v>0</v>
      </c>
      <c r="BF77" s="1540">
        <f t="shared" si="21"/>
        <v>0</v>
      </c>
      <c r="BG77" s="1540">
        <f t="shared" si="22"/>
        <v>0</v>
      </c>
      <c r="BH77" s="1540">
        <f t="shared" si="23"/>
        <v>0</v>
      </c>
      <c r="BI77" s="1540">
        <f t="shared" si="24"/>
        <v>0</v>
      </c>
      <c r="BJ77" s="1540">
        <f t="shared" si="25"/>
        <v>0</v>
      </c>
      <c r="BK77" s="1540">
        <f t="shared" si="26"/>
        <v>126281</v>
      </c>
      <c r="BL77" s="1540">
        <f t="shared" si="27"/>
        <v>126281</v>
      </c>
      <c r="BM77" s="1540">
        <f t="shared" si="28"/>
        <v>126281</v>
      </c>
      <c r="BN77" s="1183"/>
      <c r="BO77" s="1182">
        <f t="shared" si="36"/>
        <v>0</v>
      </c>
      <c r="BP77" s="1182">
        <f t="shared" si="37"/>
        <v>0</v>
      </c>
      <c r="BQ77" s="1182">
        <f t="shared" si="38"/>
        <v>0</v>
      </c>
      <c r="BR77" s="1182">
        <f t="shared" si="39"/>
        <v>0</v>
      </c>
      <c r="BS77" s="1182">
        <f t="shared" si="40"/>
        <v>0</v>
      </c>
      <c r="BT77" s="1182">
        <f t="shared" si="41"/>
        <v>-9.0909090911736712E-2</v>
      </c>
      <c r="BU77" s="1182">
        <f t="shared" si="42"/>
        <v>-9.0909090911736712E-2</v>
      </c>
    </row>
    <row r="78" spans="1:73">
      <c r="A78" s="1182" t="s">
        <v>1803</v>
      </c>
      <c r="B78" s="1182" t="s">
        <v>1804</v>
      </c>
      <c r="C78" s="1182" t="s">
        <v>1639</v>
      </c>
      <c r="D78" s="1182" t="s">
        <v>2590</v>
      </c>
      <c r="E78" s="1182" t="s">
        <v>2591</v>
      </c>
      <c r="F78" s="1182" t="s">
        <v>4507</v>
      </c>
      <c r="G78" s="1182" t="s">
        <v>4507</v>
      </c>
      <c r="H78" s="1188" t="s">
        <v>4548</v>
      </c>
      <c r="I78" s="1182" t="s">
        <v>2933</v>
      </c>
      <c r="J78" s="1182" t="s">
        <v>4584</v>
      </c>
      <c r="K78" s="1182" t="s">
        <v>1811</v>
      </c>
      <c r="L78" s="1182" t="s">
        <v>1812</v>
      </c>
      <c r="M78" s="1182" t="s">
        <v>1803</v>
      </c>
      <c r="N78" s="1182" t="s">
        <v>4453</v>
      </c>
      <c r="O78" s="1182" t="s">
        <v>1654</v>
      </c>
      <c r="P78" s="1182" t="s">
        <v>1653</v>
      </c>
      <c r="Q78" s="1182" t="s">
        <v>1452</v>
      </c>
      <c r="R78" s="1182" t="s">
        <v>1452</v>
      </c>
      <c r="S78" s="1182" t="s">
        <v>1639</v>
      </c>
      <c r="T78" s="1182" t="s">
        <v>4454</v>
      </c>
      <c r="U78" s="1182" t="s">
        <v>4455</v>
      </c>
      <c r="V78" s="1182">
        <v>0</v>
      </c>
      <c r="W78" s="1182">
        <v>0</v>
      </c>
      <c r="X78" s="1182">
        <v>0</v>
      </c>
      <c r="Y78" s="1183">
        <v>104861</v>
      </c>
      <c r="Z78" s="1182" t="s">
        <v>4456</v>
      </c>
      <c r="AA78" s="1182" t="s">
        <v>1452</v>
      </c>
      <c r="AB78" s="1182">
        <v>104861</v>
      </c>
      <c r="AC78" s="1182" t="s">
        <v>4550</v>
      </c>
      <c r="AD78" s="1182" t="s">
        <v>4551</v>
      </c>
      <c r="AE78" s="1182">
        <v>104861</v>
      </c>
      <c r="AF78" s="1182" t="s">
        <v>4437</v>
      </c>
      <c r="AG78" s="1182" t="s">
        <v>1820</v>
      </c>
      <c r="AH78" s="1182">
        <v>9532</v>
      </c>
      <c r="AI78" s="1182">
        <v>95329</v>
      </c>
      <c r="AJ78" s="1182" t="s">
        <v>1639</v>
      </c>
      <c r="AL78" s="1186" t="s">
        <v>4585</v>
      </c>
      <c r="AM78" s="1182">
        <v>1</v>
      </c>
      <c r="AN78" s="1182">
        <v>0</v>
      </c>
      <c r="AO78" s="1182">
        <v>0</v>
      </c>
      <c r="AP78" s="1555">
        <v>0</v>
      </c>
      <c r="AQ78" s="1182" t="s">
        <v>1639</v>
      </c>
      <c r="AS78" s="1554" t="s">
        <v>4437</v>
      </c>
      <c r="AT78" s="1554" t="s">
        <v>1820</v>
      </c>
      <c r="AV78" s="1183">
        <v>0</v>
      </c>
      <c r="AW78" s="1183">
        <v>0</v>
      </c>
      <c r="AX78" s="1183">
        <v>0</v>
      </c>
      <c r="AY78" s="1540">
        <v>0</v>
      </c>
      <c r="AZ78" s="1183">
        <v>0</v>
      </c>
      <c r="BA78" s="1183">
        <v>104861</v>
      </c>
      <c r="BB78" s="1540">
        <v>104861</v>
      </c>
      <c r="BC78" s="1540">
        <v>104861</v>
      </c>
      <c r="BD78" s="1540">
        <v>0</v>
      </c>
      <c r="BF78" s="1540">
        <f t="shared" ref="BF78:BF118" si="43">+IFERROR(ROUND(AV78*100/(100+$AT78),0),AV78)</f>
        <v>0</v>
      </c>
      <c r="BG78" s="1540">
        <f t="shared" ref="BG78:BG118" si="44">+IFERROR(ROUND(AW78*100/(100+$AT78),0),AW78)</f>
        <v>0</v>
      </c>
      <c r="BH78" s="1540">
        <f t="shared" ref="BH78:BH118" si="45">+IFERROR(ROUND(AX78*100/(100+$AT78),0),AX78)</f>
        <v>0</v>
      </c>
      <c r="BI78" s="1540">
        <f t="shared" ref="BI78:BI118" si="46">SUM(BF78:BH78)</f>
        <v>0</v>
      </c>
      <c r="BJ78" s="1540">
        <f t="shared" ref="BJ78:BJ118" si="47">+IFERROR(ROUND(AZ78*100/(100+$AT78),0),AZ78)</f>
        <v>0</v>
      </c>
      <c r="BK78" s="1540">
        <f t="shared" ref="BK78:BK118" si="48">+IFERROR(ROUND(BA78*100/(100+$AT78),0),BA78)</f>
        <v>95328</v>
      </c>
      <c r="BL78" s="1540">
        <f t="shared" ref="BL78:BL118" si="49">SUM(BJ78:BK78)</f>
        <v>95328</v>
      </c>
      <c r="BM78" s="1540">
        <f t="shared" ref="BM78:BM118" si="50">+BI78+BL78</f>
        <v>95328</v>
      </c>
      <c r="BN78" s="1183"/>
      <c r="BO78" s="1182">
        <f t="shared" si="36"/>
        <v>0</v>
      </c>
      <c r="BP78" s="1182">
        <f t="shared" si="37"/>
        <v>0</v>
      </c>
      <c r="BQ78" s="1182">
        <f t="shared" si="38"/>
        <v>0</v>
      </c>
      <c r="BR78" s="1182">
        <f t="shared" si="39"/>
        <v>0</v>
      </c>
      <c r="BS78" s="1182">
        <f t="shared" si="40"/>
        <v>0</v>
      </c>
      <c r="BT78" s="1182">
        <f t="shared" si="41"/>
        <v>0.18181818182347342</v>
      </c>
      <c r="BU78" s="1182">
        <f t="shared" si="42"/>
        <v>0.18181818182347342</v>
      </c>
    </row>
    <row r="79" spans="1:73">
      <c r="A79" s="1182" t="s">
        <v>1803</v>
      </c>
      <c r="B79" s="1182" t="s">
        <v>1804</v>
      </c>
      <c r="C79" s="1182" t="s">
        <v>1639</v>
      </c>
      <c r="D79" s="1182" t="s">
        <v>2590</v>
      </c>
      <c r="E79" s="1182" t="s">
        <v>2591</v>
      </c>
      <c r="F79" s="1182" t="s">
        <v>4507</v>
      </c>
      <c r="G79" s="1182" t="s">
        <v>4507</v>
      </c>
      <c r="H79" s="1188" t="s">
        <v>4548</v>
      </c>
      <c r="I79" s="1182" t="s">
        <v>2933</v>
      </c>
      <c r="J79" s="1182" t="s">
        <v>4586</v>
      </c>
      <c r="K79" s="1182" t="s">
        <v>1811</v>
      </c>
      <c r="L79" s="1182" t="s">
        <v>1812</v>
      </c>
      <c r="M79" s="1182" t="s">
        <v>1803</v>
      </c>
      <c r="N79" s="1182" t="s">
        <v>4453</v>
      </c>
      <c r="O79" s="1182" t="s">
        <v>1654</v>
      </c>
      <c r="P79" s="1182" t="s">
        <v>1653</v>
      </c>
      <c r="Q79" s="1182" t="s">
        <v>1452</v>
      </c>
      <c r="R79" s="1182" t="s">
        <v>1452</v>
      </c>
      <c r="S79" s="1182" t="s">
        <v>1639</v>
      </c>
      <c r="T79" s="1182" t="s">
        <v>4454</v>
      </c>
      <c r="U79" s="1182" t="s">
        <v>4455</v>
      </c>
      <c r="V79" s="1182">
        <v>0</v>
      </c>
      <c r="W79" s="1182">
        <v>0</v>
      </c>
      <c r="X79" s="1182">
        <v>0</v>
      </c>
      <c r="Y79" s="1183">
        <v>1108227</v>
      </c>
      <c r="Z79" s="1182" t="s">
        <v>4456</v>
      </c>
      <c r="AA79" s="1182" t="s">
        <v>1452</v>
      </c>
      <c r="AB79" s="1182">
        <v>1108227</v>
      </c>
      <c r="AC79" s="1182" t="s">
        <v>4550</v>
      </c>
      <c r="AD79" s="1182" t="s">
        <v>4551</v>
      </c>
      <c r="AE79" s="1182">
        <v>1108227</v>
      </c>
      <c r="AF79" s="1182" t="s">
        <v>4437</v>
      </c>
      <c r="AG79" s="1182" t="s">
        <v>1820</v>
      </c>
      <c r="AH79" s="1182">
        <v>100747</v>
      </c>
      <c r="AI79" s="1182">
        <v>1007480</v>
      </c>
      <c r="AJ79" s="1182" t="s">
        <v>1639</v>
      </c>
      <c r="AL79" s="1186" t="s">
        <v>4587</v>
      </c>
      <c r="AM79" s="1182">
        <v>1</v>
      </c>
      <c r="AN79" s="1182">
        <v>0</v>
      </c>
      <c r="AO79" s="1182">
        <v>0</v>
      </c>
      <c r="AP79" s="1555">
        <v>0</v>
      </c>
      <c r="AQ79" s="1182" t="s">
        <v>1639</v>
      </c>
      <c r="AS79" s="1554" t="s">
        <v>4437</v>
      </c>
      <c r="AT79" s="1554" t="s">
        <v>1820</v>
      </c>
      <c r="AV79" s="1183">
        <v>0</v>
      </c>
      <c r="AW79" s="1183">
        <v>0</v>
      </c>
      <c r="AX79" s="1183">
        <v>0</v>
      </c>
      <c r="AY79" s="1540">
        <v>0</v>
      </c>
      <c r="AZ79" s="1183">
        <v>0</v>
      </c>
      <c r="BA79" s="1183">
        <v>1108227</v>
      </c>
      <c r="BB79" s="1540">
        <v>1108227</v>
      </c>
      <c r="BC79" s="1540">
        <v>1108227</v>
      </c>
      <c r="BD79" s="1540">
        <v>0</v>
      </c>
      <c r="BF79" s="1540">
        <f t="shared" si="43"/>
        <v>0</v>
      </c>
      <c r="BG79" s="1540">
        <f t="shared" si="44"/>
        <v>0</v>
      </c>
      <c r="BH79" s="1540">
        <f t="shared" si="45"/>
        <v>0</v>
      </c>
      <c r="BI79" s="1540">
        <f t="shared" si="46"/>
        <v>0</v>
      </c>
      <c r="BJ79" s="1540">
        <f t="shared" si="47"/>
        <v>0</v>
      </c>
      <c r="BK79" s="1540">
        <f t="shared" si="48"/>
        <v>1007479</v>
      </c>
      <c r="BL79" s="1540">
        <f t="shared" si="49"/>
        <v>1007479</v>
      </c>
      <c r="BM79" s="1540">
        <f t="shared" si="50"/>
        <v>1007479</v>
      </c>
      <c r="BN79" s="1183"/>
      <c r="BO79" s="1182">
        <f t="shared" ref="BO79:BO118" si="51">AV79*100/(100+$AT79)-BF79</f>
        <v>0</v>
      </c>
      <c r="BP79" s="1182">
        <f t="shared" ref="BP79:BP118" si="52">AW79*100/(100+$AT79)-BG79</f>
        <v>0</v>
      </c>
      <c r="BQ79" s="1182">
        <f t="shared" ref="BQ79:BQ118" si="53">AX79*100/(100+$AT79)-BH79</f>
        <v>0</v>
      </c>
      <c r="BR79" s="1182">
        <f t="shared" ref="BR79:BR118" si="54">AY79*100/(100+$AT79)-BI79</f>
        <v>0</v>
      </c>
      <c r="BS79" s="1182">
        <f t="shared" ref="BS79:BS118" si="55">AZ79*100/(100+$AT79)-BJ79</f>
        <v>0</v>
      </c>
      <c r="BT79" s="1182">
        <f t="shared" ref="BT79:BT118" si="56">BA79*100/(100+$AT79)-BK79</f>
        <v>9.0909090940840542E-2</v>
      </c>
      <c r="BU79" s="1182">
        <f t="shared" ref="BU79:BU118" si="57">BB79*100/(100+$AT79)-BL79</f>
        <v>9.0909090940840542E-2</v>
      </c>
    </row>
    <row r="80" spans="1:73">
      <c r="A80" s="1182" t="s">
        <v>1803</v>
      </c>
      <c r="B80" s="1182" t="s">
        <v>1804</v>
      </c>
      <c r="C80" s="1182" t="s">
        <v>1639</v>
      </c>
      <c r="D80" s="1182" t="s">
        <v>2590</v>
      </c>
      <c r="E80" s="1182" t="s">
        <v>2591</v>
      </c>
      <c r="F80" s="1182" t="s">
        <v>3708</v>
      </c>
      <c r="G80" s="1182" t="s">
        <v>3708</v>
      </c>
      <c r="H80" s="1188" t="s">
        <v>4548</v>
      </c>
      <c r="I80" s="1182" t="s">
        <v>2933</v>
      </c>
      <c r="J80" s="1182" t="s">
        <v>4588</v>
      </c>
      <c r="K80" s="1182" t="s">
        <v>1811</v>
      </c>
      <c r="L80" s="1182" t="s">
        <v>1812</v>
      </c>
      <c r="M80" s="1182" t="s">
        <v>1803</v>
      </c>
      <c r="N80" s="1182" t="s">
        <v>4453</v>
      </c>
      <c r="O80" s="1182" t="s">
        <v>1654</v>
      </c>
      <c r="P80" s="1182" t="s">
        <v>1653</v>
      </c>
      <c r="Q80" s="1182" t="s">
        <v>1452</v>
      </c>
      <c r="R80" s="1182" t="s">
        <v>1452</v>
      </c>
      <c r="S80" s="1182" t="s">
        <v>1639</v>
      </c>
      <c r="T80" s="1182" t="s">
        <v>4454</v>
      </c>
      <c r="U80" s="1182" t="s">
        <v>4455</v>
      </c>
      <c r="V80" s="1182">
        <v>0</v>
      </c>
      <c r="W80" s="1182">
        <v>0</v>
      </c>
      <c r="X80" s="1182">
        <v>0</v>
      </c>
      <c r="Y80" s="1183">
        <v>453753</v>
      </c>
      <c r="Z80" s="1182" t="s">
        <v>4456</v>
      </c>
      <c r="AA80" s="1182" t="s">
        <v>1452</v>
      </c>
      <c r="AB80" s="1182">
        <v>453753</v>
      </c>
      <c r="AC80" s="1182" t="s">
        <v>4550</v>
      </c>
      <c r="AD80" s="1182" t="s">
        <v>4551</v>
      </c>
      <c r="AE80" s="1182">
        <v>453753</v>
      </c>
      <c r="AF80" s="1182" t="s">
        <v>4437</v>
      </c>
      <c r="AG80" s="1182" t="s">
        <v>1820</v>
      </c>
      <c r="AH80" s="1182">
        <v>41243</v>
      </c>
      <c r="AI80" s="1182">
        <v>412510</v>
      </c>
      <c r="AJ80" s="1182" t="s">
        <v>1639</v>
      </c>
      <c r="AL80" s="1186" t="s">
        <v>4589</v>
      </c>
      <c r="AM80" s="1182">
        <v>1</v>
      </c>
      <c r="AN80" s="1182">
        <v>0</v>
      </c>
      <c r="AO80" s="1182">
        <v>0</v>
      </c>
      <c r="AP80" s="1555">
        <v>0</v>
      </c>
      <c r="AQ80" s="1182" t="s">
        <v>1639</v>
      </c>
      <c r="AS80" s="1554" t="s">
        <v>4437</v>
      </c>
      <c r="AT80" s="1554" t="s">
        <v>1820</v>
      </c>
      <c r="AV80" s="1183">
        <v>0</v>
      </c>
      <c r="AW80" s="1183">
        <v>0</v>
      </c>
      <c r="AX80" s="1183">
        <v>0</v>
      </c>
      <c r="AY80" s="1540">
        <v>0</v>
      </c>
      <c r="AZ80" s="1183">
        <v>0</v>
      </c>
      <c r="BA80" s="1183">
        <v>453753</v>
      </c>
      <c r="BB80" s="1540">
        <v>453753</v>
      </c>
      <c r="BC80" s="1540">
        <v>453753</v>
      </c>
      <c r="BD80" s="1540">
        <v>0</v>
      </c>
      <c r="BF80" s="1540">
        <f t="shared" si="43"/>
        <v>0</v>
      </c>
      <c r="BG80" s="1540">
        <f t="shared" si="44"/>
        <v>0</v>
      </c>
      <c r="BH80" s="1540">
        <f t="shared" si="45"/>
        <v>0</v>
      </c>
      <c r="BI80" s="1540">
        <f t="shared" si="46"/>
        <v>0</v>
      </c>
      <c r="BJ80" s="1540">
        <f t="shared" si="47"/>
        <v>0</v>
      </c>
      <c r="BK80" s="1540">
        <f t="shared" si="48"/>
        <v>412503</v>
      </c>
      <c r="BL80" s="1540">
        <f t="shared" si="49"/>
        <v>412503</v>
      </c>
      <c r="BM80" s="1540">
        <f t="shared" si="50"/>
        <v>412503</v>
      </c>
      <c r="BN80" s="1183"/>
      <c r="BO80" s="1182">
        <f t="shared" si="51"/>
        <v>0</v>
      </c>
      <c r="BP80" s="1182">
        <f t="shared" si="52"/>
        <v>0</v>
      </c>
      <c r="BQ80" s="1182">
        <f t="shared" si="53"/>
        <v>0</v>
      </c>
      <c r="BR80" s="1182">
        <f t="shared" si="54"/>
        <v>0</v>
      </c>
      <c r="BS80" s="1182">
        <f t="shared" si="55"/>
        <v>0</v>
      </c>
      <c r="BT80" s="1182">
        <f t="shared" si="56"/>
        <v>-0.27272727270610631</v>
      </c>
      <c r="BU80" s="1182">
        <f t="shared" si="57"/>
        <v>-0.27272727270610631</v>
      </c>
    </row>
    <row r="81" spans="1:73">
      <c r="A81" s="1182" t="s">
        <v>1803</v>
      </c>
      <c r="B81" s="1182" t="s">
        <v>1804</v>
      </c>
      <c r="C81" s="1182" t="s">
        <v>1639</v>
      </c>
      <c r="D81" s="1182" t="s">
        <v>2590</v>
      </c>
      <c r="E81" s="1182" t="s">
        <v>2591</v>
      </c>
      <c r="F81" s="1182" t="s">
        <v>2396</v>
      </c>
      <c r="G81" s="1182" t="s">
        <v>2396</v>
      </c>
      <c r="H81" s="1188" t="s">
        <v>4548</v>
      </c>
      <c r="I81" s="1182" t="s">
        <v>2933</v>
      </c>
      <c r="J81" s="1182" t="s">
        <v>4590</v>
      </c>
      <c r="K81" s="1182" t="s">
        <v>1811</v>
      </c>
      <c r="L81" s="1182" t="s">
        <v>1812</v>
      </c>
      <c r="M81" s="1182" t="s">
        <v>1803</v>
      </c>
      <c r="N81" s="1182" t="s">
        <v>4453</v>
      </c>
      <c r="O81" s="1182" t="s">
        <v>1654</v>
      </c>
      <c r="P81" s="1182" t="s">
        <v>1653</v>
      </c>
      <c r="Q81" s="1182" t="s">
        <v>1452</v>
      </c>
      <c r="R81" s="1182" t="s">
        <v>1452</v>
      </c>
      <c r="S81" s="1182" t="s">
        <v>1639</v>
      </c>
      <c r="T81" s="1182" t="s">
        <v>4454</v>
      </c>
      <c r="U81" s="1182" t="s">
        <v>4455</v>
      </c>
      <c r="V81" s="1182">
        <v>0</v>
      </c>
      <c r="W81" s="1182">
        <v>0</v>
      </c>
      <c r="X81" s="1182">
        <v>0</v>
      </c>
      <c r="Y81" s="1183">
        <v>18717</v>
      </c>
      <c r="Z81" s="1182" t="s">
        <v>4456</v>
      </c>
      <c r="AA81" s="1182" t="s">
        <v>1452</v>
      </c>
      <c r="AB81" s="1182">
        <v>18717</v>
      </c>
      <c r="AC81" s="1182" t="s">
        <v>4550</v>
      </c>
      <c r="AD81" s="1182" t="s">
        <v>4551</v>
      </c>
      <c r="AE81" s="1182">
        <v>18717</v>
      </c>
      <c r="AF81" s="1182" t="s">
        <v>4437</v>
      </c>
      <c r="AG81" s="1182" t="s">
        <v>1820</v>
      </c>
      <c r="AH81" s="1182">
        <v>1701</v>
      </c>
      <c r="AI81" s="1182">
        <v>17016</v>
      </c>
      <c r="AJ81" s="1182" t="s">
        <v>1639</v>
      </c>
      <c r="AL81" s="1186" t="s">
        <v>4591</v>
      </c>
      <c r="AM81" s="1182">
        <v>1</v>
      </c>
      <c r="AN81" s="1182">
        <v>0</v>
      </c>
      <c r="AO81" s="1182">
        <v>0</v>
      </c>
      <c r="AP81" s="1555">
        <v>0</v>
      </c>
      <c r="AQ81" s="1182" t="s">
        <v>1639</v>
      </c>
      <c r="AS81" s="1554" t="s">
        <v>4437</v>
      </c>
      <c r="AT81" s="1554" t="s">
        <v>1820</v>
      </c>
      <c r="AV81" s="1183">
        <v>0</v>
      </c>
      <c r="AW81" s="1183">
        <v>0</v>
      </c>
      <c r="AX81" s="1183">
        <v>0</v>
      </c>
      <c r="AY81" s="1540">
        <v>0</v>
      </c>
      <c r="AZ81" s="1183">
        <v>0</v>
      </c>
      <c r="BA81" s="1183">
        <v>18717</v>
      </c>
      <c r="BB81" s="1540">
        <v>18717</v>
      </c>
      <c r="BC81" s="1540">
        <v>18717</v>
      </c>
      <c r="BD81" s="1540">
        <v>0</v>
      </c>
      <c r="BF81" s="1540">
        <f t="shared" si="43"/>
        <v>0</v>
      </c>
      <c r="BG81" s="1540">
        <f t="shared" si="44"/>
        <v>0</v>
      </c>
      <c r="BH81" s="1540">
        <f t="shared" si="45"/>
        <v>0</v>
      </c>
      <c r="BI81" s="1540">
        <f t="shared" si="46"/>
        <v>0</v>
      </c>
      <c r="BJ81" s="1540">
        <f t="shared" si="47"/>
        <v>0</v>
      </c>
      <c r="BK81" s="1540">
        <f t="shared" si="48"/>
        <v>17015</v>
      </c>
      <c r="BL81" s="1540">
        <f t="shared" si="49"/>
        <v>17015</v>
      </c>
      <c r="BM81" s="1540">
        <f t="shared" si="50"/>
        <v>17015</v>
      </c>
      <c r="BN81" s="1183"/>
      <c r="BO81" s="1182">
        <f t="shared" si="51"/>
        <v>0</v>
      </c>
      <c r="BP81" s="1182">
        <f t="shared" si="52"/>
        <v>0</v>
      </c>
      <c r="BQ81" s="1182">
        <f t="shared" si="53"/>
        <v>0</v>
      </c>
      <c r="BR81" s="1182">
        <f t="shared" si="54"/>
        <v>0</v>
      </c>
      <c r="BS81" s="1182">
        <f t="shared" si="55"/>
        <v>0</v>
      </c>
      <c r="BT81" s="1182">
        <f t="shared" si="56"/>
        <v>0.45454545454413164</v>
      </c>
      <c r="BU81" s="1182">
        <f t="shared" si="57"/>
        <v>0.45454545454413164</v>
      </c>
    </row>
    <row r="82" spans="1:73">
      <c r="A82" s="1182" t="s">
        <v>1803</v>
      </c>
      <c r="B82" s="1182" t="s">
        <v>1804</v>
      </c>
      <c r="C82" s="1182" t="s">
        <v>1639</v>
      </c>
      <c r="D82" s="1182" t="s">
        <v>2590</v>
      </c>
      <c r="E82" s="1182" t="s">
        <v>2591</v>
      </c>
      <c r="F82" s="1182" t="s">
        <v>2409</v>
      </c>
      <c r="G82" s="1182" t="s">
        <v>2409</v>
      </c>
      <c r="H82" s="1188" t="s">
        <v>4548</v>
      </c>
      <c r="I82" s="1182" t="s">
        <v>2933</v>
      </c>
      <c r="J82" s="1182" t="s">
        <v>4603</v>
      </c>
      <c r="K82" s="1182" t="s">
        <v>1811</v>
      </c>
      <c r="L82" s="1182" t="s">
        <v>1812</v>
      </c>
      <c r="M82" s="1182" t="s">
        <v>1803</v>
      </c>
      <c r="N82" s="1182" t="s">
        <v>4453</v>
      </c>
      <c r="O82" s="1182" t="s">
        <v>1654</v>
      </c>
      <c r="P82" s="1182" t="s">
        <v>1653</v>
      </c>
      <c r="Q82" s="1182" t="s">
        <v>1452</v>
      </c>
      <c r="R82" s="1182" t="s">
        <v>1452</v>
      </c>
      <c r="S82" s="1182" t="s">
        <v>1639</v>
      </c>
      <c r="T82" s="1182" t="s">
        <v>4454</v>
      </c>
      <c r="U82" s="1182" t="s">
        <v>4455</v>
      </c>
      <c r="V82" s="1182">
        <v>0</v>
      </c>
      <c r="W82" s="1182">
        <v>0</v>
      </c>
      <c r="X82" s="1182">
        <v>0</v>
      </c>
      <c r="Y82" s="1183">
        <v>17704</v>
      </c>
      <c r="Z82" s="1182" t="s">
        <v>4456</v>
      </c>
      <c r="AA82" s="1182" t="s">
        <v>1452</v>
      </c>
      <c r="AB82" s="1182">
        <v>17704</v>
      </c>
      <c r="AC82" s="1182" t="s">
        <v>4550</v>
      </c>
      <c r="AD82" s="1182" t="s">
        <v>4551</v>
      </c>
      <c r="AE82" s="1182">
        <v>17704</v>
      </c>
      <c r="AF82" s="1182" t="s">
        <v>4437</v>
      </c>
      <c r="AG82" s="1182" t="s">
        <v>1820</v>
      </c>
      <c r="AH82" s="1182">
        <v>1608</v>
      </c>
      <c r="AI82" s="1182">
        <v>16096</v>
      </c>
      <c r="AJ82" s="1182" t="s">
        <v>1639</v>
      </c>
      <c r="AL82" s="1186" t="s">
        <v>4604</v>
      </c>
      <c r="AM82" s="1182">
        <v>1</v>
      </c>
      <c r="AN82" s="1182">
        <v>0</v>
      </c>
      <c r="AO82" s="1182">
        <v>0</v>
      </c>
      <c r="AP82" s="1555">
        <v>0</v>
      </c>
      <c r="AQ82" s="1182" t="s">
        <v>1639</v>
      </c>
      <c r="AS82" s="1554" t="s">
        <v>4437</v>
      </c>
      <c r="AT82" s="1554" t="s">
        <v>1820</v>
      </c>
      <c r="AV82" s="1183">
        <v>0</v>
      </c>
      <c r="AW82" s="1183">
        <v>0</v>
      </c>
      <c r="AX82" s="1183">
        <v>0</v>
      </c>
      <c r="AY82" s="1540">
        <v>0</v>
      </c>
      <c r="AZ82" s="1183">
        <v>0</v>
      </c>
      <c r="BA82" s="1183">
        <v>17704</v>
      </c>
      <c r="BB82" s="1540">
        <v>17704</v>
      </c>
      <c r="BC82" s="1540">
        <v>17704</v>
      </c>
      <c r="BD82" s="1540">
        <v>0</v>
      </c>
      <c r="BF82" s="1540">
        <f t="shared" si="43"/>
        <v>0</v>
      </c>
      <c r="BG82" s="1540">
        <f t="shared" si="44"/>
        <v>0</v>
      </c>
      <c r="BH82" s="1540">
        <f t="shared" si="45"/>
        <v>0</v>
      </c>
      <c r="BI82" s="1540">
        <f t="shared" si="46"/>
        <v>0</v>
      </c>
      <c r="BJ82" s="1540">
        <f t="shared" si="47"/>
        <v>0</v>
      </c>
      <c r="BK82" s="1540">
        <f t="shared" si="48"/>
        <v>16095</v>
      </c>
      <c r="BL82" s="1540">
        <f t="shared" si="49"/>
        <v>16095</v>
      </c>
      <c r="BM82" s="1540">
        <f t="shared" si="50"/>
        <v>16095</v>
      </c>
      <c r="BN82" s="1183"/>
      <c r="BO82" s="1182">
        <f t="shared" si="51"/>
        <v>0</v>
      </c>
      <c r="BP82" s="1182">
        <f t="shared" si="52"/>
        <v>0</v>
      </c>
      <c r="BQ82" s="1182">
        <f t="shared" si="53"/>
        <v>0</v>
      </c>
      <c r="BR82" s="1182">
        <f t="shared" si="54"/>
        <v>0</v>
      </c>
      <c r="BS82" s="1182">
        <f t="shared" si="55"/>
        <v>0</v>
      </c>
      <c r="BT82" s="1182">
        <f t="shared" si="56"/>
        <v>-0.45454545454595063</v>
      </c>
      <c r="BU82" s="1182">
        <f t="shared" si="57"/>
        <v>-0.45454545454595063</v>
      </c>
    </row>
    <row r="83" spans="1:73">
      <c r="A83" s="1182" t="s">
        <v>1803</v>
      </c>
      <c r="B83" s="1182" t="s">
        <v>1804</v>
      </c>
      <c r="C83" s="1182" t="s">
        <v>1639</v>
      </c>
      <c r="D83" s="1182" t="s">
        <v>2590</v>
      </c>
      <c r="E83" s="1182" t="s">
        <v>2591</v>
      </c>
      <c r="F83" s="1182" t="s">
        <v>4201</v>
      </c>
      <c r="G83" s="1182" t="s">
        <v>4201</v>
      </c>
      <c r="H83" s="1188" t="s">
        <v>4548</v>
      </c>
      <c r="I83" s="1182" t="s">
        <v>2933</v>
      </c>
      <c r="J83" s="1182" t="s">
        <v>4592</v>
      </c>
      <c r="K83" s="1182" t="s">
        <v>1811</v>
      </c>
      <c r="L83" s="1182" t="s">
        <v>1812</v>
      </c>
      <c r="M83" s="1182" t="s">
        <v>1803</v>
      </c>
      <c r="N83" s="1182" t="s">
        <v>4453</v>
      </c>
      <c r="O83" s="1182" t="s">
        <v>1654</v>
      </c>
      <c r="P83" s="1182" t="s">
        <v>1653</v>
      </c>
      <c r="Q83" s="1182" t="s">
        <v>1452</v>
      </c>
      <c r="R83" s="1182" t="s">
        <v>1452</v>
      </c>
      <c r="S83" s="1182" t="s">
        <v>1639</v>
      </c>
      <c r="T83" s="1182" t="s">
        <v>4454</v>
      </c>
      <c r="U83" s="1182" t="s">
        <v>4455</v>
      </c>
      <c r="V83" s="1182">
        <v>0</v>
      </c>
      <c r="W83" s="1182">
        <v>0</v>
      </c>
      <c r="X83" s="1182">
        <v>0</v>
      </c>
      <c r="Y83" s="1183">
        <v>46382</v>
      </c>
      <c r="Z83" s="1182" t="s">
        <v>4456</v>
      </c>
      <c r="AA83" s="1182" t="s">
        <v>1452</v>
      </c>
      <c r="AB83" s="1182">
        <v>46382</v>
      </c>
      <c r="AC83" s="1182" t="s">
        <v>4550</v>
      </c>
      <c r="AD83" s="1182" t="s">
        <v>4551</v>
      </c>
      <c r="AE83" s="1182">
        <v>46382</v>
      </c>
      <c r="AF83" s="1182" t="s">
        <v>4437</v>
      </c>
      <c r="AG83" s="1182" t="s">
        <v>1820</v>
      </c>
      <c r="AH83" s="1182">
        <v>4217</v>
      </c>
      <c r="AI83" s="1182">
        <v>42165</v>
      </c>
      <c r="AJ83" s="1182" t="s">
        <v>1639</v>
      </c>
      <c r="AL83" s="1186" t="s">
        <v>4593</v>
      </c>
      <c r="AM83" s="1182">
        <v>1</v>
      </c>
      <c r="AN83" s="1182">
        <v>0</v>
      </c>
      <c r="AO83" s="1182">
        <v>0</v>
      </c>
      <c r="AP83" s="1555">
        <v>0</v>
      </c>
      <c r="AQ83" s="1182" t="s">
        <v>1639</v>
      </c>
      <c r="AS83" s="1554" t="s">
        <v>4437</v>
      </c>
      <c r="AT83" s="1554" t="s">
        <v>1820</v>
      </c>
      <c r="AV83" s="1183">
        <v>0</v>
      </c>
      <c r="AW83" s="1183">
        <v>0</v>
      </c>
      <c r="AX83" s="1183">
        <v>0</v>
      </c>
      <c r="AY83" s="1540">
        <v>0</v>
      </c>
      <c r="AZ83" s="1183">
        <v>0</v>
      </c>
      <c r="BA83" s="1183">
        <v>46382</v>
      </c>
      <c r="BB83" s="1540">
        <v>46382</v>
      </c>
      <c r="BC83" s="1540">
        <v>46382</v>
      </c>
      <c r="BD83" s="1540">
        <v>0</v>
      </c>
      <c r="BF83" s="1540">
        <f t="shared" si="43"/>
        <v>0</v>
      </c>
      <c r="BG83" s="1540">
        <f t="shared" si="44"/>
        <v>0</v>
      </c>
      <c r="BH83" s="1540">
        <f t="shared" si="45"/>
        <v>0</v>
      </c>
      <c r="BI83" s="1540">
        <f t="shared" si="46"/>
        <v>0</v>
      </c>
      <c r="BJ83" s="1540">
        <f t="shared" si="47"/>
        <v>0</v>
      </c>
      <c r="BK83" s="1562">
        <f>+IFERROR(ROUND(BA83*100/(100+$AT83),0),BA83)+1</f>
        <v>42166</v>
      </c>
      <c r="BL83" s="1540">
        <f t="shared" si="49"/>
        <v>42166</v>
      </c>
      <c r="BM83" s="1540">
        <f t="shared" si="50"/>
        <v>42166</v>
      </c>
      <c r="BN83" s="1183"/>
      <c r="BO83" s="1182">
        <f t="shared" si="51"/>
        <v>0</v>
      </c>
      <c r="BP83" s="1182">
        <f t="shared" si="52"/>
        <v>0</v>
      </c>
      <c r="BQ83" s="1182">
        <f t="shared" si="53"/>
        <v>0</v>
      </c>
      <c r="BR83" s="1182">
        <f t="shared" si="54"/>
        <v>0</v>
      </c>
      <c r="BS83" s="1182">
        <f t="shared" si="55"/>
        <v>0</v>
      </c>
      <c r="BT83" s="1182">
        <f t="shared" si="56"/>
        <v>-0.54545454545586836</v>
      </c>
      <c r="BU83" s="1182">
        <f t="shared" si="57"/>
        <v>-0.54545454545586836</v>
      </c>
    </row>
    <row r="84" spans="1:73">
      <c r="A84" s="1182" t="s">
        <v>1803</v>
      </c>
      <c r="B84" s="1182" t="s">
        <v>1804</v>
      </c>
      <c r="C84" s="1182" t="s">
        <v>1639</v>
      </c>
      <c r="D84" s="1182" t="s">
        <v>2590</v>
      </c>
      <c r="E84" s="1182" t="s">
        <v>2591</v>
      </c>
      <c r="F84" s="1182" t="s">
        <v>4201</v>
      </c>
      <c r="G84" s="1182" t="s">
        <v>4201</v>
      </c>
      <c r="H84" s="1188" t="s">
        <v>4548</v>
      </c>
      <c r="I84" s="1182" t="s">
        <v>2933</v>
      </c>
      <c r="J84" s="1182" t="s">
        <v>4594</v>
      </c>
      <c r="K84" s="1182" t="s">
        <v>1811</v>
      </c>
      <c r="L84" s="1182" t="s">
        <v>1812</v>
      </c>
      <c r="M84" s="1182" t="s">
        <v>1803</v>
      </c>
      <c r="N84" s="1182" t="s">
        <v>4453</v>
      </c>
      <c r="O84" s="1182" t="s">
        <v>1654</v>
      </c>
      <c r="P84" s="1182" t="s">
        <v>1653</v>
      </c>
      <c r="Q84" s="1182" t="s">
        <v>1452</v>
      </c>
      <c r="R84" s="1182" t="s">
        <v>1452</v>
      </c>
      <c r="S84" s="1182" t="s">
        <v>1639</v>
      </c>
      <c r="T84" s="1182" t="s">
        <v>4454</v>
      </c>
      <c r="U84" s="1182" t="s">
        <v>4455</v>
      </c>
      <c r="V84" s="1182">
        <v>0</v>
      </c>
      <c r="W84" s="1182">
        <v>0</v>
      </c>
      <c r="X84" s="1182">
        <v>0</v>
      </c>
      <c r="Y84" s="1183">
        <v>146344</v>
      </c>
      <c r="Z84" s="1182" t="s">
        <v>4456</v>
      </c>
      <c r="AA84" s="1182" t="s">
        <v>1452</v>
      </c>
      <c r="AB84" s="1182">
        <v>146344</v>
      </c>
      <c r="AC84" s="1182" t="s">
        <v>4550</v>
      </c>
      <c r="AD84" s="1182" t="s">
        <v>4551</v>
      </c>
      <c r="AE84" s="1182">
        <v>146344</v>
      </c>
      <c r="AF84" s="1182" t="s">
        <v>4437</v>
      </c>
      <c r="AG84" s="1182" t="s">
        <v>1820</v>
      </c>
      <c r="AH84" s="1182">
        <v>13300</v>
      </c>
      <c r="AI84" s="1182">
        <v>133044</v>
      </c>
      <c r="AJ84" s="1182" t="s">
        <v>1639</v>
      </c>
      <c r="AL84" s="1186" t="s">
        <v>4595</v>
      </c>
      <c r="AM84" s="1182">
        <v>1</v>
      </c>
      <c r="AN84" s="1182">
        <v>0</v>
      </c>
      <c r="AO84" s="1182">
        <v>0</v>
      </c>
      <c r="AP84" s="1555">
        <v>0</v>
      </c>
      <c r="AQ84" s="1182" t="s">
        <v>1639</v>
      </c>
      <c r="AS84" s="1554" t="s">
        <v>4437</v>
      </c>
      <c r="AT84" s="1554" t="s">
        <v>1820</v>
      </c>
      <c r="AV84" s="1183">
        <v>0</v>
      </c>
      <c r="AW84" s="1183">
        <v>0</v>
      </c>
      <c r="AX84" s="1183">
        <v>0</v>
      </c>
      <c r="AY84" s="1540">
        <v>0</v>
      </c>
      <c r="AZ84" s="1183">
        <v>0</v>
      </c>
      <c r="BA84" s="1183">
        <v>146344</v>
      </c>
      <c r="BB84" s="1540">
        <v>146344</v>
      </c>
      <c r="BC84" s="1540">
        <v>146344</v>
      </c>
      <c r="BD84" s="1540">
        <v>0</v>
      </c>
      <c r="BF84" s="1540">
        <f t="shared" si="43"/>
        <v>0</v>
      </c>
      <c r="BG84" s="1540">
        <f t="shared" si="44"/>
        <v>0</v>
      </c>
      <c r="BH84" s="1540">
        <f t="shared" si="45"/>
        <v>0</v>
      </c>
      <c r="BI84" s="1540">
        <f t="shared" si="46"/>
        <v>0</v>
      </c>
      <c r="BJ84" s="1540">
        <f t="shared" si="47"/>
        <v>0</v>
      </c>
      <c r="BK84" s="1540">
        <f t="shared" si="48"/>
        <v>133040</v>
      </c>
      <c r="BL84" s="1540">
        <f t="shared" si="49"/>
        <v>133040</v>
      </c>
      <c r="BM84" s="1540">
        <f t="shared" si="50"/>
        <v>133040</v>
      </c>
      <c r="BN84" s="1183"/>
      <c r="BO84" s="1182">
        <f t="shared" si="51"/>
        <v>0</v>
      </c>
      <c r="BP84" s="1182">
        <f t="shared" si="52"/>
        <v>0</v>
      </c>
      <c r="BQ84" s="1182">
        <f t="shared" si="53"/>
        <v>0</v>
      </c>
      <c r="BR84" s="1182">
        <f t="shared" si="54"/>
        <v>0</v>
      </c>
      <c r="BS84" s="1182">
        <f t="shared" si="55"/>
        <v>0</v>
      </c>
      <c r="BT84" s="1182">
        <f t="shared" si="56"/>
        <v>0</v>
      </c>
      <c r="BU84" s="1182">
        <f t="shared" si="57"/>
        <v>0</v>
      </c>
    </row>
    <row r="85" spans="1:73">
      <c r="A85" s="1182" t="s">
        <v>1803</v>
      </c>
      <c r="B85" s="1182" t="s">
        <v>1804</v>
      </c>
      <c r="C85" s="1182" t="s">
        <v>1639</v>
      </c>
      <c r="D85" s="1182" t="s">
        <v>2590</v>
      </c>
      <c r="E85" s="1182" t="s">
        <v>2591</v>
      </c>
      <c r="F85" s="1182" t="s">
        <v>2381</v>
      </c>
      <c r="G85" s="1182" t="s">
        <v>2381</v>
      </c>
      <c r="H85" s="1188" t="s">
        <v>4548</v>
      </c>
      <c r="I85" s="1182" t="s">
        <v>2933</v>
      </c>
      <c r="J85" s="1182" t="s">
        <v>4596</v>
      </c>
      <c r="K85" s="1182" t="s">
        <v>1811</v>
      </c>
      <c r="L85" s="1182" t="s">
        <v>1812</v>
      </c>
      <c r="M85" s="1182" t="s">
        <v>1803</v>
      </c>
      <c r="N85" s="1182" t="s">
        <v>4453</v>
      </c>
      <c r="O85" s="1182" t="s">
        <v>1654</v>
      </c>
      <c r="P85" s="1182" t="s">
        <v>1653</v>
      </c>
      <c r="Q85" s="1182" t="s">
        <v>1452</v>
      </c>
      <c r="R85" s="1182" t="s">
        <v>1452</v>
      </c>
      <c r="S85" s="1182" t="s">
        <v>1639</v>
      </c>
      <c r="T85" s="1182" t="s">
        <v>4454</v>
      </c>
      <c r="U85" s="1182" t="s">
        <v>4455</v>
      </c>
      <c r="V85" s="1182">
        <v>0</v>
      </c>
      <c r="W85" s="1182">
        <v>0</v>
      </c>
      <c r="X85" s="1182">
        <v>0</v>
      </c>
      <c r="Y85" s="1183">
        <v>44284</v>
      </c>
      <c r="Z85" s="1182" t="s">
        <v>4456</v>
      </c>
      <c r="AA85" s="1182" t="s">
        <v>1452</v>
      </c>
      <c r="AB85" s="1182">
        <v>44284</v>
      </c>
      <c r="AC85" s="1182" t="s">
        <v>4550</v>
      </c>
      <c r="AD85" s="1182" t="s">
        <v>4551</v>
      </c>
      <c r="AE85" s="1182">
        <v>44284</v>
      </c>
      <c r="AF85" s="1182" t="s">
        <v>4437</v>
      </c>
      <c r="AG85" s="1182" t="s">
        <v>1820</v>
      </c>
      <c r="AH85" s="1182">
        <v>4026</v>
      </c>
      <c r="AI85" s="1182">
        <v>40258</v>
      </c>
      <c r="AJ85" s="1182" t="s">
        <v>1639</v>
      </c>
      <c r="AL85" s="1186" t="s">
        <v>4597</v>
      </c>
      <c r="AM85" s="1182">
        <v>1</v>
      </c>
      <c r="AN85" s="1182">
        <v>0</v>
      </c>
      <c r="AO85" s="1182">
        <v>0</v>
      </c>
      <c r="AP85" s="1555">
        <v>0</v>
      </c>
      <c r="AQ85" s="1182" t="s">
        <v>1639</v>
      </c>
      <c r="AS85" s="1554" t="s">
        <v>4437</v>
      </c>
      <c r="AT85" s="1554" t="s">
        <v>1820</v>
      </c>
      <c r="AV85" s="1183">
        <v>0</v>
      </c>
      <c r="AW85" s="1183">
        <v>0</v>
      </c>
      <c r="AX85" s="1183">
        <v>0</v>
      </c>
      <c r="AY85" s="1540">
        <v>0</v>
      </c>
      <c r="AZ85" s="1183">
        <v>0</v>
      </c>
      <c r="BA85" s="1183">
        <v>44284</v>
      </c>
      <c r="BB85" s="1540">
        <v>44284</v>
      </c>
      <c r="BC85" s="1540">
        <v>44284</v>
      </c>
      <c r="BD85" s="1540">
        <v>0</v>
      </c>
      <c r="BF85" s="1540">
        <f t="shared" si="43"/>
        <v>0</v>
      </c>
      <c r="BG85" s="1540">
        <f t="shared" si="44"/>
        <v>0</v>
      </c>
      <c r="BH85" s="1540">
        <f t="shared" si="45"/>
        <v>0</v>
      </c>
      <c r="BI85" s="1540">
        <f t="shared" si="46"/>
        <v>0</v>
      </c>
      <c r="BJ85" s="1540">
        <f t="shared" si="47"/>
        <v>0</v>
      </c>
      <c r="BK85" s="1540">
        <f t="shared" si="48"/>
        <v>40258</v>
      </c>
      <c r="BL85" s="1540">
        <f t="shared" si="49"/>
        <v>40258</v>
      </c>
      <c r="BM85" s="1540">
        <f t="shared" si="50"/>
        <v>40258</v>
      </c>
      <c r="BN85" s="1183"/>
      <c r="BO85" s="1182">
        <f t="shared" si="51"/>
        <v>0</v>
      </c>
      <c r="BP85" s="1182">
        <f t="shared" si="52"/>
        <v>0</v>
      </c>
      <c r="BQ85" s="1182">
        <f t="shared" si="53"/>
        <v>0</v>
      </c>
      <c r="BR85" s="1182">
        <f t="shared" si="54"/>
        <v>0</v>
      </c>
      <c r="BS85" s="1182">
        <f t="shared" si="55"/>
        <v>0</v>
      </c>
      <c r="BT85" s="1182">
        <f t="shared" si="56"/>
        <v>0.18181818181619747</v>
      </c>
      <c r="BU85" s="1182">
        <f t="shared" si="57"/>
        <v>0.18181818181619747</v>
      </c>
    </row>
    <row r="86" spans="1:73">
      <c r="A86" s="1182" t="s">
        <v>1803</v>
      </c>
      <c r="B86" s="1182" t="s">
        <v>1804</v>
      </c>
      <c r="C86" s="1182" t="s">
        <v>1639</v>
      </c>
      <c r="D86" s="1182" t="s">
        <v>2590</v>
      </c>
      <c r="E86" s="1182" t="s">
        <v>2591</v>
      </c>
      <c r="F86" s="1182" t="s">
        <v>4598</v>
      </c>
      <c r="G86" s="1182" t="s">
        <v>4598</v>
      </c>
      <c r="H86" s="1188" t="s">
        <v>4548</v>
      </c>
      <c r="I86" s="1182" t="s">
        <v>2933</v>
      </c>
      <c r="J86" s="1182" t="s">
        <v>4599</v>
      </c>
      <c r="K86" s="1182" t="s">
        <v>1811</v>
      </c>
      <c r="L86" s="1182" t="s">
        <v>1812</v>
      </c>
      <c r="M86" s="1182" t="s">
        <v>1803</v>
      </c>
      <c r="N86" s="1182" t="s">
        <v>4453</v>
      </c>
      <c r="O86" s="1182" t="s">
        <v>1654</v>
      </c>
      <c r="P86" s="1182" t="s">
        <v>1653</v>
      </c>
      <c r="Q86" s="1182" t="s">
        <v>1452</v>
      </c>
      <c r="R86" s="1182" t="s">
        <v>1452</v>
      </c>
      <c r="S86" s="1182" t="s">
        <v>1639</v>
      </c>
      <c r="T86" s="1182" t="s">
        <v>4454</v>
      </c>
      <c r="U86" s="1182" t="s">
        <v>4455</v>
      </c>
      <c r="V86" s="1182">
        <v>0</v>
      </c>
      <c r="W86" s="1182">
        <v>0</v>
      </c>
      <c r="X86" s="1182">
        <v>0</v>
      </c>
      <c r="Y86" s="1183">
        <v>10000</v>
      </c>
      <c r="Z86" s="1182" t="s">
        <v>4456</v>
      </c>
      <c r="AA86" s="1182" t="s">
        <v>1452</v>
      </c>
      <c r="AB86" s="1182">
        <v>10000</v>
      </c>
      <c r="AC86" s="1182" t="s">
        <v>4550</v>
      </c>
      <c r="AD86" s="1182" t="s">
        <v>4551</v>
      </c>
      <c r="AE86" s="1182">
        <v>10000</v>
      </c>
      <c r="AF86" s="1182" t="s">
        <v>4437</v>
      </c>
      <c r="AG86" s="1182" t="s">
        <v>1820</v>
      </c>
      <c r="AH86" s="1182">
        <v>909</v>
      </c>
      <c r="AI86" s="1182">
        <v>9091</v>
      </c>
      <c r="AJ86" s="1182" t="s">
        <v>1639</v>
      </c>
      <c r="AL86" s="1186" t="s">
        <v>4600</v>
      </c>
      <c r="AM86" s="1182">
        <v>1</v>
      </c>
      <c r="AN86" s="1182">
        <v>0</v>
      </c>
      <c r="AO86" s="1182">
        <v>0</v>
      </c>
      <c r="AP86" s="1555">
        <v>0</v>
      </c>
      <c r="AQ86" s="1182" t="s">
        <v>1639</v>
      </c>
      <c r="AS86" s="1554" t="s">
        <v>4437</v>
      </c>
      <c r="AT86" s="1554" t="s">
        <v>1820</v>
      </c>
      <c r="AV86" s="1183">
        <v>0</v>
      </c>
      <c r="AW86" s="1183">
        <v>0</v>
      </c>
      <c r="AX86" s="1183">
        <v>0</v>
      </c>
      <c r="AY86" s="1540">
        <v>0</v>
      </c>
      <c r="AZ86" s="1183">
        <v>0</v>
      </c>
      <c r="BA86" s="1183">
        <v>10000</v>
      </c>
      <c r="BB86" s="1540">
        <v>10000</v>
      </c>
      <c r="BC86" s="1540">
        <v>10000</v>
      </c>
      <c r="BD86" s="1540">
        <v>0</v>
      </c>
      <c r="BF86" s="1540">
        <f t="shared" si="43"/>
        <v>0</v>
      </c>
      <c r="BG86" s="1540">
        <f t="shared" si="44"/>
        <v>0</v>
      </c>
      <c r="BH86" s="1540">
        <f t="shared" si="45"/>
        <v>0</v>
      </c>
      <c r="BI86" s="1540">
        <f t="shared" si="46"/>
        <v>0</v>
      </c>
      <c r="BJ86" s="1540">
        <f t="shared" si="47"/>
        <v>0</v>
      </c>
      <c r="BK86" s="1540">
        <f t="shared" si="48"/>
        <v>9091</v>
      </c>
      <c r="BL86" s="1540">
        <f t="shared" si="49"/>
        <v>9091</v>
      </c>
      <c r="BM86" s="1540">
        <f t="shared" si="50"/>
        <v>9091</v>
      </c>
      <c r="BN86" s="1183"/>
      <c r="BO86" s="1182">
        <f t="shared" si="51"/>
        <v>0</v>
      </c>
      <c r="BP86" s="1182">
        <f t="shared" si="52"/>
        <v>0</v>
      </c>
      <c r="BQ86" s="1182">
        <f t="shared" si="53"/>
        <v>0</v>
      </c>
      <c r="BR86" s="1182">
        <f t="shared" si="54"/>
        <v>0</v>
      </c>
      <c r="BS86" s="1182">
        <f t="shared" si="55"/>
        <v>0</v>
      </c>
      <c r="BT86" s="1182">
        <f t="shared" si="56"/>
        <v>-9.0909090909917722E-2</v>
      </c>
      <c r="BU86" s="1182">
        <f t="shared" si="57"/>
        <v>-9.0909090909917722E-2</v>
      </c>
    </row>
    <row r="87" spans="1:73">
      <c r="A87" s="1182" t="s">
        <v>1803</v>
      </c>
      <c r="B87" s="1182" t="s">
        <v>1804</v>
      </c>
      <c r="C87" s="1182" t="s">
        <v>1639</v>
      </c>
      <c r="D87" s="1182" t="s">
        <v>2590</v>
      </c>
      <c r="E87" s="1182" t="s">
        <v>2591</v>
      </c>
      <c r="F87" s="1182" t="s">
        <v>2067</v>
      </c>
      <c r="G87" s="1182" t="s">
        <v>2067</v>
      </c>
      <c r="H87" s="1188" t="s">
        <v>4548</v>
      </c>
      <c r="I87" s="1182" t="s">
        <v>2933</v>
      </c>
      <c r="J87" s="1182" t="s">
        <v>4601</v>
      </c>
      <c r="K87" s="1182" t="s">
        <v>1811</v>
      </c>
      <c r="L87" s="1182" t="s">
        <v>1812</v>
      </c>
      <c r="M87" s="1182" t="s">
        <v>1803</v>
      </c>
      <c r="N87" s="1182" t="s">
        <v>4453</v>
      </c>
      <c r="O87" s="1182" t="s">
        <v>1654</v>
      </c>
      <c r="P87" s="1182" t="s">
        <v>1653</v>
      </c>
      <c r="Q87" s="1182" t="s">
        <v>1452</v>
      </c>
      <c r="R87" s="1182" t="s">
        <v>1452</v>
      </c>
      <c r="S87" s="1182" t="s">
        <v>1639</v>
      </c>
      <c r="T87" s="1182" t="s">
        <v>4454</v>
      </c>
      <c r="U87" s="1182" t="s">
        <v>4455</v>
      </c>
      <c r="V87" s="1182">
        <v>0</v>
      </c>
      <c r="W87" s="1182">
        <v>0</v>
      </c>
      <c r="X87" s="1182">
        <v>0</v>
      </c>
      <c r="Y87" s="1183">
        <v>9421</v>
      </c>
      <c r="Z87" s="1182" t="s">
        <v>4456</v>
      </c>
      <c r="AA87" s="1182" t="s">
        <v>1452</v>
      </c>
      <c r="AB87" s="1182">
        <v>9421</v>
      </c>
      <c r="AC87" s="1182" t="s">
        <v>4550</v>
      </c>
      <c r="AD87" s="1182" t="s">
        <v>4551</v>
      </c>
      <c r="AE87" s="1182">
        <v>9421</v>
      </c>
      <c r="AF87" s="1182" t="s">
        <v>4437</v>
      </c>
      <c r="AG87" s="1182" t="s">
        <v>1820</v>
      </c>
      <c r="AH87" s="1182">
        <v>857</v>
      </c>
      <c r="AI87" s="1182">
        <v>8564</v>
      </c>
      <c r="AJ87" s="1182" t="s">
        <v>1639</v>
      </c>
      <c r="AL87" s="1186" t="s">
        <v>4602</v>
      </c>
      <c r="AM87" s="1182">
        <v>1</v>
      </c>
      <c r="AN87" s="1182">
        <v>0</v>
      </c>
      <c r="AO87" s="1182">
        <v>0</v>
      </c>
      <c r="AP87" s="1555">
        <v>0</v>
      </c>
      <c r="AQ87" s="1182" t="s">
        <v>1639</v>
      </c>
      <c r="AS87" s="1554" t="s">
        <v>4437</v>
      </c>
      <c r="AT87" s="1554" t="s">
        <v>1820</v>
      </c>
      <c r="AV87" s="1183">
        <v>0</v>
      </c>
      <c r="AW87" s="1183">
        <v>0</v>
      </c>
      <c r="AX87" s="1183">
        <v>0</v>
      </c>
      <c r="AY87" s="1540">
        <v>0</v>
      </c>
      <c r="AZ87" s="1183">
        <v>0</v>
      </c>
      <c r="BA87" s="1183">
        <v>9421</v>
      </c>
      <c r="BB87" s="1540">
        <v>9421</v>
      </c>
      <c r="BC87" s="1540">
        <v>9421</v>
      </c>
      <c r="BD87" s="1540">
        <v>0</v>
      </c>
      <c r="BF87" s="1540">
        <f t="shared" si="43"/>
        <v>0</v>
      </c>
      <c r="BG87" s="1540">
        <f t="shared" si="44"/>
        <v>0</v>
      </c>
      <c r="BH87" s="1540">
        <f t="shared" si="45"/>
        <v>0</v>
      </c>
      <c r="BI87" s="1540">
        <f t="shared" si="46"/>
        <v>0</v>
      </c>
      <c r="BJ87" s="1540">
        <f t="shared" si="47"/>
        <v>0</v>
      </c>
      <c r="BK87" s="1540">
        <f t="shared" si="48"/>
        <v>8565</v>
      </c>
      <c r="BL87" s="1540">
        <f t="shared" si="49"/>
        <v>8565</v>
      </c>
      <c r="BM87" s="1540">
        <f t="shared" si="50"/>
        <v>8565</v>
      </c>
      <c r="BN87" s="1183"/>
      <c r="BO87" s="1182">
        <f t="shared" si="51"/>
        <v>0</v>
      </c>
      <c r="BP87" s="1182">
        <f t="shared" si="52"/>
        <v>0</v>
      </c>
      <c r="BQ87" s="1182">
        <f t="shared" si="53"/>
        <v>0</v>
      </c>
      <c r="BR87" s="1182">
        <f t="shared" si="54"/>
        <v>0</v>
      </c>
      <c r="BS87" s="1182">
        <f t="shared" si="55"/>
        <v>0</v>
      </c>
      <c r="BT87" s="1182">
        <f t="shared" si="56"/>
        <v>-0.45454545454595063</v>
      </c>
      <c r="BU87" s="1182">
        <f t="shared" si="57"/>
        <v>-0.45454545454595063</v>
      </c>
    </row>
    <row r="88" spans="1:73">
      <c r="A88" s="1182" t="s">
        <v>1803</v>
      </c>
      <c r="B88" s="1182" t="s">
        <v>1804</v>
      </c>
      <c r="C88" s="1182" t="s">
        <v>1639</v>
      </c>
      <c r="D88" s="1182" t="s">
        <v>2590</v>
      </c>
      <c r="E88" s="1182" t="s">
        <v>2591</v>
      </c>
      <c r="F88" s="1182" t="s">
        <v>2388</v>
      </c>
      <c r="G88" s="1182" t="s">
        <v>2388</v>
      </c>
      <c r="H88" s="1188" t="s">
        <v>4548</v>
      </c>
      <c r="I88" s="1182" t="s">
        <v>2933</v>
      </c>
      <c r="J88" s="1182" t="s">
        <v>4605</v>
      </c>
      <c r="K88" s="1182" t="s">
        <v>1811</v>
      </c>
      <c r="L88" s="1182" t="s">
        <v>1812</v>
      </c>
      <c r="M88" s="1182" t="s">
        <v>1803</v>
      </c>
      <c r="N88" s="1182" t="s">
        <v>4453</v>
      </c>
      <c r="O88" s="1182" t="s">
        <v>1654</v>
      </c>
      <c r="P88" s="1182" t="s">
        <v>1653</v>
      </c>
      <c r="Q88" s="1182" t="s">
        <v>1452</v>
      </c>
      <c r="R88" s="1182" t="s">
        <v>1452</v>
      </c>
      <c r="S88" s="1182" t="s">
        <v>1639</v>
      </c>
      <c r="T88" s="1182" t="s">
        <v>4454</v>
      </c>
      <c r="U88" s="1182" t="s">
        <v>4455</v>
      </c>
      <c r="V88" s="1182">
        <v>0</v>
      </c>
      <c r="W88" s="1182">
        <v>0</v>
      </c>
      <c r="X88" s="1182">
        <v>0</v>
      </c>
      <c r="Y88" s="1183">
        <v>1529</v>
      </c>
      <c r="Z88" s="1182" t="s">
        <v>4456</v>
      </c>
      <c r="AA88" s="1182" t="s">
        <v>1452</v>
      </c>
      <c r="AB88" s="1182">
        <v>1529</v>
      </c>
      <c r="AC88" s="1182" t="s">
        <v>4550</v>
      </c>
      <c r="AD88" s="1182" t="s">
        <v>4551</v>
      </c>
      <c r="AE88" s="1182">
        <v>1529</v>
      </c>
      <c r="AF88" s="1182" t="s">
        <v>4418</v>
      </c>
      <c r="AG88" s="1182" t="s">
        <v>1820</v>
      </c>
      <c r="AH88" s="1182">
        <v>139</v>
      </c>
      <c r="AI88" s="1182">
        <v>1390</v>
      </c>
      <c r="AJ88" s="1182" t="s">
        <v>1639</v>
      </c>
      <c r="AL88" s="1186" t="s">
        <v>4606</v>
      </c>
      <c r="AM88" s="1182">
        <v>2</v>
      </c>
      <c r="AN88" s="1182">
        <v>18</v>
      </c>
      <c r="AO88" s="1182">
        <v>10</v>
      </c>
      <c r="AP88" s="1555">
        <v>0</v>
      </c>
      <c r="AQ88" s="1182" t="s">
        <v>1639</v>
      </c>
      <c r="AS88" s="1554">
        <v>18</v>
      </c>
      <c r="AT88" s="1554">
        <v>10</v>
      </c>
      <c r="AV88" s="1183">
        <v>0</v>
      </c>
      <c r="AW88" s="1183">
        <v>0</v>
      </c>
      <c r="AX88" s="1183">
        <v>0</v>
      </c>
      <c r="AY88" s="1540">
        <v>0</v>
      </c>
      <c r="AZ88" s="1183">
        <v>0</v>
      </c>
      <c r="BA88" s="1183">
        <v>1529</v>
      </c>
      <c r="BB88" s="1540">
        <v>1529</v>
      </c>
      <c r="BC88" s="1540">
        <v>1529</v>
      </c>
      <c r="BD88" s="1540">
        <v>0</v>
      </c>
      <c r="BF88" s="1540">
        <f t="shared" si="43"/>
        <v>0</v>
      </c>
      <c r="BG88" s="1540">
        <f t="shared" si="44"/>
        <v>0</v>
      </c>
      <c r="BH88" s="1540">
        <f t="shared" si="45"/>
        <v>0</v>
      </c>
      <c r="BI88" s="1540">
        <f t="shared" si="46"/>
        <v>0</v>
      </c>
      <c r="BJ88" s="1540">
        <f t="shared" si="47"/>
        <v>0</v>
      </c>
      <c r="BK88" s="1540">
        <f t="shared" si="48"/>
        <v>1390</v>
      </c>
      <c r="BL88" s="1540">
        <f t="shared" si="49"/>
        <v>1390</v>
      </c>
      <c r="BM88" s="1540">
        <f t="shared" si="50"/>
        <v>1390</v>
      </c>
      <c r="BN88" s="1183"/>
      <c r="BO88" s="1182">
        <f t="shared" si="51"/>
        <v>0</v>
      </c>
      <c r="BP88" s="1182">
        <f t="shared" si="52"/>
        <v>0</v>
      </c>
      <c r="BQ88" s="1182">
        <f t="shared" si="53"/>
        <v>0</v>
      </c>
      <c r="BR88" s="1182">
        <f t="shared" si="54"/>
        <v>0</v>
      </c>
      <c r="BS88" s="1182">
        <f t="shared" si="55"/>
        <v>0</v>
      </c>
      <c r="BT88" s="1182">
        <f t="shared" si="56"/>
        <v>0</v>
      </c>
      <c r="BU88" s="1182">
        <f t="shared" si="57"/>
        <v>0</v>
      </c>
    </row>
    <row r="89" spans="1:73" hidden="1">
      <c r="A89" s="1182" t="s">
        <v>1803</v>
      </c>
      <c r="B89" s="1182" t="s">
        <v>1804</v>
      </c>
      <c r="C89" s="1182" t="s">
        <v>1639</v>
      </c>
      <c r="D89" s="1182" t="s">
        <v>2866</v>
      </c>
      <c r="E89" s="1182" t="s">
        <v>2867</v>
      </c>
      <c r="F89" s="1182" t="s">
        <v>1856</v>
      </c>
      <c r="G89" s="1182" t="s">
        <v>1856</v>
      </c>
      <c r="H89" s="1182" t="s">
        <v>4607</v>
      </c>
      <c r="I89" s="1182" t="s">
        <v>4411</v>
      </c>
      <c r="J89" s="1182" t="s">
        <v>4608</v>
      </c>
      <c r="K89" s="1182" t="s">
        <v>1811</v>
      </c>
      <c r="L89" s="1182" t="s">
        <v>1812</v>
      </c>
      <c r="M89" s="1182" t="s">
        <v>1803</v>
      </c>
      <c r="N89" s="1182" t="s">
        <v>4453</v>
      </c>
      <c r="O89" s="1182" t="s">
        <v>1654</v>
      </c>
      <c r="P89" s="1182" t="s">
        <v>1653</v>
      </c>
      <c r="Q89" s="1182" t="s">
        <v>1452</v>
      </c>
      <c r="R89" s="1182" t="s">
        <v>1452</v>
      </c>
      <c r="S89" s="1182" t="s">
        <v>1639</v>
      </c>
      <c r="T89" s="1182" t="s">
        <v>4609</v>
      </c>
      <c r="U89" s="1182" t="s">
        <v>4610</v>
      </c>
      <c r="V89" s="1182">
        <v>0</v>
      </c>
      <c r="W89" s="1182">
        <v>0</v>
      </c>
      <c r="X89" s="1182">
        <v>0</v>
      </c>
      <c r="Y89" s="1183">
        <v>590</v>
      </c>
      <c r="Z89" s="1182" t="s">
        <v>4456</v>
      </c>
      <c r="AA89" s="1182" t="s">
        <v>1452</v>
      </c>
      <c r="AB89" s="1182">
        <v>590</v>
      </c>
      <c r="AC89" s="1182" t="s">
        <v>4283</v>
      </c>
      <c r="AD89" s="1182" t="s">
        <v>4284</v>
      </c>
      <c r="AE89" s="1182">
        <v>590</v>
      </c>
      <c r="AF89" s="1182" t="s">
        <v>4437</v>
      </c>
      <c r="AG89" s="1182" t="s">
        <v>1820</v>
      </c>
      <c r="AH89" s="1182">
        <v>53</v>
      </c>
      <c r="AI89" s="1182">
        <v>537</v>
      </c>
      <c r="AJ89" s="1182" t="s">
        <v>2146</v>
      </c>
      <c r="AL89" s="1186" t="s">
        <v>4611</v>
      </c>
      <c r="AM89" s="1182">
        <v>1</v>
      </c>
      <c r="AN89" s="1182">
        <v>0</v>
      </c>
      <c r="AO89" s="1182">
        <v>0</v>
      </c>
      <c r="AP89" s="1555">
        <v>0</v>
      </c>
      <c r="AQ89" s="1182" t="s">
        <v>1639</v>
      </c>
      <c r="AS89" s="1554" t="s">
        <v>4437</v>
      </c>
      <c r="AT89" s="1554" t="s">
        <v>1820</v>
      </c>
      <c r="AV89" s="1183">
        <v>295</v>
      </c>
      <c r="AW89" s="1183">
        <v>0</v>
      </c>
      <c r="AX89" s="1183">
        <v>0</v>
      </c>
      <c r="AY89" s="1540">
        <v>295</v>
      </c>
      <c r="AZ89" s="1183">
        <v>0</v>
      </c>
      <c r="BA89" s="1183">
        <v>295</v>
      </c>
      <c r="BB89" s="1540">
        <v>295</v>
      </c>
      <c r="BC89" s="1540">
        <v>590</v>
      </c>
      <c r="BD89" s="1540">
        <v>0</v>
      </c>
      <c r="BF89" s="1540">
        <f t="shared" si="43"/>
        <v>268</v>
      </c>
      <c r="BG89" s="1540">
        <f t="shared" si="44"/>
        <v>0</v>
      </c>
      <c r="BH89" s="1540">
        <f t="shared" si="45"/>
        <v>0</v>
      </c>
      <c r="BI89" s="1540">
        <f t="shared" si="46"/>
        <v>268</v>
      </c>
      <c r="BJ89" s="1540">
        <f t="shared" si="47"/>
        <v>0</v>
      </c>
      <c r="BK89" s="1540">
        <f t="shared" si="48"/>
        <v>268</v>
      </c>
      <c r="BL89" s="1540">
        <f t="shared" si="49"/>
        <v>268</v>
      </c>
      <c r="BM89" s="1540">
        <f t="shared" si="50"/>
        <v>536</v>
      </c>
      <c r="BN89" s="1183"/>
      <c r="BO89" s="1182">
        <f t="shared" si="51"/>
        <v>0.18181818181818699</v>
      </c>
      <c r="BP89" s="1182">
        <f t="shared" si="52"/>
        <v>0</v>
      </c>
      <c r="BQ89" s="1182">
        <f t="shared" si="53"/>
        <v>0</v>
      </c>
      <c r="BR89" s="1182">
        <f t="shared" si="54"/>
        <v>0.18181818181818699</v>
      </c>
      <c r="BS89" s="1182">
        <f t="shared" si="55"/>
        <v>0</v>
      </c>
      <c r="BT89" s="1182">
        <f t="shared" si="56"/>
        <v>0.18181818181818699</v>
      </c>
      <c r="BU89" s="1182">
        <f t="shared" si="57"/>
        <v>0.18181818181818699</v>
      </c>
    </row>
    <row r="90" spans="1:73" hidden="1">
      <c r="A90" s="1182" t="s">
        <v>1803</v>
      </c>
      <c r="B90" s="1182" t="s">
        <v>1804</v>
      </c>
      <c r="C90" s="1182" t="s">
        <v>1639</v>
      </c>
      <c r="D90" s="1182" t="s">
        <v>2523</v>
      </c>
      <c r="E90" s="1182" t="s">
        <v>2524</v>
      </c>
      <c r="F90" s="1182" t="s">
        <v>3736</v>
      </c>
      <c r="G90" s="1182" t="s">
        <v>3736</v>
      </c>
      <c r="H90" s="1182" t="s">
        <v>4612</v>
      </c>
      <c r="I90" s="1182" t="s">
        <v>2933</v>
      </c>
      <c r="J90" s="1182" t="s">
        <v>4613</v>
      </c>
      <c r="K90" s="1182" t="s">
        <v>1811</v>
      </c>
      <c r="L90" s="1182" t="s">
        <v>1812</v>
      </c>
      <c r="M90" s="1182" t="s">
        <v>1803</v>
      </c>
      <c r="N90" s="1182" t="s">
        <v>4453</v>
      </c>
      <c r="O90" s="1182" t="s">
        <v>1654</v>
      </c>
      <c r="P90" s="1182" t="s">
        <v>1653</v>
      </c>
      <c r="Q90" s="1182" t="s">
        <v>1452</v>
      </c>
      <c r="R90" s="1182" t="s">
        <v>1452</v>
      </c>
      <c r="S90" s="1182" t="s">
        <v>1639</v>
      </c>
      <c r="T90" s="1182" t="s">
        <v>4614</v>
      </c>
      <c r="U90" s="1182" t="s">
        <v>4615</v>
      </c>
      <c r="V90" s="1182">
        <v>0</v>
      </c>
      <c r="W90" s="1182">
        <v>18180</v>
      </c>
      <c r="X90" s="1182">
        <v>18180</v>
      </c>
      <c r="Y90" s="1183">
        <v>18180</v>
      </c>
      <c r="Z90" s="1182" t="s">
        <v>4456</v>
      </c>
      <c r="AA90" s="1182" t="s">
        <v>1452</v>
      </c>
      <c r="AB90" s="1182">
        <v>18180</v>
      </c>
      <c r="AC90" s="1182" t="s">
        <v>4616</v>
      </c>
      <c r="AD90" s="1182" t="s">
        <v>4617</v>
      </c>
      <c r="AE90" s="1182">
        <v>18180</v>
      </c>
      <c r="AF90" s="1182" t="s">
        <v>2911</v>
      </c>
      <c r="AG90" s="1182" t="s">
        <v>1944</v>
      </c>
      <c r="AH90" s="1182">
        <v>0</v>
      </c>
      <c r="AI90" s="1182">
        <v>18180</v>
      </c>
      <c r="AJ90" s="1182" t="s">
        <v>1639</v>
      </c>
      <c r="AL90" s="1186" t="s">
        <v>4618</v>
      </c>
      <c r="AM90" s="1182">
        <v>1</v>
      </c>
      <c r="AN90" s="1182">
        <v>0</v>
      </c>
      <c r="AO90" s="1182">
        <v>0</v>
      </c>
      <c r="AP90" s="1555">
        <v>0</v>
      </c>
      <c r="AQ90" s="1182" t="s">
        <v>1639</v>
      </c>
      <c r="AS90" s="1554" t="s">
        <v>2911</v>
      </c>
      <c r="AT90" s="1554" t="s">
        <v>1944</v>
      </c>
      <c r="AV90" s="1183">
        <v>3454</v>
      </c>
      <c r="AW90" s="1183">
        <v>0</v>
      </c>
      <c r="AX90" s="1183">
        <v>0</v>
      </c>
      <c r="AY90" s="1540">
        <v>3454</v>
      </c>
      <c r="AZ90" s="1183">
        <v>0</v>
      </c>
      <c r="BA90" s="1183">
        <v>14726</v>
      </c>
      <c r="BB90" s="1540">
        <v>14726</v>
      </c>
      <c r="BC90" s="1540">
        <v>18180</v>
      </c>
      <c r="BD90" s="1540">
        <v>0</v>
      </c>
      <c r="BF90" s="1540">
        <f t="shared" si="43"/>
        <v>3454</v>
      </c>
      <c r="BG90" s="1540">
        <f t="shared" si="44"/>
        <v>0</v>
      </c>
      <c r="BH90" s="1540">
        <f t="shared" si="45"/>
        <v>0</v>
      </c>
      <c r="BI90" s="1540">
        <f t="shared" si="46"/>
        <v>3454</v>
      </c>
      <c r="BJ90" s="1540">
        <f t="shared" si="47"/>
        <v>0</v>
      </c>
      <c r="BK90" s="1540">
        <f t="shared" si="48"/>
        <v>14726</v>
      </c>
      <c r="BL90" s="1540">
        <f t="shared" si="49"/>
        <v>14726</v>
      </c>
      <c r="BM90" s="1540">
        <f t="shared" si="50"/>
        <v>18180</v>
      </c>
      <c r="BN90" s="1183"/>
      <c r="BO90" s="1182">
        <f t="shared" si="51"/>
        <v>0</v>
      </c>
      <c r="BP90" s="1182">
        <f t="shared" si="52"/>
        <v>0</v>
      </c>
      <c r="BQ90" s="1182">
        <f t="shared" si="53"/>
        <v>0</v>
      </c>
      <c r="BR90" s="1182">
        <f t="shared" si="54"/>
        <v>0</v>
      </c>
      <c r="BS90" s="1182">
        <f t="shared" si="55"/>
        <v>0</v>
      </c>
      <c r="BT90" s="1182">
        <f t="shared" si="56"/>
        <v>0</v>
      </c>
      <c r="BU90" s="1182">
        <f t="shared" si="57"/>
        <v>0</v>
      </c>
    </row>
    <row r="91" spans="1:73">
      <c r="A91" s="1182" t="s">
        <v>1803</v>
      </c>
      <c r="B91" s="1182" t="s">
        <v>1804</v>
      </c>
      <c r="C91" s="1182" t="s">
        <v>1639</v>
      </c>
      <c r="D91" s="1182" t="s">
        <v>2590</v>
      </c>
      <c r="E91" s="1182" t="s">
        <v>2591</v>
      </c>
      <c r="F91" s="1182" t="s">
        <v>2912</v>
      </c>
      <c r="G91" s="1182" t="s">
        <v>2912</v>
      </c>
      <c r="H91" s="1188" t="s">
        <v>4619</v>
      </c>
      <c r="I91" s="1182" t="s">
        <v>2933</v>
      </c>
      <c r="J91" s="1182" t="s">
        <v>4620</v>
      </c>
      <c r="K91" s="1182" t="s">
        <v>1811</v>
      </c>
      <c r="L91" s="1182" t="s">
        <v>1812</v>
      </c>
      <c r="M91" s="1182" t="s">
        <v>1803</v>
      </c>
      <c r="N91" s="1182" t="s">
        <v>4453</v>
      </c>
      <c r="O91" s="1182" t="s">
        <v>1654</v>
      </c>
      <c r="P91" s="1182" t="s">
        <v>1653</v>
      </c>
      <c r="Q91" s="1182" t="s">
        <v>1452</v>
      </c>
      <c r="R91" s="1182" t="s">
        <v>1452</v>
      </c>
      <c r="S91" s="1182" t="s">
        <v>1639</v>
      </c>
      <c r="T91" s="1182" t="s">
        <v>4454</v>
      </c>
      <c r="U91" s="1182" t="s">
        <v>4455</v>
      </c>
      <c r="V91" s="1182">
        <v>0</v>
      </c>
      <c r="W91" s="1182">
        <v>0</v>
      </c>
      <c r="X91" s="1182">
        <v>0</v>
      </c>
      <c r="Y91" s="1183">
        <v>4690</v>
      </c>
      <c r="Z91" s="1182" t="s">
        <v>4456</v>
      </c>
      <c r="AA91" s="1182" t="s">
        <v>1452</v>
      </c>
      <c r="AB91" s="1182">
        <v>4690</v>
      </c>
      <c r="AC91" s="1182" t="s">
        <v>4214</v>
      </c>
      <c r="AD91" s="1182" t="s">
        <v>4215</v>
      </c>
      <c r="AE91" s="1182">
        <v>4690</v>
      </c>
      <c r="AF91" s="1182" t="s">
        <v>4418</v>
      </c>
      <c r="AG91" s="1182" t="s">
        <v>3911</v>
      </c>
      <c r="AH91" s="1182">
        <v>347</v>
      </c>
      <c r="AI91" s="1182">
        <v>4343</v>
      </c>
      <c r="AJ91" s="1182" t="s">
        <v>1639</v>
      </c>
      <c r="AL91" s="1186" t="s">
        <v>4621</v>
      </c>
      <c r="AM91" s="1182">
        <v>1</v>
      </c>
      <c r="AN91" s="1182">
        <v>0</v>
      </c>
      <c r="AO91" s="1182">
        <v>0</v>
      </c>
      <c r="AP91" s="1555">
        <v>0</v>
      </c>
      <c r="AQ91" s="1182" t="s">
        <v>1639</v>
      </c>
      <c r="AS91" s="1554" t="s">
        <v>4418</v>
      </c>
      <c r="AT91" s="1554" t="s">
        <v>3911</v>
      </c>
      <c r="AV91" s="1183">
        <v>0</v>
      </c>
      <c r="AW91" s="1183">
        <v>0</v>
      </c>
      <c r="AX91" s="1183">
        <v>0</v>
      </c>
      <c r="AY91" s="1540">
        <v>0</v>
      </c>
      <c r="AZ91" s="1183">
        <v>0</v>
      </c>
      <c r="BA91" s="1183">
        <v>4690</v>
      </c>
      <c r="BB91" s="1540">
        <v>4690</v>
      </c>
      <c r="BC91" s="1540">
        <v>4690</v>
      </c>
      <c r="BD91" s="1540">
        <v>0</v>
      </c>
      <c r="BF91" s="1540">
        <f t="shared" si="43"/>
        <v>0</v>
      </c>
      <c r="BG91" s="1540">
        <f t="shared" si="44"/>
        <v>0</v>
      </c>
      <c r="BH91" s="1540">
        <f t="shared" si="45"/>
        <v>0</v>
      </c>
      <c r="BI91" s="1540">
        <f t="shared" si="46"/>
        <v>0</v>
      </c>
      <c r="BJ91" s="1540">
        <f t="shared" si="47"/>
        <v>0</v>
      </c>
      <c r="BK91" s="1540">
        <f t="shared" si="48"/>
        <v>4343</v>
      </c>
      <c r="BL91" s="1540">
        <f t="shared" si="49"/>
        <v>4343</v>
      </c>
      <c r="BM91" s="1540">
        <f t="shared" si="50"/>
        <v>4343</v>
      </c>
      <c r="BN91" s="1183"/>
      <c r="BO91" s="1182">
        <f t="shared" si="51"/>
        <v>0</v>
      </c>
      <c r="BP91" s="1182">
        <f t="shared" si="52"/>
        <v>0</v>
      </c>
      <c r="BQ91" s="1182">
        <f t="shared" si="53"/>
        <v>0</v>
      </c>
      <c r="BR91" s="1182">
        <f t="shared" si="54"/>
        <v>0</v>
      </c>
      <c r="BS91" s="1182">
        <f t="shared" si="55"/>
        <v>0</v>
      </c>
      <c r="BT91" s="1182">
        <f t="shared" si="56"/>
        <v>-0.40740740740784531</v>
      </c>
      <c r="BU91" s="1182">
        <f t="shared" si="57"/>
        <v>-0.40740740740784531</v>
      </c>
    </row>
    <row r="92" spans="1:73">
      <c r="A92" s="1182" t="s">
        <v>1803</v>
      </c>
      <c r="B92" s="1182" t="s">
        <v>1804</v>
      </c>
      <c r="C92" s="1182" t="s">
        <v>1639</v>
      </c>
      <c r="D92" s="1182" t="s">
        <v>2590</v>
      </c>
      <c r="E92" s="1182" t="s">
        <v>2591</v>
      </c>
      <c r="F92" s="1182" t="s">
        <v>2764</v>
      </c>
      <c r="G92" s="1182" t="s">
        <v>2764</v>
      </c>
      <c r="H92" s="1188" t="s">
        <v>4622</v>
      </c>
      <c r="I92" s="1182" t="s">
        <v>2933</v>
      </c>
      <c r="J92" s="1182" t="s">
        <v>4623</v>
      </c>
      <c r="K92" s="1182" t="s">
        <v>1811</v>
      </c>
      <c r="L92" s="1182" t="s">
        <v>1812</v>
      </c>
      <c r="M92" s="1182" t="s">
        <v>1803</v>
      </c>
      <c r="N92" s="1182" t="s">
        <v>4453</v>
      </c>
      <c r="O92" s="1182" t="s">
        <v>1654</v>
      </c>
      <c r="P92" s="1182" t="s">
        <v>1653</v>
      </c>
      <c r="Q92" s="1182" t="s">
        <v>1452</v>
      </c>
      <c r="R92" s="1182" t="s">
        <v>1452</v>
      </c>
      <c r="S92" s="1182" t="s">
        <v>1639</v>
      </c>
      <c r="T92" s="1182" t="s">
        <v>4454</v>
      </c>
      <c r="U92" s="1182" t="s">
        <v>4455</v>
      </c>
      <c r="V92" s="1182">
        <v>0</v>
      </c>
      <c r="W92" s="1182">
        <v>0</v>
      </c>
      <c r="X92" s="1182">
        <v>0</v>
      </c>
      <c r="Y92" s="1183">
        <v>1</v>
      </c>
      <c r="Z92" s="1182" t="s">
        <v>4456</v>
      </c>
      <c r="AA92" s="1182" t="s">
        <v>1452</v>
      </c>
      <c r="AB92" s="1182">
        <v>1</v>
      </c>
      <c r="AC92" s="1182" t="s">
        <v>4245</v>
      </c>
      <c r="AD92" s="1182" t="s">
        <v>4246</v>
      </c>
      <c r="AE92" s="1182">
        <v>1</v>
      </c>
      <c r="AF92" s="1182" t="s">
        <v>4437</v>
      </c>
      <c r="AG92" s="1182" t="s">
        <v>1820</v>
      </c>
      <c r="AH92" s="1182">
        <v>0</v>
      </c>
      <c r="AI92" s="1182">
        <v>1</v>
      </c>
      <c r="AJ92" s="1182" t="s">
        <v>1639</v>
      </c>
      <c r="AL92" s="1186" t="s">
        <v>4624</v>
      </c>
      <c r="AM92" s="1182">
        <v>1</v>
      </c>
      <c r="AN92" s="1182">
        <v>0</v>
      </c>
      <c r="AO92" s="1182">
        <v>0</v>
      </c>
      <c r="AP92" s="1555">
        <v>0</v>
      </c>
      <c r="AQ92" s="1182" t="s">
        <v>1639</v>
      </c>
      <c r="AS92" s="1554" t="s">
        <v>4437</v>
      </c>
      <c r="AT92" s="1554" t="s">
        <v>1820</v>
      </c>
      <c r="AV92" s="1183">
        <v>0</v>
      </c>
      <c r="AW92" s="1183">
        <v>0</v>
      </c>
      <c r="AX92" s="1183">
        <v>0</v>
      </c>
      <c r="AY92" s="1540">
        <v>0</v>
      </c>
      <c r="AZ92" s="1183">
        <v>0</v>
      </c>
      <c r="BA92" s="1183">
        <v>1</v>
      </c>
      <c r="BB92" s="1540">
        <v>1</v>
      </c>
      <c r="BC92" s="1540">
        <v>1</v>
      </c>
      <c r="BD92" s="1540">
        <v>0</v>
      </c>
      <c r="BF92" s="1540">
        <f t="shared" si="43"/>
        <v>0</v>
      </c>
      <c r="BG92" s="1540">
        <f t="shared" si="44"/>
        <v>0</v>
      </c>
      <c r="BH92" s="1540">
        <f t="shared" si="45"/>
        <v>0</v>
      </c>
      <c r="BI92" s="1540">
        <f t="shared" si="46"/>
        <v>0</v>
      </c>
      <c r="BJ92" s="1540">
        <f t="shared" si="47"/>
        <v>0</v>
      </c>
      <c r="BK92" s="1540">
        <f t="shared" si="48"/>
        <v>1</v>
      </c>
      <c r="BL92" s="1540">
        <f t="shared" si="49"/>
        <v>1</v>
      </c>
      <c r="BM92" s="1540">
        <f t="shared" si="50"/>
        <v>1</v>
      </c>
      <c r="BN92" s="1183"/>
      <c r="BO92" s="1182">
        <f t="shared" si="51"/>
        <v>0</v>
      </c>
      <c r="BP92" s="1182">
        <f t="shared" si="52"/>
        <v>0</v>
      </c>
      <c r="BQ92" s="1182">
        <f t="shared" si="53"/>
        <v>0</v>
      </c>
      <c r="BR92" s="1182">
        <f t="shared" si="54"/>
        <v>0</v>
      </c>
      <c r="BS92" s="1182">
        <f t="shared" si="55"/>
        <v>0</v>
      </c>
      <c r="BT92" s="1182">
        <f t="shared" si="56"/>
        <v>-9.0909090909090939E-2</v>
      </c>
      <c r="BU92" s="1182">
        <f t="shared" si="57"/>
        <v>-9.0909090909090939E-2</v>
      </c>
    </row>
    <row r="93" spans="1:73">
      <c r="A93" s="1182" t="s">
        <v>1803</v>
      </c>
      <c r="B93" s="1182" t="s">
        <v>1804</v>
      </c>
      <c r="C93" s="1182" t="s">
        <v>1639</v>
      </c>
      <c r="D93" s="1182" t="s">
        <v>2590</v>
      </c>
      <c r="E93" s="1182" t="s">
        <v>2591</v>
      </c>
      <c r="F93" s="1182" t="s">
        <v>2665</v>
      </c>
      <c r="G93" s="1182" t="s">
        <v>2665</v>
      </c>
      <c r="H93" s="1188" t="s">
        <v>4625</v>
      </c>
      <c r="I93" s="1182" t="s">
        <v>2933</v>
      </c>
      <c r="J93" s="1182" t="s">
        <v>4626</v>
      </c>
      <c r="K93" s="1182" t="s">
        <v>1811</v>
      </c>
      <c r="L93" s="1182" t="s">
        <v>1812</v>
      </c>
      <c r="M93" s="1182" t="s">
        <v>1803</v>
      </c>
      <c r="N93" s="1182" t="s">
        <v>4453</v>
      </c>
      <c r="O93" s="1182" t="s">
        <v>1654</v>
      </c>
      <c r="P93" s="1182" t="s">
        <v>1653</v>
      </c>
      <c r="Q93" s="1182" t="s">
        <v>1452</v>
      </c>
      <c r="R93" s="1182" t="s">
        <v>1452</v>
      </c>
      <c r="S93" s="1182" t="s">
        <v>1639</v>
      </c>
      <c r="T93" s="1182" t="s">
        <v>4454</v>
      </c>
      <c r="U93" s="1182" t="s">
        <v>4455</v>
      </c>
      <c r="V93" s="1182">
        <v>0</v>
      </c>
      <c r="W93" s="1182">
        <v>0</v>
      </c>
      <c r="X93" s="1182">
        <v>0</v>
      </c>
      <c r="Y93" s="1183">
        <v>10672</v>
      </c>
      <c r="Z93" s="1182" t="s">
        <v>4456</v>
      </c>
      <c r="AA93" s="1182" t="s">
        <v>1452</v>
      </c>
      <c r="AB93" s="1182">
        <v>10672</v>
      </c>
      <c r="AC93" s="1182" t="s">
        <v>4245</v>
      </c>
      <c r="AD93" s="1182" t="s">
        <v>4246</v>
      </c>
      <c r="AE93" s="1182">
        <v>10672</v>
      </c>
      <c r="AF93" s="1182" t="s">
        <v>4418</v>
      </c>
      <c r="AG93" s="1182" t="s">
        <v>1820</v>
      </c>
      <c r="AH93" s="1182">
        <v>970</v>
      </c>
      <c r="AI93" s="1182">
        <v>9702</v>
      </c>
      <c r="AJ93" s="1182" t="s">
        <v>1639</v>
      </c>
      <c r="AL93" s="1186" t="s">
        <v>4627</v>
      </c>
      <c r="AM93" s="1182">
        <v>2</v>
      </c>
      <c r="AN93" s="1182">
        <v>18</v>
      </c>
      <c r="AO93" s="1182">
        <v>10</v>
      </c>
      <c r="AP93" s="1555">
        <v>0</v>
      </c>
      <c r="AQ93" s="1182" t="s">
        <v>1639</v>
      </c>
      <c r="AS93" s="1554">
        <v>18</v>
      </c>
      <c r="AT93" s="1554">
        <v>10</v>
      </c>
      <c r="AV93" s="1183">
        <v>0</v>
      </c>
      <c r="AW93" s="1183">
        <v>0</v>
      </c>
      <c r="AX93" s="1183">
        <v>0</v>
      </c>
      <c r="AY93" s="1540">
        <v>0</v>
      </c>
      <c r="AZ93" s="1183">
        <v>0</v>
      </c>
      <c r="BA93" s="1183">
        <v>10672</v>
      </c>
      <c r="BB93" s="1540">
        <v>10672</v>
      </c>
      <c r="BC93" s="1540">
        <v>10672</v>
      </c>
      <c r="BD93" s="1540">
        <v>0</v>
      </c>
      <c r="BF93" s="1540">
        <f t="shared" si="43"/>
        <v>0</v>
      </c>
      <c r="BG93" s="1540">
        <f t="shared" si="44"/>
        <v>0</v>
      </c>
      <c r="BH93" s="1540">
        <f t="shared" si="45"/>
        <v>0</v>
      </c>
      <c r="BI93" s="1540">
        <f t="shared" si="46"/>
        <v>0</v>
      </c>
      <c r="BJ93" s="1540">
        <f t="shared" si="47"/>
        <v>0</v>
      </c>
      <c r="BK93" s="1540">
        <f t="shared" si="48"/>
        <v>9702</v>
      </c>
      <c r="BL93" s="1540">
        <f t="shared" si="49"/>
        <v>9702</v>
      </c>
      <c r="BM93" s="1540">
        <f t="shared" si="50"/>
        <v>9702</v>
      </c>
      <c r="BN93" s="1183"/>
      <c r="BO93" s="1182">
        <f t="shared" si="51"/>
        <v>0</v>
      </c>
      <c r="BP93" s="1182">
        <f t="shared" si="52"/>
        <v>0</v>
      </c>
      <c r="BQ93" s="1182">
        <f t="shared" si="53"/>
        <v>0</v>
      </c>
      <c r="BR93" s="1182">
        <f t="shared" si="54"/>
        <v>0</v>
      </c>
      <c r="BS93" s="1182">
        <f t="shared" si="55"/>
        <v>0</v>
      </c>
      <c r="BT93" s="1182">
        <f t="shared" si="56"/>
        <v>-0.18181818181801646</v>
      </c>
      <c r="BU93" s="1182">
        <f t="shared" si="57"/>
        <v>-0.18181818181801646</v>
      </c>
    </row>
    <row r="94" spans="1:73">
      <c r="A94" s="1182" t="s">
        <v>1803</v>
      </c>
      <c r="B94" s="1182" t="s">
        <v>1804</v>
      </c>
      <c r="C94" s="1182" t="s">
        <v>1639</v>
      </c>
      <c r="D94" s="1182" t="s">
        <v>2590</v>
      </c>
      <c r="E94" s="1182" t="s">
        <v>2591</v>
      </c>
      <c r="F94" s="1182" t="s">
        <v>3834</v>
      </c>
      <c r="G94" s="1182" t="s">
        <v>3834</v>
      </c>
      <c r="H94" s="1188" t="s">
        <v>4625</v>
      </c>
      <c r="I94" s="1182" t="s">
        <v>2933</v>
      </c>
      <c r="J94" s="1182" t="s">
        <v>4628</v>
      </c>
      <c r="K94" s="1182" t="s">
        <v>1811</v>
      </c>
      <c r="L94" s="1182" t="s">
        <v>1812</v>
      </c>
      <c r="M94" s="1182" t="s">
        <v>1803</v>
      </c>
      <c r="N94" s="1182" t="s">
        <v>4453</v>
      </c>
      <c r="O94" s="1182" t="s">
        <v>1654</v>
      </c>
      <c r="P94" s="1182" t="s">
        <v>1653</v>
      </c>
      <c r="Q94" s="1182" t="s">
        <v>1452</v>
      </c>
      <c r="R94" s="1182" t="s">
        <v>1452</v>
      </c>
      <c r="S94" s="1182" t="s">
        <v>1639</v>
      </c>
      <c r="T94" s="1182" t="s">
        <v>4454</v>
      </c>
      <c r="U94" s="1182" t="s">
        <v>4455</v>
      </c>
      <c r="V94" s="1182">
        <v>0</v>
      </c>
      <c r="W94" s="1182">
        <v>0</v>
      </c>
      <c r="X94" s="1182">
        <v>0</v>
      </c>
      <c r="Y94" s="1183">
        <v>2057</v>
      </c>
      <c r="Z94" s="1182" t="s">
        <v>4456</v>
      </c>
      <c r="AA94" s="1182" t="s">
        <v>1452</v>
      </c>
      <c r="AB94" s="1182">
        <v>2057</v>
      </c>
      <c r="AC94" s="1182" t="s">
        <v>4245</v>
      </c>
      <c r="AD94" s="1182" t="s">
        <v>4246</v>
      </c>
      <c r="AE94" s="1182">
        <v>2057</v>
      </c>
      <c r="AF94" s="1182" t="s">
        <v>4437</v>
      </c>
      <c r="AG94" s="1182" t="s">
        <v>1820</v>
      </c>
      <c r="AH94" s="1182">
        <v>187</v>
      </c>
      <c r="AI94" s="1182">
        <v>1870</v>
      </c>
      <c r="AJ94" s="1182" t="s">
        <v>1639</v>
      </c>
      <c r="AL94" s="1186" t="s">
        <v>4629</v>
      </c>
      <c r="AM94" s="1182">
        <v>1</v>
      </c>
      <c r="AN94" s="1182">
        <v>0</v>
      </c>
      <c r="AO94" s="1182">
        <v>0</v>
      </c>
      <c r="AP94" s="1555">
        <v>0</v>
      </c>
      <c r="AQ94" s="1182" t="s">
        <v>1639</v>
      </c>
      <c r="AS94" s="1554" t="s">
        <v>4437</v>
      </c>
      <c r="AT94" s="1554" t="s">
        <v>1820</v>
      </c>
      <c r="AV94" s="1183">
        <v>0</v>
      </c>
      <c r="AW94" s="1183">
        <v>0</v>
      </c>
      <c r="AX94" s="1183">
        <v>0</v>
      </c>
      <c r="AY94" s="1540">
        <v>0</v>
      </c>
      <c r="AZ94" s="1183">
        <v>0</v>
      </c>
      <c r="BA94" s="1183">
        <v>2057</v>
      </c>
      <c r="BB94" s="1540">
        <v>2057</v>
      </c>
      <c r="BC94" s="1540">
        <v>2057</v>
      </c>
      <c r="BD94" s="1540">
        <v>0</v>
      </c>
      <c r="BF94" s="1540">
        <f t="shared" si="43"/>
        <v>0</v>
      </c>
      <c r="BG94" s="1540">
        <f t="shared" si="44"/>
        <v>0</v>
      </c>
      <c r="BH94" s="1540">
        <f t="shared" si="45"/>
        <v>0</v>
      </c>
      <c r="BI94" s="1540">
        <f t="shared" si="46"/>
        <v>0</v>
      </c>
      <c r="BJ94" s="1540">
        <f t="shared" si="47"/>
        <v>0</v>
      </c>
      <c r="BK94" s="1540">
        <f t="shared" si="48"/>
        <v>1870</v>
      </c>
      <c r="BL94" s="1540">
        <f t="shared" si="49"/>
        <v>1870</v>
      </c>
      <c r="BM94" s="1540">
        <f t="shared" si="50"/>
        <v>1870</v>
      </c>
      <c r="BN94" s="1183"/>
      <c r="BO94" s="1182">
        <f t="shared" si="51"/>
        <v>0</v>
      </c>
      <c r="BP94" s="1182">
        <f t="shared" si="52"/>
        <v>0</v>
      </c>
      <c r="BQ94" s="1182">
        <f t="shared" si="53"/>
        <v>0</v>
      </c>
      <c r="BR94" s="1182">
        <f t="shared" si="54"/>
        <v>0</v>
      </c>
      <c r="BS94" s="1182">
        <f t="shared" si="55"/>
        <v>0</v>
      </c>
      <c r="BT94" s="1182">
        <f t="shared" si="56"/>
        <v>0</v>
      </c>
      <c r="BU94" s="1182">
        <f t="shared" si="57"/>
        <v>0</v>
      </c>
    </row>
    <row r="95" spans="1:73">
      <c r="A95" s="1182" t="s">
        <v>1803</v>
      </c>
      <c r="B95" s="1182" t="s">
        <v>1804</v>
      </c>
      <c r="C95" s="1182" t="s">
        <v>1639</v>
      </c>
      <c r="D95" s="1182" t="s">
        <v>2590</v>
      </c>
      <c r="E95" s="1182" t="s">
        <v>2591</v>
      </c>
      <c r="F95" s="1182" t="s">
        <v>4201</v>
      </c>
      <c r="G95" s="1182" t="s">
        <v>4201</v>
      </c>
      <c r="H95" s="1188" t="s">
        <v>4625</v>
      </c>
      <c r="I95" s="1182" t="s">
        <v>2933</v>
      </c>
      <c r="J95" s="1182" t="s">
        <v>4630</v>
      </c>
      <c r="K95" s="1182" t="s">
        <v>1811</v>
      </c>
      <c r="L95" s="1182" t="s">
        <v>1812</v>
      </c>
      <c r="M95" s="1182" t="s">
        <v>1803</v>
      </c>
      <c r="N95" s="1182" t="s">
        <v>4453</v>
      </c>
      <c r="O95" s="1182" t="s">
        <v>1654</v>
      </c>
      <c r="P95" s="1182" t="s">
        <v>1653</v>
      </c>
      <c r="Q95" s="1182" t="s">
        <v>1452</v>
      </c>
      <c r="R95" s="1182" t="s">
        <v>1452</v>
      </c>
      <c r="S95" s="1182" t="s">
        <v>1639</v>
      </c>
      <c r="T95" s="1182" t="s">
        <v>4454</v>
      </c>
      <c r="U95" s="1182" t="s">
        <v>4455</v>
      </c>
      <c r="V95" s="1182">
        <v>0</v>
      </c>
      <c r="W95" s="1182">
        <v>0</v>
      </c>
      <c r="X95" s="1182">
        <v>0</v>
      </c>
      <c r="Y95" s="1183">
        <v>1529</v>
      </c>
      <c r="Z95" s="1182" t="s">
        <v>4456</v>
      </c>
      <c r="AA95" s="1182" t="s">
        <v>1452</v>
      </c>
      <c r="AB95" s="1182">
        <v>1529</v>
      </c>
      <c r="AC95" s="1182" t="s">
        <v>4245</v>
      </c>
      <c r="AD95" s="1182" t="s">
        <v>4246</v>
      </c>
      <c r="AE95" s="1182">
        <v>1529</v>
      </c>
      <c r="AF95" s="1182" t="s">
        <v>4437</v>
      </c>
      <c r="AG95" s="1182" t="s">
        <v>1820</v>
      </c>
      <c r="AH95" s="1182">
        <v>139</v>
      </c>
      <c r="AI95" s="1182">
        <v>1390</v>
      </c>
      <c r="AJ95" s="1182" t="s">
        <v>1639</v>
      </c>
      <c r="AL95" s="1186" t="s">
        <v>4631</v>
      </c>
      <c r="AM95" s="1182">
        <v>1</v>
      </c>
      <c r="AN95" s="1182">
        <v>0</v>
      </c>
      <c r="AO95" s="1182">
        <v>0</v>
      </c>
      <c r="AP95" s="1555">
        <v>0</v>
      </c>
      <c r="AQ95" s="1182" t="s">
        <v>1639</v>
      </c>
      <c r="AS95" s="1554" t="s">
        <v>4437</v>
      </c>
      <c r="AT95" s="1554" t="s">
        <v>1820</v>
      </c>
      <c r="AV95" s="1183">
        <v>0</v>
      </c>
      <c r="AW95" s="1183">
        <v>0</v>
      </c>
      <c r="AX95" s="1183">
        <v>0</v>
      </c>
      <c r="AY95" s="1540">
        <v>0</v>
      </c>
      <c r="AZ95" s="1183">
        <v>0</v>
      </c>
      <c r="BA95" s="1183">
        <v>1529</v>
      </c>
      <c r="BB95" s="1540">
        <v>1529</v>
      </c>
      <c r="BC95" s="1540">
        <v>1529</v>
      </c>
      <c r="BD95" s="1540">
        <v>0</v>
      </c>
      <c r="BF95" s="1540">
        <f t="shared" si="43"/>
        <v>0</v>
      </c>
      <c r="BG95" s="1540">
        <f t="shared" si="44"/>
        <v>0</v>
      </c>
      <c r="BH95" s="1540">
        <f t="shared" si="45"/>
        <v>0</v>
      </c>
      <c r="BI95" s="1540">
        <f t="shared" si="46"/>
        <v>0</v>
      </c>
      <c r="BJ95" s="1540">
        <f t="shared" si="47"/>
        <v>0</v>
      </c>
      <c r="BK95" s="1540">
        <f t="shared" si="48"/>
        <v>1390</v>
      </c>
      <c r="BL95" s="1540">
        <f t="shared" si="49"/>
        <v>1390</v>
      </c>
      <c r="BM95" s="1540">
        <f t="shared" si="50"/>
        <v>1390</v>
      </c>
      <c r="BN95" s="1183"/>
      <c r="BO95" s="1182">
        <f t="shared" si="51"/>
        <v>0</v>
      </c>
      <c r="BP95" s="1182">
        <f t="shared" si="52"/>
        <v>0</v>
      </c>
      <c r="BQ95" s="1182">
        <f t="shared" si="53"/>
        <v>0</v>
      </c>
      <c r="BR95" s="1182">
        <f t="shared" si="54"/>
        <v>0</v>
      </c>
      <c r="BS95" s="1182">
        <f t="shared" si="55"/>
        <v>0</v>
      </c>
      <c r="BT95" s="1182">
        <f t="shared" si="56"/>
        <v>0</v>
      </c>
      <c r="BU95" s="1182">
        <f t="shared" si="57"/>
        <v>0</v>
      </c>
    </row>
    <row r="96" spans="1:73">
      <c r="A96" s="1182" t="s">
        <v>1803</v>
      </c>
      <c r="B96" s="1182" t="s">
        <v>1804</v>
      </c>
      <c r="C96" s="1182" t="s">
        <v>1639</v>
      </c>
      <c r="D96" s="1182" t="s">
        <v>2590</v>
      </c>
      <c r="E96" s="1182" t="s">
        <v>2591</v>
      </c>
      <c r="F96" s="1182" t="s">
        <v>4242</v>
      </c>
      <c r="G96" s="1182" t="s">
        <v>4242</v>
      </c>
      <c r="H96" s="1188" t="s">
        <v>4632</v>
      </c>
      <c r="I96" s="1182" t="s">
        <v>2933</v>
      </c>
      <c r="J96" s="1182" t="s">
        <v>4633</v>
      </c>
      <c r="K96" s="1182" t="s">
        <v>1811</v>
      </c>
      <c r="L96" s="1182" t="s">
        <v>1812</v>
      </c>
      <c r="M96" s="1182" t="s">
        <v>1803</v>
      </c>
      <c r="N96" s="1182" t="s">
        <v>4453</v>
      </c>
      <c r="O96" s="1182" t="s">
        <v>1654</v>
      </c>
      <c r="P96" s="1182" t="s">
        <v>1653</v>
      </c>
      <c r="Q96" s="1182" t="s">
        <v>1452</v>
      </c>
      <c r="R96" s="1182" t="s">
        <v>1452</v>
      </c>
      <c r="S96" s="1182" t="s">
        <v>1639</v>
      </c>
      <c r="T96" s="1182" t="s">
        <v>4454</v>
      </c>
      <c r="U96" s="1182" t="s">
        <v>4455</v>
      </c>
      <c r="V96" s="1182">
        <v>0</v>
      </c>
      <c r="W96" s="1182">
        <v>0</v>
      </c>
      <c r="X96" s="1182">
        <v>0</v>
      </c>
      <c r="Y96" s="1183">
        <v>3822</v>
      </c>
      <c r="Z96" s="1182" t="s">
        <v>4456</v>
      </c>
      <c r="AA96" s="1182" t="s">
        <v>1452</v>
      </c>
      <c r="AB96" s="1182">
        <v>3822</v>
      </c>
      <c r="AC96" s="1182" t="s">
        <v>4245</v>
      </c>
      <c r="AD96" s="1182" t="s">
        <v>4246</v>
      </c>
      <c r="AE96" s="1182">
        <v>3822</v>
      </c>
      <c r="AF96" s="1182" t="s">
        <v>4437</v>
      </c>
      <c r="AG96" s="1182" t="s">
        <v>1820</v>
      </c>
      <c r="AH96" s="1182">
        <v>347</v>
      </c>
      <c r="AI96" s="1182">
        <v>3475</v>
      </c>
      <c r="AJ96" s="1182" t="s">
        <v>1639</v>
      </c>
      <c r="AL96" s="1186" t="s">
        <v>4634</v>
      </c>
      <c r="AM96" s="1182">
        <v>1</v>
      </c>
      <c r="AN96" s="1182">
        <v>0</v>
      </c>
      <c r="AO96" s="1182">
        <v>0</v>
      </c>
      <c r="AP96" s="1555">
        <v>0</v>
      </c>
      <c r="AQ96" s="1182" t="s">
        <v>1639</v>
      </c>
      <c r="AS96" s="1554" t="s">
        <v>4437</v>
      </c>
      <c r="AT96" s="1554" t="s">
        <v>1820</v>
      </c>
      <c r="AV96" s="1183">
        <v>0</v>
      </c>
      <c r="AW96" s="1183">
        <v>0</v>
      </c>
      <c r="AX96" s="1183">
        <v>0</v>
      </c>
      <c r="AY96" s="1540">
        <v>0</v>
      </c>
      <c r="AZ96" s="1183">
        <v>0</v>
      </c>
      <c r="BA96" s="1183">
        <v>3822</v>
      </c>
      <c r="BB96" s="1540">
        <v>3822</v>
      </c>
      <c r="BC96" s="1540">
        <v>3822</v>
      </c>
      <c r="BD96" s="1540">
        <v>0</v>
      </c>
      <c r="BF96" s="1540">
        <f t="shared" si="43"/>
        <v>0</v>
      </c>
      <c r="BG96" s="1540">
        <f t="shared" si="44"/>
        <v>0</v>
      </c>
      <c r="BH96" s="1540">
        <f t="shared" si="45"/>
        <v>0</v>
      </c>
      <c r="BI96" s="1540">
        <f t="shared" si="46"/>
        <v>0</v>
      </c>
      <c r="BJ96" s="1540">
        <f t="shared" si="47"/>
        <v>0</v>
      </c>
      <c r="BK96" s="1540">
        <f t="shared" si="48"/>
        <v>3475</v>
      </c>
      <c r="BL96" s="1540">
        <f t="shared" si="49"/>
        <v>3475</v>
      </c>
      <c r="BM96" s="1540">
        <f t="shared" si="50"/>
        <v>3475</v>
      </c>
      <c r="BN96" s="1183"/>
      <c r="BO96" s="1182">
        <f t="shared" si="51"/>
        <v>0</v>
      </c>
      <c r="BP96" s="1182">
        <f t="shared" si="52"/>
        <v>0</v>
      </c>
      <c r="BQ96" s="1182">
        <f t="shared" si="53"/>
        <v>0</v>
      </c>
      <c r="BR96" s="1182">
        <f t="shared" si="54"/>
        <v>0</v>
      </c>
      <c r="BS96" s="1182">
        <f t="shared" si="55"/>
        <v>0</v>
      </c>
      <c r="BT96" s="1182">
        <f t="shared" si="56"/>
        <v>-0.45454545454549589</v>
      </c>
      <c r="BU96" s="1182">
        <f t="shared" si="57"/>
        <v>-0.45454545454549589</v>
      </c>
    </row>
    <row r="97" spans="1:73">
      <c r="A97" s="1182" t="s">
        <v>1803</v>
      </c>
      <c r="B97" s="1182" t="s">
        <v>1804</v>
      </c>
      <c r="C97" s="1182" t="s">
        <v>1639</v>
      </c>
      <c r="D97" s="1182" t="s">
        <v>2590</v>
      </c>
      <c r="E97" s="1182" t="s">
        <v>2591</v>
      </c>
      <c r="F97" s="1182" t="s">
        <v>2912</v>
      </c>
      <c r="G97" s="1182" t="s">
        <v>2912</v>
      </c>
      <c r="H97" s="1188" t="s">
        <v>4635</v>
      </c>
      <c r="I97" s="1182" t="s">
        <v>2933</v>
      </c>
      <c r="J97" s="1182" t="s">
        <v>4636</v>
      </c>
      <c r="K97" s="1182" t="s">
        <v>1811</v>
      </c>
      <c r="L97" s="1182" t="s">
        <v>1812</v>
      </c>
      <c r="M97" s="1182" t="s">
        <v>1803</v>
      </c>
      <c r="N97" s="1182" t="s">
        <v>4453</v>
      </c>
      <c r="O97" s="1182" t="s">
        <v>1654</v>
      </c>
      <c r="P97" s="1182" t="s">
        <v>1653</v>
      </c>
      <c r="Q97" s="1182" t="s">
        <v>1452</v>
      </c>
      <c r="R97" s="1182" t="s">
        <v>1452</v>
      </c>
      <c r="S97" s="1182" t="s">
        <v>1639</v>
      </c>
      <c r="T97" s="1182" t="s">
        <v>4454</v>
      </c>
      <c r="U97" s="1182" t="s">
        <v>4455</v>
      </c>
      <c r="V97" s="1182">
        <v>0</v>
      </c>
      <c r="W97" s="1182">
        <v>0</v>
      </c>
      <c r="X97" s="1182">
        <v>0</v>
      </c>
      <c r="Y97" s="1183">
        <v>3058</v>
      </c>
      <c r="Z97" s="1182" t="s">
        <v>4456</v>
      </c>
      <c r="AA97" s="1182" t="s">
        <v>1452</v>
      </c>
      <c r="AB97" s="1182">
        <v>3058</v>
      </c>
      <c r="AC97" s="1182" t="s">
        <v>4264</v>
      </c>
      <c r="AD97" s="1182" t="s">
        <v>4265</v>
      </c>
      <c r="AE97" s="1182">
        <v>3058</v>
      </c>
      <c r="AF97" s="1182" t="s">
        <v>4437</v>
      </c>
      <c r="AG97" s="1182" t="s">
        <v>1820</v>
      </c>
      <c r="AH97" s="1182">
        <v>278</v>
      </c>
      <c r="AI97" s="1182">
        <v>2780</v>
      </c>
      <c r="AJ97" s="1182" t="s">
        <v>1639</v>
      </c>
      <c r="AL97" s="1186" t="s">
        <v>4637</v>
      </c>
      <c r="AM97" s="1182">
        <v>1</v>
      </c>
      <c r="AN97" s="1182">
        <v>0</v>
      </c>
      <c r="AO97" s="1182">
        <v>0</v>
      </c>
      <c r="AP97" s="1555">
        <v>0</v>
      </c>
      <c r="AQ97" s="1182" t="s">
        <v>1639</v>
      </c>
      <c r="AS97" s="1554" t="s">
        <v>4437</v>
      </c>
      <c r="AT97" s="1554" t="s">
        <v>1820</v>
      </c>
      <c r="AV97" s="1183">
        <v>0</v>
      </c>
      <c r="AW97" s="1183">
        <v>0</v>
      </c>
      <c r="AX97" s="1183">
        <v>0</v>
      </c>
      <c r="AY97" s="1540">
        <v>0</v>
      </c>
      <c r="AZ97" s="1183">
        <v>0</v>
      </c>
      <c r="BA97" s="1183">
        <v>3058</v>
      </c>
      <c r="BB97" s="1540">
        <v>3058</v>
      </c>
      <c r="BC97" s="1540">
        <v>3058</v>
      </c>
      <c r="BD97" s="1540">
        <v>0</v>
      </c>
      <c r="BF97" s="1540">
        <f t="shared" si="43"/>
        <v>0</v>
      </c>
      <c r="BG97" s="1540">
        <f t="shared" si="44"/>
        <v>0</v>
      </c>
      <c r="BH97" s="1540">
        <f t="shared" si="45"/>
        <v>0</v>
      </c>
      <c r="BI97" s="1540">
        <f t="shared" si="46"/>
        <v>0</v>
      </c>
      <c r="BJ97" s="1540">
        <f t="shared" si="47"/>
        <v>0</v>
      </c>
      <c r="BK97" s="1540">
        <f t="shared" si="48"/>
        <v>2780</v>
      </c>
      <c r="BL97" s="1540">
        <f t="shared" si="49"/>
        <v>2780</v>
      </c>
      <c r="BM97" s="1540">
        <f t="shared" si="50"/>
        <v>2780</v>
      </c>
      <c r="BN97" s="1183"/>
      <c r="BO97" s="1182">
        <f t="shared" si="51"/>
        <v>0</v>
      </c>
      <c r="BP97" s="1182">
        <f t="shared" si="52"/>
        <v>0</v>
      </c>
      <c r="BQ97" s="1182">
        <f t="shared" si="53"/>
        <v>0</v>
      </c>
      <c r="BR97" s="1182">
        <f t="shared" si="54"/>
        <v>0</v>
      </c>
      <c r="BS97" s="1182">
        <f t="shared" si="55"/>
        <v>0</v>
      </c>
      <c r="BT97" s="1182">
        <f t="shared" si="56"/>
        <v>0</v>
      </c>
      <c r="BU97" s="1182">
        <f t="shared" si="57"/>
        <v>0</v>
      </c>
    </row>
    <row r="98" spans="1:73" hidden="1">
      <c r="A98" s="1182" t="s">
        <v>1803</v>
      </c>
      <c r="B98" s="1182" t="s">
        <v>1804</v>
      </c>
      <c r="C98" s="1182" t="s">
        <v>1639</v>
      </c>
      <c r="D98" s="1182" t="s">
        <v>2866</v>
      </c>
      <c r="E98" s="1182" t="s">
        <v>2867</v>
      </c>
      <c r="F98" s="1182" t="s">
        <v>2340</v>
      </c>
      <c r="G98" s="1182" t="s">
        <v>4638</v>
      </c>
      <c r="H98" s="1182" t="s">
        <v>4639</v>
      </c>
      <c r="I98" s="1182" t="s">
        <v>4640</v>
      </c>
      <c r="J98" s="1182" t="s">
        <v>4641</v>
      </c>
      <c r="K98" s="1182" t="s">
        <v>1811</v>
      </c>
      <c r="L98" s="1182" t="s">
        <v>1812</v>
      </c>
      <c r="M98" s="1182" t="s">
        <v>1803</v>
      </c>
      <c r="N98" s="1182" t="s">
        <v>4453</v>
      </c>
      <c r="O98" s="1182" t="s">
        <v>1654</v>
      </c>
      <c r="P98" s="1182" t="s">
        <v>1653</v>
      </c>
      <c r="Q98" s="1182" t="s">
        <v>1452</v>
      </c>
      <c r="R98" s="1182" t="s">
        <v>1452</v>
      </c>
      <c r="S98" s="1182" t="s">
        <v>1639</v>
      </c>
      <c r="T98" s="1182" t="s">
        <v>4642</v>
      </c>
      <c r="U98" s="1182" t="s">
        <v>4643</v>
      </c>
      <c r="V98" s="1182">
        <v>0</v>
      </c>
      <c r="W98" s="1182">
        <v>0</v>
      </c>
      <c r="X98" s="1182">
        <v>0</v>
      </c>
      <c r="Y98" s="1183">
        <v>3555</v>
      </c>
      <c r="Z98" s="1182" t="s">
        <v>4456</v>
      </c>
      <c r="AA98" s="1182" t="s">
        <v>1452</v>
      </c>
      <c r="AB98" s="1182">
        <v>3555</v>
      </c>
      <c r="AC98" s="1182" t="s">
        <v>1940</v>
      </c>
      <c r="AD98" s="1182" t="s">
        <v>1941</v>
      </c>
      <c r="AE98" s="1182">
        <v>3555</v>
      </c>
      <c r="AF98" s="1182" t="s">
        <v>1943</v>
      </c>
      <c r="AG98" s="1182" t="s">
        <v>1944</v>
      </c>
      <c r="AH98" s="1182">
        <v>0</v>
      </c>
      <c r="AI98" s="1182">
        <v>3555</v>
      </c>
      <c r="AJ98" s="1182" t="s">
        <v>4644</v>
      </c>
      <c r="AL98" s="1186" t="s">
        <v>4645</v>
      </c>
      <c r="AM98" s="1182">
        <v>1</v>
      </c>
      <c r="AN98" s="1182">
        <v>0</v>
      </c>
      <c r="AO98" s="1182">
        <v>0</v>
      </c>
      <c r="AP98" s="1555" t="s">
        <v>4646</v>
      </c>
      <c r="AQ98" s="1182" t="s">
        <v>1639</v>
      </c>
      <c r="AS98" s="1554" t="s">
        <v>1943</v>
      </c>
      <c r="AT98" s="1554" t="s">
        <v>1944</v>
      </c>
      <c r="AV98" s="1183">
        <v>1777</v>
      </c>
      <c r="AW98" s="1183">
        <v>0</v>
      </c>
      <c r="AX98" s="1183">
        <v>0</v>
      </c>
      <c r="AY98" s="1540">
        <v>1777</v>
      </c>
      <c r="AZ98" s="1183">
        <v>0</v>
      </c>
      <c r="BA98" s="1183">
        <v>1778</v>
      </c>
      <c r="BB98" s="1540">
        <v>1778</v>
      </c>
      <c r="BC98" s="1540">
        <v>3555</v>
      </c>
      <c r="BD98" s="1540">
        <v>0</v>
      </c>
      <c r="BF98" s="1540">
        <f t="shared" si="43"/>
        <v>1777</v>
      </c>
      <c r="BG98" s="1540">
        <f t="shared" si="44"/>
        <v>0</v>
      </c>
      <c r="BH98" s="1540">
        <f t="shared" si="45"/>
        <v>0</v>
      </c>
      <c r="BI98" s="1540">
        <f t="shared" si="46"/>
        <v>1777</v>
      </c>
      <c r="BJ98" s="1540">
        <f t="shared" si="47"/>
        <v>0</v>
      </c>
      <c r="BK98" s="1540">
        <f t="shared" si="48"/>
        <v>1778</v>
      </c>
      <c r="BL98" s="1540">
        <f t="shared" si="49"/>
        <v>1778</v>
      </c>
      <c r="BM98" s="1540">
        <f t="shared" si="50"/>
        <v>3555</v>
      </c>
      <c r="BN98" s="1183"/>
      <c r="BO98" s="1182">
        <f t="shared" si="51"/>
        <v>0</v>
      </c>
      <c r="BP98" s="1182">
        <f t="shared" si="52"/>
        <v>0</v>
      </c>
      <c r="BQ98" s="1182">
        <f t="shared" si="53"/>
        <v>0</v>
      </c>
      <c r="BR98" s="1182">
        <f t="shared" si="54"/>
        <v>0</v>
      </c>
      <c r="BS98" s="1182">
        <f t="shared" si="55"/>
        <v>0</v>
      </c>
      <c r="BT98" s="1182">
        <f t="shared" si="56"/>
        <v>0</v>
      </c>
      <c r="BU98" s="1182">
        <f t="shared" si="57"/>
        <v>0</v>
      </c>
    </row>
    <row r="99" spans="1:73" hidden="1">
      <c r="A99" s="1182" t="s">
        <v>1803</v>
      </c>
      <c r="B99" s="1182" t="s">
        <v>1804</v>
      </c>
      <c r="C99" s="1182" t="s">
        <v>1639</v>
      </c>
      <c r="D99" s="1182" t="s">
        <v>2866</v>
      </c>
      <c r="E99" s="1182" t="s">
        <v>2867</v>
      </c>
      <c r="F99" s="1182" t="s">
        <v>2319</v>
      </c>
      <c r="G99" s="1182" t="s">
        <v>2348</v>
      </c>
      <c r="H99" s="1182" t="s">
        <v>4647</v>
      </c>
      <c r="I99" s="1182" t="s">
        <v>4640</v>
      </c>
      <c r="J99" s="1182" t="s">
        <v>4648</v>
      </c>
      <c r="K99" s="1182" t="s">
        <v>1811</v>
      </c>
      <c r="L99" s="1182" t="s">
        <v>1812</v>
      </c>
      <c r="M99" s="1182" t="s">
        <v>1803</v>
      </c>
      <c r="N99" s="1182" t="s">
        <v>4453</v>
      </c>
      <c r="O99" s="1182" t="s">
        <v>1654</v>
      </c>
      <c r="P99" s="1182" t="s">
        <v>1653</v>
      </c>
      <c r="Q99" s="1182" t="s">
        <v>1452</v>
      </c>
      <c r="R99" s="1182" t="s">
        <v>1452</v>
      </c>
      <c r="S99" s="1182" t="s">
        <v>1639</v>
      </c>
      <c r="T99" s="1182" t="s">
        <v>4642</v>
      </c>
      <c r="U99" s="1182" t="s">
        <v>4643</v>
      </c>
      <c r="V99" s="1182">
        <v>0</v>
      </c>
      <c r="W99" s="1182">
        <v>0</v>
      </c>
      <c r="X99" s="1182">
        <v>0</v>
      </c>
      <c r="Y99" s="1183">
        <v>1193</v>
      </c>
      <c r="Z99" s="1182" t="s">
        <v>4456</v>
      </c>
      <c r="AA99" s="1182" t="s">
        <v>1452</v>
      </c>
      <c r="AB99" s="1182">
        <v>1193</v>
      </c>
      <c r="AC99" s="1182" t="s">
        <v>1940</v>
      </c>
      <c r="AD99" s="1182" t="s">
        <v>1941</v>
      </c>
      <c r="AE99" s="1182">
        <v>1193</v>
      </c>
      <c r="AF99" s="1182" t="s">
        <v>1943</v>
      </c>
      <c r="AG99" s="1182" t="s">
        <v>1944</v>
      </c>
      <c r="AH99" s="1182">
        <v>0</v>
      </c>
      <c r="AI99" s="1182">
        <v>1193</v>
      </c>
      <c r="AJ99" s="1182" t="s">
        <v>4644</v>
      </c>
      <c r="AL99" s="1186" t="s">
        <v>4649</v>
      </c>
      <c r="AM99" s="1182">
        <v>1</v>
      </c>
      <c r="AN99" s="1182">
        <v>0</v>
      </c>
      <c r="AO99" s="1182">
        <v>0</v>
      </c>
      <c r="AP99" s="1555">
        <v>0</v>
      </c>
      <c r="AQ99" s="1182" t="s">
        <v>1639</v>
      </c>
      <c r="AS99" s="1554" t="s">
        <v>1943</v>
      </c>
      <c r="AT99" s="1554" t="s">
        <v>1944</v>
      </c>
      <c r="AV99" s="1183">
        <v>596</v>
      </c>
      <c r="AW99" s="1183">
        <v>0</v>
      </c>
      <c r="AX99" s="1183">
        <v>0</v>
      </c>
      <c r="AY99" s="1540">
        <v>596</v>
      </c>
      <c r="AZ99" s="1183">
        <v>0</v>
      </c>
      <c r="BA99" s="1183">
        <v>597</v>
      </c>
      <c r="BB99" s="1540">
        <v>597</v>
      </c>
      <c r="BC99" s="1540">
        <v>1193</v>
      </c>
      <c r="BD99" s="1540">
        <v>0</v>
      </c>
      <c r="BF99" s="1540">
        <f t="shared" si="43"/>
        <v>596</v>
      </c>
      <c r="BG99" s="1540">
        <f t="shared" si="44"/>
        <v>0</v>
      </c>
      <c r="BH99" s="1540">
        <f t="shared" si="45"/>
        <v>0</v>
      </c>
      <c r="BI99" s="1540">
        <f t="shared" si="46"/>
        <v>596</v>
      </c>
      <c r="BJ99" s="1540">
        <f t="shared" si="47"/>
        <v>0</v>
      </c>
      <c r="BK99" s="1540">
        <f t="shared" si="48"/>
        <v>597</v>
      </c>
      <c r="BL99" s="1540">
        <f t="shared" si="49"/>
        <v>597</v>
      </c>
      <c r="BM99" s="1540">
        <f t="shared" si="50"/>
        <v>1193</v>
      </c>
      <c r="BN99" s="1183"/>
      <c r="BO99" s="1182">
        <f t="shared" si="51"/>
        <v>0</v>
      </c>
      <c r="BP99" s="1182">
        <f t="shared" si="52"/>
        <v>0</v>
      </c>
      <c r="BQ99" s="1182">
        <f t="shared" si="53"/>
        <v>0</v>
      </c>
      <c r="BR99" s="1182">
        <f t="shared" si="54"/>
        <v>0</v>
      </c>
      <c r="BS99" s="1182">
        <f t="shared" si="55"/>
        <v>0</v>
      </c>
      <c r="BT99" s="1182">
        <f t="shared" si="56"/>
        <v>0</v>
      </c>
      <c r="BU99" s="1182">
        <f t="shared" si="57"/>
        <v>0</v>
      </c>
    </row>
    <row r="100" spans="1:73">
      <c r="A100" s="1182" t="s">
        <v>1803</v>
      </c>
      <c r="B100" s="1182" t="s">
        <v>1804</v>
      </c>
      <c r="C100" s="1182" t="s">
        <v>1639</v>
      </c>
      <c r="D100" s="1182" t="s">
        <v>2590</v>
      </c>
      <c r="E100" s="1182" t="s">
        <v>2591</v>
      </c>
      <c r="F100" s="1182" t="s">
        <v>2266</v>
      </c>
      <c r="G100" s="1182" t="s">
        <v>2266</v>
      </c>
      <c r="H100" s="1188" t="s">
        <v>4650</v>
      </c>
      <c r="I100" s="1182" t="s">
        <v>2933</v>
      </c>
      <c r="J100" s="1182" t="s">
        <v>4651</v>
      </c>
      <c r="K100" s="1182" t="s">
        <v>1811</v>
      </c>
      <c r="L100" s="1182" t="s">
        <v>1812</v>
      </c>
      <c r="M100" s="1182" t="s">
        <v>1803</v>
      </c>
      <c r="N100" s="1182" t="s">
        <v>4453</v>
      </c>
      <c r="O100" s="1182" t="s">
        <v>1654</v>
      </c>
      <c r="P100" s="1182" t="s">
        <v>1653</v>
      </c>
      <c r="Q100" s="1182" t="s">
        <v>1452</v>
      </c>
      <c r="R100" s="1182" t="s">
        <v>1452</v>
      </c>
      <c r="S100" s="1182" t="s">
        <v>1639</v>
      </c>
      <c r="T100" s="1182" t="s">
        <v>4454</v>
      </c>
      <c r="U100" s="1182" t="s">
        <v>4455</v>
      </c>
      <c r="V100" s="1182">
        <v>0</v>
      </c>
      <c r="W100" s="1182">
        <v>0</v>
      </c>
      <c r="X100" s="1182">
        <v>0</v>
      </c>
      <c r="Y100" s="1183">
        <v>377391</v>
      </c>
      <c r="Z100" s="1182" t="s">
        <v>4456</v>
      </c>
      <c r="AA100" s="1182" t="s">
        <v>1452</v>
      </c>
      <c r="AB100" s="1182">
        <v>377391</v>
      </c>
      <c r="AC100" s="1182" t="s">
        <v>4288</v>
      </c>
      <c r="AD100" s="1182" t="s">
        <v>4289</v>
      </c>
      <c r="AE100" s="1182">
        <v>377391</v>
      </c>
      <c r="AF100" s="1182" t="s">
        <v>4437</v>
      </c>
      <c r="AG100" s="1182" t="s">
        <v>1820</v>
      </c>
      <c r="AH100" s="1182">
        <v>34302</v>
      </c>
      <c r="AI100" s="1182">
        <v>343089</v>
      </c>
      <c r="AJ100" s="1182" t="s">
        <v>1639</v>
      </c>
      <c r="AL100" s="1186" t="s">
        <v>4652</v>
      </c>
      <c r="AM100" s="1182">
        <v>1</v>
      </c>
      <c r="AN100" s="1182">
        <v>0</v>
      </c>
      <c r="AO100" s="1182">
        <v>0</v>
      </c>
      <c r="AP100" s="1555">
        <v>0</v>
      </c>
      <c r="AQ100" s="1182" t="s">
        <v>1639</v>
      </c>
      <c r="AS100" s="1554" t="s">
        <v>4437</v>
      </c>
      <c r="AT100" s="1554" t="s">
        <v>1820</v>
      </c>
      <c r="AV100" s="1183">
        <v>0</v>
      </c>
      <c r="AW100" s="1183">
        <v>0</v>
      </c>
      <c r="AX100" s="1183">
        <v>0</v>
      </c>
      <c r="AY100" s="1540">
        <v>0</v>
      </c>
      <c r="AZ100" s="1183">
        <v>0</v>
      </c>
      <c r="BA100" s="1183">
        <v>377391</v>
      </c>
      <c r="BB100" s="1540">
        <v>377391</v>
      </c>
      <c r="BC100" s="1540">
        <v>377391</v>
      </c>
      <c r="BD100" s="1540">
        <v>0</v>
      </c>
      <c r="BF100" s="1540">
        <f t="shared" si="43"/>
        <v>0</v>
      </c>
      <c r="BG100" s="1540">
        <f t="shared" si="44"/>
        <v>0</v>
      </c>
      <c r="BH100" s="1540">
        <f t="shared" si="45"/>
        <v>0</v>
      </c>
      <c r="BI100" s="1540">
        <f t="shared" si="46"/>
        <v>0</v>
      </c>
      <c r="BJ100" s="1540">
        <f t="shared" si="47"/>
        <v>0</v>
      </c>
      <c r="BK100" s="1540">
        <f t="shared" si="48"/>
        <v>343083</v>
      </c>
      <c r="BL100" s="1540">
        <f t="shared" si="49"/>
        <v>343083</v>
      </c>
      <c r="BM100" s="1540">
        <f t="shared" si="50"/>
        <v>343083</v>
      </c>
      <c r="BN100" s="1183"/>
      <c r="BO100" s="1182">
        <f t="shared" si="51"/>
        <v>0</v>
      </c>
      <c r="BP100" s="1182">
        <f t="shared" si="52"/>
        <v>0</v>
      </c>
      <c r="BQ100" s="1182">
        <f t="shared" si="53"/>
        <v>0</v>
      </c>
      <c r="BR100" s="1182">
        <f t="shared" si="54"/>
        <v>0</v>
      </c>
      <c r="BS100" s="1182">
        <f t="shared" si="55"/>
        <v>0</v>
      </c>
      <c r="BT100" s="1182">
        <f t="shared" si="56"/>
        <v>-0.27272727270610631</v>
      </c>
      <c r="BU100" s="1182">
        <f t="shared" si="57"/>
        <v>-0.27272727270610631</v>
      </c>
    </row>
    <row r="101" spans="1:73">
      <c r="A101" s="1182" t="s">
        <v>1803</v>
      </c>
      <c r="B101" s="1182" t="s">
        <v>1804</v>
      </c>
      <c r="C101" s="1182" t="s">
        <v>1639</v>
      </c>
      <c r="D101" s="1182" t="s">
        <v>2590</v>
      </c>
      <c r="E101" s="1182" t="s">
        <v>2591</v>
      </c>
      <c r="F101" s="1182" t="s">
        <v>4319</v>
      </c>
      <c r="G101" s="1182" t="s">
        <v>4319</v>
      </c>
      <c r="H101" s="1188" t="s">
        <v>4653</v>
      </c>
      <c r="I101" s="1182" t="s">
        <v>2933</v>
      </c>
      <c r="J101" s="1182" t="s">
        <v>4654</v>
      </c>
      <c r="K101" s="1182" t="s">
        <v>1811</v>
      </c>
      <c r="L101" s="1182" t="s">
        <v>1812</v>
      </c>
      <c r="M101" s="1182" t="s">
        <v>1803</v>
      </c>
      <c r="N101" s="1182" t="s">
        <v>4453</v>
      </c>
      <c r="O101" s="1182" t="s">
        <v>1654</v>
      </c>
      <c r="P101" s="1182" t="s">
        <v>1653</v>
      </c>
      <c r="Q101" s="1182" t="s">
        <v>1452</v>
      </c>
      <c r="R101" s="1182" t="s">
        <v>1452</v>
      </c>
      <c r="S101" s="1182" t="s">
        <v>1639</v>
      </c>
      <c r="T101" s="1182" t="s">
        <v>4454</v>
      </c>
      <c r="U101" s="1182" t="s">
        <v>4455</v>
      </c>
      <c r="V101" s="1182">
        <v>0</v>
      </c>
      <c r="W101" s="1182">
        <v>0</v>
      </c>
      <c r="X101" s="1182">
        <v>0</v>
      </c>
      <c r="Y101" s="1183">
        <v>660527</v>
      </c>
      <c r="Z101" s="1182" t="s">
        <v>4456</v>
      </c>
      <c r="AA101" s="1182" t="s">
        <v>1452</v>
      </c>
      <c r="AB101" s="1182">
        <v>660527</v>
      </c>
      <c r="AC101" s="1182" t="s">
        <v>4288</v>
      </c>
      <c r="AD101" s="1182" t="s">
        <v>4289</v>
      </c>
      <c r="AE101" s="1182">
        <v>660527</v>
      </c>
      <c r="AF101" s="1182" t="s">
        <v>4437</v>
      </c>
      <c r="AG101" s="1182" t="s">
        <v>1820</v>
      </c>
      <c r="AH101" s="1182">
        <v>60038</v>
      </c>
      <c r="AI101" s="1182">
        <v>600489</v>
      </c>
      <c r="AJ101" s="1182" t="s">
        <v>1639</v>
      </c>
      <c r="AL101" s="1186" t="s">
        <v>4655</v>
      </c>
      <c r="AM101" s="1182">
        <v>1</v>
      </c>
      <c r="AN101" s="1182">
        <v>0</v>
      </c>
      <c r="AO101" s="1182">
        <v>0</v>
      </c>
      <c r="AP101" s="1555">
        <v>0</v>
      </c>
      <c r="AQ101" s="1182" t="s">
        <v>1639</v>
      </c>
      <c r="AS101" s="1554" t="s">
        <v>4437</v>
      </c>
      <c r="AT101" s="1554" t="s">
        <v>1820</v>
      </c>
      <c r="AV101" s="1183">
        <v>0</v>
      </c>
      <c r="AW101" s="1183">
        <v>0</v>
      </c>
      <c r="AX101" s="1183">
        <v>0</v>
      </c>
      <c r="AY101" s="1540">
        <v>0</v>
      </c>
      <c r="AZ101" s="1183">
        <v>0</v>
      </c>
      <c r="BA101" s="1183">
        <v>660527</v>
      </c>
      <c r="BB101" s="1540">
        <v>660527</v>
      </c>
      <c r="BC101" s="1540">
        <v>660527</v>
      </c>
      <c r="BD101" s="1540">
        <v>0</v>
      </c>
      <c r="BF101" s="1540">
        <f t="shared" si="43"/>
        <v>0</v>
      </c>
      <c r="BG101" s="1540">
        <f t="shared" si="44"/>
        <v>0</v>
      </c>
      <c r="BH101" s="1540">
        <f t="shared" si="45"/>
        <v>0</v>
      </c>
      <c r="BI101" s="1540">
        <f t="shared" si="46"/>
        <v>0</v>
      </c>
      <c r="BJ101" s="1540">
        <f t="shared" si="47"/>
        <v>0</v>
      </c>
      <c r="BK101" s="1540">
        <f t="shared" si="48"/>
        <v>600479</v>
      </c>
      <c r="BL101" s="1540">
        <f t="shared" si="49"/>
        <v>600479</v>
      </c>
      <c r="BM101" s="1540">
        <f t="shared" si="50"/>
        <v>600479</v>
      </c>
      <c r="BN101" s="1183"/>
      <c r="BO101" s="1182">
        <f t="shared" si="51"/>
        <v>0</v>
      </c>
      <c r="BP101" s="1182">
        <f t="shared" si="52"/>
        <v>0</v>
      </c>
      <c r="BQ101" s="1182">
        <f t="shared" si="53"/>
        <v>0</v>
      </c>
      <c r="BR101" s="1182">
        <f t="shared" si="54"/>
        <v>0</v>
      </c>
      <c r="BS101" s="1182">
        <f t="shared" si="55"/>
        <v>0</v>
      </c>
      <c r="BT101" s="1182">
        <f t="shared" si="56"/>
        <v>9.0909090940840542E-2</v>
      </c>
      <c r="BU101" s="1182">
        <f t="shared" si="57"/>
        <v>9.0909090940840542E-2</v>
      </c>
    </row>
    <row r="102" spans="1:73">
      <c r="A102" s="1182" t="s">
        <v>1803</v>
      </c>
      <c r="B102" s="1182" t="s">
        <v>1804</v>
      </c>
      <c r="C102" s="1182" t="s">
        <v>1639</v>
      </c>
      <c r="D102" s="1182" t="s">
        <v>2590</v>
      </c>
      <c r="E102" s="1182" t="s">
        <v>2591</v>
      </c>
      <c r="F102" s="1182" t="s">
        <v>4242</v>
      </c>
      <c r="G102" s="1182" t="s">
        <v>4242</v>
      </c>
      <c r="H102" s="1188" t="s">
        <v>4656</v>
      </c>
      <c r="I102" s="1182" t="s">
        <v>2933</v>
      </c>
      <c r="J102" s="1182" t="s">
        <v>4659</v>
      </c>
      <c r="K102" s="1182" t="s">
        <v>1811</v>
      </c>
      <c r="L102" s="1182" t="s">
        <v>1812</v>
      </c>
      <c r="M102" s="1182" t="s">
        <v>1803</v>
      </c>
      <c r="N102" s="1182" t="s">
        <v>4453</v>
      </c>
      <c r="O102" s="1182" t="s">
        <v>1654</v>
      </c>
      <c r="P102" s="1182" t="s">
        <v>1653</v>
      </c>
      <c r="Q102" s="1182" t="s">
        <v>1452</v>
      </c>
      <c r="R102" s="1182" t="s">
        <v>1452</v>
      </c>
      <c r="S102" s="1182" t="s">
        <v>1639</v>
      </c>
      <c r="T102" s="1182" t="s">
        <v>4454</v>
      </c>
      <c r="U102" s="1182" t="s">
        <v>4455</v>
      </c>
      <c r="V102" s="1182">
        <v>0</v>
      </c>
      <c r="W102" s="1182">
        <v>0</v>
      </c>
      <c r="X102" s="1182">
        <v>0</v>
      </c>
      <c r="Y102" s="1183">
        <v>1529</v>
      </c>
      <c r="Z102" s="1182" t="s">
        <v>4456</v>
      </c>
      <c r="AA102" s="1182" t="s">
        <v>1452</v>
      </c>
      <c r="AB102" s="1182">
        <v>1529</v>
      </c>
      <c r="AC102" s="1182" t="s">
        <v>4288</v>
      </c>
      <c r="AD102" s="1182" t="s">
        <v>4289</v>
      </c>
      <c r="AE102" s="1182">
        <v>1529</v>
      </c>
      <c r="AF102" s="1182" t="s">
        <v>4437</v>
      </c>
      <c r="AG102" s="1182" t="s">
        <v>1820</v>
      </c>
      <c r="AH102" s="1182">
        <v>139</v>
      </c>
      <c r="AI102" s="1182">
        <v>1390</v>
      </c>
      <c r="AJ102" s="1182" t="s">
        <v>1639</v>
      </c>
      <c r="AL102" s="1186" t="s">
        <v>4660</v>
      </c>
      <c r="AM102" s="1182">
        <v>1</v>
      </c>
      <c r="AN102" s="1182">
        <v>0</v>
      </c>
      <c r="AO102" s="1182">
        <v>0</v>
      </c>
      <c r="AP102" s="1555">
        <v>0</v>
      </c>
      <c r="AQ102" s="1182" t="s">
        <v>1639</v>
      </c>
      <c r="AS102" s="1554" t="s">
        <v>4437</v>
      </c>
      <c r="AT102" s="1554" t="s">
        <v>1820</v>
      </c>
      <c r="AV102" s="1183">
        <v>0</v>
      </c>
      <c r="AW102" s="1183">
        <v>0</v>
      </c>
      <c r="AX102" s="1183">
        <v>0</v>
      </c>
      <c r="AY102" s="1540">
        <v>0</v>
      </c>
      <c r="AZ102" s="1183">
        <v>0</v>
      </c>
      <c r="BA102" s="1183">
        <v>1529</v>
      </c>
      <c r="BB102" s="1540">
        <v>1529</v>
      </c>
      <c r="BC102" s="1540">
        <v>1529</v>
      </c>
      <c r="BD102" s="1540">
        <v>0</v>
      </c>
      <c r="BF102" s="1540">
        <f t="shared" si="43"/>
        <v>0</v>
      </c>
      <c r="BG102" s="1540">
        <f t="shared" si="44"/>
        <v>0</v>
      </c>
      <c r="BH102" s="1540">
        <f t="shared" si="45"/>
        <v>0</v>
      </c>
      <c r="BI102" s="1540">
        <f t="shared" si="46"/>
        <v>0</v>
      </c>
      <c r="BJ102" s="1540">
        <f t="shared" si="47"/>
        <v>0</v>
      </c>
      <c r="BK102" s="1540">
        <f t="shared" si="48"/>
        <v>1390</v>
      </c>
      <c r="BL102" s="1540">
        <f t="shared" si="49"/>
        <v>1390</v>
      </c>
      <c r="BM102" s="1540">
        <f t="shared" si="50"/>
        <v>1390</v>
      </c>
      <c r="BN102" s="1183"/>
      <c r="BO102" s="1182">
        <f t="shared" si="51"/>
        <v>0</v>
      </c>
      <c r="BP102" s="1182">
        <f t="shared" si="52"/>
        <v>0</v>
      </c>
      <c r="BQ102" s="1182">
        <f t="shared" si="53"/>
        <v>0</v>
      </c>
      <c r="BR102" s="1182">
        <f t="shared" si="54"/>
        <v>0</v>
      </c>
      <c r="BS102" s="1182">
        <f t="shared" si="55"/>
        <v>0</v>
      </c>
      <c r="BT102" s="1182">
        <f t="shared" si="56"/>
        <v>0</v>
      </c>
      <c r="BU102" s="1182">
        <f t="shared" si="57"/>
        <v>0</v>
      </c>
    </row>
    <row r="103" spans="1:73">
      <c r="A103" s="1182" t="s">
        <v>1803</v>
      </c>
      <c r="B103" s="1182" t="s">
        <v>1804</v>
      </c>
      <c r="C103" s="1182" t="s">
        <v>1639</v>
      </c>
      <c r="D103" s="1182" t="s">
        <v>2590</v>
      </c>
      <c r="E103" s="1182" t="s">
        <v>2591</v>
      </c>
      <c r="F103" s="1182" t="s">
        <v>4242</v>
      </c>
      <c r="G103" s="1182" t="s">
        <v>4242</v>
      </c>
      <c r="H103" s="1188" t="s">
        <v>4656</v>
      </c>
      <c r="I103" s="1182" t="s">
        <v>2933</v>
      </c>
      <c r="J103" s="1182" t="s">
        <v>4657</v>
      </c>
      <c r="K103" s="1182" t="s">
        <v>1811</v>
      </c>
      <c r="L103" s="1182" t="s">
        <v>1812</v>
      </c>
      <c r="M103" s="1182" t="s">
        <v>1803</v>
      </c>
      <c r="N103" s="1182" t="s">
        <v>4453</v>
      </c>
      <c r="O103" s="1182" t="s">
        <v>1654</v>
      </c>
      <c r="P103" s="1182" t="s">
        <v>1653</v>
      </c>
      <c r="Q103" s="1182" t="s">
        <v>1452</v>
      </c>
      <c r="R103" s="1182" t="s">
        <v>1452</v>
      </c>
      <c r="S103" s="1182" t="s">
        <v>1639</v>
      </c>
      <c r="T103" s="1182" t="s">
        <v>4454</v>
      </c>
      <c r="U103" s="1182" t="s">
        <v>4455</v>
      </c>
      <c r="V103" s="1182">
        <v>0</v>
      </c>
      <c r="W103" s="1182">
        <v>0</v>
      </c>
      <c r="X103" s="1182">
        <v>0</v>
      </c>
      <c r="Y103" s="1183">
        <v>1519</v>
      </c>
      <c r="Z103" s="1182" t="s">
        <v>4456</v>
      </c>
      <c r="AA103" s="1182" t="s">
        <v>1452</v>
      </c>
      <c r="AB103" s="1182">
        <v>1519</v>
      </c>
      <c r="AC103" s="1182" t="s">
        <v>4288</v>
      </c>
      <c r="AD103" s="1182" t="s">
        <v>4289</v>
      </c>
      <c r="AE103" s="1182">
        <v>1519</v>
      </c>
      <c r="AF103" s="1182" t="s">
        <v>4437</v>
      </c>
      <c r="AG103" s="1182" t="s">
        <v>1820</v>
      </c>
      <c r="AH103" s="1182">
        <v>149</v>
      </c>
      <c r="AI103" s="1182">
        <v>1370</v>
      </c>
      <c r="AJ103" s="1182" t="s">
        <v>1639</v>
      </c>
      <c r="AL103" s="1186" t="s">
        <v>4658</v>
      </c>
      <c r="AM103" s="1182">
        <v>1</v>
      </c>
      <c r="AN103" s="1182">
        <v>0</v>
      </c>
      <c r="AO103" s="1182">
        <v>0</v>
      </c>
      <c r="AP103" s="1555">
        <v>0</v>
      </c>
      <c r="AQ103" s="1182" t="s">
        <v>1639</v>
      </c>
      <c r="AS103" s="1554" t="s">
        <v>4437</v>
      </c>
      <c r="AT103" s="1554" t="s">
        <v>1820</v>
      </c>
      <c r="AV103" s="1183">
        <v>0</v>
      </c>
      <c r="AW103" s="1183">
        <v>0</v>
      </c>
      <c r="AX103" s="1183">
        <v>0</v>
      </c>
      <c r="AY103" s="1540">
        <v>0</v>
      </c>
      <c r="AZ103" s="1183">
        <v>0</v>
      </c>
      <c r="BA103" s="1183">
        <v>1519</v>
      </c>
      <c r="BB103" s="1540">
        <v>1519</v>
      </c>
      <c r="BC103" s="1540">
        <v>1519</v>
      </c>
      <c r="BD103" s="1540">
        <v>0</v>
      </c>
      <c r="BF103" s="1540">
        <f t="shared" si="43"/>
        <v>0</v>
      </c>
      <c r="BG103" s="1540">
        <f t="shared" si="44"/>
        <v>0</v>
      </c>
      <c r="BH103" s="1540">
        <f t="shared" si="45"/>
        <v>0</v>
      </c>
      <c r="BI103" s="1540">
        <f t="shared" si="46"/>
        <v>0</v>
      </c>
      <c r="BJ103" s="1540">
        <f t="shared" si="47"/>
        <v>0</v>
      </c>
      <c r="BK103" s="1540">
        <f t="shared" si="48"/>
        <v>1381</v>
      </c>
      <c r="BL103" s="1540">
        <f t="shared" si="49"/>
        <v>1381</v>
      </c>
      <c r="BM103" s="1540">
        <f t="shared" si="50"/>
        <v>1381</v>
      </c>
      <c r="BN103" s="1183"/>
      <c r="BO103" s="1182">
        <f t="shared" si="51"/>
        <v>0</v>
      </c>
      <c r="BP103" s="1182">
        <f t="shared" si="52"/>
        <v>0</v>
      </c>
      <c r="BQ103" s="1182">
        <f t="shared" si="53"/>
        <v>0</v>
      </c>
      <c r="BR103" s="1182">
        <f t="shared" si="54"/>
        <v>0</v>
      </c>
      <c r="BS103" s="1182">
        <f t="shared" si="55"/>
        <v>0</v>
      </c>
      <c r="BT103" s="1182">
        <f t="shared" si="56"/>
        <v>-9.0909090909008228E-2</v>
      </c>
      <c r="BU103" s="1182">
        <f t="shared" si="57"/>
        <v>-9.0909090909008228E-2</v>
      </c>
    </row>
    <row r="104" spans="1:73">
      <c r="A104" s="1182" t="s">
        <v>1803</v>
      </c>
      <c r="B104" s="1182" t="s">
        <v>1804</v>
      </c>
      <c r="C104" s="1182" t="s">
        <v>1639</v>
      </c>
      <c r="D104" s="1182" t="s">
        <v>2590</v>
      </c>
      <c r="E104" s="1182" t="s">
        <v>2591</v>
      </c>
      <c r="F104" s="1182" t="s">
        <v>4201</v>
      </c>
      <c r="G104" s="1182" t="s">
        <v>4201</v>
      </c>
      <c r="H104" s="1188" t="s">
        <v>4656</v>
      </c>
      <c r="I104" s="1182" t="s">
        <v>2933</v>
      </c>
      <c r="J104" s="1182" t="s">
        <v>4661</v>
      </c>
      <c r="K104" s="1182" t="s">
        <v>1811</v>
      </c>
      <c r="L104" s="1182" t="s">
        <v>1812</v>
      </c>
      <c r="M104" s="1182" t="s">
        <v>1803</v>
      </c>
      <c r="N104" s="1182" t="s">
        <v>4453</v>
      </c>
      <c r="O104" s="1182" t="s">
        <v>1654</v>
      </c>
      <c r="P104" s="1182" t="s">
        <v>1653</v>
      </c>
      <c r="Q104" s="1182" t="s">
        <v>1452</v>
      </c>
      <c r="R104" s="1182" t="s">
        <v>1452</v>
      </c>
      <c r="S104" s="1182" t="s">
        <v>1639</v>
      </c>
      <c r="T104" s="1182" t="s">
        <v>4454</v>
      </c>
      <c r="U104" s="1182" t="s">
        <v>4455</v>
      </c>
      <c r="V104" s="1182">
        <v>0</v>
      </c>
      <c r="W104" s="1182">
        <v>0</v>
      </c>
      <c r="X104" s="1182">
        <v>0</v>
      </c>
      <c r="Y104" s="1182">
        <v>1540</v>
      </c>
      <c r="Z104" s="1182" t="s">
        <v>4456</v>
      </c>
      <c r="AA104" s="1182" t="s">
        <v>1452</v>
      </c>
      <c r="AB104" s="1182">
        <v>1540</v>
      </c>
      <c r="AC104" s="1182" t="s">
        <v>4288</v>
      </c>
      <c r="AD104" s="1182" t="s">
        <v>4289</v>
      </c>
      <c r="AE104" s="1182">
        <v>1540</v>
      </c>
      <c r="AF104" s="1182" t="s">
        <v>4437</v>
      </c>
      <c r="AG104" s="1182" t="s">
        <v>1820</v>
      </c>
      <c r="AH104" s="1182">
        <v>140</v>
      </c>
      <c r="AI104" s="1182">
        <v>1400</v>
      </c>
      <c r="AJ104" s="1182" t="s">
        <v>1639</v>
      </c>
      <c r="AL104" s="1182" t="s">
        <v>4662</v>
      </c>
      <c r="AM104" s="1182">
        <v>1</v>
      </c>
      <c r="AN104" s="1182">
        <v>0</v>
      </c>
      <c r="AO104" s="1182">
        <v>0</v>
      </c>
      <c r="AP104" s="1555">
        <v>0</v>
      </c>
      <c r="AQ104" s="1182" t="s">
        <v>1639</v>
      </c>
      <c r="AS104" s="1555" t="s">
        <v>4437</v>
      </c>
      <c r="AT104" s="1555" t="s">
        <v>1820</v>
      </c>
      <c r="AV104" s="1183">
        <v>0</v>
      </c>
      <c r="AW104" s="1183">
        <v>0</v>
      </c>
      <c r="AX104" s="1183">
        <v>0</v>
      </c>
      <c r="AY104" s="1540">
        <v>0</v>
      </c>
      <c r="AZ104" s="1183">
        <v>0</v>
      </c>
      <c r="BA104" s="1183">
        <v>1540</v>
      </c>
      <c r="BB104" s="1540">
        <v>1540</v>
      </c>
      <c r="BC104" s="1540">
        <v>1540</v>
      </c>
      <c r="BD104" s="1540">
        <v>0</v>
      </c>
      <c r="BF104" s="1540">
        <f t="shared" si="43"/>
        <v>0</v>
      </c>
      <c r="BG104" s="1540">
        <f t="shared" si="44"/>
        <v>0</v>
      </c>
      <c r="BH104" s="1540">
        <f t="shared" si="45"/>
        <v>0</v>
      </c>
      <c r="BI104" s="1540">
        <f t="shared" si="46"/>
        <v>0</v>
      </c>
      <c r="BJ104" s="1540">
        <f t="shared" si="47"/>
        <v>0</v>
      </c>
      <c r="BK104" s="1540">
        <f t="shared" si="48"/>
        <v>1400</v>
      </c>
      <c r="BL104" s="1540">
        <f t="shared" si="49"/>
        <v>1400</v>
      </c>
      <c r="BM104" s="1540">
        <f t="shared" si="50"/>
        <v>1400</v>
      </c>
      <c r="BO104" s="1182">
        <f t="shared" si="51"/>
        <v>0</v>
      </c>
      <c r="BP104" s="1182">
        <f t="shared" si="52"/>
        <v>0</v>
      </c>
      <c r="BQ104" s="1182">
        <f t="shared" si="53"/>
        <v>0</v>
      </c>
      <c r="BR104" s="1182">
        <f t="shared" si="54"/>
        <v>0</v>
      </c>
      <c r="BS104" s="1182">
        <f t="shared" si="55"/>
        <v>0</v>
      </c>
      <c r="BT104" s="1182">
        <f t="shared" si="56"/>
        <v>0</v>
      </c>
      <c r="BU104" s="1182">
        <f t="shared" si="57"/>
        <v>0</v>
      </c>
    </row>
    <row r="105" spans="1:73">
      <c r="A105" s="1182" t="s">
        <v>1803</v>
      </c>
      <c r="B105" s="1182" t="s">
        <v>1804</v>
      </c>
      <c r="C105" s="1182" t="s">
        <v>1639</v>
      </c>
      <c r="D105" s="1182" t="s">
        <v>2590</v>
      </c>
      <c r="E105" s="1182" t="s">
        <v>2591</v>
      </c>
      <c r="F105" s="1182" t="s">
        <v>4201</v>
      </c>
      <c r="G105" s="1182" t="s">
        <v>4201</v>
      </c>
      <c r="H105" s="1188" t="s">
        <v>4656</v>
      </c>
      <c r="I105" s="1182" t="s">
        <v>2933</v>
      </c>
      <c r="J105" s="1182" t="s">
        <v>4663</v>
      </c>
      <c r="K105" s="1182" t="s">
        <v>1811</v>
      </c>
      <c r="L105" s="1182" t="s">
        <v>1812</v>
      </c>
      <c r="M105" s="1182" t="s">
        <v>1803</v>
      </c>
      <c r="N105" s="1182" t="s">
        <v>4453</v>
      </c>
      <c r="O105" s="1182" t="s">
        <v>1654</v>
      </c>
      <c r="P105" s="1182" t="s">
        <v>1653</v>
      </c>
      <c r="Q105" s="1182" t="s">
        <v>1452</v>
      </c>
      <c r="R105" s="1182" t="s">
        <v>1452</v>
      </c>
      <c r="S105" s="1182" t="s">
        <v>1639</v>
      </c>
      <c r="T105" s="1182" t="s">
        <v>4454</v>
      </c>
      <c r="U105" s="1182" t="s">
        <v>4455</v>
      </c>
      <c r="V105" s="1182">
        <v>0</v>
      </c>
      <c r="W105" s="1182">
        <v>0</v>
      </c>
      <c r="X105" s="1182">
        <v>0</v>
      </c>
      <c r="Y105" s="1182">
        <v>10403</v>
      </c>
      <c r="Z105" s="1182" t="s">
        <v>4456</v>
      </c>
      <c r="AA105" s="1182" t="s">
        <v>1452</v>
      </c>
      <c r="AB105" s="1182">
        <v>10403</v>
      </c>
      <c r="AC105" s="1182" t="s">
        <v>4288</v>
      </c>
      <c r="AD105" s="1182" t="s">
        <v>4289</v>
      </c>
      <c r="AE105" s="1182">
        <v>10403</v>
      </c>
      <c r="AF105" s="1182" t="s">
        <v>4437</v>
      </c>
      <c r="AG105" s="1182" t="s">
        <v>1820</v>
      </c>
      <c r="AH105" s="1182">
        <v>944</v>
      </c>
      <c r="AI105" s="1182">
        <v>9459</v>
      </c>
      <c r="AJ105" s="1182" t="s">
        <v>1639</v>
      </c>
      <c r="AL105" s="1182" t="s">
        <v>4664</v>
      </c>
      <c r="AM105" s="1182">
        <v>1</v>
      </c>
      <c r="AN105" s="1182">
        <v>0</v>
      </c>
      <c r="AO105" s="1182">
        <v>0</v>
      </c>
      <c r="AP105" s="1555">
        <v>0</v>
      </c>
      <c r="AQ105" s="1182" t="s">
        <v>1639</v>
      </c>
      <c r="AS105" s="1555" t="s">
        <v>4437</v>
      </c>
      <c r="AT105" s="1555" t="s">
        <v>1820</v>
      </c>
      <c r="AV105" s="1183">
        <v>0</v>
      </c>
      <c r="AW105" s="1183">
        <v>0</v>
      </c>
      <c r="AX105" s="1183">
        <v>0</v>
      </c>
      <c r="AY105" s="1540">
        <v>0</v>
      </c>
      <c r="AZ105" s="1183">
        <v>0</v>
      </c>
      <c r="BA105" s="1183">
        <v>10403</v>
      </c>
      <c r="BB105" s="1540">
        <v>10403</v>
      </c>
      <c r="BC105" s="1540">
        <v>10403</v>
      </c>
      <c r="BD105" s="1540">
        <v>0</v>
      </c>
      <c r="BF105" s="1540">
        <f t="shared" si="43"/>
        <v>0</v>
      </c>
      <c r="BG105" s="1540">
        <f t="shared" si="44"/>
        <v>0</v>
      </c>
      <c r="BH105" s="1540">
        <f t="shared" si="45"/>
        <v>0</v>
      </c>
      <c r="BI105" s="1540">
        <f t="shared" si="46"/>
        <v>0</v>
      </c>
      <c r="BJ105" s="1540">
        <f t="shared" si="47"/>
        <v>0</v>
      </c>
      <c r="BK105" s="1540">
        <f t="shared" si="48"/>
        <v>9457</v>
      </c>
      <c r="BL105" s="1540">
        <f t="shared" si="49"/>
        <v>9457</v>
      </c>
      <c r="BM105" s="1540">
        <f t="shared" si="50"/>
        <v>9457</v>
      </c>
      <c r="BO105" s="1182">
        <f t="shared" si="51"/>
        <v>0</v>
      </c>
      <c r="BP105" s="1182">
        <f t="shared" si="52"/>
        <v>0</v>
      </c>
      <c r="BQ105" s="1182">
        <f t="shared" si="53"/>
        <v>0</v>
      </c>
      <c r="BR105" s="1182">
        <f t="shared" si="54"/>
        <v>0</v>
      </c>
      <c r="BS105" s="1182">
        <f t="shared" si="55"/>
        <v>0</v>
      </c>
      <c r="BT105" s="1182">
        <f t="shared" si="56"/>
        <v>0.27272727272793418</v>
      </c>
      <c r="BU105" s="1182">
        <f t="shared" si="57"/>
        <v>0.27272727272793418</v>
      </c>
    </row>
    <row r="106" spans="1:73">
      <c r="A106" s="1182" t="s">
        <v>1803</v>
      </c>
      <c r="B106" s="1182" t="s">
        <v>1804</v>
      </c>
      <c r="C106" s="1182" t="s">
        <v>1639</v>
      </c>
      <c r="D106" s="1182" t="s">
        <v>2590</v>
      </c>
      <c r="E106" s="1182" t="s">
        <v>2591</v>
      </c>
      <c r="F106" s="1182" t="s">
        <v>2912</v>
      </c>
      <c r="G106" s="1182" t="s">
        <v>2912</v>
      </c>
      <c r="H106" s="1188" t="s">
        <v>4656</v>
      </c>
      <c r="I106" s="1182" t="s">
        <v>2933</v>
      </c>
      <c r="J106" s="1182" t="s">
        <v>4665</v>
      </c>
      <c r="K106" s="1182" t="s">
        <v>1811</v>
      </c>
      <c r="L106" s="1182" t="s">
        <v>1812</v>
      </c>
      <c r="M106" s="1182" t="s">
        <v>1803</v>
      </c>
      <c r="N106" s="1182" t="s">
        <v>4453</v>
      </c>
      <c r="O106" s="1182" t="s">
        <v>1654</v>
      </c>
      <c r="P106" s="1182" t="s">
        <v>1653</v>
      </c>
      <c r="Q106" s="1182" t="s">
        <v>1452</v>
      </c>
      <c r="R106" s="1182" t="s">
        <v>1452</v>
      </c>
      <c r="S106" s="1182" t="s">
        <v>1639</v>
      </c>
      <c r="T106" s="1182" t="s">
        <v>4454</v>
      </c>
      <c r="U106" s="1182" t="s">
        <v>4455</v>
      </c>
      <c r="V106" s="1182">
        <v>0</v>
      </c>
      <c r="W106" s="1182">
        <v>0</v>
      </c>
      <c r="X106" s="1182">
        <v>0</v>
      </c>
      <c r="Y106" s="1182">
        <v>18931</v>
      </c>
      <c r="Z106" s="1182" t="s">
        <v>4456</v>
      </c>
      <c r="AA106" s="1182" t="s">
        <v>1452</v>
      </c>
      <c r="AB106" s="1182">
        <v>18931</v>
      </c>
      <c r="AC106" s="1182" t="s">
        <v>4288</v>
      </c>
      <c r="AD106" s="1182" t="s">
        <v>4289</v>
      </c>
      <c r="AE106" s="1182">
        <v>18931</v>
      </c>
      <c r="AF106" s="1182" t="s">
        <v>4437</v>
      </c>
      <c r="AG106" s="1182" t="s">
        <v>1820</v>
      </c>
      <c r="AH106" s="1182">
        <v>1720</v>
      </c>
      <c r="AI106" s="1182">
        <v>17211</v>
      </c>
      <c r="AJ106" s="1182" t="s">
        <v>1639</v>
      </c>
      <c r="AL106" s="1182" t="s">
        <v>4666</v>
      </c>
      <c r="AM106" s="1182">
        <v>1</v>
      </c>
      <c r="AN106" s="1182">
        <v>0</v>
      </c>
      <c r="AO106" s="1182">
        <v>0</v>
      </c>
      <c r="AP106" s="1555">
        <v>0</v>
      </c>
      <c r="AQ106" s="1182" t="s">
        <v>1639</v>
      </c>
      <c r="AS106" s="1555" t="s">
        <v>4437</v>
      </c>
      <c r="AT106" s="1555" t="s">
        <v>1820</v>
      </c>
      <c r="AV106" s="1183">
        <v>0</v>
      </c>
      <c r="AW106" s="1183">
        <v>0</v>
      </c>
      <c r="AX106" s="1183">
        <v>0</v>
      </c>
      <c r="AY106" s="1540">
        <v>0</v>
      </c>
      <c r="AZ106" s="1183">
        <v>0</v>
      </c>
      <c r="BA106" s="1183">
        <v>18931</v>
      </c>
      <c r="BB106" s="1540">
        <v>18931</v>
      </c>
      <c r="BC106" s="1540">
        <v>18931</v>
      </c>
      <c r="BD106" s="1540">
        <v>0</v>
      </c>
      <c r="BF106" s="1540">
        <f t="shared" si="43"/>
        <v>0</v>
      </c>
      <c r="BG106" s="1540">
        <f t="shared" si="44"/>
        <v>0</v>
      </c>
      <c r="BH106" s="1540">
        <f t="shared" si="45"/>
        <v>0</v>
      </c>
      <c r="BI106" s="1540">
        <f t="shared" si="46"/>
        <v>0</v>
      </c>
      <c r="BJ106" s="1540">
        <f t="shared" si="47"/>
        <v>0</v>
      </c>
      <c r="BK106" s="1540">
        <f t="shared" si="48"/>
        <v>17210</v>
      </c>
      <c r="BL106" s="1540">
        <f t="shared" si="49"/>
        <v>17210</v>
      </c>
      <c r="BM106" s="1540">
        <f t="shared" si="50"/>
        <v>17210</v>
      </c>
      <c r="BO106" s="1182">
        <f t="shared" si="51"/>
        <v>0</v>
      </c>
      <c r="BP106" s="1182">
        <f t="shared" si="52"/>
        <v>0</v>
      </c>
      <c r="BQ106" s="1182">
        <f t="shared" si="53"/>
        <v>0</v>
      </c>
      <c r="BR106" s="1182">
        <f t="shared" si="54"/>
        <v>0</v>
      </c>
      <c r="BS106" s="1182">
        <f t="shared" si="55"/>
        <v>0</v>
      </c>
      <c r="BT106" s="1182">
        <f t="shared" si="56"/>
        <v>0</v>
      </c>
      <c r="BU106" s="1182">
        <f t="shared" si="57"/>
        <v>0</v>
      </c>
    </row>
    <row r="107" spans="1:73">
      <c r="A107" s="1182" t="s">
        <v>1803</v>
      </c>
      <c r="B107" s="1182" t="s">
        <v>1804</v>
      </c>
      <c r="C107" s="1182" t="s">
        <v>1639</v>
      </c>
      <c r="D107" s="1182" t="s">
        <v>2590</v>
      </c>
      <c r="E107" s="1182" t="s">
        <v>2591</v>
      </c>
      <c r="F107" s="1182" t="s">
        <v>4201</v>
      </c>
      <c r="G107" s="1182" t="s">
        <v>4201</v>
      </c>
      <c r="H107" s="1188" t="s">
        <v>4667</v>
      </c>
      <c r="I107" s="1182" t="s">
        <v>2933</v>
      </c>
      <c r="J107" s="1182" t="s">
        <v>4668</v>
      </c>
      <c r="K107" s="1182" t="s">
        <v>1811</v>
      </c>
      <c r="L107" s="1182" t="s">
        <v>1812</v>
      </c>
      <c r="M107" s="1182" t="s">
        <v>1803</v>
      </c>
      <c r="N107" s="1182" t="s">
        <v>4453</v>
      </c>
      <c r="O107" s="1182" t="s">
        <v>1654</v>
      </c>
      <c r="P107" s="1182" t="s">
        <v>1653</v>
      </c>
      <c r="Q107" s="1182" t="s">
        <v>1452</v>
      </c>
      <c r="R107" s="1182" t="s">
        <v>1452</v>
      </c>
      <c r="S107" s="1182" t="s">
        <v>1639</v>
      </c>
      <c r="T107" s="1182" t="s">
        <v>4454</v>
      </c>
      <c r="U107" s="1182" t="s">
        <v>4455</v>
      </c>
      <c r="V107" s="1182">
        <v>0</v>
      </c>
      <c r="W107" s="1182">
        <v>0</v>
      </c>
      <c r="X107" s="1182">
        <v>0</v>
      </c>
      <c r="Y107" s="1182">
        <v>23778</v>
      </c>
      <c r="Z107" s="1182" t="s">
        <v>4456</v>
      </c>
      <c r="AA107" s="1182" t="s">
        <v>1452</v>
      </c>
      <c r="AB107" s="1182">
        <v>23778</v>
      </c>
      <c r="AC107" s="1182" t="s">
        <v>4288</v>
      </c>
      <c r="AD107" s="1182" t="s">
        <v>4289</v>
      </c>
      <c r="AE107" s="1182">
        <v>23778</v>
      </c>
      <c r="AF107" s="1182" t="s">
        <v>4437</v>
      </c>
      <c r="AG107" s="1182" t="s">
        <v>1820</v>
      </c>
      <c r="AH107" s="1182">
        <v>2162</v>
      </c>
      <c r="AI107" s="1182">
        <v>21616</v>
      </c>
      <c r="AJ107" s="1182" t="s">
        <v>1639</v>
      </c>
      <c r="AL107" s="1182" t="s">
        <v>4669</v>
      </c>
      <c r="AM107" s="1182">
        <v>1</v>
      </c>
      <c r="AN107" s="1182">
        <v>0</v>
      </c>
      <c r="AO107" s="1182">
        <v>0</v>
      </c>
      <c r="AP107" s="1555">
        <v>0</v>
      </c>
      <c r="AQ107" s="1182" t="s">
        <v>1639</v>
      </c>
      <c r="AS107" s="1555" t="s">
        <v>4437</v>
      </c>
      <c r="AT107" s="1555" t="s">
        <v>1820</v>
      </c>
      <c r="AV107" s="1183">
        <v>0</v>
      </c>
      <c r="AW107" s="1183">
        <v>0</v>
      </c>
      <c r="AX107" s="1183">
        <v>0</v>
      </c>
      <c r="AY107" s="1540">
        <v>0</v>
      </c>
      <c r="AZ107" s="1183">
        <v>0</v>
      </c>
      <c r="BA107" s="1183">
        <v>23778</v>
      </c>
      <c r="BB107" s="1540">
        <v>23778</v>
      </c>
      <c r="BC107" s="1540">
        <v>23778</v>
      </c>
      <c r="BD107" s="1540">
        <v>0</v>
      </c>
      <c r="BF107" s="1540">
        <f t="shared" si="43"/>
        <v>0</v>
      </c>
      <c r="BG107" s="1540">
        <f t="shared" si="44"/>
        <v>0</v>
      </c>
      <c r="BH107" s="1540">
        <f t="shared" si="45"/>
        <v>0</v>
      </c>
      <c r="BI107" s="1540">
        <f t="shared" si="46"/>
        <v>0</v>
      </c>
      <c r="BJ107" s="1540">
        <f t="shared" si="47"/>
        <v>0</v>
      </c>
      <c r="BK107" s="1540">
        <f t="shared" si="48"/>
        <v>21616</v>
      </c>
      <c r="BL107" s="1540">
        <f t="shared" si="49"/>
        <v>21616</v>
      </c>
      <c r="BM107" s="1540">
        <f t="shared" si="50"/>
        <v>21616</v>
      </c>
      <c r="BO107" s="1182">
        <f t="shared" si="51"/>
        <v>0</v>
      </c>
      <c r="BP107" s="1182">
        <f t="shared" si="52"/>
        <v>0</v>
      </c>
      <c r="BQ107" s="1182">
        <f t="shared" si="53"/>
        <v>0</v>
      </c>
      <c r="BR107" s="1182">
        <f t="shared" si="54"/>
        <v>0</v>
      </c>
      <c r="BS107" s="1182">
        <f t="shared" si="55"/>
        <v>0</v>
      </c>
      <c r="BT107" s="1182">
        <f t="shared" si="56"/>
        <v>0.36363636363603291</v>
      </c>
      <c r="BU107" s="1182">
        <f t="shared" si="57"/>
        <v>0.36363636363603291</v>
      </c>
    </row>
    <row r="108" spans="1:73">
      <c r="A108" s="1182" t="s">
        <v>1803</v>
      </c>
      <c r="B108" s="1182" t="s">
        <v>1804</v>
      </c>
      <c r="C108" s="1182" t="s">
        <v>1639</v>
      </c>
      <c r="D108" s="1182" t="s">
        <v>2590</v>
      </c>
      <c r="E108" s="1182" t="s">
        <v>2591</v>
      </c>
      <c r="F108" s="1182" t="s">
        <v>4201</v>
      </c>
      <c r="G108" s="1182" t="s">
        <v>4201</v>
      </c>
      <c r="H108" s="1188" t="s">
        <v>4670</v>
      </c>
      <c r="I108" s="1182" t="s">
        <v>2933</v>
      </c>
      <c r="J108" s="1182" t="s">
        <v>4671</v>
      </c>
      <c r="K108" s="1182" t="s">
        <v>1811</v>
      </c>
      <c r="L108" s="1182" t="s">
        <v>1812</v>
      </c>
      <c r="M108" s="1182" t="s">
        <v>1803</v>
      </c>
      <c r="N108" s="1182" t="s">
        <v>4453</v>
      </c>
      <c r="O108" s="1182" t="s">
        <v>1654</v>
      </c>
      <c r="P108" s="1182" t="s">
        <v>1653</v>
      </c>
      <c r="Q108" s="1182" t="s">
        <v>1452</v>
      </c>
      <c r="R108" s="1182" t="s">
        <v>1452</v>
      </c>
      <c r="S108" s="1182" t="s">
        <v>1639</v>
      </c>
      <c r="T108" s="1182" t="s">
        <v>4454</v>
      </c>
      <c r="U108" s="1182" t="s">
        <v>4455</v>
      </c>
      <c r="V108" s="1182">
        <v>0</v>
      </c>
      <c r="W108" s="1182">
        <v>0</v>
      </c>
      <c r="X108" s="1182">
        <v>0</v>
      </c>
      <c r="Y108" s="1182">
        <v>3822</v>
      </c>
      <c r="Z108" s="1182" t="s">
        <v>4456</v>
      </c>
      <c r="AA108" s="1182" t="s">
        <v>1452</v>
      </c>
      <c r="AB108" s="1182">
        <v>3822</v>
      </c>
      <c r="AC108" s="1182" t="s">
        <v>4288</v>
      </c>
      <c r="AD108" s="1182" t="s">
        <v>4289</v>
      </c>
      <c r="AE108" s="1182">
        <v>3822</v>
      </c>
      <c r="AF108" s="1182" t="s">
        <v>4437</v>
      </c>
      <c r="AG108" s="1182" t="s">
        <v>1820</v>
      </c>
      <c r="AH108" s="1182">
        <v>347</v>
      </c>
      <c r="AI108" s="1182">
        <v>3475</v>
      </c>
      <c r="AJ108" s="1182" t="s">
        <v>1639</v>
      </c>
      <c r="AL108" s="1182" t="s">
        <v>4672</v>
      </c>
      <c r="AM108" s="1182">
        <v>1</v>
      </c>
      <c r="AN108" s="1182">
        <v>0</v>
      </c>
      <c r="AO108" s="1182">
        <v>0</v>
      </c>
      <c r="AP108" s="1555">
        <v>0</v>
      </c>
      <c r="AQ108" s="1182" t="s">
        <v>1639</v>
      </c>
      <c r="AS108" s="1555" t="s">
        <v>4437</v>
      </c>
      <c r="AT108" s="1555" t="s">
        <v>1820</v>
      </c>
      <c r="AV108" s="1183">
        <v>0</v>
      </c>
      <c r="AW108" s="1183">
        <v>0</v>
      </c>
      <c r="AX108" s="1183">
        <v>0</v>
      </c>
      <c r="AY108" s="1540">
        <v>0</v>
      </c>
      <c r="AZ108" s="1183">
        <v>0</v>
      </c>
      <c r="BA108" s="1183">
        <v>3822</v>
      </c>
      <c r="BB108" s="1540">
        <v>3822</v>
      </c>
      <c r="BC108" s="1540">
        <v>3822</v>
      </c>
      <c r="BD108" s="1540">
        <v>0</v>
      </c>
      <c r="BF108" s="1540">
        <f t="shared" si="43"/>
        <v>0</v>
      </c>
      <c r="BG108" s="1540">
        <f t="shared" si="44"/>
        <v>0</v>
      </c>
      <c r="BH108" s="1540">
        <f t="shared" si="45"/>
        <v>0</v>
      </c>
      <c r="BI108" s="1540">
        <f t="shared" si="46"/>
        <v>0</v>
      </c>
      <c r="BJ108" s="1540">
        <f t="shared" si="47"/>
        <v>0</v>
      </c>
      <c r="BK108" s="1540">
        <f t="shared" si="48"/>
        <v>3475</v>
      </c>
      <c r="BL108" s="1540">
        <f t="shared" si="49"/>
        <v>3475</v>
      </c>
      <c r="BM108" s="1540">
        <f t="shared" si="50"/>
        <v>3475</v>
      </c>
      <c r="BO108" s="1182">
        <f t="shared" si="51"/>
        <v>0</v>
      </c>
      <c r="BP108" s="1182">
        <f t="shared" si="52"/>
        <v>0</v>
      </c>
      <c r="BQ108" s="1182">
        <f t="shared" si="53"/>
        <v>0</v>
      </c>
      <c r="BR108" s="1182">
        <f t="shared" si="54"/>
        <v>0</v>
      </c>
      <c r="BS108" s="1182">
        <f t="shared" si="55"/>
        <v>0</v>
      </c>
      <c r="BT108" s="1182">
        <f t="shared" si="56"/>
        <v>-0.45454545454549589</v>
      </c>
      <c r="BU108" s="1182">
        <f t="shared" si="57"/>
        <v>-0.45454545454549589</v>
      </c>
    </row>
    <row r="109" spans="1:73">
      <c r="A109" s="1182" t="s">
        <v>1803</v>
      </c>
      <c r="B109" s="1182" t="s">
        <v>1804</v>
      </c>
      <c r="C109" s="1182" t="s">
        <v>1639</v>
      </c>
      <c r="D109" s="1182" t="s">
        <v>2590</v>
      </c>
      <c r="E109" s="1182" t="s">
        <v>2591</v>
      </c>
      <c r="F109" s="1182" t="s">
        <v>4201</v>
      </c>
      <c r="G109" s="1182" t="s">
        <v>4201</v>
      </c>
      <c r="H109" s="1188" t="s">
        <v>4673</v>
      </c>
      <c r="I109" s="1182" t="s">
        <v>2933</v>
      </c>
      <c r="J109" s="1182" t="s">
        <v>4674</v>
      </c>
      <c r="K109" s="1182" t="s">
        <v>1811</v>
      </c>
      <c r="L109" s="1182" t="s">
        <v>1812</v>
      </c>
      <c r="M109" s="1182" t="s">
        <v>1803</v>
      </c>
      <c r="N109" s="1182" t="s">
        <v>4453</v>
      </c>
      <c r="O109" s="1182" t="s">
        <v>1654</v>
      </c>
      <c r="P109" s="1182" t="s">
        <v>1653</v>
      </c>
      <c r="Q109" s="1182" t="s">
        <v>1452</v>
      </c>
      <c r="R109" s="1182" t="s">
        <v>1452</v>
      </c>
      <c r="S109" s="1182" t="s">
        <v>1639</v>
      </c>
      <c r="T109" s="1182" t="s">
        <v>4454</v>
      </c>
      <c r="U109" s="1182" t="s">
        <v>4455</v>
      </c>
      <c r="V109" s="1182">
        <v>0</v>
      </c>
      <c r="W109" s="1182">
        <v>0</v>
      </c>
      <c r="X109" s="1182">
        <v>0</v>
      </c>
      <c r="Y109" s="1182">
        <v>286529</v>
      </c>
      <c r="Z109" s="1182" t="s">
        <v>4456</v>
      </c>
      <c r="AA109" s="1182" t="s">
        <v>1452</v>
      </c>
      <c r="AB109" s="1182">
        <v>286529</v>
      </c>
      <c r="AC109" s="1182" t="s">
        <v>4288</v>
      </c>
      <c r="AD109" s="1182" t="s">
        <v>4289</v>
      </c>
      <c r="AE109" s="1182">
        <v>286529</v>
      </c>
      <c r="AF109" s="1182" t="s">
        <v>4437</v>
      </c>
      <c r="AG109" s="1182" t="s">
        <v>1820</v>
      </c>
      <c r="AH109" s="1182">
        <v>26048</v>
      </c>
      <c r="AI109" s="1182">
        <v>260481</v>
      </c>
      <c r="AJ109" s="1182" t="s">
        <v>1639</v>
      </c>
      <c r="AL109" s="1182" t="s">
        <v>4675</v>
      </c>
      <c r="AM109" s="1182">
        <v>1</v>
      </c>
      <c r="AN109" s="1182">
        <v>0</v>
      </c>
      <c r="AO109" s="1182">
        <v>0</v>
      </c>
      <c r="AP109" s="1555">
        <v>0</v>
      </c>
      <c r="AQ109" s="1182" t="s">
        <v>1639</v>
      </c>
      <c r="AS109" s="1555" t="s">
        <v>4437</v>
      </c>
      <c r="AT109" s="1555" t="s">
        <v>1820</v>
      </c>
      <c r="AV109" s="1183">
        <v>0</v>
      </c>
      <c r="AW109" s="1183">
        <v>0</v>
      </c>
      <c r="AX109" s="1183">
        <v>0</v>
      </c>
      <c r="AY109" s="1540">
        <v>0</v>
      </c>
      <c r="AZ109" s="1183">
        <v>0</v>
      </c>
      <c r="BA109" s="1183">
        <v>286529</v>
      </c>
      <c r="BB109" s="1540">
        <v>286529</v>
      </c>
      <c r="BC109" s="1540">
        <v>286529</v>
      </c>
      <c r="BD109" s="1540">
        <v>0</v>
      </c>
      <c r="BF109" s="1540">
        <f t="shared" si="43"/>
        <v>0</v>
      </c>
      <c r="BG109" s="1540">
        <f t="shared" si="44"/>
        <v>0</v>
      </c>
      <c r="BH109" s="1540">
        <f t="shared" si="45"/>
        <v>0</v>
      </c>
      <c r="BI109" s="1540">
        <f t="shared" si="46"/>
        <v>0</v>
      </c>
      <c r="BJ109" s="1540">
        <f t="shared" si="47"/>
        <v>0</v>
      </c>
      <c r="BK109" s="1540">
        <f t="shared" si="48"/>
        <v>260481</v>
      </c>
      <c r="BL109" s="1540">
        <f t="shared" si="49"/>
        <v>260481</v>
      </c>
      <c r="BM109" s="1540">
        <f t="shared" si="50"/>
        <v>260481</v>
      </c>
      <c r="BO109" s="1182">
        <f t="shared" si="51"/>
        <v>0</v>
      </c>
      <c r="BP109" s="1182">
        <f t="shared" si="52"/>
        <v>0</v>
      </c>
      <c r="BQ109" s="1182">
        <f t="shared" si="53"/>
        <v>0</v>
      </c>
      <c r="BR109" s="1182">
        <f t="shared" si="54"/>
        <v>0</v>
      </c>
      <c r="BS109" s="1182">
        <f t="shared" si="55"/>
        <v>0</v>
      </c>
      <c r="BT109" s="1182">
        <f t="shared" si="56"/>
        <v>-9.0909090911736712E-2</v>
      </c>
      <c r="BU109" s="1182">
        <f t="shared" si="57"/>
        <v>-9.0909090911736712E-2</v>
      </c>
    </row>
    <row r="110" spans="1:73">
      <c r="A110" s="1182" t="s">
        <v>1803</v>
      </c>
      <c r="B110" s="1182" t="s">
        <v>1804</v>
      </c>
      <c r="C110" s="1182" t="s">
        <v>1639</v>
      </c>
      <c r="D110" s="1182" t="s">
        <v>2590</v>
      </c>
      <c r="E110" s="1182" t="s">
        <v>2591</v>
      </c>
      <c r="F110" s="1182" t="s">
        <v>4201</v>
      </c>
      <c r="G110" s="1182" t="s">
        <v>4201</v>
      </c>
      <c r="H110" s="1188" t="s">
        <v>4673</v>
      </c>
      <c r="I110" s="1182" t="s">
        <v>2933</v>
      </c>
      <c r="J110" s="1182" t="s">
        <v>4676</v>
      </c>
      <c r="K110" s="1182" t="s">
        <v>1811</v>
      </c>
      <c r="L110" s="1182" t="s">
        <v>1812</v>
      </c>
      <c r="M110" s="1182" t="s">
        <v>1803</v>
      </c>
      <c r="N110" s="1182" t="s">
        <v>4453</v>
      </c>
      <c r="O110" s="1182" t="s">
        <v>1654</v>
      </c>
      <c r="P110" s="1182" t="s">
        <v>1653</v>
      </c>
      <c r="Q110" s="1182" t="s">
        <v>1452</v>
      </c>
      <c r="R110" s="1182" t="s">
        <v>1452</v>
      </c>
      <c r="S110" s="1182" t="s">
        <v>1639</v>
      </c>
      <c r="T110" s="1182" t="s">
        <v>4454</v>
      </c>
      <c r="U110" s="1182" t="s">
        <v>4455</v>
      </c>
      <c r="V110" s="1182">
        <v>0</v>
      </c>
      <c r="W110" s="1182">
        <v>0</v>
      </c>
      <c r="X110" s="1182">
        <v>0</v>
      </c>
      <c r="Y110" s="1182">
        <v>647067</v>
      </c>
      <c r="Z110" s="1182" t="s">
        <v>4456</v>
      </c>
      <c r="AA110" s="1182" t="s">
        <v>1452</v>
      </c>
      <c r="AB110" s="1182">
        <v>647067</v>
      </c>
      <c r="AC110" s="1182" t="s">
        <v>4288</v>
      </c>
      <c r="AD110" s="1182" t="s">
        <v>4289</v>
      </c>
      <c r="AE110" s="1182">
        <v>647067</v>
      </c>
      <c r="AF110" s="1182" t="s">
        <v>4437</v>
      </c>
      <c r="AG110" s="1182" t="s">
        <v>1820</v>
      </c>
      <c r="AH110" s="1182">
        <v>58850</v>
      </c>
      <c r="AI110" s="1182">
        <v>588217</v>
      </c>
      <c r="AJ110" s="1182" t="s">
        <v>1639</v>
      </c>
      <c r="AL110" s="1182" t="s">
        <v>4677</v>
      </c>
      <c r="AM110" s="1182">
        <v>1</v>
      </c>
      <c r="AN110" s="1182">
        <v>0</v>
      </c>
      <c r="AO110" s="1182">
        <v>0</v>
      </c>
      <c r="AP110" s="1555">
        <v>0</v>
      </c>
      <c r="AQ110" s="1182" t="s">
        <v>1639</v>
      </c>
      <c r="AS110" s="1555" t="s">
        <v>4437</v>
      </c>
      <c r="AT110" s="1555" t="s">
        <v>1820</v>
      </c>
      <c r="AV110" s="1183">
        <v>0</v>
      </c>
      <c r="AW110" s="1183">
        <v>0</v>
      </c>
      <c r="AX110" s="1183">
        <v>0</v>
      </c>
      <c r="AY110" s="1540">
        <v>0</v>
      </c>
      <c r="AZ110" s="1183">
        <v>0</v>
      </c>
      <c r="BA110" s="1183">
        <v>647067</v>
      </c>
      <c r="BB110" s="1540">
        <v>647067</v>
      </c>
      <c r="BC110" s="1540">
        <v>647067</v>
      </c>
      <c r="BD110" s="1540">
        <v>0</v>
      </c>
      <c r="BF110" s="1540">
        <f t="shared" si="43"/>
        <v>0</v>
      </c>
      <c r="BG110" s="1540">
        <f t="shared" si="44"/>
        <v>0</v>
      </c>
      <c r="BH110" s="1540">
        <f t="shared" si="45"/>
        <v>0</v>
      </c>
      <c r="BI110" s="1540">
        <f t="shared" si="46"/>
        <v>0</v>
      </c>
      <c r="BJ110" s="1540">
        <f t="shared" si="47"/>
        <v>0</v>
      </c>
      <c r="BK110" s="1540">
        <f t="shared" si="48"/>
        <v>588243</v>
      </c>
      <c r="BL110" s="1540">
        <f t="shared" si="49"/>
        <v>588243</v>
      </c>
      <c r="BM110" s="1540">
        <f t="shared" si="50"/>
        <v>588243</v>
      </c>
      <c r="BO110" s="1182">
        <f t="shared" si="51"/>
        <v>0</v>
      </c>
      <c r="BP110" s="1182">
        <f t="shared" si="52"/>
        <v>0</v>
      </c>
      <c r="BQ110" s="1182">
        <f t="shared" si="53"/>
        <v>0</v>
      </c>
      <c r="BR110" s="1182">
        <f t="shared" si="54"/>
        <v>0</v>
      </c>
      <c r="BS110" s="1182">
        <f t="shared" si="55"/>
        <v>0</v>
      </c>
      <c r="BT110" s="1182">
        <f t="shared" si="56"/>
        <v>-0.27272727270610631</v>
      </c>
      <c r="BU110" s="1182">
        <f t="shared" si="57"/>
        <v>-0.27272727270610631</v>
      </c>
    </row>
    <row r="111" spans="1:73">
      <c r="A111" s="1182" t="s">
        <v>1803</v>
      </c>
      <c r="B111" s="1182" t="s">
        <v>1804</v>
      </c>
      <c r="C111" s="1182" t="s">
        <v>1639</v>
      </c>
      <c r="D111" s="1182" t="s">
        <v>2590</v>
      </c>
      <c r="E111" s="1182" t="s">
        <v>2591</v>
      </c>
      <c r="F111" s="1182" t="s">
        <v>4201</v>
      </c>
      <c r="G111" s="1182" t="s">
        <v>4201</v>
      </c>
      <c r="H111" s="1188" t="s">
        <v>4678</v>
      </c>
      <c r="I111" s="1182" t="s">
        <v>2933</v>
      </c>
      <c r="J111" s="1182" t="s">
        <v>4679</v>
      </c>
      <c r="K111" s="1182" t="s">
        <v>1811</v>
      </c>
      <c r="L111" s="1182" t="s">
        <v>1812</v>
      </c>
      <c r="M111" s="1182" t="s">
        <v>1803</v>
      </c>
      <c r="N111" s="1182" t="s">
        <v>4453</v>
      </c>
      <c r="O111" s="1182" t="s">
        <v>1654</v>
      </c>
      <c r="P111" s="1182" t="s">
        <v>1653</v>
      </c>
      <c r="Q111" s="1182" t="s">
        <v>1452</v>
      </c>
      <c r="R111" s="1182" t="s">
        <v>1452</v>
      </c>
      <c r="S111" s="1182" t="s">
        <v>1639</v>
      </c>
      <c r="T111" s="1182" t="s">
        <v>4454</v>
      </c>
      <c r="U111" s="1182" t="s">
        <v>4455</v>
      </c>
      <c r="V111" s="1182">
        <v>0</v>
      </c>
      <c r="W111" s="1182">
        <v>0</v>
      </c>
      <c r="X111" s="1182">
        <v>0</v>
      </c>
      <c r="Y111" s="1182">
        <v>27024</v>
      </c>
      <c r="Z111" s="1182" t="s">
        <v>4456</v>
      </c>
      <c r="AA111" s="1182" t="s">
        <v>1452</v>
      </c>
      <c r="AB111" s="1182">
        <v>27024</v>
      </c>
      <c r="AC111" s="1182" t="s">
        <v>4288</v>
      </c>
      <c r="AD111" s="1182" t="s">
        <v>4289</v>
      </c>
      <c r="AE111" s="1182">
        <v>27024</v>
      </c>
      <c r="AF111" s="1182" t="s">
        <v>4437</v>
      </c>
      <c r="AG111" s="1182" t="s">
        <v>1820</v>
      </c>
      <c r="AH111" s="1182">
        <v>2456</v>
      </c>
      <c r="AI111" s="1182">
        <v>24568</v>
      </c>
      <c r="AJ111" s="1182" t="s">
        <v>1639</v>
      </c>
      <c r="AL111" s="1182" t="s">
        <v>4680</v>
      </c>
      <c r="AM111" s="1182">
        <v>1</v>
      </c>
      <c r="AN111" s="1182">
        <v>0</v>
      </c>
      <c r="AO111" s="1182">
        <v>0</v>
      </c>
      <c r="AP111" s="1555">
        <v>0</v>
      </c>
      <c r="AQ111" s="1182" t="s">
        <v>1639</v>
      </c>
      <c r="AS111" s="1555" t="s">
        <v>4437</v>
      </c>
      <c r="AT111" s="1555" t="s">
        <v>1820</v>
      </c>
      <c r="AV111" s="1183">
        <v>0</v>
      </c>
      <c r="AW111" s="1183">
        <v>0</v>
      </c>
      <c r="AX111" s="1183">
        <v>0</v>
      </c>
      <c r="AY111" s="1540">
        <v>0</v>
      </c>
      <c r="AZ111" s="1183">
        <v>0</v>
      </c>
      <c r="BA111" s="1183">
        <v>27024</v>
      </c>
      <c r="BB111" s="1540">
        <v>27024</v>
      </c>
      <c r="BC111" s="1540">
        <v>27024</v>
      </c>
      <c r="BD111" s="1540">
        <v>0</v>
      </c>
      <c r="BF111" s="1540">
        <f t="shared" si="43"/>
        <v>0</v>
      </c>
      <c r="BG111" s="1540">
        <f t="shared" si="44"/>
        <v>0</v>
      </c>
      <c r="BH111" s="1540">
        <f t="shared" si="45"/>
        <v>0</v>
      </c>
      <c r="BI111" s="1540">
        <f t="shared" si="46"/>
        <v>0</v>
      </c>
      <c r="BJ111" s="1540">
        <f t="shared" si="47"/>
        <v>0</v>
      </c>
      <c r="BK111" s="1540">
        <f t="shared" si="48"/>
        <v>24567</v>
      </c>
      <c r="BL111" s="1540">
        <f t="shared" si="49"/>
        <v>24567</v>
      </c>
      <c r="BM111" s="1540">
        <f t="shared" si="50"/>
        <v>24567</v>
      </c>
      <c r="BO111" s="1182">
        <f t="shared" si="51"/>
        <v>0</v>
      </c>
      <c r="BP111" s="1182">
        <f t="shared" si="52"/>
        <v>0</v>
      </c>
      <c r="BQ111" s="1182">
        <f t="shared" si="53"/>
        <v>0</v>
      </c>
      <c r="BR111" s="1182">
        <f t="shared" si="54"/>
        <v>0</v>
      </c>
      <c r="BS111" s="1182">
        <f t="shared" si="55"/>
        <v>0</v>
      </c>
      <c r="BT111" s="1182">
        <f t="shared" si="56"/>
        <v>0.27272727272793418</v>
      </c>
      <c r="BU111" s="1182">
        <f t="shared" si="57"/>
        <v>0.27272727272793418</v>
      </c>
    </row>
    <row r="112" spans="1:73">
      <c r="A112" s="1182" t="s">
        <v>1803</v>
      </c>
      <c r="B112" s="1182" t="s">
        <v>1804</v>
      </c>
      <c r="C112" s="1182" t="s">
        <v>1639</v>
      </c>
      <c r="D112" s="1182" t="s">
        <v>2590</v>
      </c>
      <c r="E112" s="1182" t="s">
        <v>2591</v>
      </c>
      <c r="F112" s="1182" t="s">
        <v>4364</v>
      </c>
      <c r="G112" s="1182" t="s">
        <v>4364</v>
      </c>
      <c r="H112" s="1188" t="s">
        <v>4681</v>
      </c>
      <c r="I112" s="1182" t="s">
        <v>2933</v>
      </c>
      <c r="J112" s="1182" t="s">
        <v>4682</v>
      </c>
      <c r="K112" s="1182" t="s">
        <v>1811</v>
      </c>
      <c r="L112" s="1182" t="s">
        <v>1812</v>
      </c>
      <c r="M112" s="1182" t="s">
        <v>1803</v>
      </c>
      <c r="N112" s="1182" t="s">
        <v>4453</v>
      </c>
      <c r="O112" s="1182" t="s">
        <v>1654</v>
      </c>
      <c r="P112" s="1182" t="s">
        <v>1653</v>
      </c>
      <c r="Q112" s="1182" t="s">
        <v>1452</v>
      </c>
      <c r="R112" s="1182" t="s">
        <v>1452</v>
      </c>
      <c r="S112" s="1182" t="s">
        <v>1639</v>
      </c>
      <c r="T112" s="1182" t="s">
        <v>4454</v>
      </c>
      <c r="U112" s="1182" t="s">
        <v>4455</v>
      </c>
      <c r="V112" s="1182">
        <v>0</v>
      </c>
      <c r="W112" s="1182">
        <v>0</v>
      </c>
      <c r="X112" s="1182">
        <v>0</v>
      </c>
      <c r="Y112" s="1182">
        <v>268951</v>
      </c>
      <c r="Z112" s="1182" t="s">
        <v>4456</v>
      </c>
      <c r="AA112" s="1182" t="s">
        <v>1452</v>
      </c>
      <c r="AB112" s="1182">
        <v>268951</v>
      </c>
      <c r="AC112" s="1182" t="s">
        <v>4288</v>
      </c>
      <c r="AD112" s="1182" t="s">
        <v>4289</v>
      </c>
      <c r="AE112" s="1182">
        <v>268951</v>
      </c>
      <c r="AF112" s="1182" t="s">
        <v>4437</v>
      </c>
      <c r="AG112" s="1182" t="s">
        <v>1820</v>
      </c>
      <c r="AH112" s="1182">
        <v>24446</v>
      </c>
      <c r="AI112" s="1182">
        <v>244505</v>
      </c>
      <c r="AJ112" s="1182" t="s">
        <v>1639</v>
      </c>
      <c r="AL112" s="1182" t="s">
        <v>4683</v>
      </c>
      <c r="AM112" s="1182">
        <v>1</v>
      </c>
      <c r="AN112" s="1182">
        <v>0</v>
      </c>
      <c r="AO112" s="1182">
        <v>0</v>
      </c>
      <c r="AP112" s="1555">
        <v>0</v>
      </c>
      <c r="AQ112" s="1182" t="s">
        <v>1639</v>
      </c>
      <c r="AS112" s="1555" t="s">
        <v>4437</v>
      </c>
      <c r="AT112" s="1555" t="s">
        <v>1820</v>
      </c>
      <c r="AV112" s="1183">
        <v>0</v>
      </c>
      <c r="AW112" s="1183">
        <v>0</v>
      </c>
      <c r="AX112" s="1183">
        <v>0</v>
      </c>
      <c r="AY112" s="1540">
        <v>0</v>
      </c>
      <c r="AZ112" s="1183">
        <v>0</v>
      </c>
      <c r="BA112" s="1183">
        <v>268951</v>
      </c>
      <c r="BB112" s="1540">
        <v>268951</v>
      </c>
      <c r="BC112" s="1540">
        <v>268951</v>
      </c>
      <c r="BD112" s="1540">
        <v>0</v>
      </c>
      <c r="BF112" s="1540">
        <f t="shared" si="43"/>
        <v>0</v>
      </c>
      <c r="BG112" s="1540">
        <f t="shared" si="44"/>
        <v>0</v>
      </c>
      <c r="BH112" s="1540">
        <f t="shared" si="45"/>
        <v>0</v>
      </c>
      <c r="BI112" s="1540">
        <f t="shared" si="46"/>
        <v>0</v>
      </c>
      <c r="BJ112" s="1540">
        <f t="shared" si="47"/>
        <v>0</v>
      </c>
      <c r="BK112" s="1540">
        <f t="shared" si="48"/>
        <v>244501</v>
      </c>
      <c r="BL112" s="1540">
        <f t="shared" si="49"/>
        <v>244501</v>
      </c>
      <c r="BM112" s="1540">
        <f t="shared" si="50"/>
        <v>244501</v>
      </c>
      <c r="BO112" s="1182">
        <f t="shared" si="51"/>
        <v>0</v>
      </c>
      <c r="BP112" s="1182">
        <f t="shared" si="52"/>
        <v>0</v>
      </c>
      <c r="BQ112" s="1182">
        <f t="shared" si="53"/>
        <v>0</v>
      </c>
      <c r="BR112" s="1182">
        <f t="shared" si="54"/>
        <v>0</v>
      </c>
      <c r="BS112" s="1182">
        <f t="shared" si="55"/>
        <v>0</v>
      </c>
      <c r="BT112" s="1182">
        <f t="shared" si="56"/>
        <v>-9.0909090911736712E-2</v>
      </c>
      <c r="BU112" s="1182">
        <f t="shared" si="57"/>
        <v>-9.0909090911736712E-2</v>
      </c>
    </row>
    <row r="113" spans="1:73">
      <c r="A113" s="1182" t="s">
        <v>1803</v>
      </c>
      <c r="B113" s="1182" t="s">
        <v>1804</v>
      </c>
      <c r="C113" s="1182" t="s">
        <v>1639</v>
      </c>
      <c r="D113" s="1182" t="s">
        <v>2590</v>
      </c>
      <c r="E113" s="1182" t="s">
        <v>2591</v>
      </c>
      <c r="F113" s="1182" t="s">
        <v>4201</v>
      </c>
      <c r="G113" s="1182" t="s">
        <v>4201</v>
      </c>
      <c r="H113" s="1188" t="s">
        <v>4684</v>
      </c>
      <c r="I113" s="1182" t="s">
        <v>2933</v>
      </c>
      <c r="J113" s="1182" t="s">
        <v>4685</v>
      </c>
      <c r="K113" s="1182" t="s">
        <v>1811</v>
      </c>
      <c r="L113" s="1182" t="s">
        <v>1812</v>
      </c>
      <c r="M113" s="1182" t="s">
        <v>1803</v>
      </c>
      <c r="N113" s="1182" t="s">
        <v>4453</v>
      </c>
      <c r="O113" s="1182" t="s">
        <v>1654</v>
      </c>
      <c r="P113" s="1182" t="s">
        <v>1653</v>
      </c>
      <c r="Q113" s="1182" t="s">
        <v>1452</v>
      </c>
      <c r="R113" s="1182" t="s">
        <v>1452</v>
      </c>
      <c r="S113" s="1182" t="s">
        <v>1639</v>
      </c>
      <c r="T113" s="1182" t="s">
        <v>4454</v>
      </c>
      <c r="U113" s="1182" t="s">
        <v>4455</v>
      </c>
      <c r="V113" s="1182">
        <v>0</v>
      </c>
      <c r="W113" s="1182">
        <v>0</v>
      </c>
      <c r="X113" s="1182">
        <v>0</v>
      </c>
      <c r="Y113" s="1182">
        <v>41653</v>
      </c>
      <c r="Z113" s="1182" t="s">
        <v>4456</v>
      </c>
      <c r="AA113" s="1182" t="s">
        <v>1452</v>
      </c>
      <c r="AB113" s="1182">
        <v>41653</v>
      </c>
      <c r="AC113" s="1182" t="s">
        <v>4288</v>
      </c>
      <c r="AD113" s="1182" t="s">
        <v>4289</v>
      </c>
      <c r="AE113" s="1182">
        <v>41653</v>
      </c>
      <c r="AF113" s="1182" t="s">
        <v>4437</v>
      </c>
      <c r="AG113" s="1182" t="s">
        <v>1820</v>
      </c>
      <c r="AH113" s="1182">
        <v>3785</v>
      </c>
      <c r="AI113" s="1182">
        <v>37868</v>
      </c>
      <c r="AJ113" s="1182" t="s">
        <v>1639</v>
      </c>
      <c r="AL113" s="1182" t="s">
        <v>4686</v>
      </c>
      <c r="AM113" s="1182">
        <v>1</v>
      </c>
      <c r="AN113" s="1182">
        <v>0</v>
      </c>
      <c r="AO113" s="1182">
        <v>0</v>
      </c>
      <c r="AP113" s="1555">
        <v>0</v>
      </c>
      <c r="AQ113" s="1182" t="s">
        <v>1639</v>
      </c>
      <c r="AS113" s="1555" t="s">
        <v>4437</v>
      </c>
      <c r="AT113" s="1555" t="s">
        <v>1820</v>
      </c>
      <c r="AV113" s="1183">
        <v>0</v>
      </c>
      <c r="AW113" s="1183">
        <v>0</v>
      </c>
      <c r="AX113" s="1183">
        <v>0</v>
      </c>
      <c r="AY113" s="1540">
        <v>0</v>
      </c>
      <c r="AZ113" s="1183">
        <v>0</v>
      </c>
      <c r="BA113" s="1183">
        <v>41653</v>
      </c>
      <c r="BB113" s="1540">
        <v>41653</v>
      </c>
      <c r="BC113" s="1540">
        <v>41653</v>
      </c>
      <c r="BD113" s="1540">
        <v>0</v>
      </c>
      <c r="BF113" s="1540">
        <f t="shared" si="43"/>
        <v>0</v>
      </c>
      <c r="BG113" s="1540">
        <f t="shared" si="44"/>
        <v>0</v>
      </c>
      <c r="BH113" s="1540">
        <f t="shared" si="45"/>
        <v>0</v>
      </c>
      <c r="BI113" s="1540">
        <f t="shared" si="46"/>
        <v>0</v>
      </c>
      <c r="BJ113" s="1540">
        <f t="shared" si="47"/>
        <v>0</v>
      </c>
      <c r="BK113" s="1540">
        <f t="shared" si="48"/>
        <v>37866</v>
      </c>
      <c r="BL113" s="1540">
        <f t="shared" si="49"/>
        <v>37866</v>
      </c>
      <c r="BM113" s="1540">
        <f t="shared" si="50"/>
        <v>37866</v>
      </c>
      <c r="BO113" s="1182">
        <f t="shared" si="51"/>
        <v>0</v>
      </c>
      <c r="BP113" s="1182">
        <f t="shared" si="52"/>
        <v>0</v>
      </c>
      <c r="BQ113" s="1182">
        <f t="shared" si="53"/>
        <v>0</v>
      </c>
      <c r="BR113" s="1182">
        <f t="shared" si="54"/>
        <v>0</v>
      </c>
      <c r="BS113" s="1182">
        <f t="shared" si="55"/>
        <v>0</v>
      </c>
      <c r="BT113" s="1182">
        <f t="shared" si="56"/>
        <v>0.36363636363967089</v>
      </c>
      <c r="BU113" s="1182">
        <f t="shared" si="57"/>
        <v>0.36363636363967089</v>
      </c>
    </row>
    <row r="114" spans="1:73">
      <c r="A114" s="1182" t="s">
        <v>1803</v>
      </c>
      <c r="B114" s="1182" t="s">
        <v>1804</v>
      </c>
      <c r="C114" s="1182" t="s">
        <v>1639</v>
      </c>
      <c r="D114" s="1182" t="s">
        <v>2590</v>
      </c>
      <c r="E114" s="1182" t="s">
        <v>2591</v>
      </c>
      <c r="F114" s="1182" t="s">
        <v>4201</v>
      </c>
      <c r="G114" s="1182" t="s">
        <v>4201</v>
      </c>
      <c r="H114" s="1188" t="s">
        <v>4684</v>
      </c>
      <c r="I114" s="1182" t="s">
        <v>2933</v>
      </c>
      <c r="J114" s="1182" t="s">
        <v>4687</v>
      </c>
      <c r="K114" s="1182" t="s">
        <v>1811</v>
      </c>
      <c r="L114" s="1182" t="s">
        <v>1812</v>
      </c>
      <c r="M114" s="1182" t="s">
        <v>1803</v>
      </c>
      <c r="N114" s="1182" t="s">
        <v>4453</v>
      </c>
      <c r="O114" s="1182" t="s">
        <v>1654</v>
      </c>
      <c r="P114" s="1182" t="s">
        <v>1653</v>
      </c>
      <c r="Q114" s="1182" t="s">
        <v>1452</v>
      </c>
      <c r="R114" s="1182" t="s">
        <v>1452</v>
      </c>
      <c r="S114" s="1182" t="s">
        <v>1639</v>
      </c>
      <c r="T114" s="1182" t="s">
        <v>4454</v>
      </c>
      <c r="U114" s="1182" t="s">
        <v>4455</v>
      </c>
      <c r="V114" s="1182">
        <v>0</v>
      </c>
      <c r="W114" s="1182">
        <v>0</v>
      </c>
      <c r="X114" s="1182">
        <v>0</v>
      </c>
      <c r="Y114" s="1182">
        <v>2940580</v>
      </c>
      <c r="Z114" s="1182" t="s">
        <v>4456</v>
      </c>
      <c r="AA114" s="1182" t="s">
        <v>1452</v>
      </c>
      <c r="AB114" s="1182">
        <v>2940580</v>
      </c>
      <c r="AC114" s="1182" t="s">
        <v>4288</v>
      </c>
      <c r="AD114" s="1182" t="s">
        <v>4289</v>
      </c>
      <c r="AE114" s="1182">
        <v>2940580</v>
      </c>
      <c r="AF114" s="1182" t="s">
        <v>4437</v>
      </c>
      <c r="AG114" s="1182" t="s">
        <v>1820</v>
      </c>
      <c r="AH114" s="1182">
        <v>267323</v>
      </c>
      <c r="AI114" s="1182">
        <v>2673257</v>
      </c>
      <c r="AJ114" s="1182" t="s">
        <v>1639</v>
      </c>
      <c r="AL114" s="1182" t="s">
        <v>4688</v>
      </c>
      <c r="AM114" s="1182">
        <v>1</v>
      </c>
      <c r="AN114" s="1182">
        <v>0</v>
      </c>
      <c r="AO114" s="1182">
        <v>0</v>
      </c>
      <c r="AP114" s="1555">
        <v>0</v>
      </c>
      <c r="AQ114" s="1182" t="s">
        <v>1639</v>
      </c>
      <c r="AS114" s="1555" t="s">
        <v>4437</v>
      </c>
      <c r="AT114" s="1555" t="s">
        <v>1820</v>
      </c>
      <c r="AV114" s="1183">
        <v>0</v>
      </c>
      <c r="AW114" s="1183">
        <v>0</v>
      </c>
      <c r="AX114" s="1183">
        <v>0</v>
      </c>
      <c r="AY114" s="1540">
        <v>0</v>
      </c>
      <c r="AZ114" s="1183">
        <v>0</v>
      </c>
      <c r="BA114" s="1183">
        <v>2940580</v>
      </c>
      <c r="BB114" s="1540">
        <v>2940580</v>
      </c>
      <c r="BC114" s="1540">
        <v>2940580</v>
      </c>
      <c r="BD114" s="1540">
        <v>0</v>
      </c>
      <c r="BF114" s="1540">
        <f t="shared" si="43"/>
        <v>0</v>
      </c>
      <c r="BG114" s="1540">
        <f t="shared" si="44"/>
        <v>0</v>
      </c>
      <c r="BH114" s="1540">
        <f t="shared" si="45"/>
        <v>0</v>
      </c>
      <c r="BI114" s="1540">
        <f t="shared" si="46"/>
        <v>0</v>
      </c>
      <c r="BJ114" s="1540">
        <f t="shared" si="47"/>
        <v>0</v>
      </c>
      <c r="BK114" s="1562">
        <f>+IFERROR(ROUND(BA114*100/(100+$AT114),0),BA114)-1</f>
        <v>2673254</v>
      </c>
      <c r="BL114" s="1540">
        <f t="shared" si="49"/>
        <v>2673254</v>
      </c>
      <c r="BM114" s="1540">
        <f t="shared" si="50"/>
        <v>2673254</v>
      </c>
      <c r="BO114" s="1182">
        <f t="shared" si="51"/>
        <v>0</v>
      </c>
      <c r="BP114" s="1182">
        <f t="shared" si="52"/>
        <v>0</v>
      </c>
      <c r="BQ114" s="1182">
        <f t="shared" si="53"/>
        <v>0</v>
      </c>
      <c r="BR114" s="1182">
        <f t="shared" si="54"/>
        <v>0</v>
      </c>
      <c r="BS114" s="1182">
        <f t="shared" si="55"/>
        <v>0</v>
      </c>
      <c r="BT114" s="1182">
        <f t="shared" si="56"/>
        <v>0.54545454541221261</v>
      </c>
      <c r="BU114" s="1182">
        <f t="shared" si="57"/>
        <v>0.54545454541221261</v>
      </c>
    </row>
    <row r="115" spans="1:73">
      <c r="A115" s="1182" t="s">
        <v>1803</v>
      </c>
      <c r="B115" s="1182" t="s">
        <v>1804</v>
      </c>
      <c r="C115" s="1182" t="s">
        <v>1639</v>
      </c>
      <c r="D115" s="1182" t="s">
        <v>2590</v>
      </c>
      <c r="E115" s="1182" t="s">
        <v>2591</v>
      </c>
      <c r="F115" s="1182" t="s">
        <v>2912</v>
      </c>
      <c r="G115" s="1182" t="s">
        <v>2912</v>
      </c>
      <c r="H115" s="1188" t="s">
        <v>4689</v>
      </c>
      <c r="I115" s="1182" t="s">
        <v>2933</v>
      </c>
      <c r="J115" s="1182" t="s">
        <v>4690</v>
      </c>
      <c r="K115" s="1182" t="s">
        <v>1811</v>
      </c>
      <c r="L115" s="1182" t="s">
        <v>1812</v>
      </c>
      <c r="M115" s="1182" t="s">
        <v>1803</v>
      </c>
      <c r="N115" s="1182" t="s">
        <v>4453</v>
      </c>
      <c r="O115" s="1182" t="s">
        <v>1654</v>
      </c>
      <c r="P115" s="1182" t="s">
        <v>1653</v>
      </c>
      <c r="Q115" s="1182" t="s">
        <v>1452</v>
      </c>
      <c r="R115" s="1182" t="s">
        <v>1452</v>
      </c>
      <c r="S115" s="1182" t="s">
        <v>1639</v>
      </c>
      <c r="T115" s="1182" t="s">
        <v>4454</v>
      </c>
      <c r="U115" s="1182" t="s">
        <v>4455</v>
      </c>
      <c r="V115" s="1182">
        <v>0</v>
      </c>
      <c r="W115" s="1182">
        <v>0</v>
      </c>
      <c r="X115" s="1182">
        <v>0</v>
      </c>
      <c r="Y115" s="1182">
        <v>24551</v>
      </c>
      <c r="Z115" s="1182" t="s">
        <v>4456</v>
      </c>
      <c r="AA115" s="1182" t="s">
        <v>1452</v>
      </c>
      <c r="AB115" s="1182">
        <v>24551</v>
      </c>
      <c r="AC115" s="1182" t="s">
        <v>4288</v>
      </c>
      <c r="AD115" s="1182" t="s">
        <v>4289</v>
      </c>
      <c r="AE115" s="1182">
        <v>24551</v>
      </c>
      <c r="AF115" s="1182" t="s">
        <v>4437</v>
      </c>
      <c r="AG115" s="1182" t="s">
        <v>1820</v>
      </c>
      <c r="AH115" s="1182">
        <v>2231</v>
      </c>
      <c r="AI115" s="1182">
        <v>22320</v>
      </c>
      <c r="AJ115" s="1182" t="s">
        <v>1639</v>
      </c>
      <c r="AL115" s="1182" t="s">
        <v>4691</v>
      </c>
      <c r="AM115" s="1182">
        <v>1</v>
      </c>
      <c r="AN115" s="1182">
        <v>0</v>
      </c>
      <c r="AO115" s="1182">
        <v>0</v>
      </c>
      <c r="AP115" s="1555">
        <v>0</v>
      </c>
      <c r="AQ115" s="1182" t="s">
        <v>1639</v>
      </c>
      <c r="AS115" s="1555" t="s">
        <v>4437</v>
      </c>
      <c r="AT115" s="1555" t="s">
        <v>1820</v>
      </c>
      <c r="AV115" s="1183">
        <v>0</v>
      </c>
      <c r="AW115" s="1183">
        <v>0</v>
      </c>
      <c r="AX115" s="1183">
        <v>0</v>
      </c>
      <c r="AY115" s="1540">
        <v>0</v>
      </c>
      <c r="AZ115" s="1183">
        <v>0</v>
      </c>
      <c r="BA115" s="1183">
        <v>24551</v>
      </c>
      <c r="BB115" s="1540">
        <v>24551</v>
      </c>
      <c r="BC115" s="1540">
        <v>24551</v>
      </c>
      <c r="BD115" s="1540">
        <v>0</v>
      </c>
      <c r="BF115" s="1540">
        <f t="shared" si="43"/>
        <v>0</v>
      </c>
      <c r="BG115" s="1540">
        <f t="shared" si="44"/>
        <v>0</v>
      </c>
      <c r="BH115" s="1540">
        <f t="shared" si="45"/>
        <v>0</v>
      </c>
      <c r="BI115" s="1540">
        <f t="shared" si="46"/>
        <v>0</v>
      </c>
      <c r="BJ115" s="1540">
        <f t="shared" si="47"/>
        <v>0</v>
      </c>
      <c r="BK115" s="1540">
        <f t="shared" si="48"/>
        <v>22319</v>
      </c>
      <c r="BL115" s="1540">
        <f t="shared" si="49"/>
        <v>22319</v>
      </c>
      <c r="BM115" s="1540">
        <f t="shared" si="50"/>
        <v>22319</v>
      </c>
      <c r="BO115" s="1182">
        <f t="shared" si="51"/>
        <v>0</v>
      </c>
      <c r="BP115" s="1182">
        <f t="shared" si="52"/>
        <v>0</v>
      </c>
      <c r="BQ115" s="1182">
        <f t="shared" si="53"/>
        <v>0</v>
      </c>
      <c r="BR115" s="1182">
        <f t="shared" si="54"/>
        <v>0</v>
      </c>
      <c r="BS115" s="1182">
        <f t="shared" si="55"/>
        <v>0</v>
      </c>
      <c r="BT115" s="1182">
        <f t="shared" si="56"/>
        <v>9.0909090908098733E-2</v>
      </c>
      <c r="BU115" s="1182">
        <f t="shared" si="57"/>
        <v>9.0909090908098733E-2</v>
      </c>
    </row>
    <row r="116" spans="1:73">
      <c r="A116" s="1182" t="s">
        <v>3765</v>
      </c>
      <c r="B116" s="1182" t="s">
        <v>1804</v>
      </c>
      <c r="C116" s="1182" t="s">
        <v>1639</v>
      </c>
      <c r="D116" s="1182" t="s">
        <v>2590</v>
      </c>
      <c r="E116" s="1182" t="s">
        <v>2591</v>
      </c>
      <c r="F116" s="1182" t="s">
        <v>2266</v>
      </c>
      <c r="G116" s="1182" t="s">
        <v>2266</v>
      </c>
      <c r="H116" s="1188" t="s">
        <v>4692</v>
      </c>
      <c r="I116" s="1182" t="s">
        <v>2933</v>
      </c>
      <c r="J116" s="1182" t="s">
        <v>4693</v>
      </c>
      <c r="K116" s="1182" t="s">
        <v>1811</v>
      </c>
      <c r="L116" s="1182" t="s">
        <v>1812</v>
      </c>
      <c r="M116" s="1182" t="s">
        <v>1803</v>
      </c>
      <c r="N116" s="1182" t="s">
        <v>4453</v>
      </c>
      <c r="O116" s="1182" t="s">
        <v>1654</v>
      </c>
      <c r="P116" s="1182" t="s">
        <v>1653</v>
      </c>
      <c r="Q116" s="1182" t="s">
        <v>1452</v>
      </c>
      <c r="R116" s="1182" t="s">
        <v>1452</v>
      </c>
      <c r="S116" s="1182" t="s">
        <v>1639</v>
      </c>
      <c r="T116" s="1182" t="s">
        <v>4694</v>
      </c>
      <c r="U116" s="1182" t="s">
        <v>4695</v>
      </c>
      <c r="V116" s="1182">
        <v>0</v>
      </c>
      <c r="W116" s="1182">
        <v>0</v>
      </c>
      <c r="X116" s="1182">
        <v>0</v>
      </c>
      <c r="Y116" s="1182">
        <v>160124</v>
      </c>
      <c r="Z116" s="1182" t="s">
        <v>4456</v>
      </c>
      <c r="AA116" s="1182" t="s">
        <v>1452</v>
      </c>
      <c r="AB116" s="1182">
        <v>160124</v>
      </c>
      <c r="AC116" s="1182" t="s">
        <v>4288</v>
      </c>
      <c r="AD116" s="1182" t="s">
        <v>4289</v>
      </c>
      <c r="AE116" s="1182">
        <v>160124</v>
      </c>
      <c r="AF116" s="1182" t="s">
        <v>4437</v>
      </c>
      <c r="AG116" s="1182" t="s">
        <v>1820</v>
      </c>
      <c r="AH116" s="1182">
        <v>14556</v>
      </c>
      <c r="AI116" s="1182">
        <v>145568</v>
      </c>
      <c r="AJ116" s="1182" t="s">
        <v>1639</v>
      </c>
      <c r="AL116" s="1182" t="s">
        <v>4696</v>
      </c>
      <c r="AM116" s="1182">
        <v>1</v>
      </c>
      <c r="AN116" s="1182">
        <v>0</v>
      </c>
      <c r="AO116" s="1182">
        <v>0</v>
      </c>
      <c r="AP116" s="1555">
        <v>0</v>
      </c>
      <c r="AQ116" s="1182" t="s">
        <v>1639</v>
      </c>
      <c r="AS116" s="1555" t="s">
        <v>4437</v>
      </c>
      <c r="AT116" s="1555" t="s">
        <v>1820</v>
      </c>
      <c r="AV116" s="1183">
        <v>0</v>
      </c>
      <c r="AW116" s="1183">
        <v>0</v>
      </c>
      <c r="AX116" s="1183">
        <v>0</v>
      </c>
      <c r="AY116" s="1540">
        <v>0</v>
      </c>
      <c r="AZ116" s="1183">
        <v>0</v>
      </c>
      <c r="BA116" s="1183">
        <v>160124</v>
      </c>
      <c r="BB116" s="1540">
        <v>160124</v>
      </c>
      <c r="BC116" s="1540">
        <v>160124</v>
      </c>
      <c r="BD116" s="1540">
        <v>0</v>
      </c>
      <c r="BF116" s="1540">
        <f t="shared" si="43"/>
        <v>0</v>
      </c>
      <c r="BG116" s="1540">
        <f t="shared" si="44"/>
        <v>0</v>
      </c>
      <c r="BH116" s="1540">
        <f t="shared" si="45"/>
        <v>0</v>
      </c>
      <c r="BI116" s="1540">
        <f t="shared" si="46"/>
        <v>0</v>
      </c>
      <c r="BJ116" s="1540">
        <f t="shared" si="47"/>
        <v>0</v>
      </c>
      <c r="BK116" s="1540">
        <f t="shared" si="48"/>
        <v>145567</v>
      </c>
      <c r="BL116" s="1540">
        <f t="shared" si="49"/>
        <v>145567</v>
      </c>
      <c r="BM116" s="1540">
        <f t="shared" si="50"/>
        <v>145567</v>
      </c>
      <c r="BO116" s="1182">
        <f t="shared" si="51"/>
        <v>0</v>
      </c>
      <c r="BP116" s="1182">
        <f t="shared" si="52"/>
        <v>0</v>
      </c>
      <c r="BQ116" s="1182">
        <f t="shared" si="53"/>
        <v>0</v>
      </c>
      <c r="BR116" s="1182">
        <f t="shared" si="54"/>
        <v>0</v>
      </c>
      <c r="BS116" s="1182">
        <f t="shared" si="55"/>
        <v>0</v>
      </c>
      <c r="BT116" s="1182">
        <f t="shared" si="56"/>
        <v>0.27272727273521014</v>
      </c>
      <c r="BU116" s="1182">
        <f t="shared" si="57"/>
        <v>0.27272727273521014</v>
      </c>
    </row>
    <row r="117" spans="1:73">
      <c r="A117" s="1182" t="s">
        <v>3049</v>
      </c>
      <c r="B117" s="1182" t="s">
        <v>1804</v>
      </c>
      <c r="C117" s="1182" t="s">
        <v>1639</v>
      </c>
      <c r="D117" s="1182" t="s">
        <v>2590</v>
      </c>
      <c r="E117" s="1182" t="s">
        <v>2591</v>
      </c>
      <c r="F117" s="1182" t="s">
        <v>2266</v>
      </c>
      <c r="G117" s="1182" t="s">
        <v>2266</v>
      </c>
      <c r="H117" s="1188" t="s">
        <v>4697</v>
      </c>
      <c r="I117" s="1182" t="s">
        <v>2933</v>
      </c>
      <c r="J117" s="1182" t="s">
        <v>4698</v>
      </c>
      <c r="K117" s="1182" t="s">
        <v>1811</v>
      </c>
      <c r="L117" s="1182" t="s">
        <v>1812</v>
      </c>
      <c r="M117" s="1182" t="s">
        <v>1803</v>
      </c>
      <c r="N117" s="1182" t="s">
        <v>4453</v>
      </c>
      <c r="O117" s="1182" t="s">
        <v>1654</v>
      </c>
      <c r="P117" s="1182" t="s">
        <v>1653</v>
      </c>
      <c r="Q117" s="1182" t="s">
        <v>1452</v>
      </c>
      <c r="R117" s="1182" t="s">
        <v>1452</v>
      </c>
      <c r="S117" s="1182" t="s">
        <v>1639</v>
      </c>
      <c r="T117" s="1182" t="s">
        <v>4699</v>
      </c>
      <c r="U117" s="1182" t="s">
        <v>4700</v>
      </c>
      <c r="V117" s="1182">
        <v>0</v>
      </c>
      <c r="W117" s="1182">
        <v>0</v>
      </c>
      <c r="X117" s="1182">
        <v>0</v>
      </c>
      <c r="Y117" s="1182">
        <v>35499</v>
      </c>
      <c r="Z117" s="1182" t="s">
        <v>4456</v>
      </c>
      <c r="AA117" s="1182" t="s">
        <v>1452</v>
      </c>
      <c r="AB117" s="1182">
        <v>35499</v>
      </c>
      <c r="AC117" s="1182" t="s">
        <v>4288</v>
      </c>
      <c r="AD117" s="1182" t="s">
        <v>4289</v>
      </c>
      <c r="AE117" s="1182">
        <v>35499</v>
      </c>
      <c r="AF117" s="1182" t="s">
        <v>4437</v>
      </c>
      <c r="AG117" s="1182" t="s">
        <v>1820</v>
      </c>
      <c r="AH117" s="1182">
        <v>3227</v>
      </c>
      <c r="AI117" s="1182">
        <v>32272</v>
      </c>
      <c r="AJ117" s="1182" t="s">
        <v>1639</v>
      </c>
      <c r="AL117" s="1182" t="s">
        <v>4701</v>
      </c>
      <c r="AM117" s="1182">
        <v>1</v>
      </c>
      <c r="AN117" s="1182">
        <v>0</v>
      </c>
      <c r="AO117" s="1182">
        <v>0</v>
      </c>
      <c r="AP117" s="1555">
        <v>0</v>
      </c>
      <c r="AQ117" s="1182" t="s">
        <v>1639</v>
      </c>
      <c r="AS117" s="1555" t="s">
        <v>4437</v>
      </c>
      <c r="AT117" s="1555" t="s">
        <v>1820</v>
      </c>
      <c r="AV117" s="1183">
        <v>0</v>
      </c>
      <c r="AW117" s="1183">
        <v>0</v>
      </c>
      <c r="AX117" s="1183">
        <v>0</v>
      </c>
      <c r="AY117" s="1540">
        <v>0</v>
      </c>
      <c r="AZ117" s="1183">
        <v>0</v>
      </c>
      <c r="BA117" s="1183">
        <v>35499</v>
      </c>
      <c r="BB117" s="1540">
        <v>35499</v>
      </c>
      <c r="BC117" s="1540">
        <v>35499</v>
      </c>
      <c r="BD117" s="1540">
        <v>0</v>
      </c>
      <c r="BF117" s="1540">
        <f t="shared" si="43"/>
        <v>0</v>
      </c>
      <c r="BG117" s="1540">
        <f t="shared" si="44"/>
        <v>0</v>
      </c>
      <c r="BH117" s="1540">
        <f t="shared" si="45"/>
        <v>0</v>
      </c>
      <c r="BI117" s="1540">
        <f t="shared" si="46"/>
        <v>0</v>
      </c>
      <c r="BJ117" s="1540">
        <f t="shared" si="47"/>
        <v>0</v>
      </c>
      <c r="BK117" s="1540">
        <f t="shared" si="48"/>
        <v>32272</v>
      </c>
      <c r="BL117" s="1540">
        <f t="shared" si="49"/>
        <v>32272</v>
      </c>
      <c r="BM117" s="1540">
        <f t="shared" si="50"/>
        <v>32272</v>
      </c>
      <c r="BO117" s="1182">
        <f t="shared" si="51"/>
        <v>0</v>
      </c>
      <c r="BP117" s="1182">
        <f t="shared" si="52"/>
        <v>0</v>
      </c>
      <c r="BQ117" s="1182">
        <f t="shared" si="53"/>
        <v>0</v>
      </c>
      <c r="BR117" s="1182">
        <f t="shared" si="54"/>
        <v>0</v>
      </c>
      <c r="BS117" s="1182">
        <f t="shared" si="55"/>
        <v>0</v>
      </c>
      <c r="BT117" s="1182">
        <f t="shared" si="56"/>
        <v>-0.18181818181983544</v>
      </c>
      <c r="BU117" s="1182">
        <f t="shared" si="57"/>
        <v>-0.18181818181983544</v>
      </c>
    </row>
    <row r="118" spans="1:73" hidden="1">
      <c r="A118" s="1182" t="s">
        <v>1803</v>
      </c>
      <c r="B118" s="1182" t="s">
        <v>1804</v>
      </c>
      <c r="C118" s="1182" t="s">
        <v>1639</v>
      </c>
      <c r="D118" s="1182" t="s">
        <v>2866</v>
      </c>
      <c r="E118" s="1182" t="s">
        <v>2867</v>
      </c>
      <c r="F118" s="1182" t="s">
        <v>4702</v>
      </c>
      <c r="G118" s="1182" t="s">
        <v>2661</v>
      </c>
      <c r="H118" s="1182" t="s">
        <v>4703</v>
      </c>
      <c r="I118" s="1182" t="s">
        <v>4640</v>
      </c>
      <c r="J118" s="1182" t="s">
        <v>4704</v>
      </c>
      <c r="K118" s="1182" t="s">
        <v>1811</v>
      </c>
      <c r="L118" s="1182" t="s">
        <v>1812</v>
      </c>
      <c r="M118" s="1182" t="s">
        <v>1803</v>
      </c>
      <c r="N118" s="1182" t="s">
        <v>4453</v>
      </c>
      <c r="O118" s="1182" t="s">
        <v>1654</v>
      </c>
      <c r="P118" s="1182" t="s">
        <v>1653</v>
      </c>
      <c r="Q118" s="1182" t="s">
        <v>1452</v>
      </c>
      <c r="R118" s="1182" t="s">
        <v>1452</v>
      </c>
      <c r="S118" s="1182" t="s">
        <v>1639</v>
      </c>
      <c r="T118" s="1182" t="s">
        <v>4642</v>
      </c>
      <c r="U118" s="1182" t="s">
        <v>4643</v>
      </c>
      <c r="V118" s="1182">
        <v>0</v>
      </c>
      <c r="W118" s="1182">
        <v>0</v>
      </c>
      <c r="X118" s="1182">
        <v>0</v>
      </c>
      <c r="Y118" s="1182">
        <v>1275</v>
      </c>
      <c r="Z118" s="1182" t="s">
        <v>4456</v>
      </c>
      <c r="AA118" s="1182" t="s">
        <v>1452</v>
      </c>
      <c r="AB118" s="1182">
        <v>1275</v>
      </c>
      <c r="AC118" s="1182" t="s">
        <v>1940</v>
      </c>
      <c r="AD118" s="1182" t="s">
        <v>1941</v>
      </c>
      <c r="AE118" s="1182">
        <v>1275</v>
      </c>
      <c r="AF118" s="1182" t="s">
        <v>1943</v>
      </c>
      <c r="AG118" s="1182" t="s">
        <v>1944</v>
      </c>
      <c r="AH118" s="1182">
        <v>0</v>
      </c>
      <c r="AI118" s="1182">
        <v>1275</v>
      </c>
      <c r="AJ118" s="1182" t="s">
        <v>4644</v>
      </c>
      <c r="AL118" s="1182" t="s">
        <v>4705</v>
      </c>
      <c r="AM118" s="1182">
        <v>1</v>
      </c>
      <c r="AN118" s="1182">
        <v>0</v>
      </c>
      <c r="AO118" s="1182">
        <v>0</v>
      </c>
      <c r="AP118" s="1555">
        <v>0</v>
      </c>
      <c r="AQ118" s="1182" t="s">
        <v>1639</v>
      </c>
      <c r="AS118" s="1555" t="s">
        <v>1943</v>
      </c>
      <c r="AT118" s="1555" t="s">
        <v>1944</v>
      </c>
      <c r="AV118" s="1183">
        <v>638</v>
      </c>
      <c r="AW118" s="1183">
        <v>0</v>
      </c>
      <c r="AX118" s="1183">
        <v>0</v>
      </c>
      <c r="AY118" s="1540">
        <v>638</v>
      </c>
      <c r="AZ118" s="1183">
        <v>0</v>
      </c>
      <c r="BA118" s="1183">
        <v>637</v>
      </c>
      <c r="BB118" s="1540">
        <v>637</v>
      </c>
      <c r="BC118" s="1540">
        <v>1275</v>
      </c>
      <c r="BD118" s="1540">
        <v>0</v>
      </c>
      <c r="BF118" s="1540">
        <f t="shared" si="43"/>
        <v>638</v>
      </c>
      <c r="BG118" s="1540">
        <f t="shared" si="44"/>
        <v>0</v>
      </c>
      <c r="BH118" s="1540">
        <f t="shared" si="45"/>
        <v>0</v>
      </c>
      <c r="BI118" s="1540">
        <f t="shared" si="46"/>
        <v>638</v>
      </c>
      <c r="BJ118" s="1540">
        <f t="shared" si="47"/>
        <v>0</v>
      </c>
      <c r="BK118" s="1540">
        <f t="shared" si="48"/>
        <v>637</v>
      </c>
      <c r="BL118" s="1540">
        <f t="shared" si="49"/>
        <v>637</v>
      </c>
      <c r="BM118" s="1540">
        <f t="shared" si="50"/>
        <v>1275</v>
      </c>
      <c r="BO118" s="1182">
        <f t="shared" si="51"/>
        <v>0</v>
      </c>
      <c r="BP118" s="1182">
        <f t="shared" si="52"/>
        <v>0</v>
      </c>
      <c r="BQ118" s="1182">
        <f t="shared" si="53"/>
        <v>0</v>
      </c>
      <c r="BR118" s="1182">
        <f t="shared" si="54"/>
        <v>0</v>
      </c>
      <c r="BS118" s="1182">
        <f t="shared" si="55"/>
        <v>0</v>
      </c>
      <c r="BT118" s="1182">
        <f t="shared" si="56"/>
        <v>0</v>
      </c>
      <c r="BU118" s="1182">
        <f t="shared" si="57"/>
        <v>0</v>
      </c>
    </row>
    <row r="119" spans="1:73">
      <c r="AY119" s="1540"/>
      <c r="BB119" s="1540"/>
      <c r="BC119" s="1540"/>
      <c r="BD119" s="1540"/>
      <c r="BF119" s="1540"/>
      <c r="BG119" s="1540"/>
      <c r="BH119" s="1540"/>
      <c r="BI119" s="1540"/>
      <c r="BJ119" s="1540"/>
      <c r="BK119" s="1540"/>
      <c r="BL119" s="1540"/>
      <c r="BM119" s="1540"/>
    </row>
    <row r="120" spans="1:73">
      <c r="AY120" s="1540"/>
      <c r="BB120" s="1540"/>
      <c r="BC120" s="1540"/>
      <c r="BD120" s="1540"/>
      <c r="BF120" s="1540"/>
      <c r="BG120" s="1540"/>
      <c r="BH120" s="1540"/>
      <c r="BI120" s="1540"/>
      <c r="BJ120" s="1540"/>
      <c r="BK120" s="1540"/>
      <c r="BL120" s="1540"/>
      <c r="BM120" s="1540"/>
    </row>
    <row r="121" spans="1:73">
      <c r="AY121" s="1540"/>
      <c r="BB121" s="1540"/>
      <c r="BC121" s="1540"/>
      <c r="BD121" s="1540"/>
      <c r="BF121" s="1540"/>
      <c r="BG121" s="1540"/>
      <c r="BH121" s="1540"/>
      <c r="BI121" s="1540"/>
      <c r="BJ121" s="1540"/>
      <c r="BK121" s="1540"/>
      <c r="BL121" s="1540"/>
      <c r="BM121" s="1540"/>
    </row>
    <row r="122" spans="1:73">
      <c r="AY122" s="1540"/>
      <c r="BB122" s="1540"/>
      <c r="BC122" s="1540"/>
      <c r="BD122" s="1540"/>
      <c r="BF122" s="1540"/>
      <c r="BG122" s="1540"/>
      <c r="BH122" s="1540"/>
      <c r="BI122" s="1540"/>
      <c r="BJ122" s="1540"/>
      <c r="BK122" s="1540"/>
      <c r="BL122" s="1540"/>
      <c r="BM122" s="1540"/>
    </row>
    <row r="123" spans="1:73">
      <c r="AY123" s="1540"/>
      <c r="BB123" s="1540"/>
      <c r="BC123" s="1540"/>
      <c r="BD123" s="1540"/>
      <c r="BF123" s="1540"/>
      <c r="BG123" s="1540"/>
      <c r="BH123" s="1540"/>
      <c r="BI123" s="1540"/>
      <c r="BJ123" s="1540"/>
      <c r="BK123" s="1540"/>
      <c r="BL123" s="1540"/>
      <c r="BM123" s="1540"/>
    </row>
    <row r="124" spans="1:73">
      <c r="AY124" s="1540"/>
      <c r="BB124" s="1540"/>
      <c r="BC124" s="1540"/>
      <c r="BD124" s="1540"/>
      <c r="BF124" s="1540"/>
      <c r="BG124" s="1540"/>
      <c r="BH124" s="1540"/>
      <c r="BI124" s="1540"/>
      <c r="BJ124" s="1540"/>
      <c r="BK124" s="1540"/>
      <c r="BL124" s="1540"/>
      <c r="BM124" s="1540"/>
    </row>
    <row r="125" spans="1:73">
      <c r="AY125" s="1540"/>
      <c r="BB125" s="1540"/>
      <c r="BC125" s="1540"/>
      <c r="BD125" s="1540"/>
      <c r="BF125" s="1540"/>
      <c r="BG125" s="1540"/>
      <c r="BH125" s="1540"/>
      <c r="BI125" s="1540"/>
      <c r="BJ125" s="1540"/>
      <c r="BK125" s="1540"/>
      <c r="BL125" s="1540"/>
      <c r="BM125" s="1540"/>
    </row>
    <row r="126" spans="1:73">
      <c r="AY126" s="1540"/>
      <c r="BB126" s="1540"/>
      <c r="BC126" s="1540"/>
      <c r="BD126" s="1540"/>
      <c r="BF126" s="1540"/>
      <c r="BG126" s="1540"/>
      <c r="BH126" s="1540"/>
      <c r="BI126" s="1540"/>
      <c r="BJ126" s="1540"/>
      <c r="BK126" s="1540"/>
      <c r="BL126" s="1540"/>
      <c r="BM126" s="1540"/>
    </row>
    <row r="127" spans="1:73">
      <c r="AY127" s="1540"/>
      <c r="BB127" s="1540"/>
      <c r="BC127" s="1540"/>
      <c r="BD127" s="1540"/>
      <c r="BF127" s="1540"/>
      <c r="BG127" s="1540"/>
      <c r="BH127" s="1540"/>
      <c r="BI127" s="1540"/>
      <c r="BJ127" s="1540"/>
      <c r="BK127" s="1540"/>
      <c r="BL127" s="1540"/>
      <c r="BM127" s="1540"/>
    </row>
    <row r="128" spans="1:73">
      <c r="AY128" s="1540"/>
      <c r="BB128" s="1540"/>
      <c r="BC128" s="1540"/>
      <c r="BD128" s="1540"/>
      <c r="BF128" s="1540"/>
      <c r="BG128" s="1540"/>
      <c r="BH128" s="1540"/>
      <c r="BI128" s="1540"/>
      <c r="BJ128" s="1540"/>
      <c r="BK128" s="1540"/>
      <c r="BL128" s="1540"/>
      <c r="BM128" s="1540"/>
    </row>
    <row r="129" spans="51:65">
      <c r="AY129" s="1540"/>
      <c r="BB129" s="1540"/>
      <c r="BC129" s="1540"/>
      <c r="BD129" s="1540"/>
      <c r="BF129" s="1540"/>
      <c r="BG129" s="1540"/>
      <c r="BH129" s="1540"/>
      <c r="BI129" s="1540"/>
      <c r="BJ129" s="1540"/>
      <c r="BK129" s="1540"/>
      <c r="BL129" s="1540"/>
      <c r="BM129" s="1540"/>
    </row>
    <row r="130" spans="51:65">
      <c r="AY130" s="1540"/>
      <c r="BB130" s="1540"/>
      <c r="BC130" s="1540"/>
      <c r="BD130" s="1540"/>
      <c r="BF130" s="1540"/>
      <c r="BG130" s="1540"/>
      <c r="BH130" s="1540"/>
      <c r="BI130" s="1540"/>
      <c r="BJ130" s="1540"/>
      <c r="BK130" s="1540"/>
      <c r="BL130" s="1540"/>
      <c r="BM130" s="1540"/>
    </row>
    <row r="131" spans="51:65">
      <c r="AY131" s="1540"/>
      <c r="BB131" s="1540"/>
      <c r="BC131" s="1540"/>
      <c r="BD131" s="1540"/>
      <c r="BF131" s="1540"/>
      <c r="BG131" s="1540"/>
      <c r="BH131" s="1540"/>
      <c r="BI131" s="1540"/>
      <c r="BJ131" s="1540"/>
      <c r="BK131" s="1540"/>
      <c r="BL131" s="1540"/>
      <c r="BM131" s="1540"/>
    </row>
    <row r="132" spans="51:65">
      <c r="AY132" s="1540"/>
      <c r="BB132" s="1540"/>
      <c r="BC132" s="1540"/>
      <c r="BD132" s="1540"/>
      <c r="BF132" s="1540"/>
      <c r="BG132" s="1540"/>
      <c r="BH132" s="1540"/>
      <c r="BI132" s="1540"/>
      <c r="BJ132" s="1540"/>
      <c r="BK132" s="1540"/>
      <c r="BL132" s="1540"/>
      <c r="BM132" s="1540"/>
    </row>
    <row r="133" spans="51:65">
      <c r="AY133" s="1540"/>
      <c r="BB133" s="1540"/>
      <c r="BC133" s="1540"/>
      <c r="BD133" s="1540"/>
      <c r="BF133" s="1540"/>
      <c r="BG133" s="1540"/>
      <c r="BH133" s="1540"/>
      <c r="BI133" s="1540"/>
      <c r="BJ133" s="1540"/>
      <c r="BK133" s="1540"/>
      <c r="BL133" s="1540"/>
      <c r="BM133" s="1540"/>
    </row>
    <row r="134" spans="51:65">
      <c r="AY134" s="1540"/>
      <c r="BB134" s="1540"/>
      <c r="BC134" s="1540"/>
      <c r="BD134" s="1540"/>
      <c r="BF134" s="1540"/>
      <c r="BG134" s="1540"/>
      <c r="BH134" s="1540"/>
      <c r="BI134" s="1540"/>
      <c r="BJ134" s="1540"/>
      <c r="BK134" s="1540"/>
      <c r="BL134" s="1540"/>
      <c r="BM134" s="1540"/>
    </row>
    <row r="135" spans="51:65">
      <c r="AY135" s="1540"/>
      <c r="BB135" s="1540"/>
      <c r="BC135" s="1540"/>
      <c r="BD135" s="1540"/>
      <c r="BF135" s="1540"/>
      <c r="BG135" s="1540"/>
      <c r="BH135" s="1540"/>
      <c r="BI135" s="1540"/>
      <c r="BJ135" s="1540"/>
      <c r="BK135" s="1540"/>
      <c r="BL135" s="1540"/>
      <c r="BM135" s="1540"/>
    </row>
  </sheetData>
  <autoFilter ref="A12:BU118">
    <filterColumn colId="7">
      <colorFilter dxfId="467"/>
    </filterColumn>
  </autoFilter>
  <sortState ref="A13:BS249">
    <sortCondition ref="N13:N249"/>
    <sortCondition ref="D13:D249"/>
    <sortCondition ref="H13:H249"/>
    <sortCondition ref="A13:A249"/>
    <sortCondition ref="G13:G249"/>
  </sortState>
  <mergeCells count="13">
    <mergeCell ref="BN1:BN2"/>
    <mergeCell ref="BO1:BO2"/>
    <mergeCell ref="BJ11:BL11"/>
    <mergeCell ref="BF11:BI11"/>
    <mergeCell ref="AV1:AY1"/>
    <mergeCell ref="AZ1:BB1"/>
    <mergeCell ref="BM1:BM2"/>
    <mergeCell ref="AV11:AY11"/>
    <mergeCell ref="AZ11:BB11"/>
    <mergeCell ref="BC1:BC2"/>
    <mergeCell ref="BD1:BD2"/>
    <mergeCell ref="BF1:BI1"/>
    <mergeCell ref="BJ1:BL1"/>
  </mergeCells>
  <phoneticPr fontId="2"/>
  <conditionalFormatting sqref="BD3:BD9 BN1:BN8 BD136:BD1048576">
    <cfRule type="cellIs" dxfId="466" priority="12" operator="notEqual">
      <formula>0</formula>
    </cfRule>
  </conditionalFormatting>
  <conditionalFormatting sqref="BD1:BD2">
    <cfRule type="cellIs" dxfId="465" priority="11" operator="notEqual">
      <formula>0</formula>
    </cfRule>
  </conditionalFormatting>
  <conditionalFormatting sqref="BD11:BD12">
    <cfRule type="cellIs" dxfId="464" priority="10" operator="notEqual">
      <formula>0</formula>
    </cfRule>
  </conditionalFormatting>
  <conditionalFormatting sqref="BD119:BD135">
    <cfRule type="cellIs" dxfId="463" priority="7" operator="notEqual">
      <formula>0</formula>
    </cfRule>
  </conditionalFormatting>
  <conditionalFormatting sqref="BD119:BD135">
    <cfRule type="cellIs" dxfId="462" priority="5" operator="notEqual">
      <formula>0</formula>
    </cfRule>
  </conditionalFormatting>
  <conditionalFormatting sqref="BD13:BD116">
    <cfRule type="cellIs" dxfId="461" priority="4" operator="notEqual">
      <formula>0</formula>
    </cfRule>
  </conditionalFormatting>
  <conditionalFormatting sqref="BD13:BD116">
    <cfRule type="cellIs" dxfId="460" priority="3" operator="notEqual">
      <formula>0</formula>
    </cfRule>
  </conditionalFormatting>
  <conditionalFormatting sqref="BD117:BD118">
    <cfRule type="cellIs" dxfId="459" priority="2" operator="notEqual">
      <formula>0</formula>
    </cfRule>
  </conditionalFormatting>
  <conditionalFormatting sqref="BD117:BD118">
    <cfRule type="cellIs" dxfId="458" priority="1" operator="notEqual">
      <formula>0</formula>
    </cfRule>
  </conditionalFormatting>
  <pageMargins left="0.7" right="0.7" top="0.75" bottom="0.75" header="0.3" footer="0.3"/>
  <pageSetup paperSize="9" orientation="portrait" r:id="rId1"/>
</worksheet>
</file>

<file path=xl/worksheets/w5_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AZ252"/>
  <sheetViews>
    <sheetView zoomScale="85" zoomScaleNormal="85" workbookViewId="0">
      <pane xSplit="8" topLeftCell="I1" activePane="topRight" state="frozen"/>
      <selection pane="topRight" activeCell="R35" sqref="R35"/>
    </sheetView>
  </sheetViews>
  <sheetFormatPr defaultColWidth="9" defaultRowHeight="13.5" outlineLevelCol="1"/>
  <cols>
    <col min="1" max="1" width="3.375" style="1182" customWidth="1"/>
    <col min="2" max="4" width="2" style="1182" customWidth="1" outlineLevel="1"/>
    <col min="5" max="5" width="5.625" style="1182" customWidth="1"/>
    <col min="6" max="7" width="2" style="1182" customWidth="1" outlineLevel="1"/>
    <col min="8" max="8" width="20.125" style="1182" customWidth="1"/>
    <col min="9" max="9" width="9" style="1182" customWidth="1" outlineLevel="1"/>
    <col min="10" max="12" width="3.75" style="1182" customWidth="1" outlineLevel="1"/>
    <col min="13" max="13" width="4.25" style="1182" customWidth="1" outlineLevel="1"/>
    <col min="14" max="14" width="4.125" style="1182" customWidth="1"/>
    <col min="15" max="15" width="3.625" style="1182" customWidth="1"/>
    <col min="16" max="16" width="5.75" style="1182" customWidth="1"/>
    <col min="17" max="18" width="9" style="1182"/>
    <col min="19" max="19" width="4.25" style="1182" customWidth="1"/>
    <col min="20" max="20" width="6.375" style="1182" customWidth="1" outlineLevel="1"/>
    <col min="21" max="24" width="9" style="1182" customWidth="1" outlineLevel="1"/>
    <col min="25" max="25" width="9.25" style="1182" bestFit="1" customWidth="1"/>
    <col min="26" max="26" width="4.25" style="1182" customWidth="1" outlineLevel="1"/>
    <col min="27" max="27" width="9" style="1182" customWidth="1" outlineLevel="1"/>
    <col min="28" max="28" width="7.875" style="1182" customWidth="1" outlineLevel="1"/>
    <col min="29" max="29" width="4.25" style="1182" customWidth="1" outlineLevel="1"/>
    <col min="30" max="30" width="9" style="1182" customWidth="1" outlineLevel="1"/>
    <col min="31" max="31" width="7.875" style="1182" customWidth="1" outlineLevel="1"/>
    <col min="32" max="32" width="8" style="1182" customWidth="1" outlineLevel="1"/>
    <col min="33" max="33" width="5.75" style="1182" customWidth="1" outlineLevel="1"/>
    <col min="34" max="34" width="7.375" style="1182" bestFit="1" customWidth="1" outlineLevel="1"/>
    <col min="35" max="38" width="9" style="1182" customWidth="1" outlineLevel="1"/>
    <col min="39" max="39" width="6.125" style="1182" customWidth="1" outlineLevel="1"/>
    <col min="40" max="41" width="9" style="1182" customWidth="1" outlineLevel="1"/>
    <col min="42" max="43" width="7.375" style="1182" bestFit="1" customWidth="1" outlineLevel="1"/>
    <col min="44" max="44" width="3.75" style="1182" customWidth="1" outlineLevel="1"/>
    <col min="45" max="16384" width="9" style="1182"/>
  </cols>
  <sheetData>
    <row r="1" spans="1:52" ht="13.5" customHeight="1">
      <c r="R1" s="1195" t="s">
        <v>1667</v>
      </c>
    </row>
    <row r="2" spans="1:52">
      <c r="AU2" s="1202" t="s">
        <v>1673</v>
      </c>
      <c r="AV2" s="1202"/>
      <c r="AW2" s="1202"/>
      <c r="AX2" s="1202"/>
      <c r="AY2" s="1202"/>
    </row>
    <row r="3" spans="1:52">
      <c r="Y3" s="1182" t="s">
        <v>1672</v>
      </c>
      <c r="AU3" s="1201">
        <v>3</v>
      </c>
      <c r="AV3" s="1201">
        <v>5</v>
      </c>
      <c r="AW3" s="1201">
        <v>8</v>
      </c>
      <c r="AX3" s="1201">
        <v>10</v>
      </c>
      <c r="AY3" s="1201">
        <v>0</v>
      </c>
      <c r="AZ3" s="1182" t="s">
        <v>1506</v>
      </c>
    </row>
    <row r="4" spans="1:52">
      <c r="N4" s="1182">
        <v>1</v>
      </c>
      <c r="O4" s="1182" t="s">
        <v>1654</v>
      </c>
      <c r="P4" s="1182" t="s">
        <v>1669</v>
      </c>
      <c r="Q4" s="1182" t="s">
        <v>1490</v>
      </c>
      <c r="Y4" s="1183">
        <f>+SUMIFS(Y$15:Y$45,$A$15:$A$45,$N4)</f>
        <v>0</v>
      </c>
      <c r="AU4" s="1200">
        <f t="shared" ref="AU4:AY4" si="0">+ROUND(SUMIFS($Y$15:$Y$46,$A$15:$A$46,$N4,$AT$15:$AT$46,AU$3)*100/(100+AU$3),0)</f>
        <v>0</v>
      </c>
      <c r="AV4" s="1200">
        <f t="shared" si="0"/>
        <v>0</v>
      </c>
      <c r="AW4" s="1200">
        <f t="shared" si="0"/>
        <v>0</v>
      </c>
      <c r="AX4" s="1200">
        <f t="shared" si="0"/>
        <v>0</v>
      </c>
      <c r="AY4" s="1200">
        <f t="shared" si="0"/>
        <v>0</v>
      </c>
      <c r="AZ4" s="1197">
        <f>SUM(AU4:AY4)</f>
        <v>0</v>
      </c>
    </row>
    <row r="5" spans="1:52">
      <c r="N5" s="1193">
        <v>2</v>
      </c>
      <c r="O5" s="1193" t="s">
        <v>1654</v>
      </c>
      <c r="P5" s="1193" t="s">
        <v>1669</v>
      </c>
      <c r="Q5" s="1193" t="s">
        <v>1671</v>
      </c>
      <c r="R5" s="1193"/>
      <c r="Y5" s="1183">
        <f>+SUMIFS(Y$15:Y$45,$A$15:$A$45,$N5)</f>
        <v>0</v>
      </c>
      <c r="AU5" s="1200">
        <f t="shared" ref="AU5:AW7" si="1">+ROUND(SUMIFS($Y$15:$Y$46,$A$15:$A$46,$N5,$AT$15:$AT$46,AU$3)*100/(100+AU$3),0)</f>
        <v>0</v>
      </c>
      <c r="AV5" s="1200">
        <f t="shared" ref="AU5:AV7" si="2">+ROUNDUP(SUMIFS($Y$15:$Y$46,$A$15:$A$46,$N5,$AT$15:$AT$46,AV$3)*100/(100+AV$3),0)</f>
        <v>0</v>
      </c>
      <c r="AW5" s="1200">
        <f>+ROUND(SUMIFS($Y$15:$Y$46,$A$15:$A$46,$N5,$AT$15:$AT$46,AW$3)*100/(100+AW$3),0)</f>
        <v>0</v>
      </c>
      <c r="AX5" s="1200">
        <f t="shared" ref="AX5:AY7" si="3">+ROUNDUP(SUMIFS($Y$15:$Y$46,$A$15:$A$46,$N5,$AT$15:$AT$46,AX$3)*100/(100+AX$3),0)</f>
        <v>0</v>
      </c>
      <c r="AY5" s="1200">
        <f t="shared" si="3"/>
        <v>0</v>
      </c>
      <c r="AZ5" s="1197">
        <f>SUM(AU5:AY5)</f>
        <v>0</v>
      </c>
    </row>
    <row r="6" spans="1:52">
      <c r="N6" s="1193">
        <v>3</v>
      </c>
      <c r="O6" s="1193" t="s">
        <v>1654</v>
      </c>
      <c r="P6" s="1193" t="s">
        <v>1669</v>
      </c>
      <c r="Q6" s="1193" t="s">
        <v>1670</v>
      </c>
      <c r="R6" s="1193"/>
      <c r="Y6" s="1183">
        <f>+SUMIFS(Y$15:Y$45,$A$15:$A$45,$N6)</f>
        <v>0</v>
      </c>
      <c r="AU6" s="1200">
        <f t="shared" si="1"/>
        <v>0</v>
      </c>
      <c r="AV6" s="1200">
        <f t="shared" si="2"/>
        <v>0</v>
      </c>
      <c r="AW6" s="1200">
        <f t="shared" si="1"/>
        <v>0</v>
      </c>
      <c r="AX6" s="1200">
        <f t="shared" si="3"/>
        <v>0</v>
      </c>
      <c r="AY6" s="1200">
        <f t="shared" si="3"/>
        <v>0</v>
      </c>
      <c r="AZ6" s="1197">
        <f>SUM(AU6:AY6)</f>
        <v>0</v>
      </c>
    </row>
    <row r="7" spans="1:52">
      <c r="N7" s="1193">
        <v>4</v>
      </c>
      <c r="O7" s="1193" t="s">
        <v>1654</v>
      </c>
      <c r="P7" s="1193" t="s">
        <v>1669</v>
      </c>
      <c r="Q7" s="1193" t="s">
        <v>1668</v>
      </c>
      <c r="R7" s="1193"/>
      <c r="Y7" s="1183">
        <f>+SUMIFS(Y$15:Y$45,$A$15:$A$45,$N7)</f>
        <v>0</v>
      </c>
      <c r="AU7" s="1200">
        <f t="shared" si="2"/>
        <v>0</v>
      </c>
      <c r="AV7" s="1200">
        <f t="shared" si="2"/>
        <v>0</v>
      </c>
      <c r="AW7" s="1200">
        <f t="shared" si="1"/>
        <v>0</v>
      </c>
      <c r="AX7" s="1200">
        <f t="shared" si="3"/>
        <v>0</v>
      </c>
      <c r="AY7" s="1200">
        <f t="shared" si="3"/>
        <v>0</v>
      </c>
      <c r="AZ7" s="1197">
        <f>SUM(AU7:AY7)</f>
        <v>0</v>
      </c>
    </row>
    <row r="8" spans="1:52">
      <c r="N8" s="1193"/>
      <c r="O8" s="1193"/>
      <c r="P8" s="1193"/>
      <c r="Q8" s="1193"/>
      <c r="R8" s="1193"/>
      <c r="Y8" s="1183"/>
      <c r="AU8" s="1200"/>
      <c r="AV8" s="1200"/>
      <c r="AW8" s="1200"/>
      <c r="AX8" s="1200"/>
      <c r="AY8" s="1200"/>
      <c r="AZ8" s="1197"/>
    </row>
    <row r="9" spans="1:52">
      <c r="N9" s="1193"/>
      <c r="O9" s="1193"/>
      <c r="P9" s="1193"/>
      <c r="Q9" s="1193"/>
      <c r="R9" s="1193"/>
      <c r="Y9" s="1183"/>
      <c r="AU9" s="1200"/>
      <c r="AV9" s="1200"/>
      <c r="AW9" s="1200"/>
      <c r="AX9" s="1200"/>
      <c r="AY9" s="1200"/>
      <c r="AZ9" s="1197"/>
    </row>
    <row r="10" spans="1:52">
      <c r="N10" s="1193"/>
      <c r="O10" s="1193"/>
      <c r="P10" s="1193"/>
      <c r="R10" s="1193"/>
      <c r="Y10" s="1183"/>
      <c r="AU10" s="1200"/>
      <c r="AV10" s="1200"/>
      <c r="AW10" s="1200"/>
      <c r="AX10" s="1200"/>
      <c r="AY10" s="1200"/>
      <c r="AZ10" s="1197"/>
    </row>
    <row r="11" spans="1:52">
      <c r="N11" s="1193"/>
      <c r="O11" s="1193"/>
      <c r="P11" s="1193"/>
      <c r="Q11" s="1193"/>
      <c r="R11" s="1193"/>
      <c r="Y11" s="1183"/>
      <c r="AU11" s="1200"/>
      <c r="AV11" s="1200"/>
      <c r="AW11" s="1200"/>
      <c r="AX11" s="1200"/>
      <c r="AY11" s="1200"/>
      <c r="AZ11" s="1197"/>
    </row>
    <row r="14" spans="1:52">
      <c r="V14" s="1189"/>
      <c r="W14" s="1189"/>
      <c r="X14" s="1189"/>
      <c r="Y14" s="1191"/>
      <c r="AB14" s="1189"/>
      <c r="AE14" s="1189"/>
      <c r="AG14" s="1189"/>
      <c r="AH14" s="1189"/>
      <c r="AI14" s="1189"/>
      <c r="AL14" s="1186" t="s">
        <v>1640</v>
      </c>
      <c r="AQ14" s="1182" t="s">
        <v>1639</v>
      </c>
      <c r="AS14" s="1186">
        <v>0</v>
      </c>
      <c r="AT14" s="1186">
        <v>0</v>
      </c>
    </row>
    <row r="15" spans="1:52">
      <c r="A15" s="1182" t="s">
        <v>1631</v>
      </c>
      <c r="B15" s="1182" t="s">
        <v>1630</v>
      </c>
      <c r="C15" s="1182" t="s">
        <v>1629</v>
      </c>
      <c r="D15" s="1182" t="s">
        <v>1628</v>
      </c>
      <c r="E15" s="1182" t="s">
        <v>1627</v>
      </c>
      <c r="F15" s="1182" t="s">
        <v>1626</v>
      </c>
      <c r="G15" s="1182" t="s">
        <v>1625</v>
      </c>
      <c r="H15" s="1182" t="s">
        <v>1624</v>
      </c>
      <c r="I15" s="1182" t="s">
        <v>1623</v>
      </c>
      <c r="J15" s="1182" t="s">
        <v>1622</v>
      </c>
      <c r="K15" s="1182" t="s">
        <v>1621</v>
      </c>
      <c r="L15" s="1182" t="s">
        <v>1620</v>
      </c>
      <c r="M15" s="1182" t="s">
        <v>1619</v>
      </c>
      <c r="N15" s="1182" t="s">
        <v>1618</v>
      </c>
      <c r="O15" s="1182" t="s">
        <v>1617</v>
      </c>
      <c r="P15" s="1182" t="s">
        <v>1616</v>
      </c>
      <c r="Q15" s="1182" t="s">
        <v>1615</v>
      </c>
      <c r="R15" s="1188" t="s">
        <v>1614</v>
      </c>
      <c r="S15" s="1182" t="s">
        <v>1613</v>
      </c>
      <c r="T15" s="1182" t="s">
        <v>1612</v>
      </c>
      <c r="U15" s="1182" t="s">
        <v>1611</v>
      </c>
      <c r="V15" s="1189" t="s">
        <v>1610</v>
      </c>
      <c r="W15" s="1189" t="s">
        <v>1609</v>
      </c>
      <c r="X15" s="1189" t="s">
        <v>1608</v>
      </c>
      <c r="Y15" s="1183" t="s">
        <v>1607</v>
      </c>
      <c r="Z15" s="1182" t="s">
        <v>1606</v>
      </c>
      <c r="AA15" s="1182" t="s">
        <v>1605</v>
      </c>
      <c r="AB15" s="1189" t="s">
        <v>1604</v>
      </c>
      <c r="AC15" s="1182" t="s">
        <v>1603</v>
      </c>
      <c r="AD15" s="1182" t="s">
        <v>1602</v>
      </c>
      <c r="AE15" s="1189" t="s">
        <v>1601</v>
      </c>
      <c r="AF15" s="1182" t="s">
        <v>1600</v>
      </c>
      <c r="AG15" s="1189" t="s">
        <v>1599</v>
      </c>
      <c r="AH15" s="1189" t="s">
        <v>1598</v>
      </c>
      <c r="AI15" s="1189" t="s">
        <v>1597</v>
      </c>
      <c r="AJ15" s="1182" t="s">
        <v>1596</v>
      </c>
      <c r="AL15" s="1184" t="s">
        <v>1595</v>
      </c>
      <c r="AM15" s="1184" t="s">
        <v>1594</v>
      </c>
      <c r="AN15" s="1188" t="s">
        <v>1593</v>
      </c>
      <c r="AO15" s="1188" t="s">
        <v>1592</v>
      </c>
      <c r="AP15" s="1184" t="s">
        <v>1591</v>
      </c>
      <c r="AQ15" s="1184" t="s">
        <v>1590</v>
      </c>
      <c r="AS15" s="1182" t="s">
        <v>1589</v>
      </c>
      <c r="AT15" s="1182" t="s">
        <v>1588</v>
      </c>
    </row>
    <row r="16" spans="1:52" s="1364" customFormat="1">
      <c r="V16" s="1183"/>
      <c r="W16" s="1183"/>
      <c r="X16" s="1183"/>
      <c r="Y16" s="1183"/>
    </row>
    <row r="17" spans="17:46" s="1364" customFormat="1">
      <c r="V17" s="1183"/>
      <c r="W17" s="1183"/>
      <c r="X17" s="1183"/>
      <c r="Y17" s="1183"/>
    </row>
    <row r="18" spans="17:46" s="1364" customFormat="1">
      <c r="Y18" s="1183"/>
      <c r="AL18" s="1365"/>
      <c r="AS18" s="1365"/>
      <c r="AT18" s="1365"/>
    </row>
    <row r="19" spans="17:46" s="1364" customFormat="1">
      <c r="Y19" s="1183"/>
      <c r="AL19" s="1365"/>
      <c r="AS19" s="1365"/>
      <c r="AT19" s="1365"/>
    </row>
    <row r="20" spans="17:46" s="1364" customFormat="1">
      <c r="Y20" s="1183"/>
      <c r="AL20" s="1365"/>
      <c r="AS20" s="1365"/>
      <c r="AT20" s="1365"/>
    </row>
    <row r="21" spans="17:46" s="1364" customFormat="1">
      <c r="Y21" s="1183"/>
      <c r="AL21" s="1365"/>
      <c r="AS21" s="1365"/>
      <c r="AT21" s="1365"/>
    </row>
    <row r="22" spans="17:46" s="1364" customFormat="1">
      <c r="Y22" s="1183"/>
      <c r="AL22" s="1365"/>
      <c r="AS22" s="1365"/>
      <c r="AT22" s="1365"/>
    </row>
    <row r="23" spans="17:46" s="1364" customFormat="1">
      <c r="Y23" s="1183"/>
      <c r="AL23" s="1365"/>
      <c r="AS23" s="1365"/>
      <c r="AT23" s="1365"/>
    </row>
    <row r="24" spans="17:46" s="1364" customFormat="1">
      <c r="Y24" s="1183"/>
      <c r="AL24" s="1365"/>
      <c r="AS24" s="1365"/>
      <c r="AT24" s="1365"/>
    </row>
    <row r="25" spans="17:46" s="1364" customFormat="1">
      <c r="Y25" s="1183"/>
      <c r="AL25" s="1365"/>
      <c r="AS25" s="1365"/>
      <c r="AT25" s="1365"/>
    </row>
    <row r="26" spans="17:46" s="1364" customFormat="1">
      <c r="Y26" s="1183"/>
      <c r="AL26" s="1365"/>
      <c r="AS26" s="1365"/>
      <c r="AT26" s="1365"/>
    </row>
    <row r="27" spans="17:46">
      <c r="Y27" s="1183"/>
      <c r="AL27" s="1186"/>
      <c r="AS27" s="1186"/>
      <c r="AT27" s="1186"/>
    </row>
    <row r="28" spans="17:46" s="1193" customFormat="1">
      <c r="Y28" s="1183"/>
      <c r="AL28" s="1199"/>
      <c r="AS28" s="1199"/>
      <c r="AT28" s="1199"/>
    </row>
    <row r="29" spans="17:46">
      <c r="Y29" s="1183"/>
      <c r="AL29" s="1186"/>
      <c r="AS29" s="1186"/>
      <c r="AT29" s="1186"/>
    </row>
    <row r="30" spans="17:46">
      <c r="Y30" s="1183"/>
      <c r="AL30" s="1186"/>
      <c r="AS30" s="1186"/>
      <c r="AT30" s="1186"/>
    </row>
    <row r="31" spans="17:46">
      <c r="Q31" s="1193"/>
      <c r="Y31" s="1183"/>
      <c r="AL31" s="1186"/>
      <c r="AS31" s="1186"/>
      <c r="AT31" s="1186"/>
    </row>
    <row r="32" spans="17:46">
      <c r="Q32" s="1193"/>
      <c r="Y32" s="1183"/>
      <c r="AL32" s="1186"/>
      <c r="AS32" s="1186"/>
      <c r="AT32" s="1186"/>
    </row>
    <row r="33" spans="17:46">
      <c r="Q33" s="1193"/>
      <c r="Y33" s="1183"/>
      <c r="AL33" s="1186"/>
      <c r="AS33" s="1186"/>
      <c r="AT33" s="1186"/>
    </row>
    <row r="34" spans="17:46">
      <c r="Q34" s="1193"/>
      <c r="Y34" s="1183"/>
      <c r="AL34" s="1186"/>
      <c r="AS34" s="1186"/>
      <c r="AT34" s="1186"/>
    </row>
    <row r="35" spans="17:46">
      <c r="Q35" s="1193"/>
      <c r="Y35" s="1183"/>
      <c r="AL35" s="1186"/>
      <c r="AS35" s="1186"/>
      <c r="AT35" s="1186"/>
    </row>
    <row r="36" spans="17:46">
      <c r="Q36" s="1193"/>
      <c r="Y36" s="1183"/>
      <c r="AL36" s="1186"/>
      <c r="AS36" s="1186"/>
      <c r="AT36" s="1186"/>
    </row>
    <row r="37" spans="17:46">
      <c r="Q37" s="1193"/>
      <c r="Y37" s="1183"/>
      <c r="AL37" s="1186"/>
      <c r="AS37" s="1186"/>
      <c r="AT37" s="1186"/>
    </row>
    <row r="38" spans="17:46">
      <c r="Y38" s="1183"/>
      <c r="AL38" s="1186"/>
      <c r="AS38" s="1186"/>
      <c r="AT38" s="1186"/>
    </row>
    <row r="39" spans="17:46">
      <c r="Q39" s="1193"/>
      <c r="Y39" s="1183"/>
      <c r="AL39" s="1186"/>
      <c r="AS39" s="1186"/>
      <c r="AT39" s="1186"/>
    </row>
    <row r="40" spans="17:46">
      <c r="Y40" s="1183"/>
      <c r="AL40" s="1186"/>
      <c r="AS40" s="1186"/>
      <c r="AT40" s="1186"/>
    </row>
    <row r="41" spans="17:46">
      <c r="Y41" s="1183"/>
      <c r="AL41" s="1186"/>
      <c r="AS41" s="1186"/>
      <c r="AT41" s="1186"/>
    </row>
    <row r="42" spans="17:46">
      <c r="Y42" s="1183"/>
      <c r="AL42" s="1186"/>
      <c r="AS42" s="1186"/>
      <c r="AT42" s="1186"/>
    </row>
    <row r="43" spans="17:46">
      <c r="Y43" s="1183"/>
      <c r="AL43" s="1186"/>
      <c r="AS43" s="1186"/>
      <c r="AT43" s="1186"/>
    </row>
    <row r="44" spans="17:46">
      <c r="Y44" s="1183"/>
      <c r="AL44" s="1186"/>
      <c r="AS44" s="1186"/>
      <c r="AT44" s="1186"/>
    </row>
    <row r="45" spans="17:46">
      <c r="Y45" s="1183"/>
      <c r="AL45" s="1186"/>
      <c r="AS45" s="1186"/>
      <c r="AT45" s="1186"/>
    </row>
    <row r="46" spans="17:46">
      <c r="Y46" s="1183"/>
      <c r="AL46" s="1186"/>
      <c r="AS46" s="1186"/>
      <c r="AT46" s="1186"/>
    </row>
    <row r="47" spans="17:46">
      <c r="Y47" s="1183"/>
      <c r="AL47" s="1186"/>
      <c r="AS47" s="1186"/>
      <c r="AT47" s="1186"/>
    </row>
    <row r="48" spans="17:46">
      <c r="Y48" s="1183"/>
      <c r="AL48" s="1186"/>
      <c r="AS48" s="1186"/>
      <c r="AT48" s="1186"/>
    </row>
    <row r="49" spans="25:46">
      <c r="Y49" s="1183"/>
      <c r="AL49" s="1186"/>
      <c r="AS49" s="1186"/>
      <c r="AT49" s="1186"/>
    </row>
    <row r="50" spans="25:46">
      <c r="Y50" s="1183"/>
      <c r="AL50" s="1186"/>
      <c r="AS50" s="1186"/>
      <c r="AT50" s="1186"/>
    </row>
    <row r="51" spans="25:46">
      <c r="Y51" s="1183"/>
      <c r="AL51" s="1186"/>
      <c r="AS51" s="1186"/>
      <c r="AT51" s="1186"/>
    </row>
    <row r="52" spans="25:46">
      <c r="Y52" s="1183"/>
      <c r="AL52" s="1186"/>
      <c r="AS52" s="1186"/>
      <c r="AT52" s="1186"/>
    </row>
    <row r="53" spans="25:46">
      <c r="Y53" s="1183"/>
      <c r="AL53" s="1186"/>
      <c r="AS53" s="1186"/>
      <c r="AT53" s="1186"/>
    </row>
    <row r="54" spans="25:46">
      <c r="Y54" s="1183"/>
      <c r="AL54" s="1186"/>
      <c r="AS54" s="1186"/>
      <c r="AT54" s="1186"/>
    </row>
    <row r="55" spans="25:46">
      <c r="Y55" s="1183"/>
      <c r="AL55" s="1186"/>
      <c r="AS55" s="1186"/>
      <c r="AT55" s="1186"/>
    </row>
    <row r="56" spans="25:46">
      <c r="Y56" s="1183"/>
      <c r="AL56" s="1186"/>
      <c r="AS56" s="1186"/>
      <c r="AT56" s="1186"/>
    </row>
    <row r="57" spans="25:46">
      <c r="Y57" s="1183"/>
      <c r="AL57" s="1186"/>
      <c r="AS57" s="1186"/>
      <c r="AT57" s="1186"/>
    </row>
    <row r="58" spans="25:46">
      <c r="Y58" s="1183"/>
      <c r="AL58" s="1186"/>
      <c r="AS58" s="1186"/>
      <c r="AT58" s="1186"/>
    </row>
    <row r="59" spans="25:46">
      <c r="Y59" s="1183"/>
      <c r="AL59" s="1186"/>
      <c r="AS59" s="1186"/>
      <c r="AT59" s="1186"/>
    </row>
    <row r="60" spans="25:46">
      <c r="Y60" s="1183"/>
      <c r="AL60" s="1186"/>
      <c r="AS60" s="1186"/>
      <c r="AT60" s="1186"/>
    </row>
    <row r="61" spans="25:46">
      <c r="Y61" s="1183"/>
      <c r="AL61" s="1186"/>
      <c r="AS61" s="1186"/>
      <c r="AT61" s="1186"/>
    </row>
    <row r="62" spans="25:46">
      <c r="Y62" s="1183"/>
      <c r="AL62" s="1186"/>
      <c r="AS62" s="1186"/>
      <c r="AT62" s="1186"/>
    </row>
    <row r="63" spans="25:46">
      <c r="Y63" s="1183"/>
      <c r="AL63" s="1186"/>
      <c r="AS63" s="1186"/>
      <c r="AT63" s="1186"/>
    </row>
    <row r="64" spans="25:46">
      <c r="Y64" s="1183"/>
      <c r="AL64" s="1186"/>
      <c r="AS64" s="1186"/>
      <c r="AT64" s="1186"/>
    </row>
    <row r="65" spans="25:46">
      <c r="Y65" s="1183"/>
      <c r="AL65" s="1186"/>
      <c r="AS65" s="1186"/>
      <c r="AT65" s="1186"/>
    </row>
    <row r="66" spans="25:46">
      <c r="Y66" s="1183"/>
      <c r="AL66" s="1186"/>
      <c r="AS66" s="1186"/>
      <c r="AT66" s="1186"/>
    </row>
    <row r="67" spans="25:46">
      <c r="Y67" s="1183"/>
      <c r="AL67" s="1186"/>
      <c r="AS67" s="1186"/>
      <c r="AT67" s="1186"/>
    </row>
    <row r="68" spans="25:46">
      <c r="Y68" s="1183"/>
      <c r="AL68" s="1186"/>
      <c r="AS68" s="1186"/>
      <c r="AT68" s="1186"/>
    </row>
    <row r="69" spans="25:46">
      <c r="Y69" s="1183"/>
      <c r="AL69" s="1186"/>
      <c r="AS69" s="1186"/>
      <c r="AT69" s="1186"/>
    </row>
    <row r="70" spans="25:46">
      <c r="Y70" s="1183"/>
      <c r="AL70" s="1186"/>
      <c r="AS70" s="1186"/>
      <c r="AT70" s="1186"/>
    </row>
    <row r="71" spans="25:46">
      <c r="Y71" s="1183"/>
      <c r="AL71" s="1186"/>
      <c r="AS71" s="1186"/>
      <c r="AT71" s="1186"/>
    </row>
    <row r="72" spans="25:46">
      <c r="Y72" s="1183"/>
      <c r="AL72" s="1186"/>
      <c r="AS72" s="1186"/>
      <c r="AT72" s="1186"/>
    </row>
    <row r="73" spans="25:46">
      <c r="Y73" s="1183"/>
      <c r="AL73" s="1186"/>
      <c r="AS73" s="1186"/>
      <c r="AT73" s="1186"/>
    </row>
    <row r="74" spans="25:46">
      <c r="Y74" s="1183"/>
      <c r="AL74" s="1186"/>
      <c r="AS74" s="1186"/>
      <c r="AT74" s="1186"/>
    </row>
    <row r="75" spans="25:46">
      <c r="Y75" s="1183"/>
      <c r="AL75" s="1186"/>
      <c r="AS75" s="1186"/>
      <c r="AT75" s="1186"/>
    </row>
    <row r="76" spans="25:46">
      <c r="Y76" s="1183"/>
      <c r="AL76" s="1186"/>
      <c r="AS76" s="1186"/>
      <c r="AT76" s="1186"/>
    </row>
    <row r="77" spans="25:46">
      <c r="Y77" s="1183"/>
      <c r="AL77" s="1186"/>
      <c r="AS77" s="1186"/>
      <c r="AT77" s="1186"/>
    </row>
    <row r="78" spans="25:46">
      <c r="Y78" s="1183"/>
      <c r="AL78" s="1186"/>
      <c r="AS78" s="1186"/>
      <c r="AT78" s="1186"/>
    </row>
    <row r="79" spans="25:46">
      <c r="Y79" s="1183"/>
      <c r="AL79" s="1186"/>
      <c r="AS79" s="1186"/>
      <c r="AT79" s="1186"/>
    </row>
    <row r="80" spans="25:46">
      <c r="Y80" s="1183"/>
      <c r="AL80" s="1186"/>
      <c r="AS80" s="1186"/>
      <c r="AT80" s="1186"/>
    </row>
    <row r="81" spans="25:46">
      <c r="Y81" s="1183"/>
      <c r="AL81" s="1186"/>
      <c r="AS81" s="1186"/>
      <c r="AT81" s="1186"/>
    </row>
    <row r="82" spans="25:46">
      <c r="Y82" s="1183"/>
      <c r="AL82" s="1186"/>
      <c r="AS82" s="1186"/>
      <c r="AT82" s="1186"/>
    </row>
    <row r="83" spans="25:46">
      <c r="Y83" s="1183"/>
      <c r="AL83" s="1186"/>
      <c r="AS83" s="1186"/>
      <c r="AT83" s="1186"/>
    </row>
    <row r="84" spans="25:46">
      <c r="Y84" s="1183"/>
      <c r="AL84" s="1186"/>
      <c r="AS84" s="1186"/>
      <c r="AT84" s="1186"/>
    </row>
    <row r="85" spans="25:46">
      <c r="Y85" s="1183"/>
      <c r="AL85" s="1186"/>
      <c r="AS85" s="1186"/>
      <c r="AT85" s="1186"/>
    </row>
    <row r="86" spans="25:46">
      <c r="Y86" s="1183"/>
      <c r="AL86" s="1186"/>
      <c r="AS86" s="1186"/>
      <c r="AT86" s="1186"/>
    </row>
    <row r="87" spans="25:46">
      <c r="Y87" s="1183"/>
      <c r="AL87" s="1186"/>
      <c r="AS87" s="1186"/>
      <c r="AT87" s="1186"/>
    </row>
    <row r="88" spans="25:46">
      <c r="Y88" s="1183"/>
      <c r="AL88" s="1186"/>
      <c r="AS88" s="1186"/>
      <c r="AT88" s="1186"/>
    </row>
    <row r="89" spans="25:46">
      <c r="Y89" s="1183"/>
      <c r="AL89" s="1186"/>
      <c r="AS89" s="1186"/>
      <c r="AT89" s="1186"/>
    </row>
    <row r="90" spans="25:46">
      <c r="Y90" s="1183"/>
      <c r="AL90" s="1186"/>
      <c r="AS90" s="1186"/>
      <c r="AT90" s="1186"/>
    </row>
    <row r="91" spans="25:46">
      <c r="Y91" s="1183"/>
      <c r="AL91" s="1186"/>
      <c r="AS91" s="1186"/>
      <c r="AT91" s="1186"/>
    </row>
    <row r="92" spans="25:46">
      <c r="Y92" s="1183"/>
      <c r="AL92" s="1186"/>
      <c r="AS92" s="1186"/>
      <c r="AT92" s="1186"/>
    </row>
    <row r="93" spans="25:46">
      <c r="Y93" s="1183"/>
      <c r="AL93" s="1186"/>
      <c r="AS93" s="1186"/>
      <c r="AT93" s="1186"/>
    </row>
    <row r="94" spans="25:46">
      <c r="Y94" s="1183"/>
      <c r="AL94" s="1186"/>
      <c r="AS94" s="1186"/>
      <c r="AT94" s="1186"/>
    </row>
    <row r="95" spans="25:46">
      <c r="Y95" s="1183"/>
      <c r="AL95" s="1186"/>
      <c r="AS95" s="1186"/>
      <c r="AT95" s="1186"/>
    </row>
    <row r="96" spans="25:46">
      <c r="Y96" s="1183"/>
      <c r="AL96" s="1186"/>
      <c r="AS96" s="1186"/>
      <c r="AT96" s="1186"/>
    </row>
    <row r="97" spans="25:46">
      <c r="Y97" s="1183"/>
      <c r="AL97" s="1186"/>
      <c r="AS97" s="1186"/>
      <c r="AT97" s="1186"/>
    </row>
    <row r="98" spans="25:46">
      <c r="Y98" s="1183"/>
      <c r="AL98" s="1186"/>
      <c r="AS98" s="1186"/>
      <c r="AT98" s="1186"/>
    </row>
    <row r="99" spans="25:46">
      <c r="Y99" s="1183"/>
      <c r="AL99" s="1186"/>
      <c r="AS99" s="1186"/>
      <c r="AT99" s="1186"/>
    </row>
    <row r="100" spans="25:46">
      <c r="Y100" s="1183"/>
      <c r="AL100" s="1186"/>
      <c r="AS100" s="1186"/>
      <c r="AT100" s="1186"/>
    </row>
    <row r="101" spans="25:46">
      <c r="Y101" s="1183"/>
      <c r="AL101" s="1186"/>
      <c r="AS101" s="1186"/>
      <c r="AT101" s="1186"/>
    </row>
    <row r="102" spans="25:46">
      <c r="Y102" s="1183"/>
      <c r="AL102" s="1186"/>
      <c r="AS102" s="1186"/>
      <c r="AT102" s="1186"/>
    </row>
    <row r="103" spans="25:46">
      <c r="Y103" s="1183"/>
      <c r="AL103" s="1186"/>
      <c r="AS103" s="1186"/>
      <c r="AT103" s="1186"/>
    </row>
    <row r="104" spans="25:46">
      <c r="Y104" s="1183"/>
      <c r="AL104" s="1186"/>
      <c r="AS104" s="1186"/>
      <c r="AT104" s="1186"/>
    </row>
    <row r="105" spans="25:46">
      <c r="Y105" s="1183"/>
      <c r="AL105" s="1186"/>
      <c r="AS105" s="1186"/>
      <c r="AT105" s="1186"/>
    </row>
    <row r="106" spans="25:46">
      <c r="Y106" s="1183"/>
      <c r="AL106" s="1186"/>
      <c r="AS106" s="1186"/>
      <c r="AT106" s="1186"/>
    </row>
    <row r="107" spans="25:46">
      <c r="Y107" s="1183"/>
      <c r="AL107" s="1186"/>
      <c r="AS107" s="1186"/>
      <c r="AT107" s="1186"/>
    </row>
    <row r="108" spans="25:46">
      <c r="Y108" s="1183"/>
      <c r="AL108" s="1186"/>
      <c r="AS108" s="1186"/>
      <c r="AT108" s="1186"/>
    </row>
    <row r="109" spans="25:46">
      <c r="Y109" s="1183"/>
      <c r="AL109" s="1186"/>
      <c r="AS109" s="1186"/>
      <c r="AT109" s="1186"/>
    </row>
    <row r="110" spans="25:46">
      <c r="Y110" s="1183"/>
      <c r="AL110" s="1186"/>
      <c r="AS110" s="1186"/>
      <c r="AT110" s="1186"/>
    </row>
    <row r="111" spans="25:46">
      <c r="Y111" s="1183"/>
      <c r="AL111" s="1186"/>
      <c r="AS111" s="1186"/>
      <c r="AT111" s="1186"/>
    </row>
    <row r="112" spans="25:46">
      <c r="Y112" s="1183"/>
      <c r="AL112" s="1186"/>
      <c r="AS112" s="1186"/>
      <c r="AT112" s="1186"/>
    </row>
    <row r="113" spans="25:46">
      <c r="Y113" s="1183"/>
      <c r="AL113" s="1186"/>
      <c r="AS113" s="1186"/>
      <c r="AT113" s="1186"/>
    </row>
    <row r="114" spans="25:46">
      <c r="Y114" s="1183"/>
      <c r="AL114" s="1186"/>
      <c r="AS114" s="1186"/>
      <c r="AT114" s="1186"/>
    </row>
    <row r="115" spans="25:46">
      <c r="Y115" s="1183"/>
      <c r="AL115" s="1186"/>
      <c r="AS115" s="1186"/>
      <c r="AT115" s="1186"/>
    </row>
    <row r="116" spans="25:46">
      <c r="Y116" s="1183"/>
      <c r="AL116" s="1186"/>
      <c r="AS116" s="1186"/>
      <c r="AT116" s="1186"/>
    </row>
    <row r="117" spans="25:46">
      <c r="Y117" s="1183"/>
      <c r="AL117" s="1186"/>
      <c r="AS117" s="1186"/>
      <c r="AT117" s="1186"/>
    </row>
    <row r="118" spans="25:46">
      <c r="Y118" s="1183"/>
      <c r="AL118" s="1186"/>
      <c r="AS118" s="1186"/>
      <c r="AT118" s="1186"/>
    </row>
    <row r="119" spans="25:46">
      <c r="Y119" s="1183"/>
      <c r="AL119" s="1186"/>
      <c r="AS119" s="1186"/>
      <c r="AT119" s="1186"/>
    </row>
    <row r="120" spans="25:46">
      <c r="Y120" s="1183"/>
      <c r="AL120" s="1186"/>
      <c r="AS120" s="1186"/>
      <c r="AT120" s="1186"/>
    </row>
    <row r="121" spans="25:46">
      <c r="Y121" s="1183"/>
      <c r="AL121" s="1186"/>
      <c r="AS121" s="1186"/>
      <c r="AT121" s="1186"/>
    </row>
    <row r="122" spans="25:46">
      <c r="Y122" s="1183"/>
      <c r="AL122" s="1186"/>
      <c r="AS122" s="1186"/>
      <c r="AT122" s="1186"/>
    </row>
    <row r="123" spans="25:46">
      <c r="Y123" s="1183"/>
      <c r="AL123" s="1186"/>
      <c r="AS123" s="1186"/>
      <c r="AT123" s="1186"/>
    </row>
    <row r="124" spans="25:46">
      <c r="Y124" s="1183"/>
      <c r="AL124" s="1186"/>
      <c r="AS124" s="1186"/>
      <c r="AT124" s="1186"/>
    </row>
    <row r="125" spans="25:46">
      <c r="Y125" s="1183"/>
      <c r="AL125" s="1186"/>
      <c r="AS125" s="1186"/>
      <c r="AT125" s="1186"/>
    </row>
    <row r="126" spans="25:46">
      <c r="Y126" s="1183"/>
      <c r="AL126" s="1186"/>
      <c r="AS126" s="1186"/>
      <c r="AT126" s="1186"/>
    </row>
    <row r="127" spans="25:46">
      <c r="Y127" s="1183"/>
      <c r="AL127" s="1186"/>
      <c r="AS127" s="1186"/>
      <c r="AT127" s="1186"/>
    </row>
    <row r="128" spans="25:46">
      <c r="Y128" s="1183"/>
      <c r="AL128" s="1186"/>
      <c r="AS128" s="1186"/>
      <c r="AT128" s="1186"/>
    </row>
    <row r="129" spans="25:46">
      <c r="Y129" s="1183"/>
      <c r="AL129" s="1186"/>
      <c r="AS129" s="1186"/>
      <c r="AT129" s="1186"/>
    </row>
    <row r="130" spans="25:46">
      <c r="Y130" s="1183"/>
      <c r="AL130" s="1186"/>
      <c r="AS130" s="1186"/>
      <c r="AT130" s="1186"/>
    </row>
    <row r="131" spans="25:46">
      <c r="Y131" s="1183"/>
      <c r="AL131" s="1186"/>
      <c r="AS131" s="1186"/>
      <c r="AT131" s="1186"/>
    </row>
    <row r="132" spans="25:46">
      <c r="Y132" s="1183"/>
      <c r="AL132" s="1186"/>
      <c r="AS132" s="1186"/>
      <c r="AT132" s="1186"/>
    </row>
    <row r="133" spans="25:46">
      <c r="Y133" s="1183"/>
      <c r="AL133" s="1186"/>
      <c r="AS133" s="1186"/>
      <c r="AT133" s="1186"/>
    </row>
    <row r="134" spans="25:46">
      <c r="Y134" s="1183"/>
      <c r="AL134" s="1186"/>
      <c r="AS134" s="1186"/>
      <c r="AT134" s="1186"/>
    </row>
    <row r="135" spans="25:46">
      <c r="Y135" s="1183"/>
      <c r="AL135" s="1186"/>
      <c r="AS135" s="1186"/>
      <c r="AT135" s="1186"/>
    </row>
    <row r="136" spans="25:46">
      <c r="Y136" s="1183"/>
      <c r="AL136" s="1186"/>
      <c r="AS136" s="1186"/>
      <c r="AT136" s="1186"/>
    </row>
    <row r="137" spans="25:46">
      <c r="Y137" s="1183"/>
      <c r="AL137" s="1186"/>
      <c r="AS137" s="1186"/>
      <c r="AT137" s="1186"/>
    </row>
    <row r="138" spans="25:46">
      <c r="Y138" s="1183"/>
      <c r="AL138" s="1186"/>
      <c r="AS138" s="1186"/>
      <c r="AT138" s="1186"/>
    </row>
    <row r="139" spans="25:46">
      <c r="Y139" s="1183"/>
      <c r="AL139" s="1186"/>
      <c r="AS139" s="1186"/>
      <c r="AT139" s="1186"/>
    </row>
    <row r="140" spans="25:46">
      <c r="Y140" s="1183"/>
      <c r="AL140" s="1186"/>
      <c r="AS140" s="1186"/>
      <c r="AT140" s="1186"/>
    </row>
    <row r="141" spans="25:46">
      <c r="Y141" s="1183"/>
      <c r="AL141" s="1186"/>
      <c r="AS141" s="1186"/>
      <c r="AT141" s="1186"/>
    </row>
    <row r="142" spans="25:46">
      <c r="Y142" s="1183"/>
      <c r="AL142" s="1186"/>
      <c r="AS142" s="1186"/>
      <c r="AT142" s="1186"/>
    </row>
    <row r="143" spans="25:46">
      <c r="Y143" s="1183"/>
      <c r="AL143" s="1186"/>
      <c r="AS143" s="1186"/>
      <c r="AT143" s="1186"/>
    </row>
    <row r="144" spans="25:46">
      <c r="Y144" s="1183"/>
      <c r="AL144" s="1186"/>
      <c r="AS144" s="1186"/>
      <c r="AT144" s="1186"/>
    </row>
    <row r="145" spans="25:46">
      <c r="Y145" s="1183"/>
      <c r="AL145" s="1186"/>
      <c r="AS145" s="1186"/>
      <c r="AT145" s="1186"/>
    </row>
    <row r="146" spans="25:46">
      <c r="Y146" s="1183"/>
      <c r="AL146" s="1186"/>
      <c r="AS146" s="1186"/>
      <c r="AT146" s="1186"/>
    </row>
    <row r="147" spans="25:46">
      <c r="Y147" s="1183"/>
      <c r="AL147" s="1186"/>
      <c r="AS147" s="1186"/>
      <c r="AT147" s="1186"/>
    </row>
    <row r="148" spans="25:46">
      <c r="Y148" s="1183"/>
      <c r="AL148" s="1186"/>
      <c r="AS148" s="1186"/>
      <c r="AT148" s="1186"/>
    </row>
    <row r="149" spans="25:46">
      <c r="Y149" s="1183"/>
      <c r="AL149" s="1186"/>
      <c r="AS149" s="1186"/>
      <c r="AT149" s="1186"/>
    </row>
    <row r="150" spans="25:46">
      <c r="Y150" s="1183"/>
      <c r="AL150" s="1186"/>
      <c r="AS150" s="1186"/>
      <c r="AT150" s="1186"/>
    </row>
    <row r="151" spans="25:46">
      <c r="Y151" s="1183"/>
      <c r="AL151" s="1186"/>
      <c r="AS151" s="1186"/>
      <c r="AT151" s="1186"/>
    </row>
    <row r="152" spans="25:46">
      <c r="Y152" s="1183"/>
      <c r="AL152" s="1186"/>
      <c r="AS152" s="1186"/>
      <c r="AT152" s="1186"/>
    </row>
    <row r="153" spans="25:46">
      <c r="Y153" s="1183"/>
      <c r="AL153" s="1186"/>
      <c r="AS153" s="1186"/>
      <c r="AT153" s="1186"/>
    </row>
    <row r="154" spans="25:46">
      <c r="Y154" s="1183"/>
      <c r="AL154" s="1186"/>
      <c r="AS154" s="1186"/>
      <c r="AT154" s="1186"/>
    </row>
    <row r="155" spans="25:46">
      <c r="Y155" s="1183"/>
      <c r="AL155" s="1186"/>
      <c r="AS155" s="1186"/>
      <c r="AT155" s="1186"/>
    </row>
    <row r="156" spans="25:46">
      <c r="Y156" s="1183"/>
      <c r="AL156" s="1186"/>
      <c r="AS156" s="1186"/>
      <c r="AT156" s="1186"/>
    </row>
    <row r="157" spans="25:46">
      <c r="Y157" s="1183"/>
      <c r="AL157" s="1186"/>
      <c r="AS157" s="1186"/>
      <c r="AT157" s="1186"/>
    </row>
    <row r="158" spans="25:46">
      <c r="Y158" s="1183"/>
      <c r="AL158" s="1186"/>
      <c r="AS158" s="1186"/>
      <c r="AT158" s="1186"/>
    </row>
    <row r="159" spans="25:46">
      <c r="Y159" s="1183"/>
      <c r="AL159" s="1186"/>
      <c r="AS159" s="1186"/>
      <c r="AT159" s="1186"/>
    </row>
    <row r="160" spans="25:46">
      <c r="Y160" s="1183"/>
      <c r="AL160" s="1186"/>
      <c r="AS160" s="1186"/>
      <c r="AT160" s="1186"/>
    </row>
    <row r="161" spans="25:46">
      <c r="Y161" s="1183"/>
      <c r="AL161" s="1186"/>
      <c r="AS161" s="1186"/>
      <c r="AT161" s="1186"/>
    </row>
    <row r="162" spans="25:46">
      <c r="Y162" s="1183"/>
      <c r="AL162" s="1186"/>
      <c r="AS162" s="1186"/>
      <c r="AT162" s="1186"/>
    </row>
    <row r="163" spans="25:46">
      <c r="Y163" s="1183"/>
      <c r="AL163" s="1186"/>
      <c r="AS163" s="1186"/>
      <c r="AT163" s="1186"/>
    </row>
    <row r="164" spans="25:46">
      <c r="Y164" s="1183"/>
      <c r="AL164" s="1186"/>
      <c r="AS164" s="1186"/>
      <c r="AT164" s="1186"/>
    </row>
    <row r="165" spans="25:46">
      <c r="Y165" s="1183"/>
      <c r="AL165" s="1186"/>
      <c r="AS165" s="1186"/>
      <c r="AT165" s="1186"/>
    </row>
    <row r="166" spans="25:46">
      <c r="Y166" s="1183"/>
      <c r="AL166" s="1186"/>
      <c r="AS166" s="1186"/>
      <c r="AT166" s="1186"/>
    </row>
    <row r="167" spans="25:46">
      <c r="Y167" s="1183"/>
      <c r="AL167" s="1186"/>
      <c r="AS167" s="1186"/>
      <c r="AT167" s="1186"/>
    </row>
    <row r="168" spans="25:46">
      <c r="Y168" s="1183"/>
      <c r="AL168" s="1186"/>
      <c r="AS168" s="1186"/>
      <c r="AT168" s="1186"/>
    </row>
    <row r="169" spans="25:46">
      <c r="Y169" s="1183"/>
      <c r="AL169" s="1186"/>
      <c r="AS169" s="1186"/>
      <c r="AT169" s="1186"/>
    </row>
    <row r="170" spans="25:46">
      <c r="Y170" s="1183"/>
      <c r="AL170" s="1186"/>
      <c r="AS170" s="1186"/>
      <c r="AT170" s="1186"/>
    </row>
    <row r="171" spans="25:46">
      <c r="Y171" s="1183"/>
      <c r="AL171" s="1186"/>
      <c r="AS171" s="1186"/>
      <c r="AT171" s="1186"/>
    </row>
    <row r="172" spans="25:46">
      <c r="Y172" s="1183"/>
      <c r="AL172" s="1186"/>
      <c r="AS172" s="1186"/>
      <c r="AT172" s="1186"/>
    </row>
    <row r="173" spans="25:46">
      <c r="Y173" s="1183"/>
      <c r="AL173" s="1186"/>
      <c r="AS173" s="1186"/>
      <c r="AT173" s="1186"/>
    </row>
    <row r="174" spans="25:46">
      <c r="Y174" s="1183"/>
      <c r="AL174" s="1186"/>
      <c r="AS174" s="1186"/>
      <c r="AT174" s="1186"/>
    </row>
    <row r="175" spans="25:46">
      <c r="Y175" s="1183"/>
      <c r="AL175" s="1186"/>
      <c r="AS175" s="1186"/>
      <c r="AT175" s="1186"/>
    </row>
    <row r="176" spans="25:46">
      <c r="Y176" s="1183"/>
      <c r="AL176" s="1186"/>
      <c r="AS176" s="1186"/>
      <c r="AT176" s="1186"/>
    </row>
    <row r="177" spans="25:46">
      <c r="Y177" s="1183"/>
      <c r="AL177" s="1186"/>
      <c r="AS177" s="1186"/>
      <c r="AT177" s="1186"/>
    </row>
    <row r="178" spans="25:46">
      <c r="Y178" s="1183"/>
      <c r="AL178" s="1186"/>
      <c r="AS178" s="1186"/>
      <c r="AT178" s="1186"/>
    </row>
    <row r="179" spans="25:46">
      <c r="Y179" s="1183"/>
      <c r="AL179" s="1186"/>
      <c r="AS179" s="1186"/>
      <c r="AT179" s="1186"/>
    </row>
    <row r="180" spans="25:46">
      <c r="Y180" s="1183"/>
      <c r="AL180" s="1186"/>
      <c r="AS180" s="1186"/>
      <c r="AT180" s="1186"/>
    </row>
    <row r="181" spans="25:46">
      <c r="Y181" s="1183"/>
      <c r="AL181" s="1186"/>
      <c r="AS181" s="1186"/>
      <c r="AT181" s="1186"/>
    </row>
    <row r="182" spans="25:46">
      <c r="Y182" s="1183"/>
      <c r="AL182" s="1186"/>
      <c r="AS182" s="1186"/>
      <c r="AT182" s="1186"/>
    </row>
    <row r="183" spans="25:46">
      <c r="Y183" s="1183"/>
      <c r="AL183" s="1186"/>
      <c r="AS183" s="1186"/>
      <c r="AT183" s="1186"/>
    </row>
    <row r="184" spans="25:46">
      <c r="Y184" s="1183"/>
      <c r="AL184" s="1186"/>
      <c r="AS184" s="1186"/>
      <c r="AT184" s="1186"/>
    </row>
    <row r="185" spans="25:46">
      <c r="Y185" s="1183"/>
      <c r="AL185" s="1186"/>
      <c r="AS185" s="1186"/>
      <c r="AT185" s="1186"/>
    </row>
    <row r="186" spans="25:46">
      <c r="Y186" s="1183"/>
      <c r="AL186" s="1186"/>
      <c r="AS186" s="1186"/>
      <c r="AT186" s="1186"/>
    </row>
    <row r="187" spans="25:46">
      <c r="Y187" s="1183"/>
      <c r="AL187" s="1186"/>
      <c r="AS187" s="1186"/>
      <c r="AT187" s="1186"/>
    </row>
    <row r="188" spans="25:46">
      <c r="Y188" s="1183"/>
      <c r="AL188" s="1186"/>
      <c r="AS188" s="1186"/>
      <c r="AT188" s="1186"/>
    </row>
    <row r="189" spans="25:46">
      <c r="Y189" s="1183"/>
      <c r="AL189" s="1186"/>
      <c r="AS189" s="1186"/>
      <c r="AT189" s="1186"/>
    </row>
    <row r="190" spans="25:46">
      <c r="Y190" s="1183"/>
      <c r="AL190" s="1186"/>
      <c r="AS190" s="1186"/>
      <c r="AT190" s="1186"/>
    </row>
    <row r="191" spans="25:46">
      <c r="Y191" s="1183"/>
      <c r="AL191" s="1186"/>
      <c r="AS191" s="1186"/>
      <c r="AT191" s="1186"/>
    </row>
    <row r="192" spans="25:46">
      <c r="Y192" s="1183"/>
      <c r="AL192" s="1186"/>
      <c r="AS192" s="1186"/>
      <c r="AT192" s="1186"/>
    </row>
    <row r="193" spans="25:46">
      <c r="Y193" s="1183"/>
      <c r="AL193" s="1186"/>
      <c r="AS193" s="1186"/>
      <c r="AT193" s="1186"/>
    </row>
    <row r="194" spans="25:46">
      <c r="Y194" s="1183"/>
      <c r="AL194" s="1186"/>
      <c r="AS194" s="1186"/>
      <c r="AT194" s="1186"/>
    </row>
    <row r="195" spans="25:46">
      <c r="Y195" s="1183"/>
      <c r="AL195" s="1186"/>
      <c r="AS195" s="1186"/>
      <c r="AT195" s="1186"/>
    </row>
    <row r="196" spans="25:46">
      <c r="Y196" s="1183"/>
      <c r="AL196" s="1186"/>
      <c r="AS196" s="1186"/>
      <c r="AT196" s="1186"/>
    </row>
    <row r="197" spans="25:46">
      <c r="Y197" s="1183"/>
      <c r="AL197" s="1186"/>
      <c r="AS197" s="1186"/>
      <c r="AT197" s="1186"/>
    </row>
    <row r="198" spans="25:46">
      <c r="Y198" s="1183"/>
      <c r="AL198" s="1186"/>
      <c r="AS198" s="1186"/>
      <c r="AT198" s="1186"/>
    </row>
    <row r="199" spans="25:46">
      <c r="Y199" s="1183"/>
      <c r="AL199" s="1186"/>
      <c r="AS199" s="1186"/>
      <c r="AT199" s="1186"/>
    </row>
    <row r="200" spans="25:46">
      <c r="Y200" s="1183"/>
      <c r="AL200" s="1186"/>
      <c r="AS200" s="1186"/>
      <c r="AT200" s="1186"/>
    </row>
    <row r="201" spans="25:46">
      <c r="Y201" s="1183"/>
      <c r="AL201" s="1186"/>
      <c r="AS201" s="1186"/>
      <c r="AT201" s="1186"/>
    </row>
    <row r="202" spans="25:46">
      <c r="Y202" s="1183"/>
      <c r="AL202" s="1186"/>
      <c r="AS202" s="1186"/>
      <c r="AT202" s="1186"/>
    </row>
    <row r="203" spans="25:46">
      <c r="Y203" s="1183"/>
      <c r="AL203" s="1186"/>
      <c r="AS203" s="1186"/>
      <c r="AT203" s="1186"/>
    </row>
    <row r="204" spans="25:46">
      <c r="Y204" s="1183"/>
      <c r="AL204" s="1186"/>
      <c r="AS204" s="1186"/>
      <c r="AT204" s="1186"/>
    </row>
    <row r="205" spans="25:46">
      <c r="Y205" s="1183"/>
      <c r="AL205" s="1186"/>
      <c r="AS205" s="1186"/>
      <c r="AT205" s="1186"/>
    </row>
    <row r="206" spans="25:46">
      <c r="Y206" s="1183"/>
      <c r="AL206" s="1186"/>
      <c r="AS206" s="1186"/>
      <c r="AT206" s="1186"/>
    </row>
    <row r="207" spans="25:46">
      <c r="Y207" s="1183"/>
      <c r="AL207" s="1186"/>
      <c r="AS207" s="1186"/>
      <c r="AT207" s="1186"/>
    </row>
    <row r="208" spans="25:46">
      <c r="Y208" s="1183"/>
      <c r="AL208" s="1186"/>
      <c r="AS208" s="1186"/>
      <c r="AT208" s="1186"/>
    </row>
    <row r="209" spans="25:46">
      <c r="Y209" s="1183"/>
      <c r="AL209" s="1186"/>
      <c r="AS209" s="1186"/>
      <c r="AT209" s="1186"/>
    </row>
    <row r="210" spans="25:46">
      <c r="Y210" s="1183"/>
      <c r="AL210" s="1186"/>
      <c r="AS210" s="1186"/>
      <c r="AT210" s="1186"/>
    </row>
    <row r="211" spans="25:46">
      <c r="Y211" s="1183"/>
      <c r="AL211" s="1186"/>
      <c r="AS211" s="1186"/>
      <c r="AT211" s="1186"/>
    </row>
    <row r="212" spans="25:46">
      <c r="Y212" s="1183"/>
      <c r="AL212" s="1186"/>
      <c r="AS212" s="1186"/>
      <c r="AT212" s="1186"/>
    </row>
    <row r="213" spans="25:46">
      <c r="Y213" s="1183"/>
      <c r="AL213" s="1186"/>
      <c r="AS213" s="1186"/>
      <c r="AT213" s="1186"/>
    </row>
    <row r="214" spans="25:46">
      <c r="Y214" s="1183"/>
      <c r="AL214" s="1186"/>
      <c r="AS214" s="1186"/>
      <c r="AT214" s="1186"/>
    </row>
    <row r="215" spans="25:46">
      <c r="Y215" s="1183"/>
      <c r="AL215" s="1186"/>
      <c r="AS215" s="1186"/>
      <c r="AT215" s="1186"/>
    </row>
    <row r="216" spans="25:46">
      <c r="Y216" s="1183"/>
      <c r="AL216" s="1186"/>
      <c r="AS216" s="1186"/>
      <c r="AT216" s="1186"/>
    </row>
    <row r="217" spans="25:46">
      <c r="Y217" s="1183"/>
      <c r="AL217" s="1186"/>
      <c r="AS217" s="1186"/>
      <c r="AT217" s="1186"/>
    </row>
    <row r="218" spans="25:46">
      <c r="Y218" s="1183"/>
      <c r="AL218" s="1186"/>
      <c r="AS218" s="1186"/>
      <c r="AT218" s="1186"/>
    </row>
    <row r="219" spans="25:46">
      <c r="Y219" s="1183"/>
      <c r="AL219" s="1186"/>
      <c r="AS219" s="1186"/>
      <c r="AT219" s="1186"/>
    </row>
    <row r="220" spans="25:46">
      <c r="Y220" s="1183"/>
      <c r="AL220" s="1186"/>
      <c r="AS220" s="1186"/>
      <c r="AT220" s="1186"/>
    </row>
    <row r="221" spans="25:46">
      <c r="Y221" s="1183"/>
      <c r="AL221" s="1186"/>
      <c r="AS221" s="1186"/>
      <c r="AT221" s="1186"/>
    </row>
    <row r="222" spans="25:46">
      <c r="Y222" s="1183"/>
      <c r="AL222" s="1186"/>
      <c r="AS222" s="1186"/>
      <c r="AT222" s="1186"/>
    </row>
    <row r="223" spans="25:46">
      <c r="Y223" s="1183"/>
      <c r="AL223" s="1186"/>
      <c r="AS223" s="1186"/>
      <c r="AT223" s="1186"/>
    </row>
    <row r="224" spans="25:46">
      <c r="Y224" s="1183"/>
      <c r="AL224" s="1186"/>
      <c r="AS224" s="1186"/>
      <c r="AT224" s="1186"/>
    </row>
    <row r="225" spans="25:46">
      <c r="Y225" s="1183"/>
      <c r="AL225" s="1186"/>
      <c r="AS225" s="1186"/>
      <c r="AT225" s="1186"/>
    </row>
    <row r="226" spans="25:46">
      <c r="Y226" s="1183"/>
      <c r="AL226" s="1186"/>
      <c r="AS226" s="1186"/>
      <c r="AT226" s="1186"/>
    </row>
    <row r="227" spans="25:46">
      <c r="Y227" s="1183"/>
      <c r="AL227" s="1186"/>
      <c r="AS227" s="1186"/>
      <c r="AT227" s="1186"/>
    </row>
    <row r="228" spans="25:46">
      <c r="Y228" s="1183"/>
      <c r="AL228" s="1186"/>
      <c r="AS228" s="1186"/>
      <c r="AT228" s="1186"/>
    </row>
    <row r="229" spans="25:46">
      <c r="Y229" s="1183"/>
      <c r="AL229" s="1186"/>
      <c r="AS229" s="1186"/>
      <c r="AT229" s="1186"/>
    </row>
    <row r="230" spans="25:46">
      <c r="Y230" s="1183"/>
      <c r="AL230" s="1186"/>
      <c r="AS230" s="1186"/>
      <c r="AT230" s="1186"/>
    </row>
    <row r="231" spans="25:46">
      <c r="Y231" s="1183"/>
      <c r="AL231" s="1186"/>
      <c r="AS231" s="1186"/>
      <c r="AT231" s="1186"/>
    </row>
    <row r="232" spans="25:46">
      <c r="Y232" s="1183"/>
      <c r="AL232" s="1186"/>
      <c r="AS232" s="1186"/>
      <c r="AT232" s="1186"/>
    </row>
    <row r="233" spans="25:46">
      <c r="Y233" s="1183"/>
      <c r="AL233" s="1186"/>
      <c r="AS233" s="1186"/>
      <c r="AT233" s="1186"/>
    </row>
    <row r="234" spans="25:46">
      <c r="Y234" s="1183"/>
      <c r="AL234" s="1186"/>
      <c r="AS234" s="1186"/>
      <c r="AT234" s="1186"/>
    </row>
    <row r="235" spans="25:46">
      <c r="Y235" s="1183"/>
      <c r="AL235" s="1186"/>
      <c r="AS235" s="1186"/>
      <c r="AT235" s="1186"/>
    </row>
    <row r="236" spans="25:46">
      <c r="Y236" s="1183"/>
      <c r="AL236" s="1186"/>
      <c r="AS236" s="1186"/>
      <c r="AT236" s="1186"/>
    </row>
    <row r="237" spans="25:46">
      <c r="Y237" s="1183"/>
      <c r="AL237" s="1186"/>
      <c r="AS237" s="1186"/>
      <c r="AT237" s="1186"/>
    </row>
    <row r="238" spans="25:46">
      <c r="Y238" s="1183"/>
      <c r="AL238" s="1186"/>
      <c r="AS238" s="1186"/>
      <c r="AT238" s="1186"/>
    </row>
    <row r="239" spans="25:46">
      <c r="Y239" s="1183"/>
      <c r="AL239" s="1186"/>
      <c r="AS239" s="1186"/>
      <c r="AT239" s="1186"/>
    </row>
    <row r="240" spans="25:46">
      <c r="Y240" s="1183"/>
      <c r="AL240" s="1186"/>
      <c r="AS240" s="1186"/>
      <c r="AT240" s="1186"/>
    </row>
    <row r="241" spans="25:46">
      <c r="Y241" s="1183"/>
      <c r="AL241" s="1186"/>
      <c r="AS241" s="1186"/>
      <c r="AT241" s="1186"/>
    </row>
    <row r="242" spans="25:46">
      <c r="Y242" s="1183"/>
      <c r="AL242" s="1186"/>
      <c r="AS242" s="1186"/>
      <c r="AT242" s="1186"/>
    </row>
    <row r="243" spans="25:46">
      <c r="Y243" s="1183"/>
      <c r="AL243" s="1186"/>
      <c r="AS243" s="1186"/>
      <c r="AT243" s="1186"/>
    </row>
    <row r="244" spans="25:46">
      <c r="Y244" s="1183"/>
      <c r="AL244" s="1186"/>
      <c r="AS244" s="1186"/>
      <c r="AT244" s="1186"/>
    </row>
    <row r="245" spans="25:46">
      <c r="Y245" s="1183"/>
      <c r="AL245" s="1186"/>
      <c r="AS245" s="1186"/>
      <c r="AT245" s="1186"/>
    </row>
    <row r="246" spans="25:46">
      <c r="Y246" s="1183"/>
    </row>
    <row r="247" spans="25:46">
      <c r="Y247" s="1183"/>
    </row>
    <row r="248" spans="25:46">
      <c r="Y248" s="1183"/>
    </row>
    <row r="249" spans="25:46">
      <c r="Y249" s="1183"/>
    </row>
    <row r="250" spans="25:46">
      <c r="Y250" s="1183"/>
    </row>
    <row r="251" spans="25:46">
      <c r="Y251" s="1183"/>
    </row>
    <row r="252" spans="25:46">
      <c r="Y252" s="1183"/>
    </row>
  </sheetData>
  <autoFilter ref="A15:AT244"/>
  <phoneticPr fontId="2"/>
  <pageMargins left="0.7" right="0.7" top="0.75" bottom="0.75" header="0.3" footer="0.3"/>
  <pageSetup paperSize="9" orientation="portrait" r:id="rId1"/>
  <drawing r:id="rId2"/>
</worksheet>
</file>

<file path=xl/worksheets/w5_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T45"/>
  <sheetViews>
    <sheetView showGridLines="0" zoomScale="85" zoomScaleNormal="85" zoomScaleSheetLayoutView="10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3" style="1203" customWidth="1"/>
    <col min="9" max="9" width="12" style="1203" customWidth="1"/>
    <col min="10" max="10" width="12.75" style="1203" customWidth="1"/>
    <col min="11" max="11" width="13" style="1203" customWidth="1"/>
    <col min="12" max="12" width="13.75" style="1203" bestFit="1" customWidth="1"/>
    <col min="13" max="15" width="12.75" style="1203" customWidth="1"/>
    <col min="16" max="16" width="3.625" style="1203" customWidth="1"/>
    <col min="17"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3" style="1203" customWidth="1"/>
    <col min="265" max="265" width="12" style="1203" customWidth="1"/>
    <col min="266" max="266" width="12.75" style="1203" customWidth="1"/>
    <col min="267" max="267" width="13" style="1203" customWidth="1"/>
    <col min="268" max="268" width="12.375" style="1203" customWidth="1"/>
    <col min="269" max="269" width="11.75" style="1203" customWidth="1"/>
    <col min="270" max="270" width="13" style="1203" customWidth="1"/>
    <col min="271" max="271" width="14.125" style="1203" bestFit="1" customWidth="1"/>
    <col min="272" max="272" width="3.625" style="1203" customWidth="1"/>
    <col min="273"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3" style="1203" customWidth="1"/>
    <col min="521" max="521" width="12" style="1203" customWidth="1"/>
    <col min="522" max="522" width="12.75" style="1203" customWidth="1"/>
    <col min="523" max="523" width="13" style="1203" customWidth="1"/>
    <col min="524" max="524" width="12.375" style="1203" customWidth="1"/>
    <col min="525" max="525" width="11.75" style="1203" customWidth="1"/>
    <col min="526" max="526" width="13" style="1203" customWidth="1"/>
    <col min="527" max="527" width="14.125" style="1203" bestFit="1" customWidth="1"/>
    <col min="528" max="528" width="3.625" style="1203" customWidth="1"/>
    <col min="529"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3" style="1203" customWidth="1"/>
    <col min="777" max="777" width="12" style="1203" customWidth="1"/>
    <col min="778" max="778" width="12.75" style="1203" customWidth="1"/>
    <col min="779" max="779" width="13" style="1203" customWidth="1"/>
    <col min="780" max="780" width="12.375" style="1203" customWidth="1"/>
    <col min="781" max="781" width="11.75" style="1203" customWidth="1"/>
    <col min="782" max="782" width="13" style="1203" customWidth="1"/>
    <col min="783" max="783" width="14.125" style="1203" bestFit="1" customWidth="1"/>
    <col min="784" max="784" width="3.625" style="1203" customWidth="1"/>
    <col min="785"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3" style="1203" customWidth="1"/>
    <col min="1033" max="1033" width="12" style="1203" customWidth="1"/>
    <col min="1034" max="1034" width="12.75" style="1203" customWidth="1"/>
    <col min="1035" max="1035" width="13" style="1203" customWidth="1"/>
    <col min="1036" max="1036" width="12.375" style="1203" customWidth="1"/>
    <col min="1037" max="1037" width="11.75" style="1203" customWidth="1"/>
    <col min="1038" max="1038" width="13" style="1203" customWidth="1"/>
    <col min="1039" max="1039" width="14.125" style="1203" bestFit="1" customWidth="1"/>
    <col min="1040" max="1040" width="3.625" style="1203" customWidth="1"/>
    <col min="1041"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3" style="1203" customWidth="1"/>
    <col min="1289" max="1289" width="12" style="1203" customWidth="1"/>
    <col min="1290" max="1290" width="12.75" style="1203" customWidth="1"/>
    <col min="1291" max="1291" width="13" style="1203" customWidth="1"/>
    <col min="1292" max="1292" width="12.375" style="1203" customWidth="1"/>
    <col min="1293" max="1293" width="11.75" style="1203" customWidth="1"/>
    <col min="1294" max="1294" width="13" style="1203" customWidth="1"/>
    <col min="1295" max="1295" width="14.125" style="1203" bestFit="1" customWidth="1"/>
    <col min="1296" max="1296" width="3.625" style="1203" customWidth="1"/>
    <col min="1297"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3" style="1203" customWidth="1"/>
    <col min="1545" max="1545" width="12" style="1203" customWidth="1"/>
    <col min="1546" max="1546" width="12.75" style="1203" customWidth="1"/>
    <col min="1547" max="1547" width="13" style="1203" customWidth="1"/>
    <col min="1548" max="1548" width="12.375" style="1203" customWidth="1"/>
    <col min="1549" max="1549" width="11.75" style="1203" customWidth="1"/>
    <col min="1550" max="1550" width="13" style="1203" customWidth="1"/>
    <col min="1551" max="1551" width="14.125" style="1203" bestFit="1" customWidth="1"/>
    <col min="1552" max="1552" width="3.625" style="1203" customWidth="1"/>
    <col min="1553"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3" style="1203" customWidth="1"/>
    <col min="1801" max="1801" width="12" style="1203" customWidth="1"/>
    <col min="1802" max="1802" width="12.75" style="1203" customWidth="1"/>
    <col min="1803" max="1803" width="13" style="1203" customWidth="1"/>
    <col min="1804" max="1804" width="12.375" style="1203" customWidth="1"/>
    <col min="1805" max="1805" width="11.75" style="1203" customWidth="1"/>
    <col min="1806" max="1806" width="13" style="1203" customWidth="1"/>
    <col min="1807" max="1807" width="14.125" style="1203" bestFit="1" customWidth="1"/>
    <col min="1808" max="1808" width="3.625" style="1203" customWidth="1"/>
    <col min="1809"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3" style="1203" customWidth="1"/>
    <col min="2057" max="2057" width="12" style="1203" customWidth="1"/>
    <col min="2058" max="2058" width="12.75" style="1203" customWidth="1"/>
    <col min="2059" max="2059" width="13" style="1203" customWidth="1"/>
    <col min="2060" max="2060" width="12.375" style="1203" customWidth="1"/>
    <col min="2061" max="2061" width="11.75" style="1203" customWidth="1"/>
    <col min="2062" max="2062" width="13" style="1203" customWidth="1"/>
    <col min="2063" max="2063" width="14.125" style="1203" bestFit="1" customWidth="1"/>
    <col min="2064" max="2064" width="3.625" style="1203" customWidth="1"/>
    <col min="2065"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3" style="1203" customWidth="1"/>
    <col min="2313" max="2313" width="12" style="1203" customWidth="1"/>
    <col min="2314" max="2314" width="12.75" style="1203" customWidth="1"/>
    <col min="2315" max="2315" width="13" style="1203" customWidth="1"/>
    <col min="2316" max="2316" width="12.375" style="1203" customWidth="1"/>
    <col min="2317" max="2317" width="11.75" style="1203" customWidth="1"/>
    <col min="2318" max="2318" width="13" style="1203" customWidth="1"/>
    <col min="2319" max="2319" width="14.125" style="1203" bestFit="1" customWidth="1"/>
    <col min="2320" max="2320" width="3.625" style="1203" customWidth="1"/>
    <col min="2321"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3" style="1203" customWidth="1"/>
    <col min="2569" max="2569" width="12" style="1203" customWidth="1"/>
    <col min="2570" max="2570" width="12.75" style="1203" customWidth="1"/>
    <col min="2571" max="2571" width="13" style="1203" customWidth="1"/>
    <col min="2572" max="2572" width="12.375" style="1203" customWidth="1"/>
    <col min="2573" max="2573" width="11.75" style="1203" customWidth="1"/>
    <col min="2574" max="2574" width="13" style="1203" customWidth="1"/>
    <col min="2575" max="2575" width="14.125" style="1203" bestFit="1" customWidth="1"/>
    <col min="2576" max="2576" width="3.625" style="1203" customWidth="1"/>
    <col min="2577"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3" style="1203" customWidth="1"/>
    <col min="2825" max="2825" width="12" style="1203" customWidth="1"/>
    <col min="2826" max="2826" width="12.75" style="1203" customWidth="1"/>
    <col min="2827" max="2827" width="13" style="1203" customWidth="1"/>
    <col min="2828" max="2828" width="12.375" style="1203" customWidth="1"/>
    <col min="2829" max="2829" width="11.75" style="1203" customWidth="1"/>
    <col min="2830" max="2830" width="13" style="1203" customWidth="1"/>
    <col min="2831" max="2831" width="14.125" style="1203" bestFit="1" customWidth="1"/>
    <col min="2832" max="2832" width="3.625" style="1203" customWidth="1"/>
    <col min="2833"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3" style="1203" customWidth="1"/>
    <col min="3081" max="3081" width="12" style="1203" customWidth="1"/>
    <col min="3082" max="3082" width="12.75" style="1203" customWidth="1"/>
    <col min="3083" max="3083" width="13" style="1203" customWidth="1"/>
    <col min="3084" max="3084" width="12.375" style="1203" customWidth="1"/>
    <col min="3085" max="3085" width="11.75" style="1203" customWidth="1"/>
    <col min="3086" max="3086" width="13" style="1203" customWidth="1"/>
    <col min="3087" max="3087" width="14.125" style="1203" bestFit="1" customWidth="1"/>
    <col min="3088" max="3088" width="3.625" style="1203" customWidth="1"/>
    <col min="3089"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3" style="1203" customWidth="1"/>
    <col min="3337" max="3337" width="12" style="1203" customWidth="1"/>
    <col min="3338" max="3338" width="12.75" style="1203" customWidth="1"/>
    <col min="3339" max="3339" width="13" style="1203" customWidth="1"/>
    <col min="3340" max="3340" width="12.375" style="1203" customWidth="1"/>
    <col min="3341" max="3341" width="11.75" style="1203" customWidth="1"/>
    <col min="3342" max="3342" width="13" style="1203" customWidth="1"/>
    <col min="3343" max="3343" width="14.125" style="1203" bestFit="1" customWidth="1"/>
    <col min="3344" max="3344" width="3.625" style="1203" customWidth="1"/>
    <col min="3345"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3" style="1203" customWidth="1"/>
    <col min="3593" max="3593" width="12" style="1203" customWidth="1"/>
    <col min="3594" max="3594" width="12.75" style="1203" customWidth="1"/>
    <col min="3595" max="3595" width="13" style="1203" customWidth="1"/>
    <col min="3596" max="3596" width="12.375" style="1203" customWidth="1"/>
    <col min="3597" max="3597" width="11.75" style="1203" customWidth="1"/>
    <col min="3598" max="3598" width="13" style="1203" customWidth="1"/>
    <col min="3599" max="3599" width="14.125" style="1203" bestFit="1" customWidth="1"/>
    <col min="3600" max="3600" width="3.625" style="1203" customWidth="1"/>
    <col min="3601"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3" style="1203" customWidth="1"/>
    <col min="3849" max="3849" width="12" style="1203" customWidth="1"/>
    <col min="3850" max="3850" width="12.75" style="1203" customWidth="1"/>
    <col min="3851" max="3851" width="13" style="1203" customWidth="1"/>
    <col min="3852" max="3852" width="12.375" style="1203" customWidth="1"/>
    <col min="3853" max="3853" width="11.75" style="1203" customWidth="1"/>
    <col min="3854" max="3854" width="13" style="1203" customWidth="1"/>
    <col min="3855" max="3855" width="14.125" style="1203" bestFit="1" customWidth="1"/>
    <col min="3856" max="3856" width="3.625" style="1203" customWidth="1"/>
    <col min="3857"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3" style="1203" customWidth="1"/>
    <col min="4105" max="4105" width="12" style="1203" customWidth="1"/>
    <col min="4106" max="4106" width="12.75" style="1203" customWidth="1"/>
    <col min="4107" max="4107" width="13" style="1203" customWidth="1"/>
    <col min="4108" max="4108" width="12.375" style="1203" customWidth="1"/>
    <col min="4109" max="4109" width="11.75" style="1203" customWidth="1"/>
    <col min="4110" max="4110" width="13" style="1203" customWidth="1"/>
    <col min="4111" max="4111" width="14.125" style="1203" bestFit="1" customWidth="1"/>
    <col min="4112" max="4112" width="3.625" style="1203" customWidth="1"/>
    <col min="4113"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3" style="1203" customWidth="1"/>
    <col min="4361" max="4361" width="12" style="1203" customWidth="1"/>
    <col min="4362" max="4362" width="12.75" style="1203" customWidth="1"/>
    <col min="4363" max="4363" width="13" style="1203" customWidth="1"/>
    <col min="4364" max="4364" width="12.375" style="1203" customWidth="1"/>
    <col min="4365" max="4365" width="11.75" style="1203" customWidth="1"/>
    <col min="4366" max="4366" width="13" style="1203" customWidth="1"/>
    <col min="4367" max="4367" width="14.125" style="1203" bestFit="1" customWidth="1"/>
    <col min="4368" max="4368" width="3.625" style="1203" customWidth="1"/>
    <col min="4369"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3" style="1203" customWidth="1"/>
    <col min="4617" max="4617" width="12" style="1203" customWidth="1"/>
    <col min="4618" max="4618" width="12.75" style="1203" customWidth="1"/>
    <col min="4619" max="4619" width="13" style="1203" customWidth="1"/>
    <col min="4620" max="4620" width="12.375" style="1203" customWidth="1"/>
    <col min="4621" max="4621" width="11.75" style="1203" customWidth="1"/>
    <col min="4622" max="4622" width="13" style="1203" customWidth="1"/>
    <col min="4623" max="4623" width="14.125" style="1203" bestFit="1" customWidth="1"/>
    <col min="4624" max="4624" width="3.625" style="1203" customWidth="1"/>
    <col min="4625"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3" style="1203" customWidth="1"/>
    <col min="4873" max="4873" width="12" style="1203" customWidth="1"/>
    <col min="4874" max="4874" width="12.75" style="1203" customWidth="1"/>
    <col min="4875" max="4875" width="13" style="1203" customWidth="1"/>
    <col min="4876" max="4876" width="12.375" style="1203" customWidth="1"/>
    <col min="4877" max="4877" width="11.75" style="1203" customWidth="1"/>
    <col min="4878" max="4878" width="13" style="1203" customWidth="1"/>
    <col min="4879" max="4879" width="14.125" style="1203" bestFit="1" customWidth="1"/>
    <col min="4880" max="4880" width="3.625" style="1203" customWidth="1"/>
    <col min="4881"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3" style="1203" customWidth="1"/>
    <col min="5129" max="5129" width="12" style="1203" customWidth="1"/>
    <col min="5130" max="5130" width="12.75" style="1203" customWidth="1"/>
    <col min="5131" max="5131" width="13" style="1203" customWidth="1"/>
    <col min="5132" max="5132" width="12.375" style="1203" customWidth="1"/>
    <col min="5133" max="5133" width="11.75" style="1203" customWidth="1"/>
    <col min="5134" max="5134" width="13" style="1203" customWidth="1"/>
    <col min="5135" max="5135" width="14.125" style="1203" bestFit="1" customWidth="1"/>
    <col min="5136" max="5136" width="3.625" style="1203" customWidth="1"/>
    <col min="5137"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3" style="1203" customWidth="1"/>
    <col min="5385" max="5385" width="12" style="1203" customWidth="1"/>
    <col min="5386" max="5386" width="12.75" style="1203" customWidth="1"/>
    <col min="5387" max="5387" width="13" style="1203" customWidth="1"/>
    <col min="5388" max="5388" width="12.375" style="1203" customWidth="1"/>
    <col min="5389" max="5389" width="11.75" style="1203" customWidth="1"/>
    <col min="5390" max="5390" width="13" style="1203" customWidth="1"/>
    <col min="5391" max="5391" width="14.125" style="1203" bestFit="1" customWidth="1"/>
    <col min="5392" max="5392" width="3.625" style="1203" customWidth="1"/>
    <col min="5393"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3" style="1203" customWidth="1"/>
    <col min="5641" max="5641" width="12" style="1203" customWidth="1"/>
    <col min="5642" max="5642" width="12.75" style="1203" customWidth="1"/>
    <col min="5643" max="5643" width="13" style="1203" customWidth="1"/>
    <col min="5644" max="5644" width="12.375" style="1203" customWidth="1"/>
    <col min="5645" max="5645" width="11.75" style="1203" customWidth="1"/>
    <col min="5646" max="5646" width="13" style="1203" customWidth="1"/>
    <col min="5647" max="5647" width="14.125" style="1203" bestFit="1" customWidth="1"/>
    <col min="5648" max="5648" width="3.625" style="1203" customWidth="1"/>
    <col min="5649"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3" style="1203" customWidth="1"/>
    <col min="5897" max="5897" width="12" style="1203" customWidth="1"/>
    <col min="5898" max="5898" width="12.75" style="1203" customWidth="1"/>
    <col min="5899" max="5899" width="13" style="1203" customWidth="1"/>
    <col min="5900" max="5900" width="12.375" style="1203" customWidth="1"/>
    <col min="5901" max="5901" width="11.75" style="1203" customWidth="1"/>
    <col min="5902" max="5902" width="13" style="1203" customWidth="1"/>
    <col min="5903" max="5903" width="14.125" style="1203" bestFit="1" customWidth="1"/>
    <col min="5904" max="5904" width="3.625" style="1203" customWidth="1"/>
    <col min="5905"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3" style="1203" customWidth="1"/>
    <col min="6153" max="6153" width="12" style="1203" customWidth="1"/>
    <col min="6154" max="6154" width="12.75" style="1203" customWidth="1"/>
    <col min="6155" max="6155" width="13" style="1203" customWidth="1"/>
    <col min="6156" max="6156" width="12.375" style="1203" customWidth="1"/>
    <col min="6157" max="6157" width="11.75" style="1203" customWidth="1"/>
    <col min="6158" max="6158" width="13" style="1203" customWidth="1"/>
    <col min="6159" max="6159" width="14.125" style="1203" bestFit="1" customWidth="1"/>
    <col min="6160" max="6160" width="3.625" style="1203" customWidth="1"/>
    <col min="6161"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3" style="1203" customWidth="1"/>
    <col min="6409" max="6409" width="12" style="1203" customWidth="1"/>
    <col min="6410" max="6410" width="12.75" style="1203" customWidth="1"/>
    <col min="6411" max="6411" width="13" style="1203" customWidth="1"/>
    <col min="6412" max="6412" width="12.375" style="1203" customWidth="1"/>
    <col min="6413" max="6413" width="11.75" style="1203" customWidth="1"/>
    <col min="6414" max="6414" width="13" style="1203" customWidth="1"/>
    <col min="6415" max="6415" width="14.125" style="1203" bestFit="1" customWidth="1"/>
    <col min="6416" max="6416" width="3.625" style="1203" customWidth="1"/>
    <col min="6417"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3" style="1203" customWidth="1"/>
    <col min="6665" max="6665" width="12" style="1203" customWidth="1"/>
    <col min="6666" max="6666" width="12.75" style="1203" customWidth="1"/>
    <col min="6667" max="6667" width="13" style="1203" customWidth="1"/>
    <col min="6668" max="6668" width="12.375" style="1203" customWidth="1"/>
    <col min="6669" max="6669" width="11.75" style="1203" customWidth="1"/>
    <col min="6670" max="6670" width="13" style="1203" customWidth="1"/>
    <col min="6671" max="6671" width="14.125" style="1203" bestFit="1" customWidth="1"/>
    <col min="6672" max="6672" width="3.625" style="1203" customWidth="1"/>
    <col min="6673"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3" style="1203" customWidth="1"/>
    <col min="6921" max="6921" width="12" style="1203" customWidth="1"/>
    <col min="6922" max="6922" width="12.75" style="1203" customWidth="1"/>
    <col min="6923" max="6923" width="13" style="1203" customWidth="1"/>
    <col min="6924" max="6924" width="12.375" style="1203" customWidth="1"/>
    <col min="6925" max="6925" width="11.75" style="1203" customWidth="1"/>
    <col min="6926" max="6926" width="13" style="1203" customWidth="1"/>
    <col min="6927" max="6927" width="14.125" style="1203" bestFit="1" customWidth="1"/>
    <col min="6928" max="6928" width="3.625" style="1203" customWidth="1"/>
    <col min="6929"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3" style="1203" customWidth="1"/>
    <col min="7177" max="7177" width="12" style="1203" customWidth="1"/>
    <col min="7178" max="7178" width="12.75" style="1203" customWidth="1"/>
    <col min="7179" max="7179" width="13" style="1203" customWidth="1"/>
    <col min="7180" max="7180" width="12.375" style="1203" customWidth="1"/>
    <col min="7181" max="7181" width="11.75" style="1203" customWidth="1"/>
    <col min="7182" max="7182" width="13" style="1203" customWidth="1"/>
    <col min="7183" max="7183" width="14.125" style="1203" bestFit="1" customWidth="1"/>
    <col min="7184" max="7184" width="3.625" style="1203" customWidth="1"/>
    <col min="7185"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3" style="1203" customWidth="1"/>
    <col min="7433" max="7433" width="12" style="1203" customWidth="1"/>
    <col min="7434" max="7434" width="12.75" style="1203" customWidth="1"/>
    <col min="7435" max="7435" width="13" style="1203" customWidth="1"/>
    <col min="7436" max="7436" width="12.375" style="1203" customWidth="1"/>
    <col min="7437" max="7437" width="11.75" style="1203" customWidth="1"/>
    <col min="7438" max="7438" width="13" style="1203" customWidth="1"/>
    <col min="7439" max="7439" width="14.125" style="1203" bestFit="1" customWidth="1"/>
    <col min="7440" max="7440" width="3.625" style="1203" customWidth="1"/>
    <col min="7441"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3" style="1203" customWidth="1"/>
    <col min="7689" max="7689" width="12" style="1203" customWidth="1"/>
    <col min="7690" max="7690" width="12.75" style="1203" customWidth="1"/>
    <col min="7691" max="7691" width="13" style="1203" customWidth="1"/>
    <col min="7692" max="7692" width="12.375" style="1203" customWidth="1"/>
    <col min="7693" max="7693" width="11.75" style="1203" customWidth="1"/>
    <col min="7694" max="7694" width="13" style="1203" customWidth="1"/>
    <col min="7695" max="7695" width="14.125" style="1203" bestFit="1" customWidth="1"/>
    <col min="7696" max="7696" width="3.625" style="1203" customWidth="1"/>
    <col min="7697"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3" style="1203" customWidth="1"/>
    <col min="7945" max="7945" width="12" style="1203" customWidth="1"/>
    <col min="7946" max="7946" width="12.75" style="1203" customWidth="1"/>
    <col min="7947" max="7947" width="13" style="1203" customWidth="1"/>
    <col min="7948" max="7948" width="12.375" style="1203" customWidth="1"/>
    <col min="7949" max="7949" width="11.75" style="1203" customWidth="1"/>
    <col min="7950" max="7950" width="13" style="1203" customWidth="1"/>
    <col min="7951" max="7951" width="14.125" style="1203" bestFit="1" customWidth="1"/>
    <col min="7952" max="7952" width="3.625" style="1203" customWidth="1"/>
    <col min="7953"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3" style="1203" customWidth="1"/>
    <col min="8201" max="8201" width="12" style="1203" customWidth="1"/>
    <col min="8202" max="8202" width="12.75" style="1203" customWidth="1"/>
    <col min="8203" max="8203" width="13" style="1203" customWidth="1"/>
    <col min="8204" max="8204" width="12.375" style="1203" customWidth="1"/>
    <col min="8205" max="8205" width="11.75" style="1203" customWidth="1"/>
    <col min="8206" max="8206" width="13" style="1203" customWidth="1"/>
    <col min="8207" max="8207" width="14.125" style="1203" bestFit="1" customWidth="1"/>
    <col min="8208" max="8208" width="3.625" style="1203" customWidth="1"/>
    <col min="8209"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3" style="1203" customWidth="1"/>
    <col min="8457" max="8457" width="12" style="1203" customWidth="1"/>
    <col min="8458" max="8458" width="12.75" style="1203" customWidth="1"/>
    <col min="8459" max="8459" width="13" style="1203" customWidth="1"/>
    <col min="8460" max="8460" width="12.375" style="1203" customWidth="1"/>
    <col min="8461" max="8461" width="11.75" style="1203" customWidth="1"/>
    <col min="8462" max="8462" width="13" style="1203" customWidth="1"/>
    <col min="8463" max="8463" width="14.125" style="1203" bestFit="1" customWidth="1"/>
    <col min="8464" max="8464" width="3.625" style="1203" customWidth="1"/>
    <col min="8465"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3" style="1203" customWidth="1"/>
    <col min="8713" max="8713" width="12" style="1203" customWidth="1"/>
    <col min="8714" max="8714" width="12.75" style="1203" customWidth="1"/>
    <col min="8715" max="8715" width="13" style="1203" customWidth="1"/>
    <col min="8716" max="8716" width="12.375" style="1203" customWidth="1"/>
    <col min="8717" max="8717" width="11.75" style="1203" customWidth="1"/>
    <col min="8718" max="8718" width="13" style="1203" customWidth="1"/>
    <col min="8719" max="8719" width="14.125" style="1203" bestFit="1" customWidth="1"/>
    <col min="8720" max="8720" width="3.625" style="1203" customWidth="1"/>
    <col min="8721"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3" style="1203" customWidth="1"/>
    <col min="8969" max="8969" width="12" style="1203" customWidth="1"/>
    <col min="8970" max="8970" width="12.75" style="1203" customWidth="1"/>
    <col min="8971" max="8971" width="13" style="1203" customWidth="1"/>
    <col min="8972" max="8972" width="12.375" style="1203" customWidth="1"/>
    <col min="8973" max="8973" width="11.75" style="1203" customWidth="1"/>
    <col min="8974" max="8974" width="13" style="1203" customWidth="1"/>
    <col min="8975" max="8975" width="14.125" style="1203" bestFit="1" customWidth="1"/>
    <col min="8976" max="8976" width="3.625" style="1203" customWidth="1"/>
    <col min="8977"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3" style="1203" customWidth="1"/>
    <col min="9225" max="9225" width="12" style="1203" customWidth="1"/>
    <col min="9226" max="9226" width="12.75" style="1203" customWidth="1"/>
    <col min="9227" max="9227" width="13" style="1203" customWidth="1"/>
    <col min="9228" max="9228" width="12.375" style="1203" customWidth="1"/>
    <col min="9229" max="9229" width="11.75" style="1203" customWidth="1"/>
    <col min="9230" max="9230" width="13" style="1203" customWidth="1"/>
    <col min="9231" max="9231" width="14.125" style="1203" bestFit="1" customWidth="1"/>
    <col min="9232" max="9232" width="3.625" style="1203" customWidth="1"/>
    <col min="9233"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3" style="1203" customWidth="1"/>
    <col min="9481" max="9481" width="12" style="1203" customWidth="1"/>
    <col min="9482" max="9482" width="12.75" style="1203" customWidth="1"/>
    <col min="9483" max="9483" width="13" style="1203" customWidth="1"/>
    <col min="9484" max="9484" width="12.375" style="1203" customWidth="1"/>
    <col min="9485" max="9485" width="11.75" style="1203" customWidth="1"/>
    <col min="9486" max="9486" width="13" style="1203" customWidth="1"/>
    <col min="9487" max="9487" width="14.125" style="1203" bestFit="1" customWidth="1"/>
    <col min="9488" max="9488" width="3.625" style="1203" customWidth="1"/>
    <col min="9489"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3" style="1203" customWidth="1"/>
    <col min="9737" max="9737" width="12" style="1203" customWidth="1"/>
    <col min="9738" max="9738" width="12.75" style="1203" customWidth="1"/>
    <col min="9739" max="9739" width="13" style="1203" customWidth="1"/>
    <col min="9740" max="9740" width="12.375" style="1203" customWidth="1"/>
    <col min="9741" max="9741" width="11.75" style="1203" customWidth="1"/>
    <col min="9742" max="9742" width="13" style="1203" customWidth="1"/>
    <col min="9743" max="9743" width="14.125" style="1203" bestFit="1" customWidth="1"/>
    <col min="9744" max="9744" width="3.625" style="1203" customWidth="1"/>
    <col min="9745"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3" style="1203" customWidth="1"/>
    <col min="9993" max="9993" width="12" style="1203" customWidth="1"/>
    <col min="9994" max="9994" width="12.75" style="1203" customWidth="1"/>
    <col min="9995" max="9995" width="13" style="1203" customWidth="1"/>
    <col min="9996" max="9996" width="12.375" style="1203" customWidth="1"/>
    <col min="9997" max="9997" width="11.75" style="1203" customWidth="1"/>
    <col min="9998" max="9998" width="13" style="1203" customWidth="1"/>
    <col min="9999" max="9999" width="14.125" style="1203" bestFit="1" customWidth="1"/>
    <col min="10000" max="10000" width="3.625" style="1203" customWidth="1"/>
    <col min="10001"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3" style="1203" customWidth="1"/>
    <col min="10249" max="10249" width="12" style="1203" customWidth="1"/>
    <col min="10250" max="10250" width="12.75" style="1203" customWidth="1"/>
    <col min="10251" max="10251" width="13" style="1203" customWidth="1"/>
    <col min="10252" max="10252" width="12.375" style="1203" customWidth="1"/>
    <col min="10253" max="10253" width="11.75" style="1203" customWidth="1"/>
    <col min="10254" max="10254" width="13" style="1203" customWidth="1"/>
    <col min="10255" max="10255" width="14.125" style="1203" bestFit="1" customWidth="1"/>
    <col min="10256" max="10256" width="3.625" style="1203" customWidth="1"/>
    <col min="10257"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3" style="1203" customWidth="1"/>
    <col min="10505" max="10505" width="12" style="1203" customWidth="1"/>
    <col min="10506" max="10506" width="12.75" style="1203" customWidth="1"/>
    <col min="10507" max="10507" width="13" style="1203" customWidth="1"/>
    <col min="10508" max="10508" width="12.375" style="1203" customWidth="1"/>
    <col min="10509" max="10509" width="11.75" style="1203" customWidth="1"/>
    <col min="10510" max="10510" width="13" style="1203" customWidth="1"/>
    <col min="10511" max="10511" width="14.125" style="1203" bestFit="1" customWidth="1"/>
    <col min="10512" max="10512" width="3.625" style="1203" customWidth="1"/>
    <col min="10513"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3" style="1203" customWidth="1"/>
    <col min="10761" max="10761" width="12" style="1203" customWidth="1"/>
    <col min="10762" max="10762" width="12.75" style="1203" customWidth="1"/>
    <col min="10763" max="10763" width="13" style="1203" customWidth="1"/>
    <col min="10764" max="10764" width="12.375" style="1203" customWidth="1"/>
    <col min="10765" max="10765" width="11.75" style="1203" customWidth="1"/>
    <col min="10766" max="10766" width="13" style="1203" customWidth="1"/>
    <col min="10767" max="10767" width="14.125" style="1203" bestFit="1" customWidth="1"/>
    <col min="10768" max="10768" width="3.625" style="1203" customWidth="1"/>
    <col min="10769"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3" style="1203" customWidth="1"/>
    <col min="11017" max="11017" width="12" style="1203" customWidth="1"/>
    <col min="11018" max="11018" width="12.75" style="1203" customWidth="1"/>
    <col min="11019" max="11019" width="13" style="1203" customWidth="1"/>
    <col min="11020" max="11020" width="12.375" style="1203" customWidth="1"/>
    <col min="11021" max="11021" width="11.75" style="1203" customWidth="1"/>
    <col min="11022" max="11022" width="13" style="1203" customWidth="1"/>
    <col min="11023" max="11023" width="14.125" style="1203" bestFit="1" customWidth="1"/>
    <col min="11024" max="11024" width="3.625" style="1203" customWidth="1"/>
    <col min="11025"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3" style="1203" customWidth="1"/>
    <col min="11273" max="11273" width="12" style="1203" customWidth="1"/>
    <col min="11274" max="11274" width="12.75" style="1203" customWidth="1"/>
    <col min="11275" max="11275" width="13" style="1203" customWidth="1"/>
    <col min="11276" max="11276" width="12.375" style="1203" customWidth="1"/>
    <col min="11277" max="11277" width="11.75" style="1203" customWidth="1"/>
    <col min="11278" max="11278" width="13" style="1203" customWidth="1"/>
    <col min="11279" max="11279" width="14.125" style="1203" bestFit="1" customWidth="1"/>
    <col min="11280" max="11280" width="3.625" style="1203" customWidth="1"/>
    <col min="11281"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3" style="1203" customWidth="1"/>
    <col min="11529" max="11529" width="12" style="1203" customWidth="1"/>
    <col min="11530" max="11530" width="12.75" style="1203" customWidth="1"/>
    <col min="11531" max="11531" width="13" style="1203" customWidth="1"/>
    <col min="11532" max="11532" width="12.375" style="1203" customWidth="1"/>
    <col min="11533" max="11533" width="11.75" style="1203" customWidth="1"/>
    <col min="11534" max="11534" width="13" style="1203" customWidth="1"/>
    <col min="11535" max="11535" width="14.125" style="1203" bestFit="1" customWidth="1"/>
    <col min="11536" max="11536" width="3.625" style="1203" customWidth="1"/>
    <col min="11537"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3" style="1203" customWidth="1"/>
    <col min="11785" max="11785" width="12" style="1203" customWidth="1"/>
    <col min="11786" max="11786" width="12.75" style="1203" customWidth="1"/>
    <col min="11787" max="11787" width="13" style="1203" customWidth="1"/>
    <col min="11788" max="11788" width="12.375" style="1203" customWidth="1"/>
    <col min="11789" max="11789" width="11.75" style="1203" customWidth="1"/>
    <col min="11790" max="11790" width="13" style="1203" customWidth="1"/>
    <col min="11791" max="11791" width="14.125" style="1203" bestFit="1" customWidth="1"/>
    <col min="11792" max="11792" width="3.625" style="1203" customWidth="1"/>
    <col min="11793"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3" style="1203" customWidth="1"/>
    <col min="12041" max="12041" width="12" style="1203" customWidth="1"/>
    <col min="12042" max="12042" width="12.75" style="1203" customWidth="1"/>
    <col min="12043" max="12043" width="13" style="1203" customWidth="1"/>
    <col min="12044" max="12044" width="12.375" style="1203" customWidth="1"/>
    <col min="12045" max="12045" width="11.75" style="1203" customWidth="1"/>
    <col min="12046" max="12046" width="13" style="1203" customWidth="1"/>
    <col min="12047" max="12047" width="14.125" style="1203" bestFit="1" customWidth="1"/>
    <col min="12048" max="12048" width="3.625" style="1203" customWidth="1"/>
    <col min="12049"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3" style="1203" customWidth="1"/>
    <col min="12297" max="12297" width="12" style="1203" customWidth="1"/>
    <col min="12298" max="12298" width="12.75" style="1203" customWidth="1"/>
    <col min="12299" max="12299" width="13" style="1203" customWidth="1"/>
    <col min="12300" max="12300" width="12.375" style="1203" customWidth="1"/>
    <col min="12301" max="12301" width="11.75" style="1203" customWidth="1"/>
    <col min="12302" max="12302" width="13" style="1203" customWidth="1"/>
    <col min="12303" max="12303" width="14.125" style="1203" bestFit="1" customWidth="1"/>
    <col min="12304" max="12304" width="3.625" style="1203" customWidth="1"/>
    <col min="12305"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3" style="1203" customWidth="1"/>
    <col min="12553" max="12553" width="12" style="1203" customWidth="1"/>
    <col min="12554" max="12554" width="12.75" style="1203" customWidth="1"/>
    <col min="12555" max="12555" width="13" style="1203" customWidth="1"/>
    <col min="12556" max="12556" width="12.375" style="1203" customWidth="1"/>
    <col min="12557" max="12557" width="11.75" style="1203" customWidth="1"/>
    <col min="12558" max="12558" width="13" style="1203" customWidth="1"/>
    <col min="12559" max="12559" width="14.125" style="1203" bestFit="1" customWidth="1"/>
    <col min="12560" max="12560" width="3.625" style="1203" customWidth="1"/>
    <col min="12561"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3" style="1203" customWidth="1"/>
    <col min="12809" max="12809" width="12" style="1203" customWidth="1"/>
    <col min="12810" max="12810" width="12.75" style="1203" customWidth="1"/>
    <col min="12811" max="12811" width="13" style="1203" customWidth="1"/>
    <col min="12812" max="12812" width="12.375" style="1203" customWidth="1"/>
    <col min="12813" max="12813" width="11.75" style="1203" customWidth="1"/>
    <col min="12814" max="12814" width="13" style="1203" customWidth="1"/>
    <col min="12815" max="12815" width="14.125" style="1203" bestFit="1" customWidth="1"/>
    <col min="12816" max="12816" width="3.625" style="1203" customWidth="1"/>
    <col min="12817"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3" style="1203" customWidth="1"/>
    <col min="13065" max="13065" width="12" style="1203" customWidth="1"/>
    <col min="13066" max="13066" width="12.75" style="1203" customWidth="1"/>
    <col min="13067" max="13067" width="13" style="1203" customWidth="1"/>
    <col min="13068" max="13068" width="12.375" style="1203" customWidth="1"/>
    <col min="13069" max="13069" width="11.75" style="1203" customWidth="1"/>
    <col min="13070" max="13070" width="13" style="1203" customWidth="1"/>
    <col min="13071" max="13071" width="14.125" style="1203" bestFit="1" customWidth="1"/>
    <col min="13072" max="13072" width="3.625" style="1203" customWidth="1"/>
    <col min="13073"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3" style="1203" customWidth="1"/>
    <col min="13321" max="13321" width="12" style="1203" customWidth="1"/>
    <col min="13322" max="13322" width="12.75" style="1203" customWidth="1"/>
    <col min="13323" max="13323" width="13" style="1203" customWidth="1"/>
    <col min="13324" max="13324" width="12.375" style="1203" customWidth="1"/>
    <col min="13325" max="13325" width="11.75" style="1203" customWidth="1"/>
    <col min="13326" max="13326" width="13" style="1203" customWidth="1"/>
    <col min="13327" max="13327" width="14.125" style="1203" bestFit="1" customWidth="1"/>
    <col min="13328" max="13328" width="3.625" style="1203" customWidth="1"/>
    <col min="13329"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3" style="1203" customWidth="1"/>
    <col min="13577" max="13577" width="12" style="1203" customWidth="1"/>
    <col min="13578" max="13578" width="12.75" style="1203" customWidth="1"/>
    <col min="13579" max="13579" width="13" style="1203" customWidth="1"/>
    <col min="13580" max="13580" width="12.375" style="1203" customWidth="1"/>
    <col min="13581" max="13581" width="11.75" style="1203" customWidth="1"/>
    <col min="13582" max="13582" width="13" style="1203" customWidth="1"/>
    <col min="13583" max="13583" width="14.125" style="1203" bestFit="1" customWidth="1"/>
    <col min="13584" max="13584" width="3.625" style="1203" customWidth="1"/>
    <col min="13585"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3" style="1203" customWidth="1"/>
    <col min="13833" max="13833" width="12" style="1203" customWidth="1"/>
    <col min="13834" max="13834" width="12.75" style="1203" customWidth="1"/>
    <col min="13835" max="13835" width="13" style="1203" customWidth="1"/>
    <col min="13836" max="13836" width="12.375" style="1203" customWidth="1"/>
    <col min="13837" max="13837" width="11.75" style="1203" customWidth="1"/>
    <col min="13838" max="13838" width="13" style="1203" customWidth="1"/>
    <col min="13839" max="13839" width="14.125" style="1203" bestFit="1" customWidth="1"/>
    <col min="13840" max="13840" width="3.625" style="1203" customWidth="1"/>
    <col min="13841"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3" style="1203" customWidth="1"/>
    <col min="14089" max="14089" width="12" style="1203" customWidth="1"/>
    <col min="14090" max="14090" width="12.75" style="1203" customWidth="1"/>
    <col min="14091" max="14091" width="13" style="1203" customWidth="1"/>
    <col min="14092" max="14092" width="12.375" style="1203" customWidth="1"/>
    <col min="14093" max="14093" width="11.75" style="1203" customWidth="1"/>
    <col min="14094" max="14094" width="13" style="1203" customWidth="1"/>
    <col min="14095" max="14095" width="14.125" style="1203" bestFit="1" customWidth="1"/>
    <col min="14096" max="14096" width="3.625" style="1203" customWidth="1"/>
    <col min="14097"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3" style="1203" customWidth="1"/>
    <col min="14345" max="14345" width="12" style="1203" customWidth="1"/>
    <col min="14346" max="14346" width="12.75" style="1203" customWidth="1"/>
    <col min="14347" max="14347" width="13" style="1203" customWidth="1"/>
    <col min="14348" max="14348" width="12.375" style="1203" customWidth="1"/>
    <col min="14349" max="14349" width="11.75" style="1203" customWidth="1"/>
    <col min="14350" max="14350" width="13" style="1203" customWidth="1"/>
    <col min="14351" max="14351" width="14.125" style="1203" bestFit="1" customWidth="1"/>
    <col min="14352" max="14352" width="3.625" style="1203" customWidth="1"/>
    <col min="14353"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3" style="1203" customWidth="1"/>
    <col min="14601" max="14601" width="12" style="1203" customWidth="1"/>
    <col min="14602" max="14602" width="12.75" style="1203" customWidth="1"/>
    <col min="14603" max="14603" width="13" style="1203" customWidth="1"/>
    <col min="14604" max="14604" width="12.375" style="1203" customWidth="1"/>
    <col min="14605" max="14605" width="11.75" style="1203" customWidth="1"/>
    <col min="14606" max="14606" width="13" style="1203" customWidth="1"/>
    <col min="14607" max="14607" width="14.125" style="1203" bestFit="1" customWidth="1"/>
    <col min="14608" max="14608" width="3.625" style="1203" customWidth="1"/>
    <col min="14609"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3" style="1203" customWidth="1"/>
    <col min="14857" max="14857" width="12" style="1203" customWidth="1"/>
    <col min="14858" max="14858" width="12.75" style="1203" customWidth="1"/>
    <col min="14859" max="14859" width="13" style="1203" customWidth="1"/>
    <col min="14860" max="14860" width="12.375" style="1203" customWidth="1"/>
    <col min="14861" max="14861" width="11.75" style="1203" customWidth="1"/>
    <col min="14862" max="14862" width="13" style="1203" customWidth="1"/>
    <col min="14863" max="14863" width="14.125" style="1203" bestFit="1" customWidth="1"/>
    <col min="14864" max="14864" width="3.625" style="1203" customWidth="1"/>
    <col min="14865"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3" style="1203" customWidth="1"/>
    <col min="15113" max="15113" width="12" style="1203" customWidth="1"/>
    <col min="15114" max="15114" width="12.75" style="1203" customWidth="1"/>
    <col min="15115" max="15115" width="13" style="1203" customWidth="1"/>
    <col min="15116" max="15116" width="12.375" style="1203" customWidth="1"/>
    <col min="15117" max="15117" width="11.75" style="1203" customWidth="1"/>
    <col min="15118" max="15118" width="13" style="1203" customWidth="1"/>
    <col min="15119" max="15119" width="14.125" style="1203" bestFit="1" customWidth="1"/>
    <col min="15120" max="15120" width="3.625" style="1203" customWidth="1"/>
    <col min="15121"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3" style="1203" customWidth="1"/>
    <col min="15369" max="15369" width="12" style="1203" customWidth="1"/>
    <col min="15370" max="15370" width="12.75" style="1203" customWidth="1"/>
    <col min="15371" max="15371" width="13" style="1203" customWidth="1"/>
    <col min="15372" max="15372" width="12.375" style="1203" customWidth="1"/>
    <col min="15373" max="15373" width="11.75" style="1203" customWidth="1"/>
    <col min="15374" max="15374" width="13" style="1203" customWidth="1"/>
    <col min="15375" max="15375" width="14.125" style="1203" bestFit="1" customWidth="1"/>
    <col min="15376" max="15376" width="3.625" style="1203" customWidth="1"/>
    <col min="15377"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3" style="1203" customWidth="1"/>
    <col min="15625" max="15625" width="12" style="1203" customWidth="1"/>
    <col min="15626" max="15626" width="12.75" style="1203" customWidth="1"/>
    <col min="15627" max="15627" width="13" style="1203" customWidth="1"/>
    <col min="15628" max="15628" width="12.375" style="1203" customWidth="1"/>
    <col min="15629" max="15629" width="11.75" style="1203" customWidth="1"/>
    <col min="15630" max="15630" width="13" style="1203" customWidth="1"/>
    <col min="15631" max="15631" width="14.125" style="1203" bestFit="1" customWidth="1"/>
    <col min="15632" max="15632" width="3.625" style="1203" customWidth="1"/>
    <col min="15633"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3" style="1203" customWidth="1"/>
    <col min="15881" max="15881" width="12" style="1203" customWidth="1"/>
    <col min="15882" max="15882" width="12.75" style="1203" customWidth="1"/>
    <col min="15883" max="15883" width="13" style="1203" customWidth="1"/>
    <col min="15884" max="15884" width="12.375" style="1203" customWidth="1"/>
    <col min="15885" max="15885" width="11.75" style="1203" customWidth="1"/>
    <col min="15886" max="15886" width="13" style="1203" customWidth="1"/>
    <col min="15887" max="15887" width="14.125" style="1203" bestFit="1" customWidth="1"/>
    <col min="15888" max="15888" width="3.625" style="1203" customWidth="1"/>
    <col min="15889"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3" style="1203" customWidth="1"/>
    <col min="16137" max="16137" width="12" style="1203" customWidth="1"/>
    <col min="16138" max="16138" width="12.75" style="1203" customWidth="1"/>
    <col min="16139" max="16139" width="13" style="1203" customWidth="1"/>
    <col min="16140" max="16140" width="12.375" style="1203" customWidth="1"/>
    <col min="16141" max="16141" width="11.75" style="1203" customWidth="1"/>
    <col min="16142" max="16142" width="13" style="1203" customWidth="1"/>
    <col min="16143" max="16143" width="14.125" style="1203" bestFit="1" customWidth="1"/>
    <col min="16144" max="16144" width="3.625" style="1203" customWidth="1"/>
    <col min="16145" max="16384" width="9" style="1203"/>
  </cols>
  <sheetData>
    <row r="1" spans="1:15" ht="24.95" customHeight="1">
      <c r="A1" s="1287" t="s">
        <v>4717</v>
      </c>
    </row>
    <row r="2" spans="1:15" ht="24.95" customHeight="1" thickBot="1">
      <c r="A2" s="1203" t="s">
        <v>1718</v>
      </c>
      <c r="K2" s="1248" t="s">
        <v>1717</v>
      </c>
    </row>
    <row r="3" spans="1:15" ht="24.95" customHeight="1">
      <c r="A3" s="1222" t="s">
        <v>1716</v>
      </c>
      <c r="B3" s="1221"/>
      <c r="C3" s="1221"/>
      <c r="D3" s="1286" t="s">
        <v>1715</v>
      </c>
      <c r="E3" s="1285" t="s">
        <v>1714</v>
      </c>
      <c r="F3" s="1283"/>
      <c r="G3" s="1283"/>
      <c r="H3" s="1282"/>
      <c r="I3" s="1284" t="s">
        <v>1713</v>
      </c>
      <c r="J3" s="1283"/>
      <c r="K3" s="1282"/>
    </row>
    <row r="4" spans="1:15" s="1262" customFormat="1" ht="24.95" customHeight="1">
      <c r="A4" s="1281"/>
      <c r="B4" s="1280"/>
      <c r="C4" s="1280"/>
      <c r="D4" s="1279"/>
      <c r="E4" s="1278" t="s">
        <v>1712</v>
      </c>
      <c r="F4" s="1277"/>
      <c r="G4" s="1276" t="s">
        <v>1711</v>
      </c>
      <c r="H4" s="1273" t="s">
        <v>1710</v>
      </c>
      <c r="I4" s="1275" t="s">
        <v>1712</v>
      </c>
      <c r="J4" s="1274" t="s">
        <v>1711</v>
      </c>
      <c r="K4" s="1273" t="s">
        <v>1710</v>
      </c>
    </row>
    <row r="5" spans="1:15" s="1264" customFormat="1" ht="24.95" customHeight="1">
      <c r="A5" s="1272"/>
      <c r="B5" s="1271"/>
      <c r="C5" s="1271"/>
      <c r="D5" s="1270"/>
      <c r="E5" s="1269" t="s">
        <v>1707</v>
      </c>
      <c r="F5" s="1266" t="s">
        <v>1709</v>
      </c>
      <c r="G5" s="1268" t="s">
        <v>1708</v>
      </c>
      <c r="H5" s="1265"/>
      <c r="I5" s="1267" t="s">
        <v>1707</v>
      </c>
      <c r="J5" s="1266" t="s">
        <v>1707</v>
      </c>
      <c r="K5" s="1265"/>
    </row>
    <row r="6" spans="1:15" ht="24.95" customHeight="1">
      <c r="A6" s="1254"/>
      <c r="B6" s="1244" t="s">
        <v>1669</v>
      </c>
      <c r="C6" s="1247"/>
      <c r="D6" s="1235">
        <f>SUM(D7:D20)</f>
        <v>11612284940</v>
      </c>
      <c r="E6" s="1234">
        <f>SUM(E7:E20)</f>
        <v>2836808146</v>
      </c>
      <c r="F6" s="1231">
        <f>SUM(F7:F20)</f>
        <v>270904224</v>
      </c>
      <c r="G6" s="1231">
        <f>SUM(G7:G20)</f>
        <v>456300637</v>
      </c>
      <c r="H6" s="1230">
        <f t="shared" ref="H6:H24" si="0">SUM(E6:G6)</f>
        <v>3564013007</v>
      </c>
      <c r="I6" s="1232">
        <f>SUM(I7:I20)</f>
        <v>231363468</v>
      </c>
      <c r="J6" s="1231">
        <f>SUM(J7:J20)</f>
        <v>7816908465</v>
      </c>
      <c r="K6" s="1230">
        <f t="shared" ref="K6:K24" si="1">SUM(I6:J6)</f>
        <v>8048271933</v>
      </c>
      <c r="M6" s="1203">
        <f t="shared" ref="M6:M24" si="2">D6-H6-K6</f>
        <v>0</v>
      </c>
    </row>
    <row r="7" spans="1:15" ht="24.95" customHeight="1">
      <c r="A7" s="1241"/>
      <c r="B7" s="1244"/>
      <c r="C7" s="1244" t="s">
        <v>1502</v>
      </c>
      <c r="D7" s="1235">
        <f>+雨汚水!E7</f>
        <v>611819957</v>
      </c>
      <c r="E7" s="1234">
        <f>+雨汚水!F7</f>
        <v>285727057</v>
      </c>
      <c r="F7" s="1231">
        <f>+雨汚水!G7</f>
        <v>60054665</v>
      </c>
      <c r="G7" s="1231">
        <f>+雨汚水!H7</f>
        <v>0</v>
      </c>
      <c r="H7" s="1230">
        <f t="shared" si="0"/>
        <v>345781722</v>
      </c>
      <c r="I7" s="1232">
        <f>+雨汚水!J7</f>
        <v>0</v>
      </c>
      <c r="J7" s="1231">
        <f>+雨汚水!K7</f>
        <v>266038235</v>
      </c>
      <c r="K7" s="1230">
        <f t="shared" si="1"/>
        <v>266038235</v>
      </c>
      <c r="M7" s="1203">
        <f t="shared" si="2"/>
        <v>0</v>
      </c>
    </row>
    <row r="8" spans="1:15" ht="24.95" customHeight="1">
      <c r="A8" s="1241"/>
      <c r="B8" s="1245"/>
      <c r="C8" s="1244" t="s">
        <v>1499</v>
      </c>
      <c r="D8" s="1235">
        <f>+雨汚水!E8</f>
        <v>52443869</v>
      </c>
      <c r="E8" s="1234">
        <f>+雨汚水!F8</f>
        <v>0</v>
      </c>
      <c r="F8" s="1231">
        <f>+雨汚水!G8</f>
        <v>0</v>
      </c>
      <c r="G8" s="1231">
        <f>+雨汚水!H8</f>
        <v>0</v>
      </c>
      <c r="H8" s="1230">
        <f t="shared" si="0"/>
        <v>0</v>
      </c>
      <c r="I8" s="1232">
        <f>+雨汚水!J8</f>
        <v>52443869</v>
      </c>
      <c r="J8" s="1231">
        <f>+雨汚水!K8</f>
        <v>0</v>
      </c>
      <c r="K8" s="1230">
        <f t="shared" si="1"/>
        <v>52443869</v>
      </c>
      <c r="M8" s="1203">
        <f t="shared" si="2"/>
        <v>0</v>
      </c>
    </row>
    <row r="9" spans="1:15" ht="24.95" customHeight="1">
      <c r="A9" s="1241"/>
      <c r="B9" s="1245"/>
      <c r="C9" s="1244" t="s">
        <v>1496</v>
      </c>
      <c r="D9" s="1235">
        <f>+雨汚水!E9</f>
        <v>2356040225</v>
      </c>
      <c r="E9" s="1234">
        <f>+雨汚水!F9</f>
        <v>1724925338</v>
      </c>
      <c r="F9" s="1231">
        <f>+雨汚水!G9</f>
        <v>55051811</v>
      </c>
      <c r="G9" s="1231">
        <f>+雨汚水!H9</f>
        <v>0</v>
      </c>
      <c r="H9" s="1230">
        <f t="shared" si="0"/>
        <v>1779977149</v>
      </c>
      <c r="I9" s="1232">
        <f>+雨汚水!J9</f>
        <v>0</v>
      </c>
      <c r="J9" s="1231">
        <f>+雨汚水!K9</f>
        <v>576063076</v>
      </c>
      <c r="K9" s="1230">
        <f t="shared" si="1"/>
        <v>576063076</v>
      </c>
      <c r="M9" s="1203">
        <f t="shared" si="2"/>
        <v>0</v>
      </c>
    </row>
    <row r="10" spans="1:15" ht="24.95" customHeight="1">
      <c r="A10" s="1241"/>
      <c r="B10" s="1245"/>
      <c r="C10" s="1244" t="s">
        <v>1494</v>
      </c>
      <c r="D10" s="1235">
        <f>+雨汚水!E10</f>
        <v>6557703864</v>
      </c>
      <c r="E10" s="1234">
        <f>+雨汚水!F10</f>
        <v>703775367</v>
      </c>
      <c r="F10" s="1231">
        <f>+雨汚水!G10</f>
        <v>144110894</v>
      </c>
      <c r="G10" s="1231">
        <f>+雨汚水!H10</f>
        <v>445816778</v>
      </c>
      <c r="H10" s="1230">
        <f t="shared" si="0"/>
        <v>1293703039</v>
      </c>
      <c r="I10" s="1263">
        <f>+雨汚水!J10</f>
        <v>134494824</v>
      </c>
      <c r="J10" s="1231">
        <f>+雨汚水!K10</f>
        <v>5129506001</v>
      </c>
      <c r="K10" s="1230">
        <f t="shared" si="1"/>
        <v>5264000825</v>
      </c>
      <c r="M10" s="1203">
        <f t="shared" si="2"/>
        <v>0</v>
      </c>
    </row>
    <row r="11" spans="1:15" ht="24.95" customHeight="1">
      <c r="A11" s="1241"/>
      <c r="B11" s="1245"/>
      <c r="C11" s="1244" t="s">
        <v>1492</v>
      </c>
      <c r="D11" s="1235">
        <f>+雨汚水!E11</f>
        <v>0</v>
      </c>
      <c r="E11" s="1234">
        <f>+雨汚水!F11</f>
        <v>0</v>
      </c>
      <c r="F11" s="1231">
        <f>+雨汚水!G11</f>
        <v>0</v>
      </c>
      <c r="G11" s="1231">
        <f>+雨汚水!H11</f>
        <v>0</v>
      </c>
      <c r="H11" s="1230">
        <f t="shared" si="0"/>
        <v>0</v>
      </c>
      <c r="I11" s="1232">
        <f>+雨汚水!J11</f>
        <v>0</v>
      </c>
      <c r="J11" s="1231">
        <f>+雨汚水!K11</f>
        <v>0</v>
      </c>
      <c r="K11" s="1230">
        <f t="shared" si="1"/>
        <v>0</v>
      </c>
      <c r="L11" s="1262" t="s">
        <v>1706</v>
      </c>
      <c r="M11" s="1203">
        <f t="shared" si="2"/>
        <v>0</v>
      </c>
    </row>
    <row r="12" spans="1:15" ht="24.95" customHeight="1">
      <c r="A12" s="1241"/>
      <c r="B12" s="1245"/>
      <c r="C12" s="1244" t="s">
        <v>1490</v>
      </c>
      <c r="D12" s="1235">
        <f>+雨汚水!E12</f>
        <v>88849549</v>
      </c>
      <c r="E12" s="1234">
        <f>+雨汚水!F12</f>
        <v>0</v>
      </c>
      <c r="F12" s="1231">
        <f>+雨汚水!G12</f>
        <v>0</v>
      </c>
      <c r="G12" s="1231">
        <f>+雨汚水!H12</f>
        <v>0</v>
      </c>
      <c r="H12" s="1230">
        <f t="shared" si="0"/>
        <v>0</v>
      </c>
      <c r="I12" s="1232">
        <f>+雨汚水!J12</f>
        <v>44424775</v>
      </c>
      <c r="J12" s="1231">
        <f>+雨汚水!K12</f>
        <v>44424774</v>
      </c>
      <c r="K12" s="1230">
        <f t="shared" si="1"/>
        <v>88849549</v>
      </c>
      <c r="L12" s="1203">
        <f>G12+I12</f>
        <v>44424775</v>
      </c>
      <c r="M12" s="1203">
        <f t="shared" si="2"/>
        <v>0</v>
      </c>
    </row>
    <row r="13" spans="1:15" ht="24.95" customHeight="1">
      <c r="A13" s="1241"/>
      <c r="B13" s="1245"/>
      <c r="C13" s="1259" t="s">
        <v>1487</v>
      </c>
      <c r="D13" s="1235">
        <f>+雨汚水!E13</f>
        <v>10483859</v>
      </c>
      <c r="E13" s="1234">
        <f>+雨汚水!F13</f>
        <v>0</v>
      </c>
      <c r="F13" s="1231">
        <f>+雨汚水!G13</f>
        <v>0</v>
      </c>
      <c r="G13" s="1231">
        <f>+雨汚水!H13</f>
        <v>10483859</v>
      </c>
      <c r="H13" s="1230">
        <f t="shared" si="0"/>
        <v>10483859</v>
      </c>
      <c r="I13" s="1232">
        <f>+雨汚水!J13</f>
        <v>0</v>
      </c>
      <c r="J13" s="1231">
        <f>+雨汚水!K13</f>
        <v>0</v>
      </c>
      <c r="K13" s="1230">
        <f t="shared" si="1"/>
        <v>0</v>
      </c>
      <c r="L13" s="1203" t="s">
        <v>1705</v>
      </c>
      <c r="M13" s="1203">
        <f t="shared" si="2"/>
        <v>0</v>
      </c>
    </row>
    <row r="14" spans="1:15" ht="24.95" customHeight="1">
      <c r="A14" s="1241"/>
      <c r="B14" s="1245"/>
      <c r="C14" s="1244" t="s">
        <v>1485</v>
      </c>
      <c r="D14" s="1235">
        <f>+雨汚水!E14</f>
        <v>1019945143</v>
      </c>
      <c r="E14" s="1234">
        <f>+雨汚水!F14</f>
        <v>0</v>
      </c>
      <c r="F14" s="1231">
        <f>+雨汚水!G14</f>
        <v>0</v>
      </c>
      <c r="G14" s="1231">
        <f>+雨汚水!H14</f>
        <v>0</v>
      </c>
      <c r="H14" s="1230">
        <f t="shared" si="0"/>
        <v>0</v>
      </c>
      <c r="I14" s="1232">
        <f>+雨汚水!J14</f>
        <v>0</v>
      </c>
      <c r="J14" s="1231">
        <f>+雨汚水!K14</f>
        <v>1019945143</v>
      </c>
      <c r="K14" s="1230">
        <f t="shared" si="1"/>
        <v>1019945143</v>
      </c>
      <c r="L14" s="1203">
        <f>G13+G40</f>
        <v>10483859</v>
      </c>
      <c r="M14" s="1203">
        <f t="shared" si="2"/>
        <v>0</v>
      </c>
      <c r="O14" s="1261" t="s">
        <v>1704</v>
      </c>
    </row>
    <row r="15" spans="1:15" ht="24.95" customHeight="1">
      <c r="A15" s="1241"/>
      <c r="B15" s="1245"/>
      <c r="C15" s="1244" t="s">
        <v>1483</v>
      </c>
      <c r="D15" s="1235">
        <f>+雨汚水!E15</f>
        <v>483965214</v>
      </c>
      <c r="E15" s="1234">
        <f>+雨汚水!F15</f>
        <v>122380384</v>
      </c>
      <c r="F15" s="1231">
        <f>+雨汚水!G15</f>
        <v>11686854</v>
      </c>
      <c r="G15" s="1231">
        <f>+雨汚水!H15</f>
        <v>0</v>
      </c>
      <c r="H15" s="1230">
        <f t="shared" si="0"/>
        <v>134067238</v>
      </c>
      <c r="I15" s="1232">
        <f>+雨汚水!J15</f>
        <v>0</v>
      </c>
      <c r="J15" s="1231">
        <f>+雨汚水!K15</f>
        <v>349897976</v>
      </c>
      <c r="K15" s="1230">
        <f t="shared" si="1"/>
        <v>349897976</v>
      </c>
      <c r="M15" s="1203">
        <f t="shared" si="2"/>
        <v>0</v>
      </c>
      <c r="O15" s="1260">
        <f>+総係!E37-総係!E36</f>
        <v>482288769</v>
      </c>
    </row>
    <row r="16" spans="1:15" ht="24.95" customHeight="1">
      <c r="A16" s="1241"/>
      <c r="B16" s="1245"/>
      <c r="C16" s="1259" t="s">
        <v>1703</v>
      </c>
      <c r="D16" s="1235">
        <f>+雨汚水!E16</f>
        <v>106990906</v>
      </c>
      <c r="E16" s="1234">
        <f>+雨汚水!F16</f>
        <v>0</v>
      </c>
      <c r="F16" s="1231">
        <f>+雨汚水!G16</f>
        <v>0</v>
      </c>
      <c r="G16" s="1231">
        <f>+雨汚水!H16</f>
        <v>0</v>
      </c>
      <c r="H16" s="1230">
        <f t="shared" si="0"/>
        <v>0</v>
      </c>
      <c r="I16" s="1232">
        <f>+雨汚水!J16</f>
        <v>0</v>
      </c>
      <c r="J16" s="1231">
        <f>+雨汚水!K16</f>
        <v>106990906</v>
      </c>
      <c r="K16" s="1230">
        <f t="shared" si="1"/>
        <v>106990906</v>
      </c>
      <c r="M16" s="1203">
        <f t="shared" si="2"/>
        <v>0</v>
      </c>
    </row>
    <row r="17" spans="1:13" ht="24.95" customHeight="1">
      <c r="A17" s="1241"/>
      <c r="B17" s="1245"/>
      <c r="C17" s="1244" t="s">
        <v>1702</v>
      </c>
      <c r="D17" s="1235">
        <f>+雨汚水!E17</f>
        <v>247654024</v>
      </c>
      <c r="E17" s="1234">
        <f>+雨汚水!F17</f>
        <v>0</v>
      </c>
      <c r="F17" s="1231">
        <f>+雨汚水!G17</f>
        <v>0</v>
      </c>
      <c r="G17" s="1231">
        <f>+雨汚水!H17</f>
        <v>0</v>
      </c>
      <c r="H17" s="1230">
        <f t="shared" si="0"/>
        <v>0</v>
      </c>
      <c r="I17" s="1232">
        <f>+雨汚水!J17</f>
        <v>0</v>
      </c>
      <c r="J17" s="1231">
        <f>+雨汚水!K17</f>
        <v>247654024</v>
      </c>
      <c r="K17" s="1230">
        <f t="shared" si="1"/>
        <v>247654024</v>
      </c>
      <c r="M17" s="1203">
        <f t="shared" si="2"/>
        <v>0</v>
      </c>
    </row>
    <row r="18" spans="1:13" ht="24.95" customHeight="1">
      <c r="A18" s="1241"/>
      <c r="B18" s="1245"/>
      <c r="C18" s="1244" t="s">
        <v>1701</v>
      </c>
      <c r="D18" s="1235">
        <f>+雨汚水!E18</f>
        <v>76388330</v>
      </c>
      <c r="E18" s="1234">
        <f>+雨汚水!F18</f>
        <v>0</v>
      </c>
      <c r="F18" s="1231">
        <f>+雨汚水!G18</f>
        <v>0</v>
      </c>
      <c r="G18" s="1231">
        <f>+雨汚水!H18</f>
        <v>0</v>
      </c>
      <c r="H18" s="1230">
        <f t="shared" si="0"/>
        <v>0</v>
      </c>
      <c r="I18" s="1232">
        <f>+雨汚水!J18</f>
        <v>0</v>
      </c>
      <c r="J18" s="1231">
        <f>+雨汚水!K18</f>
        <v>76388330</v>
      </c>
      <c r="K18" s="1230">
        <f t="shared" si="1"/>
        <v>76388330</v>
      </c>
      <c r="M18" s="1203">
        <f t="shared" si="2"/>
        <v>0</v>
      </c>
    </row>
    <row r="19" spans="1:13" ht="24.95" customHeight="1">
      <c r="A19" s="1241"/>
      <c r="B19" s="1245"/>
      <c r="C19" s="1244" t="s">
        <v>1700</v>
      </c>
      <c r="D19" s="1235">
        <f>+雨汚水!E19</f>
        <v>0</v>
      </c>
      <c r="E19" s="1234">
        <f>+雨汚水!F19</f>
        <v>0</v>
      </c>
      <c r="F19" s="1231">
        <f>+雨汚水!G19</f>
        <v>0</v>
      </c>
      <c r="G19" s="1231">
        <f>+雨汚水!H19</f>
        <v>0</v>
      </c>
      <c r="H19" s="1230">
        <f t="shared" si="0"/>
        <v>0</v>
      </c>
      <c r="I19" s="1232">
        <f>+雨汚水!J19</f>
        <v>0</v>
      </c>
      <c r="J19" s="1231">
        <f>+雨汚水!K19</f>
        <v>0</v>
      </c>
      <c r="K19" s="1230">
        <f t="shared" si="1"/>
        <v>0</v>
      </c>
      <c r="M19" s="1203">
        <f t="shared" si="2"/>
        <v>0</v>
      </c>
    </row>
    <row r="20" spans="1:13" ht="24.95" customHeight="1">
      <c r="A20" s="1241"/>
      <c r="B20" s="1245"/>
      <c r="C20" s="1244" t="s">
        <v>1699</v>
      </c>
      <c r="D20" s="1235">
        <f>+雨汚水!E20</f>
        <v>0</v>
      </c>
      <c r="E20" s="1234">
        <f>+雨汚水!F20</f>
        <v>0</v>
      </c>
      <c r="F20" s="1231">
        <f>+雨汚水!G20</f>
        <v>0</v>
      </c>
      <c r="G20" s="1231">
        <f>+雨汚水!H20</f>
        <v>0</v>
      </c>
      <c r="H20" s="1230">
        <f t="shared" si="0"/>
        <v>0</v>
      </c>
      <c r="I20" s="1232">
        <f>+雨汚水!J20</f>
        <v>0</v>
      </c>
      <c r="J20" s="1231">
        <f>+雨汚水!K20</f>
        <v>0</v>
      </c>
      <c r="K20" s="1230">
        <f t="shared" si="1"/>
        <v>0</v>
      </c>
      <c r="M20" s="1203">
        <f t="shared" si="2"/>
        <v>0</v>
      </c>
    </row>
    <row r="21" spans="1:13" ht="24.95" customHeight="1">
      <c r="A21" s="1241"/>
      <c r="B21" s="1244" t="s">
        <v>1657</v>
      </c>
      <c r="C21" s="1244"/>
      <c r="D21" s="1235">
        <f>SUM(D22:D25)</f>
        <v>9226652</v>
      </c>
      <c r="E21" s="1234">
        <f>SUM(E22:E25)</f>
        <v>0</v>
      </c>
      <c r="F21" s="1231">
        <f>SUM(F22:F25)</f>
        <v>0</v>
      </c>
      <c r="G21" s="1231">
        <f>SUM(G22:G25)</f>
        <v>0</v>
      </c>
      <c r="H21" s="1230">
        <f t="shared" si="0"/>
        <v>0</v>
      </c>
      <c r="I21" s="1232">
        <f>SUM(I22:I25)</f>
        <v>0</v>
      </c>
      <c r="J21" s="1231">
        <f>SUM(J22:J25)</f>
        <v>9226652</v>
      </c>
      <c r="K21" s="1230">
        <f t="shared" si="1"/>
        <v>9226652</v>
      </c>
      <c r="M21" s="1203">
        <f t="shared" si="2"/>
        <v>0</v>
      </c>
    </row>
    <row r="22" spans="1:13" ht="24.95" customHeight="1">
      <c r="A22" s="1241"/>
      <c r="B22" s="1244"/>
      <c r="C22" s="1244" t="s">
        <v>1698</v>
      </c>
      <c r="D22" s="1235">
        <f>+雨汚水!E22</f>
        <v>2483</v>
      </c>
      <c r="E22" s="1234">
        <f>+雨汚水!F22</f>
        <v>0</v>
      </c>
      <c r="F22" s="1231">
        <f>+雨汚水!G22</f>
        <v>0</v>
      </c>
      <c r="G22" s="1231">
        <f>+雨汚水!H22</f>
        <v>0</v>
      </c>
      <c r="H22" s="1230">
        <f t="shared" si="0"/>
        <v>0</v>
      </c>
      <c r="I22" s="1232">
        <f>+雨汚水!J22</f>
        <v>0</v>
      </c>
      <c r="J22" s="1231">
        <f>+雨汚水!K22</f>
        <v>2483</v>
      </c>
      <c r="K22" s="1230">
        <f t="shared" si="1"/>
        <v>2483</v>
      </c>
      <c r="M22" s="1203">
        <f t="shared" si="2"/>
        <v>0</v>
      </c>
    </row>
    <row r="23" spans="1:13" ht="24.95" customHeight="1">
      <c r="A23" s="1241"/>
      <c r="B23" s="1245"/>
      <c r="C23" s="1244" t="s">
        <v>1656</v>
      </c>
      <c r="D23" s="1235">
        <f>雨汚水!E23</f>
        <v>25896</v>
      </c>
      <c r="E23" s="1234">
        <f>雨汚水!F23</f>
        <v>0</v>
      </c>
      <c r="F23" s="1231">
        <f>雨汚水!G23</f>
        <v>0</v>
      </c>
      <c r="G23" s="1231">
        <f>+雨汚水!H23</f>
        <v>0</v>
      </c>
      <c r="H23" s="1230">
        <f t="shared" si="0"/>
        <v>0</v>
      </c>
      <c r="I23" s="1232">
        <f>+雨汚水!J23</f>
        <v>0</v>
      </c>
      <c r="J23" s="1231">
        <f>+雨汚水!K23</f>
        <v>25896</v>
      </c>
      <c r="K23" s="1230">
        <f t="shared" si="1"/>
        <v>25896</v>
      </c>
      <c r="M23" s="1203">
        <f t="shared" si="2"/>
        <v>0</v>
      </c>
    </row>
    <row r="24" spans="1:13" ht="24.95" customHeight="1">
      <c r="A24" s="1241"/>
      <c r="B24" s="1245"/>
      <c r="C24" s="1259" t="s">
        <v>1697</v>
      </c>
      <c r="D24" s="1235">
        <f>雨汚水!E24</f>
        <v>9198273</v>
      </c>
      <c r="E24" s="1234">
        <f>雨汚水!F24</f>
        <v>0</v>
      </c>
      <c r="F24" s="1231">
        <f>雨汚水!G24</f>
        <v>0</v>
      </c>
      <c r="G24" s="1231">
        <f>+雨汚水!H24</f>
        <v>0</v>
      </c>
      <c r="H24" s="1230">
        <f t="shared" si="0"/>
        <v>0</v>
      </c>
      <c r="I24" s="1232">
        <f>+雨汚水!J24</f>
        <v>0</v>
      </c>
      <c r="J24" s="1231">
        <f>+雨汚水!K24</f>
        <v>9198273</v>
      </c>
      <c r="K24" s="1230">
        <f t="shared" si="1"/>
        <v>9198273</v>
      </c>
      <c r="M24" s="1203">
        <f t="shared" si="2"/>
        <v>0</v>
      </c>
    </row>
    <row r="25" spans="1:13" ht="24.95" customHeight="1">
      <c r="A25" s="1241"/>
      <c r="B25" s="1245"/>
      <c r="C25" s="1259" t="s">
        <v>1689</v>
      </c>
      <c r="D25" s="1235"/>
      <c r="E25" s="1234"/>
      <c r="F25" s="1231"/>
      <c r="G25" s="1231"/>
      <c r="H25" s="1230"/>
      <c r="I25" s="1258"/>
      <c r="J25" s="1231"/>
      <c r="K25" s="1230"/>
    </row>
    <row r="26" spans="1:13" ht="24.95" customHeight="1">
      <c r="A26" s="1241"/>
      <c r="B26" s="1244" t="s">
        <v>1653</v>
      </c>
      <c r="C26" s="1244"/>
      <c r="D26" s="1235">
        <f>SUM(D27:D28)</f>
        <v>20995298</v>
      </c>
      <c r="E26" s="1234">
        <f>SUM(E27:E28)</f>
        <v>6760</v>
      </c>
      <c r="F26" s="1231">
        <f>SUM(F27:F28)</f>
        <v>0</v>
      </c>
      <c r="G26" s="1231">
        <f>SUM(G27:G28)</f>
        <v>0</v>
      </c>
      <c r="H26" s="1230">
        <f>SUM(E26:G26)</f>
        <v>6760</v>
      </c>
      <c r="I26" s="1231">
        <f>SUM(I27:I28)</f>
        <v>0</v>
      </c>
      <c r="J26" s="1231">
        <f>SUM(J27:J28)</f>
        <v>20988538</v>
      </c>
      <c r="K26" s="1230">
        <f>SUM(I26:J26)</f>
        <v>20988538</v>
      </c>
      <c r="M26" s="1203">
        <f t="shared" ref="M26:M37" si="3">D26-H26-K26</f>
        <v>0</v>
      </c>
    </row>
    <row r="27" spans="1:13" ht="24.95" customHeight="1">
      <c r="A27" s="1241"/>
      <c r="B27" s="1244"/>
      <c r="C27" s="1257" t="s">
        <v>1696</v>
      </c>
      <c r="D27" s="1235">
        <f>+SUM(雨汚水!E28:E29)</f>
        <v>20995298</v>
      </c>
      <c r="E27" s="1234">
        <f>+SUM(雨汚水!F28:F29)</f>
        <v>6760</v>
      </c>
      <c r="F27" s="1231">
        <f>+SUM(雨汚水!G28:G29)</f>
        <v>0</v>
      </c>
      <c r="G27" s="1231">
        <f>+SUM(雨汚水!H28:H29)</f>
        <v>0</v>
      </c>
      <c r="H27" s="1230">
        <f>SUM(E27:G27)</f>
        <v>6760</v>
      </c>
      <c r="I27" s="1232">
        <f>+SUM(雨汚水!J28:J29)</f>
        <v>0</v>
      </c>
      <c r="J27" s="1231">
        <f>+SUM(雨汚水!K28:K29)</f>
        <v>20988538</v>
      </c>
      <c r="K27" s="1230">
        <f>SUM(I27:J27)</f>
        <v>20988538</v>
      </c>
      <c r="M27" s="1203">
        <f t="shared" si="3"/>
        <v>0</v>
      </c>
    </row>
    <row r="28" spans="1:13" ht="24.95" customHeight="1">
      <c r="A28" s="1241"/>
      <c r="B28" s="1245"/>
      <c r="C28" s="1244" t="s">
        <v>1435</v>
      </c>
      <c r="D28" s="1235">
        <f>+雨汚水!E30</f>
        <v>0</v>
      </c>
      <c r="E28" s="1234">
        <f>+雨汚水!F30</f>
        <v>0</v>
      </c>
      <c r="F28" s="1231">
        <f>+雨汚水!G30</f>
        <v>0</v>
      </c>
      <c r="G28" s="1231">
        <f>+雨汚水!H30</f>
        <v>0</v>
      </c>
      <c r="H28" s="1230">
        <f>SUM(E28:G28)</f>
        <v>0</v>
      </c>
      <c r="I28" s="1231">
        <f>+雨汚水!J30</f>
        <v>0</v>
      </c>
      <c r="J28" s="1231">
        <f>+雨汚水!K30</f>
        <v>0</v>
      </c>
      <c r="K28" s="1230">
        <f>SUM(I28:J28)</f>
        <v>0</v>
      </c>
      <c r="M28" s="1203">
        <f t="shared" si="3"/>
        <v>0</v>
      </c>
    </row>
    <row r="29" spans="1:13" ht="24.95" customHeight="1">
      <c r="A29" s="1241"/>
      <c r="B29" s="1242" t="s">
        <v>1695</v>
      </c>
      <c r="C29" s="1231"/>
      <c r="D29" s="1235">
        <v>0</v>
      </c>
      <c r="E29" s="1234"/>
      <c r="F29" s="1231"/>
      <c r="G29" s="1231">
        <f>D29</f>
        <v>0</v>
      </c>
      <c r="H29" s="1230">
        <f>SUM(E29:G29)</f>
        <v>0</v>
      </c>
      <c r="I29" s="1232"/>
      <c r="J29" s="1231"/>
      <c r="K29" s="1230">
        <f>SUM(I29:J29)</f>
        <v>0</v>
      </c>
      <c r="M29" s="1203">
        <f t="shared" si="3"/>
        <v>0</v>
      </c>
    </row>
    <row r="30" spans="1:13" ht="24.95" customHeight="1">
      <c r="A30" s="1228"/>
      <c r="B30" s="1205"/>
      <c r="C30" s="1205"/>
      <c r="D30" s="1235"/>
      <c r="E30" s="1234"/>
      <c r="F30" s="1231"/>
      <c r="G30" s="1231"/>
      <c r="H30" s="1230"/>
      <c r="I30" s="1232"/>
      <c r="J30" s="1231"/>
      <c r="K30" s="1230"/>
      <c r="L30" s="1248" t="s">
        <v>1694</v>
      </c>
      <c r="M30" s="1203">
        <f t="shared" si="3"/>
        <v>0</v>
      </c>
    </row>
    <row r="31" spans="1:13" ht="24.95" customHeight="1">
      <c r="A31" s="1256"/>
      <c r="B31" s="1213" t="s">
        <v>1676</v>
      </c>
      <c r="C31" s="1255"/>
      <c r="D31" s="1227">
        <f t="shared" ref="D31:K31" si="4">D6+D21+D26+D29</f>
        <v>11642506890</v>
      </c>
      <c r="E31" s="1226">
        <f t="shared" si="4"/>
        <v>2836814906</v>
      </c>
      <c r="F31" s="1224">
        <f t="shared" si="4"/>
        <v>270904224</v>
      </c>
      <c r="G31" s="1224">
        <f t="shared" si="4"/>
        <v>456300637</v>
      </c>
      <c r="H31" s="1223">
        <f t="shared" si="4"/>
        <v>3564019767</v>
      </c>
      <c r="I31" s="1225">
        <f t="shared" si="4"/>
        <v>231363468</v>
      </c>
      <c r="J31" s="1224">
        <f t="shared" si="4"/>
        <v>7847123655</v>
      </c>
      <c r="K31" s="1223">
        <f t="shared" si="4"/>
        <v>8078487123</v>
      </c>
      <c r="L31" s="1203">
        <f>H31+I31-I8-L12-G13</f>
        <v>3688030732</v>
      </c>
      <c r="M31" s="1203">
        <f t="shared" si="3"/>
        <v>0</v>
      </c>
    </row>
    <row r="32" spans="1:13" ht="24.95" customHeight="1">
      <c r="A32" s="1254"/>
      <c r="B32" s="1244" t="s">
        <v>1669</v>
      </c>
      <c r="C32" s="1253"/>
      <c r="D32" s="1252">
        <f>SUM(D33:D34)</f>
        <v>27055204101</v>
      </c>
      <c r="E32" s="1251">
        <f>SUM(E33:E34)</f>
        <v>12875255326</v>
      </c>
      <c r="F32" s="1237">
        <f>SUM(F33:F34)</f>
        <v>125365824</v>
      </c>
      <c r="G32" s="1237">
        <f>SUM(G33:G34)</f>
        <v>0</v>
      </c>
      <c r="H32" s="1249">
        <f t="shared" ref="H32:H37" si="5">SUM(E32:G32)</f>
        <v>13000621150</v>
      </c>
      <c r="I32" s="1250">
        <f>SUM(I33:I34)</f>
        <v>17206476</v>
      </c>
      <c r="J32" s="1237">
        <f>SUM(J33:J34)</f>
        <v>14037376475</v>
      </c>
      <c r="K32" s="1249">
        <f t="shared" ref="K32:K37" si="6">SUM(I32:J32)</f>
        <v>14054582951</v>
      </c>
      <c r="L32" s="1248" t="s">
        <v>1693</v>
      </c>
      <c r="M32" s="1203">
        <f t="shared" si="3"/>
        <v>0</v>
      </c>
    </row>
    <row r="33" spans="1:20" ht="24.95" customHeight="1">
      <c r="A33" s="1241"/>
      <c r="B33" s="1244"/>
      <c r="C33" s="1244" t="s">
        <v>1448</v>
      </c>
      <c r="D33" s="1235">
        <f>+雨汚水!E34</f>
        <v>26551442230</v>
      </c>
      <c r="E33" s="1234">
        <f>+雨汚水!F34</f>
        <v>12571100990</v>
      </c>
      <c r="F33" s="1231">
        <f>+雨汚水!G34</f>
        <v>122404286</v>
      </c>
      <c r="G33" s="1231">
        <f>+雨汚水!H34</f>
        <v>0</v>
      </c>
      <c r="H33" s="1230">
        <f t="shared" si="5"/>
        <v>12693505276</v>
      </c>
      <c r="I33" s="1232">
        <f>+雨汚水!J34</f>
        <v>17206476</v>
      </c>
      <c r="J33" s="1231">
        <f>+雨汚水!K34</f>
        <v>13840730478</v>
      </c>
      <c r="K33" s="1230">
        <f t="shared" si="6"/>
        <v>13857936954</v>
      </c>
      <c r="L33" s="1203">
        <f>E32+F32</f>
        <v>13000621150</v>
      </c>
      <c r="M33" s="1203">
        <f t="shared" si="3"/>
        <v>0</v>
      </c>
    </row>
    <row r="34" spans="1:20" ht="24.95" customHeight="1">
      <c r="A34" s="1241"/>
      <c r="B34" s="1245"/>
      <c r="C34" s="1244" t="s">
        <v>1692</v>
      </c>
      <c r="D34" s="1235">
        <f>+雨汚水!E35</f>
        <v>503761871</v>
      </c>
      <c r="E34" s="1234">
        <f>+雨汚水!F35</f>
        <v>304154336</v>
      </c>
      <c r="F34" s="1231">
        <f>+雨汚水!G35</f>
        <v>2961538</v>
      </c>
      <c r="G34" s="1231">
        <f>+雨汚水!H35</f>
        <v>0</v>
      </c>
      <c r="H34" s="1230">
        <f t="shared" si="5"/>
        <v>307115874</v>
      </c>
      <c r="I34" s="1232">
        <f>+雨汚水!J35</f>
        <v>0</v>
      </c>
      <c r="J34" s="1231">
        <f>+雨汚水!K35</f>
        <v>196645997</v>
      </c>
      <c r="K34" s="1230">
        <f t="shared" si="6"/>
        <v>196645997</v>
      </c>
      <c r="M34" s="1203">
        <f t="shared" si="3"/>
        <v>0</v>
      </c>
    </row>
    <row r="35" spans="1:20" ht="24.95" customHeight="1">
      <c r="A35" s="1241"/>
      <c r="B35" s="1247" t="s">
        <v>1657</v>
      </c>
      <c r="C35" s="1246"/>
      <c r="D35" s="1235">
        <f>SUM(D36:D37)</f>
        <v>3945958666</v>
      </c>
      <c r="E35" s="1234">
        <f>SUM(E36:E37)</f>
        <v>1668646349</v>
      </c>
      <c r="F35" s="1231">
        <f>SUM(F36:F37)</f>
        <v>0</v>
      </c>
      <c r="G35" s="1231">
        <f>SUM(G36:G37)</f>
        <v>36375158</v>
      </c>
      <c r="H35" s="1230">
        <f t="shared" si="5"/>
        <v>1705021507</v>
      </c>
      <c r="I35" s="1232">
        <f>SUM(I36:I37)</f>
        <v>315322238</v>
      </c>
      <c r="J35" s="1231">
        <f>SUM(J36:J37)</f>
        <v>1925614921</v>
      </c>
      <c r="K35" s="1230">
        <f t="shared" si="6"/>
        <v>2240937159</v>
      </c>
      <c r="M35" s="1203">
        <f t="shared" si="3"/>
        <v>0</v>
      </c>
    </row>
    <row r="36" spans="1:20" ht="24.95" customHeight="1">
      <c r="A36" s="1241"/>
      <c r="B36" s="1244"/>
      <c r="C36" s="1244" t="s">
        <v>1691</v>
      </c>
      <c r="D36" s="1235">
        <f>+SUM(雨汚水!E37:E38)</f>
        <v>3945958666</v>
      </c>
      <c r="E36" s="1234">
        <f>+SUM(雨汚水!F37:F38)</f>
        <v>1668646349</v>
      </c>
      <c r="F36" s="1231">
        <f>+SUM(雨汚水!G37:G38)</f>
        <v>0</v>
      </c>
      <c r="G36" s="1231">
        <f>+SUM(雨汚水!H37:H38)</f>
        <v>36375158</v>
      </c>
      <c r="H36" s="1230">
        <f t="shared" si="5"/>
        <v>1705021507</v>
      </c>
      <c r="I36" s="1232">
        <f>+SUM(雨汚水!J37:J38)</f>
        <v>315322238</v>
      </c>
      <c r="J36" s="1231">
        <f>+SUM(雨汚水!K37:K38)</f>
        <v>1925614921</v>
      </c>
      <c r="K36" s="1230">
        <f t="shared" si="6"/>
        <v>2240937159</v>
      </c>
      <c r="M36" s="1203">
        <f t="shared" si="3"/>
        <v>0</v>
      </c>
      <c r="Q36" s="1599" t="s">
        <v>1690</v>
      </c>
      <c r="R36" s="1599"/>
      <c r="S36" s="1599"/>
      <c r="T36" s="1599"/>
    </row>
    <row r="37" spans="1:20" ht="24.95" customHeight="1">
      <c r="A37" s="1241"/>
      <c r="B37" s="1245"/>
      <c r="C37" s="1244" t="s">
        <v>1689</v>
      </c>
      <c r="D37" s="1235"/>
      <c r="E37" s="1234"/>
      <c r="F37" s="1231"/>
      <c r="G37" s="1231"/>
      <c r="H37" s="1230">
        <f t="shared" si="5"/>
        <v>0</v>
      </c>
      <c r="I37" s="1232"/>
      <c r="J37" s="1231"/>
      <c r="K37" s="1230">
        <f t="shared" si="6"/>
        <v>0</v>
      </c>
      <c r="M37" s="1203">
        <f t="shared" si="3"/>
        <v>0</v>
      </c>
      <c r="N37" s="1600" t="s">
        <v>1688</v>
      </c>
      <c r="O37" s="1600"/>
      <c r="Q37" s="1599"/>
      <c r="R37" s="1599"/>
      <c r="S37" s="1599"/>
      <c r="T37" s="1599"/>
    </row>
    <row r="38" spans="1:20" ht="24.9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c r="N38" s="1229" t="s">
        <v>1678</v>
      </c>
      <c r="O38" s="1229" t="s">
        <v>1677</v>
      </c>
      <c r="Q38" s="1601" t="s">
        <v>1678</v>
      </c>
      <c r="R38" s="1601"/>
      <c r="S38" s="1601" t="s">
        <v>1677</v>
      </c>
      <c r="T38" s="1601"/>
    </row>
    <row r="39" spans="1:20" ht="24.95" customHeight="1">
      <c r="A39" s="1241"/>
      <c r="B39" s="1244"/>
      <c r="C39" s="1243" t="s">
        <v>1687</v>
      </c>
      <c r="D39" s="1235">
        <f>+SUM(雨汚水!E42:E44)</f>
        <v>0</v>
      </c>
      <c r="E39" s="1234">
        <f>+SUM(雨汚水!F42:F44)</f>
        <v>0</v>
      </c>
      <c r="F39" s="1231">
        <f>+SUM(雨汚水!G42:G44)</f>
        <v>0</v>
      </c>
      <c r="G39" s="1231">
        <f>+SUM(雨汚水!H42:H44)</f>
        <v>0</v>
      </c>
      <c r="H39" s="1242">
        <f>SUM(E39:G39)</f>
        <v>0</v>
      </c>
      <c r="I39" s="1232">
        <f>+SUM(雨汚水!J42:J44)</f>
        <v>0</v>
      </c>
      <c r="J39" s="1231">
        <f>+SUM(雨汚水!K42:K44)</f>
        <v>0</v>
      </c>
      <c r="K39" s="1230">
        <f>SUM(I39:J39)</f>
        <v>0</v>
      </c>
      <c r="M39" s="1203">
        <f>D39-H39-K39</f>
        <v>0</v>
      </c>
      <c r="N39" s="1206"/>
      <c r="O39" s="1206"/>
      <c r="Q39" s="1229" t="s">
        <v>1686</v>
      </c>
      <c r="R39" s="1229" t="s">
        <v>1685</v>
      </c>
      <c r="S39" s="1229" t="s">
        <v>1684</v>
      </c>
      <c r="T39" s="1229" t="s">
        <v>1683</v>
      </c>
    </row>
    <row r="40" spans="1:20" ht="24.95" customHeight="1">
      <c r="A40" s="1241"/>
      <c r="B40" s="1240"/>
      <c r="C40" s="1239"/>
      <c r="D40" s="1235"/>
      <c r="E40" s="1234"/>
      <c r="F40" s="1233" t="s">
        <v>1682</v>
      </c>
      <c r="G40" s="1231">
        <v>0</v>
      </c>
      <c r="H40" s="1230">
        <f>SUM(E40:G40)</f>
        <v>0</v>
      </c>
      <c r="I40" s="1232"/>
      <c r="J40" s="1231"/>
      <c r="K40" s="1230">
        <f>SUM(I40:J40)</f>
        <v>0</v>
      </c>
      <c r="L40" s="1203" t="s">
        <v>1681</v>
      </c>
      <c r="N40" s="1600" t="s">
        <v>1680</v>
      </c>
      <c r="O40" s="1600"/>
      <c r="Q40" s="1238">
        <f>1-R40</f>
        <v>1</v>
      </c>
      <c r="R40" s="1238"/>
      <c r="S40" s="1238"/>
      <c r="T40" s="1238"/>
    </row>
    <row r="41" spans="1:20" ht="24.95" customHeight="1">
      <c r="A41" s="1228"/>
      <c r="B41" s="1237"/>
      <c r="C41" s="1236"/>
      <c r="D41" s="1235"/>
      <c r="E41" s="1234"/>
      <c r="F41" s="1233" t="s">
        <v>1679</v>
      </c>
      <c r="G41" s="1231">
        <f>G35-G40</f>
        <v>36375158</v>
      </c>
      <c r="H41" s="1230"/>
      <c r="I41" s="1232"/>
      <c r="J41" s="1231"/>
      <c r="K41" s="1230"/>
      <c r="L41" s="1203">
        <f>E36+F36+G41+I36</f>
        <v>2020343745</v>
      </c>
      <c r="M41" s="1203">
        <f>D41-H41-K41</f>
        <v>0</v>
      </c>
      <c r="N41" s="1229" t="s">
        <v>1678</v>
      </c>
      <c r="O41" s="1229" t="s">
        <v>1677</v>
      </c>
    </row>
    <row r="42" spans="1:20" ht="24.95" customHeight="1">
      <c r="A42" s="1228"/>
      <c r="B42" s="1205" t="s">
        <v>1676</v>
      </c>
      <c r="C42" s="1205"/>
      <c r="D42" s="1227">
        <f t="shared" ref="D42:K42" si="8">D32+D35+D38</f>
        <v>31001162767</v>
      </c>
      <c r="E42" s="1226">
        <f t="shared" si="8"/>
        <v>14543901675</v>
      </c>
      <c r="F42" s="1224">
        <f t="shared" si="8"/>
        <v>125365824</v>
      </c>
      <c r="G42" s="1224">
        <f t="shared" si="8"/>
        <v>36375158</v>
      </c>
      <c r="H42" s="1223">
        <f t="shared" si="8"/>
        <v>14705642657</v>
      </c>
      <c r="I42" s="1225">
        <f t="shared" si="8"/>
        <v>332528714</v>
      </c>
      <c r="J42" s="1224">
        <f t="shared" si="8"/>
        <v>15962991396</v>
      </c>
      <c r="K42" s="1223">
        <f t="shared" si="8"/>
        <v>16295520110</v>
      </c>
      <c r="M42" s="1203">
        <f>D42-H42-K42</f>
        <v>0</v>
      </c>
      <c r="N42" s="1206"/>
      <c r="O42" s="1206"/>
      <c r="Q42" s="1599" t="s">
        <v>1675</v>
      </c>
      <c r="R42" s="1599"/>
      <c r="S42" s="1599"/>
      <c r="T42" s="1599"/>
    </row>
    <row r="43" spans="1:20" ht="24.95" customHeight="1">
      <c r="A43" s="1222"/>
      <c r="B43" s="1221"/>
      <c r="C43" s="1221"/>
      <c r="D43" s="1220"/>
      <c r="E43" s="1219"/>
      <c r="F43" s="1217"/>
      <c r="G43" s="1217"/>
      <c r="H43" s="1216"/>
      <c r="I43" s="1218"/>
      <c r="J43" s="1217"/>
      <c r="K43" s="1216"/>
      <c r="M43" s="1203">
        <f>D43-H43-K43</f>
        <v>0</v>
      </c>
      <c r="Q43" s="1599"/>
      <c r="R43" s="1599"/>
      <c r="S43" s="1599"/>
      <c r="T43" s="1599"/>
    </row>
    <row r="44" spans="1:20" ht="24.95" customHeight="1" thickBot="1">
      <c r="A44" s="1215" t="s">
        <v>1674</v>
      </c>
      <c r="B44" s="1214"/>
      <c r="C44" s="1213"/>
      <c r="D44" s="1212">
        <f t="shared" ref="D44:K44" si="9">D31+D42</f>
        <v>42643669657</v>
      </c>
      <c r="E44" s="1211">
        <f t="shared" si="9"/>
        <v>17380716581</v>
      </c>
      <c r="F44" s="1208">
        <f t="shared" si="9"/>
        <v>396270048</v>
      </c>
      <c r="G44" s="1211">
        <f t="shared" si="9"/>
        <v>492675795</v>
      </c>
      <c r="H44" s="1210">
        <f t="shared" si="9"/>
        <v>18269662424</v>
      </c>
      <c r="I44" s="1209">
        <f t="shared" si="9"/>
        <v>563892182</v>
      </c>
      <c r="J44" s="1208">
        <f t="shared" si="9"/>
        <v>23810115051</v>
      </c>
      <c r="K44" s="1207">
        <f t="shared" si="9"/>
        <v>24374007233</v>
      </c>
      <c r="M44" s="1203">
        <f>D44-H44-K44</f>
        <v>0</v>
      </c>
      <c r="Q44" s="1206">
        <v>0</v>
      </c>
    </row>
    <row r="45" spans="1:20" ht="21" customHeight="1">
      <c r="A45" s="1205"/>
      <c r="B45" s="1205"/>
      <c r="C45" s="1205"/>
      <c r="D45" s="1204"/>
      <c r="E45" s="1204"/>
      <c r="F45" s="1204"/>
      <c r="G45" s="1204"/>
      <c r="H45" s="1204"/>
      <c r="I45" s="1204"/>
      <c r="J45" s="1204"/>
      <c r="K45" s="1204"/>
    </row>
  </sheetData>
  <mergeCells count="6">
    <mergeCell ref="Q42:T43"/>
    <mergeCell ref="Q36:T37"/>
    <mergeCell ref="N37:O37"/>
    <mergeCell ref="Q38:R38"/>
    <mergeCell ref="S38:T38"/>
    <mergeCell ref="N40:O40"/>
  </mergeCells>
  <phoneticPr fontId="2"/>
  <pageMargins left="0.94488188976377963" right="0.19685039370078741" top="0.59055118110236227" bottom="0.39370078740157483" header="0.19685039370078741" footer="0.19685039370078741"/>
  <pageSetup paperSize="9" scale="75" orientation="portrait" blackAndWhite="1" r:id="rId1"/>
  <headerFooter alignWithMargins="0">
    <oddHeader>&amp;L&amp;F &amp;A&amp;R&amp;8 &amp;D &amp;T</oddHeader>
    <oddFooter>&amp;L&amp;8&amp;F　&amp;A</oddFooter>
  </headerFooter>
  <drawing r:id="rId2"/>
  <legacyDrawing r:id="rId3"/>
</worksheet>
</file>

<file path=xl/worksheets/w5_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O45"/>
  <sheetViews>
    <sheetView zoomScale="85" zoomScaleNormal="85" zoomScaleSheetLayoutView="10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3" style="1203" customWidth="1"/>
    <col min="9" max="9" width="12" style="1203" customWidth="1"/>
    <col min="10" max="10" width="12.75" style="1203" customWidth="1"/>
    <col min="11" max="11" width="13" style="1203" customWidth="1"/>
    <col min="12" max="15" width="12.75" style="1203" customWidth="1"/>
    <col min="16" max="16" width="9" style="1203" bestFit="1" customWidth="1"/>
    <col min="17"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3" style="1203" customWidth="1"/>
    <col min="265" max="265" width="12" style="1203" customWidth="1"/>
    <col min="266" max="266" width="12.75" style="1203" customWidth="1"/>
    <col min="267" max="267" width="13" style="1203" customWidth="1"/>
    <col min="268" max="268" width="13" style="1203" bestFit="1" customWidth="1"/>
    <col min="269" max="269" width="11.125" style="1203" bestFit="1" customWidth="1"/>
    <col min="270" max="270" width="9.375" style="1203" customWidth="1"/>
    <col min="271" max="271" width="14.125" style="1203" bestFit="1" customWidth="1"/>
    <col min="272" max="272" width="9" style="1203" bestFit="1" customWidth="1"/>
    <col min="273"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3" style="1203" customWidth="1"/>
    <col min="521" max="521" width="12" style="1203" customWidth="1"/>
    <col min="522" max="522" width="12.75" style="1203" customWidth="1"/>
    <col min="523" max="523" width="13" style="1203" customWidth="1"/>
    <col min="524" max="524" width="13" style="1203" bestFit="1" customWidth="1"/>
    <col min="525" max="525" width="11.125" style="1203" bestFit="1" customWidth="1"/>
    <col min="526" max="526" width="9.375" style="1203" customWidth="1"/>
    <col min="527" max="527" width="14.125" style="1203" bestFit="1" customWidth="1"/>
    <col min="528" max="528" width="9" style="1203" bestFit="1" customWidth="1"/>
    <col min="529"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3" style="1203" customWidth="1"/>
    <col min="777" max="777" width="12" style="1203" customWidth="1"/>
    <col min="778" max="778" width="12.75" style="1203" customWidth="1"/>
    <col min="779" max="779" width="13" style="1203" customWidth="1"/>
    <col min="780" max="780" width="13" style="1203" bestFit="1" customWidth="1"/>
    <col min="781" max="781" width="11.125" style="1203" bestFit="1" customWidth="1"/>
    <col min="782" max="782" width="9.375" style="1203" customWidth="1"/>
    <col min="783" max="783" width="14.125" style="1203" bestFit="1" customWidth="1"/>
    <col min="784" max="784" width="9" style="1203" bestFit="1" customWidth="1"/>
    <col min="785"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3" style="1203" customWidth="1"/>
    <col min="1033" max="1033" width="12" style="1203" customWidth="1"/>
    <col min="1034" max="1034" width="12.75" style="1203" customWidth="1"/>
    <col min="1035" max="1035" width="13" style="1203" customWidth="1"/>
    <col min="1036" max="1036" width="13" style="1203" bestFit="1" customWidth="1"/>
    <col min="1037" max="1037" width="11.125" style="1203" bestFit="1" customWidth="1"/>
    <col min="1038" max="1038" width="9.375" style="1203" customWidth="1"/>
    <col min="1039" max="1039" width="14.125" style="1203" bestFit="1" customWidth="1"/>
    <col min="1040" max="1040" width="9" style="1203" bestFit="1" customWidth="1"/>
    <col min="1041"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3" style="1203" customWidth="1"/>
    <col min="1289" max="1289" width="12" style="1203" customWidth="1"/>
    <col min="1290" max="1290" width="12.75" style="1203" customWidth="1"/>
    <col min="1291" max="1291" width="13" style="1203" customWidth="1"/>
    <col min="1292" max="1292" width="13" style="1203" bestFit="1" customWidth="1"/>
    <col min="1293" max="1293" width="11.125" style="1203" bestFit="1" customWidth="1"/>
    <col min="1294" max="1294" width="9.375" style="1203" customWidth="1"/>
    <col min="1295" max="1295" width="14.125" style="1203" bestFit="1" customWidth="1"/>
    <col min="1296" max="1296" width="9" style="1203" bestFit="1" customWidth="1"/>
    <col min="1297"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3" style="1203" customWidth="1"/>
    <col min="1545" max="1545" width="12" style="1203" customWidth="1"/>
    <col min="1546" max="1546" width="12.75" style="1203" customWidth="1"/>
    <col min="1547" max="1547" width="13" style="1203" customWidth="1"/>
    <col min="1548" max="1548" width="13" style="1203" bestFit="1" customWidth="1"/>
    <col min="1549" max="1549" width="11.125" style="1203" bestFit="1" customWidth="1"/>
    <col min="1550" max="1550" width="9.375" style="1203" customWidth="1"/>
    <col min="1551" max="1551" width="14.125" style="1203" bestFit="1" customWidth="1"/>
    <col min="1552" max="1552" width="9" style="1203" bestFit="1" customWidth="1"/>
    <col min="1553"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3" style="1203" customWidth="1"/>
    <col min="1801" max="1801" width="12" style="1203" customWidth="1"/>
    <col min="1802" max="1802" width="12.75" style="1203" customWidth="1"/>
    <col min="1803" max="1803" width="13" style="1203" customWidth="1"/>
    <col min="1804" max="1804" width="13" style="1203" bestFit="1" customWidth="1"/>
    <col min="1805" max="1805" width="11.125" style="1203" bestFit="1" customWidth="1"/>
    <col min="1806" max="1806" width="9.375" style="1203" customWidth="1"/>
    <col min="1807" max="1807" width="14.125" style="1203" bestFit="1" customWidth="1"/>
    <col min="1808" max="1808" width="9" style="1203" bestFit="1" customWidth="1"/>
    <col min="1809"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3" style="1203" customWidth="1"/>
    <col min="2057" max="2057" width="12" style="1203" customWidth="1"/>
    <col min="2058" max="2058" width="12.75" style="1203" customWidth="1"/>
    <col min="2059" max="2059" width="13" style="1203" customWidth="1"/>
    <col min="2060" max="2060" width="13" style="1203" bestFit="1" customWidth="1"/>
    <col min="2061" max="2061" width="11.125" style="1203" bestFit="1" customWidth="1"/>
    <col min="2062" max="2062" width="9.375" style="1203" customWidth="1"/>
    <col min="2063" max="2063" width="14.125" style="1203" bestFit="1" customWidth="1"/>
    <col min="2064" max="2064" width="9" style="1203" bestFit="1" customWidth="1"/>
    <col min="2065"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3" style="1203" customWidth="1"/>
    <col min="2313" max="2313" width="12" style="1203" customWidth="1"/>
    <col min="2314" max="2314" width="12.75" style="1203" customWidth="1"/>
    <col min="2315" max="2315" width="13" style="1203" customWidth="1"/>
    <col min="2316" max="2316" width="13" style="1203" bestFit="1" customWidth="1"/>
    <col min="2317" max="2317" width="11.125" style="1203" bestFit="1" customWidth="1"/>
    <col min="2318" max="2318" width="9.375" style="1203" customWidth="1"/>
    <col min="2319" max="2319" width="14.125" style="1203" bestFit="1" customWidth="1"/>
    <col min="2320" max="2320" width="9" style="1203" bestFit="1" customWidth="1"/>
    <col min="2321"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3" style="1203" customWidth="1"/>
    <col min="2569" max="2569" width="12" style="1203" customWidth="1"/>
    <col min="2570" max="2570" width="12.75" style="1203" customWidth="1"/>
    <col min="2571" max="2571" width="13" style="1203" customWidth="1"/>
    <col min="2572" max="2572" width="13" style="1203" bestFit="1" customWidth="1"/>
    <col min="2573" max="2573" width="11.125" style="1203" bestFit="1" customWidth="1"/>
    <col min="2574" max="2574" width="9.375" style="1203" customWidth="1"/>
    <col min="2575" max="2575" width="14.125" style="1203" bestFit="1" customWidth="1"/>
    <col min="2576" max="2576" width="9" style="1203" bestFit="1" customWidth="1"/>
    <col min="2577"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3" style="1203" customWidth="1"/>
    <col min="2825" max="2825" width="12" style="1203" customWidth="1"/>
    <col min="2826" max="2826" width="12.75" style="1203" customWidth="1"/>
    <col min="2827" max="2827" width="13" style="1203" customWidth="1"/>
    <col min="2828" max="2828" width="13" style="1203" bestFit="1" customWidth="1"/>
    <col min="2829" max="2829" width="11.125" style="1203" bestFit="1" customWidth="1"/>
    <col min="2830" max="2830" width="9.375" style="1203" customWidth="1"/>
    <col min="2831" max="2831" width="14.125" style="1203" bestFit="1" customWidth="1"/>
    <col min="2832" max="2832" width="9" style="1203" bestFit="1" customWidth="1"/>
    <col min="2833"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3" style="1203" customWidth="1"/>
    <col min="3081" max="3081" width="12" style="1203" customWidth="1"/>
    <col min="3082" max="3082" width="12.75" style="1203" customWidth="1"/>
    <col min="3083" max="3083" width="13" style="1203" customWidth="1"/>
    <col min="3084" max="3084" width="13" style="1203" bestFit="1" customWidth="1"/>
    <col min="3085" max="3085" width="11.125" style="1203" bestFit="1" customWidth="1"/>
    <col min="3086" max="3086" width="9.375" style="1203" customWidth="1"/>
    <col min="3087" max="3087" width="14.125" style="1203" bestFit="1" customWidth="1"/>
    <col min="3088" max="3088" width="9" style="1203" bestFit="1" customWidth="1"/>
    <col min="3089"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3" style="1203" customWidth="1"/>
    <col min="3337" max="3337" width="12" style="1203" customWidth="1"/>
    <col min="3338" max="3338" width="12.75" style="1203" customWidth="1"/>
    <col min="3339" max="3339" width="13" style="1203" customWidth="1"/>
    <col min="3340" max="3340" width="13" style="1203" bestFit="1" customWidth="1"/>
    <col min="3341" max="3341" width="11.125" style="1203" bestFit="1" customWidth="1"/>
    <col min="3342" max="3342" width="9.375" style="1203" customWidth="1"/>
    <col min="3343" max="3343" width="14.125" style="1203" bestFit="1" customWidth="1"/>
    <col min="3344" max="3344" width="9" style="1203" bestFit="1" customWidth="1"/>
    <col min="3345"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3" style="1203" customWidth="1"/>
    <col min="3593" max="3593" width="12" style="1203" customWidth="1"/>
    <col min="3594" max="3594" width="12.75" style="1203" customWidth="1"/>
    <col min="3595" max="3595" width="13" style="1203" customWidth="1"/>
    <col min="3596" max="3596" width="13" style="1203" bestFit="1" customWidth="1"/>
    <col min="3597" max="3597" width="11.125" style="1203" bestFit="1" customWidth="1"/>
    <col min="3598" max="3598" width="9.375" style="1203" customWidth="1"/>
    <col min="3599" max="3599" width="14.125" style="1203" bestFit="1" customWidth="1"/>
    <col min="3600" max="3600" width="9" style="1203" bestFit="1" customWidth="1"/>
    <col min="3601"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3" style="1203" customWidth="1"/>
    <col min="3849" max="3849" width="12" style="1203" customWidth="1"/>
    <col min="3850" max="3850" width="12.75" style="1203" customWidth="1"/>
    <col min="3851" max="3851" width="13" style="1203" customWidth="1"/>
    <col min="3852" max="3852" width="13" style="1203" bestFit="1" customWidth="1"/>
    <col min="3853" max="3853" width="11.125" style="1203" bestFit="1" customWidth="1"/>
    <col min="3854" max="3854" width="9.375" style="1203" customWidth="1"/>
    <col min="3855" max="3855" width="14.125" style="1203" bestFit="1" customWidth="1"/>
    <col min="3856" max="3856" width="9" style="1203" bestFit="1" customWidth="1"/>
    <col min="3857"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3" style="1203" customWidth="1"/>
    <col min="4105" max="4105" width="12" style="1203" customWidth="1"/>
    <col min="4106" max="4106" width="12.75" style="1203" customWidth="1"/>
    <col min="4107" max="4107" width="13" style="1203" customWidth="1"/>
    <col min="4108" max="4108" width="13" style="1203" bestFit="1" customWidth="1"/>
    <col min="4109" max="4109" width="11.125" style="1203" bestFit="1" customWidth="1"/>
    <col min="4110" max="4110" width="9.375" style="1203" customWidth="1"/>
    <col min="4111" max="4111" width="14.125" style="1203" bestFit="1" customWidth="1"/>
    <col min="4112" max="4112" width="9" style="1203" bestFit="1" customWidth="1"/>
    <col min="4113"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3" style="1203" customWidth="1"/>
    <col min="4361" max="4361" width="12" style="1203" customWidth="1"/>
    <col min="4362" max="4362" width="12.75" style="1203" customWidth="1"/>
    <col min="4363" max="4363" width="13" style="1203" customWidth="1"/>
    <col min="4364" max="4364" width="13" style="1203" bestFit="1" customWidth="1"/>
    <col min="4365" max="4365" width="11.125" style="1203" bestFit="1" customWidth="1"/>
    <col min="4366" max="4366" width="9.375" style="1203" customWidth="1"/>
    <col min="4367" max="4367" width="14.125" style="1203" bestFit="1" customWidth="1"/>
    <col min="4368" max="4368" width="9" style="1203" bestFit="1" customWidth="1"/>
    <col min="4369"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3" style="1203" customWidth="1"/>
    <col min="4617" max="4617" width="12" style="1203" customWidth="1"/>
    <col min="4618" max="4618" width="12.75" style="1203" customWidth="1"/>
    <col min="4619" max="4619" width="13" style="1203" customWidth="1"/>
    <col min="4620" max="4620" width="13" style="1203" bestFit="1" customWidth="1"/>
    <col min="4621" max="4621" width="11.125" style="1203" bestFit="1" customWidth="1"/>
    <col min="4622" max="4622" width="9.375" style="1203" customWidth="1"/>
    <col min="4623" max="4623" width="14.125" style="1203" bestFit="1" customWidth="1"/>
    <col min="4624" max="4624" width="9" style="1203" bestFit="1" customWidth="1"/>
    <col min="4625"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3" style="1203" customWidth="1"/>
    <col min="4873" max="4873" width="12" style="1203" customWidth="1"/>
    <col min="4874" max="4874" width="12.75" style="1203" customWidth="1"/>
    <col min="4875" max="4875" width="13" style="1203" customWidth="1"/>
    <col min="4876" max="4876" width="13" style="1203" bestFit="1" customWidth="1"/>
    <col min="4877" max="4877" width="11.125" style="1203" bestFit="1" customWidth="1"/>
    <col min="4878" max="4878" width="9.375" style="1203" customWidth="1"/>
    <col min="4879" max="4879" width="14.125" style="1203" bestFit="1" customWidth="1"/>
    <col min="4880" max="4880" width="9" style="1203" bestFit="1" customWidth="1"/>
    <col min="4881"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3" style="1203" customWidth="1"/>
    <col min="5129" max="5129" width="12" style="1203" customWidth="1"/>
    <col min="5130" max="5130" width="12.75" style="1203" customWidth="1"/>
    <col min="5131" max="5131" width="13" style="1203" customWidth="1"/>
    <col min="5132" max="5132" width="13" style="1203" bestFit="1" customWidth="1"/>
    <col min="5133" max="5133" width="11.125" style="1203" bestFit="1" customWidth="1"/>
    <col min="5134" max="5134" width="9.375" style="1203" customWidth="1"/>
    <col min="5135" max="5135" width="14.125" style="1203" bestFit="1" customWidth="1"/>
    <col min="5136" max="5136" width="9" style="1203" bestFit="1" customWidth="1"/>
    <col min="5137"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3" style="1203" customWidth="1"/>
    <col min="5385" max="5385" width="12" style="1203" customWidth="1"/>
    <col min="5386" max="5386" width="12.75" style="1203" customWidth="1"/>
    <col min="5387" max="5387" width="13" style="1203" customWidth="1"/>
    <col min="5388" max="5388" width="13" style="1203" bestFit="1" customWidth="1"/>
    <col min="5389" max="5389" width="11.125" style="1203" bestFit="1" customWidth="1"/>
    <col min="5390" max="5390" width="9.375" style="1203" customWidth="1"/>
    <col min="5391" max="5391" width="14.125" style="1203" bestFit="1" customWidth="1"/>
    <col min="5392" max="5392" width="9" style="1203" bestFit="1" customWidth="1"/>
    <col min="5393"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3" style="1203" customWidth="1"/>
    <col min="5641" max="5641" width="12" style="1203" customWidth="1"/>
    <col min="5642" max="5642" width="12.75" style="1203" customWidth="1"/>
    <col min="5643" max="5643" width="13" style="1203" customWidth="1"/>
    <col min="5644" max="5644" width="13" style="1203" bestFit="1" customWidth="1"/>
    <col min="5645" max="5645" width="11.125" style="1203" bestFit="1" customWidth="1"/>
    <col min="5646" max="5646" width="9.375" style="1203" customWidth="1"/>
    <col min="5647" max="5647" width="14.125" style="1203" bestFit="1" customWidth="1"/>
    <col min="5648" max="5648" width="9" style="1203" bestFit="1" customWidth="1"/>
    <col min="5649"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3" style="1203" customWidth="1"/>
    <col min="5897" max="5897" width="12" style="1203" customWidth="1"/>
    <col min="5898" max="5898" width="12.75" style="1203" customWidth="1"/>
    <col min="5899" max="5899" width="13" style="1203" customWidth="1"/>
    <col min="5900" max="5900" width="13" style="1203" bestFit="1" customWidth="1"/>
    <col min="5901" max="5901" width="11.125" style="1203" bestFit="1" customWidth="1"/>
    <col min="5902" max="5902" width="9.375" style="1203" customWidth="1"/>
    <col min="5903" max="5903" width="14.125" style="1203" bestFit="1" customWidth="1"/>
    <col min="5904" max="5904" width="9" style="1203" bestFit="1" customWidth="1"/>
    <col min="5905"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3" style="1203" customWidth="1"/>
    <col min="6153" max="6153" width="12" style="1203" customWidth="1"/>
    <col min="6154" max="6154" width="12.75" style="1203" customWidth="1"/>
    <col min="6155" max="6155" width="13" style="1203" customWidth="1"/>
    <col min="6156" max="6156" width="13" style="1203" bestFit="1" customWidth="1"/>
    <col min="6157" max="6157" width="11.125" style="1203" bestFit="1" customWidth="1"/>
    <col min="6158" max="6158" width="9.375" style="1203" customWidth="1"/>
    <col min="6159" max="6159" width="14.125" style="1203" bestFit="1" customWidth="1"/>
    <col min="6160" max="6160" width="9" style="1203" bestFit="1" customWidth="1"/>
    <col min="6161"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3" style="1203" customWidth="1"/>
    <col min="6409" max="6409" width="12" style="1203" customWidth="1"/>
    <col min="6410" max="6410" width="12.75" style="1203" customWidth="1"/>
    <col min="6411" max="6411" width="13" style="1203" customWidth="1"/>
    <col min="6412" max="6412" width="13" style="1203" bestFit="1" customWidth="1"/>
    <col min="6413" max="6413" width="11.125" style="1203" bestFit="1" customWidth="1"/>
    <col min="6414" max="6414" width="9.375" style="1203" customWidth="1"/>
    <col min="6415" max="6415" width="14.125" style="1203" bestFit="1" customWidth="1"/>
    <col min="6416" max="6416" width="9" style="1203" bestFit="1" customWidth="1"/>
    <col min="6417"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3" style="1203" customWidth="1"/>
    <col min="6665" max="6665" width="12" style="1203" customWidth="1"/>
    <col min="6666" max="6666" width="12.75" style="1203" customWidth="1"/>
    <col min="6667" max="6667" width="13" style="1203" customWidth="1"/>
    <col min="6668" max="6668" width="13" style="1203" bestFit="1" customWidth="1"/>
    <col min="6669" max="6669" width="11.125" style="1203" bestFit="1" customWidth="1"/>
    <col min="6670" max="6670" width="9.375" style="1203" customWidth="1"/>
    <col min="6671" max="6671" width="14.125" style="1203" bestFit="1" customWidth="1"/>
    <col min="6672" max="6672" width="9" style="1203" bestFit="1" customWidth="1"/>
    <col min="6673"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3" style="1203" customWidth="1"/>
    <col min="6921" max="6921" width="12" style="1203" customWidth="1"/>
    <col min="6922" max="6922" width="12.75" style="1203" customWidth="1"/>
    <col min="6923" max="6923" width="13" style="1203" customWidth="1"/>
    <col min="6924" max="6924" width="13" style="1203" bestFit="1" customWidth="1"/>
    <col min="6925" max="6925" width="11.125" style="1203" bestFit="1" customWidth="1"/>
    <col min="6926" max="6926" width="9.375" style="1203" customWidth="1"/>
    <col min="6927" max="6927" width="14.125" style="1203" bestFit="1" customWidth="1"/>
    <col min="6928" max="6928" width="9" style="1203" bestFit="1" customWidth="1"/>
    <col min="6929"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3" style="1203" customWidth="1"/>
    <col min="7177" max="7177" width="12" style="1203" customWidth="1"/>
    <col min="7178" max="7178" width="12.75" style="1203" customWidth="1"/>
    <col min="7179" max="7179" width="13" style="1203" customWidth="1"/>
    <col min="7180" max="7180" width="13" style="1203" bestFit="1" customWidth="1"/>
    <col min="7181" max="7181" width="11.125" style="1203" bestFit="1" customWidth="1"/>
    <col min="7182" max="7182" width="9.375" style="1203" customWidth="1"/>
    <col min="7183" max="7183" width="14.125" style="1203" bestFit="1" customWidth="1"/>
    <col min="7184" max="7184" width="9" style="1203" bestFit="1" customWidth="1"/>
    <col min="7185"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3" style="1203" customWidth="1"/>
    <col min="7433" max="7433" width="12" style="1203" customWidth="1"/>
    <col min="7434" max="7434" width="12.75" style="1203" customWidth="1"/>
    <col min="7435" max="7435" width="13" style="1203" customWidth="1"/>
    <col min="7436" max="7436" width="13" style="1203" bestFit="1" customWidth="1"/>
    <col min="7437" max="7437" width="11.125" style="1203" bestFit="1" customWidth="1"/>
    <col min="7438" max="7438" width="9.375" style="1203" customWidth="1"/>
    <col min="7439" max="7439" width="14.125" style="1203" bestFit="1" customWidth="1"/>
    <col min="7440" max="7440" width="9" style="1203" bestFit="1" customWidth="1"/>
    <col min="7441"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3" style="1203" customWidth="1"/>
    <col min="7689" max="7689" width="12" style="1203" customWidth="1"/>
    <col min="7690" max="7690" width="12.75" style="1203" customWidth="1"/>
    <col min="7691" max="7691" width="13" style="1203" customWidth="1"/>
    <col min="7692" max="7692" width="13" style="1203" bestFit="1" customWidth="1"/>
    <col min="7693" max="7693" width="11.125" style="1203" bestFit="1" customWidth="1"/>
    <col min="7694" max="7694" width="9.375" style="1203" customWidth="1"/>
    <col min="7695" max="7695" width="14.125" style="1203" bestFit="1" customWidth="1"/>
    <col min="7696" max="7696" width="9" style="1203" bestFit="1" customWidth="1"/>
    <col min="7697"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3" style="1203" customWidth="1"/>
    <col min="7945" max="7945" width="12" style="1203" customWidth="1"/>
    <col min="7946" max="7946" width="12.75" style="1203" customWidth="1"/>
    <col min="7947" max="7947" width="13" style="1203" customWidth="1"/>
    <col min="7948" max="7948" width="13" style="1203" bestFit="1" customWidth="1"/>
    <col min="7949" max="7949" width="11.125" style="1203" bestFit="1" customWidth="1"/>
    <col min="7950" max="7950" width="9.375" style="1203" customWidth="1"/>
    <col min="7951" max="7951" width="14.125" style="1203" bestFit="1" customWidth="1"/>
    <col min="7952" max="7952" width="9" style="1203" bestFit="1" customWidth="1"/>
    <col min="7953"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3" style="1203" customWidth="1"/>
    <col min="8201" max="8201" width="12" style="1203" customWidth="1"/>
    <col min="8202" max="8202" width="12.75" style="1203" customWidth="1"/>
    <col min="8203" max="8203" width="13" style="1203" customWidth="1"/>
    <col min="8204" max="8204" width="13" style="1203" bestFit="1" customWidth="1"/>
    <col min="8205" max="8205" width="11.125" style="1203" bestFit="1" customWidth="1"/>
    <col min="8206" max="8206" width="9.375" style="1203" customWidth="1"/>
    <col min="8207" max="8207" width="14.125" style="1203" bestFit="1" customWidth="1"/>
    <col min="8208" max="8208" width="9" style="1203" bestFit="1" customWidth="1"/>
    <col min="8209"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3" style="1203" customWidth="1"/>
    <col min="8457" max="8457" width="12" style="1203" customWidth="1"/>
    <col min="8458" max="8458" width="12.75" style="1203" customWidth="1"/>
    <col min="8459" max="8459" width="13" style="1203" customWidth="1"/>
    <col min="8460" max="8460" width="13" style="1203" bestFit="1" customWidth="1"/>
    <col min="8461" max="8461" width="11.125" style="1203" bestFit="1" customWidth="1"/>
    <col min="8462" max="8462" width="9.375" style="1203" customWidth="1"/>
    <col min="8463" max="8463" width="14.125" style="1203" bestFit="1" customWidth="1"/>
    <col min="8464" max="8464" width="9" style="1203" bestFit="1" customWidth="1"/>
    <col min="8465"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3" style="1203" customWidth="1"/>
    <col min="8713" max="8713" width="12" style="1203" customWidth="1"/>
    <col min="8714" max="8714" width="12.75" style="1203" customWidth="1"/>
    <col min="8715" max="8715" width="13" style="1203" customWidth="1"/>
    <col min="8716" max="8716" width="13" style="1203" bestFit="1" customWidth="1"/>
    <col min="8717" max="8717" width="11.125" style="1203" bestFit="1" customWidth="1"/>
    <col min="8718" max="8718" width="9.375" style="1203" customWidth="1"/>
    <col min="8719" max="8719" width="14.125" style="1203" bestFit="1" customWidth="1"/>
    <col min="8720" max="8720" width="9" style="1203" bestFit="1" customWidth="1"/>
    <col min="8721"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3" style="1203" customWidth="1"/>
    <col min="8969" max="8969" width="12" style="1203" customWidth="1"/>
    <col min="8970" max="8970" width="12.75" style="1203" customWidth="1"/>
    <col min="8971" max="8971" width="13" style="1203" customWidth="1"/>
    <col min="8972" max="8972" width="13" style="1203" bestFit="1" customWidth="1"/>
    <col min="8973" max="8973" width="11.125" style="1203" bestFit="1" customWidth="1"/>
    <col min="8974" max="8974" width="9.375" style="1203" customWidth="1"/>
    <col min="8975" max="8975" width="14.125" style="1203" bestFit="1" customWidth="1"/>
    <col min="8976" max="8976" width="9" style="1203" bestFit="1" customWidth="1"/>
    <col min="8977"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3" style="1203" customWidth="1"/>
    <col min="9225" max="9225" width="12" style="1203" customWidth="1"/>
    <col min="9226" max="9226" width="12.75" style="1203" customWidth="1"/>
    <col min="9227" max="9227" width="13" style="1203" customWidth="1"/>
    <col min="9228" max="9228" width="13" style="1203" bestFit="1" customWidth="1"/>
    <col min="9229" max="9229" width="11.125" style="1203" bestFit="1" customWidth="1"/>
    <col min="9230" max="9230" width="9.375" style="1203" customWidth="1"/>
    <col min="9231" max="9231" width="14.125" style="1203" bestFit="1" customWidth="1"/>
    <col min="9232" max="9232" width="9" style="1203" bestFit="1" customWidth="1"/>
    <col min="9233"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3" style="1203" customWidth="1"/>
    <col min="9481" max="9481" width="12" style="1203" customWidth="1"/>
    <col min="9482" max="9482" width="12.75" style="1203" customWidth="1"/>
    <col min="9483" max="9483" width="13" style="1203" customWidth="1"/>
    <col min="9484" max="9484" width="13" style="1203" bestFit="1" customWidth="1"/>
    <col min="9485" max="9485" width="11.125" style="1203" bestFit="1" customWidth="1"/>
    <col min="9486" max="9486" width="9.375" style="1203" customWidth="1"/>
    <col min="9487" max="9487" width="14.125" style="1203" bestFit="1" customWidth="1"/>
    <col min="9488" max="9488" width="9" style="1203" bestFit="1" customWidth="1"/>
    <col min="9489"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3" style="1203" customWidth="1"/>
    <col min="9737" max="9737" width="12" style="1203" customWidth="1"/>
    <col min="9738" max="9738" width="12.75" style="1203" customWidth="1"/>
    <col min="9739" max="9739" width="13" style="1203" customWidth="1"/>
    <col min="9740" max="9740" width="13" style="1203" bestFit="1" customWidth="1"/>
    <col min="9741" max="9741" width="11.125" style="1203" bestFit="1" customWidth="1"/>
    <col min="9742" max="9742" width="9.375" style="1203" customWidth="1"/>
    <col min="9743" max="9743" width="14.125" style="1203" bestFit="1" customWidth="1"/>
    <col min="9744" max="9744" width="9" style="1203" bestFit="1" customWidth="1"/>
    <col min="9745"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3" style="1203" customWidth="1"/>
    <col min="9993" max="9993" width="12" style="1203" customWidth="1"/>
    <col min="9994" max="9994" width="12.75" style="1203" customWidth="1"/>
    <col min="9995" max="9995" width="13" style="1203" customWidth="1"/>
    <col min="9996" max="9996" width="13" style="1203" bestFit="1" customWidth="1"/>
    <col min="9997" max="9997" width="11.125" style="1203" bestFit="1" customWidth="1"/>
    <col min="9998" max="9998" width="9.375" style="1203" customWidth="1"/>
    <col min="9999" max="9999" width="14.125" style="1203" bestFit="1" customWidth="1"/>
    <col min="10000" max="10000" width="9" style="1203" bestFit="1" customWidth="1"/>
    <col min="10001"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3" style="1203" customWidth="1"/>
    <col min="10249" max="10249" width="12" style="1203" customWidth="1"/>
    <col min="10250" max="10250" width="12.75" style="1203" customWidth="1"/>
    <col min="10251" max="10251" width="13" style="1203" customWidth="1"/>
    <col min="10252" max="10252" width="13" style="1203" bestFit="1" customWidth="1"/>
    <col min="10253" max="10253" width="11.125" style="1203" bestFit="1" customWidth="1"/>
    <col min="10254" max="10254" width="9.375" style="1203" customWidth="1"/>
    <col min="10255" max="10255" width="14.125" style="1203" bestFit="1" customWidth="1"/>
    <col min="10256" max="10256" width="9" style="1203" bestFit="1" customWidth="1"/>
    <col min="10257"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3" style="1203" customWidth="1"/>
    <col min="10505" max="10505" width="12" style="1203" customWidth="1"/>
    <col min="10506" max="10506" width="12.75" style="1203" customWidth="1"/>
    <col min="10507" max="10507" width="13" style="1203" customWidth="1"/>
    <col min="10508" max="10508" width="13" style="1203" bestFit="1" customWidth="1"/>
    <col min="10509" max="10509" width="11.125" style="1203" bestFit="1" customWidth="1"/>
    <col min="10510" max="10510" width="9.375" style="1203" customWidth="1"/>
    <col min="10511" max="10511" width="14.125" style="1203" bestFit="1" customWidth="1"/>
    <col min="10512" max="10512" width="9" style="1203" bestFit="1" customWidth="1"/>
    <col min="10513"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3" style="1203" customWidth="1"/>
    <col min="10761" max="10761" width="12" style="1203" customWidth="1"/>
    <col min="10762" max="10762" width="12.75" style="1203" customWidth="1"/>
    <col min="10763" max="10763" width="13" style="1203" customWidth="1"/>
    <col min="10764" max="10764" width="13" style="1203" bestFit="1" customWidth="1"/>
    <col min="10765" max="10765" width="11.125" style="1203" bestFit="1" customWidth="1"/>
    <col min="10766" max="10766" width="9.375" style="1203" customWidth="1"/>
    <col min="10767" max="10767" width="14.125" style="1203" bestFit="1" customWidth="1"/>
    <col min="10768" max="10768" width="9" style="1203" bestFit="1" customWidth="1"/>
    <col min="10769"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3" style="1203" customWidth="1"/>
    <col min="11017" max="11017" width="12" style="1203" customWidth="1"/>
    <col min="11018" max="11018" width="12.75" style="1203" customWidth="1"/>
    <col min="11019" max="11019" width="13" style="1203" customWidth="1"/>
    <col min="11020" max="11020" width="13" style="1203" bestFit="1" customWidth="1"/>
    <col min="11021" max="11021" width="11.125" style="1203" bestFit="1" customWidth="1"/>
    <col min="11022" max="11022" width="9.375" style="1203" customWidth="1"/>
    <col min="11023" max="11023" width="14.125" style="1203" bestFit="1" customWidth="1"/>
    <col min="11024" max="11024" width="9" style="1203" bestFit="1" customWidth="1"/>
    <col min="11025"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3" style="1203" customWidth="1"/>
    <col min="11273" max="11273" width="12" style="1203" customWidth="1"/>
    <col min="11274" max="11274" width="12.75" style="1203" customWidth="1"/>
    <col min="11275" max="11275" width="13" style="1203" customWidth="1"/>
    <col min="11276" max="11276" width="13" style="1203" bestFit="1" customWidth="1"/>
    <col min="11277" max="11277" width="11.125" style="1203" bestFit="1" customWidth="1"/>
    <col min="11278" max="11278" width="9.375" style="1203" customWidth="1"/>
    <col min="11279" max="11279" width="14.125" style="1203" bestFit="1" customWidth="1"/>
    <col min="11280" max="11280" width="9" style="1203" bestFit="1" customWidth="1"/>
    <col min="11281"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3" style="1203" customWidth="1"/>
    <col min="11529" max="11529" width="12" style="1203" customWidth="1"/>
    <col min="11530" max="11530" width="12.75" style="1203" customWidth="1"/>
    <col min="11531" max="11531" width="13" style="1203" customWidth="1"/>
    <col min="11532" max="11532" width="13" style="1203" bestFit="1" customWidth="1"/>
    <col min="11533" max="11533" width="11.125" style="1203" bestFit="1" customWidth="1"/>
    <col min="11534" max="11534" width="9.375" style="1203" customWidth="1"/>
    <col min="11535" max="11535" width="14.125" style="1203" bestFit="1" customWidth="1"/>
    <col min="11536" max="11536" width="9" style="1203" bestFit="1" customWidth="1"/>
    <col min="11537"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3" style="1203" customWidth="1"/>
    <col min="11785" max="11785" width="12" style="1203" customWidth="1"/>
    <col min="11786" max="11786" width="12.75" style="1203" customWidth="1"/>
    <col min="11787" max="11787" width="13" style="1203" customWidth="1"/>
    <col min="11788" max="11788" width="13" style="1203" bestFit="1" customWidth="1"/>
    <col min="11789" max="11789" width="11.125" style="1203" bestFit="1" customWidth="1"/>
    <col min="11790" max="11790" width="9.375" style="1203" customWidth="1"/>
    <col min="11791" max="11791" width="14.125" style="1203" bestFit="1" customWidth="1"/>
    <col min="11792" max="11792" width="9" style="1203" bestFit="1" customWidth="1"/>
    <col min="11793"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3" style="1203" customWidth="1"/>
    <col min="12041" max="12041" width="12" style="1203" customWidth="1"/>
    <col min="12042" max="12042" width="12.75" style="1203" customWidth="1"/>
    <col min="12043" max="12043" width="13" style="1203" customWidth="1"/>
    <col min="12044" max="12044" width="13" style="1203" bestFit="1" customWidth="1"/>
    <col min="12045" max="12045" width="11.125" style="1203" bestFit="1" customWidth="1"/>
    <col min="12046" max="12046" width="9.375" style="1203" customWidth="1"/>
    <col min="12047" max="12047" width="14.125" style="1203" bestFit="1" customWidth="1"/>
    <col min="12048" max="12048" width="9" style="1203" bestFit="1" customWidth="1"/>
    <col min="12049"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3" style="1203" customWidth="1"/>
    <col min="12297" max="12297" width="12" style="1203" customWidth="1"/>
    <col min="12298" max="12298" width="12.75" style="1203" customWidth="1"/>
    <col min="12299" max="12299" width="13" style="1203" customWidth="1"/>
    <col min="12300" max="12300" width="13" style="1203" bestFit="1" customWidth="1"/>
    <col min="12301" max="12301" width="11.125" style="1203" bestFit="1" customWidth="1"/>
    <col min="12302" max="12302" width="9.375" style="1203" customWidth="1"/>
    <col min="12303" max="12303" width="14.125" style="1203" bestFit="1" customWidth="1"/>
    <col min="12304" max="12304" width="9" style="1203" bestFit="1" customWidth="1"/>
    <col min="12305"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3" style="1203" customWidth="1"/>
    <col min="12553" max="12553" width="12" style="1203" customWidth="1"/>
    <col min="12554" max="12554" width="12.75" style="1203" customWidth="1"/>
    <col min="12555" max="12555" width="13" style="1203" customWidth="1"/>
    <col min="12556" max="12556" width="13" style="1203" bestFit="1" customWidth="1"/>
    <col min="12557" max="12557" width="11.125" style="1203" bestFit="1" customWidth="1"/>
    <col min="12558" max="12558" width="9.375" style="1203" customWidth="1"/>
    <col min="12559" max="12559" width="14.125" style="1203" bestFit="1" customWidth="1"/>
    <col min="12560" max="12560" width="9" style="1203" bestFit="1" customWidth="1"/>
    <col min="12561"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3" style="1203" customWidth="1"/>
    <col min="12809" max="12809" width="12" style="1203" customWidth="1"/>
    <col min="12810" max="12810" width="12.75" style="1203" customWidth="1"/>
    <col min="12811" max="12811" width="13" style="1203" customWidth="1"/>
    <col min="12812" max="12812" width="13" style="1203" bestFit="1" customWidth="1"/>
    <col min="12813" max="12813" width="11.125" style="1203" bestFit="1" customWidth="1"/>
    <col min="12814" max="12814" width="9.375" style="1203" customWidth="1"/>
    <col min="12815" max="12815" width="14.125" style="1203" bestFit="1" customWidth="1"/>
    <col min="12816" max="12816" width="9" style="1203" bestFit="1" customWidth="1"/>
    <col min="12817"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3" style="1203" customWidth="1"/>
    <col min="13065" max="13065" width="12" style="1203" customWidth="1"/>
    <col min="13066" max="13066" width="12.75" style="1203" customWidth="1"/>
    <col min="13067" max="13067" width="13" style="1203" customWidth="1"/>
    <col min="13068" max="13068" width="13" style="1203" bestFit="1" customWidth="1"/>
    <col min="13069" max="13069" width="11.125" style="1203" bestFit="1" customWidth="1"/>
    <col min="13070" max="13070" width="9.375" style="1203" customWidth="1"/>
    <col min="13071" max="13071" width="14.125" style="1203" bestFit="1" customWidth="1"/>
    <col min="13072" max="13072" width="9" style="1203" bestFit="1" customWidth="1"/>
    <col min="13073"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3" style="1203" customWidth="1"/>
    <col min="13321" max="13321" width="12" style="1203" customWidth="1"/>
    <col min="13322" max="13322" width="12.75" style="1203" customWidth="1"/>
    <col min="13323" max="13323" width="13" style="1203" customWidth="1"/>
    <col min="13324" max="13324" width="13" style="1203" bestFit="1" customWidth="1"/>
    <col min="13325" max="13325" width="11.125" style="1203" bestFit="1" customWidth="1"/>
    <col min="13326" max="13326" width="9.375" style="1203" customWidth="1"/>
    <col min="13327" max="13327" width="14.125" style="1203" bestFit="1" customWidth="1"/>
    <col min="13328" max="13328" width="9" style="1203" bestFit="1" customWidth="1"/>
    <col min="13329"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3" style="1203" customWidth="1"/>
    <col min="13577" max="13577" width="12" style="1203" customWidth="1"/>
    <col min="13578" max="13578" width="12.75" style="1203" customWidth="1"/>
    <col min="13579" max="13579" width="13" style="1203" customWidth="1"/>
    <col min="13580" max="13580" width="13" style="1203" bestFit="1" customWidth="1"/>
    <col min="13581" max="13581" width="11.125" style="1203" bestFit="1" customWidth="1"/>
    <col min="13582" max="13582" width="9.375" style="1203" customWidth="1"/>
    <col min="13583" max="13583" width="14.125" style="1203" bestFit="1" customWidth="1"/>
    <col min="13584" max="13584" width="9" style="1203" bestFit="1" customWidth="1"/>
    <col min="13585"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3" style="1203" customWidth="1"/>
    <col min="13833" max="13833" width="12" style="1203" customWidth="1"/>
    <col min="13834" max="13834" width="12.75" style="1203" customWidth="1"/>
    <col min="13835" max="13835" width="13" style="1203" customWidth="1"/>
    <col min="13836" max="13836" width="13" style="1203" bestFit="1" customWidth="1"/>
    <col min="13837" max="13837" width="11.125" style="1203" bestFit="1" customWidth="1"/>
    <col min="13838" max="13838" width="9.375" style="1203" customWidth="1"/>
    <col min="13839" max="13839" width="14.125" style="1203" bestFit="1" customWidth="1"/>
    <col min="13840" max="13840" width="9" style="1203" bestFit="1" customWidth="1"/>
    <col min="13841"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3" style="1203" customWidth="1"/>
    <col min="14089" max="14089" width="12" style="1203" customWidth="1"/>
    <col min="14090" max="14090" width="12.75" style="1203" customWidth="1"/>
    <col min="14091" max="14091" width="13" style="1203" customWidth="1"/>
    <col min="14092" max="14092" width="13" style="1203" bestFit="1" customWidth="1"/>
    <col min="14093" max="14093" width="11.125" style="1203" bestFit="1" customWidth="1"/>
    <col min="14094" max="14094" width="9.375" style="1203" customWidth="1"/>
    <col min="14095" max="14095" width="14.125" style="1203" bestFit="1" customWidth="1"/>
    <col min="14096" max="14096" width="9" style="1203" bestFit="1" customWidth="1"/>
    <col min="14097"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3" style="1203" customWidth="1"/>
    <col min="14345" max="14345" width="12" style="1203" customWidth="1"/>
    <col min="14346" max="14346" width="12.75" style="1203" customWidth="1"/>
    <col min="14347" max="14347" width="13" style="1203" customWidth="1"/>
    <col min="14348" max="14348" width="13" style="1203" bestFit="1" customWidth="1"/>
    <col min="14349" max="14349" width="11.125" style="1203" bestFit="1" customWidth="1"/>
    <col min="14350" max="14350" width="9.375" style="1203" customWidth="1"/>
    <col min="14351" max="14351" width="14.125" style="1203" bestFit="1" customWidth="1"/>
    <col min="14352" max="14352" width="9" style="1203" bestFit="1" customWidth="1"/>
    <col min="14353"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3" style="1203" customWidth="1"/>
    <col min="14601" max="14601" width="12" style="1203" customWidth="1"/>
    <col min="14602" max="14602" width="12.75" style="1203" customWidth="1"/>
    <col min="14603" max="14603" width="13" style="1203" customWidth="1"/>
    <col min="14604" max="14604" width="13" style="1203" bestFit="1" customWidth="1"/>
    <col min="14605" max="14605" width="11.125" style="1203" bestFit="1" customWidth="1"/>
    <col min="14606" max="14606" width="9.375" style="1203" customWidth="1"/>
    <col min="14607" max="14607" width="14.125" style="1203" bestFit="1" customWidth="1"/>
    <col min="14608" max="14608" width="9" style="1203" bestFit="1" customWidth="1"/>
    <col min="14609"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3" style="1203" customWidth="1"/>
    <col min="14857" max="14857" width="12" style="1203" customWidth="1"/>
    <col min="14858" max="14858" width="12.75" style="1203" customWidth="1"/>
    <col min="14859" max="14859" width="13" style="1203" customWidth="1"/>
    <col min="14860" max="14860" width="13" style="1203" bestFit="1" customWidth="1"/>
    <col min="14861" max="14861" width="11.125" style="1203" bestFit="1" customWidth="1"/>
    <col min="14862" max="14862" width="9.375" style="1203" customWidth="1"/>
    <col min="14863" max="14863" width="14.125" style="1203" bestFit="1" customWidth="1"/>
    <col min="14864" max="14864" width="9" style="1203" bestFit="1" customWidth="1"/>
    <col min="14865"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3" style="1203" customWidth="1"/>
    <col min="15113" max="15113" width="12" style="1203" customWidth="1"/>
    <col min="15114" max="15114" width="12.75" style="1203" customWidth="1"/>
    <col min="15115" max="15115" width="13" style="1203" customWidth="1"/>
    <col min="15116" max="15116" width="13" style="1203" bestFit="1" customWidth="1"/>
    <col min="15117" max="15117" width="11.125" style="1203" bestFit="1" customWidth="1"/>
    <col min="15118" max="15118" width="9.375" style="1203" customWidth="1"/>
    <col min="15119" max="15119" width="14.125" style="1203" bestFit="1" customWidth="1"/>
    <col min="15120" max="15120" width="9" style="1203" bestFit="1" customWidth="1"/>
    <col min="15121"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3" style="1203" customWidth="1"/>
    <col min="15369" max="15369" width="12" style="1203" customWidth="1"/>
    <col min="15370" max="15370" width="12.75" style="1203" customWidth="1"/>
    <col min="15371" max="15371" width="13" style="1203" customWidth="1"/>
    <col min="15372" max="15372" width="13" style="1203" bestFit="1" customWidth="1"/>
    <col min="15373" max="15373" width="11.125" style="1203" bestFit="1" customWidth="1"/>
    <col min="15374" max="15374" width="9.375" style="1203" customWidth="1"/>
    <col min="15375" max="15375" width="14.125" style="1203" bestFit="1" customWidth="1"/>
    <col min="15376" max="15376" width="9" style="1203" bestFit="1" customWidth="1"/>
    <col min="15377"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3" style="1203" customWidth="1"/>
    <col min="15625" max="15625" width="12" style="1203" customWidth="1"/>
    <col min="15626" max="15626" width="12.75" style="1203" customWidth="1"/>
    <col min="15627" max="15627" width="13" style="1203" customWidth="1"/>
    <col min="15628" max="15628" width="13" style="1203" bestFit="1" customWidth="1"/>
    <col min="15629" max="15629" width="11.125" style="1203" bestFit="1" customWidth="1"/>
    <col min="15630" max="15630" width="9.375" style="1203" customWidth="1"/>
    <col min="15631" max="15631" width="14.125" style="1203" bestFit="1" customWidth="1"/>
    <col min="15632" max="15632" width="9" style="1203" bestFit="1" customWidth="1"/>
    <col min="15633"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3" style="1203" customWidth="1"/>
    <col min="15881" max="15881" width="12" style="1203" customWidth="1"/>
    <col min="15882" max="15882" width="12.75" style="1203" customWidth="1"/>
    <col min="15883" max="15883" width="13" style="1203" customWidth="1"/>
    <col min="15884" max="15884" width="13" style="1203" bestFit="1" customWidth="1"/>
    <col min="15885" max="15885" width="11.125" style="1203" bestFit="1" customWidth="1"/>
    <col min="15886" max="15886" width="9.375" style="1203" customWidth="1"/>
    <col min="15887" max="15887" width="14.125" style="1203" bestFit="1" customWidth="1"/>
    <col min="15888" max="15888" width="9" style="1203" bestFit="1" customWidth="1"/>
    <col min="15889"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3" style="1203" customWidth="1"/>
    <col min="16137" max="16137" width="12" style="1203" customWidth="1"/>
    <col min="16138" max="16138" width="12.75" style="1203" customWidth="1"/>
    <col min="16139" max="16139" width="13" style="1203" customWidth="1"/>
    <col min="16140" max="16140" width="13" style="1203" bestFit="1" customWidth="1"/>
    <col min="16141" max="16141" width="11.125" style="1203" bestFit="1" customWidth="1"/>
    <col min="16142" max="16142" width="9.375" style="1203" customWidth="1"/>
    <col min="16143" max="16143" width="14.125" style="1203" bestFit="1" customWidth="1"/>
    <col min="16144" max="16144" width="9" style="1203" bestFit="1" customWidth="1"/>
    <col min="16145" max="16384" width="9" style="1203"/>
  </cols>
  <sheetData>
    <row r="1" spans="1:15" ht="24.75" customHeight="1">
      <c r="A1" s="1287" t="str">
        <f>+LEFT('3条税込み'!A1,2)&amp;"年度経費（雨水・汚水）区分調 (決算・税抜き)"</f>
        <v>令和年度経費（雨水・汚水）区分調 (決算・税抜き)</v>
      </c>
    </row>
    <row r="2" spans="1:15" ht="24.75" customHeight="1" thickBot="1">
      <c r="A2" s="1203" t="s">
        <v>1718</v>
      </c>
      <c r="K2" s="1248" t="s">
        <v>1717</v>
      </c>
    </row>
    <row r="3" spans="1:15" ht="24.75" customHeight="1">
      <c r="A3" s="1222" t="s">
        <v>1716</v>
      </c>
      <c r="B3" s="1221"/>
      <c r="C3" s="1221"/>
      <c r="D3" s="1286" t="s">
        <v>1715</v>
      </c>
      <c r="E3" s="1285" t="s">
        <v>1714</v>
      </c>
      <c r="F3" s="1283"/>
      <c r="G3" s="1283"/>
      <c r="H3" s="1282"/>
      <c r="I3" s="1284" t="s">
        <v>1713</v>
      </c>
      <c r="J3" s="1283"/>
      <c r="K3" s="1282"/>
    </row>
    <row r="4" spans="1:15" s="1262" customFormat="1" ht="24.75" customHeight="1">
      <c r="A4" s="1281"/>
      <c r="B4" s="1280"/>
      <c r="C4" s="1280"/>
      <c r="D4" s="1279"/>
      <c r="E4" s="1278" t="s">
        <v>1712</v>
      </c>
      <c r="F4" s="1277"/>
      <c r="G4" s="1276" t="s">
        <v>1711</v>
      </c>
      <c r="H4" s="1273" t="s">
        <v>1710</v>
      </c>
      <c r="I4" s="1275" t="s">
        <v>1712</v>
      </c>
      <c r="J4" s="1274" t="s">
        <v>1711</v>
      </c>
      <c r="K4" s="1273" t="s">
        <v>1710</v>
      </c>
    </row>
    <row r="5" spans="1:15" s="1264" customFormat="1" ht="24.75" customHeight="1">
      <c r="A5" s="1272"/>
      <c r="B5" s="1271"/>
      <c r="C5" s="1271"/>
      <c r="D5" s="1270"/>
      <c r="E5" s="1269" t="s">
        <v>1707</v>
      </c>
      <c r="F5" s="1266" t="s">
        <v>1709</v>
      </c>
      <c r="G5" s="1268" t="s">
        <v>1708</v>
      </c>
      <c r="H5" s="1265"/>
      <c r="I5" s="1267" t="s">
        <v>1707</v>
      </c>
      <c r="J5" s="1266" t="s">
        <v>1707</v>
      </c>
      <c r="K5" s="1265"/>
      <c r="M5" s="1303" t="s">
        <v>1720</v>
      </c>
    </row>
    <row r="6" spans="1:15" ht="24.75" customHeight="1">
      <c r="A6" s="1254"/>
      <c r="B6" s="1244" t="s">
        <v>1669</v>
      </c>
      <c r="C6" s="1247"/>
      <c r="D6" s="1235">
        <f>SUM(D7:D20)</f>
        <v>10791340439</v>
      </c>
      <c r="E6" s="1234">
        <f>SUM(E7:E20)</f>
        <v>2679944458</v>
      </c>
      <c r="F6" s="1300">
        <f>SUM(F7:F20)</f>
        <v>251984734</v>
      </c>
      <c r="G6" s="1231">
        <f>SUM(G7:G20)</f>
        <v>420868760</v>
      </c>
      <c r="H6" s="1230">
        <f t="shared" ref="H6:H24" si="0">SUM(E6:G6)</f>
        <v>3352797952</v>
      </c>
      <c r="I6" s="1232">
        <f>SUM(I7:I20)</f>
        <v>218712415</v>
      </c>
      <c r="J6" s="1231">
        <f>SUM(J7:J20)</f>
        <v>7219830072</v>
      </c>
      <c r="K6" s="1230">
        <f t="shared" ref="K6:K24" si="1">SUM(I6:J6)</f>
        <v>7438542487</v>
      </c>
      <c r="M6" s="1203">
        <f>SUM(M7:M20)</f>
        <v>820944501</v>
      </c>
      <c r="N6" s="1203">
        <f t="shared" ref="N6:N24" si="2">D6-H6-K6</f>
        <v>0</v>
      </c>
    </row>
    <row r="7" spans="1:15" ht="24.75" customHeight="1">
      <c r="A7" s="1241"/>
      <c r="B7" s="1244"/>
      <c r="C7" s="1244" t="s">
        <v>1502</v>
      </c>
      <c r="D7" s="1235">
        <f>+雨汚水!O7</f>
        <v>564664608</v>
      </c>
      <c r="E7" s="1234">
        <f>+雨汚水!P7</f>
        <v>263704959</v>
      </c>
      <c r="F7" s="1300">
        <f>+雨汚水!Q7</f>
        <v>55426018</v>
      </c>
      <c r="G7" s="1231">
        <f>+雨汚水!R7</f>
        <v>0</v>
      </c>
      <c r="H7" s="1230">
        <f t="shared" si="0"/>
        <v>319130977</v>
      </c>
      <c r="I7" s="1232">
        <f>+雨汚水!T7</f>
        <v>0</v>
      </c>
      <c r="J7" s="1231">
        <f>+雨汚水!U7</f>
        <v>245533631</v>
      </c>
      <c r="K7" s="1230">
        <f t="shared" si="1"/>
        <v>245533631</v>
      </c>
      <c r="M7" s="1203">
        <f>'3条税込み'!D7-'3条税抜き'!D7</f>
        <v>47155349</v>
      </c>
      <c r="N7" s="1203">
        <f t="shared" si="2"/>
        <v>0</v>
      </c>
    </row>
    <row r="8" spans="1:15" ht="24.75" customHeight="1">
      <c r="A8" s="1241"/>
      <c r="B8" s="1245"/>
      <c r="C8" s="1244" t="s">
        <v>1499</v>
      </c>
      <c r="D8" s="1235">
        <f>+雨汚水!O8</f>
        <v>51313295</v>
      </c>
      <c r="E8" s="1234">
        <f>+雨汚水!P8</f>
        <v>0</v>
      </c>
      <c r="F8" s="1300">
        <f>+雨汚水!Q8</f>
        <v>0</v>
      </c>
      <c r="G8" s="1231">
        <f>+雨汚水!R8</f>
        <v>0</v>
      </c>
      <c r="H8" s="1230">
        <f t="shared" si="0"/>
        <v>0</v>
      </c>
      <c r="I8" s="1232">
        <f>+雨汚水!T8</f>
        <v>51313295</v>
      </c>
      <c r="J8" s="1231">
        <f>+雨汚水!U8</f>
        <v>0</v>
      </c>
      <c r="K8" s="1230">
        <f t="shared" si="1"/>
        <v>51313295</v>
      </c>
      <c r="M8" s="1203">
        <f>'3条税込み'!D8-'3条税抜き'!D8</f>
        <v>1130574</v>
      </c>
      <c r="N8" s="1203">
        <f t="shared" si="2"/>
        <v>0</v>
      </c>
    </row>
    <row r="9" spans="1:15" ht="24.75" customHeight="1">
      <c r="A9" s="1241"/>
      <c r="B9" s="1245"/>
      <c r="C9" s="1244" t="s">
        <v>1496</v>
      </c>
      <c r="D9" s="1235">
        <f>+雨汚水!O9</f>
        <v>2251657967</v>
      </c>
      <c r="E9" s="1234">
        <f>+雨汚水!P9</f>
        <v>1648504061</v>
      </c>
      <c r="F9" s="1300">
        <f>+雨汚水!Q9</f>
        <v>52612790</v>
      </c>
      <c r="G9" s="1231">
        <f>+雨汚水!R9</f>
        <v>0</v>
      </c>
      <c r="H9" s="1230">
        <f t="shared" si="0"/>
        <v>1701116851</v>
      </c>
      <c r="I9" s="1232">
        <f>+雨汚水!T9</f>
        <v>0</v>
      </c>
      <c r="J9" s="1231">
        <f>+雨汚水!U9</f>
        <v>550541116</v>
      </c>
      <c r="K9" s="1230">
        <f t="shared" si="1"/>
        <v>550541116</v>
      </c>
      <c r="M9" s="1203">
        <f>'3条税込み'!D9-'3条税抜き'!D9</f>
        <v>104382258</v>
      </c>
      <c r="N9" s="1203">
        <f t="shared" si="2"/>
        <v>0</v>
      </c>
    </row>
    <row r="10" spans="1:15" ht="24.75" customHeight="1">
      <c r="A10" s="1241"/>
      <c r="B10" s="1245"/>
      <c r="C10" s="1244" t="s">
        <v>1494</v>
      </c>
      <c r="D10" s="1235">
        <f>+雨汚水!O10</f>
        <v>6037810078</v>
      </c>
      <c r="E10" s="1234">
        <f>+雨汚水!P10</f>
        <v>647980161</v>
      </c>
      <c r="F10" s="1300">
        <f>+雨汚水!Q10</f>
        <v>132685804</v>
      </c>
      <c r="G10" s="1231">
        <f>+雨汚水!R10</f>
        <v>410472490</v>
      </c>
      <c r="H10" s="1230">
        <f t="shared" si="0"/>
        <v>1191138455</v>
      </c>
      <c r="I10" s="1263">
        <f>+雨汚水!T10</f>
        <v>123832094</v>
      </c>
      <c r="J10" s="1231">
        <f>+雨汚水!U10</f>
        <v>4722839529</v>
      </c>
      <c r="K10" s="1230">
        <f t="shared" si="1"/>
        <v>4846671623</v>
      </c>
      <c r="M10" s="1203">
        <f>'3条税込み'!D10-'3条税抜き'!D10</f>
        <v>519893786</v>
      </c>
      <c r="N10" s="1203">
        <f t="shared" si="2"/>
        <v>0</v>
      </c>
    </row>
    <row r="11" spans="1:15" ht="24.75" customHeight="1">
      <c r="A11" s="1241"/>
      <c r="B11" s="1245"/>
      <c r="C11" s="1244" t="s">
        <v>1492</v>
      </c>
      <c r="D11" s="1235">
        <f>+雨汚水!O11</f>
        <v>0</v>
      </c>
      <c r="E11" s="1234">
        <f>+雨汚水!P11</f>
        <v>0</v>
      </c>
      <c r="F11" s="1231">
        <f>+雨汚水!Q11</f>
        <v>0</v>
      </c>
      <c r="G11" s="1231">
        <f>+雨汚水!R11</f>
        <v>0</v>
      </c>
      <c r="H11" s="1230">
        <f t="shared" si="0"/>
        <v>0</v>
      </c>
      <c r="I11" s="1232">
        <f>+雨汚水!T11</f>
        <v>0</v>
      </c>
      <c r="J11" s="1231">
        <f>+雨汚水!U11</f>
        <v>0</v>
      </c>
      <c r="K11" s="1230">
        <f t="shared" si="1"/>
        <v>0</v>
      </c>
      <c r="L11" s="1262" t="s">
        <v>1706</v>
      </c>
      <c r="M11" s="1203">
        <f>'3条税込み'!D11-'3条税抜き'!D11</f>
        <v>0</v>
      </c>
      <c r="N11" s="1203">
        <f t="shared" si="2"/>
        <v>0</v>
      </c>
    </row>
    <row r="12" spans="1:15" ht="24.75" customHeight="1">
      <c r="A12" s="1241"/>
      <c r="B12" s="1245"/>
      <c r="C12" s="1244" t="s">
        <v>1490</v>
      </c>
      <c r="D12" s="1235">
        <f>+雨汚水!O12</f>
        <v>87134052</v>
      </c>
      <c r="E12" s="1234">
        <f>+雨汚水!P12</f>
        <v>0</v>
      </c>
      <c r="F12" s="1231">
        <f>+雨汚水!Q12</f>
        <v>0</v>
      </c>
      <c r="G12" s="1231">
        <f>+雨汚水!R12</f>
        <v>0</v>
      </c>
      <c r="H12" s="1230">
        <f t="shared" si="0"/>
        <v>0</v>
      </c>
      <c r="I12" s="1232">
        <f>+雨汚水!T12</f>
        <v>43567026</v>
      </c>
      <c r="J12" s="1231">
        <f>+雨汚水!U12</f>
        <v>43567026</v>
      </c>
      <c r="K12" s="1230">
        <f t="shared" si="1"/>
        <v>87134052</v>
      </c>
      <c r="L12" s="1203">
        <f>G12+I12</f>
        <v>43567026</v>
      </c>
      <c r="M12" s="1203">
        <f>'3条税込み'!D12-'3条税抜き'!D12</f>
        <v>1715497</v>
      </c>
      <c r="N12" s="1203">
        <f t="shared" si="2"/>
        <v>0</v>
      </c>
    </row>
    <row r="13" spans="1:15" ht="24.75" customHeight="1">
      <c r="A13" s="1241"/>
      <c r="B13" s="1245"/>
      <c r="C13" s="1259" t="s">
        <v>1487</v>
      </c>
      <c r="D13" s="1235">
        <f>+雨汚水!O13</f>
        <v>10396270</v>
      </c>
      <c r="E13" s="1234">
        <f>+雨汚水!P13</f>
        <v>0</v>
      </c>
      <c r="F13" s="1231">
        <f>+雨汚水!Q13</f>
        <v>0</v>
      </c>
      <c r="G13" s="1231">
        <f>+雨汚水!R13</f>
        <v>10396270</v>
      </c>
      <c r="H13" s="1230">
        <f t="shared" si="0"/>
        <v>10396270</v>
      </c>
      <c r="I13" s="1232">
        <f>+雨汚水!T13</f>
        <v>0</v>
      </c>
      <c r="J13" s="1231">
        <f>+雨汚水!U13</f>
        <v>0</v>
      </c>
      <c r="K13" s="1230">
        <f t="shared" si="1"/>
        <v>0</v>
      </c>
      <c r="M13" s="1203">
        <f>'3条税込み'!D13-'3条税抜き'!D13</f>
        <v>87589</v>
      </c>
      <c r="N13" s="1203">
        <f t="shared" si="2"/>
        <v>0</v>
      </c>
    </row>
    <row r="14" spans="1:15" ht="24.75" customHeight="1">
      <c r="A14" s="1241"/>
      <c r="B14" s="1245"/>
      <c r="C14" s="1244" t="s">
        <v>1485</v>
      </c>
      <c r="D14" s="1235">
        <f>+雨汚水!O14</f>
        <v>929691714</v>
      </c>
      <c r="E14" s="1234">
        <f>+雨汚水!P14</f>
        <v>0</v>
      </c>
      <c r="F14" s="1231">
        <f>+雨汚水!Q14</f>
        <v>0</v>
      </c>
      <c r="G14" s="1231">
        <f>+雨汚水!R14</f>
        <v>0</v>
      </c>
      <c r="H14" s="1230">
        <f t="shared" si="0"/>
        <v>0</v>
      </c>
      <c r="I14" s="1232">
        <f>+雨汚水!T14</f>
        <v>0</v>
      </c>
      <c r="J14" s="1231">
        <f>+雨汚水!U14</f>
        <v>929691714</v>
      </c>
      <c r="K14" s="1230">
        <f t="shared" si="1"/>
        <v>929691714</v>
      </c>
      <c r="M14" s="1203">
        <f>'3条税込み'!D14-'3条税抜き'!D14</f>
        <v>90253429</v>
      </c>
      <c r="N14" s="1203">
        <f t="shared" si="2"/>
        <v>0</v>
      </c>
      <c r="O14" s="1261" t="s">
        <v>1704</v>
      </c>
    </row>
    <row r="15" spans="1:15" ht="24.75" customHeight="1">
      <c r="A15" s="1241"/>
      <c r="B15" s="1245"/>
      <c r="C15" s="1244" t="s">
        <v>1483</v>
      </c>
      <c r="D15" s="1235">
        <f>+雨汚水!O15</f>
        <v>466286409</v>
      </c>
      <c r="E15" s="1234">
        <f>+雨汚水!P15</f>
        <v>119755277</v>
      </c>
      <c r="F15" s="1231">
        <f>+雨汚水!Q15</f>
        <v>11260122</v>
      </c>
      <c r="G15" s="1231">
        <f>+雨汚水!R15</f>
        <v>0</v>
      </c>
      <c r="H15" s="1230">
        <f t="shared" si="0"/>
        <v>131015399</v>
      </c>
      <c r="I15" s="1232">
        <f>+雨汚水!T15</f>
        <v>0</v>
      </c>
      <c r="J15" s="1231">
        <f>+雨汚水!U15</f>
        <v>335271010</v>
      </c>
      <c r="K15" s="1230">
        <f t="shared" si="1"/>
        <v>335271010</v>
      </c>
      <c r="M15" s="1203">
        <f>'3条税込み'!D15-'3条税抜き'!D15</f>
        <v>17678805</v>
      </c>
      <c r="N15" s="1203">
        <f t="shared" si="2"/>
        <v>0</v>
      </c>
      <c r="O15" s="1260">
        <f>+総係!T36-総係!T35</f>
        <v>-14495555</v>
      </c>
    </row>
    <row r="16" spans="1:15" ht="24.75" customHeight="1">
      <c r="A16" s="1241"/>
      <c r="B16" s="1245"/>
      <c r="C16" s="1259" t="s">
        <v>1703</v>
      </c>
      <c r="D16" s="1235">
        <f>+雨汚水!O16</f>
        <v>97276922</v>
      </c>
      <c r="E16" s="1234">
        <f>+雨汚水!P16</f>
        <v>0</v>
      </c>
      <c r="F16" s="1231">
        <f>+雨汚水!Q16</f>
        <v>0</v>
      </c>
      <c r="G16" s="1231">
        <f>+雨汚水!R16</f>
        <v>0</v>
      </c>
      <c r="H16" s="1230">
        <f t="shared" si="0"/>
        <v>0</v>
      </c>
      <c r="I16" s="1232">
        <f>+雨汚水!T16</f>
        <v>0</v>
      </c>
      <c r="J16" s="1231">
        <f>+雨汚水!U16</f>
        <v>97276922</v>
      </c>
      <c r="K16" s="1230">
        <f t="shared" si="1"/>
        <v>97276922</v>
      </c>
      <c r="M16" s="1203">
        <f>'3条税込み'!D16-'3条税抜き'!D16</f>
        <v>9713984</v>
      </c>
      <c r="N16" s="1203">
        <f t="shared" si="2"/>
        <v>0</v>
      </c>
    </row>
    <row r="17" spans="1:14" ht="24.75" customHeight="1">
      <c r="A17" s="1241"/>
      <c r="B17" s="1245"/>
      <c r="C17" s="1244" t="s">
        <v>1702</v>
      </c>
      <c r="D17" s="1235">
        <f>+雨汚水!O17</f>
        <v>225167795</v>
      </c>
      <c r="E17" s="1234">
        <f>+雨汚水!P17</f>
        <v>0</v>
      </c>
      <c r="F17" s="1231">
        <f>+雨汚水!Q17</f>
        <v>0</v>
      </c>
      <c r="G17" s="1231">
        <f>+雨汚水!R17</f>
        <v>0</v>
      </c>
      <c r="H17" s="1230">
        <f t="shared" si="0"/>
        <v>0</v>
      </c>
      <c r="I17" s="1232">
        <f>+雨汚水!T17</f>
        <v>0</v>
      </c>
      <c r="J17" s="1231">
        <f>+雨汚水!U17</f>
        <v>225167795</v>
      </c>
      <c r="K17" s="1230">
        <f t="shared" si="1"/>
        <v>225167795</v>
      </c>
      <c r="M17" s="1203">
        <f>'3条税込み'!D17-'3条税抜き'!D17</f>
        <v>22486229</v>
      </c>
      <c r="N17" s="1203">
        <f t="shared" si="2"/>
        <v>0</v>
      </c>
    </row>
    <row r="18" spans="1:14" ht="24.75" customHeight="1">
      <c r="A18" s="1241"/>
      <c r="B18" s="1245"/>
      <c r="C18" s="1244" t="s">
        <v>1701</v>
      </c>
      <c r="D18" s="1235">
        <f>+雨汚水!O18</f>
        <v>69941329</v>
      </c>
      <c r="E18" s="1234">
        <f>+雨汚水!P18</f>
        <v>0</v>
      </c>
      <c r="F18" s="1231">
        <f>+雨汚水!Q18</f>
        <v>0</v>
      </c>
      <c r="G18" s="1231">
        <f>+雨汚水!R18</f>
        <v>0</v>
      </c>
      <c r="H18" s="1230">
        <f t="shared" si="0"/>
        <v>0</v>
      </c>
      <c r="I18" s="1232">
        <f>+雨汚水!T18</f>
        <v>0</v>
      </c>
      <c r="J18" s="1231">
        <f>+雨汚水!U18</f>
        <v>69941329</v>
      </c>
      <c r="K18" s="1230">
        <f t="shared" si="1"/>
        <v>69941329</v>
      </c>
      <c r="M18" s="1203">
        <f>'3条税込み'!D18-'3条税抜き'!D18</f>
        <v>6447001</v>
      </c>
      <c r="N18" s="1203">
        <f t="shared" si="2"/>
        <v>0</v>
      </c>
    </row>
    <row r="19" spans="1:14" ht="24.75" customHeight="1">
      <c r="A19" s="1241"/>
      <c r="B19" s="1245"/>
      <c r="C19" s="1244" t="s">
        <v>1700</v>
      </c>
      <c r="D19" s="1235">
        <f>+雨汚水!O19</f>
        <v>0</v>
      </c>
      <c r="E19" s="1234">
        <f>+雨汚水!P19</f>
        <v>0</v>
      </c>
      <c r="F19" s="1231">
        <f>+雨汚水!Q19</f>
        <v>0</v>
      </c>
      <c r="G19" s="1231">
        <f>+雨汚水!R19</f>
        <v>0</v>
      </c>
      <c r="H19" s="1230">
        <f t="shared" si="0"/>
        <v>0</v>
      </c>
      <c r="I19" s="1232">
        <f>+雨汚水!T19</f>
        <v>0</v>
      </c>
      <c r="J19" s="1231">
        <f>+雨汚水!U19</f>
        <v>0</v>
      </c>
      <c r="K19" s="1230">
        <f t="shared" si="1"/>
        <v>0</v>
      </c>
      <c r="M19" s="1203">
        <f>'3条税込み'!D19-'3条税抜き'!D19</f>
        <v>0</v>
      </c>
      <c r="N19" s="1203">
        <f t="shared" si="2"/>
        <v>0</v>
      </c>
    </row>
    <row r="20" spans="1:14" ht="24.75" customHeight="1">
      <c r="A20" s="1241"/>
      <c r="B20" s="1245"/>
      <c r="C20" s="1244" t="s">
        <v>1699</v>
      </c>
      <c r="D20" s="1235">
        <f>+雨汚水!O20</f>
        <v>0</v>
      </c>
      <c r="E20" s="1234">
        <f>+雨汚水!P20</f>
        <v>0</v>
      </c>
      <c r="F20" s="1231">
        <f>+雨汚水!Q20</f>
        <v>0</v>
      </c>
      <c r="G20" s="1231">
        <f>+雨汚水!R20</f>
        <v>0</v>
      </c>
      <c r="H20" s="1230">
        <f t="shared" si="0"/>
        <v>0</v>
      </c>
      <c r="I20" s="1232">
        <f>+雨汚水!T20</f>
        <v>0</v>
      </c>
      <c r="J20" s="1231">
        <f>+雨汚水!U20</f>
        <v>0</v>
      </c>
      <c r="K20" s="1230">
        <f t="shared" si="1"/>
        <v>0</v>
      </c>
      <c r="M20" s="1203">
        <f>'3条税込み'!D20-'3条税抜き'!D20</f>
        <v>0</v>
      </c>
      <c r="N20" s="1203">
        <f t="shared" si="2"/>
        <v>0</v>
      </c>
    </row>
    <row r="21" spans="1:14" ht="24.75" customHeight="1">
      <c r="A21" s="1241"/>
      <c r="B21" s="1244" t="s">
        <v>1657</v>
      </c>
      <c r="C21" s="1244"/>
      <c r="D21" s="1235">
        <f>SUM(D22:D25)</f>
        <v>8736830</v>
      </c>
      <c r="E21" s="1234">
        <f>SUM(E22:E25)</f>
        <v>0</v>
      </c>
      <c r="F21" s="1231">
        <f>SUM(F22:F25)</f>
        <v>0</v>
      </c>
      <c r="G21" s="1231">
        <f>SUM(G22:G25)</f>
        <v>0</v>
      </c>
      <c r="H21" s="1230">
        <f t="shared" si="0"/>
        <v>0</v>
      </c>
      <c r="I21" s="1232">
        <f>SUM(I22:I25)</f>
        <v>0</v>
      </c>
      <c r="J21" s="1231">
        <f>SUM(J22:J25)</f>
        <v>8736830</v>
      </c>
      <c r="K21" s="1230">
        <f t="shared" si="1"/>
        <v>8736830</v>
      </c>
      <c r="M21" s="1203">
        <f>SUM(M22:M24)</f>
        <v>489822</v>
      </c>
      <c r="N21" s="1203">
        <f t="shared" si="2"/>
        <v>0</v>
      </c>
    </row>
    <row r="22" spans="1:14" ht="24.75" customHeight="1">
      <c r="A22" s="1241"/>
      <c r="B22" s="1244"/>
      <c r="C22" s="1244" t="s">
        <v>1698</v>
      </c>
      <c r="D22" s="1235">
        <f>+雨汚水!O22</f>
        <v>2483</v>
      </c>
      <c r="E22" s="1234">
        <f>+雨汚水!P22</f>
        <v>0</v>
      </c>
      <c r="F22" s="1231">
        <f>+雨汚水!Q22</f>
        <v>0</v>
      </c>
      <c r="G22" s="1231">
        <f>+雨汚水!R22</f>
        <v>0</v>
      </c>
      <c r="H22" s="1230">
        <f t="shared" si="0"/>
        <v>0</v>
      </c>
      <c r="I22" s="1232">
        <f>+雨汚水!T22</f>
        <v>0</v>
      </c>
      <c r="J22" s="1231">
        <f>+雨汚水!U22</f>
        <v>2483</v>
      </c>
      <c r="K22" s="1230">
        <f t="shared" si="1"/>
        <v>2483</v>
      </c>
      <c r="M22" s="1203">
        <f>'3条税込み'!D22-'3条税抜き'!D22</f>
        <v>0</v>
      </c>
      <c r="N22" s="1203">
        <f t="shared" si="2"/>
        <v>0</v>
      </c>
    </row>
    <row r="23" spans="1:14" ht="24.75" customHeight="1">
      <c r="A23" s="1241"/>
      <c r="B23" s="1245"/>
      <c r="C23" s="1244" t="s">
        <v>1656</v>
      </c>
      <c r="D23" s="1235">
        <f>+雨汚水!O23</f>
        <v>24123</v>
      </c>
      <c r="E23" s="1234">
        <f>+雨汚水!P23</f>
        <v>0</v>
      </c>
      <c r="F23" s="1231">
        <f>+雨汚水!Q23</f>
        <v>0</v>
      </c>
      <c r="G23" s="1231">
        <f>+雨汚水!R23</f>
        <v>0</v>
      </c>
      <c r="H23" s="1230">
        <f t="shared" si="0"/>
        <v>0</v>
      </c>
      <c r="I23" s="1232">
        <f>+雨汚水!T23</f>
        <v>0</v>
      </c>
      <c r="J23" s="1231">
        <f>+雨汚水!U23</f>
        <v>24123</v>
      </c>
      <c r="K23" s="1230">
        <f t="shared" si="1"/>
        <v>24123</v>
      </c>
      <c r="M23" s="1203">
        <f>'3条税込み'!D23-'3条税抜き'!D23</f>
        <v>1773</v>
      </c>
      <c r="N23" s="1203">
        <f t="shared" si="2"/>
        <v>0</v>
      </c>
    </row>
    <row r="24" spans="1:14" ht="24.75" customHeight="1">
      <c r="A24" s="1241"/>
      <c r="B24" s="1245"/>
      <c r="C24" s="1259" t="s">
        <v>1697</v>
      </c>
      <c r="D24" s="1235">
        <f>+雨汚水!O24</f>
        <v>8710224</v>
      </c>
      <c r="E24" s="1234">
        <f>+雨汚水!P24</f>
        <v>0</v>
      </c>
      <c r="F24" s="1231">
        <f>+雨汚水!Q24</f>
        <v>0</v>
      </c>
      <c r="G24" s="1231">
        <f>+雨汚水!R24</f>
        <v>0</v>
      </c>
      <c r="H24" s="1230">
        <f t="shared" si="0"/>
        <v>0</v>
      </c>
      <c r="I24" s="1232">
        <f>+雨汚水!T24</f>
        <v>0</v>
      </c>
      <c r="J24" s="1231">
        <f>+雨汚水!U24</f>
        <v>8710224</v>
      </c>
      <c r="K24" s="1230">
        <f t="shared" si="1"/>
        <v>8710224</v>
      </c>
      <c r="M24" s="1203">
        <f>'3条税込み'!D24-'3条税抜き'!D24</f>
        <v>488049</v>
      </c>
      <c r="N24" s="1203">
        <f t="shared" si="2"/>
        <v>0</v>
      </c>
    </row>
    <row r="25" spans="1:14" ht="24.75" customHeight="1">
      <c r="A25" s="1241"/>
      <c r="B25" s="1245"/>
      <c r="C25" s="1259" t="s">
        <v>1689</v>
      </c>
      <c r="D25" s="1235"/>
      <c r="E25" s="1234"/>
      <c r="F25" s="1231"/>
      <c r="G25" s="1231"/>
      <c r="H25" s="1230"/>
      <c r="I25" s="1258"/>
      <c r="J25" s="1231"/>
      <c r="K25" s="1230"/>
    </row>
    <row r="26" spans="1:14" ht="24.75" customHeight="1">
      <c r="A26" s="1241"/>
      <c r="B26" s="1244" t="s">
        <v>1653</v>
      </c>
      <c r="C26" s="1244"/>
      <c r="D26" s="1235">
        <f>SUM(D27:D28)</f>
        <v>20026854</v>
      </c>
      <c r="E26" s="1234">
        <f>SUM(E27:E28)</f>
        <v>6733</v>
      </c>
      <c r="F26" s="1231">
        <f>SUM(F27:F28)</f>
        <v>0</v>
      </c>
      <c r="G26" s="1231">
        <f>SUM(G27:G28)</f>
        <v>0</v>
      </c>
      <c r="H26" s="1230">
        <f>SUM(E26:G26)</f>
        <v>6733</v>
      </c>
      <c r="I26" s="1231">
        <f>SUM(I27:I28)</f>
        <v>0</v>
      </c>
      <c r="J26" s="1231">
        <f>SUM(J27:J28)</f>
        <v>20020121</v>
      </c>
      <c r="K26" s="1230">
        <f>SUM(I26:J26)</f>
        <v>20020121</v>
      </c>
      <c r="M26" s="1203">
        <f>SUM(M27:M28)</f>
        <v>968444</v>
      </c>
      <c r="N26" s="1203">
        <f t="shared" ref="N26:N37" si="3">D26-H26-K26</f>
        <v>0</v>
      </c>
    </row>
    <row r="27" spans="1:14" ht="24.75" customHeight="1">
      <c r="A27" s="1241"/>
      <c r="B27" s="1244"/>
      <c r="C27" s="1257" t="s">
        <v>1696</v>
      </c>
      <c r="D27" s="1235">
        <f>+SUM(雨汚水!O28:O29)</f>
        <v>20026854</v>
      </c>
      <c r="E27" s="1234">
        <f>+SUM(雨汚水!P28:P29)</f>
        <v>6733</v>
      </c>
      <c r="F27" s="1231">
        <f>+SUM(雨汚水!Q28:Q29)</f>
        <v>0</v>
      </c>
      <c r="G27" s="1231">
        <f>+SUM(雨汚水!R28:R29)</f>
        <v>0</v>
      </c>
      <c r="H27" s="1230">
        <f>SUM(E27:G27)</f>
        <v>6733</v>
      </c>
      <c r="I27" s="1232">
        <f>+SUM(雨汚水!T28:T29)</f>
        <v>0</v>
      </c>
      <c r="J27" s="1231">
        <f>+SUM(雨汚水!U28:U29)</f>
        <v>20020121</v>
      </c>
      <c r="K27" s="1230">
        <f>SUM(I27:J27)</f>
        <v>20020121</v>
      </c>
      <c r="M27" s="1203">
        <f>'3条税込み'!D27-'3条税抜き'!D27</f>
        <v>968444</v>
      </c>
      <c r="N27" s="1203">
        <f t="shared" si="3"/>
        <v>0</v>
      </c>
    </row>
    <row r="28" spans="1:14" ht="24.75" customHeight="1">
      <c r="A28" s="1241"/>
      <c r="B28" s="1245"/>
      <c r="C28" s="1244" t="s">
        <v>1435</v>
      </c>
      <c r="D28" s="1235">
        <f>+雨汚水!O30</f>
        <v>0</v>
      </c>
      <c r="E28" s="1234">
        <f>+雨汚水!P30</f>
        <v>0</v>
      </c>
      <c r="F28" s="1231">
        <f>+雨汚水!Q30</f>
        <v>0</v>
      </c>
      <c r="G28" s="1231">
        <f>+雨汚水!R30</f>
        <v>0</v>
      </c>
      <c r="H28" s="1230">
        <f>SUM(E28:G28)</f>
        <v>0</v>
      </c>
      <c r="I28" s="1232">
        <f>+雨汚水!T30</f>
        <v>0</v>
      </c>
      <c r="J28" s="1231">
        <f>+雨汚水!U30</f>
        <v>0</v>
      </c>
      <c r="K28" s="1230">
        <f>SUM(I28:J28)</f>
        <v>0</v>
      </c>
      <c r="M28" s="1203">
        <f>'3条税込み'!D28-'3条税抜き'!D28</f>
        <v>0</v>
      </c>
      <c r="N28" s="1203">
        <f t="shared" si="3"/>
        <v>0</v>
      </c>
    </row>
    <row r="29" spans="1:14" ht="24.75" customHeight="1">
      <c r="A29" s="1241"/>
      <c r="B29" s="1242" t="s">
        <v>1695</v>
      </c>
      <c r="C29" s="1231"/>
      <c r="D29" s="1235"/>
      <c r="E29" s="1234"/>
      <c r="F29" s="1231"/>
      <c r="G29" s="1231"/>
      <c r="H29" s="1230">
        <f>SUM(E29:G29)</f>
        <v>0</v>
      </c>
      <c r="I29" s="1232"/>
      <c r="J29" s="1231"/>
      <c r="K29" s="1230">
        <f>SUM(I29:J29)</f>
        <v>0</v>
      </c>
      <c r="M29" s="1203">
        <f>'3条税込み'!D29-'3条税抜き'!D29</f>
        <v>0</v>
      </c>
      <c r="N29" s="1203">
        <f t="shared" si="3"/>
        <v>0</v>
      </c>
    </row>
    <row r="30" spans="1:14" ht="24.75" customHeight="1">
      <c r="A30" s="1228"/>
      <c r="B30" s="1205"/>
      <c r="C30" s="1205"/>
      <c r="D30" s="1235"/>
      <c r="E30" s="1234"/>
      <c r="F30" s="1231"/>
      <c r="G30" s="1231"/>
      <c r="H30" s="1230"/>
      <c r="I30" s="1232"/>
      <c r="J30" s="1231"/>
      <c r="K30" s="1230"/>
      <c r="L30" s="1248" t="s">
        <v>1694</v>
      </c>
      <c r="N30" s="1203">
        <f t="shared" si="3"/>
        <v>0</v>
      </c>
    </row>
    <row r="31" spans="1:14" ht="24.75" customHeight="1">
      <c r="A31" s="1256"/>
      <c r="B31" s="1213" t="s">
        <v>1676</v>
      </c>
      <c r="C31" s="1255"/>
      <c r="D31" s="1227">
        <f t="shared" ref="D31:K31" si="4">D6+D21+D26+D29</f>
        <v>10820104123</v>
      </c>
      <c r="E31" s="1226">
        <f t="shared" si="4"/>
        <v>2679951191</v>
      </c>
      <c r="F31" s="1295">
        <f t="shared" si="4"/>
        <v>251984734</v>
      </c>
      <c r="G31" s="1224">
        <f t="shared" si="4"/>
        <v>420868760</v>
      </c>
      <c r="H31" s="1223">
        <f t="shared" si="4"/>
        <v>3352804685</v>
      </c>
      <c r="I31" s="1225">
        <f t="shared" si="4"/>
        <v>218712415</v>
      </c>
      <c r="J31" s="1224">
        <f t="shared" si="4"/>
        <v>7248587023</v>
      </c>
      <c r="K31" s="1223">
        <f t="shared" si="4"/>
        <v>7467299438</v>
      </c>
      <c r="L31" s="1203">
        <f>H31+I31-I8-L12-G13</f>
        <v>3466240509</v>
      </c>
      <c r="M31" s="1203">
        <f>M6+M21+M26+M29</f>
        <v>822402767</v>
      </c>
      <c r="N31" s="1203">
        <f t="shared" si="3"/>
        <v>0</v>
      </c>
    </row>
    <row r="32" spans="1:14" ht="24.75" customHeight="1">
      <c r="A32" s="1254"/>
      <c r="B32" s="1244" t="s">
        <v>1669</v>
      </c>
      <c r="C32" s="1253"/>
      <c r="D32" s="1252">
        <f>SUM(D33:D34)</f>
        <v>27055204101</v>
      </c>
      <c r="E32" s="1251">
        <f>SUM(E33:E34)</f>
        <v>12875255326</v>
      </c>
      <c r="F32" s="1302">
        <f>SUM(F33:F34)</f>
        <v>125365824</v>
      </c>
      <c r="G32" s="1237">
        <f>SUM(G33:G34)</f>
        <v>0</v>
      </c>
      <c r="H32" s="1249">
        <f t="shared" ref="H32:H37" si="5">SUM(E32:G32)</f>
        <v>13000621150</v>
      </c>
      <c r="I32" s="1250">
        <f>SUM(I33:I34)</f>
        <v>17206476</v>
      </c>
      <c r="J32" s="1237">
        <f>SUM(J33:J34)</f>
        <v>14037376475</v>
      </c>
      <c r="K32" s="1249">
        <f t="shared" ref="K32:K37" si="6">SUM(I32:J32)</f>
        <v>14054582951</v>
      </c>
      <c r="L32" s="1248" t="s">
        <v>1719</v>
      </c>
      <c r="M32" s="1203">
        <f>SUM(M33:M34)</f>
        <v>0</v>
      </c>
      <c r="N32" s="1301">
        <f t="shared" si="3"/>
        <v>0</v>
      </c>
    </row>
    <row r="33" spans="1:14" ht="24.75" customHeight="1">
      <c r="A33" s="1241"/>
      <c r="B33" s="1244"/>
      <c r="C33" s="1244" t="s">
        <v>1448</v>
      </c>
      <c r="D33" s="1235">
        <f>+雨汚水!O34</f>
        <v>26551442230</v>
      </c>
      <c r="E33" s="1234">
        <f>+雨汚水!P34</f>
        <v>12571100990</v>
      </c>
      <c r="F33" s="1300">
        <f>+雨汚水!Q34</f>
        <v>122404286</v>
      </c>
      <c r="G33" s="1300">
        <f>+雨汚水!R34</f>
        <v>0</v>
      </c>
      <c r="H33" s="1230">
        <f t="shared" si="5"/>
        <v>12693505276</v>
      </c>
      <c r="I33" s="1231">
        <f>+雨汚水!T34</f>
        <v>17206476</v>
      </c>
      <c r="J33" s="1231">
        <f>+雨汚水!U34</f>
        <v>13840730478</v>
      </c>
      <c r="K33" s="1230">
        <f t="shared" si="6"/>
        <v>13857936954</v>
      </c>
      <c r="L33" s="1203">
        <f>E32+F32</f>
        <v>13000621150</v>
      </c>
      <c r="M33" s="1203">
        <f>'3条税込み'!D33-'3条税抜き'!D33</f>
        <v>0</v>
      </c>
      <c r="N33" s="1301">
        <f t="shared" si="3"/>
        <v>0</v>
      </c>
    </row>
    <row r="34" spans="1:14" ht="24.75" customHeight="1">
      <c r="A34" s="1241"/>
      <c r="B34" s="1245"/>
      <c r="C34" s="1244" t="s">
        <v>1692</v>
      </c>
      <c r="D34" s="1235">
        <f>+雨汚水!O35</f>
        <v>503761871</v>
      </c>
      <c r="E34" s="1234">
        <f>+雨汚水!P35</f>
        <v>304154336</v>
      </c>
      <c r="F34" s="1300">
        <f>+雨汚水!Q35</f>
        <v>2961538</v>
      </c>
      <c r="G34" s="1300">
        <f>+雨汚水!R35</f>
        <v>0</v>
      </c>
      <c r="H34" s="1230">
        <f t="shared" si="5"/>
        <v>307115874</v>
      </c>
      <c r="I34" s="1232">
        <f>+雨汚水!T35</f>
        <v>0</v>
      </c>
      <c r="J34" s="1231">
        <f>+雨汚水!U35</f>
        <v>196645997</v>
      </c>
      <c r="K34" s="1230">
        <f t="shared" si="6"/>
        <v>196645997</v>
      </c>
      <c r="M34" s="1203">
        <f>'3条税込み'!D34-'3条税抜き'!D34</f>
        <v>0</v>
      </c>
      <c r="N34" s="1203">
        <f t="shared" si="3"/>
        <v>0</v>
      </c>
    </row>
    <row r="35" spans="1:14" ht="24.75" customHeight="1">
      <c r="A35" s="1241"/>
      <c r="B35" s="1247" t="s">
        <v>1657</v>
      </c>
      <c r="C35" s="1246"/>
      <c r="D35" s="1235">
        <f>SUM(D36:D37)</f>
        <v>3940339234</v>
      </c>
      <c r="E35" s="1234">
        <f>SUM(E36:E37)</f>
        <v>1665866876</v>
      </c>
      <c r="F35" s="1231">
        <f>SUM(F36:F37)</f>
        <v>0</v>
      </c>
      <c r="G35" s="1231">
        <f>SUM(G36:G37)</f>
        <v>36375158</v>
      </c>
      <c r="H35" s="1230">
        <f t="shared" si="5"/>
        <v>1702242034</v>
      </c>
      <c r="I35" s="1299">
        <f>SUM(I36:I37)</f>
        <v>315322238</v>
      </c>
      <c r="J35" s="1231">
        <f>SUM(J36:J37)</f>
        <v>1922774962</v>
      </c>
      <c r="K35" s="1230">
        <f t="shared" si="6"/>
        <v>2238097200</v>
      </c>
      <c r="M35" s="1203">
        <f>SUM(M36:M37)</f>
        <v>5619432</v>
      </c>
      <c r="N35" s="1203">
        <f t="shared" si="3"/>
        <v>0</v>
      </c>
    </row>
    <row r="36" spans="1:14" ht="24.75" customHeight="1">
      <c r="A36" s="1241"/>
      <c r="B36" s="1244"/>
      <c r="C36" s="1244" t="s">
        <v>1691</v>
      </c>
      <c r="D36" s="1235">
        <f>+SUM(雨汚水!O37:O38)</f>
        <v>3940339234</v>
      </c>
      <c r="E36" s="1234">
        <f>+SUM(雨汚水!P37:P38)</f>
        <v>1665866876</v>
      </c>
      <c r="F36" s="1231">
        <f>+SUM(雨汚水!Q37:Q38)</f>
        <v>0</v>
      </c>
      <c r="G36" s="1231">
        <f>+SUM(雨汚水!R37:R38)</f>
        <v>36375158</v>
      </c>
      <c r="H36" s="1230">
        <f t="shared" si="5"/>
        <v>1702242034</v>
      </c>
      <c r="I36" s="1299">
        <f>+SUM(雨汚水!T37:T38)</f>
        <v>315322238</v>
      </c>
      <c r="J36" s="1231">
        <f>+SUM(雨汚水!U37:U38)</f>
        <v>1922774962</v>
      </c>
      <c r="K36" s="1230">
        <f t="shared" si="6"/>
        <v>2238097200</v>
      </c>
      <c r="M36" s="1203">
        <f>'3条税込み'!D36-'3条税抜き'!D36</f>
        <v>5619432</v>
      </c>
      <c r="N36" s="1203">
        <f t="shared" si="3"/>
        <v>0</v>
      </c>
    </row>
    <row r="37" spans="1:14" ht="24.75" customHeight="1">
      <c r="A37" s="1241"/>
      <c r="B37" s="1245"/>
      <c r="C37" s="1244" t="s">
        <v>1689</v>
      </c>
      <c r="D37" s="1235"/>
      <c r="E37" s="1234"/>
      <c r="F37" s="1231"/>
      <c r="G37" s="1231"/>
      <c r="H37" s="1230">
        <f t="shared" si="5"/>
        <v>0</v>
      </c>
      <c r="I37" s="1232"/>
      <c r="J37" s="1231"/>
      <c r="K37" s="1230">
        <f t="shared" si="6"/>
        <v>0</v>
      </c>
      <c r="M37" s="1203">
        <f>'3条税込み'!D37-'3条税抜き'!D37</f>
        <v>0</v>
      </c>
      <c r="N37" s="1203">
        <f t="shared" si="3"/>
        <v>0</v>
      </c>
    </row>
    <row r="38" spans="1:14" ht="24.7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row>
    <row r="39" spans="1:14" ht="24.75" customHeight="1">
      <c r="A39" s="1241"/>
      <c r="B39" s="1244"/>
      <c r="C39" s="1243" t="s">
        <v>1687</v>
      </c>
      <c r="D39" s="1235">
        <f>+SUM(雨汚水!O42:O44)</f>
        <v>0</v>
      </c>
      <c r="E39" s="1234">
        <f>+SUM(雨汚水!P42:P44)</f>
        <v>0</v>
      </c>
      <c r="F39" s="1231">
        <f>+SUM(雨汚水!Q42:Q44)</f>
        <v>0</v>
      </c>
      <c r="G39" s="1231">
        <f>+SUM(雨汚水!R42:R44)</f>
        <v>0</v>
      </c>
      <c r="H39" s="1230">
        <f>SUM(E39:G39)</f>
        <v>0</v>
      </c>
      <c r="I39" s="1232">
        <f>+SUM(雨汚水!T42:T44)</f>
        <v>0</v>
      </c>
      <c r="J39" s="1231">
        <f>+SUM(雨汚水!U42:U44)</f>
        <v>0</v>
      </c>
      <c r="K39" s="1230">
        <f>SUM(I39:J39)</f>
        <v>0</v>
      </c>
      <c r="M39" s="1203">
        <f>D39-H39-K39</f>
        <v>0</v>
      </c>
    </row>
    <row r="40" spans="1:14" ht="24.75" customHeight="1">
      <c r="A40" s="1241"/>
      <c r="B40" s="1240"/>
      <c r="C40" s="1239"/>
      <c r="D40" s="1235"/>
      <c r="E40" s="1234"/>
      <c r="F40" s="1233" t="s">
        <v>1682</v>
      </c>
      <c r="G40" s="1231">
        <f>'3条税込み'!G40</f>
        <v>0</v>
      </c>
      <c r="H40" s="1230">
        <f>SUM(E40:G40)</f>
        <v>0</v>
      </c>
      <c r="I40" s="1232"/>
      <c r="J40" s="1231"/>
      <c r="K40" s="1230">
        <f>SUM(I40:J40)</f>
        <v>0</v>
      </c>
      <c r="L40" s="1203" t="s">
        <v>1681</v>
      </c>
    </row>
    <row r="41" spans="1:14" ht="24.75" customHeight="1">
      <c r="A41" s="1228"/>
      <c r="B41" s="1237"/>
      <c r="C41" s="1236"/>
      <c r="D41" s="1235"/>
      <c r="E41" s="1234"/>
      <c r="F41" s="1233" t="s">
        <v>1679</v>
      </c>
      <c r="G41" s="1231">
        <f>G36-G40</f>
        <v>36375158</v>
      </c>
      <c r="H41" s="1230"/>
      <c r="I41" s="1232"/>
      <c r="J41" s="1231"/>
      <c r="K41" s="1230"/>
      <c r="L41" s="1203">
        <f>E36+F36+G41+I36</f>
        <v>2017564272</v>
      </c>
      <c r="N41" s="1203">
        <f>D41-H41-K41</f>
        <v>0</v>
      </c>
    </row>
    <row r="42" spans="1:14" ht="24.75" customHeight="1">
      <c r="A42" s="1228"/>
      <c r="B42" s="1205" t="s">
        <v>1676</v>
      </c>
      <c r="C42" s="1205"/>
      <c r="D42" s="1298">
        <f t="shared" ref="D42:K42" si="8">D32+D35+D38</f>
        <v>30995543335</v>
      </c>
      <c r="E42" s="1297">
        <f t="shared" si="8"/>
        <v>14541122202</v>
      </c>
      <c r="F42" s="1295">
        <f t="shared" si="8"/>
        <v>125365824</v>
      </c>
      <c r="G42" s="1295">
        <f t="shared" si="8"/>
        <v>36375158</v>
      </c>
      <c r="H42" s="1294">
        <f t="shared" si="8"/>
        <v>14702863184</v>
      </c>
      <c r="I42" s="1296">
        <f t="shared" si="8"/>
        <v>332528714</v>
      </c>
      <c r="J42" s="1295">
        <f t="shared" si="8"/>
        <v>15960151437</v>
      </c>
      <c r="K42" s="1294">
        <f t="shared" si="8"/>
        <v>16292680151</v>
      </c>
      <c r="M42" s="1203">
        <f>M32+M35</f>
        <v>5619432</v>
      </c>
      <c r="N42" s="1203">
        <f>D42-H42-K42</f>
        <v>0</v>
      </c>
    </row>
    <row r="43" spans="1:14" ht="24.75" customHeight="1">
      <c r="A43" s="1222"/>
      <c r="B43" s="1221"/>
      <c r="C43" s="1221"/>
      <c r="D43" s="1220"/>
      <c r="E43" s="1219"/>
      <c r="F43" s="1217"/>
      <c r="G43" s="1217"/>
      <c r="H43" s="1216"/>
      <c r="I43" s="1218"/>
      <c r="J43" s="1217"/>
      <c r="K43" s="1216"/>
      <c r="N43" s="1203">
        <f>D43-H43-K43</f>
        <v>0</v>
      </c>
    </row>
    <row r="44" spans="1:14" ht="24.75" customHeight="1" thickBot="1">
      <c r="A44" s="1215" t="s">
        <v>1674</v>
      </c>
      <c r="B44" s="1214"/>
      <c r="C44" s="1213"/>
      <c r="D44" s="1293">
        <f t="shared" ref="D44:K44" si="9">D31+D42</f>
        <v>41815647458</v>
      </c>
      <c r="E44" s="1292">
        <f t="shared" si="9"/>
        <v>17221073393</v>
      </c>
      <c r="F44" s="1289">
        <f t="shared" si="9"/>
        <v>377350558</v>
      </c>
      <c r="G44" s="1292">
        <f t="shared" si="9"/>
        <v>457243918</v>
      </c>
      <c r="H44" s="1291">
        <f t="shared" si="9"/>
        <v>18055667869</v>
      </c>
      <c r="I44" s="1290">
        <f t="shared" si="9"/>
        <v>551241129</v>
      </c>
      <c r="J44" s="1289">
        <f t="shared" si="9"/>
        <v>23208738460</v>
      </c>
      <c r="K44" s="1288">
        <f t="shared" si="9"/>
        <v>23759979589</v>
      </c>
      <c r="M44" s="1203">
        <f>M31+M42</f>
        <v>828022199</v>
      </c>
      <c r="N44" s="1203">
        <f>D44-H44-K44</f>
        <v>0</v>
      </c>
    </row>
    <row r="45" spans="1:14" ht="21" customHeight="1">
      <c r="A45" s="1205"/>
      <c r="B45" s="1205"/>
      <c r="C45" s="1205"/>
      <c r="D45" s="1204"/>
      <c r="E45" s="1204"/>
      <c r="F45" s="1204"/>
      <c r="G45" s="1204"/>
      <c r="H45" s="1204"/>
      <c r="I45" s="1204"/>
      <c r="J45" s="1204"/>
      <c r="K45" s="1204"/>
    </row>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O56"/>
  <sheetViews>
    <sheetView zoomScale="85" zoomScaleNormal="85" zoomScaleSheetLayoutView="9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2.875" style="1203" customWidth="1"/>
    <col min="9" max="9" width="12" style="1203" customWidth="1"/>
    <col min="10" max="10" width="12.75" style="1203" customWidth="1"/>
    <col min="11" max="11" width="13" style="1203" customWidth="1"/>
    <col min="12" max="15" width="12.75" style="1203" customWidth="1"/>
    <col min="16"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2.875" style="1203" customWidth="1"/>
    <col min="265" max="265" width="12" style="1203" customWidth="1"/>
    <col min="266" max="266" width="12.75" style="1203" customWidth="1"/>
    <col min="267" max="267" width="13" style="1203" customWidth="1"/>
    <col min="268" max="268" width="13.75" style="1203" bestFit="1" customWidth="1"/>
    <col min="269" max="269" width="11.375" style="1203" customWidth="1"/>
    <col min="270" max="270" width="11.875" style="1203" customWidth="1"/>
    <col min="271" max="271" width="16" style="1203" bestFit="1" customWidth="1"/>
    <col min="272"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2.875" style="1203" customWidth="1"/>
    <col min="521" max="521" width="12" style="1203" customWidth="1"/>
    <col min="522" max="522" width="12.75" style="1203" customWidth="1"/>
    <col min="523" max="523" width="13" style="1203" customWidth="1"/>
    <col min="524" max="524" width="13.75" style="1203" bestFit="1" customWidth="1"/>
    <col min="525" max="525" width="11.375" style="1203" customWidth="1"/>
    <col min="526" max="526" width="11.875" style="1203" customWidth="1"/>
    <col min="527" max="527" width="16" style="1203" bestFit="1" customWidth="1"/>
    <col min="528"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2.875" style="1203" customWidth="1"/>
    <col min="777" max="777" width="12" style="1203" customWidth="1"/>
    <col min="778" max="778" width="12.75" style="1203" customWidth="1"/>
    <col min="779" max="779" width="13" style="1203" customWidth="1"/>
    <col min="780" max="780" width="13.75" style="1203" bestFit="1" customWidth="1"/>
    <col min="781" max="781" width="11.375" style="1203" customWidth="1"/>
    <col min="782" max="782" width="11.875" style="1203" customWidth="1"/>
    <col min="783" max="783" width="16" style="1203" bestFit="1" customWidth="1"/>
    <col min="784"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2.875" style="1203" customWidth="1"/>
    <col min="1033" max="1033" width="12" style="1203" customWidth="1"/>
    <col min="1034" max="1034" width="12.75" style="1203" customWidth="1"/>
    <col min="1035" max="1035" width="13" style="1203" customWidth="1"/>
    <col min="1036" max="1036" width="13.75" style="1203" bestFit="1" customWidth="1"/>
    <col min="1037" max="1037" width="11.375" style="1203" customWidth="1"/>
    <col min="1038" max="1038" width="11.875" style="1203" customWidth="1"/>
    <col min="1039" max="1039" width="16" style="1203" bestFit="1" customWidth="1"/>
    <col min="1040"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2.875" style="1203" customWidth="1"/>
    <col min="1289" max="1289" width="12" style="1203" customWidth="1"/>
    <col min="1290" max="1290" width="12.75" style="1203" customWidth="1"/>
    <col min="1291" max="1291" width="13" style="1203" customWidth="1"/>
    <col min="1292" max="1292" width="13.75" style="1203" bestFit="1" customWidth="1"/>
    <col min="1293" max="1293" width="11.375" style="1203" customWidth="1"/>
    <col min="1294" max="1294" width="11.875" style="1203" customWidth="1"/>
    <col min="1295" max="1295" width="16" style="1203" bestFit="1" customWidth="1"/>
    <col min="1296"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2.875" style="1203" customWidth="1"/>
    <col min="1545" max="1545" width="12" style="1203" customWidth="1"/>
    <col min="1546" max="1546" width="12.75" style="1203" customWidth="1"/>
    <col min="1547" max="1547" width="13" style="1203" customWidth="1"/>
    <col min="1548" max="1548" width="13.75" style="1203" bestFit="1" customWidth="1"/>
    <col min="1549" max="1549" width="11.375" style="1203" customWidth="1"/>
    <col min="1550" max="1550" width="11.875" style="1203" customWidth="1"/>
    <col min="1551" max="1551" width="16" style="1203" bestFit="1" customWidth="1"/>
    <col min="1552"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2.875" style="1203" customWidth="1"/>
    <col min="1801" max="1801" width="12" style="1203" customWidth="1"/>
    <col min="1802" max="1802" width="12.75" style="1203" customWidth="1"/>
    <col min="1803" max="1803" width="13" style="1203" customWidth="1"/>
    <col min="1804" max="1804" width="13.75" style="1203" bestFit="1" customWidth="1"/>
    <col min="1805" max="1805" width="11.375" style="1203" customWidth="1"/>
    <col min="1806" max="1806" width="11.875" style="1203" customWidth="1"/>
    <col min="1807" max="1807" width="16" style="1203" bestFit="1" customWidth="1"/>
    <col min="1808"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2.875" style="1203" customWidth="1"/>
    <col min="2057" max="2057" width="12" style="1203" customWidth="1"/>
    <col min="2058" max="2058" width="12.75" style="1203" customWidth="1"/>
    <col min="2059" max="2059" width="13" style="1203" customWidth="1"/>
    <col min="2060" max="2060" width="13.75" style="1203" bestFit="1" customWidth="1"/>
    <col min="2061" max="2061" width="11.375" style="1203" customWidth="1"/>
    <col min="2062" max="2062" width="11.875" style="1203" customWidth="1"/>
    <col min="2063" max="2063" width="16" style="1203" bestFit="1" customWidth="1"/>
    <col min="2064"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2.875" style="1203" customWidth="1"/>
    <col min="2313" max="2313" width="12" style="1203" customWidth="1"/>
    <col min="2314" max="2314" width="12.75" style="1203" customWidth="1"/>
    <col min="2315" max="2315" width="13" style="1203" customWidth="1"/>
    <col min="2316" max="2316" width="13.75" style="1203" bestFit="1" customWidth="1"/>
    <col min="2317" max="2317" width="11.375" style="1203" customWidth="1"/>
    <col min="2318" max="2318" width="11.875" style="1203" customWidth="1"/>
    <col min="2319" max="2319" width="16" style="1203" bestFit="1" customWidth="1"/>
    <col min="2320"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2.875" style="1203" customWidth="1"/>
    <col min="2569" max="2569" width="12" style="1203" customWidth="1"/>
    <col min="2570" max="2570" width="12.75" style="1203" customWidth="1"/>
    <col min="2571" max="2571" width="13" style="1203" customWidth="1"/>
    <col min="2572" max="2572" width="13.75" style="1203" bestFit="1" customWidth="1"/>
    <col min="2573" max="2573" width="11.375" style="1203" customWidth="1"/>
    <col min="2574" max="2574" width="11.875" style="1203" customWidth="1"/>
    <col min="2575" max="2575" width="16" style="1203" bestFit="1" customWidth="1"/>
    <col min="2576"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2.875" style="1203" customWidth="1"/>
    <col min="2825" max="2825" width="12" style="1203" customWidth="1"/>
    <col min="2826" max="2826" width="12.75" style="1203" customWidth="1"/>
    <col min="2827" max="2827" width="13" style="1203" customWidth="1"/>
    <col min="2828" max="2828" width="13.75" style="1203" bestFit="1" customWidth="1"/>
    <col min="2829" max="2829" width="11.375" style="1203" customWidth="1"/>
    <col min="2830" max="2830" width="11.875" style="1203" customWidth="1"/>
    <col min="2831" max="2831" width="16" style="1203" bestFit="1" customWidth="1"/>
    <col min="2832"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2.875" style="1203" customWidth="1"/>
    <col min="3081" max="3081" width="12" style="1203" customWidth="1"/>
    <col min="3082" max="3082" width="12.75" style="1203" customWidth="1"/>
    <col min="3083" max="3083" width="13" style="1203" customWidth="1"/>
    <col min="3084" max="3084" width="13.75" style="1203" bestFit="1" customWidth="1"/>
    <col min="3085" max="3085" width="11.375" style="1203" customWidth="1"/>
    <col min="3086" max="3086" width="11.875" style="1203" customWidth="1"/>
    <col min="3087" max="3087" width="16" style="1203" bestFit="1" customWidth="1"/>
    <col min="3088"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2.875" style="1203" customWidth="1"/>
    <col min="3337" max="3337" width="12" style="1203" customWidth="1"/>
    <col min="3338" max="3338" width="12.75" style="1203" customWidth="1"/>
    <col min="3339" max="3339" width="13" style="1203" customWidth="1"/>
    <col min="3340" max="3340" width="13.75" style="1203" bestFit="1" customWidth="1"/>
    <col min="3341" max="3341" width="11.375" style="1203" customWidth="1"/>
    <col min="3342" max="3342" width="11.875" style="1203" customWidth="1"/>
    <col min="3343" max="3343" width="16" style="1203" bestFit="1" customWidth="1"/>
    <col min="3344"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2.875" style="1203" customWidth="1"/>
    <col min="3593" max="3593" width="12" style="1203" customWidth="1"/>
    <col min="3594" max="3594" width="12.75" style="1203" customWidth="1"/>
    <col min="3595" max="3595" width="13" style="1203" customWidth="1"/>
    <col min="3596" max="3596" width="13.75" style="1203" bestFit="1" customWidth="1"/>
    <col min="3597" max="3597" width="11.375" style="1203" customWidth="1"/>
    <col min="3598" max="3598" width="11.875" style="1203" customWidth="1"/>
    <col min="3599" max="3599" width="16" style="1203" bestFit="1" customWidth="1"/>
    <col min="3600"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2.875" style="1203" customWidth="1"/>
    <col min="3849" max="3849" width="12" style="1203" customWidth="1"/>
    <col min="3850" max="3850" width="12.75" style="1203" customWidth="1"/>
    <col min="3851" max="3851" width="13" style="1203" customWidth="1"/>
    <col min="3852" max="3852" width="13.75" style="1203" bestFit="1" customWidth="1"/>
    <col min="3853" max="3853" width="11.375" style="1203" customWidth="1"/>
    <col min="3854" max="3854" width="11.875" style="1203" customWidth="1"/>
    <col min="3855" max="3855" width="16" style="1203" bestFit="1" customWidth="1"/>
    <col min="3856"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2.875" style="1203" customWidth="1"/>
    <col min="4105" max="4105" width="12" style="1203" customWidth="1"/>
    <col min="4106" max="4106" width="12.75" style="1203" customWidth="1"/>
    <col min="4107" max="4107" width="13" style="1203" customWidth="1"/>
    <col min="4108" max="4108" width="13.75" style="1203" bestFit="1" customWidth="1"/>
    <col min="4109" max="4109" width="11.375" style="1203" customWidth="1"/>
    <col min="4110" max="4110" width="11.875" style="1203" customWidth="1"/>
    <col min="4111" max="4111" width="16" style="1203" bestFit="1" customWidth="1"/>
    <col min="4112"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2.875" style="1203" customWidth="1"/>
    <col min="4361" max="4361" width="12" style="1203" customWidth="1"/>
    <col min="4362" max="4362" width="12.75" style="1203" customWidth="1"/>
    <col min="4363" max="4363" width="13" style="1203" customWidth="1"/>
    <col min="4364" max="4364" width="13.75" style="1203" bestFit="1" customWidth="1"/>
    <col min="4365" max="4365" width="11.375" style="1203" customWidth="1"/>
    <col min="4366" max="4366" width="11.875" style="1203" customWidth="1"/>
    <col min="4367" max="4367" width="16" style="1203" bestFit="1" customWidth="1"/>
    <col min="4368"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2.875" style="1203" customWidth="1"/>
    <col min="4617" max="4617" width="12" style="1203" customWidth="1"/>
    <col min="4618" max="4618" width="12.75" style="1203" customWidth="1"/>
    <col min="4619" max="4619" width="13" style="1203" customWidth="1"/>
    <col min="4620" max="4620" width="13.75" style="1203" bestFit="1" customWidth="1"/>
    <col min="4621" max="4621" width="11.375" style="1203" customWidth="1"/>
    <col min="4622" max="4622" width="11.875" style="1203" customWidth="1"/>
    <col min="4623" max="4623" width="16" style="1203" bestFit="1" customWidth="1"/>
    <col min="4624"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2.875" style="1203" customWidth="1"/>
    <col min="4873" max="4873" width="12" style="1203" customWidth="1"/>
    <col min="4874" max="4874" width="12.75" style="1203" customWidth="1"/>
    <col min="4875" max="4875" width="13" style="1203" customWidth="1"/>
    <col min="4876" max="4876" width="13.75" style="1203" bestFit="1" customWidth="1"/>
    <col min="4877" max="4877" width="11.375" style="1203" customWidth="1"/>
    <col min="4878" max="4878" width="11.875" style="1203" customWidth="1"/>
    <col min="4879" max="4879" width="16" style="1203" bestFit="1" customWidth="1"/>
    <col min="4880"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2.875" style="1203" customWidth="1"/>
    <col min="5129" max="5129" width="12" style="1203" customWidth="1"/>
    <col min="5130" max="5130" width="12.75" style="1203" customWidth="1"/>
    <col min="5131" max="5131" width="13" style="1203" customWidth="1"/>
    <col min="5132" max="5132" width="13.75" style="1203" bestFit="1" customWidth="1"/>
    <col min="5133" max="5133" width="11.375" style="1203" customWidth="1"/>
    <col min="5134" max="5134" width="11.875" style="1203" customWidth="1"/>
    <col min="5135" max="5135" width="16" style="1203" bestFit="1" customWidth="1"/>
    <col min="5136"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2.875" style="1203" customWidth="1"/>
    <col min="5385" max="5385" width="12" style="1203" customWidth="1"/>
    <col min="5386" max="5386" width="12.75" style="1203" customWidth="1"/>
    <col min="5387" max="5387" width="13" style="1203" customWidth="1"/>
    <col min="5388" max="5388" width="13.75" style="1203" bestFit="1" customWidth="1"/>
    <col min="5389" max="5389" width="11.375" style="1203" customWidth="1"/>
    <col min="5390" max="5390" width="11.875" style="1203" customWidth="1"/>
    <col min="5391" max="5391" width="16" style="1203" bestFit="1" customWidth="1"/>
    <col min="5392"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2.875" style="1203" customWidth="1"/>
    <col min="5641" max="5641" width="12" style="1203" customWidth="1"/>
    <col min="5642" max="5642" width="12.75" style="1203" customWidth="1"/>
    <col min="5643" max="5643" width="13" style="1203" customWidth="1"/>
    <col min="5644" max="5644" width="13.75" style="1203" bestFit="1" customWidth="1"/>
    <col min="5645" max="5645" width="11.375" style="1203" customWidth="1"/>
    <col min="5646" max="5646" width="11.875" style="1203" customWidth="1"/>
    <col min="5647" max="5647" width="16" style="1203" bestFit="1" customWidth="1"/>
    <col min="5648"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2.875" style="1203" customWidth="1"/>
    <col min="5897" max="5897" width="12" style="1203" customWidth="1"/>
    <col min="5898" max="5898" width="12.75" style="1203" customWidth="1"/>
    <col min="5899" max="5899" width="13" style="1203" customWidth="1"/>
    <col min="5900" max="5900" width="13.75" style="1203" bestFit="1" customWidth="1"/>
    <col min="5901" max="5901" width="11.375" style="1203" customWidth="1"/>
    <col min="5902" max="5902" width="11.875" style="1203" customWidth="1"/>
    <col min="5903" max="5903" width="16" style="1203" bestFit="1" customWidth="1"/>
    <col min="5904"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2.875" style="1203" customWidth="1"/>
    <col min="6153" max="6153" width="12" style="1203" customWidth="1"/>
    <col min="6154" max="6154" width="12.75" style="1203" customWidth="1"/>
    <col min="6155" max="6155" width="13" style="1203" customWidth="1"/>
    <col min="6156" max="6156" width="13.75" style="1203" bestFit="1" customWidth="1"/>
    <col min="6157" max="6157" width="11.375" style="1203" customWidth="1"/>
    <col min="6158" max="6158" width="11.875" style="1203" customWidth="1"/>
    <col min="6159" max="6159" width="16" style="1203" bestFit="1" customWidth="1"/>
    <col min="6160"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2.875" style="1203" customWidth="1"/>
    <col min="6409" max="6409" width="12" style="1203" customWidth="1"/>
    <col min="6410" max="6410" width="12.75" style="1203" customWidth="1"/>
    <col min="6411" max="6411" width="13" style="1203" customWidth="1"/>
    <col min="6412" max="6412" width="13.75" style="1203" bestFit="1" customWidth="1"/>
    <col min="6413" max="6413" width="11.375" style="1203" customWidth="1"/>
    <col min="6414" max="6414" width="11.875" style="1203" customWidth="1"/>
    <col min="6415" max="6415" width="16" style="1203" bestFit="1" customWidth="1"/>
    <col min="6416"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2.875" style="1203" customWidth="1"/>
    <col min="6665" max="6665" width="12" style="1203" customWidth="1"/>
    <col min="6666" max="6666" width="12.75" style="1203" customWidth="1"/>
    <col min="6667" max="6667" width="13" style="1203" customWidth="1"/>
    <col min="6668" max="6668" width="13.75" style="1203" bestFit="1" customWidth="1"/>
    <col min="6669" max="6669" width="11.375" style="1203" customWidth="1"/>
    <col min="6670" max="6670" width="11.875" style="1203" customWidth="1"/>
    <col min="6671" max="6671" width="16" style="1203" bestFit="1" customWidth="1"/>
    <col min="6672"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2.875" style="1203" customWidth="1"/>
    <col min="6921" max="6921" width="12" style="1203" customWidth="1"/>
    <col min="6922" max="6922" width="12.75" style="1203" customWidth="1"/>
    <col min="6923" max="6923" width="13" style="1203" customWidth="1"/>
    <col min="6924" max="6924" width="13.75" style="1203" bestFit="1" customWidth="1"/>
    <col min="6925" max="6925" width="11.375" style="1203" customWidth="1"/>
    <col min="6926" max="6926" width="11.875" style="1203" customWidth="1"/>
    <col min="6927" max="6927" width="16" style="1203" bestFit="1" customWidth="1"/>
    <col min="6928"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2.875" style="1203" customWidth="1"/>
    <col min="7177" max="7177" width="12" style="1203" customWidth="1"/>
    <col min="7178" max="7178" width="12.75" style="1203" customWidth="1"/>
    <col min="7179" max="7179" width="13" style="1203" customWidth="1"/>
    <col min="7180" max="7180" width="13.75" style="1203" bestFit="1" customWidth="1"/>
    <col min="7181" max="7181" width="11.375" style="1203" customWidth="1"/>
    <col min="7182" max="7182" width="11.875" style="1203" customWidth="1"/>
    <col min="7183" max="7183" width="16" style="1203" bestFit="1" customWidth="1"/>
    <col min="7184"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2.875" style="1203" customWidth="1"/>
    <col min="7433" max="7433" width="12" style="1203" customWidth="1"/>
    <col min="7434" max="7434" width="12.75" style="1203" customWidth="1"/>
    <col min="7435" max="7435" width="13" style="1203" customWidth="1"/>
    <col min="7436" max="7436" width="13.75" style="1203" bestFit="1" customWidth="1"/>
    <col min="7437" max="7437" width="11.375" style="1203" customWidth="1"/>
    <col min="7438" max="7438" width="11.875" style="1203" customWidth="1"/>
    <col min="7439" max="7439" width="16" style="1203" bestFit="1" customWidth="1"/>
    <col min="7440"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2.875" style="1203" customWidth="1"/>
    <col min="7689" max="7689" width="12" style="1203" customWidth="1"/>
    <col min="7690" max="7690" width="12.75" style="1203" customWidth="1"/>
    <col min="7691" max="7691" width="13" style="1203" customWidth="1"/>
    <col min="7692" max="7692" width="13.75" style="1203" bestFit="1" customWidth="1"/>
    <col min="7693" max="7693" width="11.375" style="1203" customWidth="1"/>
    <col min="7694" max="7694" width="11.875" style="1203" customWidth="1"/>
    <col min="7695" max="7695" width="16" style="1203" bestFit="1" customWidth="1"/>
    <col min="7696"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2.875" style="1203" customWidth="1"/>
    <col min="7945" max="7945" width="12" style="1203" customWidth="1"/>
    <col min="7946" max="7946" width="12.75" style="1203" customWidth="1"/>
    <col min="7947" max="7947" width="13" style="1203" customWidth="1"/>
    <col min="7948" max="7948" width="13.75" style="1203" bestFit="1" customWidth="1"/>
    <col min="7949" max="7949" width="11.375" style="1203" customWidth="1"/>
    <col min="7950" max="7950" width="11.875" style="1203" customWidth="1"/>
    <col min="7951" max="7951" width="16" style="1203" bestFit="1" customWidth="1"/>
    <col min="7952"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2.875" style="1203" customWidth="1"/>
    <col min="8201" max="8201" width="12" style="1203" customWidth="1"/>
    <col min="8202" max="8202" width="12.75" style="1203" customWidth="1"/>
    <col min="8203" max="8203" width="13" style="1203" customWidth="1"/>
    <col min="8204" max="8204" width="13.75" style="1203" bestFit="1" customWidth="1"/>
    <col min="8205" max="8205" width="11.375" style="1203" customWidth="1"/>
    <col min="8206" max="8206" width="11.875" style="1203" customWidth="1"/>
    <col min="8207" max="8207" width="16" style="1203" bestFit="1" customWidth="1"/>
    <col min="8208"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2.875" style="1203" customWidth="1"/>
    <col min="8457" max="8457" width="12" style="1203" customWidth="1"/>
    <col min="8458" max="8458" width="12.75" style="1203" customWidth="1"/>
    <col min="8459" max="8459" width="13" style="1203" customWidth="1"/>
    <col min="8460" max="8460" width="13.75" style="1203" bestFit="1" customWidth="1"/>
    <col min="8461" max="8461" width="11.375" style="1203" customWidth="1"/>
    <col min="8462" max="8462" width="11.875" style="1203" customWidth="1"/>
    <col min="8463" max="8463" width="16" style="1203" bestFit="1" customWidth="1"/>
    <col min="8464"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2.875" style="1203" customWidth="1"/>
    <col min="8713" max="8713" width="12" style="1203" customWidth="1"/>
    <col min="8714" max="8714" width="12.75" style="1203" customWidth="1"/>
    <col min="8715" max="8715" width="13" style="1203" customWidth="1"/>
    <col min="8716" max="8716" width="13.75" style="1203" bestFit="1" customWidth="1"/>
    <col min="8717" max="8717" width="11.375" style="1203" customWidth="1"/>
    <col min="8718" max="8718" width="11.875" style="1203" customWidth="1"/>
    <col min="8719" max="8719" width="16" style="1203" bestFit="1" customWidth="1"/>
    <col min="8720"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2.875" style="1203" customWidth="1"/>
    <col min="8969" max="8969" width="12" style="1203" customWidth="1"/>
    <col min="8970" max="8970" width="12.75" style="1203" customWidth="1"/>
    <col min="8971" max="8971" width="13" style="1203" customWidth="1"/>
    <col min="8972" max="8972" width="13.75" style="1203" bestFit="1" customWidth="1"/>
    <col min="8973" max="8973" width="11.375" style="1203" customWidth="1"/>
    <col min="8974" max="8974" width="11.875" style="1203" customWidth="1"/>
    <col min="8975" max="8975" width="16" style="1203" bestFit="1" customWidth="1"/>
    <col min="8976"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2.875" style="1203" customWidth="1"/>
    <col min="9225" max="9225" width="12" style="1203" customWidth="1"/>
    <col min="9226" max="9226" width="12.75" style="1203" customWidth="1"/>
    <col min="9227" max="9227" width="13" style="1203" customWidth="1"/>
    <col min="9228" max="9228" width="13.75" style="1203" bestFit="1" customWidth="1"/>
    <col min="9229" max="9229" width="11.375" style="1203" customWidth="1"/>
    <col min="9230" max="9230" width="11.875" style="1203" customWidth="1"/>
    <col min="9231" max="9231" width="16" style="1203" bestFit="1" customWidth="1"/>
    <col min="9232"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2.875" style="1203" customWidth="1"/>
    <col min="9481" max="9481" width="12" style="1203" customWidth="1"/>
    <col min="9482" max="9482" width="12.75" style="1203" customWidth="1"/>
    <col min="9483" max="9483" width="13" style="1203" customWidth="1"/>
    <col min="9484" max="9484" width="13.75" style="1203" bestFit="1" customWidth="1"/>
    <col min="9485" max="9485" width="11.375" style="1203" customWidth="1"/>
    <col min="9486" max="9486" width="11.875" style="1203" customWidth="1"/>
    <col min="9487" max="9487" width="16" style="1203" bestFit="1" customWidth="1"/>
    <col min="9488"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2.875" style="1203" customWidth="1"/>
    <col min="9737" max="9737" width="12" style="1203" customWidth="1"/>
    <col min="9738" max="9738" width="12.75" style="1203" customWidth="1"/>
    <col min="9739" max="9739" width="13" style="1203" customWidth="1"/>
    <col min="9740" max="9740" width="13.75" style="1203" bestFit="1" customWidth="1"/>
    <col min="9741" max="9741" width="11.375" style="1203" customWidth="1"/>
    <col min="9742" max="9742" width="11.875" style="1203" customWidth="1"/>
    <col min="9743" max="9743" width="16" style="1203" bestFit="1" customWidth="1"/>
    <col min="9744"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2.875" style="1203" customWidth="1"/>
    <col min="9993" max="9993" width="12" style="1203" customWidth="1"/>
    <col min="9994" max="9994" width="12.75" style="1203" customWidth="1"/>
    <col min="9995" max="9995" width="13" style="1203" customWidth="1"/>
    <col min="9996" max="9996" width="13.75" style="1203" bestFit="1" customWidth="1"/>
    <col min="9997" max="9997" width="11.375" style="1203" customWidth="1"/>
    <col min="9998" max="9998" width="11.875" style="1203" customWidth="1"/>
    <col min="9999" max="9999" width="16" style="1203" bestFit="1" customWidth="1"/>
    <col min="10000"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2.875" style="1203" customWidth="1"/>
    <col min="10249" max="10249" width="12" style="1203" customWidth="1"/>
    <col min="10250" max="10250" width="12.75" style="1203" customWidth="1"/>
    <col min="10251" max="10251" width="13" style="1203" customWidth="1"/>
    <col min="10252" max="10252" width="13.75" style="1203" bestFit="1" customWidth="1"/>
    <col min="10253" max="10253" width="11.375" style="1203" customWidth="1"/>
    <col min="10254" max="10254" width="11.875" style="1203" customWidth="1"/>
    <col min="10255" max="10255" width="16" style="1203" bestFit="1" customWidth="1"/>
    <col min="10256"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2.875" style="1203" customWidth="1"/>
    <col min="10505" max="10505" width="12" style="1203" customWidth="1"/>
    <col min="10506" max="10506" width="12.75" style="1203" customWidth="1"/>
    <col min="10507" max="10507" width="13" style="1203" customWidth="1"/>
    <col min="10508" max="10508" width="13.75" style="1203" bestFit="1" customWidth="1"/>
    <col min="10509" max="10509" width="11.375" style="1203" customWidth="1"/>
    <col min="10510" max="10510" width="11.875" style="1203" customWidth="1"/>
    <col min="10511" max="10511" width="16" style="1203" bestFit="1" customWidth="1"/>
    <col min="10512"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2.875" style="1203" customWidth="1"/>
    <col min="10761" max="10761" width="12" style="1203" customWidth="1"/>
    <col min="10762" max="10762" width="12.75" style="1203" customWidth="1"/>
    <col min="10763" max="10763" width="13" style="1203" customWidth="1"/>
    <col min="10764" max="10764" width="13.75" style="1203" bestFit="1" customWidth="1"/>
    <col min="10765" max="10765" width="11.375" style="1203" customWidth="1"/>
    <col min="10766" max="10766" width="11.875" style="1203" customWidth="1"/>
    <col min="10767" max="10767" width="16" style="1203" bestFit="1" customWidth="1"/>
    <col min="10768"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2.875" style="1203" customWidth="1"/>
    <col min="11017" max="11017" width="12" style="1203" customWidth="1"/>
    <col min="11018" max="11018" width="12.75" style="1203" customWidth="1"/>
    <col min="11019" max="11019" width="13" style="1203" customWidth="1"/>
    <col min="11020" max="11020" width="13.75" style="1203" bestFit="1" customWidth="1"/>
    <col min="11021" max="11021" width="11.375" style="1203" customWidth="1"/>
    <col min="11022" max="11022" width="11.875" style="1203" customWidth="1"/>
    <col min="11023" max="11023" width="16" style="1203" bestFit="1" customWidth="1"/>
    <col min="11024"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2.875" style="1203" customWidth="1"/>
    <col min="11273" max="11273" width="12" style="1203" customWidth="1"/>
    <col min="11274" max="11274" width="12.75" style="1203" customWidth="1"/>
    <col min="11275" max="11275" width="13" style="1203" customWidth="1"/>
    <col min="11276" max="11276" width="13.75" style="1203" bestFit="1" customWidth="1"/>
    <col min="11277" max="11277" width="11.375" style="1203" customWidth="1"/>
    <col min="11278" max="11278" width="11.875" style="1203" customWidth="1"/>
    <col min="11279" max="11279" width="16" style="1203" bestFit="1" customWidth="1"/>
    <col min="11280"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2.875" style="1203" customWidth="1"/>
    <col min="11529" max="11529" width="12" style="1203" customWidth="1"/>
    <col min="11530" max="11530" width="12.75" style="1203" customWidth="1"/>
    <col min="11531" max="11531" width="13" style="1203" customWidth="1"/>
    <col min="11532" max="11532" width="13.75" style="1203" bestFit="1" customWidth="1"/>
    <col min="11533" max="11533" width="11.375" style="1203" customWidth="1"/>
    <col min="11534" max="11534" width="11.875" style="1203" customWidth="1"/>
    <col min="11535" max="11535" width="16" style="1203" bestFit="1" customWidth="1"/>
    <col min="11536"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2.875" style="1203" customWidth="1"/>
    <col min="11785" max="11785" width="12" style="1203" customWidth="1"/>
    <col min="11786" max="11786" width="12.75" style="1203" customWidth="1"/>
    <col min="11787" max="11787" width="13" style="1203" customWidth="1"/>
    <col min="11788" max="11788" width="13.75" style="1203" bestFit="1" customWidth="1"/>
    <col min="11789" max="11789" width="11.375" style="1203" customWidth="1"/>
    <col min="11790" max="11790" width="11.875" style="1203" customWidth="1"/>
    <col min="11791" max="11791" width="16" style="1203" bestFit="1" customWidth="1"/>
    <col min="11792"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2.875" style="1203" customWidth="1"/>
    <col min="12041" max="12041" width="12" style="1203" customWidth="1"/>
    <col min="12042" max="12042" width="12.75" style="1203" customWidth="1"/>
    <col min="12043" max="12043" width="13" style="1203" customWidth="1"/>
    <col min="12044" max="12044" width="13.75" style="1203" bestFit="1" customWidth="1"/>
    <col min="12045" max="12045" width="11.375" style="1203" customWidth="1"/>
    <col min="12046" max="12046" width="11.875" style="1203" customWidth="1"/>
    <col min="12047" max="12047" width="16" style="1203" bestFit="1" customWidth="1"/>
    <col min="12048"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2.875" style="1203" customWidth="1"/>
    <col min="12297" max="12297" width="12" style="1203" customWidth="1"/>
    <col min="12298" max="12298" width="12.75" style="1203" customWidth="1"/>
    <col min="12299" max="12299" width="13" style="1203" customWidth="1"/>
    <col min="12300" max="12300" width="13.75" style="1203" bestFit="1" customWidth="1"/>
    <col min="12301" max="12301" width="11.375" style="1203" customWidth="1"/>
    <col min="12302" max="12302" width="11.875" style="1203" customWidth="1"/>
    <col min="12303" max="12303" width="16" style="1203" bestFit="1" customWidth="1"/>
    <col min="12304"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2.875" style="1203" customWidth="1"/>
    <col min="12553" max="12553" width="12" style="1203" customWidth="1"/>
    <col min="12554" max="12554" width="12.75" style="1203" customWidth="1"/>
    <col min="12555" max="12555" width="13" style="1203" customWidth="1"/>
    <col min="12556" max="12556" width="13.75" style="1203" bestFit="1" customWidth="1"/>
    <col min="12557" max="12557" width="11.375" style="1203" customWidth="1"/>
    <col min="12558" max="12558" width="11.875" style="1203" customWidth="1"/>
    <col min="12559" max="12559" width="16" style="1203" bestFit="1" customWidth="1"/>
    <col min="12560"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2.875" style="1203" customWidth="1"/>
    <col min="12809" max="12809" width="12" style="1203" customWidth="1"/>
    <col min="12810" max="12810" width="12.75" style="1203" customWidth="1"/>
    <col min="12811" max="12811" width="13" style="1203" customWidth="1"/>
    <col min="12812" max="12812" width="13.75" style="1203" bestFit="1" customWidth="1"/>
    <col min="12813" max="12813" width="11.375" style="1203" customWidth="1"/>
    <col min="12814" max="12814" width="11.875" style="1203" customWidth="1"/>
    <col min="12815" max="12815" width="16" style="1203" bestFit="1" customWidth="1"/>
    <col min="12816"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2.875" style="1203" customWidth="1"/>
    <col min="13065" max="13065" width="12" style="1203" customWidth="1"/>
    <col min="13066" max="13066" width="12.75" style="1203" customWidth="1"/>
    <col min="13067" max="13067" width="13" style="1203" customWidth="1"/>
    <col min="13068" max="13068" width="13.75" style="1203" bestFit="1" customWidth="1"/>
    <col min="13069" max="13069" width="11.375" style="1203" customWidth="1"/>
    <col min="13070" max="13070" width="11.875" style="1203" customWidth="1"/>
    <col min="13071" max="13071" width="16" style="1203" bestFit="1" customWidth="1"/>
    <col min="13072"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2.875" style="1203" customWidth="1"/>
    <col min="13321" max="13321" width="12" style="1203" customWidth="1"/>
    <col min="13322" max="13322" width="12.75" style="1203" customWidth="1"/>
    <col min="13323" max="13323" width="13" style="1203" customWidth="1"/>
    <col min="13324" max="13324" width="13.75" style="1203" bestFit="1" customWidth="1"/>
    <col min="13325" max="13325" width="11.375" style="1203" customWidth="1"/>
    <col min="13326" max="13326" width="11.875" style="1203" customWidth="1"/>
    <col min="13327" max="13327" width="16" style="1203" bestFit="1" customWidth="1"/>
    <col min="13328"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2.875" style="1203" customWidth="1"/>
    <col min="13577" max="13577" width="12" style="1203" customWidth="1"/>
    <col min="13578" max="13578" width="12.75" style="1203" customWidth="1"/>
    <col min="13579" max="13579" width="13" style="1203" customWidth="1"/>
    <col min="13580" max="13580" width="13.75" style="1203" bestFit="1" customWidth="1"/>
    <col min="13581" max="13581" width="11.375" style="1203" customWidth="1"/>
    <col min="13582" max="13582" width="11.875" style="1203" customWidth="1"/>
    <col min="13583" max="13583" width="16" style="1203" bestFit="1" customWidth="1"/>
    <col min="13584"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2.875" style="1203" customWidth="1"/>
    <col min="13833" max="13833" width="12" style="1203" customWidth="1"/>
    <col min="13834" max="13834" width="12.75" style="1203" customWidth="1"/>
    <col min="13835" max="13835" width="13" style="1203" customWidth="1"/>
    <col min="13836" max="13836" width="13.75" style="1203" bestFit="1" customWidth="1"/>
    <col min="13837" max="13837" width="11.375" style="1203" customWidth="1"/>
    <col min="13838" max="13838" width="11.875" style="1203" customWidth="1"/>
    <col min="13839" max="13839" width="16" style="1203" bestFit="1" customWidth="1"/>
    <col min="13840"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2.875" style="1203" customWidth="1"/>
    <col min="14089" max="14089" width="12" style="1203" customWidth="1"/>
    <col min="14090" max="14090" width="12.75" style="1203" customWidth="1"/>
    <col min="14091" max="14091" width="13" style="1203" customWidth="1"/>
    <col min="14092" max="14092" width="13.75" style="1203" bestFit="1" customWidth="1"/>
    <col min="14093" max="14093" width="11.375" style="1203" customWidth="1"/>
    <col min="14094" max="14094" width="11.875" style="1203" customWidth="1"/>
    <col min="14095" max="14095" width="16" style="1203" bestFit="1" customWidth="1"/>
    <col min="14096"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2.875" style="1203" customWidth="1"/>
    <col min="14345" max="14345" width="12" style="1203" customWidth="1"/>
    <col min="14346" max="14346" width="12.75" style="1203" customWidth="1"/>
    <col min="14347" max="14347" width="13" style="1203" customWidth="1"/>
    <col min="14348" max="14348" width="13.75" style="1203" bestFit="1" customWidth="1"/>
    <col min="14349" max="14349" width="11.375" style="1203" customWidth="1"/>
    <col min="14350" max="14350" width="11.875" style="1203" customWidth="1"/>
    <col min="14351" max="14351" width="16" style="1203" bestFit="1" customWidth="1"/>
    <col min="14352"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2.875" style="1203" customWidth="1"/>
    <col min="14601" max="14601" width="12" style="1203" customWidth="1"/>
    <col min="14602" max="14602" width="12.75" style="1203" customWidth="1"/>
    <col min="14603" max="14603" width="13" style="1203" customWidth="1"/>
    <col min="14604" max="14604" width="13.75" style="1203" bestFit="1" customWidth="1"/>
    <col min="14605" max="14605" width="11.375" style="1203" customWidth="1"/>
    <col min="14606" max="14606" width="11.875" style="1203" customWidth="1"/>
    <col min="14607" max="14607" width="16" style="1203" bestFit="1" customWidth="1"/>
    <col min="14608"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2.875" style="1203" customWidth="1"/>
    <col min="14857" max="14857" width="12" style="1203" customWidth="1"/>
    <col min="14858" max="14858" width="12.75" style="1203" customWidth="1"/>
    <col min="14859" max="14859" width="13" style="1203" customWidth="1"/>
    <col min="14860" max="14860" width="13.75" style="1203" bestFit="1" customWidth="1"/>
    <col min="14861" max="14861" width="11.375" style="1203" customWidth="1"/>
    <col min="14862" max="14862" width="11.875" style="1203" customWidth="1"/>
    <col min="14863" max="14863" width="16" style="1203" bestFit="1" customWidth="1"/>
    <col min="14864"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2.875" style="1203" customWidth="1"/>
    <col min="15113" max="15113" width="12" style="1203" customWidth="1"/>
    <col min="15114" max="15114" width="12.75" style="1203" customWidth="1"/>
    <col min="15115" max="15115" width="13" style="1203" customWidth="1"/>
    <col min="15116" max="15116" width="13.75" style="1203" bestFit="1" customWidth="1"/>
    <col min="15117" max="15117" width="11.375" style="1203" customWidth="1"/>
    <col min="15118" max="15118" width="11.875" style="1203" customWidth="1"/>
    <col min="15119" max="15119" width="16" style="1203" bestFit="1" customWidth="1"/>
    <col min="15120"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2.875" style="1203" customWidth="1"/>
    <col min="15369" max="15369" width="12" style="1203" customWidth="1"/>
    <col min="15370" max="15370" width="12.75" style="1203" customWidth="1"/>
    <col min="15371" max="15371" width="13" style="1203" customWidth="1"/>
    <col min="15372" max="15372" width="13.75" style="1203" bestFit="1" customWidth="1"/>
    <col min="15373" max="15373" width="11.375" style="1203" customWidth="1"/>
    <col min="15374" max="15374" width="11.875" style="1203" customWidth="1"/>
    <col min="15375" max="15375" width="16" style="1203" bestFit="1" customWidth="1"/>
    <col min="15376"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2.875" style="1203" customWidth="1"/>
    <col min="15625" max="15625" width="12" style="1203" customWidth="1"/>
    <col min="15626" max="15626" width="12.75" style="1203" customWidth="1"/>
    <col min="15627" max="15627" width="13" style="1203" customWidth="1"/>
    <col min="15628" max="15628" width="13.75" style="1203" bestFit="1" customWidth="1"/>
    <col min="15629" max="15629" width="11.375" style="1203" customWidth="1"/>
    <col min="15630" max="15630" width="11.875" style="1203" customWidth="1"/>
    <col min="15631" max="15631" width="16" style="1203" bestFit="1" customWidth="1"/>
    <col min="15632"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2.875" style="1203" customWidth="1"/>
    <col min="15881" max="15881" width="12" style="1203" customWidth="1"/>
    <col min="15882" max="15882" width="12.75" style="1203" customWidth="1"/>
    <col min="15883" max="15883" width="13" style="1203" customWidth="1"/>
    <col min="15884" max="15884" width="13.75" style="1203" bestFit="1" customWidth="1"/>
    <col min="15885" max="15885" width="11.375" style="1203" customWidth="1"/>
    <col min="15886" max="15886" width="11.875" style="1203" customWidth="1"/>
    <col min="15887" max="15887" width="16" style="1203" bestFit="1" customWidth="1"/>
    <col min="15888"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2.875" style="1203" customWidth="1"/>
    <col min="16137" max="16137" width="12" style="1203" customWidth="1"/>
    <col min="16138" max="16138" width="12.75" style="1203" customWidth="1"/>
    <col min="16139" max="16139" width="13" style="1203" customWidth="1"/>
    <col min="16140" max="16140" width="13.75" style="1203" bestFit="1" customWidth="1"/>
    <col min="16141" max="16141" width="11.375" style="1203" customWidth="1"/>
    <col min="16142" max="16142" width="11.875" style="1203" customWidth="1"/>
    <col min="16143" max="16143" width="16" style="1203" bestFit="1" customWidth="1"/>
    <col min="16144" max="16384" width="9" style="1203"/>
  </cols>
  <sheetData>
    <row r="1" spans="1:15" ht="24.75" customHeight="1">
      <c r="A1" s="1287" t="str">
        <f>+LEFT('3条税込み'!A1,2)&amp;"年度経費（雨水・汚水）区分調 (決算・税抜き・消費税分雑支出加算後)"</f>
        <v>令和年度経費（雨水・汚水）区分調 (決算・税抜き・消費税分雑支出加算後)</v>
      </c>
    </row>
    <row r="2" spans="1:15" ht="24.75" customHeight="1" thickBot="1">
      <c r="A2" s="1203" t="s">
        <v>1718</v>
      </c>
      <c r="K2" s="1248" t="s">
        <v>1717</v>
      </c>
    </row>
    <row r="3" spans="1:15" ht="24.75" customHeight="1">
      <c r="A3" s="1222" t="s">
        <v>1716</v>
      </c>
      <c r="B3" s="1221"/>
      <c r="C3" s="1221"/>
      <c r="D3" s="1286" t="s">
        <v>1715</v>
      </c>
      <c r="E3" s="1285" t="s">
        <v>1714</v>
      </c>
      <c r="F3" s="1283"/>
      <c r="G3" s="1283"/>
      <c r="H3" s="1282"/>
      <c r="I3" s="1284" t="s">
        <v>1713</v>
      </c>
      <c r="J3" s="1283"/>
      <c r="K3" s="1282"/>
    </row>
    <row r="4" spans="1:15" s="1262" customFormat="1" ht="24.75" customHeight="1">
      <c r="A4" s="1281"/>
      <c r="B4" s="1280"/>
      <c r="C4" s="1280"/>
      <c r="D4" s="1279"/>
      <c r="E4" s="1278" t="s">
        <v>1712</v>
      </c>
      <c r="F4" s="1277"/>
      <c r="G4" s="1276" t="s">
        <v>1711</v>
      </c>
      <c r="H4" s="1273" t="s">
        <v>1710</v>
      </c>
      <c r="I4" s="1275" t="s">
        <v>1712</v>
      </c>
      <c r="J4" s="1274" t="s">
        <v>1711</v>
      </c>
      <c r="K4" s="1273" t="s">
        <v>1710</v>
      </c>
    </row>
    <row r="5" spans="1:15" s="1264" customFormat="1" ht="24.75" customHeight="1">
      <c r="A5" s="1272"/>
      <c r="B5" s="1271"/>
      <c r="C5" s="1271"/>
      <c r="D5" s="1270"/>
      <c r="E5" s="1269" t="s">
        <v>1707</v>
      </c>
      <c r="F5" s="1266" t="s">
        <v>1709</v>
      </c>
      <c r="G5" s="1268" t="s">
        <v>1708</v>
      </c>
      <c r="H5" s="1265"/>
      <c r="I5" s="1267" t="s">
        <v>1707</v>
      </c>
      <c r="J5" s="1266" t="s">
        <v>1707</v>
      </c>
      <c r="K5" s="1265"/>
      <c r="M5" s="1303" t="s">
        <v>1720</v>
      </c>
    </row>
    <row r="6" spans="1:15" ht="24.75" customHeight="1">
      <c r="A6" s="1254"/>
      <c r="B6" s="1244" t="s">
        <v>1669</v>
      </c>
      <c r="C6" s="1247"/>
      <c r="D6" s="1235">
        <f>SUM(D7:D20)</f>
        <v>10791340439</v>
      </c>
      <c r="E6" s="1234">
        <f>SUM(E7:E20)</f>
        <v>2679944458</v>
      </c>
      <c r="F6" s="1231">
        <f>SUM(F7:F20)</f>
        <v>251984734</v>
      </c>
      <c r="G6" s="1231">
        <f>SUM(G7:G20)</f>
        <v>420868760</v>
      </c>
      <c r="H6" s="1230">
        <f t="shared" ref="H6:H29" si="0">SUM(E6:G6)</f>
        <v>3352797952</v>
      </c>
      <c r="I6" s="1232">
        <f>SUM(I7:I20)</f>
        <v>218712415</v>
      </c>
      <c r="J6" s="1231">
        <f>SUM(J7:J20)</f>
        <v>7219830072</v>
      </c>
      <c r="K6" s="1230">
        <f t="shared" ref="K6:K29" si="1">SUM(I6:J6)</f>
        <v>7438542487</v>
      </c>
      <c r="M6" s="1203">
        <f>SUM(M7:M20)</f>
        <v>820944501</v>
      </c>
      <c r="N6" s="1203">
        <f t="shared" ref="N6:N24" si="2">D6-H6-K6</f>
        <v>0</v>
      </c>
    </row>
    <row r="7" spans="1:15" ht="24.75" customHeight="1">
      <c r="A7" s="1241"/>
      <c r="B7" s="1244"/>
      <c r="C7" s="1244" t="s">
        <v>1502</v>
      </c>
      <c r="D7" s="1235">
        <f>+'3条税抜き'!D7</f>
        <v>564664608</v>
      </c>
      <c r="E7" s="1234">
        <f>+'3条税抜き'!E7</f>
        <v>263704959</v>
      </c>
      <c r="F7" s="1231">
        <f>+'3条税抜き'!F7</f>
        <v>55426018</v>
      </c>
      <c r="G7" s="1231">
        <f>+'3条税抜き'!G7</f>
        <v>0</v>
      </c>
      <c r="H7" s="1230">
        <f t="shared" si="0"/>
        <v>319130977</v>
      </c>
      <c r="I7" s="1232">
        <f>+'3条税抜き'!I7</f>
        <v>0</v>
      </c>
      <c r="J7" s="1231">
        <f>+'3条税抜き'!J7</f>
        <v>245533631</v>
      </c>
      <c r="K7" s="1230">
        <f t="shared" si="1"/>
        <v>245533631</v>
      </c>
      <c r="M7" s="1203">
        <f>'3条税込み'!D7-'3条税抜き (消費税雑支出加算)'!D7</f>
        <v>47155349</v>
      </c>
      <c r="N7" s="1203">
        <f t="shared" si="2"/>
        <v>0</v>
      </c>
    </row>
    <row r="8" spans="1:15" ht="24.75" customHeight="1">
      <c r="A8" s="1241"/>
      <c r="B8" s="1245"/>
      <c r="C8" s="1244" t="s">
        <v>1499</v>
      </c>
      <c r="D8" s="1235">
        <f>+'3条税抜き'!D8</f>
        <v>51313295</v>
      </c>
      <c r="E8" s="1234">
        <f>+'3条税抜き'!E8</f>
        <v>0</v>
      </c>
      <c r="F8" s="1231">
        <f>+'3条税抜き'!F8</f>
        <v>0</v>
      </c>
      <c r="G8" s="1231">
        <f>+'3条税抜き'!G8</f>
        <v>0</v>
      </c>
      <c r="H8" s="1230">
        <f t="shared" si="0"/>
        <v>0</v>
      </c>
      <c r="I8" s="1232">
        <f>+'3条税抜き'!I8</f>
        <v>51313295</v>
      </c>
      <c r="J8" s="1231">
        <f>+'3条税抜き'!J8</f>
        <v>0</v>
      </c>
      <c r="K8" s="1230">
        <f t="shared" si="1"/>
        <v>51313295</v>
      </c>
      <c r="M8" s="1203">
        <f>'3条税込み'!D8-'3条税抜き (消費税雑支出加算)'!D8</f>
        <v>1130574</v>
      </c>
      <c r="N8" s="1203">
        <f t="shared" si="2"/>
        <v>0</v>
      </c>
    </row>
    <row r="9" spans="1:15" ht="24.75" customHeight="1">
      <c r="A9" s="1241"/>
      <c r="B9" s="1245"/>
      <c r="C9" s="1244" t="s">
        <v>1496</v>
      </c>
      <c r="D9" s="1235">
        <f>+'3条税抜き'!D9</f>
        <v>2251657967</v>
      </c>
      <c r="E9" s="1234">
        <f>+'3条税抜き'!E9</f>
        <v>1648504061</v>
      </c>
      <c r="F9" s="1231">
        <f>+'3条税抜き'!F9</f>
        <v>52612790</v>
      </c>
      <c r="G9" s="1231">
        <f>+'3条税抜き'!G9</f>
        <v>0</v>
      </c>
      <c r="H9" s="1230">
        <f t="shared" si="0"/>
        <v>1701116851</v>
      </c>
      <c r="I9" s="1232">
        <f>+'3条税抜き'!I9</f>
        <v>0</v>
      </c>
      <c r="J9" s="1231">
        <f>+'3条税抜き'!J9</f>
        <v>550541116</v>
      </c>
      <c r="K9" s="1230">
        <f t="shared" si="1"/>
        <v>550541116</v>
      </c>
      <c r="M9" s="1203">
        <f>'3条税込み'!D9-'3条税抜き (消費税雑支出加算)'!D9</f>
        <v>104382258</v>
      </c>
      <c r="N9" s="1203">
        <f t="shared" si="2"/>
        <v>0</v>
      </c>
    </row>
    <row r="10" spans="1:15" ht="24.75" customHeight="1">
      <c r="A10" s="1241"/>
      <c r="B10" s="1245"/>
      <c r="C10" s="1244" t="s">
        <v>1494</v>
      </c>
      <c r="D10" s="1235">
        <f>+'3条税抜き'!D10</f>
        <v>6037810078</v>
      </c>
      <c r="E10" s="1234">
        <f>+'3条税抜き'!E10</f>
        <v>647980161</v>
      </c>
      <c r="F10" s="1231">
        <f>+'3条税抜き'!F10</f>
        <v>132685804</v>
      </c>
      <c r="G10" s="1231">
        <f>+'3条税抜き'!G10</f>
        <v>410472490</v>
      </c>
      <c r="H10" s="1230">
        <f t="shared" si="0"/>
        <v>1191138455</v>
      </c>
      <c r="I10" s="1263">
        <f>+'3条税抜き'!I10</f>
        <v>123832094</v>
      </c>
      <c r="J10" s="1231">
        <f>+'3条税抜き'!J10</f>
        <v>4722839529</v>
      </c>
      <c r="K10" s="1230">
        <f t="shared" si="1"/>
        <v>4846671623</v>
      </c>
      <c r="M10" s="1203">
        <f>'3条税込み'!D10-'3条税抜き (消費税雑支出加算)'!D10</f>
        <v>519893786</v>
      </c>
      <c r="N10" s="1203">
        <f t="shared" si="2"/>
        <v>0</v>
      </c>
    </row>
    <row r="11" spans="1:15" ht="24.75" customHeight="1">
      <c r="A11" s="1241"/>
      <c r="B11" s="1245"/>
      <c r="C11" s="1244" t="s">
        <v>1492</v>
      </c>
      <c r="D11" s="1235">
        <f>+'3条税抜き'!D11</f>
        <v>0</v>
      </c>
      <c r="E11" s="1234">
        <f>+'3条税抜き'!E11</f>
        <v>0</v>
      </c>
      <c r="F11" s="1231">
        <f>+'3条税抜き'!F11</f>
        <v>0</v>
      </c>
      <c r="G11" s="1231">
        <f>+'3条税抜き'!G11</f>
        <v>0</v>
      </c>
      <c r="H11" s="1230">
        <f t="shared" si="0"/>
        <v>0</v>
      </c>
      <c r="I11" s="1232">
        <f>+'3条税抜き'!I11</f>
        <v>0</v>
      </c>
      <c r="J11" s="1231">
        <f>+'3条税抜き'!J11</f>
        <v>0</v>
      </c>
      <c r="K11" s="1230">
        <f t="shared" si="1"/>
        <v>0</v>
      </c>
      <c r="L11" s="1262" t="s">
        <v>1706</v>
      </c>
      <c r="M11" s="1203">
        <f>'3条税込み'!D11-'3条税抜き (消費税雑支出加算)'!D11</f>
        <v>0</v>
      </c>
      <c r="N11" s="1203">
        <f t="shared" si="2"/>
        <v>0</v>
      </c>
    </row>
    <row r="12" spans="1:15" ht="24.75" customHeight="1">
      <c r="A12" s="1241"/>
      <c r="B12" s="1245"/>
      <c r="C12" s="1244" t="s">
        <v>1490</v>
      </c>
      <c r="D12" s="1235">
        <f>+'3条税抜き'!D12</f>
        <v>87134052</v>
      </c>
      <c r="E12" s="1234">
        <f>+'3条税抜き'!E12</f>
        <v>0</v>
      </c>
      <c r="F12" s="1231">
        <f>+'3条税抜き'!F12</f>
        <v>0</v>
      </c>
      <c r="G12" s="1231">
        <f>+'3条税抜き'!G12</f>
        <v>0</v>
      </c>
      <c r="H12" s="1230">
        <f t="shared" si="0"/>
        <v>0</v>
      </c>
      <c r="I12" s="1232">
        <f>+'3条税抜き'!I12</f>
        <v>43567026</v>
      </c>
      <c r="J12" s="1231">
        <f>+'3条税抜き'!J12</f>
        <v>43567026</v>
      </c>
      <c r="K12" s="1230">
        <f t="shared" si="1"/>
        <v>87134052</v>
      </c>
      <c r="L12" s="1203">
        <f>G12+I12</f>
        <v>43567026</v>
      </c>
      <c r="M12" s="1203">
        <f>'3条税込み'!D12-'3条税抜き (消費税雑支出加算)'!D12</f>
        <v>1715497</v>
      </c>
      <c r="N12" s="1203">
        <f t="shared" si="2"/>
        <v>0</v>
      </c>
    </row>
    <row r="13" spans="1:15" ht="24.75" customHeight="1">
      <c r="A13" s="1241"/>
      <c r="B13" s="1245"/>
      <c r="C13" s="1259" t="s">
        <v>1487</v>
      </c>
      <c r="D13" s="1235">
        <f>+'3条税抜き'!D13</f>
        <v>10396270</v>
      </c>
      <c r="E13" s="1234">
        <f>+'3条税抜き'!E13</f>
        <v>0</v>
      </c>
      <c r="F13" s="1231">
        <f>+'3条税抜き'!F13</f>
        <v>0</v>
      </c>
      <c r="G13" s="1231">
        <f>+'3条税抜き'!G13</f>
        <v>10396270</v>
      </c>
      <c r="H13" s="1230">
        <f t="shared" si="0"/>
        <v>10396270</v>
      </c>
      <c r="I13" s="1232">
        <f>+'3条税抜き'!I13</f>
        <v>0</v>
      </c>
      <c r="J13" s="1231">
        <f>+'3条税抜き'!J13</f>
        <v>0</v>
      </c>
      <c r="K13" s="1230">
        <f t="shared" si="1"/>
        <v>0</v>
      </c>
      <c r="M13" s="1203">
        <f>'3条税込み'!D13-'3条税抜き (消費税雑支出加算)'!D13</f>
        <v>87589</v>
      </c>
      <c r="N13" s="1203">
        <f t="shared" si="2"/>
        <v>0</v>
      </c>
    </row>
    <row r="14" spans="1:15" ht="24.75" customHeight="1">
      <c r="A14" s="1241"/>
      <c r="B14" s="1245"/>
      <c r="C14" s="1244" t="s">
        <v>1485</v>
      </c>
      <c r="D14" s="1235">
        <f>+'3条税抜き'!D14</f>
        <v>929691714</v>
      </c>
      <c r="E14" s="1234">
        <f>+'3条税抜き'!E14</f>
        <v>0</v>
      </c>
      <c r="F14" s="1231">
        <f>+'3条税抜き'!F14</f>
        <v>0</v>
      </c>
      <c r="G14" s="1231">
        <f>+'3条税抜き'!G14</f>
        <v>0</v>
      </c>
      <c r="H14" s="1230">
        <f t="shared" si="0"/>
        <v>0</v>
      </c>
      <c r="I14" s="1232">
        <f>+'3条税抜き'!I14</f>
        <v>0</v>
      </c>
      <c r="J14" s="1231">
        <f>+'3条税抜き'!J14</f>
        <v>929691714</v>
      </c>
      <c r="K14" s="1230">
        <f t="shared" si="1"/>
        <v>929691714</v>
      </c>
      <c r="M14" s="1203">
        <f>'3条税込み'!D14-'3条税抜き (消費税雑支出加算)'!D14</f>
        <v>90253429</v>
      </c>
      <c r="N14" s="1203">
        <f t="shared" si="2"/>
        <v>0</v>
      </c>
      <c r="O14" s="1261" t="s">
        <v>1704</v>
      </c>
    </row>
    <row r="15" spans="1:15" ht="24.75" customHeight="1">
      <c r="A15" s="1241"/>
      <c r="B15" s="1245"/>
      <c r="C15" s="1244" t="s">
        <v>1483</v>
      </c>
      <c r="D15" s="1235">
        <f>+'3条税抜き'!D15</f>
        <v>466286409</v>
      </c>
      <c r="E15" s="1234">
        <f>+'3条税抜き'!E15</f>
        <v>119755277</v>
      </c>
      <c r="F15" s="1231">
        <f>+'3条税抜き'!F15</f>
        <v>11260122</v>
      </c>
      <c r="G15" s="1231">
        <f>+'3条税抜き'!G15</f>
        <v>0</v>
      </c>
      <c r="H15" s="1230">
        <f t="shared" si="0"/>
        <v>131015399</v>
      </c>
      <c r="I15" s="1232">
        <f>+'3条税抜き'!I15</f>
        <v>0</v>
      </c>
      <c r="J15" s="1231">
        <f>+'3条税抜き'!J15</f>
        <v>335271010</v>
      </c>
      <c r="K15" s="1230">
        <f t="shared" si="1"/>
        <v>335271010</v>
      </c>
      <c r="M15" s="1203">
        <f>'3条税込み'!D15-'3条税抜き (消費税雑支出加算)'!D15</f>
        <v>17678805</v>
      </c>
      <c r="N15" s="1203">
        <f t="shared" si="2"/>
        <v>0</v>
      </c>
      <c r="O15" s="1260">
        <f>+'3条税抜き'!O15</f>
        <v>-14495555</v>
      </c>
    </row>
    <row r="16" spans="1:15" ht="24.75" customHeight="1">
      <c r="A16" s="1241"/>
      <c r="B16" s="1245"/>
      <c r="C16" s="1259" t="s">
        <v>1703</v>
      </c>
      <c r="D16" s="1235">
        <f>+'3条税抜き'!D16</f>
        <v>97276922</v>
      </c>
      <c r="E16" s="1234">
        <f>+'3条税抜き'!E16</f>
        <v>0</v>
      </c>
      <c r="F16" s="1231">
        <f>+'3条税抜き'!F16</f>
        <v>0</v>
      </c>
      <c r="G16" s="1231">
        <f>+'3条税抜き'!G16</f>
        <v>0</v>
      </c>
      <c r="H16" s="1230">
        <f t="shared" si="0"/>
        <v>0</v>
      </c>
      <c r="I16" s="1232">
        <f>+'3条税抜き'!I16</f>
        <v>0</v>
      </c>
      <c r="J16" s="1231">
        <f>+'3条税抜き'!J16</f>
        <v>97276922</v>
      </c>
      <c r="K16" s="1230">
        <f t="shared" si="1"/>
        <v>97276922</v>
      </c>
      <c r="M16" s="1203">
        <f>'3条税込み'!D16-'3条税抜き (消費税雑支出加算)'!D16</f>
        <v>9713984</v>
      </c>
      <c r="N16" s="1203">
        <f t="shared" si="2"/>
        <v>0</v>
      </c>
    </row>
    <row r="17" spans="1:14" ht="24.75" customHeight="1">
      <c r="A17" s="1241"/>
      <c r="B17" s="1245"/>
      <c r="C17" s="1244" t="s">
        <v>1702</v>
      </c>
      <c r="D17" s="1235">
        <f>+'3条税抜き'!D17</f>
        <v>225167795</v>
      </c>
      <c r="E17" s="1234">
        <f>+'3条税抜き'!E17</f>
        <v>0</v>
      </c>
      <c r="F17" s="1231">
        <f>+'3条税抜き'!F17</f>
        <v>0</v>
      </c>
      <c r="G17" s="1231">
        <f>+'3条税抜き'!G17</f>
        <v>0</v>
      </c>
      <c r="H17" s="1230">
        <f t="shared" si="0"/>
        <v>0</v>
      </c>
      <c r="I17" s="1232">
        <f>+'3条税抜き'!I17</f>
        <v>0</v>
      </c>
      <c r="J17" s="1231">
        <f>+'3条税抜き'!J17</f>
        <v>225167795</v>
      </c>
      <c r="K17" s="1230">
        <f t="shared" si="1"/>
        <v>225167795</v>
      </c>
      <c r="M17" s="1203">
        <f>'3条税込み'!D17-'3条税抜き (消費税雑支出加算)'!D17</f>
        <v>22486229</v>
      </c>
      <c r="N17" s="1203">
        <f t="shared" si="2"/>
        <v>0</v>
      </c>
    </row>
    <row r="18" spans="1:14" ht="24.75" customHeight="1">
      <c r="A18" s="1241"/>
      <c r="B18" s="1245"/>
      <c r="C18" s="1244" t="s">
        <v>1701</v>
      </c>
      <c r="D18" s="1235">
        <f>+'3条税抜き'!D18</f>
        <v>69941329</v>
      </c>
      <c r="E18" s="1234">
        <f>+'3条税抜き'!E18</f>
        <v>0</v>
      </c>
      <c r="F18" s="1231">
        <f>+'3条税抜き'!F18</f>
        <v>0</v>
      </c>
      <c r="G18" s="1231">
        <f>+'3条税抜き'!G18</f>
        <v>0</v>
      </c>
      <c r="H18" s="1230">
        <f t="shared" si="0"/>
        <v>0</v>
      </c>
      <c r="I18" s="1232">
        <f>+'3条税抜き'!I18</f>
        <v>0</v>
      </c>
      <c r="J18" s="1231">
        <f>+'3条税抜き'!J18</f>
        <v>69941329</v>
      </c>
      <c r="K18" s="1230">
        <f t="shared" si="1"/>
        <v>69941329</v>
      </c>
      <c r="M18" s="1203">
        <f>'3条税込み'!D18-'3条税抜き (消費税雑支出加算)'!D18</f>
        <v>6447001</v>
      </c>
      <c r="N18" s="1203">
        <f t="shared" si="2"/>
        <v>0</v>
      </c>
    </row>
    <row r="19" spans="1:14" ht="24.75" customHeight="1">
      <c r="A19" s="1241"/>
      <c r="B19" s="1245"/>
      <c r="C19" s="1244" t="s">
        <v>1700</v>
      </c>
      <c r="D19" s="1235">
        <f>+'3条税抜き'!D19</f>
        <v>0</v>
      </c>
      <c r="E19" s="1234">
        <f>+'3条税抜き'!E19</f>
        <v>0</v>
      </c>
      <c r="F19" s="1231">
        <f>+'3条税抜き'!F19</f>
        <v>0</v>
      </c>
      <c r="G19" s="1231">
        <f>+'3条税抜き'!G19</f>
        <v>0</v>
      </c>
      <c r="H19" s="1230">
        <f t="shared" si="0"/>
        <v>0</v>
      </c>
      <c r="I19" s="1232">
        <f>+'3条税抜き'!I19</f>
        <v>0</v>
      </c>
      <c r="J19" s="1231">
        <f>+'3条税抜き'!J19</f>
        <v>0</v>
      </c>
      <c r="K19" s="1230">
        <f t="shared" si="1"/>
        <v>0</v>
      </c>
      <c r="M19" s="1203">
        <f>'3条税込み'!D19-'3条税抜き (消費税雑支出加算)'!D19</f>
        <v>0</v>
      </c>
      <c r="N19" s="1203">
        <f t="shared" si="2"/>
        <v>0</v>
      </c>
    </row>
    <row r="20" spans="1:14" ht="24.75" customHeight="1">
      <c r="A20" s="1241"/>
      <c r="B20" s="1245"/>
      <c r="C20" s="1244" t="s">
        <v>1699</v>
      </c>
      <c r="D20" s="1235">
        <f>+'3条税抜き'!D20</f>
        <v>0</v>
      </c>
      <c r="E20" s="1234">
        <f>+'3条税抜き'!E20</f>
        <v>0</v>
      </c>
      <c r="F20" s="1231">
        <f>+'3条税抜き'!F20</f>
        <v>0</v>
      </c>
      <c r="G20" s="1231">
        <f>+'3条税抜き'!G20</f>
        <v>0</v>
      </c>
      <c r="H20" s="1230">
        <f t="shared" si="0"/>
        <v>0</v>
      </c>
      <c r="I20" s="1232">
        <f>+'3条税抜き'!I20</f>
        <v>0</v>
      </c>
      <c r="J20" s="1231">
        <f>+'3条税抜き'!J20</f>
        <v>0</v>
      </c>
      <c r="K20" s="1230">
        <f t="shared" si="1"/>
        <v>0</v>
      </c>
      <c r="M20" s="1203">
        <f>'3条税込み'!D20-'3条税抜き (消費税雑支出加算)'!D20</f>
        <v>0</v>
      </c>
      <c r="N20" s="1203">
        <f t="shared" si="2"/>
        <v>0</v>
      </c>
    </row>
    <row r="21" spans="1:14" ht="24.75" customHeight="1">
      <c r="A21" s="1241"/>
      <c r="B21" s="1244" t="s">
        <v>1657</v>
      </c>
      <c r="C21" s="1244"/>
      <c r="D21" s="1235">
        <f>SUM(D22:D25)</f>
        <v>218670668</v>
      </c>
      <c r="E21" s="1234">
        <f>SUM(E22:E25)</f>
        <v>161840742</v>
      </c>
      <c r="F21" s="1231">
        <f>SUM(F22:F25)</f>
        <v>15449991</v>
      </c>
      <c r="G21" s="1231">
        <f>SUM(G22:G25)</f>
        <v>23053301</v>
      </c>
      <c r="H21" s="1230">
        <f t="shared" si="0"/>
        <v>200344034</v>
      </c>
      <c r="I21" s="1232">
        <f>SUM(I22:I25)</f>
        <v>9576435</v>
      </c>
      <c r="J21" s="1231">
        <f>SUM(J22:J25)</f>
        <v>8750199</v>
      </c>
      <c r="K21" s="1230">
        <f t="shared" si="1"/>
        <v>18326634</v>
      </c>
      <c r="M21" s="1203">
        <f>SUM(M22:M24)</f>
        <v>489822</v>
      </c>
      <c r="N21" s="1203">
        <f t="shared" si="2"/>
        <v>0</v>
      </c>
    </row>
    <row r="22" spans="1:14" ht="24.75" customHeight="1">
      <c r="A22" s="1241"/>
      <c r="B22" s="1244"/>
      <c r="C22" s="1244" t="s">
        <v>1698</v>
      </c>
      <c r="D22" s="1235">
        <f>+'3条税抜き'!D22</f>
        <v>2483</v>
      </c>
      <c r="E22" s="1234">
        <f>+'3条税抜き'!E22</f>
        <v>0</v>
      </c>
      <c r="F22" s="1231">
        <f>+'3条税抜き'!F22</f>
        <v>0</v>
      </c>
      <c r="G22" s="1231">
        <f>+'3条税抜き'!G22</f>
        <v>0</v>
      </c>
      <c r="H22" s="1230">
        <f t="shared" si="0"/>
        <v>0</v>
      </c>
      <c r="I22" s="1232">
        <f>+'3条税抜き'!I22</f>
        <v>0</v>
      </c>
      <c r="J22" s="1231">
        <f>+'3条税抜き'!J22</f>
        <v>2483</v>
      </c>
      <c r="K22" s="1230">
        <f t="shared" si="1"/>
        <v>2483</v>
      </c>
      <c r="M22" s="1203">
        <f>'3条税込み'!D22-'3条税抜き (消費税雑支出加算)'!D22</f>
        <v>0</v>
      </c>
      <c r="N22" s="1203">
        <f t="shared" si="2"/>
        <v>0</v>
      </c>
    </row>
    <row r="23" spans="1:14" ht="24.75" customHeight="1">
      <c r="A23" s="1241"/>
      <c r="B23" s="1245"/>
      <c r="C23" s="1244" t="s">
        <v>1656</v>
      </c>
      <c r="D23" s="1235">
        <f>+'3条税抜き'!D23</f>
        <v>24123</v>
      </c>
      <c r="E23" s="1234">
        <f>+'3条税抜き'!E23</f>
        <v>0</v>
      </c>
      <c r="F23" s="1231">
        <f>+'3条税抜き'!F23</f>
        <v>0</v>
      </c>
      <c r="G23" s="1231">
        <f>+'3条税抜き'!G23</f>
        <v>0</v>
      </c>
      <c r="H23" s="1230">
        <f t="shared" si="0"/>
        <v>0</v>
      </c>
      <c r="I23" s="1232">
        <f>+'3条税抜き'!I23</f>
        <v>0</v>
      </c>
      <c r="J23" s="1231">
        <f>+'3条税抜き'!J23</f>
        <v>24123</v>
      </c>
      <c r="K23" s="1230">
        <f t="shared" si="1"/>
        <v>24123</v>
      </c>
      <c r="M23" s="1203">
        <f>'3条税込み'!D23-'3条税抜き (消費税雑支出加算)'!D23</f>
        <v>1773</v>
      </c>
      <c r="N23" s="1203">
        <f t="shared" si="2"/>
        <v>0</v>
      </c>
    </row>
    <row r="24" spans="1:14" ht="24.75" customHeight="1">
      <c r="A24" s="1241"/>
      <c r="B24" s="1245"/>
      <c r="C24" s="1259" t="s">
        <v>1697</v>
      </c>
      <c r="D24" s="1235">
        <f>+'3条税抜き'!D24</f>
        <v>8710224</v>
      </c>
      <c r="E24" s="1234">
        <f>+'3条税抜き'!E24</f>
        <v>0</v>
      </c>
      <c r="F24" s="1231">
        <f>+'3条税抜き'!F24</f>
        <v>0</v>
      </c>
      <c r="G24" s="1231">
        <f>+'3条税抜き'!G24</f>
        <v>0</v>
      </c>
      <c r="H24" s="1230">
        <f t="shared" si="0"/>
        <v>0</v>
      </c>
      <c r="I24" s="1232">
        <f>+'3条税抜き'!I24</f>
        <v>0</v>
      </c>
      <c r="J24" s="1231">
        <f>+'3条税抜き'!J24</f>
        <v>8710224</v>
      </c>
      <c r="K24" s="1230">
        <f t="shared" si="1"/>
        <v>8710224</v>
      </c>
      <c r="M24" s="1203">
        <f>'3条税込み'!D24-'3条税抜き (消費税雑支出加算)'!D24</f>
        <v>488049</v>
      </c>
      <c r="N24" s="1203">
        <f t="shared" si="2"/>
        <v>0</v>
      </c>
    </row>
    <row r="25" spans="1:14" ht="24.75" customHeight="1">
      <c r="A25" s="1241"/>
      <c r="B25" s="1245"/>
      <c r="C25" s="1259" t="s">
        <v>1689</v>
      </c>
      <c r="D25" s="1312">
        <f>+SUM(雨汚水!AD25:AD26)</f>
        <v>209933838</v>
      </c>
      <c r="E25" s="1320">
        <f>+SUM(雨汚水!AE25:AE26)</f>
        <v>161840742</v>
      </c>
      <c r="F25" s="1319">
        <f>+SUM(雨汚水!AF25:AF26)</f>
        <v>15449991</v>
      </c>
      <c r="G25" s="1319">
        <f>+SUM(雨汚水!AG25:AG26)</f>
        <v>23053301</v>
      </c>
      <c r="H25" s="1316">
        <f t="shared" si="0"/>
        <v>200344034</v>
      </c>
      <c r="I25" s="1318">
        <f>+SUM(雨汚水!AI25:AI26)</f>
        <v>9576435</v>
      </c>
      <c r="J25" s="1317">
        <f>+SUM(雨汚水!AJ25:AJ26)</f>
        <v>13369</v>
      </c>
      <c r="K25" s="1316">
        <f t="shared" si="1"/>
        <v>9589804</v>
      </c>
    </row>
    <row r="26" spans="1:14" ht="24.75" customHeight="1">
      <c r="A26" s="1241"/>
      <c r="B26" s="1244" t="s">
        <v>1653</v>
      </c>
      <c r="C26" s="1244"/>
      <c r="D26" s="1235">
        <f>SUM(D27:D28)</f>
        <v>20026854</v>
      </c>
      <c r="E26" s="1234">
        <f>SUM(E27:E28)</f>
        <v>6733</v>
      </c>
      <c r="F26" s="1231">
        <f>SUM(F27:F28)</f>
        <v>0</v>
      </c>
      <c r="G26" s="1231">
        <f>SUM(G27:G28)</f>
        <v>0</v>
      </c>
      <c r="H26" s="1230">
        <f t="shared" si="0"/>
        <v>6733</v>
      </c>
      <c r="I26" s="1231">
        <f>SUM(I27:I28)</f>
        <v>0</v>
      </c>
      <c r="J26" s="1231">
        <f>SUM(J27:J28)</f>
        <v>20020121</v>
      </c>
      <c r="K26" s="1230">
        <f t="shared" si="1"/>
        <v>20020121</v>
      </c>
      <c r="M26" s="1203">
        <f>SUM(M27:M28)</f>
        <v>968444</v>
      </c>
      <c r="N26" s="1203">
        <f t="shared" ref="N26:N37" si="3">D26-H26-K26</f>
        <v>0</v>
      </c>
    </row>
    <row r="27" spans="1:14" ht="24.75" customHeight="1">
      <c r="A27" s="1241"/>
      <c r="B27" s="1244"/>
      <c r="C27" s="1257" t="s">
        <v>1696</v>
      </c>
      <c r="D27" s="1235">
        <f>+'3条税抜き'!D27</f>
        <v>20026854</v>
      </c>
      <c r="E27" s="1234">
        <f>+'3条税抜き'!E27</f>
        <v>6733</v>
      </c>
      <c r="F27" s="1231">
        <f>+'3条税抜き'!F27</f>
        <v>0</v>
      </c>
      <c r="G27" s="1231">
        <f>+'3条税抜き'!G27</f>
        <v>0</v>
      </c>
      <c r="H27" s="1230">
        <f t="shared" si="0"/>
        <v>6733</v>
      </c>
      <c r="I27" s="1232">
        <f>+'3条税抜き'!I27</f>
        <v>0</v>
      </c>
      <c r="J27" s="1231">
        <f>+'3条税抜き'!J27</f>
        <v>20020121</v>
      </c>
      <c r="K27" s="1230">
        <f t="shared" si="1"/>
        <v>20020121</v>
      </c>
      <c r="M27" s="1203">
        <f>'3条税込み'!D27-'3条税抜き (消費税雑支出加算)'!D27</f>
        <v>968444</v>
      </c>
      <c r="N27" s="1203">
        <f t="shared" si="3"/>
        <v>0</v>
      </c>
    </row>
    <row r="28" spans="1:14" ht="24.75" customHeight="1">
      <c r="A28" s="1241"/>
      <c r="B28" s="1245"/>
      <c r="C28" s="1244" t="s">
        <v>1435</v>
      </c>
      <c r="D28" s="1235">
        <f>+'3条税抜き'!D28</f>
        <v>0</v>
      </c>
      <c r="E28" s="1234">
        <f>+'3条税抜き'!E28</f>
        <v>0</v>
      </c>
      <c r="F28" s="1231">
        <f>+'3条税抜き'!F28</f>
        <v>0</v>
      </c>
      <c r="G28" s="1231">
        <f>+'3条税抜き'!G28</f>
        <v>0</v>
      </c>
      <c r="H28" s="1230">
        <f t="shared" si="0"/>
        <v>0</v>
      </c>
      <c r="I28" s="1232">
        <f>+'3条税抜き'!I28</f>
        <v>0</v>
      </c>
      <c r="J28" s="1231">
        <f>+'3条税抜き'!J28</f>
        <v>0</v>
      </c>
      <c r="K28" s="1230">
        <f t="shared" si="1"/>
        <v>0</v>
      </c>
      <c r="M28" s="1203">
        <f>'3条税込み'!D28-'3条税抜き (消費税雑支出加算)'!D28</f>
        <v>0</v>
      </c>
      <c r="N28" s="1203">
        <f t="shared" si="3"/>
        <v>0</v>
      </c>
    </row>
    <row r="29" spans="1:14" ht="24.75" customHeight="1">
      <c r="A29" s="1241"/>
      <c r="B29" s="1242" t="s">
        <v>1695</v>
      </c>
      <c r="C29" s="1231"/>
      <c r="D29" s="1235">
        <f>+'3条税抜き'!D29</f>
        <v>0</v>
      </c>
      <c r="E29" s="1234">
        <f>+'3条税抜き'!E29</f>
        <v>0</v>
      </c>
      <c r="F29" s="1231">
        <f>+'3条税抜き'!F29</f>
        <v>0</v>
      </c>
      <c r="G29" s="1231">
        <f>+'3条税抜き'!G29</f>
        <v>0</v>
      </c>
      <c r="H29" s="1230">
        <f t="shared" si="0"/>
        <v>0</v>
      </c>
      <c r="I29" s="1232">
        <f>+'3条税抜き'!I29</f>
        <v>0</v>
      </c>
      <c r="J29" s="1231">
        <f>+'3条税抜き'!J29</f>
        <v>0</v>
      </c>
      <c r="K29" s="1230">
        <f t="shared" si="1"/>
        <v>0</v>
      </c>
      <c r="M29" s="1203">
        <f>'3条税込み'!D29-'3条税抜き (消費税雑支出加算)'!D29</f>
        <v>0</v>
      </c>
      <c r="N29" s="1203">
        <f t="shared" si="3"/>
        <v>0</v>
      </c>
    </row>
    <row r="30" spans="1:14" ht="24.75" customHeight="1">
      <c r="A30" s="1228"/>
      <c r="B30" s="1205"/>
      <c r="C30" s="1205"/>
      <c r="D30" s="1235"/>
      <c r="E30" s="1234"/>
      <c r="F30" s="1231"/>
      <c r="G30" s="1231"/>
      <c r="H30" s="1230"/>
      <c r="I30" s="1232"/>
      <c r="J30" s="1231"/>
      <c r="K30" s="1230"/>
      <c r="L30" s="1248" t="s">
        <v>1694</v>
      </c>
      <c r="N30" s="1203">
        <f t="shared" si="3"/>
        <v>0</v>
      </c>
    </row>
    <row r="31" spans="1:14" ht="24.75" customHeight="1">
      <c r="A31" s="1256"/>
      <c r="B31" s="1213" t="s">
        <v>1676</v>
      </c>
      <c r="C31" s="1255"/>
      <c r="D31" s="1227">
        <f t="shared" ref="D31:K31" si="4">D6+D21+D26+D29</f>
        <v>11030037961</v>
      </c>
      <c r="E31" s="1226">
        <f t="shared" si="4"/>
        <v>2841791933</v>
      </c>
      <c r="F31" s="1224">
        <f t="shared" si="4"/>
        <v>267434725</v>
      </c>
      <c r="G31" s="1224">
        <f t="shared" si="4"/>
        <v>443922061</v>
      </c>
      <c r="H31" s="1223">
        <f t="shared" si="4"/>
        <v>3553148719</v>
      </c>
      <c r="I31" s="1225">
        <f t="shared" si="4"/>
        <v>228288850</v>
      </c>
      <c r="J31" s="1224">
        <f t="shared" si="4"/>
        <v>7248600392</v>
      </c>
      <c r="K31" s="1223">
        <f t="shared" si="4"/>
        <v>7476889242</v>
      </c>
      <c r="L31" s="1203">
        <f>H31+I31-I8-L12-G13</f>
        <v>3676160978</v>
      </c>
      <c r="M31" s="1203">
        <f>M6+M21+M26+M29</f>
        <v>822402767</v>
      </c>
      <c r="N31" s="1203">
        <f t="shared" si="3"/>
        <v>0</v>
      </c>
    </row>
    <row r="32" spans="1:14" ht="24.75" customHeight="1">
      <c r="A32" s="1254"/>
      <c r="B32" s="1244" t="s">
        <v>1669</v>
      </c>
      <c r="C32" s="1253"/>
      <c r="D32" s="1252">
        <f t="shared" ref="D32:K32" si="5">D33+D34</f>
        <v>27055204101</v>
      </c>
      <c r="E32" s="1315">
        <f t="shared" si="5"/>
        <v>12875255326</v>
      </c>
      <c r="F32" s="1237">
        <f t="shared" si="5"/>
        <v>125365824</v>
      </c>
      <c r="G32" s="1313">
        <f t="shared" si="5"/>
        <v>0</v>
      </c>
      <c r="H32" s="1314">
        <f t="shared" si="5"/>
        <v>13000621150</v>
      </c>
      <c r="I32" s="1250">
        <f t="shared" si="5"/>
        <v>17206476</v>
      </c>
      <c r="J32" s="1313">
        <f t="shared" si="5"/>
        <v>14037376475</v>
      </c>
      <c r="K32" s="1313">
        <f t="shared" si="5"/>
        <v>14054582951</v>
      </c>
      <c r="L32" s="1248" t="s">
        <v>1719</v>
      </c>
      <c r="M32" s="1203">
        <f>SUM(M33:M34)</f>
        <v>0</v>
      </c>
      <c r="N32" s="1203">
        <f t="shared" si="3"/>
        <v>0</v>
      </c>
    </row>
    <row r="33" spans="1:14" ht="24.75" customHeight="1">
      <c r="A33" s="1241"/>
      <c r="B33" s="1244"/>
      <c r="C33" s="1244" t="s">
        <v>1448</v>
      </c>
      <c r="D33" s="1235">
        <f>+'3条税抜き'!D33</f>
        <v>26551442230</v>
      </c>
      <c r="E33" s="1234">
        <f>+'3条税抜き'!E33</f>
        <v>12571100990</v>
      </c>
      <c r="F33" s="1231">
        <f>+'3条税抜き'!F33</f>
        <v>122404286</v>
      </c>
      <c r="G33" s="1231">
        <f>+'3条税抜き'!G33</f>
        <v>0</v>
      </c>
      <c r="H33" s="1230">
        <f>SUM(E33:G33)</f>
        <v>12693505276</v>
      </c>
      <c r="I33" s="1232">
        <f>+'3条税抜き'!I33</f>
        <v>17206476</v>
      </c>
      <c r="J33" s="1231">
        <f>+'3条税抜き'!J33</f>
        <v>13840730478</v>
      </c>
      <c r="K33" s="1230">
        <f>SUM(I33:J33)</f>
        <v>13857936954</v>
      </c>
      <c r="L33" s="1203">
        <f>E32+F32</f>
        <v>13000621150</v>
      </c>
      <c r="M33" s="1203">
        <f>'3条税込み'!D33-'3条税抜き (消費税雑支出加算)'!D33</f>
        <v>0</v>
      </c>
      <c r="N33" s="1203">
        <f t="shared" si="3"/>
        <v>0</v>
      </c>
    </row>
    <row r="34" spans="1:14" ht="24.75" customHeight="1">
      <c r="A34" s="1241"/>
      <c r="B34" s="1245"/>
      <c r="C34" s="1244" t="s">
        <v>1692</v>
      </c>
      <c r="D34" s="1235">
        <f>+'3条税抜き'!D34</f>
        <v>503761871</v>
      </c>
      <c r="E34" s="1234">
        <f>+'3条税抜き'!E34</f>
        <v>304154336</v>
      </c>
      <c r="F34" s="1231">
        <f>+'3条税抜き'!F34</f>
        <v>2961538</v>
      </c>
      <c r="G34" s="1231">
        <f>+'3条税抜き'!G34</f>
        <v>0</v>
      </c>
      <c r="H34" s="1230">
        <f>SUM(E34:G34)</f>
        <v>307115874</v>
      </c>
      <c r="I34" s="1232">
        <f>+'3条税抜き'!I34</f>
        <v>0</v>
      </c>
      <c r="J34" s="1231">
        <f>+'3条税抜き'!J34</f>
        <v>196645997</v>
      </c>
      <c r="K34" s="1230">
        <f>SUM(I34:J34)</f>
        <v>196645997</v>
      </c>
      <c r="M34" s="1203">
        <f>'3条税込み'!D34-'3条税抜き (消費税雑支出加算)'!D34</f>
        <v>0</v>
      </c>
      <c r="N34" s="1203">
        <f t="shared" si="3"/>
        <v>0</v>
      </c>
    </row>
    <row r="35" spans="1:14" ht="24.75" customHeight="1">
      <c r="A35" s="1241"/>
      <c r="B35" s="1247" t="s">
        <v>1657</v>
      </c>
      <c r="C35" s="1246"/>
      <c r="D35" s="1235">
        <f t="shared" ref="D35:K35" si="6">D36+D37</f>
        <v>3942892873</v>
      </c>
      <c r="E35" s="1234">
        <f t="shared" si="6"/>
        <v>1668420515</v>
      </c>
      <c r="F35" s="1231">
        <f t="shared" si="6"/>
        <v>0</v>
      </c>
      <c r="G35" s="1231">
        <f t="shared" si="6"/>
        <v>36375158</v>
      </c>
      <c r="H35" s="1230">
        <f t="shared" si="6"/>
        <v>1704795673</v>
      </c>
      <c r="I35" s="1232">
        <f t="shared" si="6"/>
        <v>315322238</v>
      </c>
      <c r="J35" s="1231">
        <f t="shared" si="6"/>
        <v>1922774962</v>
      </c>
      <c r="K35" s="1230">
        <f t="shared" si="6"/>
        <v>2238097200</v>
      </c>
      <c r="M35" s="1203">
        <f>SUM(M36:M37)</f>
        <v>5619432</v>
      </c>
      <c r="N35" s="1203">
        <f t="shared" si="3"/>
        <v>0</v>
      </c>
    </row>
    <row r="36" spans="1:14" ht="24.75" customHeight="1">
      <c r="A36" s="1241"/>
      <c r="B36" s="1244"/>
      <c r="C36" s="1244" t="s">
        <v>1691</v>
      </c>
      <c r="D36" s="1235">
        <f>'3条税抜き'!D36</f>
        <v>3940339234</v>
      </c>
      <c r="E36" s="1234">
        <f>+'3条税抜き'!E36</f>
        <v>1665866876</v>
      </c>
      <c r="F36" s="1231">
        <f>+'3条税抜き'!F36</f>
        <v>0</v>
      </c>
      <c r="G36" s="1231">
        <f>+'3条税抜き'!G36</f>
        <v>36375158</v>
      </c>
      <c r="H36" s="1230">
        <f>SUM(E36:G36)</f>
        <v>1702242034</v>
      </c>
      <c r="I36" s="1232">
        <f>+'3条税抜き'!I36</f>
        <v>315322238</v>
      </c>
      <c r="J36" s="1231">
        <f>+'3条税抜き'!J36</f>
        <v>1922774962</v>
      </c>
      <c r="K36" s="1230">
        <f>SUM(I36:J36)</f>
        <v>2238097200</v>
      </c>
      <c r="M36" s="1203">
        <f>'3条税込み'!D36-'3条税抜き (消費税雑支出加算)'!D36</f>
        <v>5619432</v>
      </c>
      <c r="N36" s="1203">
        <f t="shared" si="3"/>
        <v>0</v>
      </c>
    </row>
    <row r="37" spans="1:14" ht="24.75" customHeight="1">
      <c r="A37" s="1241"/>
      <c r="B37" s="1245"/>
      <c r="C37" s="1244" t="s">
        <v>1689</v>
      </c>
      <c r="D37" s="1312">
        <f>+雨汚水!AD39</f>
        <v>2553639</v>
      </c>
      <c r="E37" s="1311">
        <f>+雨汚水!AE39</f>
        <v>2553639</v>
      </c>
      <c r="F37" s="1308">
        <f>+雨汚水!AF39</f>
        <v>0</v>
      </c>
      <c r="G37" s="1308">
        <f>+雨汚水!AG39</f>
        <v>0</v>
      </c>
      <c r="H37" s="1310">
        <f>SUM(E37:G37)</f>
        <v>2553639</v>
      </c>
      <c r="I37" s="1309">
        <f>+雨汚水!AI39</f>
        <v>0</v>
      </c>
      <c r="J37" s="1308">
        <f>+雨汚水!AJ39</f>
        <v>0</v>
      </c>
      <c r="K37" s="1230">
        <f>SUM(I37:J37)</f>
        <v>0</v>
      </c>
      <c r="N37" s="1203">
        <f t="shared" si="3"/>
        <v>0</v>
      </c>
    </row>
    <row r="38" spans="1:14" ht="24.7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row>
    <row r="39" spans="1:14" ht="24.75" customHeight="1">
      <c r="A39" s="1241"/>
      <c r="B39" s="1244"/>
      <c r="C39" s="1243" t="s">
        <v>1687</v>
      </c>
      <c r="D39" s="1235">
        <f>'3条税抜き'!D39</f>
        <v>0</v>
      </c>
      <c r="E39" s="1234">
        <f>+'3条税抜き'!E39</f>
        <v>0</v>
      </c>
      <c r="F39" s="1231">
        <f>+'3条税抜き'!F39</f>
        <v>0</v>
      </c>
      <c r="G39" s="1231">
        <f>+'3条税抜き'!G39</f>
        <v>0</v>
      </c>
      <c r="H39" s="1230">
        <f>SUM(E39:G39)</f>
        <v>0</v>
      </c>
      <c r="I39" s="1232">
        <f>+'3条税抜き'!I39</f>
        <v>0</v>
      </c>
      <c r="J39" s="1231">
        <f>+'3条税抜き'!J39</f>
        <v>0</v>
      </c>
      <c r="K39" s="1230">
        <f>SUM(I39:J39)</f>
        <v>0</v>
      </c>
      <c r="M39" s="1203">
        <f>D39-H39-K39</f>
        <v>0</v>
      </c>
    </row>
    <row r="40" spans="1:14" ht="24.75" customHeight="1">
      <c r="A40" s="1241"/>
      <c r="B40" s="1240"/>
      <c r="C40" s="1239"/>
      <c r="D40" s="1235"/>
      <c r="E40" s="1234"/>
      <c r="F40" s="1233" t="s">
        <v>1682</v>
      </c>
      <c r="G40" s="1231">
        <f>'3条税込み'!G40</f>
        <v>0</v>
      </c>
      <c r="H40" s="1230">
        <f>SUM(E40:G40)</f>
        <v>0</v>
      </c>
      <c r="I40" s="1232"/>
      <c r="J40" s="1231"/>
      <c r="K40" s="1230">
        <f>SUM(I40:J40)</f>
        <v>0</v>
      </c>
      <c r="L40" s="1203" t="s">
        <v>1681</v>
      </c>
      <c r="N40" s="1301">
        <f>D40-H40-K40</f>
        <v>0</v>
      </c>
    </row>
    <row r="41" spans="1:14" ht="24.75" customHeight="1">
      <c r="A41" s="1228"/>
      <c r="B41" s="1237"/>
      <c r="C41" s="1236"/>
      <c r="D41" s="1235"/>
      <c r="E41" s="1234"/>
      <c r="F41" s="1233" t="s">
        <v>1679</v>
      </c>
      <c r="G41" s="1231">
        <f>G36-G40</f>
        <v>36375158</v>
      </c>
      <c r="H41" s="1230"/>
      <c r="I41" s="1232"/>
      <c r="J41" s="1231"/>
      <c r="K41" s="1230"/>
      <c r="L41" s="1203">
        <f>E36+F36+G41+I36</f>
        <v>2017564272</v>
      </c>
      <c r="N41" s="1203">
        <f>D41-H41-K41</f>
        <v>0</v>
      </c>
    </row>
    <row r="42" spans="1:14" ht="24.75" customHeight="1">
      <c r="A42" s="1228"/>
      <c r="B42" s="1205" t="s">
        <v>1676</v>
      </c>
      <c r="C42" s="1205"/>
      <c r="D42" s="1235">
        <f t="shared" ref="D42:K42" si="8">D32+D35+D38</f>
        <v>30998096974</v>
      </c>
      <c r="E42" s="1234">
        <f t="shared" si="8"/>
        <v>14543675841</v>
      </c>
      <c r="F42" s="1231">
        <f t="shared" si="8"/>
        <v>125365824</v>
      </c>
      <c r="G42" s="1231">
        <f t="shared" si="8"/>
        <v>36375158</v>
      </c>
      <c r="H42" s="1230">
        <f t="shared" si="8"/>
        <v>14705416823</v>
      </c>
      <c r="I42" s="1232">
        <f t="shared" si="8"/>
        <v>332528714</v>
      </c>
      <c r="J42" s="1231">
        <f t="shared" si="8"/>
        <v>15960151437</v>
      </c>
      <c r="K42" s="1230">
        <f t="shared" si="8"/>
        <v>16292680151</v>
      </c>
      <c r="M42" s="1203">
        <f>M32+M35</f>
        <v>5619432</v>
      </c>
      <c r="N42" s="1203">
        <f>D42-H42-K42</f>
        <v>0</v>
      </c>
    </row>
    <row r="43" spans="1:14" ht="24.75" customHeight="1">
      <c r="A43" s="1222"/>
      <c r="B43" s="1221"/>
      <c r="C43" s="1221"/>
      <c r="D43" s="1235"/>
      <c r="E43" s="1234"/>
      <c r="F43" s="1231"/>
      <c r="G43" s="1231"/>
      <c r="H43" s="1230"/>
      <c r="I43" s="1232"/>
      <c r="J43" s="1231"/>
      <c r="K43" s="1230"/>
      <c r="N43" s="1203">
        <f>D43-H43-K43</f>
        <v>0</v>
      </c>
    </row>
    <row r="44" spans="1:14" ht="24.75" customHeight="1" thickBot="1">
      <c r="A44" s="1215" t="s">
        <v>1674</v>
      </c>
      <c r="B44" s="1214"/>
      <c r="C44" s="1213"/>
      <c r="D44" s="1307">
        <f t="shared" ref="D44:K44" si="9">D31+D42</f>
        <v>42028134935</v>
      </c>
      <c r="E44" s="1306">
        <f t="shared" si="9"/>
        <v>17385467774</v>
      </c>
      <c r="F44" s="1224">
        <f t="shared" si="9"/>
        <v>392800549</v>
      </c>
      <c r="G44" s="1306">
        <f t="shared" si="9"/>
        <v>480297219</v>
      </c>
      <c r="H44" s="1223">
        <f t="shared" si="9"/>
        <v>18258565542</v>
      </c>
      <c r="I44" s="1305">
        <f t="shared" si="9"/>
        <v>560817564</v>
      </c>
      <c r="J44" s="1224">
        <f t="shared" si="9"/>
        <v>23208751829</v>
      </c>
      <c r="K44" s="1304">
        <f t="shared" si="9"/>
        <v>23769569393</v>
      </c>
      <c r="M44" s="1203">
        <f>M31+M42</f>
        <v>828022199</v>
      </c>
      <c r="N44" s="1203">
        <f>D44-H44-K44</f>
        <v>0</v>
      </c>
    </row>
    <row r="45" spans="1:14" ht="21" customHeight="1">
      <c r="A45" s="1205"/>
      <c r="B45" s="1205"/>
      <c r="C45" s="1205"/>
      <c r="D45" s="1204">
        <f>D44-'3条支出'!T41</f>
        <v>0</v>
      </c>
      <c r="E45" s="1204"/>
      <c r="F45" s="1204"/>
      <c r="G45" s="1204"/>
      <c r="H45" s="1204"/>
      <c r="I45" s="1204"/>
      <c r="J45" s="1204"/>
      <c r="K45" s="1204"/>
    </row>
    <row r="46" spans="1:14" ht="21" customHeight="1"/>
    <row r="47" spans="1:14" ht="21" customHeight="1">
      <c r="G47" s="1204"/>
    </row>
    <row r="48" spans="1:14" ht="21" customHeight="1"/>
    <row r="49" ht="21" customHeight="1"/>
    <row r="50" ht="21" customHeight="1"/>
    <row r="51" ht="21" customHeight="1"/>
    <row r="52" ht="21" customHeight="1"/>
    <row r="53" ht="21" customHeight="1"/>
    <row r="54" ht="21" customHeight="1"/>
    <row r="55" ht="21" customHeight="1"/>
    <row r="56" ht="21" customHeight="1"/>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Z62"/>
  <sheetViews>
    <sheetView zoomScale="90" zoomScaleNormal="90" zoomScaleSheetLayoutView="80" workbookViewId="0">
      <pane xSplit="3" ySplit="5" topLeftCell="D6" activePane="bottomRight" state="frozen"/>
      <selection activeCell="B46" sqref="A1:XFD1048576"/>
      <selection pane="topRight" activeCell="B46" sqref="A1:XFD1048576"/>
      <selection pane="bottomLeft" activeCell="B46" sqref="A1:XFD1048576"/>
      <selection pane="bottomRight" activeCell="D6" sqref="D6"/>
    </sheetView>
  </sheetViews>
  <sheetFormatPr defaultRowHeight="11.25"/>
  <cols>
    <col min="1" max="1" width="2.375" style="1203" customWidth="1"/>
    <col min="2" max="2" width="11.875" style="1203" customWidth="1"/>
    <col min="3" max="3" width="13" style="1203" customWidth="1"/>
    <col min="4" max="5" width="11.625" style="1203" customWidth="1"/>
    <col min="6" max="6" width="11.375" style="1203" customWidth="1"/>
    <col min="7" max="7" width="11.625" style="1203" customWidth="1"/>
    <col min="8" max="8" width="10.875" style="1203" customWidth="1"/>
    <col min="9" max="9" width="12.75" style="1203" customWidth="1"/>
    <col min="10" max="10" width="13.125" style="1203" customWidth="1"/>
    <col min="11" max="11" width="9.875" style="1203" customWidth="1"/>
    <col min="12" max="15" width="2.625" style="1203" customWidth="1"/>
    <col min="16" max="16" width="8.125" style="1203" customWidth="1"/>
    <col min="17" max="17" width="14.125" style="1203" customWidth="1"/>
    <col min="18" max="23" width="13.125" style="1203" customWidth="1"/>
    <col min="24" max="24" width="2.25" style="1203" customWidth="1"/>
    <col min="25" max="25" width="14.375" style="1203" customWidth="1"/>
    <col min="26" max="26" width="12.875" style="1203" customWidth="1"/>
    <col min="27" max="255" width="9" style="1203"/>
    <col min="256" max="256" width="2.375" style="1203" customWidth="1"/>
    <col min="257" max="257" width="11.875" style="1203" customWidth="1"/>
    <col min="258" max="258" width="13" style="1203" customWidth="1"/>
    <col min="259" max="260" width="11.625" style="1203" customWidth="1"/>
    <col min="261" max="261" width="11.375" style="1203" customWidth="1"/>
    <col min="262" max="262" width="11.625" style="1203" customWidth="1"/>
    <col min="263" max="263" width="10.875" style="1203" customWidth="1"/>
    <col min="264" max="264" width="12.75" style="1203" customWidth="1"/>
    <col min="265" max="265" width="13.125" style="1203" customWidth="1"/>
    <col min="266" max="266" width="9.875" style="1203" customWidth="1"/>
    <col min="267" max="267" width="2.875" style="1203" customWidth="1"/>
    <col min="268" max="269" width="1.375" style="1203" customWidth="1"/>
    <col min="270" max="270" width="1.75" style="1203" customWidth="1"/>
    <col min="271" max="271" width="7" style="1203" customWidth="1"/>
    <col min="272" max="272" width="9" style="1203"/>
    <col min="273" max="274" width="13.75" style="1203" customWidth="1"/>
    <col min="275" max="279" width="13.875" style="1203" customWidth="1"/>
    <col min="280" max="280" width="2.25" style="1203" customWidth="1"/>
    <col min="281" max="281" width="14.375" style="1203" customWidth="1"/>
    <col min="282" max="282" width="12.875" style="1203" customWidth="1"/>
    <col min="283" max="511" width="9" style="1203"/>
    <col min="512" max="512" width="2.375" style="1203" customWidth="1"/>
    <col min="513" max="513" width="11.875" style="1203" customWidth="1"/>
    <col min="514" max="514" width="13" style="1203" customWidth="1"/>
    <col min="515" max="516" width="11.625" style="1203" customWidth="1"/>
    <col min="517" max="517" width="11.375" style="1203" customWidth="1"/>
    <col min="518" max="518" width="11.625" style="1203" customWidth="1"/>
    <col min="519" max="519" width="10.875" style="1203" customWidth="1"/>
    <col min="520" max="520" width="12.75" style="1203" customWidth="1"/>
    <col min="521" max="521" width="13.125" style="1203" customWidth="1"/>
    <col min="522" max="522" width="9.875" style="1203" customWidth="1"/>
    <col min="523" max="523" width="2.875" style="1203" customWidth="1"/>
    <col min="524" max="525" width="1.375" style="1203" customWidth="1"/>
    <col min="526" max="526" width="1.75" style="1203" customWidth="1"/>
    <col min="527" max="527" width="7" style="1203" customWidth="1"/>
    <col min="528" max="528" width="9" style="1203"/>
    <col min="529" max="530" width="13.75" style="1203" customWidth="1"/>
    <col min="531" max="535" width="13.875" style="1203" customWidth="1"/>
    <col min="536" max="536" width="2.25" style="1203" customWidth="1"/>
    <col min="537" max="537" width="14.375" style="1203" customWidth="1"/>
    <col min="538" max="538" width="12.875" style="1203" customWidth="1"/>
    <col min="539" max="767" width="9" style="1203"/>
    <col min="768" max="768" width="2.375" style="1203" customWidth="1"/>
    <col min="769" max="769" width="11.875" style="1203" customWidth="1"/>
    <col min="770" max="770" width="13" style="1203" customWidth="1"/>
    <col min="771" max="772" width="11.625" style="1203" customWidth="1"/>
    <col min="773" max="773" width="11.375" style="1203" customWidth="1"/>
    <col min="774" max="774" width="11.625" style="1203" customWidth="1"/>
    <col min="775" max="775" width="10.875" style="1203" customWidth="1"/>
    <col min="776" max="776" width="12.75" style="1203" customWidth="1"/>
    <col min="777" max="777" width="13.125" style="1203" customWidth="1"/>
    <col min="778" max="778" width="9.875" style="1203" customWidth="1"/>
    <col min="779" max="779" width="2.875" style="1203" customWidth="1"/>
    <col min="780" max="781" width="1.375" style="1203" customWidth="1"/>
    <col min="782" max="782" width="1.75" style="1203" customWidth="1"/>
    <col min="783" max="783" width="7" style="1203" customWidth="1"/>
    <col min="784" max="784" width="9" style="1203"/>
    <col min="785" max="786" width="13.75" style="1203" customWidth="1"/>
    <col min="787" max="791" width="13.875" style="1203" customWidth="1"/>
    <col min="792" max="792" width="2.25" style="1203" customWidth="1"/>
    <col min="793" max="793" width="14.375" style="1203" customWidth="1"/>
    <col min="794" max="794" width="12.875" style="1203" customWidth="1"/>
    <col min="795" max="1023" width="9" style="1203"/>
    <col min="1024" max="1024" width="2.375" style="1203" customWidth="1"/>
    <col min="1025" max="1025" width="11.875" style="1203" customWidth="1"/>
    <col min="1026" max="1026" width="13" style="1203" customWidth="1"/>
    <col min="1027" max="1028" width="11.625" style="1203" customWidth="1"/>
    <col min="1029" max="1029" width="11.375" style="1203" customWidth="1"/>
    <col min="1030" max="1030" width="11.625" style="1203" customWidth="1"/>
    <col min="1031" max="1031" width="10.875" style="1203" customWidth="1"/>
    <col min="1032" max="1032" width="12.75" style="1203" customWidth="1"/>
    <col min="1033" max="1033" width="13.125" style="1203" customWidth="1"/>
    <col min="1034" max="1034" width="9.875" style="1203" customWidth="1"/>
    <col min="1035" max="1035" width="2.875" style="1203" customWidth="1"/>
    <col min="1036" max="1037" width="1.375" style="1203" customWidth="1"/>
    <col min="1038" max="1038" width="1.75" style="1203" customWidth="1"/>
    <col min="1039" max="1039" width="7" style="1203" customWidth="1"/>
    <col min="1040" max="1040" width="9" style="1203"/>
    <col min="1041" max="1042" width="13.75" style="1203" customWidth="1"/>
    <col min="1043" max="1047" width="13.875" style="1203" customWidth="1"/>
    <col min="1048" max="1048" width="2.25" style="1203" customWidth="1"/>
    <col min="1049" max="1049" width="14.375" style="1203" customWidth="1"/>
    <col min="1050" max="1050" width="12.875" style="1203" customWidth="1"/>
    <col min="1051" max="1279" width="9" style="1203"/>
    <col min="1280" max="1280" width="2.375" style="1203" customWidth="1"/>
    <col min="1281" max="1281" width="11.875" style="1203" customWidth="1"/>
    <col min="1282" max="1282" width="13" style="1203" customWidth="1"/>
    <col min="1283" max="1284" width="11.625" style="1203" customWidth="1"/>
    <col min="1285" max="1285" width="11.375" style="1203" customWidth="1"/>
    <col min="1286" max="1286" width="11.625" style="1203" customWidth="1"/>
    <col min="1287" max="1287" width="10.875" style="1203" customWidth="1"/>
    <col min="1288" max="1288" width="12.75" style="1203" customWidth="1"/>
    <col min="1289" max="1289" width="13.125" style="1203" customWidth="1"/>
    <col min="1290" max="1290" width="9.875" style="1203" customWidth="1"/>
    <col min="1291" max="1291" width="2.875" style="1203" customWidth="1"/>
    <col min="1292" max="1293" width="1.375" style="1203" customWidth="1"/>
    <col min="1294" max="1294" width="1.75" style="1203" customWidth="1"/>
    <col min="1295" max="1295" width="7" style="1203" customWidth="1"/>
    <col min="1296" max="1296" width="9" style="1203"/>
    <col min="1297" max="1298" width="13.75" style="1203" customWidth="1"/>
    <col min="1299" max="1303" width="13.875" style="1203" customWidth="1"/>
    <col min="1304" max="1304" width="2.25" style="1203" customWidth="1"/>
    <col min="1305" max="1305" width="14.375" style="1203" customWidth="1"/>
    <col min="1306" max="1306" width="12.875" style="1203" customWidth="1"/>
    <col min="1307" max="1535" width="9" style="1203"/>
    <col min="1536" max="1536" width="2.375" style="1203" customWidth="1"/>
    <col min="1537" max="1537" width="11.875" style="1203" customWidth="1"/>
    <col min="1538" max="1538" width="13" style="1203" customWidth="1"/>
    <col min="1539" max="1540" width="11.625" style="1203" customWidth="1"/>
    <col min="1541" max="1541" width="11.375" style="1203" customWidth="1"/>
    <col min="1542" max="1542" width="11.625" style="1203" customWidth="1"/>
    <col min="1543" max="1543" width="10.875" style="1203" customWidth="1"/>
    <col min="1544" max="1544" width="12.75" style="1203" customWidth="1"/>
    <col min="1545" max="1545" width="13.125" style="1203" customWidth="1"/>
    <col min="1546" max="1546" width="9.875" style="1203" customWidth="1"/>
    <col min="1547" max="1547" width="2.875" style="1203" customWidth="1"/>
    <col min="1548" max="1549" width="1.375" style="1203" customWidth="1"/>
    <col min="1550" max="1550" width="1.75" style="1203" customWidth="1"/>
    <col min="1551" max="1551" width="7" style="1203" customWidth="1"/>
    <col min="1552" max="1552" width="9" style="1203"/>
    <col min="1553" max="1554" width="13.75" style="1203" customWidth="1"/>
    <col min="1555" max="1559" width="13.875" style="1203" customWidth="1"/>
    <col min="1560" max="1560" width="2.25" style="1203" customWidth="1"/>
    <col min="1561" max="1561" width="14.375" style="1203" customWidth="1"/>
    <col min="1562" max="1562" width="12.875" style="1203" customWidth="1"/>
    <col min="1563" max="1791" width="9" style="1203"/>
    <col min="1792" max="1792" width="2.375" style="1203" customWidth="1"/>
    <col min="1793" max="1793" width="11.875" style="1203" customWidth="1"/>
    <col min="1794" max="1794" width="13" style="1203" customWidth="1"/>
    <col min="1795" max="1796" width="11.625" style="1203" customWidth="1"/>
    <col min="1797" max="1797" width="11.375" style="1203" customWidth="1"/>
    <col min="1798" max="1798" width="11.625" style="1203" customWidth="1"/>
    <col min="1799" max="1799" width="10.875" style="1203" customWidth="1"/>
    <col min="1800" max="1800" width="12.75" style="1203" customWidth="1"/>
    <col min="1801" max="1801" width="13.125" style="1203" customWidth="1"/>
    <col min="1802" max="1802" width="9.875" style="1203" customWidth="1"/>
    <col min="1803" max="1803" width="2.875" style="1203" customWidth="1"/>
    <col min="1804" max="1805" width="1.375" style="1203" customWidth="1"/>
    <col min="1806" max="1806" width="1.75" style="1203" customWidth="1"/>
    <col min="1807" max="1807" width="7" style="1203" customWidth="1"/>
    <col min="1808" max="1808" width="9" style="1203"/>
    <col min="1809" max="1810" width="13.75" style="1203" customWidth="1"/>
    <col min="1811" max="1815" width="13.875" style="1203" customWidth="1"/>
    <col min="1816" max="1816" width="2.25" style="1203" customWidth="1"/>
    <col min="1817" max="1817" width="14.375" style="1203" customWidth="1"/>
    <col min="1818" max="1818" width="12.875" style="1203" customWidth="1"/>
    <col min="1819" max="2047" width="9" style="1203"/>
    <col min="2048" max="2048" width="2.375" style="1203" customWidth="1"/>
    <col min="2049" max="2049" width="11.875" style="1203" customWidth="1"/>
    <col min="2050" max="2050" width="13" style="1203" customWidth="1"/>
    <col min="2051" max="2052" width="11.625" style="1203" customWidth="1"/>
    <col min="2053" max="2053" width="11.375" style="1203" customWidth="1"/>
    <col min="2054" max="2054" width="11.625" style="1203" customWidth="1"/>
    <col min="2055" max="2055" width="10.875" style="1203" customWidth="1"/>
    <col min="2056" max="2056" width="12.75" style="1203" customWidth="1"/>
    <col min="2057" max="2057" width="13.125" style="1203" customWidth="1"/>
    <col min="2058" max="2058" width="9.875" style="1203" customWidth="1"/>
    <col min="2059" max="2059" width="2.875" style="1203" customWidth="1"/>
    <col min="2060" max="2061" width="1.375" style="1203" customWidth="1"/>
    <col min="2062" max="2062" width="1.75" style="1203" customWidth="1"/>
    <col min="2063" max="2063" width="7" style="1203" customWidth="1"/>
    <col min="2064" max="2064" width="9" style="1203"/>
    <col min="2065" max="2066" width="13.75" style="1203" customWidth="1"/>
    <col min="2067" max="2071" width="13.875" style="1203" customWidth="1"/>
    <col min="2072" max="2072" width="2.25" style="1203" customWidth="1"/>
    <col min="2073" max="2073" width="14.375" style="1203" customWidth="1"/>
    <col min="2074" max="2074" width="12.875" style="1203" customWidth="1"/>
    <col min="2075" max="2303" width="9" style="1203"/>
    <col min="2304" max="2304" width="2.375" style="1203" customWidth="1"/>
    <col min="2305" max="2305" width="11.875" style="1203" customWidth="1"/>
    <col min="2306" max="2306" width="13" style="1203" customWidth="1"/>
    <col min="2307" max="2308" width="11.625" style="1203" customWidth="1"/>
    <col min="2309" max="2309" width="11.375" style="1203" customWidth="1"/>
    <col min="2310" max="2310" width="11.625" style="1203" customWidth="1"/>
    <col min="2311" max="2311" width="10.875" style="1203" customWidth="1"/>
    <col min="2312" max="2312" width="12.75" style="1203" customWidth="1"/>
    <col min="2313" max="2313" width="13.125" style="1203" customWidth="1"/>
    <col min="2314" max="2314" width="9.875" style="1203" customWidth="1"/>
    <col min="2315" max="2315" width="2.875" style="1203" customWidth="1"/>
    <col min="2316" max="2317" width="1.375" style="1203" customWidth="1"/>
    <col min="2318" max="2318" width="1.75" style="1203" customWidth="1"/>
    <col min="2319" max="2319" width="7" style="1203" customWidth="1"/>
    <col min="2320" max="2320" width="9" style="1203"/>
    <col min="2321" max="2322" width="13.75" style="1203" customWidth="1"/>
    <col min="2323" max="2327" width="13.875" style="1203" customWidth="1"/>
    <col min="2328" max="2328" width="2.25" style="1203" customWidth="1"/>
    <col min="2329" max="2329" width="14.375" style="1203" customWidth="1"/>
    <col min="2330" max="2330" width="12.875" style="1203" customWidth="1"/>
    <col min="2331" max="2559" width="9" style="1203"/>
    <col min="2560" max="2560" width="2.375" style="1203" customWidth="1"/>
    <col min="2561" max="2561" width="11.875" style="1203" customWidth="1"/>
    <col min="2562" max="2562" width="13" style="1203" customWidth="1"/>
    <col min="2563" max="2564" width="11.625" style="1203" customWidth="1"/>
    <col min="2565" max="2565" width="11.375" style="1203" customWidth="1"/>
    <col min="2566" max="2566" width="11.625" style="1203" customWidth="1"/>
    <col min="2567" max="2567" width="10.875" style="1203" customWidth="1"/>
    <col min="2568" max="2568" width="12.75" style="1203" customWidth="1"/>
    <col min="2569" max="2569" width="13.125" style="1203" customWidth="1"/>
    <col min="2570" max="2570" width="9.875" style="1203" customWidth="1"/>
    <col min="2571" max="2571" width="2.875" style="1203" customWidth="1"/>
    <col min="2572" max="2573" width="1.375" style="1203" customWidth="1"/>
    <col min="2574" max="2574" width="1.75" style="1203" customWidth="1"/>
    <col min="2575" max="2575" width="7" style="1203" customWidth="1"/>
    <col min="2576" max="2576" width="9" style="1203"/>
    <col min="2577" max="2578" width="13.75" style="1203" customWidth="1"/>
    <col min="2579" max="2583" width="13.875" style="1203" customWidth="1"/>
    <col min="2584" max="2584" width="2.25" style="1203" customWidth="1"/>
    <col min="2585" max="2585" width="14.375" style="1203" customWidth="1"/>
    <col min="2586" max="2586" width="12.875" style="1203" customWidth="1"/>
    <col min="2587" max="2815" width="9" style="1203"/>
    <col min="2816" max="2816" width="2.375" style="1203" customWidth="1"/>
    <col min="2817" max="2817" width="11.875" style="1203" customWidth="1"/>
    <col min="2818" max="2818" width="13" style="1203" customWidth="1"/>
    <col min="2819" max="2820" width="11.625" style="1203" customWidth="1"/>
    <col min="2821" max="2821" width="11.375" style="1203" customWidth="1"/>
    <col min="2822" max="2822" width="11.625" style="1203" customWidth="1"/>
    <col min="2823" max="2823" width="10.875" style="1203" customWidth="1"/>
    <col min="2824" max="2824" width="12.75" style="1203" customWidth="1"/>
    <col min="2825" max="2825" width="13.125" style="1203" customWidth="1"/>
    <col min="2826" max="2826" width="9.875" style="1203" customWidth="1"/>
    <col min="2827" max="2827" width="2.875" style="1203" customWidth="1"/>
    <col min="2828" max="2829" width="1.375" style="1203" customWidth="1"/>
    <col min="2830" max="2830" width="1.75" style="1203" customWidth="1"/>
    <col min="2831" max="2831" width="7" style="1203" customWidth="1"/>
    <col min="2832" max="2832" width="9" style="1203"/>
    <col min="2833" max="2834" width="13.75" style="1203" customWidth="1"/>
    <col min="2835" max="2839" width="13.875" style="1203" customWidth="1"/>
    <col min="2840" max="2840" width="2.25" style="1203" customWidth="1"/>
    <col min="2841" max="2841" width="14.375" style="1203" customWidth="1"/>
    <col min="2842" max="2842" width="12.875" style="1203" customWidth="1"/>
    <col min="2843" max="3071" width="9" style="1203"/>
    <col min="3072" max="3072" width="2.375" style="1203" customWidth="1"/>
    <col min="3073" max="3073" width="11.875" style="1203" customWidth="1"/>
    <col min="3074" max="3074" width="13" style="1203" customWidth="1"/>
    <col min="3075" max="3076" width="11.625" style="1203" customWidth="1"/>
    <col min="3077" max="3077" width="11.375" style="1203" customWidth="1"/>
    <col min="3078" max="3078" width="11.625" style="1203" customWidth="1"/>
    <col min="3079" max="3079" width="10.875" style="1203" customWidth="1"/>
    <col min="3080" max="3080" width="12.75" style="1203" customWidth="1"/>
    <col min="3081" max="3081" width="13.125" style="1203" customWidth="1"/>
    <col min="3082" max="3082" width="9.875" style="1203" customWidth="1"/>
    <col min="3083" max="3083" width="2.875" style="1203" customWidth="1"/>
    <col min="3084" max="3085" width="1.375" style="1203" customWidth="1"/>
    <col min="3086" max="3086" width="1.75" style="1203" customWidth="1"/>
    <col min="3087" max="3087" width="7" style="1203" customWidth="1"/>
    <col min="3088" max="3088" width="9" style="1203"/>
    <col min="3089" max="3090" width="13.75" style="1203" customWidth="1"/>
    <col min="3091" max="3095" width="13.875" style="1203" customWidth="1"/>
    <col min="3096" max="3096" width="2.25" style="1203" customWidth="1"/>
    <col min="3097" max="3097" width="14.375" style="1203" customWidth="1"/>
    <col min="3098" max="3098" width="12.875" style="1203" customWidth="1"/>
    <col min="3099" max="3327" width="9" style="1203"/>
    <col min="3328" max="3328" width="2.375" style="1203" customWidth="1"/>
    <col min="3329" max="3329" width="11.875" style="1203" customWidth="1"/>
    <col min="3330" max="3330" width="13" style="1203" customWidth="1"/>
    <col min="3331" max="3332" width="11.625" style="1203" customWidth="1"/>
    <col min="3333" max="3333" width="11.375" style="1203" customWidth="1"/>
    <col min="3334" max="3334" width="11.625" style="1203" customWidth="1"/>
    <col min="3335" max="3335" width="10.875" style="1203" customWidth="1"/>
    <col min="3336" max="3336" width="12.75" style="1203" customWidth="1"/>
    <col min="3337" max="3337" width="13.125" style="1203" customWidth="1"/>
    <col min="3338" max="3338" width="9.875" style="1203" customWidth="1"/>
    <col min="3339" max="3339" width="2.875" style="1203" customWidth="1"/>
    <col min="3340" max="3341" width="1.375" style="1203" customWidth="1"/>
    <col min="3342" max="3342" width="1.75" style="1203" customWidth="1"/>
    <col min="3343" max="3343" width="7" style="1203" customWidth="1"/>
    <col min="3344" max="3344" width="9" style="1203"/>
    <col min="3345" max="3346" width="13.75" style="1203" customWidth="1"/>
    <col min="3347" max="3351" width="13.875" style="1203" customWidth="1"/>
    <col min="3352" max="3352" width="2.25" style="1203" customWidth="1"/>
    <col min="3353" max="3353" width="14.375" style="1203" customWidth="1"/>
    <col min="3354" max="3354" width="12.875" style="1203" customWidth="1"/>
    <col min="3355" max="3583" width="9" style="1203"/>
    <col min="3584" max="3584" width="2.375" style="1203" customWidth="1"/>
    <col min="3585" max="3585" width="11.875" style="1203" customWidth="1"/>
    <col min="3586" max="3586" width="13" style="1203" customWidth="1"/>
    <col min="3587" max="3588" width="11.625" style="1203" customWidth="1"/>
    <col min="3589" max="3589" width="11.375" style="1203" customWidth="1"/>
    <col min="3590" max="3590" width="11.625" style="1203" customWidth="1"/>
    <col min="3591" max="3591" width="10.875" style="1203" customWidth="1"/>
    <col min="3592" max="3592" width="12.75" style="1203" customWidth="1"/>
    <col min="3593" max="3593" width="13.125" style="1203" customWidth="1"/>
    <col min="3594" max="3594" width="9.875" style="1203" customWidth="1"/>
    <col min="3595" max="3595" width="2.875" style="1203" customWidth="1"/>
    <col min="3596" max="3597" width="1.375" style="1203" customWidth="1"/>
    <col min="3598" max="3598" width="1.75" style="1203" customWidth="1"/>
    <col min="3599" max="3599" width="7" style="1203" customWidth="1"/>
    <col min="3600" max="3600" width="9" style="1203"/>
    <col min="3601" max="3602" width="13.75" style="1203" customWidth="1"/>
    <col min="3603" max="3607" width="13.875" style="1203" customWidth="1"/>
    <col min="3608" max="3608" width="2.25" style="1203" customWidth="1"/>
    <col min="3609" max="3609" width="14.375" style="1203" customWidth="1"/>
    <col min="3610" max="3610" width="12.875" style="1203" customWidth="1"/>
    <col min="3611" max="3839" width="9" style="1203"/>
    <col min="3840" max="3840" width="2.375" style="1203" customWidth="1"/>
    <col min="3841" max="3841" width="11.875" style="1203" customWidth="1"/>
    <col min="3842" max="3842" width="13" style="1203" customWidth="1"/>
    <col min="3843" max="3844" width="11.625" style="1203" customWidth="1"/>
    <col min="3845" max="3845" width="11.375" style="1203" customWidth="1"/>
    <col min="3846" max="3846" width="11.625" style="1203" customWidth="1"/>
    <col min="3847" max="3847" width="10.875" style="1203" customWidth="1"/>
    <col min="3848" max="3848" width="12.75" style="1203" customWidth="1"/>
    <col min="3849" max="3849" width="13.125" style="1203" customWidth="1"/>
    <col min="3850" max="3850" width="9.875" style="1203" customWidth="1"/>
    <col min="3851" max="3851" width="2.875" style="1203" customWidth="1"/>
    <col min="3852" max="3853" width="1.375" style="1203" customWidth="1"/>
    <col min="3854" max="3854" width="1.75" style="1203" customWidth="1"/>
    <col min="3855" max="3855" width="7" style="1203" customWidth="1"/>
    <col min="3856" max="3856" width="9" style="1203"/>
    <col min="3857" max="3858" width="13.75" style="1203" customWidth="1"/>
    <col min="3859" max="3863" width="13.875" style="1203" customWidth="1"/>
    <col min="3864" max="3864" width="2.25" style="1203" customWidth="1"/>
    <col min="3865" max="3865" width="14.375" style="1203" customWidth="1"/>
    <col min="3866" max="3866" width="12.875" style="1203" customWidth="1"/>
    <col min="3867" max="4095" width="9" style="1203"/>
    <col min="4096" max="4096" width="2.375" style="1203" customWidth="1"/>
    <col min="4097" max="4097" width="11.875" style="1203" customWidth="1"/>
    <col min="4098" max="4098" width="13" style="1203" customWidth="1"/>
    <col min="4099" max="4100" width="11.625" style="1203" customWidth="1"/>
    <col min="4101" max="4101" width="11.375" style="1203" customWidth="1"/>
    <col min="4102" max="4102" width="11.625" style="1203" customWidth="1"/>
    <col min="4103" max="4103" width="10.875" style="1203" customWidth="1"/>
    <col min="4104" max="4104" width="12.75" style="1203" customWidth="1"/>
    <col min="4105" max="4105" width="13.125" style="1203" customWidth="1"/>
    <col min="4106" max="4106" width="9.875" style="1203" customWidth="1"/>
    <col min="4107" max="4107" width="2.875" style="1203" customWidth="1"/>
    <col min="4108" max="4109" width="1.375" style="1203" customWidth="1"/>
    <col min="4110" max="4110" width="1.75" style="1203" customWidth="1"/>
    <col min="4111" max="4111" width="7" style="1203" customWidth="1"/>
    <col min="4112" max="4112" width="9" style="1203"/>
    <col min="4113" max="4114" width="13.75" style="1203" customWidth="1"/>
    <col min="4115" max="4119" width="13.875" style="1203" customWidth="1"/>
    <col min="4120" max="4120" width="2.25" style="1203" customWidth="1"/>
    <col min="4121" max="4121" width="14.375" style="1203" customWidth="1"/>
    <col min="4122" max="4122" width="12.875" style="1203" customWidth="1"/>
    <col min="4123" max="4351" width="9" style="1203"/>
    <col min="4352" max="4352" width="2.375" style="1203" customWidth="1"/>
    <col min="4353" max="4353" width="11.875" style="1203" customWidth="1"/>
    <col min="4354" max="4354" width="13" style="1203" customWidth="1"/>
    <col min="4355" max="4356" width="11.625" style="1203" customWidth="1"/>
    <col min="4357" max="4357" width="11.375" style="1203" customWidth="1"/>
    <col min="4358" max="4358" width="11.625" style="1203" customWidth="1"/>
    <col min="4359" max="4359" width="10.875" style="1203" customWidth="1"/>
    <col min="4360" max="4360" width="12.75" style="1203" customWidth="1"/>
    <col min="4361" max="4361" width="13.125" style="1203" customWidth="1"/>
    <col min="4362" max="4362" width="9.875" style="1203" customWidth="1"/>
    <col min="4363" max="4363" width="2.875" style="1203" customWidth="1"/>
    <col min="4364" max="4365" width="1.375" style="1203" customWidth="1"/>
    <col min="4366" max="4366" width="1.75" style="1203" customWidth="1"/>
    <col min="4367" max="4367" width="7" style="1203" customWidth="1"/>
    <col min="4368" max="4368" width="9" style="1203"/>
    <col min="4369" max="4370" width="13.75" style="1203" customWidth="1"/>
    <col min="4371" max="4375" width="13.875" style="1203" customWidth="1"/>
    <col min="4376" max="4376" width="2.25" style="1203" customWidth="1"/>
    <col min="4377" max="4377" width="14.375" style="1203" customWidth="1"/>
    <col min="4378" max="4378" width="12.875" style="1203" customWidth="1"/>
    <col min="4379" max="4607" width="9" style="1203"/>
    <col min="4608" max="4608" width="2.375" style="1203" customWidth="1"/>
    <col min="4609" max="4609" width="11.875" style="1203" customWidth="1"/>
    <col min="4610" max="4610" width="13" style="1203" customWidth="1"/>
    <col min="4611" max="4612" width="11.625" style="1203" customWidth="1"/>
    <col min="4613" max="4613" width="11.375" style="1203" customWidth="1"/>
    <col min="4614" max="4614" width="11.625" style="1203" customWidth="1"/>
    <col min="4615" max="4615" width="10.875" style="1203" customWidth="1"/>
    <col min="4616" max="4616" width="12.75" style="1203" customWidth="1"/>
    <col min="4617" max="4617" width="13.125" style="1203" customWidth="1"/>
    <col min="4618" max="4618" width="9.875" style="1203" customWidth="1"/>
    <col min="4619" max="4619" width="2.875" style="1203" customWidth="1"/>
    <col min="4620" max="4621" width="1.375" style="1203" customWidth="1"/>
    <col min="4622" max="4622" width="1.75" style="1203" customWidth="1"/>
    <col min="4623" max="4623" width="7" style="1203" customWidth="1"/>
    <col min="4624" max="4624" width="9" style="1203"/>
    <col min="4625" max="4626" width="13.75" style="1203" customWidth="1"/>
    <col min="4627" max="4631" width="13.875" style="1203" customWidth="1"/>
    <col min="4632" max="4632" width="2.25" style="1203" customWidth="1"/>
    <col min="4633" max="4633" width="14.375" style="1203" customWidth="1"/>
    <col min="4634" max="4634" width="12.875" style="1203" customWidth="1"/>
    <col min="4635" max="4863" width="9" style="1203"/>
    <col min="4864" max="4864" width="2.375" style="1203" customWidth="1"/>
    <col min="4865" max="4865" width="11.875" style="1203" customWidth="1"/>
    <col min="4866" max="4866" width="13" style="1203" customWidth="1"/>
    <col min="4867" max="4868" width="11.625" style="1203" customWidth="1"/>
    <col min="4869" max="4869" width="11.375" style="1203" customWidth="1"/>
    <col min="4870" max="4870" width="11.625" style="1203" customWidth="1"/>
    <col min="4871" max="4871" width="10.875" style="1203" customWidth="1"/>
    <col min="4872" max="4872" width="12.75" style="1203" customWidth="1"/>
    <col min="4873" max="4873" width="13.125" style="1203" customWidth="1"/>
    <col min="4874" max="4874" width="9.875" style="1203" customWidth="1"/>
    <col min="4875" max="4875" width="2.875" style="1203" customWidth="1"/>
    <col min="4876" max="4877" width="1.375" style="1203" customWidth="1"/>
    <col min="4878" max="4878" width="1.75" style="1203" customWidth="1"/>
    <col min="4879" max="4879" width="7" style="1203" customWidth="1"/>
    <col min="4880" max="4880" width="9" style="1203"/>
    <col min="4881" max="4882" width="13.75" style="1203" customWidth="1"/>
    <col min="4883" max="4887" width="13.875" style="1203" customWidth="1"/>
    <col min="4888" max="4888" width="2.25" style="1203" customWidth="1"/>
    <col min="4889" max="4889" width="14.375" style="1203" customWidth="1"/>
    <col min="4890" max="4890" width="12.875" style="1203" customWidth="1"/>
    <col min="4891" max="5119" width="9" style="1203"/>
    <col min="5120" max="5120" width="2.375" style="1203" customWidth="1"/>
    <col min="5121" max="5121" width="11.875" style="1203" customWidth="1"/>
    <col min="5122" max="5122" width="13" style="1203" customWidth="1"/>
    <col min="5123" max="5124" width="11.625" style="1203" customWidth="1"/>
    <col min="5125" max="5125" width="11.375" style="1203" customWidth="1"/>
    <col min="5126" max="5126" width="11.625" style="1203" customWidth="1"/>
    <col min="5127" max="5127" width="10.875" style="1203" customWidth="1"/>
    <col min="5128" max="5128" width="12.75" style="1203" customWidth="1"/>
    <col min="5129" max="5129" width="13.125" style="1203" customWidth="1"/>
    <col min="5130" max="5130" width="9.875" style="1203" customWidth="1"/>
    <col min="5131" max="5131" width="2.875" style="1203" customWidth="1"/>
    <col min="5132" max="5133" width="1.375" style="1203" customWidth="1"/>
    <col min="5134" max="5134" width="1.75" style="1203" customWidth="1"/>
    <col min="5135" max="5135" width="7" style="1203" customWidth="1"/>
    <col min="5136" max="5136" width="9" style="1203"/>
    <col min="5137" max="5138" width="13.75" style="1203" customWidth="1"/>
    <col min="5139" max="5143" width="13.875" style="1203" customWidth="1"/>
    <col min="5144" max="5144" width="2.25" style="1203" customWidth="1"/>
    <col min="5145" max="5145" width="14.375" style="1203" customWidth="1"/>
    <col min="5146" max="5146" width="12.875" style="1203" customWidth="1"/>
    <col min="5147" max="5375" width="9" style="1203"/>
    <col min="5376" max="5376" width="2.375" style="1203" customWidth="1"/>
    <col min="5377" max="5377" width="11.875" style="1203" customWidth="1"/>
    <col min="5378" max="5378" width="13" style="1203" customWidth="1"/>
    <col min="5379" max="5380" width="11.625" style="1203" customWidth="1"/>
    <col min="5381" max="5381" width="11.375" style="1203" customWidth="1"/>
    <col min="5382" max="5382" width="11.625" style="1203" customWidth="1"/>
    <col min="5383" max="5383" width="10.875" style="1203" customWidth="1"/>
    <col min="5384" max="5384" width="12.75" style="1203" customWidth="1"/>
    <col min="5385" max="5385" width="13.125" style="1203" customWidth="1"/>
    <col min="5386" max="5386" width="9.875" style="1203" customWidth="1"/>
    <col min="5387" max="5387" width="2.875" style="1203" customWidth="1"/>
    <col min="5388" max="5389" width="1.375" style="1203" customWidth="1"/>
    <col min="5390" max="5390" width="1.75" style="1203" customWidth="1"/>
    <col min="5391" max="5391" width="7" style="1203" customWidth="1"/>
    <col min="5392" max="5392" width="9" style="1203"/>
    <col min="5393" max="5394" width="13.75" style="1203" customWidth="1"/>
    <col min="5395" max="5399" width="13.875" style="1203" customWidth="1"/>
    <col min="5400" max="5400" width="2.25" style="1203" customWidth="1"/>
    <col min="5401" max="5401" width="14.375" style="1203" customWidth="1"/>
    <col min="5402" max="5402" width="12.875" style="1203" customWidth="1"/>
    <col min="5403" max="5631" width="9" style="1203"/>
    <col min="5632" max="5632" width="2.375" style="1203" customWidth="1"/>
    <col min="5633" max="5633" width="11.875" style="1203" customWidth="1"/>
    <col min="5634" max="5634" width="13" style="1203" customWidth="1"/>
    <col min="5635" max="5636" width="11.625" style="1203" customWidth="1"/>
    <col min="5637" max="5637" width="11.375" style="1203" customWidth="1"/>
    <col min="5638" max="5638" width="11.625" style="1203" customWidth="1"/>
    <col min="5639" max="5639" width="10.875" style="1203" customWidth="1"/>
    <col min="5640" max="5640" width="12.75" style="1203" customWidth="1"/>
    <col min="5641" max="5641" width="13.125" style="1203" customWidth="1"/>
    <col min="5642" max="5642" width="9.875" style="1203" customWidth="1"/>
    <col min="5643" max="5643" width="2.875" style="1203" customWidth="1"/>
    <col min="5644" max="5645" width="1.375" style="1203" customWidth="1"/>
    <col min="5646" max="5646" width="1.75" style="1203" customWidth="1"/>
    <col min="5647" max="5647" width="7" style="1203" customWidth="1"/>
    <col min="5648" max="5648" width="9" style="1203"/>
    <col min="5649" max="5650" width="13.75" style="1203" customWidth="1"/>
    <col min="5651" max="5655" width="13.875" style="1203" customWidth="1"/>
    <col min="5656" max="5656" width="2.25" style="1203" customWidth="1"/>
    <col min="5657" max="5657" width="14.375" style="1203" customWidth="1"/>
    <col min="5658" max="5658" width="12.875" style="1203" customWidth="1"/>
    <col min="5659" max="5887" width="9" style="1203"/>
    <col min="5888" max="5888" width="2.375" style="1203" customWidth="1"/>
    <col min="5889" max="5889" width="11.875" style="1203" customWidth="1"/>
    <col min="5890" max="5890" width="13" style="1203" customWidth="1"/>
    <col min="5891" max="5892" width="11.625" style="1203" customWidth="1"/>
    <col min="5893" max="5893" width="11.375" style="1203" customWidth="1"/>
    <col min="5894" max="5894" width="11.625" style="1203" customWidth="1"/>
    <col min="5895" max="5895" width="10.875" style="1203" customWidth="1"/>
    <col min="5896" max="5896" width="12.75" style="1203" customWidth="1"/>
    <col min="5897" max="5897" width="13.125" style="1203" customWidth="1"/>
    <col min="5898" max="5898" width="9.875" style="1203" customWidth="1"/>
    <col min="5899" max="5899" width="2.875" style="1203" customWidth="1"/>
    <col min="5900" max="5901" width="1.375" style="1203" customWidth="1"/>
    <col min="5902" max="5902" width="1.75" style="1203" customWidth="1"/>
    <col min="5903" max="5903" width="7" style="1203" customWidth="1"/>
    <col min="5904" max="5904" width="9" style="1203"/>
    <col min="5905" max="5906" width="13.75" style="1203" customWidth="1"/>
    <col min="5907" max="5911" width="13.875" style="1203" customWidth="1"/>
    <col min="5912" max="5912" width="2.25" style="1203" customWidth="1"/>
    <col min="5913" max="5913" width="14.375" style="1203" customWidth="1"/>
    <col min="5914" max="5914" width="12.875" style="1203" customWidth="1"/>
    <col min="5915" max="6143" width="9" style="1203"/>
    <col min="6144" max="6144" width="2.375" style="1203" customWidth="1"/>
    <col min="6145" max="6145" width="11.875" style="1203" customWidth="1"/>
    <col min="6146" max="6146" width="13" style="1203" customWidth="1"/>
    <col min="6147" max="6148" width="11.625" style="1203" customWidth="1"/>
    <col min="6149" max="6149" width="11.375" style="1203" customWidth="1"/>
    <col min="6150" max="6150" width="11.625" style="1203" customWidth="1"/>
    <col min="6151" max="6151" width="10.875" style="1203" customWidth="1"/>
    <col min="6152" max="6152" width="12.75" style="1203" customWidth="1"/>
    <col min="6153" max="6153" width="13.125" style="1203" customWidth="1"/>
    <col min="6154" max="6154" width="9.875" style="1203" customWidth="1"/>
    <col min="6155" max="6155" width="2.875" style="1203" customWidth="1"/>
    <col min="6156" max="6157" width="1.375" style="1203" customWidth="1"/>
    <col min="6158" max="6158" width="1.75" style="1203" customWidth="1"/>
    <col min="6159" max="6159" width="7" style="1203" customWidth="1"/>
    <col min="6160" max="6160" width="9" style="1203"/>
    <col min="6161" max="6162" width="13.75" style="1203" customWidth="1"/>
    <col min="6163" max="6167" width="13.875" style="1203" customWidth="1"/>
    <col min="6168" max="6168" width="2.25" style="1203" customWidth="1"/>
    <col min="6169" max="6169" width="14.375" style="1203" customWidth="1"/>
    <col min="6170" max="6170" width="12.875" style="1203" customWidth="1"/>
    <col min="6171" max="6399" width="9" style="1203"/>
    <col min="6400" max="6400" width="2.375" style="1203" customWidth="1"/>
    <col min="6401" max="6401" width="11.875" style="1203" customWidth="1"/>
    <col min="6402" max="6402" width="13" style="1203" customWidth="1"/>
    <col min="6403" max="6404" width="11.625" style="1203" customWidth="1"/>
    <col min="6405" max="6405" width="11.375" style="1203" customWidth="1"/>
    <col min="6406" max="6406" width="11.625" style="1203" customWidth="1"/>
    <col min="6407" max="6407" width="10.875" style="1203" customWidth="1"/>
    <col min="6408" max="6408" width="12.75" style="1203" customWidth="1"/>
    <col min="6409" max="6409" width="13.125" style="1203" customWidth="1"/>
    <col min="6410" max="6410" width="9.875" style="1203" customWidth="1"/>
    <col min="6411" max="6411" width="2.875" style="1203" customWidth="1"/>
    <col min="6412" max="6413" width="1.375" style="1203" customWidth="1"/>
    <col min="6414" max="6414" width="1.75" style="1203" customWidth="1"/>
    <col min="6415" max="6415" width="7" style="1203" customWidth="1"/>
    <col min="6416" max="6416" width="9" style="1203"/>
    <col min="6417" max="6418" width="13.75" style="1203" customWidth="1"/>
    <col min="6419" max="6423" width="13.875" style="1203" customWidth="1"/>
    <col min="6424" max="6424" width="2.25" style="1203" customWidth="1"/>
    <col min="6425" max="6425" width="14.375" style="1203" customWidth="1"/>
    <col min="6426" max="6426" width="12.875" style="1203" customWidth="1"/>
    <col min="6427" max="6655" width="9" style="1203"/>
    <col min="6656" max="6656" width="2.375" style="1203" customWidth="1"/>
    <col min="6657" max="6657" width="11.875" style="1203" customWidth="1"/>
    <col min="6658" max="6658" width="13" style="1203" customWidth="1"/>
    <col min="6659" max="6660" width="11.625" style="1203" customWidth="1"/>
    <col min="6661" max="6661" width="11.375" style="1203" customWidth="1"/>
    <col min="6662" max="6662" width="11.625" style="1203" customWidth="1"/>
    <col min="6663" max="6663" width="10.875" style="1203" customWidth="1"/>
    <col min="6664" max="6664" width="12.75" style="1203" customWidth="1"/>
    <col min="6665" max="6665" width="13.125" style="1203" customWidth="1"/>
    <col min="6666" max="6666" width="9.875" style="1203" customWidth="1"/>
    <col min="6667" max="6667" width="2.875" style="1203" customWidth="1"/>
    <col min="6668" max="6669" width="1.375" style="1203" customWidth="1"/>
    <col min="6670" max="6670" width="1.75" style="1203" customWidth="1"/>
    <col min="6671" max="6671" width="7" style="1203" customWidth="1"/>
    <col min="6672" max="6672" width="9" style="1203"/>
    <col min="6673" max="6674" width="13.75" style="1203" customWidth="1"/>
    <col min="6675" max="6679" width="13.875" style="1203" customWidth="1"/>
    <col min="6680" max="6680" width="2.25" style="1203" customWidth="1"/>
    <col min="6681" max="6681" width="14.375" style="1203" customWidth="1"/>
    <col min="6682" max="6682" width="12.875" style="1203" customWidth="1"/>
    <col min="6683" max="6911" width="9" style="1203"/>
    <col min="6912" max="6912" width="2.375" style="1203" customWidth="1"/>
    <col min="6913" max="6913" width="11.875" style="1203" customWidth="1"/>
    <col min="6914" max="6914" width="13" style="1203" customWidth="1"/>
    <col min="6915" max="6916" width="11.625" style="1203" customWidth="1"/>
    <col min="6917" max="6917" width="11.375" style="1203" customWidth="1"/>
    <col min="6918" max="6918" width="11.625" style="1203" customWidth="1"/>
    <col min="6919" max="6919" width="10.875" style="1203" customWidth="1"/>
    <col min="6920" max="6920" width="12.75" style="1203" customWidth="1"/>
    <col min="6921" max="6921" width="13.125" style="1203" customWidth="1"/>
    <col min="6922" max="6922" width="9.875" style="1203" customWidth="1"/>
    <col min="6923" max="6923" width="2.875" style="1203" customWidth="1"/>
    <col min="6924" max="6925" width="1.375" style="1203" customWidth="1"/>
    <col min="6926" max="6926" width="1.75" style="1203" customWidth="1"/>
    <col min="6927" max="6927" width="7" style="1203" customWidth="1"/>
    <col min="6928" max="6928" width="9" style="1203"/>
    <col min="6929" max="6930" width="13.75" style="1203" customWidth="1"/>
    <col min="6931" max="6935" width="13.875" style="1203" customWidth="1"/>
    <col min="6936" max="6936" width="2.25" style="1203" customWidth="1"/>
    <col min="6937" max="6937" width="14.375" style="1203" customWidth="1"/>
    <col min="6938" max="6938" width="12.875" style="1203" customWidth="1"/>
    <col min="6939" max="7167" width="9" style="1203"/>
    <col min="7168" max="7168" width="2.375" style="1203" customWidth="1"/>
    <col min="7169" max="7169" width="11.875" style="1203" customWidth="1"/>
    <col min="7170" max="7170" width="13" style="1203" customWidth="1"/>
    <col min="7171" max="7172" width="11.625" style="1203" customWidth="1"/>
    <col min="7173" max="7173" width="11.375" style="1203" customWidth="1"/>
    <col min="7174" max="7174" width="11.625" style="1203" customWidth="1"/>
    <col min="7175" max="7175" width="10.875" style="1203" customWidth="1"/>
    <col min="7176" max="7176" width="12.75" style="1203" customWidth="1"/>
    <col min="7177" max="7177" width="13.125" style="1203" customWidth="1"/>
    <col min="7178" max="7178" width="9.875" style="1203" customWidth="1"/>
    <col min="7179" max="7179" width="2.875" style="1203" customWidth="1"/>
    <col min="7180" max="7181" width="1.375" style="1203" customWidth="1"/>
    <col min="7182" max="7182" width="1.75" style="1203" customWidth="1"/>
    <col min="7183" max="7183" width="7" style="1203" customWidth="1"/>
    <col min="7184" max="7184" width="9" style="1203"/>
    <col min="7185" max="7186" width="13.75" style="1203" customWidth="1"/>
    <col min="7187" max="7191" width="13.875" style="1203" customWidth="1"/>
    <col min="7192" max="7192" width="2.25" style="1203" customWidth="1"/>
    <col min="7193" max="7193" width="14.375" style="1203" customWidth="1"/>
    <col min="7194" max="7194" width="12.875" style="1203" customWidth="1"/>
    <col min="7195" max="7423" width="9" style="1203"/>
    <col min="7424" max="7424" width="2.375" style="1203" customWidth="1"/>
    <col min="7425" max="7425" width="11.875" style="1203" customWidth="1"/>
    <col min="7426" max="7426" width="13" style="1203" customWidth="1"/>
    <col min="7427" max="7428" width="11.625" style="1203" customWidth="1"/>
    <col min="7429" max="7429" width="11.375" style="1203" customWidth="1"/>
    <col min="7430" max="7430" width="11.625" style="1203" customWidth="1"/>
    <col min="7431" max="7431" width="10.875" style="1203" customWidth="1"/>
    <col min="7432" max="7432" width="12.75" style="1203" customWidth="1"/>
    <col min="7433" max="7433" width="13.125" style="1203" customWidth="1"/>
    <col min="7434" max="7434" width="9.875" style="1203" customWidth="1"/>
    <col min="7435" max="7435" width="2.875" style="1203" customWidth="1"/>
    <col min="7436" max="7437" width="1.375" style="1203" customWidth="1"/>
    <col min="7438" max="7438" width="1.75" style="1203" customWidth="1"/>
    <col min="7439" max="7439" width="7" style="1203" customWidth="1"/>
    <col min="7440" max="7440" width="9" style="1203"/>
    <col min="7441" max="7442" width="13.75" style="1203" customWidth="1"/>
    <col min="7443" max="7447" width="13.875" style="1203" customWidth="1"/>
    <col min="7448" max="7448" width="2.25" style="1203" customWidth="1"/>
    <col min="7449" max="7449" width="14.375" style="1203" customWidth="1"/>
    <col min="7450" max="7450" width="12.875" style="1203" customWidth="1"/>
    <col min="7451" max="7679" width="9" style="1203"/>
    <col min="7680" max="7680" width="2.375" style="1203" customWidth="1"/>
    <col min="7681" max="7681" width="11.875" style="1203" customWidth="1"/>
    <col min="7682" max="7682" width="13" style="1203" customWidth="1"/>
    <col min="7683" max="7684" width="11.625" style="1203" customWidth="1"/>
    <col min="7685" max="7685" width="11.375" style="1203" customWidth="1"/>
    <col min="7686" max="7686" width="11.625" style="1203" customWidth="1"/>
    <col min="7687" max="7687" width="10.875" style="1203" customWidth="1"/>
    <col min="7688" max="7688" width="12.75" style="1203" customWidth="1"/>
    <col min="7689" max="7689" width="13.125" style="1203" customWidth="1"/>
    <col min="7690" max="7690" width="9.875" style="1203" customWidth="1"/>
    <col min="7691" max="7691" width="2.875" style="1203" customWidth="1"/>
    <col min="7692" max="7693" width="1.375" style="1203" customWidth="1"/>
    <col min="7694" max="7694" width="1.75" style="1203" customWidth="1"/>
    <col min="7695" max="7695" width="7" style="1203" customWidth="1"/>
    <col min="7696" max="7696" width="9" style="1203"/>
    <col min="7697" max="7698" width="13.75" style="1203" customWidth="1"/>
    <col min="7699" max="7703" width="13.875" style="1203" customWidth="1"/>
    <col min="7704" max="7704" width="2.25" style="1203" customWidth="1"/>
    <col min="7705" max="7705" width="14.375" style="1203" customWidth="1"/>
    <col min="7706" max="7706" width="12.875" style="1203" customWidth="1"/>
    <col min="7707" max="7935" width="9" style="1203"/>
    <col min="7936" max="7936" width="2.375" style="1203" customWidth="1"/>
    <col min="7937" max="7937" width="11.875" style="1203" customWidth="1"/>
    <col min="7938" max="7938" width="13" style="1203" customWidth="1"/>
    <col min="7939" max="7940" width="11.625" style="1203" customWidth="1"/>
    <col min="7941" max="7941" width="11.375" style="1203" customWidth="1"/>
    <col min="7942" max="7942" width="11.625" style="1203" customWidth="1"/>
    <col min="7943" max="7943" width="10.875" style="1203" customWidth="1"/>
    <col min="7944" max="7944" width="12.75" style="1203" customWidth="1"/>
    <col min="7945" max="7945" width="13.125" style="1203" customWidth="1"/>
    <col min="7946" max="7946" width="9.875" style="1203" customWidth="1"/>
    <col min="7947" max="7947" width="2.875" style="1203" customWidth="1"/>
    <col min="7948" max="7949" width="1.375" style="1203" customWidth="1"/>
    <col min="7950" max="7950" width="1.75" style="1203" customWidth="1"/>
    <col min="7951" max="7951" width="7" style="1203" customWidth="1"/>
    <col min="7952" max="7952" width="9" style="1203"/>
    <col min="7953" max="7954" width="13.75" style="1203" customWidth="1"/>
    <col min="7955" max="7959" width="13.875" style="1203" customWidth="1"/>
    <col min="7960" max="7960" width="2.25" style="1203" customWidth="1"/>
    <col min="7961" max="7961" width="14.375" style="1203" customWidth="1"/>
    <col min="7962" max="7962" width="12.875" style="1203" customWidth="1"/>
    <col min="7963" max="8191" width="9" style="1203"/>
    <col min="8192" max="8192" width="2.375" style="1203" customWidth="1"/>
    <col min="8193" max="8193" width="11.875" style="1203" customWidth="1"/>
    <col min="8194" max="8194" width="13" style="1203" customWidth="1"/>
    <col min="8195" max="8196" width="11.625" style="1203" customWidth="1"/>
    <col min="8197" max="8197" width="11.375" style="1203" customWidth="1"/>
    <col min="8198" max="8198" width="11.625" style="1203" customWidth="1"/>
    <col min="8199" max="8199" width="10.875" style="1203" customWidth="1"/>
    <col min="8200" max="8200" width="12.75" style="1203" customWidth="1"/>
    <col min="8201" max="8201" width="13.125" style="1203" customWidth="1"/>
    <col min="8202" max="8202" width="9.875" style="1203" customWidth="1"/>
    <col min="8203" max="8203" width="2.875" style="1203" customWidth="1"/>
    <col min="8204" max="8205" width="1.375" style="1203" customWidth="1"/>
    <col min="8206" max="8206" width="1.75" style="1203" customWidth="1"/>
    <col min="8207" max="8207" width="7" style="1203" customWidth="1"/>
    <col min="8208" max="8208" width="9" style="1203"/>
    <col min="8209" max="8210" width="13.75" style="1203" customWidth="1"/>
    <col min="8211" max="8215" width="13.875" style="1203" customWidth="1"/>
    <col min="8216" max="8216" width="2.25" style="1203" customWidth="1"/>
    <col min="8217" max="8217" width="14.375" style="1203" customWidth="1"/>
    <col min="8218" max="8218" width="12.875" style="1203" customWidth="1"/>
    <col min="8219" max="8447" width="9" style="1203"/>
    <col min="8448" max="8448" width="2.375" style="1203" customWidth="1"/>
    <col min="8449" max="8449" width="11.875" style="1203" customWidth="1"/>
    <col min="8450" max="8450" width="13" style="1203" customWidth="1"/>
    <col min="8451" max="8452" width="11.625" style="1203" customWidth="1"/>
    <col min="8453" max="8453" width="11.375" style="1203" customWidth="1"/>
    <col min="8454" max="8454" width="11.625" style="1203" customWidth="1"/>
    <col min="8455" max="8455" width="10.875" style="1203" customWidth="1"/>
    <col min="8456" max="8456" width="12.75" style="1203" customWidth="1"/>
    <col min="8457" max="8457" width="13.125" style="1203" customWidth="1"/>
    <col min="8458" max="8458" width="9.875" style="1203" customWidth="1"/>
    <col min="8459" max="8459" width="2.875" style="1203" customWidth="1"/>
    <col min="8460" max="8461" width="1.375" style="1203" customWidth="1"/>
    <col min="8462" max="8462" width="1.75" style="1203" customWidth="1"/>
    <col min="8463" max="8463" width="7" style="1203" customWidth="1"/>
    <col min="8464" max="8464" width="9" style="1203"/>
    <col min="8465" max="8466" width="13.75" style="1203" customWidth="1"/>
    <col min="8467" max="8471" width="13.875" style="1203" customWidth="1"/>
    <col min="8472" max="8472" width="2.25" style="1203" customWidth="1"/>
    <col min="8473" max="8473" width="14.375" style="1203" customWidth="1"/>
    <col min="8474" max="8474" width="12.875" style="1203" customWidth="1"/>
    <col min="8475" max="8703" width="9" style="1203"/>
    <col min="8704" max="8704" width="2.375" style="1203" customWidth="1"/>
    <col min="8705" max="8705" width="11.875" style="1203" customWidth="1"/>
    <col min="8706" max="8706" width="13" style="1203" customWidth="1"/>
    <col min="8707" max="8708" width="11.625" style="1203" customWidth="1"/>
    <col min="8709" max="8709" width="11.375" style="1203" customWidth="1"/>
    <col min="8710" max="8710" width="11.625" style="1203" customWidth="1"/>
    <col min="8711" max="8711" width="10.875" style="1203" customWidth="1"/>
    <col min="8712" max="8712" width="12.75" style="1203" customWidth="1"/>
    <col min="8713" max="8713" width="13.125" style="1203" customWidth="1"/>
    <col min="8714" max="8714" width="9.875" style="1203" customWidth="1"/>
    <col min="8715" max="8715" width="2.875" style="1203" customWidth="1"/>
    <col min="8716" max="8717" width="1.375" style="1203" customWidth="1"/>
    <col min="8718" max="8718" width="1.75" style="1203" customWidth="1"/>
    <col min="8719" max="8719" width="7" style="1203" customWidth="1"/>
    <col min="8720" max="8720" width="9" style="1203"/>
    <col min="8721" max="8722" width="13.75" style="1203" customWidth="1"/>
    <col min="8723" max="8727" width="13.875" style="1203" customWidth="1"/>
    <col min="8728" max="8728" width="2.25" style="1203" customWidth="1"/>
    <col min="8729" max="8729" width="14.375" style="1203" customWidth="1"/>
    <col min="8730" max="8730" width="12.875" style="1203" customWidth="1"/>
    <col min="8731" max="8959" width="9" style="1203"/>
    <col min="8960" max="8960" width="2.375" style="1203" customWidth="1"/>
    <col min="8961" max="8961" width="11.875" style="1203" customWidth="1"/>
    <col min="8962" max="8962" width="13" style="1203" customWidth="1"/>
    <col min="8963" max="8964" width="11.625" style="1203" customWidth="1"/>
    <col min="8965" max="8965" width="11.375" style="1203" customWidth="1"/>
    <col min="8966" max="8966" width="11.625" style="1203" customWidth="1"/>
    <col min="8967" max="8967" width="10.875" style="1203" customWidth="1"/>
    <col min="8968" max="8968" width="12.75" style="1203" customWidth="1"/>
    <col min="8969" max="8969" width="13.125" style="1203" customWidth="1"/>
    <col min="8970" max="8970" width="9.875" style="1203" customWidth="1"/>
    <col min="8971" max="8971" width="2.875" style="1203" customWidth="1"/>
    <col min="8972" max="8973" width="1.375" style="1203" customWidth="1"/>
    <col min="8974" max="8974" width="1.75" style="1203" customWidth="1"/>
    <col min="8975" max="8975" width="7" style="1203" customWidth="1"/>
    <col min="8976" max="8976" width="9" style="1203"/>
    <col min="8977" max="8978" width="13.75" style="1203" customWidth="1"/>
    <col min="8979" max="8983" width="13.875" style="1203" customWidth="1"/>
    <col min="8984" max="8984" width="2.25" style="1203" customWidth="1"/>
    <col min="8985" max="8985" width="14.375" style="1203" customWidth="1"/>
    <col min="8986" max="8986" width="12.875" style="1203" customWidth="1"/>
    <col min="8987" max="9215" width="9" style="1203"/>
    <col min="9216" max="9216" width="2.375" style="1203" customWidth="1"/>
    <col min="9217" max="9217" width="11.875" style="1203" customWidth="1"/>
    <col min="9218" max="9218" width="13" style="1203" customWidth="1"/>
    <col min="9219" max="9220" width="11.625" style="1203" customWidth="1"/>
    <col min="9221" max="9221" width="11.375" style="1203" customWidth="1"/>
    <col min="9222" max="9222" width="11.625" style="1203" customWidth="1"/>
    <col min="9223" max="9223" width="10.875" style="1203" customWidth="1"/>
    <col min="9224" max="9224" width="12.75" style="1203" customWidth="1"/>
    <col min="9225" max="9225" width="13.125" style="1203" customWidth="1"/>
    <col min="9226" max="9226" width="9.875" style="1203" customWidth="1"/>
    <col min="9227" max="9227" width="2.875" style="1203" customWidth="1"/>
    <col min="9228" max="9229" width="1.375" style="1203" customWidth="1"/>
    <col min="9230" max="9230" width="1.75" style="1203" customWidth="1"/>
    <col min="9231" max="9231" width="7" style="1203" customWidth="1"/>
    <col min="9232" max="9232" width="9" style="1203"/>
    <col min="9233" max="9234" width="13.75" style="1203" customWidth="1"/>
    <col min="9235" max="9239" width="13.875" style="1203" customWidth="1"/>
    <col min="9240" max="9240" width="2.25" style="1203" customWidth="1"/>
    <col min="9241" max="9241" width="14.375" style="1203" customWidth="1"/>
    <col min="9242" max="9242" width="12.875" style="1203" customWidth="1"/>
    <col min="9243" max="9471" width="9" style="1203"/>
    <col min="9472" max="9472" width="2.375" style="1203" customWidth="1"/>
    <col min="9473" max="9473" width="11.875" style="1203" customWidth="1"/>
    <col min="9474" max="9474" width="13" style="1203" customWidth="1"/>
    <col min="9475" max="9476" width="11.625" style="1203" customWidth="1"/>
    <col min="9477" max="9477" width="11.375" style="1203" customWidth="1"/>
    <col min="9478" max="9478" width="11.625" style="1203" customWidth="1"/>
    <col min="9479" max="9479" width="10.875" style="1203" customWidth="1"/>
    <col min="9480" max="9480" width="12.75" style="1203" customWidth="1"/>
    <col min="9481" max="9481" width="13.125" style="1203" customWidth="1"/>
    <col min="9482" max="9482" width="9.875" style="1203" customWidth="1"/>
    <col min="9483" max="9483" width="2.875" style="1203" customWidth="1"/>
    <col min="9484" max="9485" width="1.375" style="1203" customWidth="1"/>
    <col min="9486" max="9486" width="1.75" style="1203" customWidth="1"/>
    <col min="9487" max="9487" width="7" style="1203" customWidth="1"/>
    <col min="9488" max="9488" width="9" style="1203"/>
    <col min="9489" max="9490" width="13.75" style="1203" customWidth="1"/>
    <col min="9491" max="9495" width="13.875" style="1203" customWidth="1"/>
    <col min="9496" max="9496" width="2.25" style="1203" customWidth="1"/>
    <col min="9497" max="9497" width="14.375" style="1203" customWidth="1"/>
    <col min="9498" max="9498" width="12.875" style="1203" customWidth="1"/>
    <col min="9499" max="9727" width="9" style="1203"/>
    <col min="9728" max="9728" width="2.375" style="1203" customWidth="1"/>
    <col min="9729" max="9729" width="11.875" style="1203" customWidth="1"/>
    <col min="9730" max="9730" width="13" style="1203" customWidth="1"/>
    <col min="9731" max="9732" width="11.625" style="1203" customWidth="1"/>
    <col min="9733" max="9733" width="11.375" style="1203" customWidth="1"/>
    <col min="9734" max="9734" width="11.625" style="1203" customWidth="1"/>
    <col min="9735" max="9735" width="10.875" style="1203" customWidth="1"/>
    <col min="9736" max="9736" width="12.75" style="1203" customWidth="1"/>
    <col min="9737" max="9737" width="13.125" style="1203" customWidth="1"/>
    <col min="9738" max="9738" width="9.875" style="1203" customWidth="1"/>
    <col min="9739" max="9739" width="2.875" style="1203" customWidth="1"/>
    <col min="9740" max="9741" width="1.375" style="1203" customWidth="1"/>
    <col min="9742" max="9742" width="1.75" style="1203" customWidth="1"/>
    <col min="9743" max="9743" width="7" style="1203" customWidth="1"/>
    <col min="9744" max="9744" width="9" style="1203"/>
    <col min="9745" max="9746" width="13.75" style="1203" customWidth="1"/>
    <col min="9747" max="9751" width="13.875" style="1203" customWidth="1"/>
    <col min="9752" max="9752" width="2.25" style="1203" customWidth="1"/>
    <col min="9753" max="9753" width="14.375" style="1203" customWidth="1"/>
    <col min="9754" max="9754" width="12.875" style="1203" customWidth="1"/>
    <col min="9755" max="9983" width="9" style="1203"/>
    <col min="9984" max="9984" width="2.375" style="1203" customWidth="1"/>
    <col min="9985" max="9985" width="11.875" style="1203" customWidth="1"/>
    <col min="9986" max="9986" width="13" style="1203" customWidth="1"/>
    <col min="9987" max="9988" width="11.625" style="1203" customWidth="1"/>
    <col min="9989" max="9989" width="11.375" style="1203" customWidth="1"/>
    <col min="9990" max="9990" width="11.625" style="1203" customWidth="1"/>
    <col min="9991" max="9991" width="10.875" style="1203" customWidth="1"/>
    <col min="9992" max="9992" width="12.75" style="1203" customWidth="1"/>
    <col min="9993" max="9993" width="13.125" style="1203" customWidth="1"/>
    <col min="9994" max="9994" width="9.875" style="1203" customWidth="1"/>
    <col min="9995" max="9995" width="2.875" style="1203" customWidth="1"/>
    <col min="9996" max="9997" width="1.375" style="1203" customWidth="1"/>
    <col min="9998" max="9998" width="1.75" style="1203" customWidth="1"/>
    <col min="9999" max="9999" width="7" style="1203" customWidth="1"/>
    <col min="10000" max="10000" width="9" style="1203"/>
    <col min="10001" max="10002" width="13.75" style="1203" customWidth="1"/>
    <col min="10003" max="10007" width="13.875" style="1203" customWidth="1"/>
    <col min="10008" max="10008" width="2.25" style="1203" customWidth="1"/>
    <col min="10009" max="10009" width="14.375" style="1203" customWidth="1"/>
    <col min="10010" max="10010" width="12.875" style="1203" customWidth="1"/>
    <col min="10011" max="10239" width="9" style="1203"/>
    <col min="10240" max="10240" width="2.375" style="1203" customWidth="1"/>
    <col min="10241" max="10241" width="11.875" style="1203" customWidth="1"/>
    <col min="10242" max="10242" width="13" style="1203" customWidth="1"/>
    <col min="10243" max="10244" width="11.625" style="1203" customWidth="1"/>
    <col min="10245" max="10245" width="11.375" style="1203" customWidth="1"/>
    <col min="10246" max="10246" width="11.625" style="1203" customWidth="1"/>
    <col min="10247" max="10247" width="10.875" style="1203" customWidth="1"/>
    <col min="10248" max="10248" width="12.75" style="1203" customWidth="1"/>
    <col min="10249" max="10249" width="13.125" style="1203" customWidth="1"/>
    <col min="10250" max="10250" width="9.875" style="1203" customWidth="1"/>
    <col min="10251" max="10251" width="2.875" style="1203" customWidth="1"/>
    <col min="10252" max="10253" width="1.375" style="1203" customWidth="1"/>
    <col min="10254" max="10254" width="1.75" style="1203" customWidth="1"/>
    <col min="10255" max="10255" width="7" style="1203" customWidth="1"/>
    <col min="10256" max="10256" width="9" style="1203"/>
    <col min="10257" max="10258" width="13.75" style="1203" customWidth="1"/>
    <col min="10259" max="10263" width="13.875" style="1203" customWidth="1"/>
    <col min="10264" max="10264" width="2.25" style="1203" customWidth="1"/>
    <col min="10265" max="10265" width="14.375" style="1203" customWidth="1"/>
    <col min="10266" max="10266" width="12.875" style="1203" customWidth="1"/>
    <col min="10267" max="10495" width="9" style="1203"/>
    <col min="10496" max="10496" width="2.375" style="1203" customWidth="1"/>
    <col min="10497" max="10497" width="11.875" style="1203" customWidth="1"/>
    <col min="10498" max="10498" width="13" style="1203" customWidth="1"/>
    <col min="10499" max="10500" width="11.625" style="1203" customWidth="1"/>
    <col min="10501" max="10501" width="11.375" style="1203" customWidth="1"/>
    <col min="10502" max="10502" width="11.625" style="1203" customWidth="1"/>
    <col min="10503" max="10503" width="10.875" style="1203" customWidth="1"/>
    <col min="10504" max="10504" width="12.75" style="1203" customWidth="1"/>
    <col min="10505" max="10505" width="13.125" style="1203" customWidth="1"/>
    <col min="10506" max="10506" width="9.875" style="1203" customWidth="1"/>
    <col min="10507" max="10507" width="2.875" style="1203" customWidth="1"/>
    <col min="10508" max="10509" width="1.375" style="1203" customWidth="1"/>
    <col min="10510" max="10510" width="1.75" style="1203" customWidth="1"/>
    <col min="10511" max="10511" width="7" style="1203" customWidth="1"/>
    <col min="10512" max="10512" width="9" style="1203"/>
    <col min="10513" max="10514" width="13.75" style="1203" customWidth="1"/>
    <col min="10515" max="10519" width="13.875" style="1203" customWidth="1"/>
    <col min="10520" max="10520" width="2.25" style="1203" customWidth="1"/>
    <col min="10521" max="10521" width="14.375" style="1203" customWidth="1"/>
    <col min="10522" max="10522" width="12.875" style="1203" customWidth="1"/>
    <col min="10523" max="10751" width="9" style="1203"/>
    <col min="10752" max="10752" width="2.375" style="1203" customWidth="1"/>
    <col min="10753" max="10753" width="11.875" style="1203" customWidth="1"/>
    <col min="10754" max="10754" width="13" style="1203" customWidth="1"/>
    <col min="10755" max="10756" width="11.625" style="1203" customWidth="1"/>
    <col min="10757" max="10757" width="11.375" style="1203" customWidth="1"/>
    <col min="10758" max="10758" width="11.625" style="1203" customWidth="1"/>
    <col min="10759" max="10759" width="10.875" style="1203" customWidth="1"/>
    <col min="10760" max="10760" width="12.75" style="1203" customWidth="1"/>
    <col min="10761" max="10761" width="13.125" style="1203" customWidth="1"/>
    <col min="10762" max="10762" width="9.875" style="1203" customWidth="1"/>
    <col min="10763" max="10763" width="2.875" style="1203" customWidth="1"/>
    <col min="10764" max="10765" width="1.375" style="1203" customWidth="1"/>
    <col min="10766" max="10766" width="1.75" style="1203" customWidth="1"/>
    <col min="10767" max="10767" width="7" style="1203" customWidth="1"/>
    <col min="10768" max="10768" width="9" style="1203"/>
    <col min="10769" max="10770" width="13.75" style="1203" customWidth="1"/>
    <col min="10771" max="10775" width="13.875" style="1203" customWidth="1"/>
    <col min="10776" max="10776" width="2.25" style="1203" customWidth="1"/>
    <col min="10777" max="10777" width="14.375" style="1203" customWidth="1"/>
    <col min="10778" max="10778" width="12.875" style="1203" customWidth="1"/>
    <col min="10779" max="11007" width="9" style="1203"/>
    <col min="11008" max="11008" width="2.375" style="1203" customWidth="1"/>
    <col min="11009" max="11009" width="11.875" style="1203" customWidth="1"/>
    <col min="11010" max="11010" width="13" style="1203" customWidth="1"/>
    <col min="11011" max="11012" width="11.625" style="1203" customWidth="1"/>
    <col min="11013" max="11013" width="11.375" style="1203" customWidth="1"/>
    <col min="11014" max="11014" width="11.625" style="1203" customWidth="1"/>
    <col min="11015" max="11015" width="10.875" style="1203" customWidth="1"/>
    <col min="11016" max="11016" width="12.75" style="1203" customWidth="1"/>
    <col min="11017" max="11017" width="13.125" style="1203" customWidth="1"/>
    <col min="11018" max="11018" width="9.875" style="1203" customWidth="1"/>
    <col min="11019" max="11019" width="2.875" style="1203" customWidth="1"/>
    <col min="11020" max="11021" width="1.375" style="1203" customWidth="1"/>
    <col min="11022" max="11022" width="1.75" style="1203" customWidth="1"/>
    <col min="11023" max="11023" width="7" style="1203" customWidth="1"/>
    <col min="11024" max="11024" width="9" style="1203"/>
    <col min="11025" max="11026" width="13.75" style="1203" customWidth="1"/>
    <col min="11027" max="11031" width="13.875" style="1203" customWidth="1"/>
    <col min="11032" max="11032" width="2.25" style="1203" customWidth="1"/>
    <col min="11033" max="11033" width="14.375" style="1203" customWidth="1"/>
    <col min="11034" max="11034" width="12.875" style="1203" customWidth="1"/>
    <col min="11035" max="11263" width="9" style="1203"/>
    <col min="11264" max="11264" width="2.375" style="1203" customWidth="1"/>
    <col min="11265" max="11265" width="11.875" style="1203" customWidth="1"/>
    <col min="11266" max="11266" width="13" style="1203" customWidth="1"/>
    <col min="11267" max="11268" width="11.625" style="1203" customWidth="1"/>
    <col min="11269" max="11269" width="11.375" style="1203" customWidth="1"/>
    <col min="11270" max="11270" width="11.625" style="1203" customWidth="1"/>
    <col min="11271" max="11271" width="10.875" style="1203" customWidth="1"/>
    <col min="11272" max="11272" width="12.75" style="1203" customWidth="1"/>
    <col min="11273" max="11273" width="13.125" style="1203" customWidth="1"/>
    <col min="11274" max="11274" width="9.875" style="1203" customWidth="1"/>
    <col min="11275" max="11275" width="2.875" style="1203" customWidth="1"/>
    <col min="11276" max="11277" width="1.375" style="1203" customWidth="1"/>
    <col min="11278" max="11278" width="1.75" style="1203" customWidth="1"/>
    <col min="11279" max="11279" width="7" style="1203" customWidth="1"/>
    <col min="11280" max="11280" width="9" style="1203"/>
    <col min="11281" max="11282" width="13.75" style="1203" customWidth="1"/>
    <col min="11283" max="11287" width="13.875" style="1203" customWidth="1"/>
    <col min="11288" max="11288" width="2.25" style="1203" customWidth="1"/>
    <col min="11289" max="11289" width="14.375" style="1203" customWidth="1"/>
    <col min="11290" max="11290" width="12.875" style="1203" customWidth="1"/>
    <col min="11291" max="11519" width="9" style="1203"/>
    <col min="11520" max="11520" width="2.375" style="1203" customWidth="1"/>
    <col min="11521" max="11521" width="11.875" style="1203" customWidth="1"/>
    <col min="11522" max="11522" width="13" style="1203" customWidth="1"/>
    <col min="11523" max="11524" width="11.625" style="1203" customWidth="1"/>
    <col min="11525" max="11525" width="11.375" style="1203" customWidth="1"/>
    <col min="11526" max="11526" width="11.625" style="1203" customWidth="1"/>
    <col min="11527" max="11527" width="10.875" style="1203" customWidth="1"/>
    <col min="11528" max="11528" width="12.75" style="1203" customWidth="1"/>
    <col min="11529" max="11529" width="13.125" style="1203" customWidth="1"/>
    <col min="11530" max="11530" width="9.875" style="1203" customWidth="1"/>
    <col min="11531" max="11531" width="2.875" style="1203" customWidth="1"/>
    <col min="11532" max="11533" width="1.375" style="1203" customWidth="1"/>
    <col min="11534" max="11534" width="1.75" style="1203" customWidth="1"/>
    <col min="11535" max="11535" width="7" style="1203" customWidth="1"/>
    <col min="11536" max="11536" width="9" style="1203"/>
    <col min="11537" max="11538" width="13.75" style="1203" customWidth="1"/>
    <col min="11539" max="11543" width="13.875" style="1203" customWidth="1"/>
    <col min="11544" max="11544" width="2.25" style="1203" customWidth="1"/>
    <col min="11545" max="11545" width="14.375" style="1203" customWidth="1"/>
    <col min="11546" max="11546" width="12.875" style="1203" customWidth="1"/>
    <col min="11547" max="11775" width="9" style="1203"/>
    <col min="11776" max="11776" width="2.375" style="1203" customWidth="1"/>
    <col min="11777" max="11777" width="11.875" style="1203" customWidth="1"/>
    <col min="11778" max="11778" width="13" style="1203" customWidth="1"/>
    <col min="11779" max="11780" width="11.625" style="1203" customWidth="1"/>
    <col min="11781" max="11781" width="11.375" style="1203" customWidth="1"/>
    <col min="11782" max="11782" width="11.625" style="1203" customWidth="1"/>
    <col min="11783" max="11783" width="10.875" style="1203" customWidth="1"/>
    <col min="11784" max="11784" width="12.75" style="1203" customWidth="1"/>
    <col min="11785" max="11785" width="13.125" style="1203" customWidth="1"/>
    <col min="11786" max="11786" width="9.875" style="1203" customWidth="1"/>
    <col min="11787" max="11787" width="2.875" style="1203" customWidth="1"/>
    <col min="11788" max="11789" width="1.375" style="1203" customWidth="1"/>
    <col min="11790" max="11790" width="1.75" style="1203" customWidth="1"/>
    <col min="11791" max="11791" width="7" style="1203" customWidth="1"/>
    <col min="11792" max="11792" width="9" style="1203"/>
    <col min="11793" max="11794" width="13.75" style="1203" customWidth="1"/>
    <col min="11795" max="11799" width="13.875" style="1203" customWidth="1"/>
    <col min="11800" max="11800" width="2.25" style="1203" customWidth="1"/>
    <col min="11801" max="11801" width="14.375" style="1203" customWidth="1"/>
    <col min="11802" max="11802" width="12.875" style="1203" customWidth="1"/>
    <col min="11803" max="12031" width="9" style="1203"/>
    <col min="12032" max="12032" width="2.375" style="1203" customWidth="1"/>
    <col min="12033" max="12033" width="11.875" style="1203" customWidth="1"/>
    <col min="12034" max="12034" width="13" style="1203" customWidth="1"/>
    <col min="12035" max="12036" width="11.625" style="1203" customWidth="1"/>
    <col min="12037" max="12037" width="11.375" style="1203" customWidth="1"/>
    <col min="12038" max="12038" width="11.625" style="1203" customWidth="1"/>
    <col min="12039" max="12039" width="10.875" style="1203" customWidth="1"/>
    <col min="12040" max="12040" width="12.75" style="1203" customWidth="1"/>
    <col min="12041" max="12041" width="13.125" style="1203" customWidth="1"/>
    <col min="12042" max="12042" width="9.875" style="1203" customWidth="1"/>
    <col min="12043" max="12043" width="2.875" style="1203" customWidth="1"/>
    <col min="12044" max="12045" width="1.375" style="1203" customWidth="1"/>
    <col min="12046" max="12046" width="1.75" style="1203" customWidth="1"/>
    <col min="12047" max="12047" width="7" style="1203" customWidth="1"/>
    <col min="12048" max="12048" width="9" style="1203"/>
    <col min="12049" max="12050" width="13.75" style="1203" customWidth="1"/>
    <col min="12051" max="12055" width="13.875" style="1203" customWidth="1"/>
    <col min="12056" max="12056" width="2.25" style="1203" customWidth="1"/>
    <col min="12057" max="12057" width="14.375" style="1203" customWidth="1"/>
    <col min="12058" max="12058" width="12.875" style="1203" customWidth="1"/>
    <col min="12059" max="12287" width="9" style="1203"/>
    <col min="12288" max="12288" width="2.375" style="1203" customWidth="1"/>
    <col min="12289" max="12289" width="11.875" style="1203" customWidth="1"/>
    <col min="12290" max="12290" width="13" style="1203" customWidth="1"/>
    <col min="12291" max="12292" width="11.625" style="1203" customWidth="1"/>
    <col min="12293" max="12293" width="11.375" style="1203" customWidth="1"/>
    <col min="12294" max="12294" width="11.625" style="1203" customWidth="1"/>
    <col min="12295" max="12295" width="10.875" style="1203" customWidth="1"/>
    <col min="12296" max="12296" width="12.75" style="1203" customWidth="1"/>
    <col min="12297" max="12297" width="13.125" style="1203" customWidth="1"/>
    <col min="12298" max="12298" width="9.875" style="1203" customWidth="1"/>
    <col min="12299" max="12299" width="2.875" style="1203" customWidth="1"/>
    <col min="12300" max="12301" width="1.375" style="1203" customWidth="1"/>
    <col min="12302" max="12302" width="1.75" style="1203" customWidth="1"/>
    <col min="12303" max="12303" width="7" style="1203" customWidth="1"/>
    <col min="12304" max="12304" width="9" style="1203"/>
    <col min="12305" max="12306" width="13.75" style="1203" customWidth="1"/>
    <col min="12307" max="12311" width="13.875" style="1203" customWidth="1"/>
    <col min="12312" max="12312" width="2.25" style="1203" customWidth="1"/>
    <col min="12313" max="12313" width="14.375" style="1203" customWidth="1"/>
    <col min="12314" max="12314" width="12.875" style="1203" customWidth="1"/>
    <col min="12315" max="12543" width="9" style="1203"/>
    <col min="12544" max="12544" width="2.375" style="1203" customWidth="1"/>
    <col min="12545" max="12545" width="11.875" style="1203" customWidth="1"/>
    <col min="12546" max="12546" width="13" style="1203" customWidth="1"/>
    <col min="12547" max="12548" width="11.625" style="1203" customWidth="1"/>
    <col min="12549" max="12549" width="11.375" style="1203" customWidth="1"/>
    <col min="12550" max="12550" width="11.625" style="1203" customWidth="1"/>
    <col min="12551" max="12551" width="10.875" style="1203" customWidth="1"/>
    <col min="12552" max="12552" width="12.75" style="1203" customWidth="1"/>
    <col min="12553" max="12553" width="13.125" style="1203" customWidth="1"/>
    <col min="12554" max="12554" width="9.875" style="1203" customWidth="1"/>
    <col min="12555" max="12555" width="2.875" style="1203" customWidth="1"/>
    <col min="12556" max="12557" width="1.375" style="1203" customWidth="1"/>
    <col min="12558" max="12558" width="1.75" style="1203" customWidth="1"/>
    <col min="12559" max="12559" width="7" style="1203" customWidth="1"/>
    <col min="12560" max="12560" width="9" style="1203"/>
    <col min="12561" max="12562" width="13.75" style="1203" customWidth="1"/>
    <col min="12563" max="12567" width="13.875" style="1203" customWidth="1"/>
    <col min="12568" max="12568" width="2.25" style="1203" customWidth="1"/>
    <col min="12569" max="12569" width="14.375" style="1203" customWidth="1"/>
    <col min="12570" max="12570" width="12.875" style="1203" customWidth="1"/>
    <col min="12571" max="12799" width="9" style="1203"/>
    <col min="12800" max="12800" width="2.375" style="1203" customWidth="1"/>
    <col min="12801" max="12801" width="11.875" style="1203" customWidth="1"/>
    <col min="12802" max="12802" width="13" style="1203" customWidth="1"/>
    <col min="12803" max="12804" width="11.625" style="1203" customWidth="1"/>
    <col min="12805" max="12805" width="11.375" style="1203" customWidth="1"/>
    <col min="12806" max="12806" width="11.625" style="1203" customWidth="1"/>
    <col min="12807" max="12807" width="10.875" style="1203" customWidth="1"/>
    <col min="12808" max="12808" width="12.75" style="1203" customWidth="1"/>
    <col min="12809" max="12809" width="13.125" style="1203" customWidth="1"/>
    <col min="12810" max="12810" width="9.875" style="1203" customWidth="1"/>
    <col min="12811" max="12811" width="2.875" style="1203" customWidth="1"/>
    <col min="12812" max="12813" width="1.375" style="1203" customWidth="1"/>
    <col min="12814" max="12814" width="1.75" style="1203" customWidth="1"/>
    <col min="12815" max="12815" width="7" style="1203" customWidth="1"/>
    <col min="12816" max="12816" width="9" style="1203"/>
    <col min="12817" max="12818" width="13.75" style="1203" customWidth="1"/>
    <col min="12819" max="12823" width="13.875" style="1203" customWidth="1"/>
    <col min="12824" max="12824" width="2.25" style="1203" customWidth="1"/>
    <col min="12825" max="12825" width="14.375" style="1203" customWidth="1"/>
    <col min="12826" max="12826" width="12.875" style="1203" customWidth="1"/>
    <col min="12827" max="13055" width="9" style="1203"/>
    <col min="13056" max="13056" width="2.375" style="1203" customWidth="1"/>
    <col min="13057" max="13057" width="11.875" style="1203" customWidth="1"/>
    <col min="13058" max="13058" width="13" style="1203" customWidth="1"/>
    <col min="13059" max="13060" width="11.625" style="1203" customWidth="1"/>
    <col min="13061" max="13061" width="11.375" style="1203" customWidth="1"/>
    <col min="13062" max="13062" width="11.625" style="1203" customWidth="1"/>
    <col min="13063" max="13063" width="10.875" style="1203" customWidth="1"/>
    <col min="13064" max="13064" width="12.75" style="1203" customWidth="1"/>
    <col min="13065" max="13065" width="13.125" style="1203" customWidth="1"/>
    <col min="13066" max="13066" width="9.875" style="1203" customWidth="1"/>
    <col min="13067" max="13067" width="2.875" style="1203" customWidth="1"/>
    <col min="13068" max="13069" width="1.375" style="1203" customWidth="1"/>
    <col min="13070" max="13070" width="1.75" style="1203" customWidth="1"/>
    <col min="13071" max="13071" width="7" style="1203" customWidth="1"/>
    <col min="13072" max="13072" width="9" style="1203"/>
    <col min="13073" max="13074" width="13.75" style="1203" customWidth="1"/>
    <col min="13075" max="13079" width="13.875" style="1203" customWidth="1"/>
    <col min="13080" max="13080" width="2.25" style="1203" customWidth="1"/>
    <col min="13081" max="13081" width="14.375" style="1203" customWidth="1"/>
    <col min="13082" max="13082" width="12.875" style="1203" customWidth="1"/>
    <col min="13083" max="13311" width="9" style="1203"/>
    <col min="13312" max="13312" width="2.375" style="1203" customWidth="1"/>
    <col min="13313" max="13313" width="11.875" style="1203" customWidth="1"/>
    <col min="13314" max="13314" width="13" style="1203" customWidth="1"/>
    <col min="13315" max="13316" width="11.625" style="1203" customWidth="1"/>
    <col min="13317" max="13317" width="11.375" style="1203" customWidth="1"/>
    <col min="13318" max="13318" width="11.625" style="1203" customWidth="1"/>
    <col min="13319" max="13319" width="10.875" style="1203" customWidth="1"/>
    <col min="13320" max="13320" width="12.75" style="1203" customWidth="1"/>
    <col min="13321" max="13321" width="13.125" style="1203" customWidth="1"/>
    <col min="13322" max="13322" width="9.875" style="1203" customWidth="1"/>
    <col min="13323" max="13323" width="2.875" style="1203" customWidth="1"/>
    <col min="13324" max="13325" width="1.375" style="1203" customWidth="1"/>
    <col min="13326" max="13326" width="1.75" style="1203" customWidth="1"/>
    <col min="13327" max="13327" width="7" style="1203" customWidth="1"/>
    <col min="13328" max="13328" width="9" style="1203"/>
    <col min="13329" max="13330" width="13.75" style="1203" customWidth="1"/>
    <col min="13331" max="13335" width="13.875" style="1203" customWidth="1"/>
    <col min="13336" max="13336" width="2.25" style="1203" customWidth="1"/>
    <col min="13337" max="13337" width="14.375" style="1203" customWidth="1"/>
    <col min="13338" max="13338" width="12.875" style="1203" customWidth="1"/>
    <col min="13339" max="13567" width="9" style="1203"/>
    <col min="13568" max="13568" width="2.375" style="1203" customWidth="1"/>
    <col min="13569" max="13569" width="11.875" style="1203" customWidth="1"/>
    <col min="13570" max="13570" width="13" style="1203" customWidth="1"/>
    <col min="13571" max="13572" width="11.625" style="1203" customWidth="1"/>
    <col min="13573" max="13573" width="11.375" style="1203" customWidth="1"/>
    <col min="13574" max="13574" width="11.625" style="1203" customWidth="1"/>
    <col min="13575" max="13575" width="10.875" style="1203" customWidth="1"/>
    <col min="13576" max="13576" width="12.75" style="1203" customWidth="1"/>
    <col min="13577" max="13577" width="13.125" style="1203" customWidth="1"/>
    <col min="13578" max="13578" width="9.875" style="1203" customWidth="1"/>
    <col min="13579" max="13579" width="2.875" style="1203" customWidth="1"/>
    <col min="13580" max="13581" width="1.375" style="1203" customWidth="1"/>
    <col min="13582" max="13582" width="1.75" style="1203" customWidth="1"/>
    <col min="13583" max="13583" width="7" style="1203" customWidth="1"/>
    <col min="13584" max="13584" width="9" style="1203"/>
    <col min="13585" max="13586" width="13.75" style="1203" customWidth="1"/>
    <col min="13587" max="13591" width="13.875" style="1203" customWidth="1"/>
    <col min="13592" max="13592" width="2.25" style="1203" customWidth="1"/>
    <col min="13593" max="13593" width="14.375" style="1203" customWidth="1"/>
    <col min="13594" max="13594" width="12.875" style="1203" customWidth="1"/>
    <col min="13595" max="13823" width="9" style="1203"/>
    <col min="13824" max="13824" width="2.375" style="1203" customWidth="1"/>
    <col min="13825" max="13825" width="11.875" style="1203" customWidth="1"/>
    <col min="13826" max="13826" width="13" style="1203" customWidth="1"/>
    <col min="13827" max="13828" width="11.625" style="1203" customWidth="1"/>
    <col min="13829" max="13829" width="11.375" style="1203" customWidth="1"/>
    <col min="13830" max="13830" width="11.625" style="1203" customWidth="1"/>
    <col min="13831" max="13831" width="10.875" style="1203" customWidth="1"/>
    <col min="13832" max="13832" width="12.75" style="1203" customWidth="1"/>
    <col min="13833" max="13833" width="13.125" style="1203" customWidth="1"/>
    <col min="13834" max="13834" width="9.875" style="1203" customWidth="1"/>
    <col min="13835" max="13835" width="2.875" style="1203" customWidth="1"/>
    <col min="13836" max="13837" width="1.375" style="1203" customWidth="1"/>
    <col min="13838" max="13838" width="1.75" style="1203" customWidth="1"/>
    <col min="13839" max="13839" width="7" style="1203" customWidth="1"/>
    <col min="13840" max="13840" width="9" style="1203"/>
    <col min="13841" max="13842" width="13.75" style="1203" customWidth="1"/>
    <col min="13843" max="13847" width="13.875" style="1203" customWidth="1"/>
    <col min="13848" max="13848" width="2.25" style="1203" customWidth="1"/>
    <col min="13849" max="13849" width="14.375" style="1203" customWidth="1"/>
    <col min="13850" max="13850" width="12.875" style="1203" customWidth="1"/>
    <col min="13851" max="14079" width="9" style="1203"/>
    <col min="14080" max="14080" width="2.375" style="1203" customWidth="1"/>
    <col min="14081" max="14081" width="11.875" style="1203" customWidth="1"/>
    <col min="14082" max="14082" width="13" style="1203" customWidth="1"/>
    <col min="14083" max="14084" width="11.625" style="1203" customWidth="1"/>
    <col min="14085" max="14085" width="11.375" style="1203" customWidth="1"/>
    <col min="14086" max="14086" width="11.625" style="1203" customWidth="1"/>
    <col min="14087" max="14087" width="10.875" style="1203" customWidth="1"/>
    <col min="14088" max="14088" width="12.75" style="1203" customWidth="1"/>
    <col min="14089" max="14089" width="13.125" style="1203" customWidth="1"/>
    <col min="14090" max="14090" width="9.875" style="1203" customWidth="1"/>
    <col min="14091" max="14091" width="2.875" style="1203" customWidth="1"/>
    <col min="14092" max="14093" width="1.375" style="1203" customWidth="1"/>
    <col min="14094" max="14094" width="1.75" style="1203" customWidth="1"/>
    <col min="14095" max="14095" width="7" style="1203" customWidth="1"/>
    <col min="14096" max="14096" width="9" style="1203"/>
    <col min="14097" max="14098" width="13.75" style="1203" customWidth="1"/>
    <col min="14099" max="14103" width="13.875" style="1203" customWidth="1"/>
    <col min="14104" max="14104" width="2.25" style="1203" customWidth="1"/>
    <col min="14105" max="14105" width="14.375" style="1203" customWidth="1"/>
    <col min="14106" max="14106" width="12.875" style="1203" customWidth="1"/>
    <col min="14107" max="14335" width="9" style="1203"/>
    <col min="14336" max="14336" width="2.375" style="1203" customWidth="1"/>
    <col min="14337" max="14337" width="11.875" style="1203" customWidth="1"/>
    <col min="14338" max="14338" width="13" style="1203" customWidth="1"/>
    <col min="14339" max="14340" width="11.625" style="1203" customWidth="1"/>
    <col min="14341" max="14341" width="11.375" style="1203" customWidth="1"/>
    <col min="14342" max="14342" width="11.625" style="1203" customWidth="1"/>
    <col min="14343" max="14343" width="10.875" style="1203" customWidth="1"/>
    <col min="14344" max="14344" width="12.75" style="1203" customWidth="1"/>
    <col min="14345" max="14345" width="13.125" style="1203" customWidth="1"/>
    <col min="14346" max="14346" width="9.875" style="1203" customWidth="1"/>
    <col min="14347" max="14347" width="2.875" style="1203" customWidth="1"/>
    <col min="14348" max="14349" width="1.375" style="1203" customWidth="1"/>
    <col min="14350" max="14350" width="1.75" style="1203" customWidth="1"/>
    <col min="14351" max="14351" width="7" style="1203" customWidth="1"/>
    <col min="14352" max="14352" width="9" style="1203"/>
    <col min="14353" max="14354" width="13.75" style="1203" customWidth="1"/>
    <col min="14355" max="14359" width="13.875" style="1203" customWidth="1"/>
    <col min="14360" max="14360" width="2.25" style="1203" customWidth="1"/>
    <col min="14361" max="14361" width="14.375" style="1203" customWidth="1"/>
    <col min="14362" max="14362" width="12.875" style="1203" customWidth="1"/>
    <col min="14363" max="14591" width="9" style="1203"/>
    <col min="14592" max="14592" width="2.375" style="1203" customWidth="1"/>
    <col min="14593" max="14593" width="11.875" style="1203" customWidth="1"/>
    <col min="14594" max="14594" width="13" style="1203" customWidth="1"/>
    <col min="14595" max="14596" width="11.625" style="1203" customWidth="1"/>
    <col min="14597" max="14597" width="11.375" style="1203" customWidth="1"/>
    <col min="14598" max="14598" width="11.625" style="1203" customWidth="1"/>
    <col min="14599" max="14599" width="10.875" style="1203" customWidth="1"/>
    <col min="14600" max="14600" width="12.75" style="1203" customWidth="1"/>
    <col min="14601" max="14601" width="13.125" style="1203" customWidth="1"/>
    <col min="14602" max="14602" width="9.875" style="1203" customWidth="1"/>
    <col min="14603" max="14603" width="2.875" style="1203" customWidth="1"/>
    <col min="14604" max="14605" width="1.375" style="1203" customWidth="1"/>
    <col min="14606" max="14606" width="1.75" style="1203" customWidth="1"/>
    <col min="14607" max="14607" width="7" style="1203" customWidth="1"/>
    <col min="14608" max="14608" width="9" style="1203"/>
    <col min="14609" max="14610" width="13.75" style="1203" customWidth="1"/>
    <col min="14611" max="14615" width="13.875" style="1203" customWidth="1"/>
    <col min="14616" max="14616" width="2.25" style="1203" customWidth="1"/>
    <col min="14617" max="14617" width="14.375" style="1203" customWidth="1"/>
    <col min="14618" max="14618" width="12.875" style="1203" customWidth="1"/>
    <col min="14619" max="14847" width="9" style="1203"/>
    <col min="14848" max="14848" width="2.375" style="1203" customWidth="1"/>
    <col min="14849" max="14849" width="11.875" style="1203" customWidth="1"/>
    <col min="14850" max="14850" width="13" style="1203" customWidth="1"/>
    <col min="14851" max="14852" width="11.625" style="1203" customWidth="1"/>
    <col min="14853" max="14853" width="11.375" style="1203" customWidth="1"/>
    <col min="14854" max="14854" width="11.625" style="1203" customWidth="1"/>
    <col min="14855" max="14855" width="10.875" style="1203" customWidth="1"/>
    <col min="14856" max="14856" width="12.75" style="1203" customWidth="1"/>
    <col min="14857" max="14857" width="13.125" style="1203" customWidth="1"/>
    <col min="14858" max="14858" width="9.875" style="1203" customWidth="1"/>
    <col min="14859" max="14859" width="2.875" style="1203" customWidth="1"/>
    <col min="14860" max="14861" width="1.375" style="1203" customWidth="1"/>
    <col min="14862" max="14862" width="1.75" style="1203" customWidth="1"/>
    <col min="14863" max="14863" width="7" style="1203" customWidth="1"/>
    <col min="14864" max="14864" width="9" style="1203"/>
    <col min="14865" max="14866" width="13.75" style="1203" customWidth="1"/>
    <col min="14867" max="14871" width="13.875" style="1203" customWidth="1"/>
    <col min="14872" max="14872" width="2.25" style="1203" customWidth="1"/>
    <col min="14873" max="14873" width="14.375" style="1203" customWidth="1"/>
    <col min="14874" max="14874" width="12.875" style="1203" customWidth="1"/>
    <col min="14875" max="15103" width="9" style="1203"/>
    <col min="15104" max="15104" width="2.375" style="1203" customWidth="1"/>
    <col min="15105" max="15105" width="11.875" style="1203" customWidth="1"/>
    <col min="15106" max="15106" width="13" style="1203" customWidth="1"/>
    <col min="15107" max="15108" width="11.625" style="1203" customWidth="1"/>
    <col min="15109" max="15109" width="11.375" style="1203" customWidth="1"/>
    <col min="15110" max="15110" width="11.625" style="1203" customWidth="1"/>
    <col min="15111" max="15111" width="10.875" style="1203" customWidth="1"/>
    <col min="15112" max="15112" width="12.75" style="1203" customWidth="1"/>
    <col min="15113" max="15113" width="13.125" style="1203" customWidth="1"/>
    <col min="15114" max="15114" width="9.875" style="1203" customWidth="1"/>
    <col min="15115" max="15115" width="2.875" style="1203" customWidth="1"/>
    <col min="15116" max="15117" width="1.375" style="1203" customWidth="1"/>
    <col min="15118" max="15118" width="1.75" style="1203" customWidth="1"/>
    <col min="15119" max="15119" width="7" style="1203" customWidth="1"/>
    <col min="15120" max="15120" width="9" style="1203"/>
    <col min="15121" max="15122" width="13.75" style="1203" customWidth="1"/>
    <col min="15123" max="15127" width="13.875" style="1203" customWidth="1"/>
    <col min="15128" max="15128" width="2.25" style="1203" customWidth="1"/>
    <col min="15129" max="15129" width="14.375" style="1203" customWidth="1"/>
    <col min="15130" max="15130" width="12.875" style="1203" customWidth="1"/>
    <col min="15131" max="15359" width="9" style="1203"/>
    <col min="15360" max="15360" width="2.375" style="1203" customWidth="1"/>
    <col min="15361" max="15361" width="11.875" style="1203" customWidth="1"/>
    <col min="15362" max="15362" width="13" style="1203" customWidth="1"/>
    <col min="15363" max="15364" width="11.625" style="1203" customWidth="1"/>
    <col min="15365" max="15365" width="11.375" style="1203" customWidth="1"/>
    <col min="15366" max="15366" width="11.625" style="1203" customWidth="1"/>
    <col min="15367" max="15367" width="10.875" style="1203" customWidth="1"/>
    <col min="15368" max="15368" width="12.75" style="1203" customWidth="1"/>
    <col min="15369" max="15369" width="13.125" style="1203" customWidth="1"/>
    <col min="15370" max="15370" width="9.875" style="1203" customWidth="1"/>
    <col min="15371" max="15371" width="2.875" style="1203" customWidth="1"/>
    <col min="15372" max="15373" width="1.375" style="1203" customWidth="1"/>
    <col min="15374" max="15374" width="1.75" style="1203" customWidth="1"/>
    <col min="15375" max="15375" width="7" style="1203" customWidth="1"/>
    <col min="15376" max="15376" width="9" style="1203"/>
    <col min="15377" max="15378" width="13.75" style="1203" customWidth="1"/>
    <col min="15379" max="15383" width="13.875" style="1203" customWidth="1"/>
    <col min="15384" max="15384" width="2.25" style="1203" customWidth="1"/>
    <col min="15385" max="15385" width="14.375" style="1203" customWidth="1"/>
    <col min="15386" max="15386" width="12.875" style="1203" customWidth="1"/>
    <col min="15387" max="15615" width="9" style="1203"/>
    <col min="15616" max="15616" width="2.375" style="1203" customWidth="1"/>
    <col min="15617" max="15617" width="11.875" style="1203" customWidth="1"/>
    <col min="15618" max="15618" width="13" style="1203" customWidth="1"/>
    <col min="15619" max="15620" width="11.625" style="1203" customWidth="1"/>
    <col min="15621" max="15621" width="11.375" style="1203" customWidth="1"/>
    <col min="15622" max="15622" width="11.625" style="1203" customWidth="1"/>
    <col min="15623" max="15623" width="10.875" style="1203" customWidth="1"/>
    <col min="15624" max="15624" width="12.75" style="1203" customWidth="1"/>
    <col min="15625" max="15625" width="13.125" style="1203" customWidth="1"/>
    <col min="15626" max="15626" width="9.875" style="1203" customWidth="1"/>
    <col min="15627" max="15627" width="2.875" style="1203" customWidth="1"/>
    <col min="15628" max="15629" width="1.375" style="1203" customWidth="1"/>
    <col min="15630" max="15630" width="1.75" style="1203" customWidth="1"/>
    <col min="15631" max="15631" width="7" style="1203" customWidth="1"/>
    <col min="15632" max="15632" width="9" style="1203"/>
    <col min="15633" max="15634" width="13.75" style="1203" customWidth="1"/>
    <col min="15635" max="15639" width="13.875" style="1203" customWidth="1"/>
    <col min="15640" max="15640" width="2.25" style="1203" customWidth="1"/>
    <col min="15641" max="15641" width="14.375" style="1203" customWidth="1"/>
    <col min="15642" max="15642" width="12.875" style="1203" customWidth="1"/>
    <col min="15643" max="15871" width="9" style="1203"/>
    <col min="15872" max="15872" width="2.375" style="1203" customWidth="1"/>
    <col min="15873" max="15873" width="11.875" style="1203" customWidth="1"/>
    <col min="15874" max="15874" width="13" style="1203" customWidth="1"/>
    <col min="15875" max="15876" width="11.625" style="1203" customWidth="1"/>
    <col min="15877" max="15877" width="11.375" style="1203" customWidth="1"/>
    <col min="15878" max="15878" width="11.625" style="1203" customWidth="1"/>
    <col min="15879" max="15879" width="10.875" style="1203" customWidth="1"/>
    <col min="15880" max="15880" width="12.75" style="1203" customWidth="1"/>
    <col min="15881" max="15881" width="13.125" style="1203" customWidth="1"/>
    <col min="15882" max="15882" width="9.875" style="1203" customWidth="1"/>
    <col min="15883" max="15883" width="2.875" style="1203" customWidth="1"/>
    <col min="15884" max="15885" width="1.375" style="1203" customWidth="1"/>
    <col min="15886" max="15886" width="1.75" style="1203" customWidth="1"/>
    <col min="15887" max="15887" width="7" style="1203" customWidth="1"/>
    <col min="15888" max="15888" width="9" style="1203"/>
    <col min="15889" max="15890" width="13.75" style="1203" customWidth="1"/>
    <col min="15891" max="15895" width="13.875" style="1203" customWidth="1"/>
    <col min="15896" max="15896" width="2.25" style="1203" customWidth="1"/>
    <col min="15897" max="15897" width="14.375" style="1203" customWidth="1"/>
    <col min="15898" max="15898" width="12.875" style="1203" customWidth="1"/>
    <col min="15899" max="16127" width="9" style="1203"/>
    <col min="16128" max="16128" width="2.375" style="1203" customWidth="1"/>
    <col min="16129" max="16129" width="11.875" style="1203" customWidth="1"/>
    <col min="16130" max="16130" width="13" style="1203" customWidth="1"/>
    <col min="16131" max="16132" width="11.625" style="1203" customWidth="1"/>
    <col min="16133" max="16133" width="11.375" style="1203" customWidth="1"/>
    <col min="16134" max="16134" width="11.625" style="1203" customWidth="1"/>
    <col min="16135" max="16135" width="10.875" style="1203" customWidth="1"/>
    <col min="16136" max="16136" width="12.75" style="1203" customWidth="1"/>
    <col min="16137" max="16137" width="13.125" style="1203" customWidth="1"/>
    <col min="16138" max="16138" width="9.875" style="1203" customWidth="1"/>
    <col min="16139" max="16139" width="2.875" style="1203" customWidth="1"/>
    <col min="16140" max="16141" width="1.375" style="1203" customWidth="1"/>
    <col min="16142" max="16142" width="1.75" style="1203" customWidth="1"/>
    <col min="16143" max="16143" width="7" style="1203" customWidth="1"/>
    <col min="16144" max="16144" width="9" style="1203"/>
    <col min="16145" max="16146" width="13.75" style="1203" customWidth="1"/>
    <col min="16147" max="16151" width="13.875" style="1203" customWidth="1"/>
    <col min="16152" max="16152" width="2.25" style="1203" customWidth="1"/>
    <col min="16153" max="16153" width="14.375" style="1203" customWidth="1"/>
    <col min="16154" max="16154" width="12.875" style="1203" customWidth="1"/>
    <col min="16155" max="16384" width="9" style="1203"/>
  </cols>
  <sheetData>
    <row r="1" spans="1:24" ht="27" customHeight="1">
      <c r="A1" s="1203" t="str">
        <f>+LEFT('3条税込み'!A1,2)&amp;"年度経費（雨水・汚水）区分調（収入決算・税込み）"</f>
        <v>令和年度経費（雨水・汚水）区分調（収入決算・税込み）</v>
      </c>
      <c r="O1" s="1203" t="s">
        <v>1774</v>
      </c>
    </row>
    <row r="2" spans="1:24" ht="27" customHeight="1" thickBot="1">
      <c r="A2" s="1203" t="s">
        <v>1773</v>
      </c>
      <c r="J2" s="1248" t="s">
        <v>1772</v>
      </c>
      <c r="O2" s="1362"/>
      <c r="R2" s="1203">
        <f>'3条税抜き'!H44+'3条税抜き'!I44-収入税抜き!G26-収入税抜き!H26-収入税込!R4-R33</f>
        <v>0</v>
      </c>
      <c r="S2" s="1203">
        <f>営外!T17+営外!T18+営外!$T$19-S4-S23-S33-S34</f>
        <v>629</v>
      </c>
    </row>
    <row r="3" spans="1:24" ht="27" customHeight="1" thickBot="1">
      <c r="A3" s="1222" t="s">
        <v>1771</v>
      </c>
      <c r="B3" s="1221"/>
      <c r="C3" s="1286" t="s">
        <v>1715</v>
      </c>
      <c r="D3" s="1285" t="s">
        <v>1714</v>
      </c>
      <c r="E3" s="1283"/>
      <c r="F3" s="1283"/>
      <c r="G3" s="1282"/>
      <c r="H3" s="1284" t="s">
        <v>1713</v>
      </c>
      <c r="I3" s="1283"/>
      <c r="J3" s="1282"/>
      <c r="O3" s="1604" t="s">
        <v>1500</v>
      </c>
      <c r="P3" s="1605"/>
      <c r="Q3" s="1606"/>
      <c r="R3" s="1360" t="s">
        <v>1770</v>
      </c>
      <c r="S3" s="1360" t="s">
        <v>1769</v>
      </c>
      <c r="T3" s="1262" t="s">
        <v>1768</v>
      </c>
      <c r="U3" s="1360" t="s">
        <v>1767</v>
      </c>
      <c r="V3" s="1361" t="s">
        <v>1766</v>
      </c>
      <c r="W3" s="1360" t="s">
        <v>1765</v>
      </c>
    </row>
    <row r="4" spans="1:24" s="1262" customFormat="1" ht="27" customHeight="1">
      <c r="A4" s="1359"/>
      <c r="B4" s="1280"/>
      <c r="C4" s="1279"/>
      <c r="D4" s="1278" t="s">
        <v>1712</v>
      </c>
      <c r="E4" s="1277"/>
      <c r="F4" s="1276" t="s">
        <v>1711</v>
      </c>
      <c r="G4" s="1273" t="s">
        <v>1710</v>
      </c>
      <c r="H4" s="1275" t="s">
        <v>1712</v>
      </c>
      <c r="I4" s="1274" t="s">
        <v>1711</v>
      </c>
      <c r="J4" s="1273" t="s">
        <v>1710</v>
      </c>
      <c r="O4" s="1607"/>
      <c r="P4" s="1608"/>
      <c r="Q4" s="1609"/>
      <c r="R4" s="1203">
        <f t="shared" ref="R4:W4" si="0">R6+R15+R17+R19</f>
        <v>13974628227</v>
      </c>
      <c r="S4" s="1203">
        <f t="shared" si="0"/>
        <v>211980874</v>
      </c>
      <c r="T4" s="1203">
        <f t="shared" si="0"/>
        <v>14186609101</v>
      </c>
      <c r="U4" s="1203">
        <f t="shared" si="0"/>
        <v>-8705039</v>
      </c>
      <c r="V4" s="1203">
        <f t="shared" si="0"/>
        <v>14177904062</v>
      </c>
      <c r="W4" s="1203">
        <f t="shared" si="0"/>
        <v>203275835</v>
      </c>
      <c r="X4" s="1203"/>
    </row>
    <row r="5" spans="1:24" s="1264" customFormat="1" ht="27" customHeight="1">
      <c r="A5" s="1272"/>
      <c r="B5" s="1271"/>
      <c r="C5" s="1270"/>
      <c r="D5" s="1269" t="s">
        <v>1707</v>
      </c>
      <c r="E5" s="1266" t="s">
        <v>1709</v>
      </c>
      <c r="F5" s="1268" t="s">
        <v>1708</v>
      </c>
      <c r="G5" s="1265"/>
      <c r="H5" s="1267" t="s">
        <v>1707</v>
      </c>
      <c r="I5" s="1266" t="s">
        <v>1707</v>
      </c>
      <c r="J5" s="1265"/>
      <c r="O5" s="1328"/>
      <c r="P5" s="1610" t="s">
        <v>1764</v>
      </c>
      <c r="Q5" s="1611"/>
      <c r="R5" s="1358"/>
      <c r="S5" s="1358"/>
      <c r="T5" s="1358"/>
      <c r="U5" s="1358"/>
      <c r="V5" s="1358"/>
      <c r="W5" s="1358"/>
      <c r="X5" s="1358"/>
    </row>
    <row r="6" spans="1:24" ht="27" customHeight="1" thickBot="1">
      <c r="A6" s="1225" t="s">
        <v>1763</v>
      </c>
      <c r="B6" s="1357"/>
      <c r="C6" s="1235">
        <f>+雨汚水!E58</f>
        <v>20488962528</v>
      </c>
      <c r="D6" s="1226">
        <f>+雨汚水!F58</f>
        <v>0</v>
      </c>
      <c r="E6" s="1224">
        <f>+雨汚水!G58</f>
        <v>0</v>
      </c>
      <c r="F6" s="1224">
        <f>+雨汚水!H58</f>
        <v>0</v>
      </c>
      <c r="G6" s="1223">
        <f t="shared" ref="G6:G15" si="1">SUM(D6:F6)</f>
        <v>0</v>
      </c>
      <c r="H6" s="1225">
        <f>+雨汚水!J58</f>
        <v>0</v>
      </c>
      <c r="I6" s="1224">
        <f>+雨汚水!K58</f>
        <v>20488962528</v>
      </c>
      <c r="J6" s="1223">
        <f t="shared" ref="J6:J15" si="2">SUM(H6:I6)</f>
        <v>20488962528</v>
      </c>
      <c r="L6" s="1203">
        <f t="shared" ref="L6:L12" si="3">C6-G5:G6-I6</f>
        <v>0</v>
      </c>
      <c r="O6" s="1328"/>
      <c r="P6" s="1612"/>
      <c r="Q6" s="1609"/>
      <c r="R6" s="1203">
        <f t="shared" ref="R6:W6" si="4">R7+R9+R12</f>
        <v>13869351636</v>
      </c>
      <c r="S6" s="1203">
        <f t="shared" si="4"/>
        <v>209925016</v>
      </c>
      <c r="T6" s="1203">
        <f t="shared" si="4"/>
        <v>14079276652</v>
      </c>
      <c r="U6" s="1322">
        <f t="shared" si="4"/>
        <v>-8725093</v>
      </c>
      <c r="V6" s="1203">
        <f t="shared" si="4"/>
        <v>14070551559</v>
      </c>
      <c r="W6" s="1203">
        <f t="shared" si="4"/>
        <v>201199923</v>
      </c>
    </row>
    <row r="7" spans="1:24" ht="27" customHeight="1" thickBot="1">
      <c r="A7" s="1350" t="s">
        <v>1762</v>
      </c>
      <c r="B7" s="1244" t="s">
        <v>1761</v>
      </c>
      <c r="C7" s="1349">
        <f>+雨汚水!E60</f>
        <v>0</v>
      </c>
      <c r="D7" s="1348">
        <f>+雨汚水!F60</f>
        <v>0</v>
      </c>
      <c r="E7" s="1346">
        <f>+雨汚水!G60</f>
        <v>0</v>
      </c>
      <c r="F7" s="1346">
        <f>+雨汚水!H60</f>
        <v>0</v>
      </c>
      <c r="G7" s="1345">
        <f t="shared" si="1"/>
        <v>0</v>
      </c>
      <c r="H7" s="1347">
        <f>+雨汚水!J60</f>
        <v>0</v>
      </c>
      <c r="I7" s="1346">
        <f>+雨汚水!K60</f>
        <v>0</v>
      </c>
      <c r="J7" s="1345">
        <f t="shared" si="2"/>
        <v>0</v>
      </c>
      <c r="L7" s="1203">
        <f t="shared" si="3"/>
        <v>0</v>
      </c>
      <c r="O7" s="1328"/>
      <c r="P7" s="1327"/>
      <c r="Q7" s="1613" t="s">
        <v>1760</v>
      </c>
      <c r="R7" s="1203">
        <f>'3条税抜き'!H31+'3条税抜き'!I31-'3条税抜き'!I8-'3条税抜き'!G13-'3条税抜き'!L12-収入税抜き!G17-(収入税抜き!H17-収入税抜き!H13)-R33</f>
        <v>3383678341</v>
      </c>
      <c r="S7" s="1356">
        <f>+雨汚水!AD130-収入税込!S12-収入税込!S15-収入税込!S17-収入税込!S19-収入税込!S33-収入税込!S34</f>
        <v>207371377</v>
      </c>
      <c r="T7" s="1203">
        <f>R7+S7</f>
        <v>3591049718</v>
      </c>
      <c r="U7" s="1322">
        <f>(U15+U17+U19+U33)*-1</f>
        <v>-8725093</v>
      </c>
      <c r="V7" s="1203">
        <f>T7+U7</f>
        <v>3582324625</v>
      </c>
      <c r="W7" s="1203">
        <f>S7+U7</f>
        <v>198646284</v>
      </c>
    </row>
    <row r="8" spans="1:24" ht="27" customHeight="1">
      <c r="A8" s="1343" t="s">
        <v>1759</v>
      </c>
      <c r="B8" s="1244" t="s">
        <v>1574</v>
      </c>
      <c r="C8" s="1235">
        <f>+SUM(雨汚水!E61:E64)</f>
        <v>189846869</v>
      </c>
      <c r="D8" s="1231">
        <f>+SUM(雨汚水!F61:F64)</f>
        <v>935365</v>
      </c>
      <c r="E8" s="1231">
        <f>+SUM(雨汚水!G61:G64)</f>
        <v>507311</v>
      </c>
      <c r="F8" s="1231">
        <f>+SUM(雨汚水!H61:H64)</f>
        <v>37753060</v>
      </c>
      <c r="G8" s="1353">
        <f t="shared" si="1"/>
        <v>39195736</v>
      </c>
      <c r="H8" s="1232">
        <f>+SUM(雨汚水!J61:J64)</f>
        <v>269500</v>
      </c>
      <c r="I8" s="1231">
        <f>+SUM(雨汚水!K61:K64)</f>
        <v>150381633</v>
      </c>
      <c r="J8" s="1230">
        <f t="shared" si="2"/>
        <v>150651133</v>
      </c>
      <c r="L8" s="1203">
        <f t="shared" si="3"/>
        <v>269500</v>
      </c>
      <c r="O8" s="1328"/>
      <c r="P8" s="1327"/>
      <c r="Q8" s="1614"/>
      <c r="U8" s="1322"/>
    </row>
    <row r="9" spans="1:24" ht="27" customHeight="1">
      <c r="A9" s="1343" t="s">
        <v>1758</v>
      </c>
      <c r="B9" s="1244" t="s">
        <v>1467</v>
      </c>
      <c r="C9" s="1235">
        <f>+雨汚水!E68</f>
        <v>88770</v>
      </c>
      <c r="D9" s="1234">
        <f>+雨汚水!F68</f>
        <v>44385</v>
      </c>
      <c r="E9" s="1231">
        <f>+雨汚水!G68</f>
        <v>0</v>
      </c>
      <c r="F9" s="1231">
        <f>+雨汚水!H68</f>
        <v>0</v>
      </c>
      <c r="G9" s="1230">
        <f t="shared" si="1"/>
        <v>44385</v>
      </c>
      <c r="H9" s="1232">
        <f>+雨汚水!J68</f>
        <v>0</v>
      </c>
      <c r="I9" s="1231">
        <f>+雨汚水!K68</f>
        <v>44385</v>
      </c>
      <c r="J9" s="1230">
        <f t="shared" si="2"/>
        <v>44385</v>
      </c>
      <c r="L9" s="1203">
        <f t="shared" si="3"/>
        <v>0</v>
      </c>
      <c r="O9" s="1328"/>
      <c r="P9" s="1327"/>
      <c r="Q9" s="1613" t="s">
        <v>1457</v>
      </c>
      <c r="R9" s="1203">
        <f>'3条税抜き'!H32+'3条税抜き'!H38+'3条税抜き'!I32+'3条税抜き'!I38-G21-H21-G22-G23-H23-H22</f>
        <v>8476549651</v>
      </c>
      <c r="T9" s="1203">
        <f>R9+S9</f>
        <v>8476549651</v>
      </c>
      <c r="U9" s="1322"/>
      <c r="V9" s="1203">
        <f>T9</f>
        <v>8476549651</v>
      </c>
      <c r="W9" s="1203">
        <f>S9+U9</f>
        <v>0</v>
      </c>
    </row>
    <row r="10" spans="1:24" ht="27" customHeight="1">
      <c r="A10" s="1343" t="s">
        <v>1757</v>
      </c>
      <c r="B10" s="1244" t="s">
        <v>1566</v>
      </c>
      <c r="C10" s="1235">
        <f>+雨汚水!E70</f>
        <v>37016600</v>
      </c>
      <c r="D10" s="1231">
        <f>+雨汚水!F70</f>
        <v>36785219</v>
      </c>
      <c r="E10" s="1231">
        <f>+雨汚水!G70</f>
        <v>0</v>
      </c>
      <c r="F10" s="1231">
        <f>+雨汚水!H70</f>
        <v>0</v>
      </c>
      <c r="G10" s="1230">
        <f t="shared" si="1"/>
        <v>36785219</v>
      </c>
      <c r="H10" s="1232">
        <f>+雨汚水!J70</f>
        <v>0</v>
      </c>
      <c r="I10" s="1231">
        <f>+雨汚水!K70</f>
        <v>231381</v>
      </c>
      <c r="J10" s="1230">
        <f t="shared" si="2"/>
        <v>231381</v>
      </c>
      <c r="L10" s="1203">
        <f t="shared" si="3"/>
        <v>0</v>
      </c>
      <c r="O10" s="1328"/>
      <c r="P10" s="1327"/>
      <c r="Q10" s="1615"/>
      <c r="U10" s="1322"/>
    </row>
    <row r="11" spans="1:24" ht="27" customHeight="1">
      <c r="A11" s="1241" t="s">
        <v>1747</v>
      </c>
      <c r="B11" s="1244" t="s">
        <v>1562</v>
      </c>
      <c r="C11" s="1235">
        <f>+雨汚水!E65+雨汚水!E75+雨汚水!E76</f>
        <v>36460334</v>
      </c>
      <c r="D11" s="1231">
        <f>+雨汚水!F65+雨汚水!F75+雨汚水!F76</f>
        <v>10360569</v>
      </c>
      <c r="E11" s="1231">
        <f>+雨汚水!G65+雨汚水!G75+雨汚水!G76</f>
        <v>0</v>
      </c>
      <c r="F11" s="1231">
        <f>+雨汚水!H65+雨汚水!H75+雨汚水!H76</f>
        <v>1807770</v>
      </c>
      <c r="G11" s="1230">
        <f t="shared" si="1"/>
        <v>12168339</v>
      </c>
      <c r="H11" s="1232">
        <f>+雨汚水!J65+雨汚水!J75+雨汚水!J76</f>
        <v>0</v>
      </c>
      <c r="I11" s="1231">
        <f>+雨汚水!K65+雨汚水!K75+雨汚水!K76</f>
        <v>24291995</v>
      </c>
      <c r="J11" s="1230">
        <f t="shared" si="2"/>
        <v>24291995</v>
      </c>
      <c r="K11" s="1262"/>
      <c r="L11" s="1203">
        <f t="shared" si="3"/>
        <v>0</v>
      </c>
      <c r="O11" s="1328"/>
      <c r="P11" s="1327"/>
      <c r="Q11" s="1613" t="s">
        <v>1456</v>
      </c>
      <c r="U11" s="1322"/>
    </row>
    <row r="12" spans="1:24" ht="27" customHeight="1">
      <c r="A12" s="1343" t="s">
        <v>1745</v>
      </c>
      <c r="B12" s="1355" t="s">
        <v>1756</v>
      </c>
      <c r="C12" s="1235">
        <f>+SUM(雨汚水!E79:E83)</f>
        <v>3864779</v>
      </c>
      <c r="D12" s="1231">
        <f>+SUM(雨汚水!F79:F83)</f>
        <v>713461</v>
      </c>
      <c r="E12" s="1231">
        <f>+SUM(雨汚水!G79:G83)</f>
        <v>0</v>
      </c>
      <c r="F12" s="1231">
        <f>+SUM(雨汚水!H79:H83)</f>
        <v>504308</v>
      </c>
      <c r="G12" s="1230">
        <f t="shared" si="1"/>
        <v>1217769</v>
      </c>
      <c r="H12" s="1232">
        <f>+SUM(雨汚水!J79:J83)</f>
        <v>29260</v>
      </c>
      <c r="I12" s="1231">
        <f>+SUM(雨汚水!K79:K83)</f>
        <v>2617750</v>
      </c>
      <c r="J12" s="1230">
        <f t="shared" si="2"/>
        <v>2647010</v>
      </c>
      <c r="L12" s="1203">
        <f t="shared" si="3"/>
        <v>29260</v>
      </c>
      <c r="O12" s="1328"/>
      <c r="P12" s="1327"/>
      <c r="Q12" s="1616"/>
      <c r="R12" s="1203">
        <f>'3条税抜き'!H36-'3条税抜き'!G40+'3条税抜き'!I36-収入税抜き!G19-収入税抜き!H19</f>
        <v>2009123644</v>
      </c>
      <c r="S12" s="1203">
        <f>+雨汚水!Z113+雨汚水!AA113</f>
        <v>2553639</v>
      </c>
      <c r="T12" s="1203">
        <f>R12+S12</f>
        <v>2011677283</v>
      </c>
      <c r="U12" s="1322">
        <f>V12-T12</f>
        <v>0</v>
      </c>
      <c r="V12" s="1203">
        <f>T12</f>
        <v>2011677283</v>
      </c>
      <c r="W12" s="1203">
        <f>S12+U12</f>
        <v>2553639</v>
      </c>
    </row>
    <row r="13" spans="1:24" ht="27" customHeight="1">
      <c r="A13" s="1343" t="s">
        <v>1743</v>
      </c>
      <c r="B13" s="1354" t="s">
        <v>1755</v>
      </c>
      <c r="C13" s="1235">
        <f>+雨汚水!E69</f>
        <v>0</v>
      </c>
      <c r="D13" s="1234">
        <f>+雨汚水!F69</f>
        <v>0</v>
      </c>
      <c r="E13" s="1231">
        <f>+雨汚水!G69</f>
        <v>0</v>
      </c>
      <c r="F13" s="1231">
        <f>+雨汚水!H69</f>
        <v>0</v>
      </c>
      <c r="G13" s="1230">
        <f t="shared" si="1"/>
        <v>0</v>
      </c>
      <c r="H13" s="1232">
        <f>+雨汚水!J69</f>
        <v>0</v>
      </c>
      <c r="I13" s="1231">
        <f>+雨汚水!K69</f>
        <v>0</v>
      </c>
      <c r="J13" s="1230">
        <f t="shared" si="2"/>
        <v>0</v>
      </c>
      <c r="L13" s="1203">
        <f>C13-G13-J13</f>
        <v>0</v>
      </c>
      <c r="O13" s="1328"/>
      <c r="P13" s="1327"/>
      <c r="Q13" s="1616"/>
      <c r="U13" s="1322"/>
    </row>
    <row r="14" spans="1:24" ht="27" customHeight="1" thickBot="1">
      <c r="A14" s="1343" t="s">
        <v>1741</v>
      </c>
      <c r="B14" s="1243" t="s">
        <v>1786</v>
      </c>
      <c r="C14" s="1235"/>
      <c r="D14" s="1242"/>
      <c r="E14" s="1231"/>
      <c r="F14" s="1231"/>
      <c r="G14" s="1353">
        <f t="shared" si="1"/>
        <v>0</v>
      </c>
      <c r="H14" s="1232"/>
      <c r="I14" s="1231"/>
      <c r="J14" s="1230">
        <f t="shared" si="2"/>
        <v>0</v>
      </c>
      <c r="L14" s="1203">
        <f>C14-G14-J14</f>
        <v>0</v>
      </c>
      <c r="O14" s="1328"/>
      <c r="P14" s="1327"/>
      <c r="Q14" s="1617"/>
      <c r="U14" s="1322"/>
    </row>
    <row r="15" spans="1:24" ht="27" customHeight="1">
      <c r="A15" s="1343" t="s">
        <v>1738</v>
      </c>
      <c r="B15" s="1231" t="s">
        <v>1754</v>
      </c>
      <c r="C15" s="1235"/>
      <c r="D15" s="1234"/>
      <c r="E15" s="1231"/>
      <c r="F15" s="1231"/>
      <c r="G15" s="1230">
        <f t="shared" si="1"/>
        <v>0</v>
      </c>
      <c r="H15" s="1232"/>
      <c r="I15" s="1231"/>
      <c r="J15" s="1230">
        <f t="shared" si="2"/>
        <v>0</v>
      </c>
      <c r="L15" s="1203">
        <f>C15-G14:G15-I15</f>
        <v>0</v>
      </c>
      <c r="O15" s="1328"/>
      <c r="P15" s="1602" t="s">
        <v>1753</v>
      </c>
      <c r="Q15" s="1603"/>
      <c r="R15" s="1203">
        <f>'3条税抜き'!I8</f>
        <v>51313295</v>
      </c>
      <c r="S15" s="1352">
        <f>+雨汚水!Z116+雨汚水!AA116</f>
        <v>1117953</v>
      </c>
      <c r="T15" s="1203">
        <f>R15+S15</f>
        <v>52431248</v>
      </c>
      <c r="U15" s="1322">
        <f>V15-T15</f>
        <v>12621</v>
      </c>
      <c r="V15" s="1203">
        <f>'3条税込み'!I8</f>
        <v>52443869</v>
      </c>
      <c r="W15" s="1203">
        <f>S15+U15</f>
        <v>1130574</v>
      </c>
    </row>
    <row r="16" spans="1:24" ht="27" customHeight="1">
      <c r="A16" s="1281"/>
      <c r="B16" s="1351"/>
      <c r="C16" s="1235"/>
      <c r="D16" s="1234"/>
      <c r="E16" s="1231"/>
      <c r="F16" s="1231"/>
      <c r="G16" s="1230"/>
      <c r="H16" s="1232"/>
      <c r="I16" s="1231"/>
      <c r="J16" s="1230"/>
      <c r="K16" s="1248" t="s">
        <v>1694</v>
      </c>
      <c r="L16" s="1203">
        <f>C16-G15:G16-I16</f>
        <v>0</v>
      </c>
      <c r="O16" s="1328"/>
      <c r="P16" s="1602"/>
      <c r="Q16" s="1603"/>
      <c r="S16" s="1344"/>
      <c r="U16" s="1322"/>
    </row>
    <row r="17" spans="1:26" ht="27" customHeight="1">
      <c r="A17" s="1215" t="s">
        <v>1676</v>
      </c>
      <c r="B17" s="1255"/>
      <c r="C17" s="1227">
        <f t="shared" ref="C17:J17" si="5">SUM(C7:C16)</f>
        <v>267277352</v>
      </c>
      <c r="D17" s="1226">
        <f t="shared" si="5"/>
        <v>48838999</v>
      </c>
      <c r="E17" s="1224">
        <f t="shared" si="5"/>
        <v>507311</v>
      </c>
      <c r="F17" s="1224">
        <f t="shared" si="5"/>
        <v>40065138</v>
      </c>
      <c r="G17" s="1223">
        <f t="shared" si="5"/>
        <v>89411448</v>
      </c>
      <c r="H17" s="1225">
        <f t="shared" si="5"/>
        <v>298760</v>
      </c>
      <c r="I17" s="1224">
        <f t="shared" si="5"/>
        <v>177567144</v>
      </c>
      <c r="J17" s="1223">
        <f t="shared" si="5"/>
        <v>177865904</v>
      </c>
      <c r="K17" s="1203">
        <f>G17-F13</f>
        <v>89411448</v>
      </c>
      <c r="L17" s="1203">
        <f>C17-G17-J17</f>
        <v>0</v>
      </c>
      <c r="O17" s="1328"/>
      <c r="P17" s="1602" t="s">
        <v>1752</v>
      </c>
      <c r="Q17" s="1603"/>
      <c r="R17" s="1203">
        <f>'3条税抜き'!L12-収入税抜き!H13</f>
        <v>43567026</v>
      </c>
      <c r="S17" s="1344">
        <f>+雨汚水!Z117+雨汚水!AA117</f>
        <v>850124</v>
      </c>
      <c r="T17" s="1203">
        <f>R17+S17</f>
        <v>44417150</v>
      </c>
      <c r="U17" s="1322">
        <f>V17-T17</f>
        <v>7625</v>
      </c>
      <c r="V17" s="1203">
        <f>'3条税込み'!L12</f>
        <v>44424775</v>
      </c>
      <c r="W17" s="1203">
        <f>S17+U17</f>
        <v>857749</v>
      </c>
    </row>
    <row r="18" spans="1:26" ht="27" customHeight="1">
      <c r="A18" s="1350" t="s">
        <v>1751</v>
      </c>
      <c r="B18" s="1253" t="s">
        <v>1750</v>
      </c>
      <c r="C18" s="1349"/>
      <c r="D18" s="1348"/>
      <c r="E18" s="1346"/>
      <c r="F18" s="1346"/>
      <c r="G18" s="1345">
        <f>SUM(D18:F18)</f>
        <v>0</v>
      </c>
      <c r="H18" s="1347"/>
      <c r="I18" s="1346"/>
      <c r="J18" s="1345">
        <f>SUM(H18:I18)</f>
        <v>0</v>
      </c>
      <c r="K18" s="1248"/>
      <c r="L18" s="1203">
        <f>C18-G17:G18-I18</f>
        <v>0</v>
      </c>
      <c r="O18" s="1328"/>
      <c r="P18" s="1602"/>
      <c r="Q18" s="1603"/>
      <c r="S18" s="1344"/>
      <c r="U18" s="1322"/>
    </row>
    <row r="19" spans="1:26" ht="27" customHeight="1" thickBot="1">
      <c r="A19" s="1343" t="s">
        <v>1749</v>
      </c>
      <c r="B19" s="1244" t="s">
        <v>1566</v>
      </c>
      <c r="C19" s="1235">
        <f>+SUM(雨汚水!E88:E89)</f>
        <v>16476593</v>
      </c>
      <c r="D19" s="1234">
        <f>+SUM(雨汚水!F88:F89)</f>
        <v>8440628</v>
      </c>
      <c r="E19" s="1231">
        <f>+SUM(雨汚水!G88:G89)</f>
        <v>0</v>
      </c>
      <c r="F19" s="1231">
        <f>+SUM(雨汚水!H88:H89)</f>
        <v>0</v>
      </c>
      <c r="G19" s="1230">
        <f>SUM(D19:F19)</f>
        <v>8440628</v>
      </c>
      <c r="H19" s="1232">
        <f>+SUM(雨汚水!J88:J89)</f>
        <v>0</v>
      </c>
      <c r="I19" s="1231">
        <f>+SUM(雨汚水!K88:K89)</f>
        <v>8035965</v>
      </c>
      <c r="J19" s="1230">
        <f>SUM(H19:I19)</f>
        <v>8035965</v>
      </c>
      <c r="L19" s="1203">
        <f>C19-G18:G19-I19</f>
        <v>0</v>
      </c>
      <c r="O19" s="1328"/>
      <c r="P19" s="1618" t="s">
        <v>1748</v>
      </c>
      <c r="Q19" s="1603"/>
      <c r="R19" s="1203">
        <f>'3条税抜き'!G13+'3条税抜き'!G40</f>
        <v>10396270</v>
      </c>
      <c r="S19" s="1212">
        <f>+雨汚水!Z118+雨汚水!AA118</f>
        <v>87781</v>
      </c>
      <c r="T19" s="1203">
        <f>R19+S19</f>
        <v>10484051</v>
      </c>
      <c r="U19" s="1322">
        <f>V19-T19</f>
        <v>-192</v>
      </c>
      <c r="V19" s="1203">
        <f>'3条税込み'!L14</f>
        <v>10483859</v>
      </c>
      <c r="W19" s="1203">
        <f>S19+U19</f>
        <v>87589</v>
      </c>
    </row>
    <row r="20" spans="1:26" ht="27" customHeight="1" thickBot="1">
      <c r="A20" s="1241" t="s">
        <v>1747</v>
      </c>
      <c r="B20" s="1244" t="s">
        <v>1746</v>
      </c>
      <c r="C20" s="1235"/>
      <c r="D20" s="1234"/>
      <c r="E20" s="1231"/>
      <c r="F20" s="1231"/>
      <c r="G20" s="1230"/>
      <c r="H20" s="1232"/>
      <c r="I20" s="1231"/>
      <c r="J20" s="1230"/>
      <c r="L20" s="1203">
        <f>C20-G19:G20-I20</f>
        <v>0</v>
      </c>
      <c r="O20" s="1342"/>
      <c r="P20" s="1619"/>
      <c r="Q20" s="1620"/>
      <c r="R20" s="1203">
        <f>'3条税抜き'!G13</f>
        <v>10396270</v>
      </c>
      <c r="U20" s="1322"/>
    </row>
    <row r="21" spans="1:26" ht="27" customHeight="1">
      <c r="A21" s="1340" t="s">
        <v>1745</v>
      </c>
      <c r="B21" s="1341" t="s">
        <v>1744</v>
      </c>
      <c r="C21" s="1235">
        <f>+雨汚水!E85</f>
        <v>9364620277</v>
      </c>
      <c r="D21" s="1234">
        <f>+雨汚水!F85</f>
        <v>4482094461</v>
      </c>
      <c r="E21" s="1231">
        <f>+雨汚水!G85</f>
        <v>2428480</v>
      </c>
      <c r="F21" s="1231">
        <f>+雨汚水!H85</f>
        <v>0</v>
      </c>
      <c r="G21" s="1230">
        <f>SUM(D21:F21)</f>
        <v>4484522941</v>
      </c>
      <c r="H21" s="1232">
        <f>+雨汚水!J85</f>
        <v>6059291</v>
      </c>
      <c r="I21" s="1231">
        <f>+雨汚水!K85</f>
        <v>4874038045</v>
      </c>
      <c r="J21" s="1230">
        <f>SUM(H21:I21)</f>
        <v>4880097336</v>
      </c>
      <c r="L21" s="1203">
        <f>C21-G20:G21-I21-H21</f>
        <v>0</v>
      </c>
      <c r="O21" s="1621" t="s">
        <v>1477</v>
      </c>
      <c r="P21" s="1622"/>
      <c r="Q21" s="1611"/>
    </row>
    <row r="22" spans="1:26" ht="27" customHeight="1">
      <c r="A22" s="1340" t="s">
        <v>1743</v>
      </c>
      <c r="B22" s="1257" t="s">
        <v>1742</v>
      </c>
      <c r="C22" s="1235">
        <f>+雨汚水!E86</f>
        <v>120734725</v>
      </c>
      <c r="D22" s="1234">
        <f>+雨汚水!F86</f>
        <v>49928323</v>
      </c>
      <c r="E22" s="1231">
        <f>+雨汚水!G86</f>
        <v>486150</v>
      </c>
      <c r="F22" s="1231">
        <f>+雨汚水!H86</f>
        <v>0</v>
      </c>
      <c r="G22" s="1230">
        <f>SUM(D22:F22)</f>
        <v>50414473</v>
      </c>
      <c r="H22" s="1232">
        <f>+雨汚水!J86</f>
        <v>0</v>
      </c>
      <c r="I22" s="1231">
        <f>+雨汚水!K86</f>
        <v>70320252</v>
      </c>
      <c r="J22" s="1230">
        <f>SUM(H22:I22)</f>
        <v>70320252</v>
      </c>
      <c r="L22" s="1203">
        <f>C22-G21:G22-I22-H22</f>
        <v>0</v>
      </c>
      <c r="O22" s="1607"/>
      <c r="P22" s="1608"/>
      <c r="Q22" s="1609"/>
      <c r="R22" s="1203">
        <f>'3条税抜き'!J44-収入税抜き!I26-収入税込!R23+R31+Y22+R33</f>
        <v>57930</v>
      </c>
      <c r="Y22" s="1329">
        <v>1046057695</v>
      </c>
      <c r="Z22" s="1203">
        <f>R23-R22+Y22+R33</f>
        <v>1559167760</v>
      </c>
    </row>
    <row r="23" spans="1:26" ht="27" customHeight="1">
      <c r="A23" s="1340" t="s">
        <v>1741</v>
      </c>
      <c r="B23" s="1236" t="s">
        <v>1740</v>
      </c>
      <c r="C23" s="1235">
        <f>+SUM(雨汚水!E93:E95)</f>
        <v>334220</v>
      </c>
      <c r="D23" s="1231">
        <f>+SUM(雨汚水!F93:F95)</f>
        <v>281270</v>
      </c>
      <c r="E23" s="1231">
        <f>+SUM(雨汚水!G93:G95)</f>
        <v>0</v>
      </c>
      <c r="F23" s="1231">
        <f>+SUM(雨汚水!H93:H95)</f>
        <v>0</v>
      </c>
      <c r="G23" s="1230">
        <f>SUM(D23:F23)</f>
        <v>281270</v>
      </c>
      <c r="H23" s="1232">
        <f>+SUM(雨汚水!J93:J95)</f>
        <v>0</v>
      </c>
      <c r="I23" s="1231">
        <f>+SUM(雨汚水!K93:K95)</f>
        <v>52950</v>
      </c>
      <c r="J23" s="1230">
        <f>SUM(H23:I23)</f>
        <v>52950</v>
      </c>
      <c r="K23" s="1248" t="s">
        <v>1719</v>
      </c>
      <c r="L23" s="1203">
        <f>C23-G22:G23-I23-H23</f>
        <v>0</v>
      </c>
      <c r="O23" s="1328"/>
      <c r="P23" s="1610" t="s">
        <v>1739</v>
      </c>
      <c r="Q23" s="1611"/>
      <c r="R23" s="1203">
        <f t="shared" ref="R23:W23" si="6">R25+R27+R31</f>
        <v>513167995</v>
      </c>
      <c r="S23" s="1203">
        <f t="shared" si="6"/>
        <v>0</v>
      </c>
      <c r="T23" s="1203">
        <f t="shared" si="6"/>
        <v>513167995</v>
      </c>
      <c r="U23" s="1203">
        <f t="shared" si="6"/>
        <v>0</v>
      </c>
      <c r="V23" s="1203">
        <f t="shared" si="6"/>
        <v>513167995</v>
      </c>
      <c r="W23" s="1203">
        <f t="shared" si="6"/>
        <v>0</v>
      </c>
    </row>
    <row r="24" spans="1:26" ht="27" customHeight="1">
      <c r="A24" s="1339" t="s">
        <v>1738</v>
      </c>
      <c r="B24" s="1338" t="s">
        <v>1676</v>
      </c>
      <c r="C24" s="1337">
        <f t="shared" ref="C24:J24" si="7">SUM(C18:C23)</f>
        <v>9502165815</v>
      </c>
      <c r="D24" s="1336">
        <f t="shared" si="7"/>
        <v>4540744682</v>
      </c>
      <c r="E24" s="1334">
        <f t="shared" si="7"/>
        <v>2914630</v>
      </c>
      <c r="F24" s="1334">
        <f t="shared" si="7"/>
        <v>0</v>
      </c>
      <c r="G24" s="1333">
        <f t="shared" si="7"/>
        <v>4543659312</v>
      </c>
      <c r="H24" s="1335">
        <f t="shared" si="7"/>
        <v>6059291</v>
      </c>
      <c r="I24" s="1334">
        <f t="shared" si="7"/>
        <v>4952447212</v>
      </c>
      <c r="J24" s="1333">
        <f t="shared" si="7"/>
        <v>4958506503</v>
      </c>
      <c r="K24" s="1301">
        <f>D24+E24</f>
        <v>4543659312</v>
      </c>
      <c r="L24" s="1203">
        <f>C24-G23:G24-I24-H24</f>
        <v>0</v>
      </c>
      <c r="O24" s="1328"/>
      <c r="P24" s="1612"/>
      <c r="Q24" s="1609"/>
    </row>
    <row r="25" spans="1:26" ht="27" customHeight="1">
      <c r="A25" s="1222"/>
      <c r="B25" s="1221"/>
      <c r="C25" s="1220"/>
      <c r="D25" s="1219"/>
      <c r="E25" s="1217"/>
      <c r="F25" s="1217"/>
      <c r="G25" s="1216"/>
      <c r="H25" s="1218"/>
      <c r="I25" s="1217"/>
      <c r="J25" s="1216"/>
      <c r="L25" s="1203">
        <f>C25-G24:G25-I25</f>
        <v>0</v>
      </c>
      <c r="O25" s="1328"/>
      <c r="P25" s="1327"/>
      <c r="Q25" s="1613" t="s">
        <v>1457</v>
      </c>
      <c r="R25" s="1203">
        <f>R36-R40-R45-R51+Y25</f>
        <v>386362778</v>
      </c>
      <c r="S25" s="1332"/>
      <c r="T25" s="1203">
        <f>R25+S25</f>
        <v>386362778</v>
      </c>
      <c r="U25" s="1331"/>
      <c r="V25" s="1203">
        <f>T25</f>
        <v>386362778</v>
      </c>
      <c r="W25" s="1203">
        <f>S25+U25</f>
        <v>0</v>
      </c>
      <c r="Y25" s="1329">
        <v>826565023</v>
      </c>
      <c r="Z25" s="1203">
        <f>Y25-R25</f>
        <v>440202245</v>
      </c>
    </row>
    <row r="26" spans="1:26" ht="27" customHeight="1" thickBot="1">
      <c r="A26" s="1330" t="s">
        <v>1674</v>
      </c>
      <c r="B26" s="1213"/>
      <c r="C26" s="1212">
        <f t="shared" ref="C26:J26" si="8">C6+C17+C24</f>
        <v>30258405695</v>
      </c>
      <c r="D26" s="1211">
        <f t="shared" si="8"/>
        <v>4589583681</v>
      </c>
      <c r="E26" s="1208">
        <f t="shared" si="8"/>
        <v>3421941</v>
      </c>
      <c r="F26" s="1211">
        <f t="shared" si="8"/>
        <v>40065138</v>
      </c>
      <c r="G26" s="1210">
        <f t="shared" si="8"/>
        <v>4633070760</v>
      </c>
      <c r="H26" s="1209">
        <f t="shared" si="8"/>
        <v>6358051</v>
      </c>
      <c r="I26" s="1208">
        <f t="shared" si="8"/>
        <v>25618976884</v>
      </c>
      <c r="J26" s="1207">
        <f t="shared" si="8"/>
        <v>25625334935</v>
      </c>
      <c r="L26" s="1203">
        <f>C26-G26-J26</f>
        <v>0</v>
      </c>
      <c r="O26" s="1328"/>
      <c r="P26" s="1327"/>
      <c r="Q26" s="1614"/>
    </row>
    <row r="27" spans="1:26" ht="21" customHeight="1">
      <c r="O27" s="1328"/>
      <c r="P27" s="1327"/>
      <c r="Q27" s="1613" t="s">
        <v>1456</v>
      </c>
      <c r="R27" s="1203">
        <f>R37-R41-R46+Y27</f>
        <v>126800237</v>
      </c>
      <c r="T27" s="1203">
        <f>R27+S27</f>
        <v>126800237</v>
      </c>
      <c r="V27" s="1203">
        <f>T27</f>
        <v>126800237</v>
      </c>
      <c r="W27" s="1203">
        <f>S27+U27</f>
        <v>0</v>
      </c>
      <c r="Y27" s="1329">
        <v>219492672</v>
      </c>
      <c r="Z27" s="1203">
        <f>Y27-R27</f>
        <v>92692435</v>
      </c>
    </row>
    <row r="28" spans="1:26">
      <c r="O28" s="1328"/>
      <c r="P28" s="1327"/>
      <c r="Q28" s="1614"/>
    </row>
    <row r="29" spans="1:26">
      <c r="O29" s="1328"/>
      <c r="P29" s="1327"/>
      <c r="Q29" s="1614"/>
    </row>
    <row r="30" spans="1:26">
      <c r="O30" s="1328"/>
      <c r="P30" s="1327"/>
      <c r="Q30" s="1615"/>
    </row>
    <row r="31" spans="1:26">
      <c r="O31" s="1328"/>
      <c r="P31" s="1327"/>
      <c r="Q31" s="1614" t="s">
        <v>1737</v>
      </c>
      <c r="R31" s="1203">
        <f>+'3条収入'!$E$47</f>
        <v>4980</v>
      </c>
      <c r="T31" s="1203">
        <f>R31+S31</f>
        <v>4980</v>
      </c>
      <c r="V31" s="1203">
        <f>T31</f>
        <v>4980</v>
      </c>
      <c r="W31" s="1203">
        <f>S31+U31</f>
        <v>0</v>
      </c>
    </row>
    <row r="32" spans="1:26">
      <c r="O32" s="1328"/>
      <c r="P32" s="1327"/>
      <c r="Q32" s="1614"/>
      <c r="S32" s="1326" t="s">
        <v>1736</v>
      </c>
    </row>
    <row r="33" spans="15:23" ht="27.75" customHeight="1" thickBot="1">
      <c r="O33" s="1325"/>
      <c r="P33" s="1324" t="s">
        <v>1735</v>
      </c>
      <c r="Q33" s="1323"/>
      <c r="R33" s="1203">
        <f>+雨汚水!R126</f>
        <v>0</v>
      </c>
      <c r="S33" s="1203">
        <f>+雨汚水!Z126+雨汚水!AA126</f>
        <v>493234</v>
      </c>
      <c r="T33" s="1203">
        <f>R33+S33</f>
        <v>493234</v>
      </c>
      <c r="U33" s="1322">
        <f>V33-T33</f>
        <v>8705039</v>
      </c>
      <c r="V33" s="1203">
        <f>+'3条税込み'!D24</f>
        <v>9198273</v>
      </c>
      <c r="W33" s="1203">
        <f>S33+U33</f>
        <v>9198273</v>
      </c>
    </row>
    <row r="34" spans="15:23" ht="27.75" customHeight="1">
      <c r="Q34" s="1203" t="s">
        <v>1734</v>
      </c>
      <c r="S34" s="1203">
        <f>+雨汚水!Z128+雨汚水!AA128</f>
        <v>12740</v>
      </c>
      <c r="T34" s="1203">
        <f>R34+S34</f>
        <v>12740</v>
      </c>
      <c r="U34" s="1322">
        <f>V34-T34</f>
        <v>0</v>
      </c>
      <c r="V34" s="1203">
        <f>T34</f>
        <v>12740</v>
      </c>
      <c r="W34" s="1203">
        <f>S34+U34</f>
        <v>12740</v>
      </c>
    </row>
    <row r="35" spans="15:23">
      <c r="O35" s="1203" t="s">
        <v>1733</v>
      </c>
      <c r="R35" s="1203">
        <f>収入税抜き!I6-('3条税抜き'!J31-収入税抜き!I17)</f>
        <v>11540540975</v>
      </c>
    </row>
    <row r="36" spans="15:23">
      <c r="P36" s="1203" t="s">
        <v>1732</v>
      </c>
      <c r="R36" s="1203">
        <f>'3条税抜き'!J32+'3条税抜き'!J38-収入税抜き!I21-収入税抜き!I22-収入税抜き!I23</f>
        <v>9092965228</v>
      </c>
    </row>
    <row r="37" spans="15:23">
      <c r="P37" s="1203" t="s">
        <v>1731</v>
      </c>
      <c r="R37" s="1203">
        <f>'3条税抜き'!J35-収入税抜き!I19-収入税抜き!I20-収入税抜き!I23</f>
        <v>1914686047</v>
      </c>
    </row>
    <row r="38" spans="15:23">
      <c r="P38" s="1203" t="s">
        <v>1730</v>
      </c>
      <c r="R38" s="1203">
        <f>R36+R37</f>
        <v>11007651275</v>
      </c>
      <c r="S38" s="1321"/>
    </row>
    <row r="39" spans="15:23">
      <c r="O39" s="1203" t="s">
        <v>1729</v>
      </c>
    </row>
    <row r="40" spans="15:23">
      <c r="P40" s="1203" t="s">
        <v>1728</v>
      </c>
      <c r="R40" s="1203">
        <f>ROUND(R35*R36/R38,0)</f>
        <v>9533163359</v>
      </c>
    </row>
    <row r="41" spans="15:23">
      <c r="P41" s="1203" t="s">
        <v>1727</v>
      </c>
      <c r="R41" s="1203">
        <f>ROUND(R35*R37/R38,0)</f>
        <v>2007377616</v>
      </c>
    </row>
    <row r="42" spans="15:23">
      <c r="P42" s="1203" t="s">
        <v>1722</v>
      </c>
      <c r="R42" s="1203">
        <f>R40+R41</f>
        <v>11540540975</v>
      </c>
      <c r="T42" s="1203" t="s">
        <v>1726</v>
      </c>
    </row>
    <row r="43" spans="15:23">
      <c r="R43" s="1203">
        <f>R35-R42</f>
        <v>0</v>
      </c>
    </row>
    <row r="44" spans="15:23">
      <c r="O44" s="1203" t="s">
        <v>1725</v>
      </c>
      <c r="R44" s="1203">
        <f>R31</f>
        <v>4980</v>
      </c>
    </row>
    <row r="45" spans="15:23">
      <c r="P45" s="1203" t="s">
        <v>1724</v>
      </c>
      <c r="R45" s="1203">
        <f>ROUND(R44*R36/R38,0)</f>
        <v>4114</v>
      </c>
    </row>
    <row r="46" spans="15:23">
      <c r="P46" s="1203" t="s">
        <v>1723</v>
      </c>
      <c r="R46" s="1203">
        <f>ROUND(R44*R37/R38,0)</f>
        <v>866</v>
      </c>
    </row>
    <row r="47" spans="15:23">
      <c r="P47" s="1203" t="s">
        <v>1722</v>
      </c>
      <c r="R47" s="1203">
        <f>R44-R45-R46</f>
        <v>0</v>
      </c>
    </row>
    <row r="51" spans="2:3" ht="24.75" customHeight="1"/>
    <row r="52" spans="2:3" ht="24.75" customHeight="1">
      <c r="B52" s="1600" t="s">
        <v>1688</v>
      </c>
      <c r="C52" s="1600"/>
    </row>
    <row r="53" spans="2:3" ht="24.75" customHeight="1">
      <c r="B53" s="1229" t="s">
        <v>1678</v>
      </c>
      <c r="C53" s="1229" t="s">
        <v>1677</v>
      </c>
    </row>
    <row r="54" spans="2:3" ht="24.75" customHeight="1">
      <c r="B54" s="1206"/>
      <c r="C54" s="1206"/>
    </row>
    <row r="55" spans="2:3" ht="24.75" customHeight="1">
      <c r="B55" s="1600" t="s">
        <v>1721</v>
      </c>
      <c r="C55" s="1600"/>
    </row>
    <row r="56" spans="2:3" ht="24.75" customHeight="1">
      <c r="B56" s="1229" t="s">
        <v>1678</v>
      </c>
      <c r="C56" s="1229" t="s">
        <v>1677</v>
      </c>
    </row>
    <row r="57" spans="2:3" ht="24.75" customHeight="1">
      <c r="B57" s="1206"/>
      <c r="C57" s="1206"/>
    </row>
    <row r="58" spans="2:3" ht="24.75" customHeight="1"/>
    <row r="59" spans="2:3" ht="24.75" customHeight="1"/>
    <row r="60" spans="2:3" ht="24.75" customHeight="1"/>
    <row r="61" spans="2:3" ht="24.75" customHeight="1"/>
    <row r="62" spans="2:3" ht="24.75" customHeight="1"/>
  </sheetData>
  <mergeCells count="15">
    <mergeCell ref="Q31:Q32"/>
    <mergeCell ref="B52:C52"/>
    <mergeCell ref="B55:C55"/>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9055118110236221" right="0.19685039370078741" top="0.78740157480314965" bottom="0.39370078740157483" header="0.19685039370078741" footer="0.19685039370078741"/>
  <pageSetup paperSize="9" scale="80" orientation="portrait" blackAndWhite="1" r:id="rId1"/>
  <headerFooter alignWithMargins="0">
    <oddHeader>&amp;L&amp;F &amp;A&amp;R&amp;8 &amp;D &amp;T</oddHeader>
    <oddFooter>&amp;L&amp;8&amp;F　&amp;A</oddFooter>
  </headerFooter>
  <colBreaks count="1" manualBreakCount="1">
    <brk id="10" max="46" man="1"/>
  </colBreaks>
  <drawing r:id="rId2"/>
  <legacyDrawing r:id="rId3"/>
</worksheet>
</file>

<file path=xl/worksheets/w5_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BJ47"/>
  <sheetViews>
    <sheetView zoomScale="80" zoomScaleNormal="80" zoomScaleSheetLayoutView="80" workbookViewId="0"/>
  </sheetViews>
  <sheetFormatPr defaultRowHeight="11.25"/>
  <cols>
    <col min="1" max="1" width="2.375" style="1203" customWidth="1"/>
    <col min="2" max="2" width="11.875" style="1203" customWidth="1"/>
    <col min="3" max="3" width="13" style="1203" customWidth="1"/>
    <col min="4" max="5" width="11.625" style="1203" customWidth="1"/>
    <col min="6" max="6" width="11.375" style="1203" customWidth="1"/>
    <col min="7" max="7" width="11.625" style="1203" customWidth="1"/>
    <col min="8" max="8" width="10.875" style="1203" customWidth="1"/>
    <col min="9" max="9" width="12.75" style="1203" customWidth="1"/>
    <col min="10" max="10" width="13.125" style="1203" customWidth="1"/>
    <col min="11" max="11" width="9.875" style="1203" customWidth="1"/>
    <col min="12" max="15" width="2.625" style="1203" customWidth="1"/>
    <col min="16" max="16" width="8.125" style="1203" customWidth="1"/>
    <col min="17" max="17" width="14.125" style="1203" customWidth="1"/>
    <col min="18" max="23" width="13.125" style="1203" customWidth="1"/>
    <col min="24" max="256" width="9" style="1203"/>
    <col min="257" max="257" width="2.375" style="1203" customWidth="1"/>
    <col min="258" max="258" width="11.875" style="1203" customWidth="1"/>
    <col min="259" max="259" width="13" style="1203" customWidth="1"/>
    <col min="260" max="261" width="11.625" style="1203" customWidth="1"/>
    <col min="262" max="262" width="11.375" style="1203" customWidth="1"/>
    <col min="263" max="263" width="11.625" style="1203" customWidth="1"/>
    <col min="264" max="264" width="10.875" style="1203" customWidth="1"/>
    <col min="265" max="265" width="12.75" style="1203" customWidth="1"/>
    <col min="266" max="266" width="13.125" style="1203" customWidth="1"/>
    <col min="267" max="267" width="9.875" style="1203" customWidth="1"/>
    <col min="268" max="268" width="12" style="1203" bestFit="1" customWidth="1"/>
    <col min="269" max="270" width="5.25" style="1203" customWidth="1"/>
    <col min="271" max="271" width="9" style="1203"/>
    <col min="272" max="272" width="10.25" style="1203" customWidth="1"/>
    <col min="273" max="273" width="10.75" style="1203" customWidth="1"/>
    <col min="274" max="275" width="12.875" style="1203" customWidth="1"/>
    <col min="276" max="276" width="9" style="1203"/>
    <col min="277" max="277" width="1.875" style="1203" customWidth="1"/>
    <col min="278" max="278" width="12.375" style="1203" customWidth="1"/>
    <col min="279" max="279" width="11.625" style="1203" customWidth="1"/>
    <col min="280" max="512" width="9" style="1203"/>
    <col min="513" max="513" width="2.375" style="1203" customWidth="1"/>
    <col min="514" max="514" width="11.875" style="1203" customWidth="1"/>
    <col min="515" max="515" width="13" style="1203" customWidth="1"/>
    <col min="516" max="517" width="11.625" style="1203" customWidth="1"/>
    <col min="518" max="518" width="11.375" style="1203" customWidth="1"/>
    <col min="519" max="519" width="11.625" style="1203" customWidth="1"/>
    <col min="520" max="520" width="10.875" style="1203" customWidth="1"/>
    <col min="521" max="521" width="12.75" style="1203" customWidth="1"/>
    <col min="522" max="522" width="13.125" style="1203" customWidth="1"/>
    <col min="523" max="523" width="9.875" style="1203" customWidth="1"/>
    <col min="524" max="524" width="12" style="1203" bestFit="1" customWidth="1"/>
    <col min="525" max="526" width="5.25" style="1203" customWidth="1"/>
    <col min="527" max="527" width="9" style="1203"/>
    <col min="528" max="528" width="10.25" style="1203" customWidth="1"/>
    <col min="529" max="529" width="10.75" style="1203" customWidth="1"/>
    <col min="530" max="531" width="12.875" style="1203" customWidth="1"/>
    <col min="532" max="532" width="9" style="1203"/>
    <col min="533" max="533" width="1.875" style="1203" customWidth="1"/>
    <col min="534" max="534" width="12.375" style="1203" customWidth="1"/>
    <col min="535" max="535" width="11.625" style="1203" customWidth="1"/>
    <col min="536" max="768" width="9" style="1203"/>
    <col min="769" max="769" width="2.375" style="1203" customWidth="1"/>
    <col min="770" max="770" width="11.875" style="1203" customWidth="1"/>
    <col min="771" max="771" width="13" style="1203" customWidth="1"/>
    <col min="772" max="773" width="11.625" style="1203" customWidth="1"/>
    <col min="774" max="774" width="11.375" style="1203" customWidth="1"/>
    <col min="775" max="775" width="11.625" style="1203" customWidth="1"/>
    <col min="776" max="776" width="10.875" style="1203" customWidth="1"/>
    <col min="777" max="777" width="12.75" style="1203" customWidth="1"/>
    <col min="778" max="778" width="13.125" style="1203" customWidth="1"/>
    <col min="779" max="779" width="9.875" style="1203" customWidth="1"/>
    <col min="780" max="780" width="12" style="1203" bestFit="1" customWidth="1"/>
    <col min="781" max="782" width="5.25" style="1203" customWidth="1"/>
    <col min="783" max="783" width="9" style="1203"/>
    <col min="784" max="784" width="10.25" style="1203" customWidth="1"/>
    <col min="785" max="785" width="10.75" style="1203" customWidth="1"/>
    <col min="786" max="787" width="12.875" style="1203" customWidth="1"/>
    <col min="788" max="788" width="9" style="1203"/>
    <col min="789" max="789" width="1.875" style="1203" customWidth="1"/>
    <col min="790" max="790" width="12.375" style="1203" customWidth="1"/>
    <col min="791" max="791" width="11.625" style="1203" customWidth="1"/>
    <col min="792" max="1024" width="9" style="1203"/>
    <col min="1025" max="1025" width="2.375" style="1203" customWidth="1"/>
    <col min="1026" max="1026" width="11.875" style="1203" customWidth="1"/>
    <col min="1027" max="1027" width="13" style="1203" customWidth="1"/>
    <col min="1028" max="1029" width="11.625" style="1203" customWidth="1"/>
    <col min="1030" max="1030" width="11.375" style="1203" customWidth="1"/>
    <col min="1031" max="1031" width="11.625" style="1203" customWidth="1"/>
    <col min="1032" max="1032" width="10.875" style="1203" customWidth="1"/>
    <col min="1033" max="1033" width="12.75" style="1203" customWidth="1"/>
    <col min="1034" max="1034" width="13.125" style="1203" customWidth="1"/>
    <col min="1035" max="1035" width="9.875" style="1203" customWidth="1"/>
    <col min="1036" max="1036" width="12" style="1203" bestFit="1" customWidth="1"/>
    <col min="1037" max="1038" width="5.25" style="1203" customWidth="1"/>
    <col min="1039" max="1039" width="9" style="1203"/>
    <col min="1040" max="1040" width="10.25" style="1203" customWidth="1"/>
    <col min="1041" max="1041" width="10.75" style="1203" customWidth="1"/>
    <col min="1042" max="1043" width="12.875" style="1203" customWidth="1"/>
    <col min="1044" max="1044" width="9" style="1203"/>
    <col min="1045" max="1045" width="1.875" style="1203" customWidth="1"/>
    <col min="1046" max="1046" width="12.375" style="1203" customWidth="1"/>
    <col min="1047" max="1047" width="11.625" style="1203" customWidth="1"/>
    <col min="1048" max="1280" width="9" style="1203"/>
    <col min="1281" max="1281" width="2.375" style="1203" customWidth="1"/>
    <col min="1282" max="1282" width="11.875" style="1203" customWidth="1"/>
    <col min="1283" max="1283" width="13" style="1203" customWidth="1"/>
    <col min="1284" max="1285" width="11.625" style="1203" customWidth="1"/>
    <col min="1286" max="1286" width="11.375" style="1203" customWidth="1"/>
    <col min="1287" max="1287" width="11.625" style="1203" customWidth="1"/>
    <col min="1288" max="1288" width="10.875" style="1203" customWidth="1"/>
    <col min="1289" max="1289" width="12.75" style="1203" customWidth="1"/>
    <col min="1290" max="1290" width="13.125" style="1203" customWidth="1"/>
    <col min="1291" max="1291" width="9.875" style="1203" customWidth="1"/>
    <col min="1292" max="1292" width="12" style="1203" bestFit="1" customWidth="1"/>
    <col min="1293" max="1294" width="5.25" style="1203" customWidth="1"/>
    <col min="1295" max="1295" width="9" style="1203"/>
    <col min="1296" max="1296" width="10.25" style="1203" customWidth="1"/>
    <col min="1297" max="1297" width="10.75" style="1203" customWidth="1"/>
    <col min="1298" max="1299" width="12.875" style="1203" customWidth="1"/>
    <col min="1300" max="1300" width="9" style="1203"/>
    <col min="1301" max="1301" width="1.875" style="1203" customWidth="1"/>
    <col min="1302" max="1302" width="12.375" style="1203" customWidth="1"/>
    <col min="1303" max="1303" width="11.625" style="1203" customWidth="1"/>
    <col min="1304" max="1536" width="9" style="1203"/>
    <col min="1537" max="1537" width="2.375" style="1203" customWidth="1"/>
    <col min="1538" max="1538" width="11.875" style="1203" customWidth="1"/>
    <col min="1539" max="1539" width="13" style="1203" customWidth="1"/>
    <col min="1540" max="1541" width="11.625" style="1203" customWidth="1"/>
    <col min="1542" max="1542" width="11.375" style="1203" customWidth="1"/>
    <col min="1543" max="1543" width="11.625" style="1203" customWidth="1"/>
    <col min="1544" max="1544" width="10.875" style="1203" customWidth="1"/>
    <col min="1545" max="1545" width="12.75" style="1203" customWidth="1"/>
    <col min="1546" max="1546" width="13.125" style="1203" customWidth="1"/>
    <col min="1547" max="1547" width="9.875" style="1203" customWidth="1"/>
    <col min="1548" max="1548" width="12" style="1203" bestFit="1" customWidth="1"/>
    <col min="1549" max="1550" width="5.25" style="1203" customWidth="1"/>
    <col min="1551" max="1551" width="9" style="1203"/>
    <col min="1552" max="1552" width="10.25" style="1203" customWidth="1"/>
    <col min="1553" max="1553" width="10.75" style="1203" customWidth="1"/>
    <col min="1554" max="1555" width="12.875" style="1203" customWidth="1"/>
    <col min="1556" max="1556" width="9" style="1203"/>
    <col min="1557" max="1557" width="1.875" style="1203" customWidth="1"/>
    <col min="1558" max="1558" width="12.375" style="1203" customWidth="1"/>
    <col min="1559" max="1559" width="11.625" style="1203" customWidth="1"/>
    <col min="1560" max="1792" width="9" style="1203"/>
    <col min="1793" max="1793" width="2.375" style="1203" customWidth="1"/>
    <col min="1794" max="1794" width="11.875" style="1203" customWidth="1"/>
    <col min="1795" max="1795" width="13" style="1203" customWidth="1"/>
    <col min="1796" max="1797" width="11.625" style="1203" customWidth="1"/>
    <col min="1798" max="1798" width="11.375" style="1203" customWidth="1"/>
    <col min="1799" max="1799" width="11.625" style="1203" customWidth="1"/>
    <col min="1800" max="1800" width="10.875" style="1203" customWidth="1"/>
    <col min="1801" max="1801" width="12.75" style="1203" customWidth="1"/>
    <col min="1802" max="1802" width="13.125" style="1203" customWidth="1"/>
    <col min="1803" max="1803" width="9.875" style="1203" customWidth="1"/>
    <col min="1804" max="1804" width="12" style="1203" bestFit="1" customWidth="1"/>
    <col min="1805" max="1806" width="5.25" style="1203" customWidth="1"/>
    <col min="1807" max="1807" width="9" style="1203"/>
    <col min="1808" max="1808" width="10.25" style="1203" customWidth="1"/>
    <col min="1809" max="1809" width="10.75" style="1203" customWidth="1"/>
    <col min="1810" max="1811" width="12.875" style="1203" customWidth="1"/>
    <col min="1812" max="1812" width="9" style="1203"/>
    <col min="1813" max="1813" width="1.875" style="1203" customWidth="1"/>
    <col min="1814" max="1814" width="12.375" style="1203" customWidth="1"/>
    <col min="1815" max="1815" width="11.625" style="1203" customWidth="1"/>
    <col min="1816" max="2048" width="9" style="1203"/>
    <col min="2049" max="2049" width="2.375" style="1203" customWidth="1"/>
    <col min="2050" max="2050" width="11.875" style="1203" customWidth="1"/>
    <col min="2051" max="2051" width="13" style="1203" customWidth="1"/>
    <col min="2052" max="2053" width="11.625" style="1203" customWidth="1"/>
    <col min="2054" max="2054" width="11.375" style="1203" customWidth="1"/>
    <col min="2055" max="2055" width="11.625" style="1203" customWidth="1"/>
    <col min="2056" max="2056" width="10.875" style="1203" customWidth="1"/>
    <col min="2057" max="2057" width="12.75" style="1203" customWidth="1"/>
    <col min="2058" max="2058" width="13.125" style="1203" customWidth="1"/>
    <col min="2059" max="2059" width="9.875" style="1203" customWidth="1"/>
    <col min="2060" max="2060" width="12" style="1203" bestFit="1" customWidth="1"/>
    <col min="2061" max="2062" width="5.25" style="1203" customWidth="1"/>
    <col min="2063" max="2063" width="9" style="1203"/>
    <col min="2064" max="2064" width="10.25" style="1203" customWidth="1"/>
    <col min="2065" max="2065" width="10.75" style="1203" customWidth="1"/>
    <col min="2066" max="2067" width="12.875" style="1203" customWidth="1"/>
    <col min="2068" max="2068" width="9" style="1203"/>
    <col min="2069" max="2069" width="1.875" style="1203" customWidth="1"/>
    <col min="2070" max="2070" width="12.375" style="1203" customWidth="1"/>
    <col min="2071" max="2071" width="11.625" style="1203" customWidth="1"/>
    <col min="2072" max="2304" width="9" style="1203"/>
    <col min="2305" max="2305" width="2.375" style="1203" customWidth="1"/>
    <col min="2306" max="2306" width="11.875" style="1203" customWidth="1"/>
    <col min="2307" max="2307" width="13" style="1203" customWidth="1"/>
    <col min="2308" max="2309" width="11.625" style="1203" customWidth="1"/>
    <col min="2310" max="2310" width="11.375" style="1203" customWidth="1"/>
    <col min="2311" max="2311" width="11.625" style="1203" customWidth="1"/>
    <col min="2312" max="2312" width="10.875" style="1203" customWidth="1"/>
    <col min="2313" max="2313" width="12.75" style="1203" customWidth="1"/>
    <col min="2314" max="2314" width="13.125" style="1203" customWidth="1"/>
    <col min="2315" max="2315" width="9.875" style="1203" customWidth="1"/>
    <col min="2316" max="2316" width="12" style="1203" bestFit="1" customWidth="1"/>
    <col min="2317" max="2318" width="5.25" style="1203" customWidth="1"/>
    <col min="2319" max="2319" width="9" style="1203"/>
    <col min="2320" max="2320" width="10.25" style="1203" customWidth="1"/>
    <col min="2321" max="2321" width="10.75" style="1203" customWidth="1"/>
    <col min="2322" max="2323" width="12.875" style="1203" customWidth="1"/>
    <col min="2324" max="2324" width="9" style="1203"/>
    <col min="2325" max="2325" width="1.875" style="1203" customWidth="1"/>
    <col min="2326" max="2326" width="12.375" style="1203" customWidth="1"/>
    <col min="2327" max="2327" width="11.625" style="1203" customWidth="1"/>
    <col min="2328" max="2560" width="9" style="1203"/>
    <col min="2561" max="2561" width="2.375" style="1203" customWidth="1"/>
    <col min="2562" max="2562" width="11.875" style="1203" customWidth="1"/>
    <col min="2563" max="2563" width="13" style="1203" customWidth="1"/>
    <col min="2564" max="2565" width="11.625" style="1203" customWidth="1"/>
    <col min="2566" max="2566" width="11.375" style="1203" customWidth="1"/>
    <col min="2567" max="2567" width="11.625" style="1203" customWidth="1"/>
    <col min="2568" max="2568" width="10.875" style="1203" customWidth="1"/>
    <col min="2569" max="2569" width="12.75" style="1203" customWidth="1"/>
    <col min="2570" max="2570" width="13.125" style="1203" customWidth="1"/>
    <col min="2571" max="2571" width="9.875" style="1203" customWidth="1"/>
    <col min="2572" max="2572" width="12" style="1203" bestFit="1" customWidth="1"/>
    <col min="2573" max="2574" width="5.25" style="1203" customWidth="1"/>
    <col min="2575" max="2575" width="9" style="1203"/>
    <col min="2576" max="2576" width="10.25" style="1203" customWidth="1"/>
    <col min="2577" max="2577" width="10.75" style="1203" customWidth="1"/>
    <col min="2578" max="2579" width="12.875" style="1203" customWidth="1"/>
    <col min="2580" max="2580" width="9" style="1203"/>
    <col min="2581" max="2581" width="1.875" style="1203" customWidth="1"/>
    <col min="2582" max="2582" width="12.375" style="1203" customWidth="1"/>
    <col min="2583" max="2583" width="11.625" style="1203" customWidth="1"/>
    <col min="2584" max="2816" width="9" style="1203"/>
    <col min="2817" max="2817" width="2.375" style="1203" customWidth="1"/>
    <col min="2818" max="2818" width="11.875" style="1203" customWidth="1"/>
    <col min="2819" max="2819" width="13" style="1203" customWidth="1"/>
    <col min="2820" max="2821" width="11.625" style="1203" customWidth="1"/>
    <col min="2822" max="2822" width="11.375" style="1203" customWidth="1"/>
    <col min="2823" max="2823" width="11.625" style="1203" customWidth="1"/>
    <col min="2824" max="2824" width="10.875" style="1203" customWidth="1"/>
    <col min="2825" max="2825" width="12.75" style="1203" customWidth="1"/>
    <col min="2826" max="2826" width="13.125" style="1203" customWidth="1"/>
    <col min="2827" max="2827" width="9.875" style="1203" customWidth="1"/>
    <col min="2828" max="2828" width="12" style="1203" bestFit="1" customWidth="1"/>
    <col min="2829" max="2830" width="5.25" style="1203" customWidth="1"/>
    <col min="2831" max="2831" width="9" style="1203"/>
    <col min="2832" max="2832" width="10.25" style="1203" customWidth="1"/>
    <col min="2833" max="2833" width="10.75" style="1203" customWidth="1"/>
    <col min="2834" max="2835" width="12.875" style="1203" customWidth="1"/>
    <col min="2836" max="2836" width="9" style="1203"/>
    <col min="2837" max="2837" width="1.875" style="1203" customWidth="1"/>
    <col min="2838" max="2838" width="12.375" style="1203" customWidth="1"/>
    <col min="2839" max="2839" width="11.625" style="1203" customWidth="1"/>
    <col min="2840" max="3072" width="9" style="1203"/>
    <col min="3073" max="3073" width="2.375" style="1203" customWidth="1"/>
    <col min="3074" max="3074" width="11.875" style="1203" customWidth="1"/>
    <col min="3075" max="3075" width="13" style="1203" customWidth="1"/>
    <col min="3076" max="3077" width="11.625" style="1203" customWidth="1"/>
    <col min="3078" max="3078" width="11.375" style="1203" customWidth="1"/>
    <col min="3079" max="3079" width="11.625" style="1203" customWidth="1"/>
    <col min="3080" max="3080" width="10.875" style="1203" customWidth="1"/>
    <col min="3081" max="3081" width="12.75" style="1203" customWidth="1"/>
    <col min="3082" max="3082" width="13.125" style="1203" customWidth="1"/>
    <col min="3083" max="3083" width="9.875" style="1203" customWidth="1"/>
    <col min="3084" max="3084" width="12" style="1203" bestFit="1" customWidth="1"/>
    <col min="3085" max="3086" width="5.25" style="1203" customWidth="1"/>
    <col min="3087" max="3087" width="9" style="1203"/>
    <col min="3088" max="3088" width="10.25" style="1203" customWidth="1"/>
    <col min="3089" max="3089" width="10.75" style="1203" customWidth="1"/>
    <col min="3090" max="3091" width="12.875" style="1203" customWidth="1"/>
    <col min="3092" max="3092" width="9" style="1203"/>
    <col min="3093" max="3093" width="1.875" style="1203" customWidth="1"/>
    <col min="3094" max="3094" width="12.375" style="1203" customWidth="1"/>
    <col min="3095" max="3095" width="11.625" style="1203" customWidth="1"/>
    <col min="3096" max="3328" width="9" style="1203"/>
    <col min="3329" max="3329" width="2.375" style="1203" customWidth="1"/>
    <col min="3330" max="3330" width="11.875" style="1203" customWidth="1"/>
    <col min="3331" max="3331" width="13" style="1203" customWidth="1"/>
    <col min="3332" max="3333" width="11.625" style="1203" customWidth="1"/>
    <col min="3334" max="3334" width="11.375" style="1203" customWidth="1"/>
    <col min="3335" max="3335" width="11.625" style="1203" customWidth="1"/>
    <col min="3336" max="3336" width="10.875" style="1203" customWidth="1"/>
    <col min="3337" max="3337" width="12.75" style="1203" customWidth="1"/>
    <col min="3338" max="3338" width="13.125" style="1203" customWidth="1"/>
    <col min="3339" max="3339" width="9.875" style="1203" customWidth="1"/>
    <col min="3340" max="3340" width="12" style="1203" bestFit="1" customWidth="1"/>
    <col min="3341" max="3342" width="5.25" style="1203" customWidth="1"/>
    <col min="3343" max="3343" width="9" style="1203"/>
    <col min="3344" max="3344" width="10.25" style="1203" customWidth="1"/>
    <col min="3345" max="3345" width="10.75" style="1203" customWidth="1"/>
    <col min="3346" max="3347" width="12.875" style="1203" customWidth="1"/>
    <col min="3348" max="3348" width="9" style="1203"/>
    <col min="3349" max="3349" width="1.875" style="1203" customWidth="1"/>
    <col min="3350" max="3350" width="12.375" style="1203" customWidth="1"/>
    <col min="3351" max="3351" width="11.625" style="1203" customWidth="1"/>
    <col min="3352" max="3584" width="9" style="1203"/>
    <col min="3585" max="3585" width="2.375" style="1203" customWidth="1"/>
    <col min="3586" max="3586" width="11.875" style="1203" customWidth="1"/>
    <col min="3587" max="3587" width="13" style="1203" customWidth="1"/>
    <col min="3588" max="3589" width="11.625" style="1203" customWidth="1"/>
    <col min="3590" max="3590" width="11.375" style="1203" customWidth="1"/>
    <col min="3591" max="3591" width="11.625" style="1203" customWidth="1"/>
    <col min="3592" max="3592" width="10.875" style="1203" customWidth="1"/>
    <col min="3593" max="3593" width="12.75" style="1203" customWidth="1"/>
    <col min="3594" max="3594" width="13.125" style="1203" customWidth="1"/>
    <col min="3595" max="3595" width="9.875" style="1203" customWidth="1"/>
    <col min="3596" max="3596" width="12" style="1203" bestFit="1" customWidth="1"/>
    <col min="3597" max="3598" width="5.25" style="1203" customWidth="1"/>
    <col min="3599" max="3599" width="9" style="1203"/>
    <col min="3600" max="3600" width="10.25" style="1203" customWidth="1"/>
    <col min="3601" max="3601" width="10.75" style="1203" customWidth="1"/>
    <col min="3602" max="3603" width="12.875" style="1203" customWidth="1"/>
    <col min="3604" max="3604" width="9" style="1203"/>
    <col min="3605" max="3605" width="1.875" style="1203" customWidth="1"/>
    <col min="3606" max="3606" width="12.375" style="1203" customWidth="1"/>
    <col min="3607" max="3607" width="11.625" style="1203" customWidth="1"/>
    <col min="3608" max="3840" width="9" style="1203"/>
    <col min="3841" max="3841" width="2.375" style="1203" customWidth="1"/>
    <col min="3842" max="3842" width="11.875" style="1203" customWidth="1"/>
    <col min="3843" max="3843" width="13" style="1203" customWidth="1"/>
    <col min="3844" max="3845" width="11.625" style="1203" customWidth="1"/>
    <col min="3846" max="3846" width="11.375" style="1203" customWidth="1"/>
    <col min="3847" max="3847" width="11.625" style="1203" customWidth="1"/>
    <col min="3848" max="3848" width="10.875" style="1203" customWidth="1"/>
    <col min="3849" max="3849" width="12.75" style="1203" customWidth="1"/>
    <col min="3850" max="3850" width="13.125" style="1203" customWidth="1"/>
    <col min="3851" max="3851" width="9.875" style="1203" customWidth="1"/>
    <col min="3852" max="3852" width="12" style="1203" bestFit="1" customWidth="1"/>
    <col min="3853" max="3854" width="5.25" style="1203" customWidth="1"/>
    <col min="3855" max="3855" width="9" style="1203"/>
    <col min="3856" max="3856" width="10.25" style="1203" customWidth="1"/>
    <col min="3857" max="3857" width="10.75" style="1203" customWidth="1"/>
    <col min="3858" max="3859" width="12.875" style="1203" customWidth="1"/>
    <col min="3860" max="3860" width="9" style="1203"/>
    <col min="3861" max="3861" width="1.875" style="1203" customWidth="1"/>
    <col min="3862" max="3862" width="12.375" style="1203" customWidth="1"/>
    <col min="3863" max="3863" width="11.625" style="1203" customWidth="1"/>
    <col min="3864" max="4096" width="9" style="1203"/>
    <col min="4097" max="4097" width="2.375" style="1203" customWidth="1"/>
    <col min="4098" max="4098" width="11.875" style="1203" customWidth="1"/>
    <col min="4099" max="4099" width="13" style="1203" customWidth="1"/>
    <col min="4100" max="4101" width="11.625" style="1203" customWidth="1"/>
    <col min="4102" max="4102" width="11.375" style="1203" customWidth="1"/>
    <col min="4103" max="4103" width="11.625" style="1203" customWidth="1"/>
    <col min="4104" max="4104" width="10.875" style="1203" customWidth="1"/>
    <col min="4105" max="4105" width="12.75" style="1203" customWidth="1"/>
    <col min="4106" max="4106" width="13.125" style="1203" customWidth="1"/>
    <col min="4107" max="4107" width="9.875" style="1203" customWidth="1"/>
    <col min="4108" max="4108" width="12" style="1203" bestFit="1" customWidth="1"/>
    <col min="4109" max="4110" width="5.25" style="1203" customWidth="1"/>
    <col min="4111" max="4111" width="9" style="1203"/>
    <col min="4112" max="4112" width="10.25" style="1203" customWidth="1"/>
    <col min="4113" max="4113" width="10.75" style="1203" customWidth="1"/>
    <col min="4114" max="4115" width="12.875" style="1203" customWidth="1"/>
    <col min="4116" max="4116" width="9" style="1203"/>
    <col min="4117" max="4117" width="1.875" style="1203" customWidth="1"/>
    <col min="4118" max="4118" width="12.375" style="1203" customWidth="1"/>
    <col min="4119" max="4119" width="11.625" style="1203" customWidth="1"/>
    <col min="4120" max="4352" width="9" style="1203"/>
    <col min="4353" max="4353" width="2.375" style="1203" customWidth="1"/>
    <col min="4354" max="4354" width="11.875" style="1203" customWidth="1"/>
    <col min="4355" max="4355" width="13" style="1203" customWidth="1"/>
    <col min="4356" max="4357" width="11.625" style="1203" customWidth="1"/>
    <col min="4358" max="4358" width="11.375" style="1203" customWidth="1"/>
    <col min="4359" max="4359" width="11.625" style="1203" customWidth="1"/>
    <col min="4360" max="4360" width="10.875" style="1203" customWidth="1"/>
    <col min="4361" max="4361" width="12.75" style="1203" customWidth="1"/>
    <col min="4362" max="4362" width="13.125" style="1203" customWidth="1"/>
    <col min="4363" max="4363" width="9.875" style="1203" customWidth="1"/>
    <col min="4364" max="4364" width="12" style="1203" bestFit="1" customWidth="1"/>
    <col min="4365" max="4366" width="5.25" style="1203" customWidth="1"/>
    <col min="4367" max="4367" width="9" style="1203"/>
    <col min="4368" max="4368" width="10.25" style="1203" customWidth="1"/>
    <col min="4369" max="4369" width="10.75" style="1203" customWidth="1"/>
    <col min="4370" max="4371" width="12.875" style="1203" customWidth="1"/>
    <col min="4372" max="4372" width="9" style="1203"/>
    <col min="4373" max="4373" width="1.875" style="1203" customWidth="1"/>
    <col min="4374" max="4374" width="12.375" style="1203" customWidth="1"/>
    <col min="4375" max="4375" width="11.625" style="1203" customWidth="1"/>
    <col min="4376" max="4608" width="9" style="1203"/>
    <col min="4609" max="4609" width="2.375" style="1203" customWidth="1"/>
    <col min="4610" max="4610" width="11.875" style="1203" customWidth="1"/>
    <col min="4611" max="4611" width="13" style="1203" customWidth="1"/>
    <col min="4612" max="4613" width="11.625" style="1203" customWidth="1"/>
    <col min="4614" max="4614" width="11.375" style="1203" customWidth="1"/>
    <col min="4615" max="4615" width="11.625" style="1203" customWidth="1"/>
    <col min="4616" max="4616" width="10.875" style="1203" customWidth="1"/>
    <col min="4617" max="4617" width="12.75" style="1203" customWidth="1"/>
    <col min="4618" max="4618" width="13.125" style="1203" customWidth="1"/>
    <col min="4619" max="4619" width="9.875" style="1203" customWidth="1"/>
    <col min="4620" max="4620" width="12" style="1203" bestFit="1" customWidth="1"/>
    <col min="4621" max="4622" width="5.25" style="1203" customWidth="1"/>
    <col min="4623" max="4623" width="9" style="1203"/>
    <col min="4624" max="4624" width="10.25" style="1203" customWidth="1"/>
    <col min="4625" max="4625" width="10.75" style="1203" customWidth="1"/>
    <col min="4626" max="4627" width="12.875" style="1203" customWidth="1"/>
    <col min="4628" max="4628" width="9" style="1203"/>
    <col min="4629" max="4629" width="1.875" style="1203" customWidth="1"/>
    <col min="4630" max="4630" width="12.375" style="1203" customWidth="1"/>
    <col min="4631" max="4631" width="11.625" style="1203" customWidth="1"/>
    <col min="4632" max="4864" width="9" style="1203"/>
    <col min="4865" max="4865" width="2.375" style="1203" customWidth="1"/>
    <col min="4866" max="4866" width="11.875" style="1203" customWidth="1"/>
    <col min="4867" max="4867" width="13" style="1203" customWidth="1"/>
    <col min="4868" max="4869" width="11.625" style="1203" customWidth="1"/>
    <col min="4870" max="4870" width="11.375" style="1203" customWidth="1"/>
    <col min="4871" max="4871" width="11.625" style="1203" customWidth="1"/>
    <col min="4872" max="4872" width="10.875" style="1203" customWidth="1"/>
    <col min="4873" max="4873" width="12.75" style="1203" customWidth="1"/>
    <col min="4874" max="4874" width="13.125" style="1203" customWidth="1"/>
    <col min="4875" max="4875" width="9.875" style="1203" customWidth="1"/>
    <col min="4876" max="4876" width="12" style="1203" bestFit="1" customWidth="1"/>
    <col min="4877" max="4878" width="5.25" style="1203" customWidth="1"/>
    <col min="4879" max="4879" width="9" style="1203"/>
    <col min="4880" max="4880" width="10.25" style="1203" customWidth="1"/>
    <col min="4881" max="4881" width="10.75" style="1203" customWidth="1"/>
    <col min="4882" max="4883" width="12.875" style="1203" customWidth="1"/>
    <col min="4884" max="4884" width="9" style="1203"/>
    <col min="4885" max="4885" width="1.875" style="1203" customWidth="1"/>
    <col min="4886" max="4886" width="12.375" style="1203" customWidth="1"/>
    <col min="4887" max="4887" width="11.625" style="1203" customWidth="1"/>
    <col min="4888" max="5120" width="9" style="1203"/>
    <col min="5121" max="5121" width="2.375" style="1203" customWidth="1"/>
    <col min="5122" max="5122" width="11.875" style="1203" customWidth="1"/>
    <col min="5123" max="5123" width="13" style="1203" customWidth="1"/>
    <col min="5124" max="5125" width="11.625" style="1203" customWidth="1"/>
    <col min="5126" max="5126" width="11.375" style="1203" customWidth="1"/>
    <col min="5127" max="5127" width="11.625" style="1203" customWidth="1"/>
    <col min="5128" max="5128" width="10.875" style="1203" customWidth="1"/>
    <col min="5129" max="5129" width="12.75" style="1203" customWidth="1"/>
    <col min="5130" max="5130" width="13.125" style="1203" customWidth="1"/>
    <col min="5131" max="5131" width="9.875" style="1203" customWidth="1"/>
    <col min="5132" max="5132" width="12" style="1203" bestFit="1" customWidth="1"/>
    <col min="5133" max="5134" width="5.25" style="1203" customWidth="1"/>
    <col min="5135" max="5135" width="9" style="1203"/>
    <col min="5136" max="5136" width="10.25" style="1203" customWidth="1"/>
    <col min="5137" max="5137" width="10.75" style="1203" customWidth="1"/>
    <col min="5138" max="5139" width="12.875" style="1203" customWidth="1"/>
    <col min="5140" max="5140" width="9" style="1203"/>
    <col min="5141" max="5141" width="1.875" style="1203" customWidth="1"/>
    <col min="5142" max="5142" width="12.375" style="1203" customWidth="1"/>
    <col min="5143" max="5143" width="11.625" style="1203" customWidth="1"/>
    <col min="5144" max="5376" width="9" style="1203"/>
    <col min="5377" max="5377" width="2.375" style="1203" customWidth="1"/>
    <col min="5378" max="5378" width="11.875" style="1203" customWidth="1"/>
    <col min="5379" max="5379" width="13" style="1203" customWidth="1"/>
    <col min="5380" max="5381" width="11.625" style="1203" customWidth="1"/>
    <col min="5382" max="5382" width="11.375" style="1203" customWidth="1"/>
    <col min="5383" max="5383" width="11.625" style="1203" customWidth="1"/>
    <col min="5384" max="5384" width="10.875" style="1203" customWidth="1"/>
    <col min="5385" max="5385" width="12.75" style="1203" customWidth="1"/>
    <col min="5386" max="5386" width="13.125" style="1203" customWidth="1"/>
    <col min="5387" max="5387" width="9.875" style="1203" customWidth="1"/>
    <col min="5388" max="5388" width="12" style="1203" bestFit="1" customWidth="1"/>
    <col min="5389" max="5390" width="5.25" style="1203" customWidth="1"/>
    <col min="5391" max="5391" width="9" style="1203"/>
    <col min="5392" max="5392" width="10.25" style="1203" customWidth="1"/>
    <col min="5393" max="5393" width="10.75" style="1203" customWidth="1"/>
    <col min="5394" max="5395" width="12.875" style="1203" customWidth="1"/>
    <col min="5396" max="5396" width="9" style="1203"/>
    <col min="5397" max="5397" width="1.875" style="1203" customWidth="1"/>
    <col min="5398" max="5398" width="12.375" style="1203" customWidth="1"/>
    <col min="5399" max="5399" width="11.625" style="1203" customWidth="1"/>
    <col min="5400" max="5632" width="9" style="1203"/>
    <col min="5633" max="5633" width="2.375" style="1203" customWidth="1"/>
    <col min="5634" max="5634" width="11.875" style="1203" customWidth="1"/>
    <col min="5635" max="5635" width="13" style="1203" customWidth="1"/>
    <col min="5636" max="5637" width="11.625" style="1203" customWidth="1"/>
    <col min="5638" max="5638" width="11.375" style="1203" customWidth="1"/>
    <col min="5639" max="5639" width="11.625" style="1203" customWidth="1"/>
    <col min="5640" max="5640" width="10.875" style="1203" customWidth="1"/>
    <col min="5641" max="5641" width="12.75" style="1203" customWidth="1"/>
    <col min="5642" max="5642" width="13.125" style="1203" customWidth="1"/>
    <col min="5643" max="5643" width="9.875" style="1203" customWidth="1"/>
    <col min="5644" max="5644" width="12" style="1203" bestFit="1" customWidth="1"/>
    <col min="5645" max="5646" width="5.25" style="1203" customWidth="1"/>
    <col min="5647" max="5647" width="9" style="1203"/>
    <col min="5648" max="5648" width="10.25" style="1203" customWidth="1"/>
    <col min="5649" max="5649" width="10.75" style="1203" customWidth="1"/>
    <col min="5650" max="5651" width="12.875" style="1203" customWidth="1"/>
    <col min="5652" max="5652" width="9" style="1203"/>
    <col min="5653" max="5653" width="1.875" style="1203" customWidth="1"/>
    <col min="5654" max="5654" width="12.375" style="1203" customWidth="1"/>
    <col min="5655" max="5655" width="11.625" style="1203" customWidth="1"/>
    <col min="5656" max="5888" width="9" style="1203"/>
    <col min="5889" max="5889" width="2.375" style="1203" customWidth="1"/>
    <col min="5890" max="5890" width="11.875" style="1203" customWidth="1"/>
    <col min="5891" max="5891" width="13" style="1203" customWidth="1"/>
    <col min="5892" max="5893" width="11.625" style="1203" customWidth="1"/>
    <col min="5894" max="5894" width="11.375" style="1203" customWidth="1"/>
    <col min="5895" max="5895" width="11.625" style="1203" customWidth="1"/>
    <col min="5896" max="5896" width="10.875" style="1203" customWidth="1"/>
    <col min="5897" max="5897" width="12.75" style="1203" customWidth="1"/>
    <col min="5898" max="5898" width="13.125" style="1203" customWidth="1"/>
    <col min="5899" max="5899" width="9.875" style="1203" customWidth="1"/>
    <col min="5900" max="5900" width="12" style="1203" bestFit="1" customWidth="1"/>
    <col min="5901" max="5902" width="5.25" style="1203" customWidth="1"/>
    <col min="5903" max="5903" width="9" style="1203"/>
    <col min="5904" max="5904" width="10.25" style="1203" customWidth="1"/>
    <col min="5905" max="5905" width="10.75" style="1203" customWidth="1"/>
    <col min="5906" max="5907" width="12.875" style="1203" customWidth="1"/>
    <col min="5908" max="5908" width="9" style="1203"/>
    <col min="5909" max="5909" width="1.875" style="1203" customWidth="1"/>
    <col min="5910" max="5910" width="12.375" style="1203" customWidth="1"/>
    <col min="5911" max="5911" width="11.625" style="1203" customWidth="1"/>
    <col min="5912" max="6144" width="9" style="1203"/>
    <col min="6145" max="6145" width="2.375" style="1203" customWidth="1"/>
    <col min="6146" max="6146" width="11.875" style="1203" customWidth="1"/>
    <col min="6147" max="6147" width="13" style="1203" customWidth="1"/>
    <col min="6148" max="6149" width="11.625" style="1203" customWidth="1"/>
    <col min="6150" max="6150" width="11.375" style="1203" customWidth="1"/>
    <col min="6151" max="6151" width="11.625" style="1203" customWidth="1"/>
    <col min="6152" max="6152" width="10.875" style="1203" customWidth="1"/>
    <col min="6153" max="6153" width="12.75" style="1203" customWidth="1"/>
    <col min="6154" max="6154" width="13.125" style="1203" customWidth="1"/>
    <col min="6155" max="6155" width="9.875" style="1203" customWidth="1"/>
    <col min="6156" max="6156" width="12" style="1203" bestFit="1" customWidth="1"/>
    <col min="6157" max="6158" width="5.25" style="1203" customWidth="1"/>
    <col min="6159" max="6159" width="9" style="1203"/>
    <col min="6160" max="6160" width="10.25" style="1203" customWidth="1"/>
    <col min="6161" max="6161" width="10.75" style="1203" customWidth="1"/>
    <col min="6162" max="6163" width="12.875" style="1203" customWidth="1"/>
    <col min="6164" max="6164" width="9" style="1203"/>
    <col min="6165" max="6165" width="1.875" style="1203" customWidth="1"/>
    <col min="6166" max="6166" width="12.375" style="1203" customWidth="1"/>
    <col min="6167" max="6167" width="11.625" style="1203" customWidth="1"/>
    <col min="6168" max="6400" width="9" style="1203"/>
    <col min="6401" max="6401" width="2.375" style="1203" customWidth="1"/>
    <col min="6402" max="6402" width="11.875" style="1203" customWidth="1"/>
    <col min="6403" max="6403" width="13" style="1203" customWidth="1"/>
    <col min="6404" max="6405" width="11.625" style="1203" customWidth="1"/>
    <col min="6406" max="6406" width="11.375" style="1203" customWidth="1"/>
    <col min="6407" max="6407" width="11.625" style="1203" customWidth="1"/>
    <col min="6408" max="6408" width="10.875" style="1203" customWidth="1"/>
    <col min="6409" max="6409" width="12.75" style="1203" customWidth="1"/>
    <col min="6410" max="6410" width="13.125" style="1203" customWidth="1"/>
    <col min="6411" max="6411" width="9.875" style="1203" customWidth="1"/>
    <col min="6412" max="6412" width="12" style="1203" bestFit="1" customWidth="1"/>
    <col min="6413" max="6414" width="5.25" style="1203" customWidth="1"/>
    <col min="6415" max="6415" width="9" style="1203"/>
    <col min="6416" max="6416" width="10.25" style="1203" customWidth="1"/>
    <col min="6417" max="6417" width="10.75" style="1203" customWidth="1"/>
    <col min="6418" max="6419" width="12.875" style="1203" customWidth="1"/>
    <col min="6420" max="6420" width="9" style="1203"/>
    <col min="6421" max="6421" width="1.875" style="1203" customWidth="1"/>
    <col min="6422" max="6422" width="12.375" style="1203" customWidth="1"/>
    <col min="6423" max="6423" width="11.625" style="1203" customWidth="1"/>
    <col min="6424" max="6656" width="9" style="1203"/>
    <col min="6657" max="6657" width="2.375" style="1203" customWidth="1"/>
    <col min="6658" max="6658" width="11.875" style="1203" customWidth="1"/>
    <col min="6659" max="6659" width="13" style="1203" customWidth="1"/>
    <col min="6660" max="6661" width="11.625" style="1203" customWidth="1"/>
    <col min="6662" max="6662" width="11.375" style="1203" customWidth="1"/>
    <col min="6663" max="6663" width="11.625" style="1203" customWidth="1"/>
    <col min="6664" max="6664" width="10.875" style="1203" customWidth="1"/>
    <col min="6665" max="6665" width="12.75" style="1203" customWidth="1"/>
    <col min="6666" max="6666" width="13.125" style="1203" customWidth="1"/>
    <col min="6667" max="6667" width="9.875" style="1203" customWidth="1"/>
    <col min="6668" max="6668" width="12" style="1203" bestFit="1" customWidth="1"/>
    <col min="6669" max="6670" width="5.25" style="1203" customWidth="1"/>
    <col min="6671" max="6671" width="9" style="1203"/>
    <col min="6672" max="6672" width="10.25" style="1203" customWidth="1"/>
    <col min="6673" max="6673" width="10.75" style="1203" customWidth="1"/>
    <col min="6674" max="6675" width="12.875" style="1203" customWidth="1"/>
    <col min="6676" max="6676" width="9" style="1203"/>
    <col min="6677" max="6677" width="1.875" style="1203" customWidth="1"/>
    <col min="6678" max="6678" width="12.375" style="1203" customWidth="1"/>
    <col min="6679" max="6679" width="11.625" style="1203" customWidth="1"/>
    <col min="6680" max="6912" width="9" style="1203"/>
    <col min="6913" max="6913" width="2.375" style="1203" customWidth="1"/>
    <col min="6914" max="6914" width="11.875" style="1203" customWidth="1"/>
    <col min="6915" max="6915" width="13" style="1203" customWidth="1"/>
    <col min="6916" max="6917" width="11.625" style="1203" customWidth="1"/>
    <col min="6918" max="6918" width="11.375" style="1203" customWidth="1"/>
    <col min="6919" max="6919" width="11.625" style="1203" customWidth="1"/>
    <col min="6920" max="6920" width="10.875" style="1203" customWidth="1"/>
    <col min="6921" max="6921" width="12.75" style="1203" customWidth="1"/>
    <col min="6922" max="6922" width="13.125" style="1203" customWidth="1"/>
    <col min="6923" max="6923" width="9.875" style="1203" customWidth="1"/>
    <col min="6924" max="6924" width="12" style="1203" bestFit="1" customWidth="1"/>
    <col min="6925" max="6926" width="5.25" style="1203" customWidth="1"/>
    <col min="6927" max="6927" width="9" style="1203"/>
    <col min="6928" max="6928" width="10.25" style="1203" customWidth="1"/>
    <col min="6929" max="6929" width="10.75" style="1203" customWidth="1"/>
    <col min="6930" max="6931" width="12.875" style="1203" customWidth="1"/>
    <col min="6932" max="6932" width="9" style="1203"/>
    <col min="6933" max="6933" width="1.875" style="1203" customWidth="1"/>
    <col min="6934" max="6934" width="12.375" style="1203" customWidth="1"/>
    <col min="6935" max="6935" width="11.625" style="1203" customWidth="1"/>
    <col min="6936" max="7168" width="9" style="1203"/>
    <col min="7169" max="7169" width="2.375" style="1203" customWidth="1"/>
    <col min="7170" max="7170" width="11.875" style="1203" customWidth="1"/>
    <col min="7171" max="7171" width="13" style="1203" customWidth="1"/>
    <col min="7172" max="7173" width="11.625" style="1203" customWidth="1"/>
    <col min="7174" max="7174" width="11.375" style="1203" customWidth="1"/>
    <col min="7175" max="7175" width="11.625" style="1203" customWidth="1"/>
    <col min="7176" max="7176" width="10.875" style="1203" customWidth="1"/>
    <col min="7177" max="7177" width="12.75" style="1203" customWidth="1"/>
    <col min="7178" max="7178" width="13.125" style="1203" customWidth="1"/>
    <col min="7179" max="7179" width="9.875" style="1203" customWidth="1"/>
    <col min="7180" max="7180" width="12" style="1203" bestFit="1" customWidth="1"/>
    <col min="7181" max="7182" width="5.25" style="1203" customWidth="1"/>
    <col min="7183" max="7183" width="9" style="1203"/>
    <col min="7184" max="7184" width="10.25" style="1203" customWidth="1"/>
    <col min="7185" max="7185" width="10.75" style="1203" customWidth="1"/>
    <col min="7186" max="7187" width="12.875" style="1203" customWidth="1"/>
    <col min="7188" max="7188" width="9" style="1203"/>
    <col min="7189" max="7189" width="1.875" style="1203" customWidth="1"/>
    <col min="7190" max="7190" width="12.375" style="1203" customWidth="1"/>
    <col min="7191" max="7191" width="11.625" style="1203" customWidth="1"/>
    <col min="7192" max="7424" width="9" style="1203"/>
    <col min="7425" max="7425" width="2.375" style="1203" customWidth="1"/>
    <col min="7426" max="7426" width="11.875" style="1203" customWidth="1"/>
    <col min="7427" max="7427" width="13" style="1203" customWidth="1"/>
    <col min="7428" max="7429" width="11.625" style="1203" customWidth="1"/>
    <col min="7430" max="7430" width="11.375" style="1203" customWidth="1"/>
    <col min="7431" max="7431" width="11.625" style="1203" customWidth="1"/>
    <col min="7432" max="7432" width="10.875" style="1203" customWidth="1"/>
    <col min="7433" max="7433" width="12.75" style="1203" customWidth="1"/>
    <col min="7434" max="7434" width="13.125" style="1203" customWidth="1"/>
    <col min="7435" max="7435" width="9.875" style="1203" customWidth="1"/>
    <col min="7436" max="7436" width="12" style="1203" bestFit="1" customWidth="1"/>
    <col min="7437" max="7438" width="5.25" style="1203" customWidth="1"/>
    <col min="7439" max="7439" width="9" style="1203"/>
    <col min="7440" max="7440" width="10.25" style="1203" customWidth="1"/>
    <col min="7441" max="7441" width="10.75" style="1203" customWidth="1"/>
    <col min="7442" max="7443" width="12.875" style="1203" customWidth="1"/>
    <col min="7444" max="7444" width="9" style="1203"/>
    <col min="7445" max="7445" width="1.875" style="1203" customWidth="1"/>
    <col min="7446" max="7446" width="12.375" style="1203" customWidth="1"/>
    <col min="7447" max="7447" width="11.625" style="1203" customWidth="1"/>
    <col min="7448" max="7680" width="9" style="1203"/>
    <col min="7681" max="7681" width="2.375" style="1203" customWidth="1"/>
    <col min="7682" max="7682" width="11.875" style="1203" customWidth="1"/>
    <col min="7683" max="7683" width="13" style="1203" customWidth="1"/>
    <col min="7684" max="7685" width="11.625" style="1203" customWidth="1"/>
    <col min="7686" max="7686" width="11.375" style="1203" customWidth="1"/>
    <col min="7687" max="7687" width="11.625" style="1203" customWidth="1"/>
    <col min="7688" max="7688" width="10.875" style="1203" customWidth="1"/>
    <col min="7689" max="7689" width="12.75" style="1203" customWidth="1"/>
    <col min="7690" max="7690" width="13.125" style="1203" customWidth="1"/>
    <col min="7691" max="7691" width="9.875" style="1203" customWidth="1"/>
    <col min="7692" max="7692" width="12" style="1203" bestFit="1" customWidth="1"/>
    <col min="7693" max="7694" width="5.25" style="1203" customWidth="1"/>
    <col min="7695" max="7695" width="9" style="1203"/>
    <col min="7696" max="7696" width="10.25" style="1203" customWidth="1"/>
    <col min="7697" max="7697" width="10.75" style="1203" customWidth="1"/>
    <col min="7698" max="7699" width="12.875" style="1203" customWidth="1"/>
    <col min="7700" max="7700" width="9" style="1203"/>
    <col min="7701" max="7701" width="1.875" style="1203" customWidth="1"/>
    <col min="7702" max="7702" width="12.375" style="1203" customWidth="1"/>
    <col min="7703" max="7703" width="11.625" style="1203" customWidth="1"/>
    <col min="7704" max="7936" width="9" style="1203"/>
    <col min="7937" max="7937" width="2.375" style="1203" customWidth="1"/>
    <col min="7938" max="7938" width="11.875" style="1203" customWidth="1"/>
    <col min="7939" max="7939" width="13" style="1203" customWidth="1"/>
    <col min="7940" max="7941" width="11.625" style="1203" customWidth="1"/>
    <col min="7942" max="7942" width="11.375" style="1203" customWidth="1"/>
    <col min="7943" max="7943" width="11.625" style="1203" customWidth="1"/>
    <col min="7944" max="7944" width="10.875" style="1203" customWidth="1"/>
    <col min="7945" max="7945" width="12.75" style="1203" customWidth="1"/>
    <col min="7946" max="7946" width="13.125" style="1203" customWidth="1"/>
    <col min="7947" max="7947" width="9.875" style="1203" customWidth="1"/>
    <col min="7948" max="7948" width="12" style="1203" bestFit="1" customWidth="1"/>
    <col min="7949" max="7950" width="5.25" style="1203" customWidth="1"/>
    <col min="7951" max="7951" width="9" style="1203"/>
    <col min="7952" max="7952" width="10.25" style="1203" customWidth="1"/>
    <col min="7953" max="7953" width="10.75" style="1203" customWidth="1"/>
    <col min="7954" max="7955" width="12.875" style="1203" customWidth="1"/>
    <col min="7956" max="7956" width="9" style="1203"/>
    <col min="7957" max="7957" width="1.875" style="1203" customWidth="1"/>
    <col min="7958" max="7958" width="12.375" style="1203" customWidth="1"/>
    <col min="7959" max="7959" width="11.625" style="1203" customWidth="1"/>
    <col min="7960" max="8192" width="9" style="1203"/>
    <col min="8193" max="8193" width="2.375" style="1203" customWidth="1"/>
    <col min="8194" max="8194" width="11.875" style="1203" customWidth="1"/>
    <col min="8195" max="8195" width="13" style="1203" customWidth="1"/>
    <col min="8196" max="8197" width="11.625" style="1203" customWidth="1"/>
    <col min="8198" max="8198" width="11.375" style="1203" customWidth="1"/>
    <col min="8199" max="8199" width="11.625" style="1203" customWidth="1"/>
    <col min="8200" max="8200" width="10.875" style="1203" customWidth="1"/>
    <col min="8201" max="8201" width="12.75" style="1203" customWidth="1"/>
    <col min="8202" max="8202" width="13.125" style="1203" customWidth="1"/>
    <col min="8203" max="8203" width="9.875" style="1203" customWidth="1"/>
    <col min="8204" max="8204" width="12" style="1203" bestFit="1" customWidth="1"/>
    <col min="8205" max="8206" width="5.25" style="1203" customWidth="1"/>
    <col min="8207" max="8207" width="9" style="1203"/>
    <col min="8208" max="8208" width="10.25" style="1203" customWidth="1"/>
    <col min="8209" max="8209" width="10.75" style="1203" customWidth="1"/>
    <col min="8210" max="8211" width="12.875" style="1203" customWidth="1"/>
    <col min="8212" max="8212" width="9" style="1203"/>
    <col min="8213" max="8213" width="1.875" style="1203" customWidth="1"/>
    <col min="8214" max="8214" width="12.375" style="1203" customWidth="1"/>
    <col min="8215" max="8215" width="11.625" style="1203" customWidth="1"/>
    <col min="8216" max="8448" width="9" style="1203"/>
    <col min="8449" max="8449" width="2.375" style="1203" customWidth="1"/>
    <col min="8450" max="8450" width="11.875" style="1203" customWidth="1"/>
    <col min="8451" max="8451" width="13" style="1203" customWidth="1"/>
    <col min="8452" max="8453" width="11.625" style="1203" customWidth="1"/>
    <col min="8454" max="8454" width="11.375" style="1203" customWidth="1"/>
    <col min="8455" max="8455" width="11.625" style="1203" customWidth="1"/>
    <col min="8456" max="8456" width="10.875" style="1203" customWidth="1"/>
    <col min="8457" max="8457" width="12.75" style="1203" customWidth="1"/>
    <col min="8458" max="8458" width="13.125" style="1203" customWidth="1"/>
    <col min="8459" max="8459" width="9.875" style="1203" customWidth="1"/>
    <col min="8460" max="8460" width="12" style="1203" bestFit="1" customWidth="1"/>
    <col min="8461" max="8462" width="5.25" style="1203" customWidth="1"/>
    <col min="8463" max="8463" width="9" style="1203"/>
    <col min="8464" max="8464" width="10.25" style="1203" customWidth="1"/>
    <col min="8465" max="8465" width="10.75" style="1203" customWidth="1"/>
    <col min="8466" max="8467" width="12.875" style="1203" customWidth="1"/>
    <col min="8468" max="8468" width="9" style="1203"/>
    <col min="8469" max="8469" width="1.875" style="1203" customWidth="1"/>
    <col min="8470" max="8470" width="12.375" style="1203" customWidth="1"/>
    <col min="8471" max="8471" width="11.625" style="1203" customWidth="1"/>
    <col min="8472" max="8704" width="9" style="1203"/>
    <col min="8705" max="8705" width="2.375" style="1203" customWidth="1"/>
    <col min="8706" max="8706" width="11.875" style="1203" customWidth="1"/>
    <col min="8707" max="8707" width="13" style="1203" customWidth="1"/>
    <col min="8708" max="8709" width="11.625" style="1203" customWidth="1"/>
    <col min="8710" max="8710" width="11.375" style="1203" customWidth="1"/>
    <col min="8711" max="8711" width="11.625" style="1203" customWidth="1"/>
    <col min="8712" max="8712" width="10.875" style="1203" customWidth="1"/>
    <col min="8713" max="8713" width="12.75" style="1203" customWidth="1"/>
    <col min="8714" max="8714" width="13.125" style="1203" customWidth="1"/>
    <col min="8715" max="8715" width="9.875" style="1203" customWidth="1"/>
    <col min="8716" max="8716" width="12" style="1203" bestFit="1" customWidth="1"/>
    <col min="8717" max="8718" width="5.25" style="1203" customWidth="1"/>
    <col min="8719" max="8719" width="9" style="1203"/>
    <col min="8720" max="8720" width="10.25" style="1203" customWidth="1"/>
    <col min="8721" max="8721" width="10.75" style="1203" customWidth="1"/>
    <col min="8722" max="8723" width="12.875" style="1203" customWidth="1"/>
    <col min="8724" max="8724" width="9" style="1203"/>
    <col min="8725" max="8725" width="1.875" style="1203" customWidth="1"/>
    <col min="8726" max="8726" width="12.375" style="1203" customWidth="1"/>
    <col min="8727" max="8727" width="11.625" style="1203" customWidth="1"/>
    <col min="8728" max="8960" width="9" style="1203"/>
    <col min="8961" max="8961" width="2.375" style="1203" customWidth="1"/>
    <col min="8962" max="8962" width="11.875" style="1203" customWidth="1"/>
    <col min="8963" max="8963" width="13" style="1203" customWidth="1"/>
    <col min="8964" max="8965" width="11.625" style="1203" customWidth="1"/>
    <col min="8966" max="8966" width="11.375" style="1203" customWidth="1"/>
    <col min="8967" max="8967" width="11.625" style="1203" customWidth="1"/>
    <col min="8968" max="8968" width="10.875" style="1203" customWidth="1"/>
    <col min="8969" max="8969" width="12.75" style="1203" customWidth="1"/>
    <col min="8970" max="8970" width="13.125" style="1203" customWidth="1"/>
    <col min="8971" max="8971" width="9.875" style="1203" customWidth="1"/>
    <col min="8972" max="8972" width="12" style="1203" bestFit="1" customWidth="1"/>
    <col min="8973" max="8974" width="5.25" style="1203" customWidth="1"/>
    <col min="8975" max="8975" width="9" style="1203"/>
    <col min="8976" max="8976" width="10.25" style="1203" customWidth="1"/>
    <col min="8977" max="8977" width="10.75" style="1203" customWidth="1"/>
    <col min="8978" max="8979" width="12.875" style="1203" customWidth="1"/>
    <col min="8980" max="8980" width="9" style="1203"/>
    <col min="8981" max="8981" width="1.875" style="1203" customWidth="1"/>
    <col min="8982" max="8982" width="12.375" style="1203" customWidth="1"/>
    <col min="8983" max="8983" width="11.625" style="1203" customWidth="1"/>
    <col min="8984" max="9216" width="9" style="1203"/>
    <col min="9217" max="9217" width="2.375" style="1203" customWidth="1"/>
    <col min="9218" max="9218" width="11.875" style="1203" customWidth="1"/>
    <col min="9219" max="9219" width="13" style="1203" customWidth="1"/>
    <col min="9220" max="9221" width="11.625" style="1203" customWidth="1"/>
    <col min="9222" max="9222" width="11.375" style="1203" customWidth="1"/>
    <col min="9223" max="9223" width="11.625" style="1203" customWidth="1"/>
    <col min="9224" max="9224" width="10.875" style="1203" customWidth="1"/>
    <col min="9225" max="9225" width="12.75" style="1203" customWidth="1"/>
    <col min="9226" max="9226" width="13.125" style="1203" customWidth="1"/>
    <col min="9227" max="9227" width="9.875" style="1203" customWidth="1"/>
    <col min="9228" max="9228" width="12" style="1203" bestFit="1" customWidth="1"/>
    <col min="9229" max="9230" width="5.25" style="1203" customWidth="1"/>
    <col min="9231" max="9231" width="9" style="1203"/>
    <col min="9232" max="9232" width="10.25" style="1203" customWidth="1"/>
    <col min="9233" max="9233" width="10.75" style="1203" customWidth="1"/>
    <col min="9234" max="9235" width="12.875" style="1203" customWidth="1"/>
    <col min="9236" max="9236" width="9" style="1203"/>
    <col min="9237" max="9237" width="1.875" style="1203" customWidth="1"/>
    <col min="9238" max="9238" width="12.375" style="1203" customWidth="1"/>
    <col min="9239" max="9239" width="11.625" style="1203" customWidth="1"/>
    <col min="9240" max="9472" width="9" style="1203"/>
    <col min="9473" max="9473" width="2.375" style="1203" customWidth="1"/>
    <col min="9474" max="9474" width="11.875" style="1203" customWidth="1"/>
    <col min="9475" max="9475" width="13" style="1203" customWidth="1"/>
    <col min="9476" max="9477" width="11.625" style="1203" customWidth="1"/>
    <col min="9478" max="9478" width="11.375" style="1203" customWidth="1"/>
    <col min="9479" max="9479" width="11.625" style="1203" customWidth="1"/>
    <col min="9480" max="9480" width="10.875" style="1203" customWidth="1"/>
    <col min="9481" max="9481" width="12.75" style="1203" customWidth="1"/>
    <col min="9482" max="9482" width="13.125" style="1203" customWidth="1"/>
    <col min="9483" max="9483" width="9.875" style="1203" customWidth="1"/>
    <col min="9484" max="9484" width="12" style="1203" bestFit="1" customWidth="1"/>
    <col min="9485" max="9486" width="5.25" style="1203" customWidth="1"/>
    <col min="9487" max="9487" width="9" style="1203"/>
    <col min="9488" max="9488" width="10.25" style="1203" customWidth="1"/>
    <col min="9489" max="9489" width="10.75" style="1203" customWidth="1"/>
    <col min="9490" max="9491" width="12.875" style="1203" customWidth="1"/>
    <col min="9492" max="9492" width="9" style="1203"/>
    <col min="9493" max="9493" width="1.875" style="1203" customWidth="1"/>
    <col min="9494" max="9494" width="12.375" style="1203" customWidth="1"/>
    <col min="9495" max="9495" width="11.625" style="1203" customWidth="1"/>
    <col min="9496" max="9728" width="9" style="1203"/>
    <col min="9729" max="9729" width="2.375" style="1203" customWidth="1"/>
    <col min="9730" max="9730" width="11.875" style="1203" customWidth="1"/>
    <col min="9731" max="9731" width="13" style="1203" customWidth="1"/>
    <col min="9732" max="9733" width="11.625" style="1203" customWidth="1"/>
    <col min="9734" max="9734" width="11.375" style="1203" customWidth="1"/>
    <col min="9735" max="9735" width="11.625" style="1203" customWidth="1"/>
    <col min="9736" max="9736" width="10.875" style="1203" customWidth="1"/>
    <col min="9737" max="9737" width="12.75" style="1203" customWidth="1"/>
    <col min="9738" max="9738" width="13.125" style="1203" customWidth="1"/>
    <col min="9739" max="9739" width="9.875" style="1203" customWidth="1"/>
    <col min="9740" max="9740" width="12" style="1203" bestFit="1" customWidth="1"/>
    <col min="9741" max="9742" width="5.25" style="1203" customWidth="1"/>
    <col min="9743" max="9743" width="9" style="1203"/>
    <col min="9744" max="9744" width="10.25" style="1203" customWidth="1"/>
    <col min="9745" max="9745" width="10.75" style="1203" customWidth="1"/>
    <col min="9746" max="9747" width="12.875" style="1203" customWidth="1"/>
    <col min="9748" max="9748" width="9" style="1203"/>
    <col min="9749" max="9749" width="1.875" style="1203" customWidth="1"/>
    <col min="9750" max="9750" width="12.375" style="1203" customWidth="1"/>
    <col min="9751" max="9751" width="11.625" style="1203" customWidth="1"/>
    <col min="9752" max="9984" width="9" style="1203"/>
    <col min="9985" max="9985" width="2.375" style="1203" customWidth="1"/>
    <col min="9986" max="9986" width="11.875" style="1203" customWidth="1"/>
    <col min="9987" max="9987" width="13" style="1203" customWidth="1"/>
    <col min="9988" max="9989" width="11.625" style="1203" customWidth="1"/>
    <col min="9990" max="9990" width="11.375" style="1203" customWidth="1"/>
    <col min="9991" max="9991" width="11.625" style="1203" customWidth="1"/>
    <col min="9992" max="9992" width="10.875" style="1203" customWidth="1"/>
    <col min="9993" max="9993" width="12.75" style="1203" customWidth="1"/>
    <col min="9994" max="9994" width="13.125" style="1203" customWidth="1"/>
    <col min="9995" max="9995" width="9.875" style="1203" customWidth="1"/>
    <col min="9996" max="9996" width="12" style="1203" bestFit="1" customWidth="1"/>
    <col min="9997" max="9998" width="5.25" style="1203" customWidth="1"/>
    <col min="9999" max="9999" width="9" style="1203"/>
    <col min="10000" max="10000" width="10.25" style="1203" customWidth="1"/>
    <col min="10001" max="10001" width="10.75" style="1203" customWidth="1"/>
    <col min="10002" max="10003" width="12.875" style="1203" customWidth="1"/>
    <col min="10004" max="10004" width="9" style="1203"/>
    <col min="10005" max="10005" width="1.875" style="1203" customWidth="1"/>
    <col min="10006" max="10006" width="12.375" style="1203" customWidth="1"/>
    <col min="10007" max="10007" width="11.625" style="1203" customWidth="1"/>
    <col min="10008" max="10240" width="9" style="1203"/>
    <col min="10241" max="10241" width="2.375" style="1203" customWidth="1"/>
    <col min="10242" max="10242" width="11.875" style="1203" customWidth="1"/>
    <col min="10243" max="10243" width="13" style="1203" customWidth="1"/>
    <col min="10244" max="10245" width="11.625" style="1203" customWidth="1"/>
    <col min="10246" max="10246" width="11.375" style="1203" customWidth="1"/>
    <col min="10247" max="10247" width="11.625" style="1203" customWidth="1"/>
    <col min="10248" max="10248" width="10.875" style="1203" customWidth="1"/>
    <col min="10249" max="10249" width="12.75" style="1203" customWidth="1"/>
    <col min="10250" max="10250" width="13.125" style="1203" customWidth="1"/>
    <col min="10251" max="10251" width="9.875" style="1203" customWidth="1"/>
    <col min="10252" max="10252" width="12" style="1203" bestFit="1" customWidth="1"/>
    <col min="10253" max="10254" width="5.25" style="1203" customWidth="1"/>
    <col min="10255" max="10255" width="9" style="1203"/>
    <col min="10256" max="10256" width="10.25" style="1203" customWidth="1"/>
    <col min="10257" max="10257" width="10.75" style="1203" customWidth="1"/>
    <col min="10258" max="10259" width="12.875" style="1203" customWidth="1"/>
    <col min="10260" max="10260" width="9" style="1203"/>
    <col min="10261" max="10261" width="1.875" style="1203" customWidth="1"/>
    <col min="10262" max="10262" width="12.375" style="1203" customWidth="1"/>
    <col min="10263" max="10263" width="11.625" style="1203" customWidth="1"/>
    <col min="10264" max="10496" width="9" style="1203"/>
    <col min="10497" max="10497" width="2.375" style="1203" customWidth="1"/>
    <col min="10498" max="10498" width="11.875" style="1203" customWidth="1"/>
    <col min="10499" max="10499" width="13" style="1203" customWidth="1"/>
    <col min="10500" max="10501" width="11.625" style="1203" customWidth="1"/>
    <col min="10502" max="10502" width="11.375" style="1203" customWidth="1"/>
    <col min="10503" max="10503" width="11.625" style="1203" customWidth="1"/>
    <col min="10504" max="10504" width="10.875" style="1203" customWidth="1"/>
    <col min="10505" max="10505" width="12.75" style="1203" customWidth="1"/>
    <col min="10506" max="10506" width="13.125" style="1203" customWidth="1"/>
    <col min="10507" max="10507" width="9.875" style="1203" customWidth="1"/>
    <col min="10508" max="10508" width="12" style="1203" bestFit="1" customWidth="1"/>
    <col min="10509" max="10510" width="5.25" style="1203" customWidth="1"/>
    <col min="10511" max="10511" width="9" style="1203"/>
    <col min="10512" max="10512" width="10.25" style="1203" customWidth="1"/>
    <col min="10513" max="10513" width="10.75" style="1203" customWidth="1"/>
    <col min="10514" max="10515" width="12.875" style="1203" customWidth="1"/>
    <col min="10516" max="10516" width="9" style="1203"/>
    <col min="10517" max="10517" width="1.875" style="1203" customWidth="1"/>
    <col min="10518" max="10518" width="12.375" style="1203" customWidth="1"/>
    <col min="10519" max="10519" width="11.625" style="1203" customWidth="1"/>
    <col min="10520" max="10752" width="9" style="1203"/>
    <col min="10753" max="10753" width="2.375" style="1203" customWidth="1"/>
    <col min="10754" max="10754" width="11.875" style="1203" customWidth="1"/>
    <col min="10755" max="10755" width="13" style="1203" customWidth="1"/>
    <col min="10756" max="10757" width="11.625" style="1203" customWidth="1"/>
    <col min="10758" max="10758" width="11.375" style="1203" customWidth="1"/>
    <col min="10759" max="10759" width="11.625" style="1203" customWidth="1"/>
    <col min="10760" max="10760" width="10.875" style="1203" customWidth="1"/>
    <col min="10761" max="10761" width="12.75" style="1203" customWidth="1"/>
    <col min="10762" max="10762" width="13.125" style="1203" customWidth="1"/>
    <col min="10763" max="10763" width="9.875" style="1203" customWidth="1"/>
    <col min="10764" max="10764" width="12" style="1203" bestFit="1" customWidth="1"/>
    <col min="10765" max="10766" width="5.25" style="1203" customWidth="1"/>
    <col min="10767" max="10767" width="9" style="1203"/>
    <col min="10768" max="10768" width="10.25" style="1203" customWidth="1"/>
    <col min="10769" max="10769" width="10.75" style="1203" customWidth="1"/>
    <col min="10770" max="10771" width="12.875" style="1203" customWidth="1"/>
    <col min="10772" max="10772" width="9" style="1203"/>
    <col min="10773" max="10773" width="1.875" style="1203" customWidth="1"/>
    <col min="10774" max="10774" width="12.375" style="1203" customWidth="1"/>
    <col min="10775" max="10775" width="11.625" style="1203" customWidth="1"/>
    <col min="10776" max="11008" width="9" style="1203"/>
    <col min="11009" max="11009" width="2.375" style="1203" customWidth="1"/>
    <col min="11010" max="11010" width="11.875" style="1203" customWidth="1"/>
    <col min="11011" max="11011" width="13" style="1203" customWidth="1"/>
    <col min="11012" max="11013" width="11.625" style="1203" customWidth="1"/>
    <col min="11014" max="11014" width="11.375" style="1203" customWidth="1"/>
    <col min="11015" max="11015" width="11.625" style="1203" customWidth="1"/>
    <col min="11016" max="11016" width="10.875" style="1203" customWidth="1"/>
    <col min="11017" max="11017" width="12.75" style="1203" customWidth="1"/>
    <col min="11018" max="11018" width="13.125" style="1203" customWidth="1"/>
    <col min="11019" max="11019" width="9.875" style="1203" customWidth="1"/>
    <col min="11020" max="11020" width="12" style="1203" bestFit="1" customWidth="1"/>
    <col min="11021" max="11022" width="5.25" style="1203" customWidth="1"/>
    <col min="11023" max="11023" width="9" style="1203"/>
    <col min="11024" max="11024" width="10.25" style="1203" customWidth="1"/>
    <col min="11025" max="11025" width="10.75" style="1203" customWidth="1"/>
    <col min="11026" max="11027" width="12.875" style="1203" customWidth="1"/>
    <col min="11028" max="11028" width="9" style="1203"/>
    <col min="11029" max="11029" width="1.875" style="1203" customWidth="1"/>
    <col min="11030" max="11030" width="12.375" style="1203" customWidth="1"/>
    <col min="11031" max="11031" width="11.625" style="1203" customWidth="1"/>
    <col min="11032" max="11264" width="9" style="1203"/>
    <col min="11265" max="11265" width="2.375" style="1203" customWidth="1"/>
    <col min="11266" max="11266" width="11.875" style="1203" customWidth="1"/>
    <col min="11267" max="11267" width="13" style="1203" customWidth="1"/>
    <col min="11268" max="11269" width="11.625" style="1203" customWidth="1"/>
    <col min="11270" max="11270" width="11.375" style="1203" customWidth="1"/>
    <col min="11271" max="11271" width="11.625" style="1203" customWidth="1"/>
    <col min="11272" max="11272" width="10.875" style="1203" customWidth="1"/>
    <col min="11273" max="11273" width="12.75" style="1203" customWidth="1"/>
    <col min="11274" max="11274" width="13.125" style="1203" customWidth="1"/>
    <col min="11275" max="11275" width="9.875" style="1203" customWidth="1"/>
    <col min="11276" max="11276" width="12" style="1203" bestFit="1" customWidth="1"/>
    <col min="11277" max="11278" width="5.25" style="1203" customWidth="1"/>
    <col min="11279" max="11279" width="9" style="1203"/>
    <col min="11280" max="11280" width="10.25" style="1203" customWidth="1"/>
    <col min="11281" max="11281" width="10.75" style="1203" customWidth="1"/>
    <col min="11282" max="11283" width="12.875" style="1203" customWidth="1"/>
    <col min="11284" max="11284" width="9" style="1203"/>
    <col min="11285" max="11285" width="1.875" style="1203" customWidth="1"/>
    <col min="11286" max="11286" width="12.375" style="1203" customWidth="1"/>
    <col min="11287" max="11287" width="11.625" style="1203" customWidth="1"/>
    <col min="11288" max="11520" width="9" style="1203"/>
    <col min="11521" max="11521" width="2.375" style="1203" customWidth="1"/>
    <col min="11522" max="11522" width="11.875" style="1203" customWidth="1"/>
    <col min="11523" max="11523" width="13" style="1203" customWidth="1"/>
    <col min="11524" max="11525" width="11.625" style="1203" customWidth="1"/>
    <col min="11526" max="11526" width="11.375" style="1203" customWidth="1"/>
    <col min="11527" max="11527" width="11.625" style="1203" customWidth="1"/>
    <col min="11528" max="11528" width="10.875" style="1203" customWidth="1"/>
    <col min="11529" max="11529" width="12.75" style="1203" customWidth="1"/>
    <col min="11530" max="11530" width="13.125" style="1203" customWidth="1"/>
    <col min="11531" max="11531" width="9.875" style="1203" customWidth="1"/>
    <col min="11532" max="11532" width="12" style="1203" bestFit="1" customWidth="1"/>
    <col min="11533" max="11534" width="5.25" style="1203" customWidth="1"/>
    <col min="11535" max="11535" width="9" style="1203"/>
    <col min="11536" max="11536" width="10.25" style="1203" customWidth="1"/>
    <col min="11537" max="11537" width="10.75" style="1203" customWidth="1"/>
    <col min="11538" max="11539" width="12.875" style="1203" customWidth="1"/>
    <col min="11540" max="11540" width="9" style="1203"/>
    <col min="11541" max="11541" width="1.875" style="1203" customWidth="1"/>
    <col min="11542" max="11542" width="12.375" style="1203" customWidth="1"/>
    <col min="11543" max="11543" width="11.625" style="1203" customWidth="1"/>
    <col min="11544" max="11776" width="9" style="1203"/>
    <col min="11777" max="11777" width="2.375" style="1203" customWidth="1"/>
    <col min="11778" max="11778" width="11.875" style="1203" customWidth="1"/>
    <col min="11779" max="11779" width="13" style="1203" customWidth="1"/>
    <col min="11780" max="11781" width="11.625" style="1203" customWidth="1"/>
    <col min="11782" max="11782" width="11.375" style="1203" customWidth="1"/>
    <col min="11783" max="11783" width="11.625" style="1203" customWidth="1"/>
    <col min="11784" max="11784" width="10.875" style="1203" customWidth="1"/>
    <col min="11785" max="11785" width="12.75" style="1203" customWidth="1"/>
    <col min="11786" max="11786" width="13.125" style="1203" customWidth="1"/>
    <col min="11787" max="11787" width="9.875" style="1203" customWidth="1"/>
    <col min="11788" max="11788" width="12" style="1203" bestFit="1" customWidth="1"/>
    <col min="11789" max="11790" width="5.25" style="1203" customWidth="1"/>
    <col min="11791" max="11791" width="9" style="1203"/>
    <col min="11792" max="11792" width="10.25" style="1203" customWidth="1"/>
    <col min="11793" max="11793" width="10.75" style="1203" customWidth="1"/>
    <col min="11794" max="11795" width="12.875" style="1203" customWidth="1"/>
    <col min="11796" max="11796" width="9" style="1203"/>
    <col min="11797" max="11797" width="1.875" style="1203" customWidth="1"/>
    <col min="11798" max="11798" width="12.375" style="1203" customWidth="1"/>
    <col min="11799" max="11799" width="11.625" style="1203" customWidth="1"/>
    <col min="11800" max="12032" width="9" style="1203"/>
    <col min="12033" max="12033" width="2.375" style="1203" customWidth="1"/>
    <col min="12034" max="12034" width="11.875" style="1203" customWidth="1"/>
    <col min="12035" max="12035" width="13" style="1203" customWidth="1"/>
    <col min="12036" max="12037" width="11.625" style="1203" customWidth="1"/>
    <col min="12038" max="12038" width="11.375" style="1203" customWidth="1"/>
    <col min="12039" max="12039" width="11.625" style="1203" customWidth="1"/>
    <col min="12040" max="12040" width="10.875" style="1203" customWidth="1"/>
    <col min="12041" max="12041" width="12.75" style="1203" customWidth="1"/>
    <col min="12042" max="12042" width="13.125" style="1203" customWidth="1"/>
    <col min="12043" max="12043" width="9.875" style="1203" customWidth="1"/>
    <col min="12044" max="12044" width="12" style="1203" bestFit="1" customWidth="1"/>
    <col min="12045" max="12046" width="5.25" style="1203" customWidth="1"/>
    <col min="12047" max="12047" width="9" style="1203"/>
    <col min="12048" max="12048" width="10.25" style="1203" customWidth="1"/>
    <col min="12049" max="12049" width="10.75" style="1203" customWidth="1"/>
    <col min="12050" max="12051" width="12.875" style="1203" customWidth="1"/>
    <col min="12052" max="12052" width="9" style="1203"/>
    <col min="12053" max="12053" width="1.875" style="1203" customWidth="1"/>
    <col min="12054" max="12054" width="12.375" style="1203" customWidth="1"/>
    <col min="12055" max="12055" width="11.625" style="1203" customWidth="1"/>
    <col min="12056" max="12288" width="9" style="1203"/>
    <col min="12289" max="12289" width="2.375" style="1203" customWidth="1"/>
    <col min="12290" max="12290" width="11.875" style="1203" customWidth="1"/>
    <col min="12291" max="12291" width="13" style="1203" customWidth="1"/>
    <col min="12292" max="12293" width="11.625" style="1203" customWidth="1"/>
    <col min="12294" max="12294" width="11.375" style="1203" customWidth="1"/>
    <col min="12295" max="12295" width="11.625" style="1203" customWidth="1"/>
    <col min="12296" max="12296" width="10.875" style="1203" customWidth="1"/>
    <col min="12297" max="12297" width="12.75" style="1203" customWidth="1"/>
    <col min="12298" max="12298" width="13.125" style="1203" customWidth="1"/>
    <col min="12299" max="12299" width="9.875" style="1203" customWidth="1"/>
    <col min="12300" max="12300" width="12" style="1203" bestFit="1" customWidth="1"/>
    <col min="12301" max="12302" width="5.25" style="1203" customWidth="1"/>
    <col min="12303" max="12303" width="9" style="1203"/>
    <col min="12304" max="12304" width="10.25" style="1203" customWidth="1"/>
    <col min="12305" max="12305" width="10.75" style="1203" customWidth="1"/>
    <col min="12306" max="12307" width="12.875" style="1203" customWidth="1"/>
    <col min="12308" max="12308" width="9" style="1203"/>
    <col min="12309" max="12309" width="1.875" style="1203" customWidth="1"/>
    <col min="12310" max="12310" width="12.375" style="1203" customWidth="1"/>
    <col min="12311" max="12311" width="11.625" style="1203" customWidth="1"/>
    <col min="12312" max="12544" width="9" style="1203"/>
    <col min="12545" max="12545" width="2.375" style="1203" customWidth="1"/>
    <col min="12546" max="12546" width="11.875" style="1203" customWidth="1"/>
    <col min="12547" max="12547" width="13" style="1203" customWidth="1"/>
    <col min="12548" max="12549" width="11.625" style="1203" customWidth="1"/>
    <col min="12550" max="12550" width="11.375" style="1203" customWidth="1"/>
    <col min="12551" max="12551" width="11.625" style="1203" customWidth="1"/>
    <col min="12552" max="12552" width="10.875" style="1203" customWidth="1"/>
    <col min="12553" max="12553" width="12.75" style="1203" customWidth="1"/>
    <col min="12554" max="12554" width="13.125" style="1203" customWidth="1"/>
    <col min="12555" max="12555" width="9.875" style="1203" customWidth="1"/>
    <col min="12556" max="12556" width="12" style="1203" bestFit="1" customWidth="1"/>
    <col min="12557" max="12558" width="5.25" style="1203" customWidth="1"/>
    <col min="12559" max="12559" width="9" style="1203"/>
    <col min="12560" max="12560" width="10.25" style="1203" customWidth="1"/>
    <col min="12561" max="12561" width="10.75" style="1203" customWidth="1"/>
    <col min="12562" max="12563" width="12.875" style="1203" customWidth="1"/>
    <col min="12564" max="12564" width="9" style="1203"/>
    <col min="12565" max="12565" width="1.875" style="1203" customWidth="1"/>
    <col min="12566" max="12566" width="12.375" style="1203" customWidth="1"/>
    <col min="12567" max="12567" width="11.625" style="1203" customWidth="1"/>
    <col min="12568" max="12800" width="9" style="1203"/>
    <col min="12801" max="12801" width="2.375" style="1203" customWidth="1"/>
    <col min="12802" max="12802" width="11.875" style="1203" customWidth="1"/>
    <col min="12803" max="12803" width="13" style="1203" customWidth="1"/>
    <col min="12804" max="12805" width="11.625" style="1203" customWidth="1"/>
    <col min="12806" max="12806" width="11.375" style="1203" customWidth="1"/>
    <col min="12807" max="12807" width="11.625" style="1203" customWidth="1"/>
    <col min="12808" max="12808" width="10.875" style="1203" customWidth="1"/>
    <col min="12809" max="12809" width="12.75" style="1203" customWidth="1"/>
    <col min="12810" max="12810" width="13.125" style="1203" customWidth="1"/>
    <col min="12811" max="12811" width="9.875" style="1203" customWidth="1"/>
    <col min="12812" max="12812" width="12" style="1203" bestFit="1" customWidth="1"/>
    <col min="12813" max="12814" width="5.25" style="1203" customWidth="1"/>
    <col min="12815" max="12815" width="9" style="1203"/>
    <col min="12816" max="12816" width="10.25" style="1203" customWidth="1"/>
    <col min="12817" max="12817" width="10.75" style="1203" customWidth="1"/>
    <col min="12818" max="12819" width="12.875" style="1203" customWidth="1"/>
    <col min="12820" max="12820" width="9" style="1203"/>
    <col min="12821" max="12821" width="1.875" style="1203" customWidth="1"/>
    <col min="12822" max="12822" width="12.375" style="1203" customWidth="1"/>
    <col min="12823" max="12823" width="11.625" style="1203" customWidth="1"/>
    <col min="12824" max="13056" width="9" style="1203"/>
    <col min="13057" max="13057" width="2.375" style="1203" customWidth="1"/>
    <col min="13058" max="13058" width="11.875" style="1203" customWidth="1"/>
    <col min="13059" max="13059" width="13" style="1203" customWidth="1"/>
    <col min="13060" max="13061" width="11.625" style="1203" customWidth="1"/>
    <col min="13062" max="13062" width="11.375" style="1203" customWidth="1"/>
    <col min="13063" max="13063" width="11.625" style="1203" customWidth="1"/>
    <col min="13064" max="13064" width="10.875" style="1203" customWidth="1"/>
    <col min="13065" max="13065" width="12.75" style="1203" customWidth="1"/>
    <col min="13066" max="13066" width="13.125" style="1203" customWidth="1"/>
    <col min="13067" max="13067" width="9.875" style="1203" customWidth="1"/>
    <col min="13068" max="13068" width="12" style="1203" bestFit="1" customWidth="1"/>
    <col min="13069" max="13070" width="5.25" style="1203" customWidth="1"/>
    <col min="13071" max="13071" width="9" style="1203"/>
    <col min="13072" max="13072" width="10.25" style="1203" customWidth="1"/>
    <col min="13073" max="13073" width="10.75" style="1203" customWidth="1"/>
    <col min="13074" max="13075" width="12.875" style="1203" customWidth="1"/>
    <col min="13076" max="13076" width="9" style="1203"/>
    <col min="13077" max="13077" width="1.875" style="1203" customWidth="1"/>
    <col min="13078" max="13078" width="12.375" style="1203" customWidth="1"/>
    <col min="13079" max="13079" width="11.625" style="1203" customWidth="1"/>
    <col min="13080" max="13312" width="9" style="1203"/>
    <col min="13313" max="13313" width="2.375" style="1203" customWidth="1"/>
    <col min="13314" max="13314" width="11.875" style="1203" customWidth="1"/>
    <col min="13315" max="13315" width="13" style="1203" customWidth="1"/>
    <col min="13316" max="13317" width="11.625" style="1203" customWidth="1"/>
    <col min="13318" max="13318" width="11.375" style="1203" customWidth="1"/>
    <col min="13319" max="13319" width="11.625" style="1203" customWidth="1"/>
    <col min="13320" max="13320" width="10.875" style="1203" customWidth="1"/>
    <col min="13321" max="13321" width="12.75" style="1203" customWidth="1"/>
    <col min="13322" max="13322" width="13.125" style="1203" customWidth="1"/>
    <col min="13323" max="13323" width="9.875" style="1203" customWidth="1"/>
    <col min="13324" max="13324" width="12" style="1203" bestFit="1" customWidth="1"/>
    <col min="13325" max="13326" width="5.25" style="1203" customWidth="1"/>
    <col min="13327" max="13327" width="9" style="1203"/>
    <col min="13328" max="13328" width="10.25" style="1203" customWidth="1"/>
    <col min="13329" max="13329" width="10.75" style="1203" customWidth="1"/>
    <col min="13330" max="13331" width="12.875" style="1203" customWidth="1"/>
    <col min="13332" max="13332" width="9" style="1203"/>
    <col min="13333" max="13333" width="1.875" style="1203" customWidth="1"/>
    <col min="13334" max="13334" width="12.375" style="1203" customWidth="1"/>
    <col min="13335" max="13335" width="11.625" style="1203" customWidth="1"/>
    <col min="13336" max="13568" width="9" style="1203"/>
    <col min="13569" max="13569" width="2.375" style="1203" customWidth="1"/>
    <col min="13570" max="13570" width="11.875" style="1203" customWidth="1"/>
    <col min="13571" max="13571" width="13" style="1203" customWidth="1"/>
    <col min="13572" max="13573" width="11.625" style="1203" customWidth="1"/>
    <col min="13574" max="13574" width="11.375" style="1203" customWidth="1"/>
    <col min="13575" max="13575" width="11.625" style="1203" customWidth="1"/>
    <col min="13576" max="13576" width="10.875" style="1203" customWidth="1"/>
    <col min="13577" max="13577" width="12.75" style="1203" customWidth="1"/>
    <col min="13578" max="13578" width="13.125" style="1203" customWidth="1"/>
    <col min="13579" max="13579" width="9.875" style="1203" customWidth="1"/>
    <col min="13580" max="13580" width="12" style="1203" bestFit="1" customWidth="1"/>
    <col min="13581" max="13582" width="5.25" style="1203" customWidth="1"/>
    <col min="13583" max="13583" width="9" style="1203"/>
    <col min="13584" max="13584" width="10.25" style="1203" customWidth="1"/>
    <col min="13585" max="13585" width="10.75" style="1203" customWidth="1"/>
    <col min="13586" max="13587" width="12.875" style="1203" customWidth="1"/>
    <col min="13588" max="13588" width="9" style="1203"/>
    <col min="13589" max="13589" width="1.875" style="1203" customWidth="1"/>
    <col min="13590" max="13590" width="12.375" style="1203" customWidth="1"/>
    <col min="13591" max="13591" width="11.625" style="1203" customWidth="1"/>
    <col min="13592" max="13824" width="9" style="1203"/>
    <col min="13825" max="13825" width="2.375" style="1203" customWidth="1"/>
    <col min="13826" max="13826" width="11.875" style="1203" customWidth="1"/>
    <col min="13827" max="13827" width="13" style="1203" customWidth="1"/>
    <col min="13828" max="13829" width="11.625" style="1203" customWidth="1"/>
    <col min="13830" max="13830" width="11.375" style="1203" customWidth="1"/>
    <col min="13831" max="13831" width="11.625" style="1203" customWidth="1"/>
    <col min="13832" max="13832" width="10.875" style="1203" customWidth="1"/>
    <col min="13833" max="13833" width="12.75" style="1203" customWidth="1"/>
    <col min="13834" max="13834" width="13.125" style="1203" customWidth="1"/>
    <col min="13835" max="13835" width="9.875" style="1203" customWidth="1"/>
    <col min="13836" max="13836" width="12" style="1203" bestFit="1" customWidth="1"/>
    <col min="13837" max="13838" width="5.25" style="1203" customWidth="1"/>
    <col min="13839" max="13839" width="9" style="1203"/>
    <col min="13840" max="13840" width="10.25" style="1203" customWidth="1"/>
    <col min="13841" max="13841" width="10.75" style="1203" customWidth="1"/>
    <col min="13842" max="13843" width="12.875" style="1203" customWidth="1"/>
    <col min="13844" max="13844" width="9" style="1203"/>
    <col min="13845" max="13845" width="1.875" style="1203" customWidth="1"/>
    <col min="13846" max="13846" width="12.375" style="1203" customWidth="1"/>
    <col min="13847" max="13847" width="11.625" style="1203" customWidth="1"/>
    <col min="13848" max="14080" width="9" style="1203"/>
    <col min="14081" max="14081" width="2.375" style="1203" customWidth="1"/>
    <col min="14082" max="14082" width="11.875" style="1203" customWidth="1"/>
    <col min="14083" max="14083" width="13" style="1203" customWidth="1"/>
    <col min="14084" max="14085" width="11.625" style="1203" customWidth="1"/>
    <col min="14086" max="14086" width="11.375" style="1203" customWidth="1"/>
    <col min="14087" max="14087" width="11.625" style="1203" customWidth="1"/>
    <col min="14088" max="14088" width="10.875" style="1203" customWidth="1"/>
    <col min="14089" max="14089" width="12.75" style="1203" customWidth="1"/>
    <col min="14090" max="14090" width="13.125" style="1203" customWidth="1"/>
    <col min="14091" max="14091" width="9.875" style="1203" customWidth="1"/>
    <col min="14092" max="14092" width="12" style="1203" bestFit="1" customWidth="1"/>
    <col min="14093" max="14094" width="5.25" style="1203" customWidth="1"/>
    <col min="14095" max="14095" width="9" style="1203"/>
    <col min="14096" max="14096" width="10.25" style="1203" customWidth="1"/>
    <col min="14097" max="14097" width="10.75" style="1203" customWidth="1"/>
    <col min="14098" max="14099" width="12.875" style="1203" customWidth="1"/>
    <col min="14100" max="14100" width="9" style="1203"/>
    <col min="14101" max="14101" width="1.875" style="1203" customWidth="1"/>
    <col min="14102" max="14102" width="12.375" style="1203" customWidth="1"/>
    <col min="14103" max="14103" width="11.625" style="1203" customWidth="1"/>
    <col min="14104" max="14336" width="9" style="1203"/>
    <col min="14337" max="14337" width="2.375" style="1203" customWidth="1"/>
    <col min="14338" max="14338" width="11.875" style="1203" customWidth="1"/>
    <col min="14339" max="14339" width="13" style="1203" customWidth="1"/>
    <col min="14340" max="14341" width="11.625" style="1203" customWidth="1"/>
    <col min="14342" max="14342" width="11.375" style="1203" customWidth="1"/>
    <col min="14343" max="14343" width="11.625" style="1203" customWidth="1"/>
    <col min="14344" max="14344" width="10.875" style="1203" customWidth="1"/>
    <col min="14345" max="14345" width="12.75" style="1203" customWidth="1"/>
    <col min="14346" max="14346" width="13.125" style="1203" customWidth="1"/>
    <col min="14347" max="14347" width="9.875" style="1203" customWidth="1"/>
    <col min="14348" max="14348" width="12" style="1203" bestFit="1" customWidth="1"/>
    <col min="14349" max="14350" width="5.25" style="1203" customWidth="1"/>
    <col min="14351" max="14351" width="9" style="1203"/>
    <col min="14352" max="14352" width="10.25" style="1203" customWidth="1"/>
    <col min="14353" max="14353" width="10.75" style="1203" customWidth="1"/>
    <col min="14354" max="14355" width="12.875" style="1203" customWidth="1"/>
    <col min="14356" max="14356" width="9" style="1203"/>
    <col min="14357" max="14357" width="1.875" style="1203" customWidth="1"/>
    <col min="14358" max="14358" width="12.375" style="1203" customWidth="1"/>
    <col min="14359" max="14359" width="11.625" style="1203" customWidth="1"/>
    <col min="14360" max="14592" width="9" style="1203"/>
    <col min="14593" max="14593" width="2.375" style="1203" customWidth="1"/>
    <col min="14594" max="14594" width="11.875" style="1203" customWidth="1"/>
    <col min="14595" max="14595" width="13" style="1203" customWidth="1"/>
    <col min="14596" max="14597" width="11.625" style="1203" customWidth="1"/>
    <col min="14598" max="14598" width="11.375" style="1203" customWidth="1"/>
    <col min="14599" max="14599" width="11.625" style="1203" customWidth="1"/>
    <col min="14600" max="14600" width="10.875" style="1203" customWidth="1"/>
    <col min="14601" max="14601" width="12.75" style="1203" customWidth="1"/>
    <col min="14602" max="14602" width="13.125" style="1203" customWidth="1"/>
    <col min="14603" max="14603" width="9.875" style="1203" customWidth="1"/>
    <col min="14604" max="14604" width="12" style="1203" bestFit="1" customWidth="1"/>
    <col min="14605" max="14606" width="5.25" style="1203" customWidth="1"/>
    <col min="14607" max="14607" width="9" style="1203"/>
    <col min="14608" max="14608" width="10.25" style="1203" customWidth="1"/>
    <col min="14609" max="14609" width="10.75" style="1203" customWidth="1"/>
    <col min="14610" max="14611" width="12.875" style="1203" customWidth="1"/>
    <col min="14612" max="14612" width="9" style="1203"/>
    <col min="14613" max="14613" width="1.875" style="1203" customWidth="1"/>
    <col min="14614" max="14614" width="12.375" style="1203" customWidth="1"/>
    <col min="14615" max="14615" width="11.625" style="1203" customWidth="1"/>
    <col min="14616" max="14848" width="9" style="1203"/>
    <col min="14849" max="14849" width="2.375" style="1203" customWidth="1"/>
    <col min="14850" max="14850" width="11.875" style="1203" customWidth="1"/>
    <col min="14851" max="14851" width="13" style="1203" customWidth="1"/>
    <col min="14852" max="14853" width="11.625" style="1203" customWidth="1"/>
    <col min="14854" max="14854" width="11.375" style="1203" customWidth="1"/>
    <col min="14855" max="14855" width="11.625" style="1203" customWidth="1"/>
    <col min="14856" max="14856" width="10.875" style="1203" customWidth="1"/>
    <col min="14857" max="14857" width="12.75" style="1203" customWidth="1"/>
    <col min="14858" max="14858" width="13.125" style="1203" customWidth="1"/>
    <col min="14859" max="14859" width="9.875" style="1203" customWidth="1"/>
    <col min="14860" max="14860" width="12" style="1203" bestFit="1" customWidth="1"/>
    <col min="14861" max="14862" width="5.25" style="1203" customWidth="1"/>
    <col min="14863" max="14863" width="9" style="1203"/>
    <col min="14864" max="14864" width="10.25" style="1203" customWidth="1"/>
    <col min="14865" max="14865" width="10.75" style="1203" customWidth="1"/>
    <col min="14866" max="14867" width="12.875" style="1203" customWidth="1"/>
    <col min="14868" max="14868" width="9" style="1203"/>
    <col min="14869" max="14869" width="1.875" style="1203" customWidth="1"/>
    <col min="14870" max="14870" width="12.375" style="1203" customWidth="1"/>
    <col min="14871" max="14871" width="11.625" style="1203" customWidth="1"/>
    <col min="14872" max="15104" width="9" style="1203"/>
    <col min="15105" max="15105" width="2.375" style="1203" customWidth="1"/>
    <col min="15106" max="15106" width="11.875" style="1203" customWidth="1"/>
    <col min="15107" max="15107" width="13" style="1203" customWidth="1"/>
    <col min="15108" max="15109" width="11.625" style="1203" customWidth="1"/>
    <col min="15110" max="15110" width="11.375" style="1203" customWidth="1"/>
    <col min="15111" max="15111" width="11.625" style="1203" customWidth="1"/>
    <col min="15112" max="15112" width="10.875" style="1203" customWidth="1"/>
    <col min="15113" max="15113" width="12.75" style="1203" customWidth="1"/>
    <col min="15114" max="15114" width="13.125" style="1203" customWidth="1"/>
    <col min="15115" max="15115" width="9.875" style="1203" customWidth="1"/>
    <col min="15116" max="15116" width="12" style="1203" bestFit="1" customWidth="1"/>
    <col min="15117" max="15118" width="5.25" style="1203" customWidth="1"/>
    <col min="15119" max="15119" width="9" style="1203"/>
    <col min="15120" max="15120" width="10.25" style="1203" customWidth="1"/>
    <col min="15121" max="15121" width="10.75" style="1203" customWidth="1"/>
    <col min="15122" max="15123" width="12.875" style="1203" customWidth="1"/>
    <col min="15124" max="15124" width="9" style="1203"/>
    <col min="15125" max="15125" width="1.875" style="1203" customWidth="1"/>
    <col min="15126" max="15126" width="12.375" style="1203" customWidth="1"/>
    <col min="15127" max="15127" width="11.625" style="1203" customWidth="1"/>
    <col min="15128" max="15360" width="9" style="1203"/>
    <col min="15361" max="15361" width="2.375" style="1203" customWidth="1"/>
    <col min="15362" max="15362" width="11.875" style="1203" customWidth="1"/>
    <col min="15363" max="15363" width="13" style="1203" customWidth="1"/>
    <col min="15364" max="15365" width="11.625" style="1203" customWidth="1"/>
    <col min="15366" max="15366" width="11.375" style="1203" customWidth="1"/>
    <col min="15367" max="15367" width="11.625" style="1203" customWidth="1"/>
    <col min="15368" max="15368" width="10.875" style="1203" customWidth="1"/>
    <col min="15369" max="15369" width="12.75" style="1203" customWidth="1"/>
    <col min="15370" max="15370" width="13.125" style="1203" customWidth="1"/>
    <col min="15371" max="15371" width="9.875" style="1203" customWidth="1"/>
    <col min="15372" max="15372" width="12" style="1203" bestFit="1" customWidth="1"/>
    <col min="15373" max="15374" width="5.25" style="1203" customWidth="1"/>
    <col min="15375" max="15375" width="9" style="1203"/>
    <col min="15376" max="15376" width="10.25" style="1203" customWidth="1"/>
    <col min="15377" max="15377" width="10.75" style="1203" customWidth="1"/>
    <col min="15378" max="15379" width="12.875" style="1203" customWidth="1"/>
    <col min="15380" max="15380" width="9" style="1203"/>
    <col min="15381" max="15381" width="1.875" style="1203" customWidth="1"/>
    <col min="15382" max="15382" width="12.375" style="1203" customWidth="1"/>
    <col min="15383" max="15383" width="11.625" style="1203" customWidth="1"/>
    <col min="15384" max="15616" width="9" style="1203"/>
    <col min="15617" max="15617" width="2.375" style="1203" customWidth="1"/>
    <col min="15618" max="15618" width="11.875" style="1203" customWidth="1"/>
    <col min="15619" max="15619" width="13" style="1203" customWidth="1"/>
    <col min="15620" max="15621" width="11.625" style="1203" customWidth="1"/>
    <col min="15622" max="15622" width="11.375" style="1203" customWidth="1"/>
    <col min="15623" max="15623" width="11.625" style="1203" customWidth="1"/>
    <col min="15624" max="15624" width="10.875" style="1203" customWidth="1"/>
    <col min="15625" max="15625" width="12.75" style="1203" customWidth="1"/>
    <col min="15626" max="15626" width="13.125" style="1203" customWidth="1"/>
    <col min="15627" max="15627" width="9.875" style="1203" customWidth="1"/>
    <col min="15628" max="15628" width="12" style="1203" bestFit="1" customWidth="1"/>
    <col min="15629" max="15630" width="5.25" style="1203" customWidth="1"/>
    <col min="15631" max="15631" width="9" style="1203"/>
    <col min="15632" max="15632" width="10.25" style="1203" customWidth="1"/>
    <col min="15633" max="15633" width="10.75" style="1203" customWidth="1"/>
    <col min="15634" max="15635" width="12.875" style="1203" customWidth="1"/>
    <col min="15636" max="15636" width="9" style="1203"/>
    <col min="15637" max="15637" width="1.875" style="1203" customWidth="1"/>
    <col min="15638" max="15638" width="12.375" style="1203" customWidth="1"/>
    <col min="15639" max="15639" width="11.625" style="1203" customWidth="1"/>
    <col min="15640" max="15872" width="9" style="1203"/>
    <col min="15873" max="15873" width="2.375" style="1203" customWidth="1"/>
    <col min="15874" max="15874" width="11.875" style="1203" customWidth="1"/>
    <col min="15875" max="15875" width="13" style="1203" customWidth="1"/>
    <col min="15876" max="15877" width="11.625" style="1203" customWidth="1"/>
    <col min="15878" max="15878" width="11.375" style="1203" customWidth="1"/>
    <col min="15879" max="15879" width="11.625" style="1203" customWidth="1"/>
    <col min="15880" max="15880" width="10.875" style="1203" customWidth="1"/>
    <col min="15881" max="15881" width="12.75" style="1203" customWidth="1"/>
    <col min="15882" max="15882" width="13.125" style="1203" customWidth="1"/>
    <col min="15883" max="15883" width="9.875" style="1203" customWidth="1"/>
    <col min="15884" max="15884" width="12" style="1203" bestFit="1" customWidth="1"/>
    <col min="15885" max="15886" width="5.25" style="1203" customWidth="1"/>
    <col min="15887" max="15887" width="9" style="1203"/>
    <col min="15888" max="15888" width="10.25" style="1203" customWidth="1"/>
    <col min="15889" max="15889" width="10.75" style="1203" customWidth="1"/>
    <col min="15890" max="15891" width="12.875" style="1203" customWidth="1"/>
    <col min="15892" max="15892" width="9" style="1203"/>
    <col min="15893" max="15893" width="1.875" style="1203" customWidth="1"/>
    <col min="15894" max="15894" width="12.375" style="1203" customWidth="1"/>
    <col min="15895" max="15895" width="11.625" style="1203" customWidth="1"/>
    <col min="15896" max="16128" width="9" style="1203"/>
    <col min="16129" max="16129" width="2.375" style="1203" customWidth="1"/>
    <col min="16130" max="16130" width="11.875" style="1203" customWidth="1"/>
    <col min="16131" max="16131" width="13" style="1203" customWidth="1"/>
    <col min="16132" max="16133" width="11.625" style="1203" customWidth="1"/>
    <col min="16134" max="16134" width="11.375" style="1203" customWidth="1"/>
    <col min="16135" max="16135" width="11.625" style="1203" customWidth="1"/>
    <col min="16136" max="16136" width="10.875" style="1203" customWidth="1"/>
    <col min="16137" max="16137" width="12.75" style="1203" customWidth="1"/>
    <col min="16138" max="16138" width="13.125" style="1203" customWidth="1"/>
    <col min="16139" max="16139" width="9.875" style="1203" customWidth="1"/>
    <col min="16140" max="16140" width="12" style="1203" bestFit="1" customWidth="1"/>
    <col min="16141" max="16142" width="5.25" style="1203" customWidth="1"/>
    <col min="16143" max="16143" width="9" style="1203"/>
    <col min="16144" max="16144" width="10.25" style="1203" customWidth="1"/>
    <col min="16145" max="16145" width="10.75" style="1203" customWidth="1"/>
    <col min="16146" max="16147" width="12.875" style="1203" customWidth="1"/>
    <col min="16148" max="16148" width="9" style="1203"/>
    <col min="16149" max="16149" width="1.875" style="1203" customWidth="1"/>
    <col min="16150" max="16150" width="12.375" style="1203" customWidth="1"/>
    <col min="16151" max="16151" width="11.625" style="1203" customWidth="1"/>
    <col min="16152" max="16384" width="9" style="1203"/>
  </cols>
  <sheetData>
    <row r="1" spans="1:62" ht="27" customHeight="1">
      <c r="A1" s="1287" t="str">
        <f>+LEFT('3条税込み'!A1,2)&amp;"年度経費（雨水・汚水）区分調（収入決算・税抜き）"</f>
        <v>令和年度経費（雨水・汚水）区分調（収入決算・税抜き）</v>
      </c>
    </row>
    <row r="2" spans="1:62" ht="27" customHeight="1" thickBot="1">
      <c r="A2" s="1203" t="s">
        <v>1773</v>
      </c>
      <c r="J2" s="1248" t="s">
        <v>1779</v>
      </c>
    </row>
    <row r="3" spans="1:62" ht="27" customHeight="1">
      <c r="A3" s="1222" t="s">
        <v>1771</v>
      </c>
      <c r="B3" s="1221"/>
      <c r="C3" s="1286" t="s">
        <v>1715</v>
      </c>
      <c r="D3" s="1285" t="s">
        <v>1714</v>
      </c>
      <c r="E3" s="1283"/>
      <c r="F3" s="1283"/>
      <c r="G3" s="1282"/>
      <c r="H3" s="1284" t="s">
        <v>1713</v>
      </c>
      <c r="I3" s="1283"/>
      <c r="J3" s="1282"/>
      <c r="O3" s="1604" t="s">
        <v>1500</v>
      </c>
      <c r="P3" s="1605"/>
      <c r="Q3" s="1606"/>
    </row>
    <row r="4" spans="1:62" s="1262" customFormat="1" ht="27" customHeight="1">
      <c r="A4" s="1359"/>
      <c r="B4" s="1280"/>
      <c r="C4" s="1279"/>
      <c r="D4" s="1278" t="s">
        <v>1712</v>
      </c>
      <c r="E4" s="1277"/>
      <c r="F4" s="1276" t="s">
        <v>1711</v>
      </c>
      <c r="G4" s="1273" t="s">
        <v>1710</v>
      </c>
      <c r="H4" s="1275" t="s">
        <v>1712</v>
      </c>
      <c r="I4" s="1274" t="s">
        <v>1711</v>
      </c>
      <c r="J4" s="1273" t="s">
        <v>1710</v>
      </c>
      <c r="N4" s="1203"/>
      <c r="O4" s="1607"/>
      <c r="P4" s="1608"/>
      <c r="Q4" s="1609"/>
      <c r="R4" s="1203">
        <f>ROUND('3条税抜き (消費税雑支出加算)'!H44+'3条税抜き (消費税雑支出加算)'!I44-収入税抜き!G26-収入税抜き!H26,0)</f>
        <v>14187102335</v>
      </c>
      <c r="S4" s="1203"/>
      <c r="T4" s="1203"/>
      <c r="U4" s="1203"/>
      <c r="V4" s="1203">
        <f>R4-収入税込!V4</f>
        <v>9198273</v>
      </c>
      <c r="W4" s="1203"/>
      <c r="X4" s="1203"/>
      <c r="Y4" s="1203"/>
      <c r="Z4" s="1203"/>
      <c r="AA4" s="1203"/>
      <c r="AB4" s="1203"/>
      <c r="AC4" s="1203"/>
      <c r="AD4" s="1203"/>
      <c r="AE4" s="1203"/>
      <c r="AF4" s="1203"/>
      <c r="AG4" s="1203"/>
      <c r="AH4" s="1203"/>
      <c r="AI4" s="1203"/>
      <c r="AJ4" s="1203"/>
      <c r="AK4" s="1203"/>
      <c r="AL4" s="1203"/>
      <c r="AM4" s="1203"/>
      <c r="AN4" s="1203"/>
      <c r="AO4" s="1203"/>
      <c r="AP4" s="1203"/>
      <c r="AQ4" s="1203"/>
      <c r="AR4" s="1203"/>
      <c r="AS4" s="1203"/>
      <c r="AT4" s="1203"/>
      <c r="AU4" s="1203"/>
      <c r="AV4" s="1203"/>
      <c r="AW4" s="1203"/>
      <c r="AX4" s="1203"/>
      <c r="AY4" s="1203"/>
      <c r="AZ4" s="1203"/>
      <c r="BA4" s="1203"/>
      <c r="BB4" s="1203"/>
      <c r="BC4" s="1203"/>
      <c r="BD4" s="1203"/>
      <c r="BE4" s="1203"/>
      <c r="BF4" s="1203"/>
      <c r="BG4" s="1203"/>
      <c r="BH4" s="1203"/>
      <c r="BI4" s="1203"/>
      <c r="BJ4" s="1203"/>
    </row>
    <row r="5" spans="1:62" s="1264" customFormat="1" ht="27" customHeight="1">
      <c r="A5" s="1272"/>
      <c r="B5" s="1271"/>
      <c r="C5" s="1270"/>
      <c r="D5" s="1269" t="s">
        <v>1707</v>
      </c>
      <c r="E5" s="1266" t="s">
        <v>1709</v>
      </c>
      <c r="F5" s="1268" t="s">
        <v>1708</v>
      </c>
      <c r="G5" s="1265"/>
      <c r="H5" s="1267" t="s">
        <v>1707</v>
      </c>
      <c r="I5" s="1266" t="s">
        <v>1707</v>
      </c>
      <c r="J5" s="1265"/>
      <c r="L5" s="1303" t="s">
        <v>1720</v>
      </c>
      <c r="N5" s="1358"/>
      <c r="O5" s="1328"/>
      <c r="P5" s="1610" t="s">
        <v>1764</v>
      </c>
      <c r="Q5" s="1611"/>
      <c r="R5" s="1358"/>
      <c r="S5" s="1358"/>
      <c r="T5" s="1358"/>
      <c r="U5" s="1358"/>
      <c r="V5" s="1358"/>
      <c r="W5" s="1358"/>
      <c r="X5" s="1358"/>
      <c r="Y5" s="1358"/>
      <c r="Z5" s="1358"/>
      <c r="AA5" s="1358"/>
      <c r="AB5" s="1358"/>
      <c r="AC5" s="1358"/>
      <c r="AD5" s="1358"/>
      <c r="AE5" s="1358"/>
      <c r="AF5" s="1358"/>
      <c r="AG5" s="1358"/>
      <c r="AH5" s="1358"/>
      <c r="AI5" s="1358"/>
      <c r="AJ5" s="1358"/>
      <c r="AK5" s="1358"/>
      <c r="AL5" s="1358"/>
      <c r="AM5" s="1358"/>
      <c r="AN5" s="1358"/>
      <c r="AO5" s="1358"/>
      <c r="AP5" s="1358"/>
      <c r="AQ5" s="1358"/>
      <c r="AR5" s="1358"/>
      <c r="AS5" s="1358"/>
      <c r="AT5" s="1358"/>
      <c r="AU5" s="1358"/>
      <c r="AV5" s="1358"/>
      <c r="AW5" s="1358"/>
      <c r="AX5" s="1358"/>
      <c r="AY5" s="1358"/>
      <c r="AZ5" s="1358"/>
      <c r="BA5" s="1358"/>
      <c r="BB5" s="1358"/>
      <c r="BC5" s="1358"/>
      <c r="BD5" s="1358"/>
      <c r="BE5" s="1358"/>
      <c r="BF5" s="1358"/>
      <c r="BG5" s="1358"/>
      <c r="BH5" s="1358"/>
      <c r="BI5" s="1358"/>
      <c r="BJ5" s="1358"/>
    </row>
    <row r="6" spans="1:62" ht="27" customHeight="1">
      <c r="A6" s="1225" t="s">
        <v>1763</v>
      </c>
      <c r="B6" s="1357"/>
      <c r="C6" s="1227">
        <f>+雨汚水!O58</f>
        <v>18626337467</v>
      </c>
      <c r="D6" s="1226">
        <f>+雨汚水!P58</f>
        <v>0</v>
      </c>
      <c r="E6" s="1224">
        <f>+雨汚水!Q58</f>
        <v>0</v>
      </c>
      <c r="F6" s="1224">
        <f>+雨汚水!R58</f>
        <v>0</v>
      </c>
      <c r="G6" s="1223">
        <f t="shared" ref="G6:G15" si="0">SUM(D6:F6)</f>
        <v>0</v>
      </c>
      <c r="H6" s="1225">
        <f>+雨汚水!T58</f>
        <v>0</v>
      </c>
      <c r="I6" s="1224">
        <f>+雨汚水!U58</f>
        <v>18626337467</v>
      </c>
      <c r="J6" s="1223">
        <f t="shared" ref="J6:J15" si="1">SUM(H6:I6)</f>
        <v>18626337467</v>
      </c>
      <c r="L6" s="1301">
        <f>収入税込!C6-収入税抜き!C6</f>
        <v>1862625061</v>
      </c>
      <c r="M6" s="1203">
        <f t="shared" ref="M6:M26" si="2">C6-G6-J6</f>
        <v>0</v>
      </c>
      <c r="O6" s="1328"/>
      <c r="P6" s="1612"/>
      <c r="Q6" s="1609"/>
      <c r="R6" s="1203">
        <f>R4-R16-R18-R20</f>
        <v>14079749832</v>
      </c>
      <c r="V6" s="1203">
        <f>R6-収入税込!V6</f>
        <v>9198273</v>
      </c>
    </row>
    <row r="7" spans="1:62" ht="27" customHeight="1">
      <c r="A7" s="1350" t="s">
        <v>1762</v>
      </c>
      <c r="B7" s="1244" t="s">
        <v>1761</v>
      </c>
      <c r="C7" s="1349">
        <f>+雨汚水!O60</f>
        <v>0</v>
      </c>
      <c r="D7" s="1348">
        <f>+雨汚水!P60</f>
        <v>0</v>
      </c>
      <c r="E7" s="1346">
        <f>+雨汚水!Q60</f>
        <v>0</v>
      </c>
      <c r="F7" s="1346">
        <f>+雨汚水!R60</f>
        <v>0</v>
      </c>
      <c r="G7" s="1345">
        <f t="shared" si="0"/>
        <v>0</v>
      </c>
      <c r="H7" s="1347">
        <f>+雨汚水!T60</f>
        <v>0</v>
      </c>
      <c r="I7" s="1346">
        <f>+雨汚水!U60</f>
        <v>0</v>
      </c>
      <c r="J7" s="1345">
        <f t="shared" si="1"/>
        <v>0</v>
      </c>
      <c r="L7" s="1203">
        <f>収入税込!C7-収入税抜き!C7</f>
        <v>0</v>
      </c>
      <c r="M7" s="1203">
        <f t="shared" si="2"/>
        <v>0</v>
      </c>
      <c r="O7" s="1328"/>
      <c r="P7" s="1327"/>
      <c r="Q7" s="1613" t="s">
        <v>1760</v>
      </c>
    </row>
    <row r="8" spans="1:62" ht="27" customHeight="1">
      <c r="A8" s="1343" t="s">
        <v>1759</v>
      </c>
      <c r="B8" s="1244" t="s">
        <v>1574</v>
      </c>
      <c r="C8" s="1235">
        <f>+SUM(雨汚水!O61:O64)</f>
        <v>172643606</v>
      </c>
      <c r="D8" s="1234">
        <f>+SUM(雨汚水!P61:P64)</f>
        <v>853327</v>
      </c>
      <c r="E8" s="1231">
        <f>+SUM(雨汚水!Q61:Q64)</f>
        <v>461192</v>
      </c>
      <c r="F8" s="1231">
        <f>+SUM(雨汚水!R61:R64)</f>
        <v>34320964</v>
      </c>
      <c r="G8" s="1230">
        <f t="shared" si="0"/>
        <v>35635483</v>
      </c>
      <c r="H8" s="1232">
        <f>+SUM(雨汚水!T61:T64)</f>
        <v>269500</v>
      </c>
      <c r="I8" s="1231">
        <f>+SUM(雨汚水!U61:U64)</f>
        <v>136738623</v>
      </c>
      <c r="J8" s="1230">
        <f t="shared" si="1"/>
        <v>137008123</v>
      </c>
      <c r="L8" s="1203">
        <f>収入税込!C8-収入税抜き!C8</f>
        <v>17203263</v>
      </c>
      <c r="M8" s="1203">
        <f t="shared" si="2"/>
        <v>0</v>
      </c>
      <c r="O8" s="1328"/>
      <c r="P8" s="1327"/>
      <c r="Q8" s="1614"/>
      <c r="R8" s="1203">
        <f>R6-R10-R13-R33</f>
        <v>3582605895</v>
      </c>
      <c r="S8" s="1203">
        <f>'3条税抜き (消費税雑支出加算)'!H31+'3条税抜き (消費税雑支出加算)'!I31-'3条税込み'!I8-'3条税込み'!G13-'3条税込み'!L12-収入税抜き!G17-収入税抜き!H17</f>
        <v>3591522898</v>
      </c>
      <c r="T8" s="1203">
        <f>R8-S8</f>
        <v>-8917003</v>
      </c>
      <c r="V8" s="1203">
        <f>S8-収入税込!V7</f>
        <v>9198273</v>
      </c>
    </row>
    <row r="9" spans="1:62" ht="27" customHeight="1">
      <c r="A9" s="1343" t="s">
        <v>1758</v>
      </c>
      <c r="B9" s="1244" t="s">
        <v>1467</v>
      </c>
      <c r="C9" s="1235">
        <f>+雨汚水!O68</f>
        <v>88770</v>
      </c>
      <c r="D9" s="1234">
        <f>+雨汚水!P68</f>
        <v>44385</v>
      </c>
      <c r="E9" s="1231">
        <f>+雨汚水!Q68</f>
        <v>0</v>
      </c>
      <c r="F9" s="1231">
        <f>+雨汚水!R68</f>
        <v>0</v>
      </c>
      <c r="G9" s="1230">
        <f t="shared" si="0"/>
        <v>44385</v>
      </c>
      <c r="H9" s="1232">
        <f>+雨汚水!T68</f>
        <v>0</v>
      </c>
      <c r="I9" s="1231">
        <f>+雨汚水!U68</f>
        <v>44385</v>
      </c>
      <c r="J9" s="1230">
        <f t="shared" si="1"/>
        <v>44385</v>
      </c>
      <c r="L9" s="1203">
        <f>収入税込!C9-収入税抜き!C9</f>
        <v>0</v>
      </c>
      <c r="M9" s="1203">
        <f t="shared" si="2"/>
        <v>0</v>
      </c>
      <c r="O9" s="1328"/>
      <c r="P9" s="1327"/>
      <c r="Q9" s="1613" t="s">
        <v>1457</v>
      </c>
    </row>
    <row r="10" spans="1:62" ht="27" customHeight="1">
      <c r="A10" s="1343" t="s">
        <v>1757</v>
      </c>
      <c r="B10" s="1244" t="s">
        <v>1566</v>
      </c>
      <c r="C10" s="1235">
        <f>+雨汚水!O70</f>
        <v>33651455</v>
      </c>
      <c r="D10" s="1234">
        <f>+雨汚水!P70</f>
        <v>33441108</v>
      </c>
      <c r="E10" s="1231">
        <f>+雨汚水!Q70</f>
        <v>0</v>
      </c>
      <c r="F10" s="1231">
        <f>+雨汚水!R70</f>
        <v>0</v>
      </c>
      <c r="G10" s="1230">
        <f t="shared" si="0"/>
        <v>33441108</v>
      </c>
      <c r="H10" s="1232">
        <f>+雨汚水!T70</f>
        <v>0</v>
      </c>
      <c r="I10" s="1231">
        <f>+雨汚水!U70</f>
        <v>210347</v>
      </c>
      <c r="J10" s="1230">
        <f t="shared" si="1"/>
        <v>210347</v>
      </c>
      <c r="L10" s="1203">
        <f>収入税込!C10-収入税抜き!C10</f>
        <v>3365145</v>
      </c>
      <c r="M10" s="1203">
        <f t="shared" si="2"/>
        <v>0</v>
      </c>
      <c r="O10" s="1328"/>
      <c r="P10" s="1327"/>
      <c r="Q10" s="1615"/>
      <c r="R10" s="1203">
        <f>ROUND('3条税抜き (消費税雑支出加算)'!H32+'3条税抜き (消費税雑支出加算)'!H39+'3条税抜き (消費税雑支出加算)'!I39+'3条税抜き (消費税雑支出加算)'!I32-G21-G22-H21-G23-H23-H22,0)</f>
        <v>8476549651</v>
      </c>
      <c r="V10" s="1203">
        <f>R10-収入税込!V9</f>
        <v>0</v>
      </c>
    </row>
    <row r="11" spans="1:62" ht="27" customHeight="1">
      <c r="A11" s="1241" t="s">
        <v>1747</v>
      </c>
      <c r="B11" s="1244" t="s">
        <v>1562</v>
      </c>
      <c r="C11" s="1235">
        <f>+雨汚水!O65+雨汚水!O75+雨汚水!O76</f>
        <v>35249977</v>
      </c>
      <c r="D11" s="1234">
        <f>+雨汚水!P65+雨汚水!P75+雨汚水!P76</f>
        <v>10155799</v>
      </c>
      <c r="E11" s="1231">
        <f>+雨汚水!Q65+雨汚水!Q75+雨汚水!Q76</f>
        <v>0</v>
      </c>
      <c r="F11" s="1231">
        <f>+雨汚水!R65+雨汚水!R75+雨汚水!R76</f>
        <v>1768864</v>
      </c>
      <c r="G11" s="1230">
        <f t="shared" si="0"/>
        <v>11924663</v>
      </c>
      <c r="H11" s="1232">
        <f>+雨汚水!T65+雨汚水!T75+雨汚水!T76</f>
        <v>0</v>
      </c>
      <c r="I11" s="1231">
        <f>+雨汚水!U65+雨汚水!U75+雨汚水!U76</f>
        <v>23325314</v>
      </c>
      <c r="J11" s="1230">
        <f t="shared" si="1"/>
        <v>23325314</v>
      </c>
      <c r="K11" s="1262"/>
      <c r="L11" s="1203">
        <f>収入税込!C11-収入税抜き!C11</f>
        <v>1210357</v>
      </c>
      <c r="M11" s="1203">
        <f t="shared" si="2"/>
        <v>0</v>
      </c>
      <c r="O11" s="1328"/>
      <c r="P11" s="1327"/>
      <c r="Q11" s="1613" t="s">
        <v>1456</v>
      </c>
    </row>
    <row r="12" spans="1:62" ht="27" customHeight="1">
      <c r="A12" s="1343" t="s">
        <v>1745</v>
      </c>
      <c r="B12" s="1244" t="s">
        <v>1553</v>
      </c>
      <c r="C12" s="1235">
        <f>+SUM(雨汚水!O79:O83)</f>
        <v>3718891</v>
      </c>
      <c r="D12" s="1234">
        <f>+SUM(雨汚水!P79:P83)</f>
        <v>713461</v>
      </c>
      <c r="E12" s="1231">
        <f>+SUM(雨汚水!Q79:Q83)</f>
        <v>0</v>
      </c>
      <c r="F12" s="1231">
        <f>+SUM(雨汚水!R79:R83)</f>
        <v>504308</v>
      </c>
      <c r="G12" s="1230">
        <f t="shared" si="0"/>
        <v>1217769</v>
      </c>
      <c r="H12" s="1232">
        <f>+SUM(雨汚水!T79:T83)</f>
        <v>29260</v>
      </c>
      <c r="I12" s="1231">
        <f>+SUM(雨汚水!U79:U83)</f>
        <v>2471862</v>
      </c>
      <c r="J12" s="1230">
        <f t="shared" si="1"/>
        <v>2501122</v>
      </c>
      <c r="L12" s="1203">
        <f>収入税込!C12-収入税抜き!C12</f>
        <v>145888</v>
      </c>
      <c r="M12" s="1203">
        <f t="shared" si="2"/>
        <v>0</v>
      </c>
      <c r="O12" s="1328"/>
      <c r="P12" s="1327"/>
      <c r="Q12" s="1616"/>
      <c r="S12" s="1261" t="s">
        <v>1778</v>
      </c>
    </row>
    <row r="13" spans="1:62" ht="27" customHeight="1">
      <c r="A13" s="1343" t="s">
        <v>1743</v>
      </c>
      <c r="B13" s="1354" t="s">
        <v>1755</v>
      </c>
      <c r="C13" s="1235">
        <f>+雨汚水!O69</f>
        <v>0</v>
      </c>
      <c r="D13" s="1234">
        <f>+雨汚水!P69</f>
        <v>0</v>
      </c>
      <c r="E13" s="1231">
        <f>+雨汚水!Q69</f>
        <v>0</v>
      </c>
      <c r="F13" s="1231">
        <f>+雨汚水!R69</f>
        <v>0</v>
      </c>
      <c r="G13" s="1230">
        <f t="shared" si="0"/>
        <v>0</v>
      </c>
      <c r="H13" s="1232">
        <f>+雨汚水!T69</f>
        <v>0</v>
      </c>
      <c r="I13" s="1231">
        <f>+雨汚水!U69</f>
        <v>0</v>
      </c>
      <c r="J13" s="1230">
        <f t="shared" si="1"/>
        <v>0</v>
      </c>
      <c r="L13" s="1203">
        <f>収入税込!C13-収入税抜き!C13</f>
        <v>0</v>
      </c>
      <c r="M13" s="1203">
        <f t="shared" si="2"/>
        <v>0</v>
      </c>
      <c r="O13" s="1328"/>
      <c r="P13" s="1327"/>
      <c r="Q13" s="1616"/>
      <c r="R13" s="1203">
        <f>'3条税抜き (消費税雑支出加算)'!H35+'3条税抜き (消費税雑支出加算)'!I35-'3条税抜き (消費税雑支出加算)'!G40-収入税抜き!G24-収入税抜き!H24+G21+H21+G22</f>
        <v>2011396013</v>
      </c>
      <c r="S13" s="1203">
        <f>R13+T8</f>
        <v>2002479010</v>
      </c>
      <c r="V13" s="1203">
        <f>R13+T8-収入税込!V12</f>
        <v>-9198273</v>
      </c>
    </row>
    <row r="14" spans="1:62" ht="27" customHeight="1">
      <c r="A14" s="1343" t="s">
        <v>1741</v>
      </c>
      <c r="B14" s="1243" t="s">
        <v>1786</v>
      </c>
      <c r="C14" s="1235"/>
      <c r="D14" s="1234"/>
      <c r="E14" s="1231"/>
      <c r="F14" s="1231"/>
      <c r="G14" s="1230">
        <f t="shared" si="0"/>
        <v>0</v>
      </c>
      <c r="H14" s="1232"/>
      <c r="I14" s="1231"/>
      <c r="J14" s="1230">
        <f t="shared" si="1"/>
        <v>0</v>
      </c>
      <c r="L14" s="1203">
        <f>収入税込!C14-収入税抜き!C14</f>
        <v>0</v>
      </c>
      <c r="M14" s="1203">
        <f t="shared" si="2"/>
        <v>0</v>
      </c>
      <c r="O14" s="1328"/>
      <c r="P14" s="1327"/>
      <c r="Q14" s="1617"/>
    </row>
    <row r="15" spans="1:62" ht="27" customHeight="1">
      <c r="A15" s="1343" t="s">
        <v>1738</v>
      </c>
      <c r="B15" s="1231" t="s">
        <v>1754</v>
      </c>
      <c r="C15" s="1235"/>
      <c r="D15" s="1234"/>
      <c r="E15" s="1231"/>
      <c r="F15" s="1231"/>
      <c r="G15" s="1230">
        <f t="shared" si="0"/>
        <v>0</v>
      </c>
      <c r="H15" s="1232"/>
      <c r="I15" s="1231"/>
      <c r="J15" s="1230">
        <f t="shared" si="1"/>
        <v>0</v>
      </c>
      <c r="M15" s="1203">
        <f t="shared" si="2"/>
        <v>0</v>
      </c>
      <c r="O15" s="1328"/>
      <c r="P15" s="1602" t="s">
        <v>1753</v>
      </c>
      <c r="Q15" s="1603"/>
    </row>
    <row r="16" spans="1:62" ht="27" customHeight="1">
      <c r="A16" s="1281"/>
      <c r="B16" s="1351"/>
      <c r="C16" s="1235"/>
      <c r="D16" s="1234"/>
      <c r="E16" s="1231"/>
      <c r="F16" s="1231"/>
      <c r="G16" s="1230"/>
      <c r="H16" s="1232"/>
      <c r="I16" s="1231"/>
      <c r="J16" s="1230"/>
      <c r="K16" s="1248" t="s">
        <v>1694</v>
      </c>
      <c r="M16" s="1203">
        <f t="shared" si="2"/>
        <v>0</v>
      </c>
      <c r="O16" s="1328"/>
      <c r="P16" s="1602"/>
      <c r="Q16" s="1603"/>
      <c r="R16" s="1203">
        <f>'3条税込み'!I8</f>
        <v>52443869</v>
      </c>
      <c r="V16" s="1203">
        <f>R16-収入税込!V15</f>
        <v>0</v>
      </c>
    </row>
    <row r="17" spans="1:23" ht="27" customHeight="1">
      <c r="A17" s="1215" t="s">
        <v>1676</v>
      </c>
      <c r="B17" s="1255"/>
      <c r="C17" s="1227">
        <f t="shared" ref="C17:J17" si="3">SUM(C7:C16)</f>
        <v>245352699</v>
      </c>
      <c r="D17" s="1226">
        <f t="shared" si="3"/>
        <v>45208080</v>
      </c>
      <c r="E17" s="1224">
        <f t="shared" si="3"/>
        <v>461192</v>
      </c>
      <c r="F17" s="1224">
        <f t="shared" si="3"/>
        <v>36594136</v>
      </c>
      <c r="G17" s="1223">
        <f t="shared" si="3"/>
        <v>82263408</v>
      </c>
      <c r="H17" s="1225">
        <f t="shared" si="3"/>
        <v>298760</v>
      </c>
      <c r="I17" s="1224">
        <f t="shared" si="3"/>
        <v>162790531</v>
      </c>
      <c r="J17" s="1223">
        <f t="shared" si="3"/>
        <v>163089291</v>
      </c>
      <c r="K17" s="1203">
        <f>G17-F13</f>
        <v>82263408</v>
      </c>
      <c r="L17" s="1203">
        <f>SUM(L7:L15)</f>
        <v>21924653</v>
      </c>
      <c r="M17" s="1203">
        <f t="shared" si="2"/>
        <v>0</v>
      </c>
      <c r="O17" s="1328"/>
      <c r="P17" s="1602" t="s">
        <v>1752</v>
      </c>
      <c r="Q17" s="1603"/>
    </row>
    <row r="18" spans="1:23" ht="27" customHeight="1">
      <c r="A18" s="1350" t="s">
        <v>1751</v>
      </c>
      <c r="B18" s="1253" t="s">
        <v>1750</v>
      </c>
      <c r="C18" s="1349"/>
      <c r="D18" s="1348"/>
      <c r="E18" s="1346"/>
      <c r="F18" s="1346"/>
      <c r="G18" s="1345">
        <f t="shared" ref="G18:G23" si="4">SUM(D18:F18)</f>
        <v>0</v>
      </c>
      <c r="H18" s="1347"/>
      <c r="I18" s="1346"/>
      <c r="J18" s="1345">
        <f t="shared" ref="J18:J23" si="5">SUM(H18:I18)</f>
        <v>0</v>
      </c>
      <c r="K18" s="1248"/>
      <c r="L18" s="1203">
        <f>収入税込!C18-収入税抜き!C18</f>
        <v>0</v>
      </c>
      <c r="M18" s="1203">
        <f t="shared" si="2"/>
        <v>0</v>
      </c>
      <c r="O18" s="1328"/>
      <c r="P18" s="1602"/>
      <c r="Q18" s="1603"/>
      <c r="R18" s="1203">
        <f>'3条税込み'!L12</f>
        <v>44424775</v>
      </c>
      <c r="V18" s="1203">
        <f>R18-収入税込!V17</f>
        <v>0</v>
      </c>
    </row>
    <row r="19" spans="1:23" ht="27" customHeight="1">
      <c r="A19" s="1343" t="s">
        <v>1749</v>
      </c>
      <c r="B19" s="1244" t="s">
        <v>1566</v>
      </c>
      <c r="C19" s="1235">
        <f>+SUM(雨汚水!O88:O89)</f>
        <v>16476593</v>
      </c>
      <c r="D19" s="1234">
        <f>+SUM(雨汚水!P88:P89)</f>
        <v>8440628</v>
      </c>
      <c r="E19" s="1231">
        <f>+SUM(雨汚水!Q88:Q89)</f>
        <v>0</v>
      </c>
      <c r="F19" s="1231">
        <f>+SUM(雨汚水!R88:R89)</f>
        <v>0</v>
      </c>
      <c r="G19" s="1230">
        <f t="shared" si="4"/>
        <v>8440628</v>
      </c>
      <c r="H19" s="1232">
        <f>+SUM(雨汚水!T88:T89)</f>
        <v>0</v>
      </c>
      <c r="I19" s="1231">
        <f>+SUM(雨汚水!U88:U89)</f>
        <v>8035965</v>
      </c>
      <c r="J19" s="1230">
        <f t="shared" si="5"/>
        <v>8035965</v>
      </c>
      <c r="L19" s="1203">
        <f>収入税込!C19-収入税抜き!C19</f>
        <v>0</v>
      </c>
      <c r="M19" s="1301">
        <f t="shared" si="2"/>
        <v>0</v>
      </c>
      <c r="O19" s="1328"/>
      <c r="P19" s="1602" t="s">
        <v>1777</v>
      </c>
      <c r="Q19" s="1603"/>
    </row>
    <row r="20" spans="1:23" ht="27" customHeight="1" thickBot="1">
      <c r="A20" s="1241" t="s">
        <v>1747</v>
      </c>
      <c r="B20" s="1244" t="s">
        <v>1776</v>
      </c>
      <c r="C20" s="1235"/>
      <c r="D20" s="1234"/>
      <c r="E20" s="1231"/>
      <c r="F20" s="1231"/>
      <c r="G20" s="1230">
        <f t="shared" si="4"/>
        <v>0</v>
      </c>
      <c r="H20" s="1232"/>
      <c r="I20" s="1231"/>
      <c r="J20" s="1230">
        <f t="shared" si="5"/>
        <v>0</v>
      </c>
      <c r="M20" s="1203">
        <f t="shared" si="2"/>
        <v>0</v>
      </c>
      <c r="O20" s="1342"/>
      <c r="P20" s="1619"/>
      <c r="Q20" s="1620"/>
      <c r="R20" s="1203">
        <f>'3条税込み'!G13+'3条税込み'!G40</f>
        <v>10483859</v>
      </c>
      <c r="V20" s="1203">
        <f>R20-収入税込!V19</f>
        <v>0</v>
      </c>
    </row>
    <row r="21" spans="1:23" ht="27" customHeight="1">
      <c r="A21" s="1340" t="s">
        <v>1745</v>
      </c>
      <c r="B21" s="1341" t="s">
        <v>1744</v>
      </c>
      <c r="C21" s="1235">
        <f>+雨汚水!O85</f>
        <v>9364620277</v>
      </c>
      <c r="D21" s="1234">
        <f>+雨汚水!P85</f>
        <v>4482094461</v>
      </c>
      <c r="E21" s="1231">
        <f>+雨汚水!Q85</f>
        <v>2428480</v>
      </c>
      <c r="F21" s="1231">
        <f>+雨汚水!R85</f>
        <v>0</v>
      </c>
      <c r="G21" s="1230">
        <f t="shared" si="4"/>
        <v>4484522941</v>
      </c>
      <c r="H21" s="1232">
        <f>+雨汚水!T85</f>
        <v>6059291</v>
      </c>
      <c r="I21" s="1231">
        <f>+雨汚水!U85</f>
        <v>4874038045</v>
      </c>
      <c r="J21" s="1230">
        <f t="shared" si="5"/>
        <v>4880097336</v>
      </c>
      <c r="M21" s="1203">
        <f t="shared" si="2"/>
        <v>0</v>
      </c>
      <c r="O21" s="1621" t="s">
        <v>1477</v>
      </c>
      <c r="P21" s="1622"/>
      <c r="Q21" s="1611"/>
    </row>
    <row r="22" spans="1:23" ht="27" customHeight="1">
      <c r="A22" s="1340" t="s">
        <v>1743</v>
      </c>
      <c r="B22" s="1257" t="s">
        <v>1742</v>
      </c>
      <c r="C22" s="1235">
        <f>+雨汚水!O86</f>
        <v>120734725</v>
      </c>
      <c r="D22" s="1234">
        <f>+雨汚水!P86</f>
        <v>49928323</v>
      </c>
      <c r="E22" s="1231">
        <f>+雨汚水!Q86</f>
        <v>486150</v>
      </c>
      <c r="F22" s="1231">
        <f>+雨汚水!R86</f>
        <v>0</v>
      </c>
      <c r="G22" s="1230">
        <f t="shared" si="4"/>
        <v>50414473</v>
      </c>
      <c r="H22" s="1232">
        <f>+雨汚水!T86</f>
        <v>0</v>
      </c>
      <c r="I22" s="1231">
        <f>+雨汚水!U86</f>
        <v>70320252</v>
      </c>
      <c r="J22" s="1230">
        <f t="shared" si="5"/>
        <v>70320252</v>
      </c>
      <c r="M22" s="1203">
        <f t="shared" si="2"/>
        <v>0</v>
      </c>
      <c r="O22" s="1607"/>
      <c r="P22" s="1608"/>
      <c r="Q22" s="1609"/>
      <c r="R22" s="1203">
        <f>'3条税抜き (消費税雑支出加算)'!J44-収入税抜き!I26+V22+R31+R33</f>
        <v>521834893</v>
      </c>
      <c r="V22" s="1329">
        <v>1045455021</v>
      </c>
      <c r="W22" s="1203">
        <f>V22-R22+R31+R33</f>
        <v>532823381</v>
      </c>
    </row>
    <row r="23" spans="1:23" ht="27" customHeight="1">
      <c r="A23" s="1340" t="s">
        <v>1741</v>
      </c>
      <c r="B23" s="1236" t="s">
        <v>1775</v>
      </c>
      <c r="C23" s="1235">
        <f>+SUM(雨汚水!O93:O95)</f>
        <v>334220</v>
      </c>
      <c r="D23" s="1234">
        <f>+SUM(雨汚水!P93:P95)</f>
        <v>281270</v>
      </c>
      <c r="E23" s="1231">
        <f>+SUM(雨汚水!Q93:Q95)</f>
        <v>0</v>
      </c>
      <c r="F23" s="1231">
        <f>+SUM(雨汚水!R93:R95)</f>
        <v>0</v>
      </c>
      <c r="G23" s="1230">
        <f t="shared" si="4"/>
        <v>281270</v>
      </c>
      <c r="H23" s="1232">
        <f>+SUM(雨汚水!T93:T95)</f>
        <v>0</v>
      </c>
      <c r="I23" s="1231">
        <f>+SUM(雨汚水!U93:U95)</f>
        <v>52950</v>
      </c>
      <c r="J23" s="1230">
        <f t="shared" si="5"/>
        <v>52950</v>
      </c>
      <c r="K23" s="1248" t="s">
        <v>1719</v>
      </c>
      <c r="M23" s="1203">
        <f t="shared" si="2"/>
        <v>0</v>
      </c>
      <c r="O23" s="1328"/>
      <c r="P23" s="1610" t="s">
        <v>1739</v>
      </c>
      <c r="Q23" s="1611"/>
    </row>
    <row r="24" spans="1:23" ht="27" customHeight="1">
      <c r="A24" s="1339" t="s">
        <v>1738</v>
      </c>
      <c r="B24" s="1338" t="s">
        <v>1676</v>
      </c>
      <c r="C24" s="1227">
        <f t="shared" ref="C24:J24" si="6">SUM(C18:C23)</f>
        <v>9502165815</v>
      </c>
      <c r="D24" s="1226">
        <f t="shared" si="6"/>
        <v>4540744682</v>
      </c>
      <c r="E24" s="1224">
        <f t="shared" si="6"/>
        <v>2914630</v>
      </c>
      <c r="F24" s="1224">
        <f t="shared" si="6"/>
        <v>0</v>
      </c>
      <c r="G24" s="1223">
        <f t="shared" si="6"/>
        <v>4543659312</v>
      </c>
      <c r="H24" s="1225">
        <f t="shared" si="6"/>
        <v>6059291</v>
      </c>
      <c r="I24" s="1224">
        <f t="shared" si="6"/>
        <v>4952447212</v>
      </c>
      <c r="J24" s="1223">
        <f t="shared" si="6"/>
        <v>4958506503</v>
      </c>
      <c r="K24" s="1301">
        <f>D24+E24</f>
        <v>4543659312</v>
      </c>
      <c r="L24" s="1203">
        <f>SUM(L18:L20)</f>
        <v>0</v>
      </c>
      <c r="M24" s="1203">
        <f t="shared" si="2"/>
        <v>0</v>
      </c>
      <c r="O24" s="1328"/>
      <c r="P24" s="1612"/>
      <c r="Q24" s="1609"/>
      <c r="R24" s="1203">
        <f>+R26+R28+R31</f>
        <v>513122744</v>
      </c>
    </row>
    <row r="25" spans="1:23" ht="27" customHeight="1">
      <c r="A25" s="1222"/>
      <c r="B25" s="1221"/>
      <c r="C25" s="1220"/>
      <c r="D25" s="1219"/>
      <c r="E25" s="1217"/>
      <c r="F25" s="1217"/>
      <c r="G25" s="1216"/>
      <c r="H25" s="1218"/>
      <c r="I25" s="1217"/>
      <c r="J25" s="1216"/>
      <c r="M25" s="1203">
        <f t="shared" si="2"/>
        <v>0</v>
      </c>
      <c r="O25" s="1328"/>
      <c r="P25" s="1327"/>
      <c r="Q25" s="1613" t="s">
        <v>1457</v>
      </c>
    </row>
    <row r="26" spans="1:23" ht="27" customHeight="1" thickBot="1">
      <c r="A26" s="1330" t="s">
        <v>1674</v>
      </c>
      <c r="B26" s="1213"/>
      <c r="C26" s="1212">
        <f t="shared" ref="C26:J26" si="7">C6+C17+C24</f>
        <v>28373855981</v>
      </c>
      <c r="D26" s="1211">
        <f t="shared" si="7"/>
        <v>4585952762</v>
      </c>
      <c r="E26" s="1208">
        <f t="shared" si="7"/>
        <v>3375822</v>
      </c>
      <c r="F26" s="1211">
        <f t="shared" si="7"/>
        <v>36594136</v>
      </c>
      <c r="G26" s="1210">
        <f t="shared" si="7"/>
        <v>4625922720</v>
      </c>
      <c r="H26" s="1209">
        <f t="shared" si="7"/>
        <v>6358051</v>
      </c>
      <c r="I26" s="1208">
        <f t="shared" si="7"/>
        <v>23741575210</v>
      </c>
      <c r="J26" s="1207">
        <f t="shared" si="7"/>
        <v>23747933261</v>
      </c>
      <c r="L26" s="1301">
        <f>L6+L17+L24</f>
        <v>1884549714</v>
      </c>
      <c r="M26" s="1301">
        <f t="shared" si="2"/>
        <v>0</v>
      </c>
      <c r="O26" s="1328"/>
      <c r="P26" s="1327"/>
      <c r="Q26" s="1614"/>
      <c r="R26" s="1203">
        <f>R36-R40-R45+V26</f>
        <v>386326257</v>
      </c>
      <c r="V26" s="1329">
        <v>826474164</v>
      </c>
      <c r="W26" s="1203">
        <f>V26-R26</f>
        <v>440147907</v>
      </c>
    </row>
    <row r="27" spans="1:23" ht="21" customHeight="1">
      <c r="A27" s="1205"/>
      <c r="B27" s="1205"/>
      <c r="C27" s="1204"/>
      <c r="D27" s="1204"/>
      <c r="E27" s="1204"/>
      <c r="F27" s="1204"/>
      <c r="G27" s="1204"/>
      <c r="H27" s="1204"/>
      <c r="I27" s="1204"/>
      <c r="J27" s="1204"/>
      <c r="O27" s="1328"/>
      <c r="P27" s="1327"/>
      <c r="Q27" s="1613" t="s">
        <v>1456</v>
      </c>
    </row>
    <row r="28" spans="1:23">
      <c r="O28" s="1328"/>
      <c r="P28" s="1327"/>
      <c r="Q28" s="1614"/>
      <c r="R28" s="1203">
        <f>R37-R41-R46+V28</f>
        <v>126791507</v>
      </c>
      <c r="V28" s="1329">
        <v>219471961</v>
      </c>
      <c r="W28" s="1203">
        <f>V28-R28</f>
        <v>92680454</v>
      </c>
    </row>
    <row r="29" spans="1:23">
      <c r="O29" s="1328"/>
      <c r="P29" s="1327"/>
      <c r="Q29" s="1614"/>
    </row>
    <row r="30" spans="1:23">
      <c r="O30" s="1328"/>
      <c r="P30" s="1327"/>
      <c r="Q30" s="1615"/>
    </row>
    <row r="31" spans="1:23">
      <c r="O31" s="1328"/>
      <c r="P31" s="1327"/>
      <c r="Q31" s="1614" t="s">
        <v>1737</v>
      </c>
      <c r="R31" s="1203">
        <f>+収入税込!R31</f>
        <v>4980</v>
      </c>
    </row>
    <row r="32" spans="1:23">
      <c r="O32" s="1328"/>
      <c r="P32" s="1327"/>
      <c r="Q32" s="1614"/>
    </row>
    <row r="33" spans="15:18" ht="27.75" customHeight="1" thickBot="1">
      <c r="O33" s="1325"/>
      <c r="P33" s="1363" t="s">
        <v>1735</v>
      </c>
      <c r="Q33" s="1323"/>
      <c r="R33" s="1203">
        <f>+収入税込!V33</f>
        <v>9198273</v>
      </c>
    </row>
    <row r="34" spans="15:18" ht="27.75" customHeight="1">
      <c r="R34" s="1203">
        <f>R24-R26-R28-R31</f>
        <v>0</v>
      </c>
    </row>
    <row r="35" spans="15:18">
      <c r="O35" s="1203" t="s">
        <v>1733</v>
      </c>
      <c r="R35" s="1203">
        <f>I6-('3条税抜き (消費税雑支出加算)'!J31-I17)</f>
        <v>11540527606</v>
      </c>
    </row>
    <row r="36" spans="15:18">
      <c r="P36" s="1203" t="s">
        <v>1732</v>
      </c>
      <c r="R36" s="1203">
        <f>'3条税抜き (消費税雑支出加算)'!J32-I21-I22</f>
        <v>9093018178</v>
      </c>
    </row>
    <row r="37" spans="15:18">
      <c r="P37" s="1203" t="s">
        <v>1731</v>
      </c>
      <c r="R37" s="1203">
        <f>'3条税抜き (消費税雑支出加算)'!J35-収入税抜き!I24+I21+I22</f>
        <v>1914686047</v>
      </c>
    </row>
    <row r="38" spans="15:18">
      <c r="P38" s="1203" t="s">
        <v>1730</v>
      </c>
      <c r="R38" s="1203">
        <f>R36+R37</f>
        <v>11007704225</v>
      </c>
    </row>
    <row r="39" spans="15:18">
      <c r="O39" s="1203" t="s">
        <v>1729</v>
      </c>
    </row>
    <row r="40" spans="15:18">
      <c r="P40" s="1203" t="s">
        <v>1728</v>
      </c>
      <c r="R40" s="1203">
        <f>ROUND(R35*R36/R38,0)</f>
        <v>9533161971</v>
      </c>
    </row>
    <row r="41" spans="15:18">
      <c r="P41" s="1203" t="s">
        <v>1727</v>
      </c>
      <c r="R41" s="1203">
        <f>ROUND(R35*R37/R38,0)</f>
        <v>2007365635</v>
      </c>
    </row>
    <row r="42" spans="15:18">
      <c r="P42" s="1203" t="s">
        <v>1722</v>
      </c>
      <c r="R42" s="1203">
        <f>R40+R41</f>
        <v>11540527606</v>
      </c>
    </row>
    <row r="43" spans="15:18">
      <c r="R43" s="1203">
        <f>R35-R42</f>
        <v>0</v>
      </c>
    </row>
    <row r="44" spans="15:18">
      <c r="O44" s="1203" t="s">
        <v>1725</v>
      </c>
      <c r="R44" s="1203">
        <f>R31</f>
        <v>4980</v>
      </c>
    </row>
    <row r="45" spans="15:18">
      <c r="P45" s="1203" t="s">
        <v>1724</v>
      </c>
      <c r="R45" s="1203">
        <f>ROUND(R44*R36/R38,0)</f>
        <v>4114</v>
      </c>
    </row>
    <row r="46" spans="15:18">
      <c r="P46" s="1203" t="s">
        <v>1723</v>
      </c>
      <c r="R46" s="1203">
        <f>ROUND(R44*R37/R38,0)</f>
        <v>866</v>
      </c>
    </row>
    <row r="47" spans="15:18">
      <c r="P47" s="1203" t="s">
        <v>1722</v>
      </c>
      <c r="R47" s="1203">
        <f>R44-R45-R46</f>
        <v>0</v>
      </c>
    </row>
  </sheetData>
  <mergeCells count="13">
    <mergeCell ref="Q31:Q32"/>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BJ47"/>
  <sheetViews>
    <sheetView zoomScale="80" zoomScaleNormal="80" zoomScaleSheetLayoutView="80" workbookViewId="0">
      <selection activeCell="E9" sqref="E9"/>
    </sheetView>
  </sheetViews>
  <sheetFormatPr defaultRowHeight="11.25"/>
  <cols>
    <col min="1" max="1" width="2.375" style="1203" customWidth="1"/>
    <col min="2" max="2" width="11.875" style="1203" customWidth="1"/>
    <col min="3" max="3" width="13" style="1203" customWidth="1"/>
    <col min="4" max="5" width="11.625" style="1203" customWidth="1"/>
    <col min="6" max="6" width="11.375" style="1203" customWidth="1"/>
    <col min="7" max="7" width="11.625" style="1203" customWidth="1"/>
    <col min="8" max="8" width="10.875" style="1203" customWidth="1"/>
    <col min="9" max="9" width="12.75" style="1203" customWidth="1"/>
    <col min="10" max="10" width="13.125" style="1203" customWidth="1"/>
    <col min="11" max="11" width="9.875" style="1203" customWidth="1"/>
    <col min="12" max="12" width="9.375" style="1203" customWidth="1"/>
    <col min="13" max="15" width="2.625" style="1203" customWidth="1"/>
    <col min="16" max="16" width="8.125" style="1203" customWidth="1"/>
    <col min="17" max="17" width="14.125" style="1203" customWidth="1"/>
    <col min="18" max="23" width="13.125" style="1203" customWidth="1"/>
    <col min="24" max="256" width="9" style="1203"/>
    <col min="257" max="257" width="2.375" style="1203" customWidth="1"/>
    <col min="258" max="258" width="11.875" style="1203" customWidth="1"/>
    <col min="259" max="259" width="13" style="1203" customWidth="1"/>
    <col min="260" max="261" width="11.625" style="1203" customWidth="1"/>
    <col min="262" max="262" width="11.375" style="1203" customWidth="1"/>
    <col min="263" max="263" width="11.625" style="1203" customWidth="1"/>
    <col min="264" max="264" width="10.875" style="1203" customWidth="1"/>
    <col min="265" max="265" width="12.75" style="1203" customWidth="1"/>
    <col min="266" max="266" width="13.125" style="1203" customWidth="1"/>
    <col min="267" max="267" width="9.875" style="1203" customWidth="1"/>
    <col min="268" max="268" width="12" style="1203" bestFit="1" customWidth="1"/>
    <col min="269" max="270" width="5.25" style="1203" customWidth="1"/>
    <col min="271" max="271" width="9" style="1203"/>
    <col min="272" max="272" width="10.25" style="1203" customWidth="1"/>
    <col min="273" max="273" width="10.75" style="1203" customWidth="1"/>
    <col min="274" max="275" width="12.875" style="1203" customWidth="1"/>
    <col min="276" max="276" width="9" style="1203"/>
    <col min="277" max="277" width="1.875" style="1203" customWidth="1"/>
    <col min="278" max="278" width="12.375" style="1203" customWidth="1"/>
    <col min="279" max="279" width="11.625" style="1203" customWidth="1"/>
    <col min="280" max="512" width="9" style="1203"/>
    <col min="513" max="513" width="2.375" style="1203" customWidth="1"/>
    <col min="514" max="514" width="11.875" style="1203" customWidth="1"/>
    <col min="515" max="515" width="13" style="1203" customWidth="1"/>
    <col min="516" max="517" width="11.625" style="1203" customWidth="1"/>
    <col min="518" max="518" width="11.375" style="1203" customWidth="1"/>
    <col min="519" max="519" width="11.625" style="1203" customWidth="1"/>
    <col min="520" max="520" width="10.875" style="1203" customWidth="1"/>
    <col min="521" max="521" width="12.75" style="1203" customWidth="1"/>
    <col min="522" max="522" width="13.125" style="1203" customWidth="1"/>
    <col min="523" max="523" width="9.875" style="1203" customWidth="1"/>
    <col min="524" max="524" width="12" style="1203" bestFit="1" customWidth="1"/>
    <col min="525" max="526" width="5.25" style="1203" customWidth="1"/>
    <col min="527" max="527" width="9" style="1203"/>
    <col min="528" max="528" width="10.25" style="1203" customWidth="1"/>
    <col min="529" max="529" width="10.75" style="1203" customWidth="1"/>
    <col min="530" max="531" width="12.875" style="1203" customWidth="1"/>
    <col min="532" max="532" width="9" style="1203"/>
    <col min="533" max="533" width="1.875" style="1203" customWidth="1"/>
    <col min="534" max="534" width="12.375" style="1203" customWidth="1"/>
    <col min="535" max="535" width="11.625" style="1203" customWidth="1"/>
    <col min="536" max="768" width="9" style="1203"/>
    <col min="769" max="769" width="2.375" style="1203" customWidth="1"/>
    <col min="770" max="770" width="11.875" style="1203" customWidth="1"/>
    <col min="771" max="771" width="13" style="1203" customWidth="1"/>
    <col min="772" max="773" width="11.625" style="1203" customWidth="1"/>
    <col min="774" max="774" width="11.375" style="1203" customWidth="1"/>
    <col min="775" max="775" width="11.625" style="1203" customWidth="1"/>
    <col min="776" max="776" width="10.875" style="1203" customWidth="1"/>
    <col min="777" max="777" width="12.75" style="1203" customWidth="1"/>
    <col min="778" max="778" width="13.125" style="1203" customWidth="1"/>
    <col min="779" max="779" width="9.875" style="1203" customWidth="1"/>
    <col min="780" max="780" width="12" style="1203" bestFit="1" customWidth="1"/>
    <col min="781" max="782" width="5.25" style="1203" customWidth="1"/>
    <col min="783" max="783" width="9" style="1203"/>
    <col min="784" max="784" width="10.25" style="1203" customWidth="1"/>
    <col min="785" max="785" width="10.75" style="1203" customWidth="1"/>
    <col min="786" max="787" width="12.875" style="1203" customWidth="1"/>
    <col min="788" max="788" width="9" style="1203"/>
    <col min="789" max="789" width="1.875" style="1203" customWidth="1"/>
    <col min="790" max="790" width="12.375" style="1203" customWidth="1"/>
    <col min="791" max="791" width="11.625" style="1203" customWidth="1"/>
    <col min="792" max="1024" width="9" style="1203"/>
    <col min="1025" max="1025" width="2.375" style="1203" customWidth="1"/>
    <col min="1026" max="1026" width="11.875" style="1203" customWidth="1"/>
    <col min="1027" max="1027" width="13" style="1203" customWidth="1"/>
    <col min="1028" max="1029" width="11.625" style="1203" customWidth="1"/>
    <col min="1030" max="1030" width="11.375" style="1203" customWidth="1"/>
    <col min="1031" max="1031" width="11.625" style="1203" customWidth="1"/>
    <col min="1032" max="1032" width="10.875" style="1203" customWidth="1"/>
    <col min="1033" max="1033" width="12.75" style="1203" customWidth="1"/>
    <col min="1034" max="1034" width="13.125" style="1203" customWidth="1"/>
    <col min="1035" max="1035" width="9.875" style="1203" customWidth="1"/>
    <col min="1036" max="1036" width="12" style="1203" bestFit="1" customWidth="1"/>
    <col min="1037" max="1038" width="5.25" style="1203" customWidth="1"/>
    <col min="1039" max="1039" width="9" style="1203"/>
    <col min="1040" max="1040" width="10.25" style="1203" customWidth="1"/>
    <col min="1041" max="1041" width="10.75" style="1203" customWidth="1"/>
    <col min="1042" max="1043" width="12.875" style="1203" customWidth="1"/>
    <col min="1044" max="1044" width="9" style="1203"/>
    <col min="1045" max="1045" width="1.875" style="1203" customWidth="1"/>
    <col min="1046" max="1046" width="12.375" style="1203" customWidth="1"/>
    <col min="1047" max="1047" width="11.625" style="1203" customWidth="1"/>
    <col min="1048" max="1280" width="9" style="1203"/>
    <col min="1281" max="1281" width="2.375" style="1203" customWidth="1"/>
    <col min="1282" max="1282" width="11.875" style="1203" customWidth="1"/>
    <col min="1283" max="1283" width="13" style="1203" customWidth="1"/>
    <col min="1284" max="1285" width="11.625" style="1203" customWidth="1"/>
    <col min="1286" max="1286" width="11.375" style="1203" customWidth="1"/>
    <col min="1287" max="1287" width="11.625" style="1203" customWidth="1"/>
    <col min="1288" max="1288" width="10.875" style="1203" customWidth="1"/>
    <col min="1289" max="1289" width="12.75" style="1203" customWidth="1"/>
    <col min="1290" max="1290" width="13.125" style="1203" customWidth="1"/>
    <col min="1291" max="1291" width="9.875" style="1203" customWidth="1"/>
    <col min="1292" max="1292" width="12" style="1203" bestFit="1" customWidth="1"/>
    <col min="1293" max="1294" width="5.25" style="1203" customWidth="1"/>
    <col min="1295" max="1295" width="9" style="1203"/>
    <col min="1296" max="1296" width="10.25" style="1203" customWidth="1"/>
    <col min="1297" max="1297" width="10.75" style="1203" customWidth="1"/>
    <col min="1298" max="1299" width="12.875" style="1203" customWidth="1"/>
    <col min="1300" max="1300" width="9" style="1203"/>
    <col min="1301" max="1301" width="1.875" style="1203" customWidth="1"/>
    <col min="1302" max="1302" width="12.375" style="1203" customWidth="1"/>
    <col min="1303" max="1303" width="11.625" style="1203" customWidth="1"/>
    <col min="1304" max="1536" width="9" style="1203"/>
    <col min="1537" max="1537" width="2.375" style="1203" customWidth="1"/>
    <col min="1538" max="1538" width="11.875" style="1203" customWidth="1"/>
    <col min="1539" max="1539" width="13" style="1203" customWidth="1"/>
    <col min="1540" max="1541" width="11.625" style="1203" customWidth="1"/>
    <col min="1542" max="1542" width="11.375" style="1203" customWidth="1"/>
    <col min="1543" max="1543" width="11.625" style="1203" customWidth="1"/>
    <col min="1544" max="1544" width="10.875" style="1203" customWidth="1"/>
    <col min="1545" max="1545" width="12.75" style="1203" customWidth="1"/>
    <col min="1546" max="1546" width="13.125" style="1203" customWidth="1"/>
    <col min="1547" max="1547" width="9.875" style="1203" customWidth="1"/>
    <col min="1548" max="1548" width="12" style="1203" bestFit="1" customWidth="1"/>
    <col min="1549" max="1550" width="5.25" style="1203" customWidth="1"/>
    <col min="1551" max="1551" width="9" style="1203"/>
    <col min="1552" max="1552" width="10.25" style="1203" customWidth="1"/>
    <col min="1553" max="1553" width="10.75" style="1203" customWidth="1"/>
    <col min="1554" max="1555" width="12.875" style="1203" customWidth="1"/>
    <col min="1556" max="1556" width="9" style="1203"/>
    <col min="1557" max="1557" width="1.875" style="1203" customWidth="1"/>
    <col min="1558" max="1558" width="12.375" style="1203" customWidth="1"/>
    <col min="1559" max="1559" width="11.625" style="1203" customWidth="1"/>
    <col min="1560" max="1792" width="9" style="1203"/>
    <col min="1793" max="1793" width="2.375" style="1203" customWidth="1"/>
    <col min="1794" max="1794" width="11.875" style="1203" customWidth="1"/>
    <col min="1795" max="1795" width="13" style="1203" customWidth="1"/>
    <col min="1796" max="1797" width="11.625" style="1203" customWidth="1"/>
    <col min="1798" max="1798" width="11.375" style="1203" customWidth="1"/>
    <col min="1799" max="1799" width="11.625" style="1203" customWidth="1"/>
    <col min="1800" max="1800" width="10.875" style="1203" customWidth="1"/>
    <col min="1801" max="1801" width="12.75" style="1203" customWidth="1"/>
    <col min="1802" max="1802" width="13.125" style="1203" customWidth="1"/>
    <col min="1803" max="1803" width="9.875" style="1203" customWidth="1"/>
    <col min="1804" max="1804" width="12" style="1203" bestFit="1" customWidth="1"/>
    <col min="1805" max="1806" width="5.25" style="1203" customWidth="1"/>
    <col min="1807" max="1807" width="9" style="1203"/>
    <col min="1808" max="1808" width="10.25" style="1203" customWidth="1"/>
    <col min="1809" max="1809" width="10.75" style="1203" customWidth="1"/>
    <col min="1810" max="1811" width="12.875" style="1203" customWidth="1"/>
    <col min="1812" max="1812" width="9" style="1203"/>
    <col min="1813" max="1813" width="1.875" style="1203" customWidth="1"/>
    <col min="1814" max="1814" width="12.375" style="1203" customWidth="1"/>
    <col min="1815" max="1815" width="11.625" style="1203" customWidth="1"/>
    <col min="1816" max="2048" width="9" style="1203"/>
    <col min="2049" max="2049" width="2.375" style="1203" customWidth="1"/>
    <col min="2050" max="2050" width="11.875" style="1203" customWidth="1"/>
    <col min="2051" max="2051" width="13" style="1203" customWidth="1"/>
    <col min="2052" max="2053" width="11.625" style="1203" customWidth="1"/>
    <col min="2054" max="2054" width="11.375" style="1203" customWidth="1"/>
    <col min="2055" max="2055" width="11.625" style="1203" customWidth="1"/>
    <col min="2056" max="2056" width="10.875" style="1203" customWidth="1"/>
    <col min="2057" max="2057" width="12.75" style="1203" customWidth="1"/>
    <col min="2058" max="2058" width="13.125" style="1203" customWidth="1"/>
    <col min="2059" max="2059" width="9.875" style="1203" customWidth="1"/>
    <col min="2060" max="2060" width="12" style="1203" bestFit="1" customWidth="1"/>
    <col min="2061" max="2062" width="5.25" style="1203" customWidth="1"/>
    <col min="2063" max="2063" width="9" style="1203"/>
    <col min="2064" max="2064" width="10.25" style="1203" customWidth="1"/>
    <col min="2065" max="2065" width="10.75" style="1203" customWidth="1"/>
    <col min="2066" max="2067" width="12.875" style="1203" customWidth="1"/>
    <col min="2068" max="2068" width="9" style="1203"/>
    <col min="2069" max="2069" width="1.875" style="1203" customWidth="1"/>
    <col min="2070" max="2070" width="12.375" style="1203" customWidth="1"/>
    <col min="2071" max="2071" width="11.625" style="1203" customWidth="1"/>
    <col min="2072" max="2304" width="9" style="1203"/>
    <col min="2305" max="2305" width="2.375" style="1203" customWidth="1"/>
    <col min="2306" max="2306" width="11.875" style="1203" customWidth="1"/>
    <col min="2307" max="2307" width="13" style="1203" customWidth="1"/>
    <col min="2308" max="2309" width="11.625" style="1203" customWidth="1"/>
    <col min="2310" max="2310" width="11.375" style="1203" customWidth="1"/>
    <col min="2311" max="2311" width="11.625" style="1203" customWidth="1"/>
    <col min="2312" max="2312" width="10.875" style="1203" customWidth="1"/>
    <col min="2313" max="2313" width="12.75" style="1203" customWidth="1"/>
    <col min="2314" max="2314" width="13.125" style="1203" customWidth="1"/>
    <col min="2315" max="2315" width="9.875" style="1203" customWidth="1"/>
    <col min="2316" max="2316" width="12" style="1203" bestFit="1" customWidth="1"/>
    <col min="2317" max="2318" width="5.25" style="1203" customWidth="1"/>
    <col min="2319" max="2319" width="9" style="1203"/>
    <col min="2320" max="2320" width="10.25" style="1203" customWidth="1"/>
    <col min="2321" max="2321" width="10.75" style="1203" customWidth="1"/>
    <col min="2322" max="2323" width="12.875" style="1203" customWidth="1"/>
    <col min="2324" max="2324" width="9" style="1203"/>
    <col min="2325" max="2325" width="1.875" style="1203" customWidth="1"/>
    <col min="2326" max="2326" width="12.375" style="1203" customWidth="1"/>
    <col min="2327" max="2327" width="11.625" style="1203" customWidth="1"/>
    <col min="2328" max="2560" width="9" style="1203"/>
    <col min="2561" max="2561" width="2.375" style="1203" customWidth="1"/>
    <col min="2562" max="2562" width="11.875" style="1203" customWidth="1"/>
    <col min="2563" max="2563" width="13" style="1203" customWidth="1"/>
    <col min="2564" max="2565" width="11.625" style="1203" customWidth="1"/>
    <col min="2566" max="2566" width="11.375" style="1203" customWidth="1"/>
    <col min="2567" max="2567" width="11.625" style="1203" customWidth="1"/>
    <col min="2568" max="2568" width="10.875" style="1203" customWidth="1"/>
    <col min="2569" max="2569" width="12.75" style="1203" customWidth="1"/>
    <col min="2570" max="2570" width="13.125" style="1203" customWidth="1"/>
    <col min="2571" max="2571" width="9.875" style="1203" customWidth="1"/>
    <col min="2572" max="2572" width="12" style="1203" bestFit="1" customWidth="1"/>
    <col min="2573" max="2574" width="5.25" style="1203" customWidth="1"/>
    <col min="2575" max="2575" width="9" style="1203"/>
    <col min="2576" max="2576" width="10.25" style="1203" customWidth="1"/>
    <col min="2577" max="2577" width="10.75" style="1203" customWidth="1"/>
    <col min="2578" max="2579" width="12.875" style="1203" customWidth="1"/>
    <col min="2580" max="2580" width="9" style="1203"/>
    <col min="2581" max="2581" width="1.875" style="1203" customWidth="1"/>
    <col min="2582" max="2582" width="12.375" style="1203" customWidth="1"/>
    <col min="2583" max="2583" width="11.625" style="1203" customWidth="1"/>
    <col min="2584" max="2816" width="9" style="1203"/>
    <col min="2817" max="2817" width="2.375" style="1203" customWidth="1"/>
    <col min="2818" max="2818" width="11.875" style="1203" customWidth="1"/>
    <col min="2819" max="2819" width="13" style="1203" customWidth="1"/>
    <col min="2820" max="2821" width="11.625" style="1203" customWidth="1"/>
    <col min="2822" max="2822" width="11.375" style="1203" customWidth="1"/>
    <col min="2823" max="2823" width="11.625" style="1203" customWidth="1"/>
    <col min="2824" max="2824" width="10.875" style="1203" customWidth="1"/>
    <col min="2825" max="2825" width="12.75" style="1203" customWidth="1"/>
    <col min="2826" max="2826" width="13.125" style="1203" customWidth="1"/>
    <col min="2827" max="2827" width="9.875" style="1203" customWidth="1"/>
    <col min="2828" max="2828" width="12" style="1203" bestFit="1" customWidth="1"/>
    <col min="2829" max="2830" width="5.25" style="1203" customWidth="1"/>
    <col min="2831" max="2831" width="9" style="1203"/>
    <col min="2832" max="2832" width="10.25" style="1203" customWidth="1"/>
    <col min="2833" max="2833" width="10.75" style="1203" customWidth="1"/>
    <col min="2834" max="2835" width="12.875" style="1203" customWidth="1"/>
    <col min="2836" max="2836" width="9" style="1203"/>
    <col min="2837" max="2837" width="1.875" style="1203" customWidth="1"/>
    <col min="2838" max="2838" width="12.375" style="1203" customWidth="1"/>
    <col min="2839" max="2839" width="11.625" style="1203" customWidth="1"/>
    <col min="2840" max="3072" width="9" style="1203"/>
    <col min="3073" max="3073" width="2.375" style="1203" customWidth="1"/>
    <col min="3074" max="3074" width="11.875" style="1203" customWidth="1"/>
    <col min="3075" max="3075" width="13" style="1203" customWidth="1"/>
    <col min="3076" max="3077" width="11.625" style="1203" customWidth="1"/>
    <col min="3078" max="3078" width="11.375" style="1203" customWidth="1"/>
    <col min="3079" max="3079" width="11.625" style="1203" customWidth="1"/>
    <col min="3080" max="3080" width="10.875" style="1203" customWidth="1"/>
    <col min="3081" max="3081" width="12.75" style="1203" customWidth="1"/>
    <col min="3082" max="3082" width="13.125" style="1203" customWidth="1"/>
    <col min="3083" max="3083" width="9.875" style="1203" customWidth="1"/>
    <col min="3084" max="3084" width="12" style="1203" bestFit="1" customWidth="1"/>
    <col min="3085" max="3086" width="5.25" style="1203" customWidth="1"/>
    <col min="3087" max="3087" width="9" style="1203"/>
    <col min="3088" max="3088" width="10.25" style="1203" customWidth="1"/>
    <col min="3089" max="3089" width="10.75" style="1203" customWidth="1"/>
    <col min="3090" max="3091" width="12.875" style="1203" customWidth="1"/>
    <col min="3092" max="3092" width="9" style="1203"/>
    <col min="3093" max="3093" width="1.875" style="1203" customWidth="1"/>
    <col min="3094" max="3094" width="12.375" style="1203" customWidth="1"/>
    <col min="3095" max="3095" width="11.625" style="1203" customWidth="1"/>
    <col min="3096" max="3328" width="9" style="1203"/>
    <col min="3329" max="3329" width="2.375" style="1203" customWidth="1"/>
    <col min="3330" max="3330" width="11.875" style="1203" customWidth="1"/>
    <col min="3331" max="3331" width="13" style="1203" customWidth="1"/>
    <col min="3332" max="3333" width="11.625" style="1203" customWidth="1"/>
    <col min="3334" max="3334" width="11.375" style="1203" customWidth="1"/>
    <col min="3335" max="3335" width="11.625" style="1203" customWidth="1"/>
    <col min="3336" max="3336" width="10.875" style="1203" customWidth="1"/>
    <col min="3337" max="3337" width="12.75" style="1203" customWidth="1"/>
    <col min="3338" max="3338" width="13.125" style="1203" customWidth="1"/>
    <col min="3339" max="3339" width="9.875" style="1203" customWidth="1"/>
    <col min="3340" max="3340" width="12" style="1203" bestFit="1" customWidth="1"/>
    <col min="3341" max="3342" width="5.25" style="1203" customWidth="1"/>
    <col min="3343" max="3343" width="9" style="1203"/>
    <col min="3344" max="3344" width="10.25" style="1203" customWidth="1"/>
    <col min="3345" max="3345" width="10.75" style="1203" customWidth="1"/>
    <col min="3346" max="3347" width="12.875" style="1203" customWidth="1"/>
    <col min="3348" max="3348" width="9" style="1203"/>
    <col min="3349" max="3349" width="1.875" style="1203" customWidth="1"/>
    <col min="3350" max="3350" width="12.375" style="1203" customWidth="1"/>
    <col min="3351" max="3351" width="11.625" style="1203" customWidth="1"/>
    <col min="3352" max="3584" width="9" style="1203"/>
    <col min="3585" max="3585" width="2.375" style="1203" customWidth="1"/>
    <col min="3586" max="3586" width="11.875" style="1203" customWidth="1"/>
    <col min="3587" max="3587" width="13" style="1203" customWidth="1"/>
    <col min="3588" max="3589" width="11.625" style="1203" customWidth="1"/>
    <col min="3590" max="3590" width="11.375" style="1203" customWidth="1"/>
    <col min="3591" max="3591" width="11.625" style="1203" customWidth="1"/>
    <col min="3592" max="3592" width="10.875" style="1203" customWidth="1"/>
    <col min="3593" max="3593" width="12.75" style="1203" customWidth="1"/>
    <col min="3594" max="3594" width="13.125" style="1203" customWidth="1"/>
    <col min="3595" max="3595" width="9.875" style="1203" customWidth="1"/>
    <col min="3596" max="3596" width="12" style="1203" bestFit="1" customWidth="1"/>
    <col min="3597" max="3598" width="5.25" style="1203" customWidth="1"/>
    <col min="3599" max="3599" width="9" style="1203"/>
    <col min="3600" max="3600" width="10.25" style="1203" customWidth="1"/>
    <col min="3601" max="3601" width="10.75" style="1203" customWidth="1"/>
    <col min="3602" max="3603" width="12.875" style="1203" customWidth="1"/>
    <col min="3604" max="3604" width="9" style="1203"/>
    <col min="3605" max="3605" width="1.875" style="1203" customWidth="1"/>
    <col min="3606" max="3606" width="12.375" style="1203" customWidth="1"/>
    <col min="3607" max="3607" width="11.625" style="1203" customWidth="1"/>
    <col min="3608" max="3840" width="9" style="1203"/>
    <col min="3841" max="3841" width="2.375" style="1203" customWidth="1"/>
    <col min="3842" max="3842" width="11.875" style="1203" customWidth="1"/>
    <col min="3843" max="3843" width="13" style="1203" customWidth="1"/>
    <col min="3844" max="3845" width="11.625" style="1203" customWidth="1"/>
    <col min="3846" max="3846" width="11.375" style="1203" customWidth="1"/>
    <col min="3847" max="3847" width="11.625" style="1203" customWidth="1"/>
    <col min="3848" max="3848" width="10.875" style="1203" customWidth="1"/>
    <col min="3849" max="3849" width="12.75" style="1203" customWidth="1"/>
    <col min="3850" max="3850" width="13.125" style="1203" customWidth="1"/>
    <col min="3851" max="3851" width="9.875" style="1203" customWidth="1"/>
    <col min="3852" max="3852" width="12" style="1203" bestFit="1" customWidth="1"/>
    <col min="3853" max="3854" width="5.25" style="1203" customWidth="1"/>
    <col min="3855" max="3855" width="9" style="1203"/>
    <col min="3856" max="3856" width="10.25" style="1203" customWidth="1"/>
    <col min="3857" max="3857" width="10.75" style="1203" customWidth="1"/>
    <col min="3858" max="3859" width="12.875" style="1203" customWidth="1"/>
    <col min="3860" max="3860" width="9" style="1203"/>
    <col min="3861" max="3861" width="1.875" style="1203" customWidth="1"/>
    <col min="3862" max="3862" width="12.375" style="1203" customWidth="1"/>
    <col min="3863" max="3863" width="11.625" style="1203" customWidth="1"/>
    <col min="3864" max="4096" width="9" style="1203"/>
    <col min="4097" max="4097" width="2.375" style="1203" customWidth="1"/>
    <col min="4098" max="4098" width="11.875" style="1203" customWidth="1"/>
    <col min="4099" max="4099" width="13" style="1203" customWidth="1"/>
    <col min="4100" max="4101" width="11.625" style="1203" customWidth="1"/>
    <col min="4102" max="4102" width="11.375" style="1203" customWidth="1"/>
    <col min="4103" max="4103" width="11.625" style="1203" customWidth="1"/>
    <col min="4104" max="4104" width="10.875" style="1203" customWidth="1"/>
    <col min="4105" max="4105" width="12.75" style="1203" customWidth="1"/>
    <col min="4106" max="4106" width="13.125" style="1203" customWidth="1"/>
    <col min="4107" max="4107" width="9.875" style="1203" customWidth="1"/>
    <col min="4108" max="4108" width="12" style="1203" bestFit="1" customWidth="1"/>
    <col min="4109" max="4110" width="5.25" style="1203" customWidth="1"/>
    <col min="4111" max="4111" width="9" style="1203"/>
    <col min="4112" max="4112" width="10.25" style="1203" customWidth="1"/>
    <col min="4113" max="4113" width="10.75" style="1203" customWidth="1"/>
    <col min="4114" max="4115" width="12.875" style="1203" customWidth="1"/>
    <col min="4116" max="4116" width="9" style="1203"/>
    <col min="4117" max="4117" width="1.875" style="1203" customWidth="1"/>
    <col min="4118" max="4118" width="12.375" style="1203" customWidth="1"/>
    <col min="4119" max="4119" width="11.625" style="1203" customWidth="1"/>
    <col min="4120" max="4352" width="9" style="1203"/>
    <col min="4353" max="4353" width="2.375" style="1203" customWidth="1"/>
    <col min="4354" max="4354" width="11.875" style="1203" customWidth="1"/>
    <col min="4355" max="4355" width="13" style="1203" customWidth="1"/>
    <col min="4356" max="4357" width="11.625" style="1203" customWidth="1"/>
    <col min="4358" max="4358" width="11.375" style="1203" customWidth="1"/>
    <col min="4359" max="4359" width="11.625" style="1203" customWidth="1"/>
    <col min="4360" max="4360" width="10.875" style="1203" customWidth="1"/>
    <col min="4361" max="4361" width="12.75" style="1203" customWidth="1"/>
    <col min="4362" max="4362" width="13.125" style="1203" customWidth="1"/>
    <col min="4363" max="4363" width="9.875" style="1203" customWidth="1"/>
    <col min="4364" max="4364" width="12" style="1203" bestFit="1" customWidth="1"/>
    <col min="4365" max="4366" width="5.25" style="1203" customWidth="1"/>
    <col min="4367" max="4367" width="9" style="1203"/>
    <col min="4368" max="4368" width="10.25" style="1203" customWidth="1"/>
    <col min="4369" max="4369" width="10.75" style="1203" customWidth="1"/>
    <col min="4370" max="4371" width="12.875" style="1203" customWidth="1"/>
    <col min="4372" max="4372" width="9" style="1203"/>
    <col min="4373" max="4373" width="1.875" style="1203" customWidth="1"/>
    <col min="4374" max="4374" width="12.375" style="1203" customWidth="1"/>
    <col min="4375" max="4375" width="11.625" style="1203" customWidth="1"/>
    <col min="4376" max="4608" width="9" style="1203"/>
    <col min="4609" max="4609" width="2.375" style="1203" customWidth="1"/>
    <col min="4610" max="4610" width="11.875" style="1203" customWidth="1"/>
    <col min="4611" max="4611" width="13" style="1203" customWidth="1"/>
    <col min="4612" max="4613" width="11.625" style="1203" customWidth="1"/>
    <col min="4614" max="4614" width="11.375" style="1203" customWidth="1"/>
    <col min="4615" max="4615" width="11.625" style="1203" customWidth="1"/>
    <col min="4616" max="4616" width="10.875" style="1203" customWidth="1"/>
    <col min="4617" max="4617" width="12.75" style="1203" customWidth="1"/>
    <col min="4618" max="4618" width="13.125" style="1203" customWidth="1"/>
    <col min="4619" max="4619" width="9.875" style="1203" customWidth="1"/>
    <col min="4620" max="4620" width="12" style="1203" bestFit="1" customWidth="1"/>
    <col min="4621" max="4622" width="5.25" style="1203" customWidth="1"/>
    <col min="4623" max="4623" width="9" style="1203"/>
    <col min="4624" max="4624" width="10.25" style="1203" customWidth="1"/>
    <col min="4625" max="4625" width="10.75" style="1203" customWidth="1"/>
    <col min="4626" max="4627" width="12.875" style="1203" customWidth="1"/>
    <col min="4628" max="4628" width="9" style="1203"/>
    <col min="4629" max="4629" width="1.875" style="1203" customWidth="1"/>
    <col min="4630" max="4630" width="12.375" style="1203" customWidth="1"/>
    <col min="4631" max="4631" width="11.625" style="1203" customWidth="1"/>
    <col min="4632" max="4864" width="9" style="1203"/>
    <col min="4865" max="4865" width="2.375" style="1203" customWidth="1"/>
    <col min="4866" max="4866" width="11.875" style="1203" customWidth="1"/>
    <col min="4867" max="4867" width="13" style="1203" customWidth="1"/>
    <col min="4868" max="4869" width="11.625" style="1203" customWidth="1"/>
    <col min="4870" max="4870" width="11.375" style="1203" customWidth="1"/>
    <col min="4871" max="4871" width="11.625" style="1203" customWidth="1"/>
    <col min="4872" max="4872" width="10.875" style="1203" customWidth="1"/>
    <col min="4873" max="4873" width="12.75" style="1203" customWidth="1"/>
    <col min="4874" max="4874" width="13.125" style="1203" customWidth="1"/>
    <col min="4875" max="4875" width="9.875" style="1203" customWidth="1"/>
    <col min="4876" max="4876" width="12" style="1203" bestFit="1" customWidth="1"/>
    <col min="4877" max="4878" width="5.25" style="1203" customWidth="1"/>
    <col min="4879" max="4879" width="9" style="1203"/>
    <col min="4880" max="4880" width="10.25" style="1203" customWidth="1"/>
    <col min="4881" max="4881" width="10.75" style="1203" customWidth="1"/>
    <col min="4882" max="4883" width="12.875" style="1203" customWidth="1"/>
    <col min="4884" max="4884" width="9" style="1203"/>
    <col min="4885" max="4885" width="1.875" style="1203" customWidth="1"/>
    <col min="4886" max="4886" width="12.375" style="1203" customWidth="1"/>
    <col min="4887" max="4887" width="11.625" style="1203" customWidth="1"/>
    <col min="4888" max="5120" width="9" style="1203"/>
    <col min="5121" max="5121" width="2.375" style="1203" customWidth="1"/>
    <col min="5122" max="5122" width="11.875" style="1203" customWidth="1"/>
    <col min="5123" max="5123" width="13" style="1203" customWidth="1"/>
    <col min="5124" max="5125" width="11.625" style="1203" customWidth="1"/>
    <col min="5126" max="5126" width="11.375" style="1203" customWidth="1"/>
    <col min="5127" max="5127" width="11.625" style="1203" customWidth="1"/>
    <col min="5128" max="5128" width="10.875" style="1203" customWidth="1"/>
    <col min="5129" max="5129" width="12.75" style="1203" customWidth="1"/>
    <col min="5130" max="5130" width="13.125" style="1203" customWidth="1"/>
    <col min="5131" max="5131" width="9.875" style="1203" customWidth="1"/>
    <col min="5132" max="5132" width="12" style="1203" bestFit="1" customWidth="1"/>
    <col min="5133" max="5134" width="5.25" style="1203" customWidth="1"/>
    <col min="5135" max="5135" width="9" style="1203"/>
    <col min="5136" max="5136" width="10.25" style="1203" customWidth="1"/>
    <col min="5137" max="5137" width="10.75" style="1203" customWidth="1"/>
    <col min="5138" max="5139" width="12.875" style="1203" customWidth="1"/>
    <col min="5140" max="5140" width="9" style="1203"/>
    <col min="5141" max="5141" width="1.875" style="1203" customWidth="1"/>
    <col min="5142" max="5142" width="12.375" style="1203" customWidth="1"/>
    <col min="5143" max="5143" width="11.625" style="1203" customWidth="1"/>
    <col min="5144" max="5376" width="9" style="1203"/>
    <col min="5377" max="5377" width="2.375" style="1203" customWidth="1"/>
    <col min="5378" max="5378" width="11.875" style="1203" customWidth="1"/>
    <col min="5379" max="5379" width="13" style="1203" customWidth="1"/>
    <col min="5380" max="5381" width="11.625" style="1203" customWidth="1"/>
    <col min="5382" max="5382" width="11.375" style="1203" customWidth="1"/>
    <col min="5383" max="5383" width="11.625" style="1203" customWidth="1"/>
    <col min="5384" max="5384" width="10.875" style="1203" customWidth="1"/>
    <col min="5385" max="5385" width="12.75" style="1203" customWidth="1"/>
    <col min="5386" max="5386" width="13.125" style="1203" customWidth="1"/>
    <col min="5387" max="5387" width="9.875" style="1203" customWidth="1"/>
    <col min="5388" max="5388" width="12" style="1203" bestFit="1" customWidth="1"/>
    <col min="5389" max="5390" width="5.25" style="1203" customWidth="1"/>
    <col min="5391" max="5391" width="9" style="1203"/>
    <col min="5392" max="5392" width="10.25" style="1203" customWidth="1"/>
    <col min="5393" max="5393" width="10.75" style="1203" customWidth="1"/>
    <col min="5394" max="5395" width="12.875" style="1203" customWidth="1"/>
    <col min="5396" max="5396" width="9" style="1203"/>
    <col min="5397" max="5397" width="1.875" style="1203" customWidth="1"/>
    <col min="5398" max="5398" width="12.375" style="1203" customWidth="1"/>
    <col min="5399" max="5399" width="11.625" style="1203" customWidth="1"/>
    <col min="5400" max="5632" width="9" style="1203"/>
    <col min="5633" max="5633" width="2.375" style="1203" customWidth="1"/>
    <col min="5634" max="5634" width="11.875" style="1203" customWidth="1"/>
    <col min="5635" max="5635" width="13" style="1203" customWidth="1"/>
    <col min="5636" max="5637" width="11.625" style="1203" customWidth="1"/>
    <col min="5638" max="5638" width="11.375" style="1203" customWidth="1"/>
    <col min="5639" max="5639" width="11.625" style="1203" customWidth="1"/>
    <col min="5640" max="5640" width="10.875" style="1203" customWidth="1"/>
    <col min="5641" max="5641" width="12.75" style="1203" customWidth="1"/>
    <col min="5642" max="5642" width="13.125" style="1203" customWidth="1"/>
    <col min="5643" max="5643" width="9.875" style="1203" customWidth="1"/>
    <col min="5644" max="5644" width="12" style="1203" bestFit="1" customWidth="1"/>
    <col min="5645" max="5646" width="5.25" style="1203" customWidth="1"/>
    <col min="5647" max="5647" width="9" style="1203"/>
    <col min="5648" max="5648" width="10.25" style="1203" customWidth="1"/>
    <col min="5649" max="5649" width="10.75" style="1203" customWidth="1"/>
    <col min="5650" max="5651" width="12.875" style="1203" customWidth="1"/>
    <col min="5652" max="5652" width="9" style="1203"/>
    <col min="5653" max="5653" width="1.875" style="1203" customWidth="1"/>
    <col min="5654" max="5654" width="12.375" style="1203" customWidth="1"/>
    <col min="5655" max="5655" width="11.625" style="1203" customWidth="1"/>
    <col min="5656" max="5888" width="9" style="1203"/>
    <col min="5889" max="5889" width="2.375" style="1203" customWidth="1"/>
    <col min="5890" max="5890" width="11.875" style="1203" customWidth="1"/>
    <col min="5891" max="5891" width="13" style="1203" customWidth="1"/>
    <col min="5892" max="5893" width="11.625" style="1203" customWidth="1"/>
    <col min="5894" max="5894" width="11.375" style="1203" customWidth="1"/>
    <col min="5895" max="5895" width="11.625" style="1203" customWidth="1"/>
    <col min="5896" max="5896" width="10.875" style="1203" customWidth="1"/>
    <col min="5897" max="5897" width="12.75" style="1203" customWidth="1"/>
    <col min="5898" max="5898" width="13.125" style="1203" customWidth="1"/>
    <col min="5899" max="5899" width="9.875" style="1203" customWidth="1"/>
    <col min="5900" max="5900" width="12" style="1203" bestFit="1" customWidth="1"/>
    <col min="5901" max="5902" width="5.25" style="1203" customWidth="1"/>
    <col min="5903" max="5903" width="9" style="1203"/>
    <col min="5904" max="5904" width="10.25" style="1203" customWidth="1"/>
    <col min="5905" max="5905" width="10.75" style="1203" customWidth="1"/>
    <col min="5906" max="5907" width="12.875" style="1203" customWidth="1"/>
    <col min="5908" max="5908" width="9" style="1203"/>
    <col min="5909" max="5909" width="1.875" style="1203" customWidth="1"/>
    <col min="5910" max="5910" width="12.375" style="1203" customWidth="1"/>
    <col min="5911" max="5911" width="11.625" style="1203" customWidth="1"/>
    <col min="5912" max="6144" width="9" style="1203"/>
    <col min="6145" max="6145" width="2.375" style="1203" customWidth="1"/>
    <col min="6146" max="6146" width="11.875" style="1203" customWidth="1"/>
    <col min="6147" max="6147" width="13" style="1203" customWidth="1"/>
    <col min="6148" max="6149" width="11.625" style="1203" customWidth="1"/>
    <col min="6150" max="6150" width="11.375" style="1203" customWidth="1"/>
    <col min="6151" max="6151" width="11.625" style="1203" customWidth="1"/>
    <col min="6152" max="6152" width="10.875" style="1203" customWidth="1"/>
    <col min="6153" max="6153" width="12.75" style="1203" customWidth="1"/>
    <col min="6154" max="6154" width="13.125" style="1203" customWidth="1"/>
    <col min="6155" max="6155" width="9.875" style="1203" customWidth="1"/>
    <col min="6156" max="6156" width="12" style="1203" bestFit="1" customWidth="1"/>
    <col min="6157" max="6158" width="5.25" style="1203" customWidth="1"/>
    <col min="6159" max="6159" width="9" style="1203"/>
    <col min="6160" max="6160" width="10.25" style="1203" customWidth="1"/>
    <col min="6161" max="6161" width="10.75" style="1203" customWidth="1"/>
    <col min="6162" max="6163" width="12.875" style="1203" customWidth="1"/>
    <col min="6164" max="6164" width="9" style="1203"/>
    <col min="6165" max="6165" width="1.875" style="1203" customWidth="1"/>
    <col min="6166" max="6166" width="12.375" style="1203" customWidth="1"/>
    <col min="6167" max="6167" width="11.625" style="1203" customWidth="1"/>
    <col min="6168" max="6400" width="9" style="1203"/>
    <col min="6401" max="6401" width="2.375" style="1203" customWidth="1"/>
    <col min="6402" max="6402" width="11.875" style="1203" customWidth="1"/>
    <col min="6403" max="6403" width="13" style="1203" customWidth="1"/>
    <col min="6404" max="6405" width="11.625" style="1203" customWidth="1"/>
    <col min="6406" max="6406" width="11.375" style="1203" customWidth="1"/>
    <col min="6407" max="6407" width="11.625" style="1203" customWidth="1"/>
    <col min="6408" max="6408" width="10.875" style="1203" customWidth="1"/>
    <col min="6409" max="6409" width="12.75" style="1203" customWidth="1"/>
    <col min="6410" max="6410" width="13.125" style="1203" customWidth="1"/>
    <col min="6411" max="6411" width="9.875" style="1203" customWidth="1"/>
    <col min="6412" max="6412" width="12" style="1203" bestFit="1" customWidth="1"/>
    <col min="6413" max="6414" width="5.25" style="1203" customWidth="1"/>
    <col min="6415" max="6415" width="9" style="1203"/>
    <col min="6416" max="6416" width="10.25" style="1203" customWidth="1"/>
    <col min="6417" max="6417" width="10.75" style="1203" customWidth="1"/>
    <col min="6418" max="6419" width="12.875" style="1203" customWidth="1"/>
    <col min="6420" max="6420" width="9" style="1203"/>
    <col min="6421" max="6421" width="1.875" style="1203" customWidth="1"/>
    <col min="6422" max="6422" width="12.375" style="1203" customWidth="1"/>
    <col min="6423" max="6423" width="11.625" style="1203" customWidth="1"/>
    <col min="6424" max="6656" width="9" style="1203"/>
    <col min="6657" max="6657" width="2.375" style="1203" customWidth="1"/>
    <col min="6658" max="6658" width="11.875" style="1203" customWidth="1"/>
    <col min="6659" max="6659" width="13" style="1203" customWidth="1"/>
    <col min="6660" max="6661" width="11.625" style="1203" customWidth="1"/>
    <col min="6662" max="6662" width="11.375" style="1203" customWidth="1"/>
    <col min="6663" max="6663" width="11.625" style="1203" customWidth="1"/>
    <col min="6664" max="6664" width="10.875" style="1203" customWidth="1"/>
    <col min="6665" max="6665" width="12.75" style="1203" customWidth="1"/>
    <col min="6666" max="6666" width="13.125" style="1203" customWidth="1"/>
    <col min="6667" max="6667" width="9.875" style="1203" customWidth="1"/>
    <col min="6668" max="6668" width="12" style="1203" bestFit="1" customWidth="1"/>
    <col min="6669" max="6670" width="5.25" style="1203" customWidth="1"/>
    <col min="6671" max="6671" width="9" style="1203"/>
    <col min="6672" max="6672" width="10.25" style="1203" customWidth="1"/>
    <col min="6673" max="6673" width="10.75" style="1203" customWidth="1"/>
    <col min="6674" max="6675" width="12.875" style="1203" customWidth="1"/>
    <col min="6676" max="6676" width="9" style="1203"/>
    <col min="6677" max="6677" width="1.875" style="1203" customWidth="1"/>
    <col min="6678" max="6678" width="12.375" style="1203" customWidth="1"/>
    <col min="6679" max="6679" width="11.625" style="1203" customWidth="1"/>
    <col min="6680" max="6912" width="9" style="1203"/>
    <col min="6913" max="6913" width="2.375" style="1203" customWidth="1"/>
    <col min="6914" max="6914" width="11.875" style="1203" customWidth="1"/>
    <col min="6915" max="6915" width="13" style="1203" customWidth="1"/>
    <col min="6916" max="6917" width="11.625" style="1203" customWidth="1"/>
    <col min="6918" max="6918" width="11.375" style="1203" customWidth="1"/>
    <col min="6919" max="6919" width="11.625" style="1203" customWidth="1"/>
    <col min="6920" max="6920" width="10.875" style="1203" customWidth="1"/>
    <col min="6921" max="6921" width="12.75" style="1203" customWidth="1"/>
    <col min="6922" max="6922" width="13.125" style="1203" customWidth="1"/>
    <col min="6923" max="6923" width="9.875" style="1203" customWidth="1"/>
    <col min="6924" max="6924" width="12" style="1203" bestFit="1" customWidth="1"/>
    <col min="6925" max="6926" width="5.25" style="1203" customWidth="1"/>
    <col min="6927" max="6927" width="9" style="1203"/>
    <col min="6928" max="6928" width="10.25" style="1203" customWidth="1"/>
    <col min="6929" max="6929" width="10.75" style="1203" customWidth="1"/>
    <col min="6930" max="6931" width="12.875" style="1203" customWidth="1"/>
    <col min="6932" max="6932" width="9" style="1203"/>
    <col min="6933" max="6933" width="1.875" style="1203" customWidth="1"/>
    <col min="6934" max="6934" width="12.375" style="1203" customWidth="1"/>
    <col min="6935" max="6935" width="11.625" style="1203" customWidth="1"/>
    <col min="6936" max="7168" width="9" style="1203"/>
    <col min="7169" max="7169" width="2.375" style="1203" customWidth="1"/>
    <col min="7170" max="7170" width="11.875" style="1203" customWidth="1"/>
    <col min="7171" max="7171" width="13" style="1203" customWidth="1"/>
    <col min="7172" max="7173" width="11.625" style="1203" customWidth="1"/>
    <col min="7174" max="7174" width="11.375" style="1203" customWidth="1"/>
    <col min="7175" max="7175" width="11.625" style="1203" customWidth="1"/>
    <col min="7176" max="7176" width="10.875" style="1203" customWidth="1"/>
    <col min="7177" max="7177" width="12.75" style="1203" customWidth="1"/>
    <col min="7178" max="7178" width="13.125" style="1203" customWidth="1"/>
    <col min="7179" max="7179" width="9.875" style="1203" customWidth="1"/>
    <col min="7180" max="7180" width="12" style="1203" bestFit="1" customWidth="1"/>
    <col min="7181" max="7182" width="5.25" style="1203" customWidth="1"/>
    <col min="7183" max="7183" width="9" style="1203"/>
    <col min="7184" max="7184" width="10.25" style="1203" customWidth="1"/>
    <col min="7185" max="7185" width="10.75" style="1203" customWidth="1"/>
    <col min="7186" max="7187" width="12.875" style="1203" customWidth="1"/>
    <col min="7188" max="7188" width="9" style="1203"/>
    <col min="7189" max="7189" width="1.875" style="1203" customWidth="1"/>
    <col min="7190" max="7190" width="12.375" style="1203" customWidth="1"/>
    <col min="7191" max="7191" width="11.625" style="1203" customWidth="1"/>
    <col min="7192" max="7424" width="9" style="1203"/>
    <col min="7425" max="7425" width="2.375" style="1203" customWidth="1"/>
    <col min="7426" max="7426" width="11.875" style="1203" customWidth="1"/>
    <col min="7427" max="7427" width="13" style="1203" customWidth="1"/>
    <col min="7428" max="7429" width="11.625" style="1203" customWidth="1"/>
    <col min="7430" max="7430" width="11.375" style="1203" customWidth="1"/>
    <col min="7431" max="7431" width="11.625" style="1203" customWidth="1"/>
    <col min="7432" max="7432" width="10.875" style="1203" customWidth="1"/>
    <col min="7433" max="7433" width="12.75" style="1203" customWidth="1"/>
    <col min="7434" max="7434" width="13.125" style="1203" customWidth="1"/>
    <col min="7435" max="7435" width="9.875" style="1203" customWidth="1"/>
    <col min="7436" max="7436" width="12" style="1203" bestFit="1" customWidth="1"/>
    <col min="7437" max="7438" width="5.25" style="1203" customWidth="1"/>
    <col min="7439" max="7439" width="9" style="1203"/>
    <col min="7440" max="7440" width="10.25" style="1203" customWidth="1"/>
    <col min="7441" max="7441" width="10.75" style="1203" customWidth="1"/>
    <col min="7442" max="7443" width="12.875" style="1203" customWidth="1"/>
    <col min="7444" max="7444" width="9" style="1203"/>
    <col min="7445" max="7445" width="1.875" style="1203" customWidth="1"/>
    <col min="7446" max="7446" width="12.375" style="1203" customWidth="1"/>
    <col min="7447" max="7447" width="11.625" style="1203" customWidth="1"/>
    <col min="7448" max="7680" width="9" style="1203"/>
    <col min="7681" max="7681" width="2.375" style="1203" customWidth="1"/>
    <col min="7682" max="7682" width="11.875" style="1203" customWidth="1"/>
    <col min="7683" max="7683" width="13" style="1203" customWidth="1"/>
    <col min="7684" max="7685" width="11.625" style="1203" customWidth="1"/>
    <col min="7686" max="7686" width="11.375" style="1203" customWidth="1"/>
    <col min="7687" max="7687" width="11.625" style="1203" customWidth="1"/>
    <col min="7688" max="7688" width="10.875" style="1203" customWidth="1"/>
    <col min="7689" max="7689" width="12.75" style="1203" customWidth="1"/>
    <col min="7690" max="7690" width="13.125" style="1203" customWidth="1"/>
    <col min="7691" max="7691" width="9.875" style="1203" customWidth="1"/>
    <col min="7692" max="7692" width="12" style="1203" bestFit="1" customWidth="1"/>
    <col min="7693" max="7694" width="5.25" style="1203" customWidth="1"/>
    <col min="7695" max="7695" width="9" style="1203"/>
    <col min="7696" max="7696" width="10.25" style="1203" customWidth="1"/>
    <col min="7697" max="7697" width="10.75" style="1203" customWidth="1"/>
    <col min="7698" max="7699" width="12.875" style="1203" customWidth="1"/>
    <col min="7700" max="7700" width="9" style="1203"/>
    <col min="7701" max="7701" width="1.875" style="1203" customWidth="1"/>
    <col min="7702" max="7702" width="12.375" style="1203" customWidth="1"/>
    <col min="7703" max="7703" width="11.625" style="1203" customWidth="1"/>
    <col min="7704" max="7936" width="9" style="1203"/>
    <col min="7937" max="7937" width="2.375" style="1203" customWidth="1"/>
    <col min="7938" max="7938" width="11.875" style="1203" customWidth="1"/>
    <col min="7939" max="7939" width="13" style="1203" customWidth="1"/>
    <col min="7940" max="7941" width="11.625" style="1203" customWidth="1"/>
    <col min="7942" max="7942" width="11.375" style="1203" customWidth="1"/>
    <col min="7943" max="7943" width="11.625" style="1203" customWidth="1"/>
    <col min="7944" max="7944" width="10.875" style="1203" customWidth="1"/>
    <col min="7945" max="7945" width="12.75" style="1203" customWidth="1"/>
    <col min="7946" max="7946" width="13.125" style="1203" customWidth="1"/>
    <col min="7947" max="7947" width="9.875" style="1203" customWidth="1"/>
    <col min="7948" max="7948" width="12" style="1203" bestFit="1" customWidth="1"/>
    <col min="7949" max="7950" width="5.25" style="1203" customWidth="1"/>
    <col min="7951" max="7951" width="9" style="1203"/>
    <col min="7952" max="7952" width="10.25" style="1203" customWidth="1"/>
    <col min="7953" max="7953" width="10.75" style="1203" customWidth="1"/>
    <col min="7954" max="7955" width="12.875" style="1203" customWidth="1"/>
    <col min="7956" max="7956" width="9" style="1203"/>
    <col min="7957" max="7957" width="1.875" style="1203" customWidth="1"/>
    <col min="7958" max="7958" width="12.375" style="1203" customWidth="1"/>
    <col min="7959" max="7959" width="11.625" style="1203" customWidth="1"/>
    <col min="7960" max="8192" width="9" style="1203"/>
    <col min="8193" max="8193" width="2.375" style="1203" customWidth="1"/>
    <col min="8194" max="8194" width="11.875" style="1203" customWidth="1"/>
    <col min="8195" max="8195" width="13" style="1203" customWidth="1"/>
    <col min="8196" max="8197" width="11.625" style="1203" customWidth="1"/>
    <col min="8198" max="8198" width="11.375" style="1203" customWidth="1"/>
    <col min="8199" max="8199" width="11.625" style="1203" customWidth="1"/>
    <col min="8200" max="8200" width="10.875" style="1203" customWidth="1"/>
    <col min="8201" max="8201" width="12.75" style="1203" customWidth="1"/>
    <col min="8202" max="8202" width="13.125" style="1203" customWidth="1"/>
    <col min="8203" max="8203" width="9.875" style="1203" customWidth="1"/>
    <col min="8204" max="8204" width="12" style="1203" bestFit="1" customWidth="1"/>
    <col min="8205" max="8206" width="5.25" style="1203" customWidth="1"/>
    <col min="8207" max="8207" width="9" style="1203"/>
    <col min="8208" max="8208" width="10.25" style="1203" customWidth="1"/>
    <col min="8209" max="8209" width="10.75" style="1203" customWidth="1"/>
    <col min="8210" max="8211" width="12.875" style="1203" customWidth="1"/>
    <col min="8212" max="8212" width="9" style="1203"/>
    <col min="8213" max="8213" width="1.875" style="1203" customWidth="1"/>
    <col min="8214" max="8214" width="12.375" style="1203" customWidth="1"/>
    <col min="8215" max="8215" width="11.625" style="1203" customWidth="1"/>
    <col min="8216" max="8448" width="9" style="1203"/>
    <col min="8449" max="8449" width="2.375" style="1203" customWidth="1"/>
    <col min="8450" max="8450" width="11.875" style="1203" customWidth="1"/>
    <col min="8451" max="8451" width="13" style="1203" customWidth="1"/>
    <col min="8452" max="8453" width="11.625" style="1203" customWidth="1"/>
    <col min="8454" max="8454" width="11.375" style="1203" customWidth="1"/>
    <col min="8455" max="8455" width="11.625" style="1203" customWidth="1"/>
    <col min="8456" max="8456" width="10.875" style="1203" customWidth="1"/>
    <col min="8457" max="8457" width="12.75" style="1203" customWidth="1"/>
    <col min="8458" max="8458" width="13.125" style="1203" customWidth="1"/>
    <col min="8459" max="8459" width="9.875" style="1203" customWidth="1"/>
    <col min="8460" max="8460" width="12" style="1203" bestFit="1" customWidth="1"/>
    <col min="8461" max="8462" width="5.25" style="1203" customWidth="1"/>
    <col min="8463" max="8463" width="9" style="1203"/>
    <col min="8464" max="8464" width="10.25" style="1203" customWidth="1"/>
    <col min="8465" max="8465" width="10.75" style="1203" customWidth="1"/>
    <col min="8466" max="8467" width="12.875" style="1203" customWidth="1"/>
    <col min="8468" max="8468" width="9" style="1203"/>
    <col min="8469" max="8469" width="1.875" style="1203" customWidth="1"/>
    <col min="8470" max="8470" width="12.375" style="1203" customWidth="1"/>
    <col min="8471" max="8471" width="11.625" style="1203" customWidth="1"/>
    <col min="8472" max="8704" width="9" style="1203"/>
    <col min="8705" max="8705" width="2.375" style="1203" customWidth="1"/>
    <col min="8706" max="8706" width="11.875" style="1203" customWidth="1"/>
    <col min="8707" max="8707" width="13" style="1203" customWidth="1"/>
    <col min="8708" max="8709" width="11.625" style="1203" customWidth="1"/>
    <col min="8710" max="8710" width="11.375" style="1203" customWidth="1"/>
    <col min="8711" max="8711" width="11.625" style="1203" customWidth="1"/>
    <col min="8712" max="8712" width="10.875" style="1203" customWidth="1"/>
    <col min="8713" max="8713" width="12.75" style="1203" customWidth="1"/>
    <col min="8714" max="8714" width="13.125" style="1203" customWidth="1"/>
    <col min="8715" max="8715" width="9.875" style="1203" customWidth="1"/>
    <col min="8716" max="8716" width="12" style="1203" bestFit="1" customWidth="1"/>
    <col min="8717" max="8718" width="5.25" style="1203" customWidth="1"/>
    <col min="8719" max="8719" width="9" style="1203"/>
    <col min="8720" max="8720" width="10.25" style="1203" customWidth="1"/>
    <col min="8721" max="8721" width="10.75" style="1203" customWidth="1"/>
    <col min="8722" max="8723" width="12.875" style="1203" customWidth="1"/>
    <col min="8724" max="8724" width="9" style="1203"/>
    <col min="8725" max="8725" width="1.875" style="1203" customWidth="1"/>
    <col min="8726" max="8726" width="12.375" style="1203" customWidth="1"/>
    <col min="8727" max="8727" width="11.625" style="1203" customWidth="1"/>
    <col min="8728" max="8960" width="9" style="1203"/>
    <col min="8961" max="8961" width="2.375" style="1203" customWidth="1"/>
    <col min="8962" max="8962" width="11.875" style="1203" customWidth="1"/>
    <col min="8963" max="8963" width="13" style="1203" customWidth="1"/>
    <col min="8964" max="8965" width="11.625" style="1203" customWidth="1"/>
    <col min="8966" max="8966" width="11.375" style="1203" customWidth="1"/>
    <col min="8967" max="8967" width="11.625" style="1203" customWidth="1"/>
    <col min="8968" max="8968" width="10.875" style="1203" customWidth="1"/>
    <col min="8969" max="8969" width="12.75" style="1203" customWidth="1"/>
    <col min="8970" max="8970" width="13.125" style="1203" customWidth="1"/>
    <col min="8971" max="8971" width="9.875" style="1203" customWidth="1"/>
    <col min="8972" max="8972" width="12" style="1203" bestFit="1" customWidth="1"/>
    <col min="8973" max="8974" width="5.25" style="1203" customWidth="1"/>
    <col min="8975" max="8975" width="9" style="1203"/>
    <col min="8976" max="8976" width="10.25" style="1203" customWidth="1"/>
    <col min="8977" max="8977" width="10.75" style="1203" customWidth="1"/>
    <col min="8978" max="8979" width="12.875" style="1203" customWidth="1"/>
    <col min="8980" max="8980" width="9" style="1203"/>
    <col min="8981" max="8981" width="1.875" style="1203" customWidth="1"/>
    <col min="8982" max="8982" width="12.375" style="1203" customWidth="1"/>
    <col min="8983" max="8983" width="11.625" style="1203" customWidth="1"/>
    <col min="8984" max="9216" width="9" style="1203"/>
    <col min="9217" max="9217" width="2.375" style="1203" customWidth="1"/>
    <col min="9218" max="9218" width="11.875" style="1203" customWidth="1"/>
    <col min="9219" max="9219" width="13" style="1203" customWidth="1"/>
    <col min="9220" max="9221" width="11.625" style="1203" customWidth="1"/>
    <col min="9222" max="9222" width="11.375" style="1203" customWidth="1"/>
    <col min="9223" max="9223" width="11.625" style="1203" customWidth="1"/>
    <col min="9224" max="9224" width="10.875" style="1203" customWidth="1"/>
    <col min="9225" max="9225" width="12.75" style="1203" customWidth="1"/>
    <col min="9226" max="9226" width="13.125" style="1203" customWidth="1"/>
    <col min="9227" max="9227" width="9.875" style="1203" customWidth="1"/>
    <col min="9228" max="9228" width="12" style="1203" bestFit="1" customWidth="1"/>
    <col min="9229" max="9230" width="5.25" style="1203" customWidth="1"/>
    <col min="9231" max="9231" width="9" style="1203"/>
    <col min="9232" max="9232" width="10.25" style="1203" customWidth="1"/>
    <col min="9233" max="9233" width="10.75" style="1203" customWidth="1"/>
    <col min="9234" max="9235" width="12.875" style="1203" customWidth="1"/>
    <col min="9236" max="9236" width="9" style="1203"/>
    <col min="9237" max="9237" width="1.875" style="1203" customWidth="1"/>
    <col min="9238" max="9238" width="12.375" style="1203" customWidth="1"/>
    <col min="9239" max="9239" width="11.625" style="1203" customWidth="1"/>
    <col min="9240" max="9472" width="9" style="1203"/>
    <col min="9473" max="9473" width="2.375" style="1203" customWidth="1"/>
    <col min="9474" max="9474" width="11.875" style="1203" customWidth="1"/>
    <col min="9475" max="9475" width="13" style="1203" customWidth="1"/>
    <col min="9476" max="9477" width="11.625" style="1203" customWidth="1"/>
    <col min="9478" max="9478" width="11.375" style="1203" customWidth="1"/>
    <col min="9479" max="9479" width="11.625" style="1203" customWidth="1"/>
    <col min="9480" max="9480" width="10.875" style="1203" customWidth="1"/>
    <col min="9481" max="9481" width="12.75" style="1203" customWidth="1"/>
    <col min="9482" max="9482" width="13.125" style="1203" customWidth="1"/>
    <col min="9483" max="9483" width="9.875" style="1203" customWidth="1"/>
    <col min="9484" max="9484" width="12" style="1203" bestFit="1" customWidth="1"/>
    <col min="9485" max="9486" width="5.25" style="1203" customWidth="1"/>
    <col min="9487" max="9487" width="9" style="1203"/>
    <col min="9488" max="9488" width="10.25" style="1203" customWidth="1"/>
    <col min="9489" max="9489" width="10.75" style="1203" customWidth="1"/>
    <col min="9490" max="9491" width="12.875" style="1203" customWidth="1"/>
    <col min="9492" max="9492" width="9" style="1203"/>
    <col min="9493" max="9493" width="1.875" style="1203" customWidth="1"/>
    <col min="9494" max="9494" width="12.375" style="1203" customWidth="1"/>
    <col min="9495" max="9495" width="11.625" style="1203" customWidth="1"/>
    <col min="9496" max="9728" width="9" style="1203"/>
    <col min="9729" max="9729" width="2.375" style="1203" customWidth="1"/>
    <col min="9730" max="9730" width="11.875" style="1203" customWidth="1"/>
    <col min="9731" max="9731" width="13" style="1203" customWidth="1"/>
    <col min="9732" max="9733" width="11.625" style="1203" customWidth="1"/>
    <col min="9734" max="9734" width="11.375" style="1203" customWidth="1"/>
    <col min="9735" max="9735" width="11.625" style="1203" customWidth="1"/>
    <col min="9736" max="9736" width="10.875" style="1203" customWidth="1"/>
    <col min="9737" max="9737" width="12.75" style="1203" customWidth="1"/>
    <col min="9738" max="9738" width="13.125" style="1203" customWidth="1"/>
    <col min="9739" max="9739" width="9.875" style="1203" customWidth="1"/>
    <col min="9740" max="9740" width="12" style="1203" bestFit="1" customWidth="1"/>
    <col min="9741" max="9742" width="5.25" style="1203" customWidth="1"/>
    <col min="9743" max="9743" width="9" style="1203"/>
    <col min="9744" max="9744" width="10.25" style="1203" customWidth="1"/>
    <col min="9745" max="9745" width="10.75" style="1203" customWidth="1"/>
    <col min="9746" max="9747" width="12.875" style="1203" customWidth="1"/>
    <col min="9748" max="9748" width="9" style="1203"/>
    <col min="9749" max="9749" width="1.875" style="1203" customWidth="1"/>
    <col min="9750" max="9750" width="12.375" style="1203" customWidth="1"/>
    <col min="9751" max="9751" width="11.625" style="1203" customWidth="1"/>
    <col min="9752" max="9984" width="9" style="1203"/>
    <col min="9985" max="9985" width="2.375" style="1203" customWidth="1"/>
    <col min="9986" max="9986" width="11.875" style="1203" customWidth="1"/>
    <col min="9987" max="9987" width="13" style="1203" customWidth="1"/>
    <col min="9988" max="9989" width="11.625" style="1203" customWidth="1"/>
    <col min="9990" max="9990" width="11.375" style="1203" customWidth="1"/>
    <col min="9991" max="9991" width="11.625" style="1203" customWidth="1"/>
    <col min="9992" max="9992" width="10.875" style="1203" customWidth="1"/>
    <col min="9993" max="9993" width="12.75" style="1203" customWidth="1"/>
    <col min="9994" max="9994" width="13.125" style="1203" customWidth="1"/>
    <col min="9995" max="9995" width="9.875" style="1203" customWidth="1"/>
    <col min="9996" max="9996" width="12" style="1203" bestFit="1" customWidth="1"/>
    <col min="9997" max="9998" width="5.25" style="1203" customWidth="1"/>
    <col min="9999" max="9999" width="9" style="1203"/>
    <col min="10000" max="10000" width="10.25" style="1203" customWidth="1"/>
    <col min="10001" max="10001" width="10.75" style="1203" customWidth="1"/>
    <col min="10002" max="10003" width="12.875" style="1203" customWidth="1"/>
    <col min="10004" max="10004" width="9" style="1203"/>
    <col min="10005" max="10005" width="1.875" style="1203" customWidth="1"/>
    <col min="10006" max="10006" width="12.375" style="1203" customWidth="1"/>
    <col min="10007" max="10007" width="11.625" style="1203" customWidth="1"/>
    <col min="10008" max="10240" width="9" style="1203"/>
    <col min="10241" max="10241" width="2.375" style="1203" customWidth="1"/>
    <col min="10242" max="10242" width="11.875" style="1203" customWidth="1"/>
    <col min="10243" max="10243" width="13" style="1203" customWidth="1"/>
    <col min="10244" max="10245" width="11.625" style="1203" customWidth="1"/>
    <col min="10246" max="10246" width="11.375" style="1203" customWidth="1"/>
    <col min="10247" max="10247" width="11.625" style="1203" customWidth="1"/>
    <col min="10248" max="10248" width="10.875" style="1203" customWidth="1"/>
    <col min="10249" max="10249" width="12.75" style="1203" customWidth="1"/>
    <col min="10250" max="10250" width="13.125" style="1203" customWidth="1"/>
    <col min="10251" max="10251" width="9.875" style="1203" customWidth="1"/>
    <col min="10252" max="10252" width="12" style="1203" bestFit="1" customWidth="1"/>
    <col min="10253" max="10254" width="5.25" style="1203" customWidth="1"/>
    <col min="10255" max="10255" width="9" style="1203"/>
    <col min="10256" max="10256" width="10.25" style="1203" customWidth="1"/>
    <col min="10257" max="10257" width="10.75" style="1203" customWidth="1"/>
    <col min="10258" max="10259" width="12.875" style="1203" customWidth="1"/>
    <col min="10260" max="10260" width="9" style="1203"/>
    <col min="10261" max="10261" width="1.875" style="1203" customWidth="1"/>
    <col min="10262" max="10262" width="12.375" style="1203" customWidth="1"/>
    <col min="10263" max="10263" width="11.625" style="1203" customWidth="1"/>
    <col min="10264" max="10496" width="9" style="1203"/>
    <col min="10497" max="10497" width="2.375" style="1203" customWidth="1"/>
    <col min="10498" max="10498" width="11.875" style="1203" customWidth="1"/>
    <col min="10499" max="10499" width="13" style="1203" customWidth="1"/>
    <col min="10500" max="10501" width="11.625" style="1203" customWidth="1"/>
    <col min="10502" max="10502" width="11.375" style="1203" customWidth="1"/>
    <col min="10503" max="10503" width="11.625" style="1203" customWidth="1"/>
    <col min="10504" max="10504" width="10.875" style="1203" customWidth="1"/>
    <col min="10505" max="10505" width="12.75" style="1203" customWidth="1"/>
    <col min="10506" max="10506" width="13.125" style="1203" customWidth="1"/>
    <col min="10507" max="10507" width="9.875" style="1203" customWidth="1"/>
    <col min="10508" max="10508" width="12" style="1203" bestFit="1" customWidth="1"/>
    <col min="10509" max="10510" width="5.25" style="1203" customWidth="1"/>
    <col min="10511" max="10511" width="9" style="1203"/>
    <col min="10512" max="10512" width="10.25" style="1203" customWidth="1"/>
    <col min="10513" max="10513" width="10.75" style="1203" customWidth="1"/>
    <col min="10514" max="10515" width="12.875" style="1203" customWidth="1"/>
    <col min="10516" max="10516" width="9" style="1203"/>
    <col min="10517" max="10517" width="1.875" style="1203" customWidth="1"/>
    <col min="10518" max="10518" width="12.375" style="1203" customWidth="1"/>
    <col min="10519" max="10519" width="11.625" style="1203" customWidth="1"/>
    <col min="10520" max="10752" width="9" style="1203"/>
    <col min="10753" max="10753" width="2.375" style="1203" customWidth="1"/>
    <col min="10754" max="10754" width="11.875" style="1203" customWidth="1"/>
    <col min="10755" max="10755" width="13" style="1203" customWidth="1"/>
    <col min="10756" max="10757" width="11.625" style="1203" customWidth="1"/>
    <col min="10758" max="10758" width="11.375" style="1203" customWidth="1"/>
    <col min="10759" max="10759" width="11.625" style="1203" customWidth="1"/>
    <col min="10760" max="10760" width="10.875" style="1203" customWidth="1"/>
    <col min="10761" max="10761" width="12.75" style="1203" customWidth="1"/>
    <col min="10762" max="10762" width="13.125" style="1203" customWidth="1"/>
    <col min="10763" max="10763" width="9.875" style="1203" customWidth="1"/>
    <col min="10764" max="10764" width="12" style="1203" bestFit="1" customWidth="1"/>
    <col min="10765" max="10766" width="5.25" style="1203" customWidth="1"/>
    <col min="10767" max="10767" width="9" style="1203"/>
    <col min="10768" max="10768" width="10.25" style="1203" customWidth="1"/>
    <col min="10769" max="10769" width="10.75" style="1203" customWidth="1"/>
    <col min="10770" max="10771" width="12.875" style="1203" customWidth="1"/>
    <col min="10772" max="10772" width="9" style="1203"/>
    <col min="10773" max="10773" width="1.875" style="1203" customWidth="1"/>
    <col min="10774" max="10774" width="12.375" style="1203" customWidth="1"/>
    <col min="10775" max="10775" width="11.625" style="1203" customWidth="1"/>
    <col min="10776" max="11008" width="9" style="1203"/>
    <col min="11009" max="11009" width="2.375" style="1203" customWidth="1"/>
    <col min="11010" max="11010" width="11.875" style="1203" customWidth="1"/>
    <col min="11011" max="11011" width="13" style="1203" customWidth="1"/>
    <col min="11012" max="11013" width="11.625" style="1203" customWidth="1"/>
    <col min="11014" max="11014" width="11.375" style="1203" customWidth="1"/>
    <col min="11015" max="11015" width="11.625" style="1203" customWidth="1"/>
    <col min="11016" max="11016" width="10.875" style="1203" customWidth="1"/>
    <col min="11017" max="11017" width="12.75" style="1203" customWidth="1"/>
    <col min="11018" max="11018" width="13.125" style="1203" customWidth="1"/>
    <col min="11019" max="11019" width="9.875" style="1203" customWidth="1"/>
    <col min="11020" max="11020" width="12" style="1203" bestFit="1" customWidth="1"/>
    <col min="11021" max="11022" width="5.25" style="1203" customWidth="1"/>
    <col min="11023" max="11023" width="9" style="1203"/>
    <col min="11024" max="11024" width="10.25" style="1203" customWidth="1"/>
    <col min="11025" max="11025" width="10.75" style="1203" customWidth="1"/>
    <col min="11026" max="11027" width="12.875" style="1203" customWidth="1"/>
    <col min="11028" max="11028" width="9" style="1203"/>
    <col min="11029" max="11029" width="1.875" style="1203" customWidth="1"/>
    <col min="11030" max="11030" width="12.375" style="1203" customWidth="1"/>
    <col min="11031" max="11031" width="11.625" style="1203" customWidth="1"/>
    <col min="11032" max="11264" width="9" style="1203"/>
    <col min="11265" max="11265" width="2.375" style="1203" customWidth="1"/>
    <col min="11266" max="11266" width="11.875" style="1203" customWidth="1"/>
    <col min="11267" max="11267" width="13" style="1203" customWidth="1"/>
    <col min="11268" max="11269" width="11.625" style="1203" customWidth="1"/>
    <col min="11270" max="11270" width="11.375" style="1203" customWidth="1"/>
    <col min="11271" max="11271" width="11.625" style="1203" customWidth="1"/>
    <col min="11272" max="11272" width="10.875" style="1203" customWidth="1"/>
    <col min="11273" max="11273" width="12.75" style="1203" customWidth="1"/>
    <col min="11274" max="11274" width="13.125" style="1203" customWidth="1"/>
    <col min="11275" max="11275" width="9.875" style="1203" customWidth="1"/>
    <col min="11276" max="11276" width="12" style="1203" bestFit="1" customWidth="1"/>
    <col min="11277" max="11278" width="5.25" style="1203" customWidth="1"/>
    <col min="11279" max="11279" width="9" style="1203"/>
    <col min="11280" max="11280" width="10.25" style="1203" customWidth="1"/>
    <col min="11281" max="11281" width="10.75" style="1203" customWidth="1"/>
    <col min="11282" max="11283" width="12.875" style="1203" customWidth="1"/>
    <col min="11284" max="11284" width="9" style="1203"/>
    <col min="11285" max="11285" width="1.875" style="1203" customWidth="1"/>
    <col min="11286" max="11286" width="12.375" style="1203" customWidth="1"/>
    <col min="11287" max="11287" width="11.625" style="1203" customWidth="1"/>
    <col min="11288" max="11520" width="9" style="1203"/>
    <col min="11521" max="11521" width="2.375" style="1203" customWidth="1"/>
    <col min="11522" max="11522" width="11.875" style="1203" customWidth="1"/>
    <col min="11523" max="11523" width="13" style="1203" customWidth="1"/>
    <col min="11524" max="11525" width="11.625" style="1203" customWidth="1"/>
    <col min="11526" max="11526" width="11.375" style="1203" customWidth="1"/>
    <col min="11527" max="11527" width="11.625" style="1203" customWidth="1"/>
    <col min="11528" max="11528" width="10.875" style="1203" customWidth="1"/>
    <col min="11529" max="11529" width="12.75" style="1203" customWidth="1"/>
    <col min="11530" max="11530" width="13.125" style="1203" customWidth="1"/>
    <col min="11531" max="11531" width="9.875" style="1203" customWidth="1"/>
    <col min="11532" max="11532" width="12" style="1203" bestFit="1" customWidth="1"/>
    <col min="11533" max="11534" width="5.25" style="1203" customWidth="1"/>
    <col min="11535" max="11535" width="9" style="1203"/>
    <col min="11536" max="11536" width="10.25" style="1203" customWidth="1"/>
    <col min="11537" max="11537" width="10.75" style="1203" customWidth="1"/>
    <col min="11538" max="11539" width="12.875" style="1203" customWidth="1"/>
    <col min="11540" max="11540" width="9" style="1203"/>
    <col min="11541" max="11541" width="1.875" style="1203" customWidth="1"/>
    <col min="11542" max="11542" width="12.375" style="1203" customWidth="1"/>
    <col min="11543" max="11543" width="11.625" style="1203" customWidth="1"/>
    <col min="11544" max="11776" width="9" style="1203"/>
    <col min="11777" max="11777" width="2.375" style="1203" customWidth="1"/>
    <col min="11778" max="11778" width="11.875" style="1203" customWidth="1"/>
    <col min="11779" max="11779" width="13" style="1203" customWidth="1"/>
    <col min="11780" max="11781" width="11.625" style="1203" customWidth="1"/>
    <col min="11782" max="11782" width="11.375" style="1203" customWidth="1"/>
    <col min="11783" max="11783" width="11.625" style="1203" customWidth="1"/>
    <col min="11784" max="11784" width="10.875" style="1203" customWidth="1"/>
    <col min="11785" max="11785" width="12.75" style="1203" customWidth="1"/>
    <col min="11786" max="11786" width="13.125" style="1203" customWidth="1"/>
    <col min="11787" max="11787" width="9.875" style="1203" customWidth="1"/>
    <col min="11788" max="11788" width="12" style="1203" bestFit="1" customWidth="1"/>
    <col min="11789" max="11790" width="5.25" style="1203" customWidth="1"/>
    <col min="11791" max="11791" width="9" style="1203"/>
    <col min="11792" max="11792" width="10.25" style="1203" customWidth="1"/>
    <col min="11793" max="11793" width="10.75" style="1203" customWidth="1"/>
    <col min="11794" max="11795" width="12.875" style="1203" customWidth="1"/>
    <col min="11796" max="11796" width="9" style="1203"/>
    <col min="11797" max="11797" width="1.875" style="1203" customWidth="1"/>
    <col min="11798" max="11798" width="12.375" style="1203" customWidth="1"/>
    <col min="11799" max="11799" width="11.625" style="1203" customWidth="1"/>
    <col min="11800" max="12032" width="9" style="1203"/>
    <col min="12033" max="12033" width="2.375" style="1203" customWidth="1"/>
    <col min="12034" max="12034" width="11.875" style="1203" customWidth="1"/>
    <col min="12035" max="12035" width="13" style="1203" customWidth="1"/>
    <col min="12036" max="12037" width="11.625" style="1203" customWidth="1"/>
    <col min="12038" max="12038" width="11.375" style="1203" customWidth="1"/>
    <col min="12039" max="12039" width="11.625" style="1203" customWidth="1"/>
    <col min="12040" max="12040" width="10.875" style="1203" customWidth="1"/>
    <col min="12041" max="12041" width="12.75" style="1203" customWidth="1"/>
    <col min="12042" max="12042" width="13.125" style="1203" customWidth="1"/>
    <col min="12043" max="12043" width="9.875" style="1203" customWidth="1"/>
    <col min="12044" max="12044" width="12" style="1203" bestFit="1" customWidth="1"/>
    <col min="12045" max="12046" width="5.25" style="1203" customWidth="1"/>
    <col min="12047" max="12047" width="9" style="1203"/>
    <col min="12048" max="12048" width="10.25" style="1203" customWidth="1"/>
    <col min="12049" max="12049" width="10.75" style="1203" customWidth="1"/>
    <col min="12050" max="12051" width="12.875" style="1203" customWidth="1"/>
    <col min="12052" max="12052" width="9" style="1203"/>
    <col min="12053" max="12053" width="1.875" style="1203" customWidth="1"/>
    <col min="12054" max="12054" width="12.375" style="1203" customWidth="1"/>
    <col min="12055" max="12055" width="11.625" style="1203" customWidth="1"/>
    <col min="12056" max="12288" width="9" style="1203"/>
    <col min="12289" max="12289" width="2.375" style="1203" customWidth="1"/>
    <col min="12290" max="12290" width="11.875" style="1203" customWidth="1"/>
    <col min="12291" max="12291" width="13" style="1203" customWidth="1"/>
    <col min="12292" max="12293" width="11.625" style="1203" customWidth="1"/>
    <col min="12294" max="12294" width="11.375" style="1203" customWidth="1"/>
    <col min="12295" max="12295" width="11.625" style="1203" customWidth="1"/>
    <col min="12296" max="12296" width="10.875" style="1203" customWidth="1"/>
    <col min="12297" max="12297" width="12.75" style="1203" customWidth="1"/>
    <col min="12298" max="12298" width="13.125" style="1203" customWidth="1"/>
    <col min="12299" max="12299" width="9.875" style="1203" customWidth="1"/>
    <col min="12300" max="12300" width="12" style="1203" bestFit="1" customWidth="1"/>
    <col min="12301" max="12302" width="5.25" style="1203" customWidth="1"/>
    <col min="12303" max="12303" width="9" style="1203"/>
    <col min="12304" max="12304" width="10.25" style="1203" customWidth="1"/>
    <col min="12305" max="12305" width="10.75" style="1203" customWidth="1"/>
    <col min="12306" max="12307" width="12.875" style="1203" customWidth="1"/>
    <col min="12308" max="12308" width="9" style="1203"/>
    <col min="12309" max="12309" width="1.875" style="1203" customWidth="1"/>
    <col min="12310" max="12310" width="12.375" style="1203" customWidth="1"/>
    <col min="12311" max="12311" width="11.625" style="1203" customWidth="1"/>
    <col min="12312" max="12544" width="9" style="1203"/>
    <col min="12545" max="12545" width="2.375" style="1203" customWidth="1"/>
    <col min="12546" max="12546" width="11.875" style="1203" customWidth="1"/>
    <col min="12547" max="12547" width="13" style="1203" customWidth="1"/>
    <col min="12548" max="12549" width="11.625" style="1203" customWidth="1"/>
    <col min="12550" max="12550" width="11.375" style="1203" customWidth="1"/>
    <col min="12551" max="12551" width="11.625" style="1203" customWidth="1"/>
    <col min="12552" max="12552" width="10.875" style="1203" customWidth="1"/>
    <col min="12553" max="12553" width="12.75" style="1203" customWidth="1"/>
    <col min="12554" max="12554" width="13.125" style="1203" customWidth="1"/>
    <col min="12555" max="12555" width="9.875" style="1203" customWidth="1"/>
    <col min="12556" max="12556" width="12" style="1203" bestFit="1" customWidth="1"/>
    <col min="12557" max="12558" width="5.25" style="1203" customWidth="1"/>
    <col min="12559" max="12559" width="9" style="1203"/>
    <col min="12560" max="12560" width="10.25" style="1203" customWidth="1"/>
    <col min="12561" max="12561" width="10.75" style="1203" customWidth="1"/>
    <col min="12562" max="12563" width="12.875" style="1203" customWidth="1"/>
    <col min="12564" max="12564" width="9" style="1203"/>
    <col min="12565" max="12565" width="1.875" style="1203" customWidth="1"/>
    <col min="12566" max="12566" width="12.375" style="1203" customWidth="1"/>
    <col min="12567" max="12567" width="11.625" style="1203" customWidth="1"/>
    <col min="12568" max="12800" width="9" style="1203"/>
    <col min="12801" max="12801" width="2.375" style="1203" customWidth="1"/>
    <col min="12802" max="12802" width="11.875" style="1203" customWidth="1"/>
    <col min="12803" max="12803" width="13" style="1203" customWidth="1"/>
    <col min="12804" max="12805" width="11.625" style="1203" customWidth="1"/>
    <col min="12806" max="12806" width="11.375" style="1203" customWidth="1"/>
    <col min="12807" max="12807" width="11.625" style="1203" customWidth="1"/>
    <col min="12808" max="12808" width="10.875" style="1203" customWidth="1"/>
    <col min="12809" max="12809" width="12.75" style="1203" customWidth="1"/>
    <col min="12810" max="12810" width="13.125" style="1203" customWidth="1"/>
    <col min="12811" max="12811" width="9.875" style="1203" customWidth="1"/>
    <col min="12812" max="12812" width="12" style="1203" bestFit="1" customWidth="1"/>
    <col min="12813" max="12814" width="5.25" style="1203" customWidth="1"/>
    <col min="12815" max="12815" width="9" style="1203"/>
    <col min="12816" max="12816" width="10.25" style="1203" customWidth="1"/>
    <col min="12817" max="12817" width="10.75" style="1203" customWidth="1"/>
    <col min="12818" max="12819" width="12.875" style="1203" customWidth="1"/>
    <col min="12820" max="12820" width="9" style="1203"/>
    <col min="12821" max="12821" width="1.875" style="1203" customWidth="1"/>
    <col min="12822" max="12822" width="12.375" style="1203" customWidth="1"/>
    <col min="12823" max="12823" width="11.625" style="1203" customWidth="1"/>
    <col min="12824" max="13056" width="9" style="1203"/>
    <col min="13057" max="13057" width="2.375" style="1203" customWidth="1"/>
    <col min="13058" max="13058" width="11.875" style="1203" customWidth="1"/>
    <col min="13059" max="13059" width="13" style="1203" customWidth="1"/>
    <col min="13060" max="13061" width="11.625" style="1203" customWidth="1"/>
    <col min="13062" max="13062" width="11.375" style="1203" customWidth="1"/>
    <col min="13063" max="13063" width="11.625" style="1203" customWidth="1"/>
    <col min="13064" max="13064" width="10.875" style="1203" customWidth="1"/>
    <col min="13065" max="13065" width="12.75" style="1203" customWidth="1"/>
    <col min="13066" max="13066" width="13.125" style="1203" customWidth="1"/>
    <col min="13067" max="13067" width="9.875" style="1203" customWidth="1"/>
    <col min="13068" max="13068" width="12" style="1203" bestFit="1" customWidth="1"/>
    <col min="13069" max="13070" width="5.25" style="1203" customWidth="1"/>
    <col min="13071" max="13071" width="9" style="1203"/>
    <col min="13072" max="13072" width="10.25" style="1203" customWidth="1"/>
    <col min="13073" max="13073" width="10.75" style="1203" customWidth="1"/>
    <col min="13074" max="13075" width="12.875" style="1203" customWidth="1"/>
    <col min="13076" max="13076" width="9" style="1203"/>
    <col min="13077" max="13077" width="1.875" style="1203" customWidth="1"/>
    <col min="13078" max="13078" width="12.375" style="1203" customWidth="1"/>
    <col min="13079" max="13079" width="11.625" style="1203" customWidth="1"/>
    <col min="13080" max="13312" width="9" style="1203"/>
    <col min="13313" max="13313" width="2.375" style="1203" customWidth="1"/>
    <col min="13314" max="13314" width="11.875" style="1203" customWidth="1"/>
    <col min="13315" max="13315" width="13" style="1203" customWidth="1"/>
    <col min="13316" max="13317" width="11.625" style="1203" customWidth="1"/>
    <col min="13318" max="13318" width="11.375" style="1203" customWidth="1"/>
    <col min="13319" max="13319" width="11.625" style="1203" customWidth="1"/>
    <col min="13320" max="13320" width="10.875" style="1203" customWidth="1"/>
    <col min="13321" max="13321" width="12.75" style="1203" customWidth="1"/>
    <col min="13322" max="13322" width="13.125" style="1203" customWidth="1"/>
    <col min="13323" max="13323" width="9.875" style="1203" customWidth="1"/>
    <col min="13324" max="13324" width="12" style="1203" bestFit="1" customWidth="1"/>
    <col min="13325" max="13326" width="5.25" style="1203" customWidth="1"/>
    <col min="13327" max="13327" width="9" style="1203"/>
    <col min="13328" max="13328" width="10.25" style="1203" customWidth="1"/>
    <col min="13329" max="13329" width="10.75" style="1203" customWidth="1"/>
    <col min="13330" max="13331" width="12.875" style="1203" customWidth="1"/>
    <col min="13332" max="13332" width="9" style="1203"/>
    <col min="13333" max="13333" width="1.875" style="1203" customWidth="1"/>
    <col min="13334" max="13334" width="12.375" style="1203" customWidth="1"/>
    <col min="13335" max="13335" width="11.625" style="1203" customWidth="1"/>
    <col min="13336" max="13568" width="9" style="1203"/>
    <col min="13569" max="13569" width="2.375" style="1203" customWidth="1"/>
    <col min="13570" max="13570" width="11.875" style="1203" customWidth="1"/>
    <col min="13571" max="13571" width="13" style="1203" customWidth="1"/>
    <col min="13572" max="13573" width="11.625" style="1203" customWidth="1"/>
    <col min="13574" max="13574" width="11.375" style="1203" customWidth="1"/>
    <col min="13575" max="13575" width="11.625" style="1203" customWidth="1"/>
    <col min="13576" max="13576" width="10.875" style="1203" customWidth="1"/>
    <col min="13577" max="13577" width="12.75" style="1203" customWidth="1"/>
    <col min="13578" max="13578" width="13.125" style="1203" customWidth="1"/>
    <col min="13579" max="13579" width="9.875" style="1203" customWidth="1"/>
    <col min="13580" max="13580" width="12" style="1203" bestFit="1" customWidth="1"/>
    <col min="13581" max="13582" width="5.25" style="1203" customWidth="1"/>
    <col min="13583" max="13583" width="9" style="1203"/>
    <col min="13584" max="13584" width="10.25" style="1203" customWidth="1"/>
    <col min="13585" max="13585" width="10.75" style="1203" customWidth="1"/>
    <col min="13586" max="13587" width="12.875" style="1203" customWidth="1"/>
    <col min="13588" max="13588" width="9" style="1203"/>
    <col min="13589" max="13589" width="1.875" style="1203" customWidth="1"/>
    <col min="13590" max="13590" width="12.375" style="1203" customWidth="1"/>
    <col min="13591" max="13591" width="11.625" style="1203" customWidth="1"/>
    <col min="13592" max="13824" width="9" style="1203"/>
    <col min="13825" max="13825" width="2.375" style="1203" customWidth="1"/>
    <col min="13826" max="13826" width="11.875" style="1203" customWidth="1"/>
    <col min="13827" max="13827" width="13" style="1203" customWidth="1"/>
    <col min="13828" max="13829" width="11.625" style="1203" customWidth="1"/>
    <col min="13830" max="13830" width="11.375" style="1203" customWidth="1"/>
    <col min="13831" max="13831" width="11.625" style="1203" customWidth="1"/>
    <col min="13832" max="13832" width="10.875" style="1203" customWidth="1"/>
    <col min="13833" max="13833" width="12.75" style="1203" customWidth="1"/>
    <col min="13834" max="13834" width="13.125" style="1203" customWidth="1"/>
    <col min="13835" max="13835" width="9.875" style="1203" customWidth="1"/>
    <col min="13836" max="13836" width="12" style="1203" bestFit="1" customWidth="1"/>
    <col min="13837" max="13838" width="5.25" style="1203" customWidth="1"/>
    <col min="13839" max="13839" width="9" style="1203"/>
    <col min="13840" max="13840" width="10.25" style="1203" customWidth="1"/>
    <col min="13841" max="13841" width="10.75" style="1203" customWidth="1"/>
    <col min="13842" max="13843" width="12.875" style="1203" customWidth="1"/>
    <col min="13844" max="13844" width="9" style="1203"/>
    <col min="13845" max="13845" width="1.875" style="1203" customWidth="1"/>
    <col min="13846" max="13846" width="12.375" style="1203" customWidth="1"/>
    <col min="13847" max="13847" width="11.625" style="1203" customWidth="1"/>
    <col min="13848" max="14080" width="9" style="1203"/>
    <col min="14081" max="14081" width="2.375" style="1203" customWidth="1"/>
    <col min="14082" max="14082" width="11.875" style="1203" customWidth="1"/>
    <col min="14083" max="14083" width="13" style="1203" customWidth="1"/>
    <col min="14084" max="14085" width="11.625" style="1203" customWidth="1"/>
    <col min="14086" max="14086" width="11.375" style="1203" customWidth="1"/>
    <col min="14087" max="14087" width="11.625" style="1203" customWidth="1"/>
    <col min="14088" max="14088" width="10.875" style="1203" customWidth="1"/>
    <col min="14089" max="14089" width="12.75" style="1203" customWidth="1"/>
    <col min="14090" max="14090" width="13.125" style="1203" customWidth="1"/>
    <col min="14091" max="14091" width="9.875" style="1203" customWidth="1"/>
    <col min="14092" max="14092" width="12" style="1203" bestFit="1" customWidth="1"/>
    <col min="14093" max="14094" width="5.25" style="1203" customWidth="1"/>
    <col min="14095" max="14095" width="9" style="1203"/>
    <col min="14096" max="14096" width="10.25" style="1203" customWidth="1"/>
    <col min="14097" max="14097" width="10.75" style="1203" customWidth="1"/>
    <col min="14098" max="14099" width="12.875" style="1203" customWidth="1"/>
    <col min="14100" max="14100" width="9" style="1203"/>
    <col min="14101" max="14101" width="1.875" style="1203" customWidth="1"/>
    <col min="14102" max="14102" width="12.375" style="1203" customWidth="1"/>
    <col min="14103" max="14103" width="11.625" style="1203" customWidth="1"/>
    <col min="14104" max="14336" width="9" style="1203"/>
    <col min="14337" max="14337" width="2.375" style="1203" customWidth="1"/>
    <col min="14338" max="14338" width="11.875" style="1203" customWidth="1"/>
    <col min="14339" max="14339" width="13" style="1203" customWidth="1"/>
    <col min="14340" max="14341" width="11.625" style="1203" customWidth="1"/>
    <col min="14342" max="14342" width="11.375" style="1203" customWidth="1"/>
    <col min="14343" max="14343" width="11.625" style="1203" customWidth="1"/>
    <col min="14344" max="14344" width="10.875" style="1203" customWidth="1"/>
    <col min="14345" max="14345" width="12.75" style="1203" customWidth="1"/>
    <col min="14346" max="14346" width="13.125" style="1203" customWidth="1"/>
    <col min="14347" max="14347" width="9.875" style="1203" customWidth="1"/>
    <col min="14348" max="14348" width="12" style="1203" bestFit="1" customWidth="1"/>
    <col min="14349" max="14350" width="5.25" style="1203" customWidth="1"/>
    <col min="14351" max="14351" width="9" style="1203"/>
    <col min="14352" max="14352" width="10.25" style="1203" customWidth="1"/>
    <col min="14353" max="14353" width="10.75" style="1203" customWidth="1"/>
    <col min="14354" max="14355" width="12.875" style="1203" customWidth="1"/>
    <col min="14356" max="14356" width="9" style="1203"/>
    <col min="14357" max="14357" width="1.875" style="1203" customWidth="1"/>
    <col min="14358" max="14358" width="12.375" style="1203" customWidth="1"/>
    <col min="14359" max="14359" width="11.625" style="1203" customWidth="1"/>
    <col min="14360" max="14592" width="9" style="1203"/>
    <col min="14593" max="14593" width="2.375" style="1203" customWidth="1"/>
    <col min="14594" max="14594" width="11.875" style="1203" customWidth="1"/>
    <col min="14595" max="14595" width="13" style="1203" customWidth="1"/>
    <col min="14596" max="14597" width="11.625" style="1203" customWidth="1"/>
    <col min="14598" max="14598" width="11.375" style="1203" customWidth="1"/>
    <col min="14599" max="14599" width="11.625" style="1203" customWidth="1"/>
    <col min="14600" max="14600" width="10.875" style="1203" customWidth="1"/>
    <col min="14601" max="14601" width="12.75" style="1203" customWidth="1"/>
    <col min="14602" max="14602" width="13.125" style="1203" customWidth="1"/>
    <col min="14603" max="14603" width="9.875" style="1203" customWidth="1"/>
    <col min="14604" max="14604" width="12" style="1203" bestFit="1" customWidth="1"/>
    <col min="14605" max="14606" width="5.25" style="1203" customWidth="1"/>
    <col min="14607" max="14607" width="9" style="1203"/>
    <col min="14608" max="14608" width="10.25" style="1203" customWidth="1"/>
    <col min="14609" max="14609" width="10.75" style="1203" customWidth="1"/>
    <col min="14610" max="14611" width="12.875" style="1203" customWidth="1"/>
    <col min="14612" max="14612" width="9" style="1203"/>
    <col min="14613" max="14613" width="1.875" style="1203" customWidth="1"/>
    <col min="14614" max="14614" width="12.375" style="1203" customWidth="1"/>
    <col min="14615" max="14615" width="11.625" style="1203" customWidth="1"/>
    <col min="14616" max="14848" width="9" style="1203"/>
    <col min="14849" max="14849" width="2.375" style="1203" customWidth="1"/>
    <col min="14850" max="14850" width="11.875" style="1203" customWidth="1"/>
    <col min="14851" max="14851" width="13" style="1203" customWidth="1"/>
    <col min="14852" max="14853" width="11.625" style="1203" customWidth="1"/>
    <col min="14854" max="14854" width="11.375" style="1203" customWidth="1"/>
    <col min="14855" max="14855" width="11.625" style="1203" customWidth="1"/>
    <col min="14856" max="14856" width="10.875" style="1203" customWidth="1"/>
    <col min="14857" max="14857" width="12.75" style="1203" customWidth="1"/>
    <col min="14858" max="14858" width="13.125" style="1203" customWidth="1"/>
    <col min="14859" max="14859" width="9.875" style="1203" customWidth="1"/>
    <col min="14860" max="14860" width="12" style="1203" bestFit="1" customWidth="1"/>
    <col min="14861" max="14862" width="5.25" style="1203" customWidth="1"/>
    <col min="14863" max="14863" width="9" style="1203"/>
    <col min="14864" max="14864" width="10.25" style="1203" customWidth="1"/>
    <col min="14865" max="14865" width="10.75" style="1203" customWidth="1"/>
    <col min="14866" max="14867" width="12.875" style="1203" customWidth="1"/>
    <col min="14868" max="14868" width="9" style="1203"/>
    <col min="14869" max="14869" width="1.875" style="1203" customWidth="1"/>
    <col min="14870" max="14870" width="12.375" style="1203" customWidth="1"/>
    <col min="14871" max="14871" width="11.625" style="1203" customWidth="1"/>
    <col min="14872" max="15104" width="9" style="1203"/>
    <col min="15105" max="15105" width="2.375" style="1203" customWidth="1"/>
    <col min="15106" max="15106" width="11.875" style="1203" customWidth="1"/>
    <col min="15107" max="15107" width="13" style="1203" customWidth="1"/>
    <col min="15108" max="15109" width="11.625" style="1203" customWidth="1"/>
    <col min="15110" max="15110" width="11.375" style="1203" customWidth="1"/>
    <col min="15111" max="15111" width="11.625" style="1203" customWidth="1"/>
    <col min="15112" max="15112" width="10.875" style="1203" customWidth="1"/>
    <col min="15113" max="15113" width="12.75" style="1203" customWidth="1"/>
    <col min="15114" max="15114" width="13.125" style="1203" customWidth="1"/>
    <col min="15115" max="15115" width="9.875" style="1203" customWidth="1"/>
    <col min="15116" max="15116" width="12" style="1203" bestFit="1" customWidth="1"/>
    <col min="15117" max="15118" width="5.25" style="1203" customWidth="1"/>
    <col min="15119" max="15119" width="9" style="1203"/>
    <col min="15120" max="15120" width="10.25" style="1203" customWidth="1"/>
    <col min="15121" max="15121" width="10.75" style="1203" customWidth="1"/>
    <col min="15122" max="15123" width="12.875" style="1203" customWidth="1"/>
    <col min="15124" max="15124" width="9" style="1203"/>
    <col min="15125" max="15125" width="1.875" style="1203" customWidth="1"/>
    <col min="15126" max="15126" width="12.375" style="1203" customWidth="1"/>
    <col min="15127" max="15127" width="11.625" style="1203" customWidth="1"/>
    <col min="15128" max="15360" width="9" style="1203"/>
    <col min="15361" max="15361" width="2.375" style="1203" customWidth="1"/>
    <col min="15362" max="15362" width="11.875" style="1203" customWidth="1"/>
    <col min="15363" max="15363" width="13" style="1203" customWidth="1"/>
    <col min="15364" max="15365" width="11.625" style="1203" customWidth="1"/>
    <col min="15366" max="15366" width="11.375" style="1203" customWidth="1"/>
    <col min="15367" max="15367" width="11.625" style="1203" customWidth="1"/>
    <col min="15368" max="15368" width="10.875" style="1203" customWidth="1"/>
    <col min="15369" max="15369" width="12.75" style="1203" customWidth="1"/>
    <col min="15370" max="15370" width="13.125" style="1203" customWidth="1"/>
    <col min="15371" max="15371" width="9.875" style="1203" customWidth="1"/>
    <col min="15372" max="15372" width="12" style="1203" bestFit="1" customWidth="1"/>
    <col min="15373" max="15374" width="5.25" style="1203" customWidth="1"/>
    <col min="15375" max="15375" width="9" style="1203"/>
    <col min="15376" max="15376" width="10.25" style="1203" customWidth="1"/>
    <col min="15377" max="15377" width="10.75" style="1203" customWidth="1"/>
    <col min="15378" max="15379" width="12.875" style="1203" customWidth="1"/>
    <col min="15380" max="15380" width="9" style="1203"/>
    <col min="15381" max="15381" width="1.875" style="1203" customWidth="1"/>
    <col min="15382" max="15382" width="12.375" style="1203" customWidth="1"/>
    <col min="15383" max="15383" width="11.625" style="1203" customWidth="1"/>
    <col min="15384" max="15616" width="9" style="1203"/>
    <col min="15617" max="15617" width="2.375" style="1203" customWidth="1"/>
    <col min="15618" max="15618" width="11.875" style="1203" customWidth="1"/>
    <col min="15619" max="15619" width="13" style="1203" customWidth="1"/>
    <col min="15620" max="15621" width="11.625" style="1203" customWidth="1"/>
    <col min="15622" max="15622" width="11.375" style="1203" customWidth="1"/>
    <col min="15623" max="15623" width="11.625" style="1203" customWidth="1"/>
    <col min="15624" max="15624" width="10.875" style="1203" customWidth="1"/>
    <col min="15625" max="15625" width="12.75" style="1203" customWidth="1"/>
    <col min="15626" max="15626" width="13.125" style="1203" customWidth="1"/>
    <col min="15627" max="15627" width="9.875" style="1203" customWidth="1"/>
    <col min="15628" max="15628" width="12" style="1203" bestFit="1" customWidth="1"/>
    <col min="15629" max="15630" width="5.25" style="1203" customWidth="1"/>
    <col min="15631" max="15631" width="9" style="1203"/>
    <col min="15632" max="15632" width="10.25" style="1203" customWidth="1"/>
    <col min="15633" max="15633" width="10.75" style="1203" customWidth="1"/>
    <col min="15634" max="15635" width="12.875" style="1203" customWidth="1"/>
    <col min="15636" max="15636" width="9" style="1203"/>
    <col min="15637" max="15637" width="1.875" style="1203" customWidth="1"/>
    <col min="15638" max="15638" width="12.375" style="1203" customWidth="1"/>
    <col min="15639" max="15639" width="11.625" style="1203" customWidth="1"/>
    <col min="15640" max="15872" width="9" style="1203"/>
    <col min="15873" max="15873" width="2.375" style="1203" customWidth="1"/>
    <col min="15874" max="15874" width="11.875" style="1203" customWidth="1"/>
    <col min="15875" max="15875" width="13" style="1203" customWidth="1"/>
    <col min="15876" max="15877" width="11.625" style="1203" customWidth="1"/>
    <col min="15878" max="15878" width="11.375" style="1203" customWidth="1"/>
    <col min="15879" max="15879" width="11.625" style="1203" customWidth="1"/>
    <col min="15880" max="15880" width="10.875" style="1203" customWidth="1"/>
    <col min="15881" max="15881" width="12.75" style="1203" customWidth="1"/>
    <col min="15882" max="15882" width="13.125" style="1203" customWidth="1"/>
    <col min="15883" max="15883" width="9.875" style="1203" customWidth="1"/>
    <col min="15884" max="15884" width="12" style="1203" bestFit="1" customWidth="1"/>
    <col min="15885" max="15886" width="5.25" style="1203" customWidth="1"/>
    <col min="15887" max="15887" width="9" style="1203"/>
    <col min="15888" max="15888" width="10.25" style="1203" customWidth="1"/>
    <col min="15889" max="15889" width="10.75" style="1203" customWidth="1"/>
    <col min="15890" max="15891" width="12.875" style="1203" customWidth="1"/>
    <col min="15892" max="15892" width="9" style="1203"/>
    <col min="15893" max="15893" width="1.875" style="1203" customWidth="1"/>
    <col min="15894" max="15894" width="12.375" style="1203" customWidth="1"/>
    <col min="15895" max="15895" width="11.625" style="1203" customWidth="1"/>
    <col min="15896" max="16128" width="9" style="1203"/>
    <col min="16129" max="16129" width="2.375" style="1203" customWidth="1"/>
    <col min="16130" max="16130" width="11.875" style="1203" customWidth="1"/>
    <col min="16131" max="16131" width="13" style="1203" customWidth="1"/>
    <col min="16132" max="16133" width="11.625" style="1203" customWidth="1"/>
    <col min="16134" max="16134" width="11.375" style="1203" customWidth="1"/>
    <col min="16135" max="16135" width="11.625" style="1203" customWidth="1"/>
    <col min="16136" max="16136" width="10.875" style="1203" customWidth="1"/>
    <col min="16137" max="16137" width="12.75" style="1203" customWidth="1"/>
    <col min="16138" max="16138" width="13.125" style="1203" customWidth="1"/>
    <col min="16139" max="16139" width="9.875" style="1203" customWidth="1"/>
    <col min="16140" max="16140" width="12" style="1203" bestFit="1" customWidth="1"/>
    <col min="16141" max="16142" width="5.25" style="1203" customWidth="1"/>
    <col min="16143" max="16143" width="9" style="1203"/>
    <col min="16144" max="16144" width="10.25" style="1203" customWidth="1"/>
    <col min="16145" max="16145" width="10.75" style="1203" customWidth="1"/>
    <col min="16146" max="16147" width="12.875" style="1203" customWidth="1"/>
    <col min="16148" max="16148" width="9" style="1203"/>
    <col min="16149" max="16149" width="1.875" style="1203" customWidth="1"/>
    <col min="16150" max="16150" width="12.375" style="1203" customWidth="1"/>
    <col min="16151" max="16151" width="11.625" style="1203" customWidth="1"/>
    <col min="16152" max="16384" width="9" style="1203"/>
  </cols>
  <sheetData>
    <row r="1" spans="1:62" ht="27" customHeight="1">
      <c r="A1" s="1287" t="str">
        <f>+LEFT('3条税込み'!A1,2)&amp;"年度経費（雨水・汚水）区分調（収入決算・税抜き・消費税分雑収益加算後)）"</f>
        <v>令和年度経費（雨水・汚水）区分調（収入決算・税抜き・消費税分雑収益加算後)）</v>
      </c>
    </row>
    <row r="2" spans="1:62" ht="27" customHeight="1" thickBot="1">
      <c r="A2" s="1203" t="s">
        <v>1773</v>
      </c>
      <c r="J2" s="1248" t="s">
        <v>1717</v>
      </c>
    </row>
    <row r="3" spans="1:62" ht="27" customHeight="1">
      <c r="A3" s="1222" t="s">
        <v>1771</v>
      </c>
      <c r="B3" s="1221"/>
      <c r="C3" s="1286" t="s">
        <v>1715</v>
      </c>
      <c r="D3" s="1285" t="s">
        <v>1714</v>
      </c>
      <c r="E3" s="1283"/>
      <c r="F3" s="1283"/>
      <c r="G3" s="1282"/>
      <c r="H3" s="1284" t="s">
        <v>1713</v>
      </c>
      <c r="I3" s="1283"/>
      <c r="J3" s="1282"/>
      <c r="O3" s="1604" t="s">
        <v>1500</v>
      </c>
      <c r="P3" s="1605"/>
      <c r="Q3" s="1606"/>
    </row>
    <row r="4" spans="1:62" s="1262" customFormat="1" ht="27" customHeight="1">
      <c r="A4" s="1359"/>
      <c r="B4" s="1280"/>
      <c r="C4" s="1279"/>
      <c r="D4" s="1278" t="s">
        <v>1712</v>
      </c>
      <c r="E4" s="1277"/>
      <c r="F4" s="1276" t="s">
        <v>1711</v>
      </c>
      <c r="G4" s="1273" t="s">
        <v>1710</v>
      </c>
      <c r="H4" s="1275" t="s">
        <v>1712</v>
      </c>
      <c r="I4" s="1274" t="s">
        <v>1711</v>
      </c>
      <c r="J4" s="1273" t="s">
        <v>1710</v>
      </c>
      <c r="N4" s="1203"/>
      <c r="O4" s="1607"/>
      <c r="P4" s="1608"/>
      <c r="Q4" s="1609"/>
      <c r="R4" s="1203">
        <f>ROUND('3条税抜き (消費税雑支出加算)'!H44+'3条税抜き (消費税雑支出加算)'!I44-'収入税抜き (消費税雑収入加算）)'!G26-'収入税抜き (消費税雑収入加算）)'!H26,0)</f>
        <v>14187102335</v>
      </c>
      <c r="S4" s="1203"/>
      <c r="T4" s="1203"/>
      <c r="U4" s="1203"/>
      <c r="V4" s="1203">
        <f>R4-収入税込!V4</f>
        <v>9198273</v>
      </c>
      <c r="W4" s="1203"/>
      <c r="X4" s="1203"/>
      <c r="Y4" s="1203"/>
      <c r="Z4" s="1203"/>
      <c r="AA4" s="1203"/>
      <c r="AB4" s="1203"/>
      <c r="AC4" s="1203"/>
      <c r="AD4" s="1203"/>
      <c r="AE4" s="1203"/>
      <c r="AF4" s="1203"/>
      <c r="AG4" s="1203"/>
      <c r="AH4" s="1203"/>
      <c r="AI4" s="1203"/>
      <c r="AJ4" s="1203"/>
      <c r="AK4" s="1203"/>
      <c r="AL4" s="1203"/>
      <c r="AM4" s="1203"/>
      <c r="AN4" s="1203"/>
      <c r="AO4" s="1203"/>
      <c r="AP4" s="1203"/>
      <c r="AQ4" s="1203"/>
      <c r="AR4" s="1203"/>
      <c r="AS4" s="1203"/>
      <c r="AT4" s="1203"/>
      <c r="AU4" s="1203"/>
      <c r="AV4" s="1203"/>
      <c r="AW4" s="1203"/>
      <c r="AX4" s="1203"/>
      <c r="AY4" s="1203"/>
      <c r="AZ4" s="1203"/>
      <c r="BA4" s="1203"/>
      <c r="BB4" s="1203"/>
      <c r="BC4" s="1203"/>
      <c r="BD4" s="1203"/>
      <c r="BE4" s="1203"/>
      <c r="BF4" s="1203"/>
      <c r="BG4" s="1203"/>
      <c r="BH4" s="1203"/>
      <c r="BI4" s="1203"/>
      <c r="BJ4" s="1203"/>
    </row>
    <row r="5" spans="1:62" s="1264" customFormat="1" ht="27" customHeight="1">
      <c r="A5" s="1272"/>
      <c r="B5" s="1271"/>
      <c r="C5" s="1270"/>
      <c r="D5" s="1269" t="s">
        <v>1707</v>
      </c>
      <c r="E5" s="1266" t="s">
        <v>1709</v>
      </c>
      <c r="F5" s="1268" t="s">
        <v>1708</v>
      </c>
      <c r="G5" s="1265"/>
      <c r="H5" s="1267" t="s">
        <v>1707</v>
      </c>
      <c r="I5" s="1266" t="s">
        <v>1707</v>
      </c>
      <c r="J5" s="1265"/>
      <c r="L5" s="1303" t="s">
        <v>1720</v>
      </c>
      <c r="N5" s="1358"/>
      <c r="O5" s="1328"/>
      <c r="P5" s="1610" t="s">
        <v>1764</v>
      </c>
      <c r="Q5" s="1611"/>
      <c r="R5" s="1358"/>
      <c r="S5" s="1358"/>
      <c r="T5" s="1358"/>
      <c r="U5" s="1358"/>
      <c r="V5" s="1358"/>
      <c r="W5" s="1358"/>
      <c r="X5" s="1358"/>
      <c r="Y5" s="1358"/>
      <c r="Z5" s="1358"/>
      <c r="AA5" s="1358"/>
      <c r="AB5" s="1358"/>
      <c r="AC5" s="1358"/>
      <c r="AD5" s="1358"/>
      <c r="AE5" s="1358"/>
      <c r="AF5" s="1358"/>
      <c r="AG5" s="1358"/>
      <c r="AH5" s="1358"/>
      <c r="AI5" s="1358"/>
      <c r="AJ5" s="1358"/>
      <c r="AK5" s="1358"/>
      <c r="AL5" s="1358"/>
      <c r="AM5" s="1358"/>
      <c r="AN5" s="1358"/>
      <c r="AO5" s="1358"/>
      <c r="AP5" s="1358"/>
      <c r="AQ5" s="1358"/>
      <c r="AR5" s="1358"/>
      <c r="AS5" s="1358"/>
      <c r="AT5" s="1358"/>
      <c r="AU5" s="1358"/>
      <c r="AV5" s="1358"/>
      <c r="AW5" s="1358"/>
      <c r="AX5" s="1358"/>
      <c r="AY5" s="1358"/>
      <c r="AZ5" s="1358"/>
      <c r="BA5" s="1358"/>
      <c r="BB5" s="1358"/>
      <c r="BC5" s="1358"/>
      <c r="BD5" s="1358"/>
      <c r="BE5" s="1358"/>
      <c r="BF5" s="1358"/>
      <c r="BG5" s="1358"/>
      <c r="BH5" s="1358"/>
      <c r="BI5" s="1358"/>
      <c r="BJ5" s="1358"/>
    </row>
    <row r="6" spans="1:62" ht="27" customHeight="1">
      <c r="A6" s="1225" t="s">
        <v>1763</v>
      </c>
      <c r="B6" s="1357"/>
      <c r="C6" s="1227">
        <f>+雨汚水!O58</f>
        <v>18626337467</v>
      </c>
      <c r="D6" s="1226">
        <f>+雨汚水!P58</f>
        <v>0</v>
      </c>
      <c r="E6" s="1224">
        <f>+雨汚水!Q58</f>
        <v>0</v>
      </c>
      <c r="F6" s="1224">
        <f>+雨汚水!R58</f>
        <v>0</v>
      </c>
      <c r="G6" s="1223">
        <f t="shared" ref="G6:G15" si="0">SUM(D6:F6)</f>
        <v>0</v>
      </c>
      <c r="H6" s="1225">
        <f>+雨汚水!T58</f>
        <v>0</v>
      </c>
      <c r="I6" s="1224">
        <f>+雨汚水!U58</f>
        <v>18626337467</v>
      </c>
      <c r="J6" s="1223">
        <f t="shared" ref="J6:J15" si="1">SUM(H6:I6)</f>
        <v>18626337467</v>
      </c>
      <c r="L6" s="1301">
        <f>収入税込!C6-'収入税抜き (消費税雑収入加算）)'!C6</f>
        <v>1862625061</v>
      </c>
      <c r="M6" s="1203">
        <f t="shared" ref="M6:M26" si="2">C6-G6-J6</f>
        <v>0</v>
      </c>
      <c r="O6" s="1328"/>
      <c r="P6" s="1612"/>
      <c r="Q6" s="1609"/>
      <c r="R6" s="1203">
        <f>R4-R16-R18-R20</f>
        <v>14079749832</v>
      </c>
      <c r="V6" s="1203">
        <f>R6-収入税込!V6</f>
        <v>9198273</v>
      </c>
    </row>
    <row r="7" spans="1:62" ht="27" customHeight="1">
      <c r="A7" s="1350" t="s">
        <v>1762</v>
      </c>
      <c r="B7" s="1244" t="s">
        <v>1761</v>
      </c>
      <c r="C7" s="1349">
        <f>+雨汚水!O60</f>
        <v>0</v>
      </c>
      <c r="D7" s="1348">
        <f>+雨汚水!P60</f>
        <v>0</v>
      </c>
      <c r="E7" s="1346">
        <f>+雨汚水!Q60</f>
        <v>0</v>
      </c>
      <c r="F7" s="1346">
        <f>+雨汚水!R60</f>
        <v>0</v>
      </c>
      <c r="G7" s="1345">
        <f t="shared" si="0"/>
        <v>0</v>
      </c>
      <c r="H7" s="1347">
        <f>+雨汚水!T60</f>
        <v>0</v>
      </c>
      <c r="I7" s="1346">
        <f>+雨汚水!U60</f>
        <v>0</v>
      </c>
      <c r="J7" s="1345">
        <f t="shared" si="1"/>
        <v>0</v>
      </c>
      <c r="L7" s="1203">
        <f>収入税込!C7-'収入税抜き (消費税雑収入加算）)'!C7</f>
        <v>0</v>
      </c>
      <c r="M7" s="1203">
        <f t="shared" si="2"/>
        <v>0</v>
      </c>
      <c r="O7" s="1328"/>
      <c r="P7" s="1327"/>
      <c r="Q7" s="1613" t="s">
        <v>1760</v>
      </c>
    </row>
    <row r="8" spans="1:62" ht="27" customHeight="1">
      <c r="A8" s="1343" t="s">
        <v>1759</v>
      </c>
      <c r="B8" s="1244" t="s">
        <v>1574</v>
      </c>
      <c r="C8" s="1235">
        <f>+SUM(雨汚水!O61:O64)</f>
        <v>172643606</v>
      </c>
      <c r="D8" s="1234">
        <f>+SUM(雨汚水!P61:P64)</f>
        <v>853327</v>
      </c>
      <c r="E8" s="1231">
        <f>+SUM(雨汚水!Q61:Q64)</f>
        <v>461192</v>
      </c>
      <c r="F8" s="1231">
        <f>+SUM(雨汚水!R61:R64)</f>
        <v>34320964</v>
      </c>
      <c r="G8" s="1230">
        <f t="shared" si="0"/>
        <v>35635483</v>
      </c>
      <c r="H8" s="1232">
        <f>+SUM(雨汚水!T61:T64)</f>
        <v>269500</v>
      </c>
      <c r="I8" s="1231">
        <f>+SUM(雨汚水!U61:U64)</f>
        <v>136738623</v>
      </c>
      <c r="J8" s="1230">
        <f t="shared" si="1"/>
        <v>137008123</v>
      </c>
      <c r="L8" s="1203">
        <f>収入税込!C8-'収入税抜き (消費税雑収入加算）)'!C8</f>
        <v>17203263</v>
      </c>
      <c r="M8" s="1203">
        <f t="shared" si="2"/>
        <v>0</v>
      </c>
      <c r="O8" s="1328"/>
      <c r="P8" s="1327"/>
      <c r="Q8" s="1614"/>
      <c r="R8" s="1203">
        <f>R6-R10-R13-R33</f>
        <v>3582605895</v>
      </c>
      <c r="S8" s="1203">
        <f>'3条税抜き (消費税雑支出加算)'!H31+'3条税抜き (消費税雑支出加算)'!I31-'3条税込み'!I8-'3条税込み'!G13-'3条税込み'!L12-'収入税抜き (消費税雑収入加算）)'!G17-'収入税抜き (消費税雑収入加算）)'!H17</f>
        <v>3591522898</v>
      </c>
      <c r="T8" s="1203">
        <f>R8-S8</f>
        <v>-8917003</v>
      </c>
      <c r="V8" s="1203">
        <f>S8-収入税込!V7</f>
        <v>9198273</v>
      </c>
    </row>
    <row r="9" spans="1:62" ht="27" customHeight="1">
      <c r="A9" s="1343" t="s">
        <v>1758</v>
      </c>
      <c r="B9" s="1244" t="s">
        <v>1467</v>
      </c>
      <c r="C9" s="1235">
        <f>+雨汚水!O68</f>
        <v>88770</v>
      </c>
      <c r="D9" s="1234">
        <f>+雨汚水!P68</f>
        <v>44385</v>
      </c>
      <c r="E9" s="1231">
        <f>+雨汚水!Q68</f>
        <v>0</v>
      </c>
      <c r="F9" s="1231">
        <f>+雨汚水!R68</f>
        <v>0</v>
      </c>
      <c r="G9" s="1230">
        <f t="shared" si="0"/>
        <v>44385</v>
      </c>
      <c r="H9" s="1232">
        <f>+雨汚水!T68</f>
        <v>0</v>
      </c>
      <c r="I9" s="1231">
        <f>+雨汚水!U68</f>
        <v>44385</v>
      </c>
      <c r="J9" s="1230">
        <f t="shared" si="1"/>
        <v>44385</v>
      </c>
      <c r="L9" s="1203">
        <f>収入税込!C9-'収入税抜き (消費税雑収入加算）)'!C9</f>
        <v>0</v>
      </c>
      <c r="M9" s="1203">
        <f t="shared" si="2"/>
        <v>0</v>
      </c>
      <c r="O9" s="1328"/>
      <c r="P9" s="1327"/>
      <c r="Q9" s="1613" t="s">
        <v>1457</v>
      </c>
    </row>
    <row r="10" spans="1:62" ht="27" customHeight="1">
      <c r="A10" s="1343" t="s">
        <v>1757</v>
      </c>
      <c r="B10" s="1244" t="s">
        <v>1566</v>
      </c>
      <c r="C10" s="1235">
        <f>+雨汚水!O70</f>
        <v>33651455</v>
      </c>
      <c r="D10" s="1234">
        <f>+雨汚水!P70</f>
        <v>33441108</v>
      </c>
      <c r="E10" s="1231">
        <f>+雨汚水!Q70</f>
        <v>0</v>
      </c>
      <c r="F10" s="1231">
        <f>+雨汚水!R70</f>
        <v>0</v>
      </c>
      <c r="G10" s="1230">
        <f t="shared" si="0"/>
        <v>33441108</v>
      </c>
      <c r="H10" s="1232">
        <f>+雨汚水!T70</f>
        <v>0</v>
      </c>
      <c r="I10" s="1231">
        <f>+雨汚水!U70</f>
        <v>210347</v>
      </c>
      <c r="J10" s="1230">
        <f t="shared" si="1"/>
        <v>210347</v>
      </c>
      <c r="L10" s="1203">
        <f>収入税込!C10-'収入税抜き (消費税雑収入加算）)'!C10</f>
        <v>3365145</v>
      </c>
      <c r="M10" s="1203">
        <f t="shared" si="2"/>
        <v>0</v>
      </c>
      <c r="O10" s="1328"/>
      <c r="P10" s="1327"/>
      <c r="Q10" s="1615"/>
      <c r="R10" s="1203">
        <f>ROUND('3条税抜き (消費税雑支出加算)'!H32+'3条税抜き (消費税雑支出加算)'!H39+'3条税抜き (消費税雑支出加算)'!I39+'3条税抜き (消費税雑支出加算)'!I32-G21-G22-H21-G23-H23-H22,0)</f>
        <v>8476549651</v>
      </c>
      <c r="V10" s="1203">
        <f>R10-収入税込!V9</f>
        <v>0</v>
      </c>
    </row>
    <row r="11" spans="1:62" ht="27" customHeight="1">
      <c r="A11" s="1241" t="s">
        <v>1747</v>
      </c>
      <c r="B11" s="1244" t="s">
        <v>1562</v>
      </c>
      <c r="C11" s="1235">
        <f>+雨汚水!O65+雨汚水!O75+雨汚水!O76</f>
        <v>35249977</v>
      </c>
      <c r="D11" s="1234">
        <f>+雨汚水!P65+雨汚水!P75+雨汚水!P76</f>
        <v>10155799</v>
      </c>
      <c r="E11" s="1231">
        <f>+雨汚水!Q65+雨汚水!Q75+雨汚水!Q76</f>
        <v>0</v>
      </c>
      <c r="F11" s="1231">
        <f>+雨汚水!R65+雨汚水!R75+雨汚水!R76</f>
        <v>1768864</v>
      </c>
      <c r="G11" s="1230">
        <f t="shared" si="0"/>
        <v>11924663</v>
      </c>
      <c r="H11" s="1232">
        <f>+雨汚水!T65+雨汚水!T75+雨汚水!T76</f>
        <v>0</v>
      </c>
      <c r="I11" s="1231">
        <f>+雨汚水!U65+雨汚水!U75+雨汚水!U76</f>
        <v>23325314</v>
      </c>
      <c r="J11" s="1230">
        <f t="shared" si="1"/>
        <v>23325314</v>
      </c>
      <c r="K11" s="1262"/>
      <c r="L11" s="1203">
        <f>収入税込!C11-'収入税抜き (消費税雑収入加算）)'!C11</f>
        <v>1210357</v>
      </c>
      <c r="M11" s="1203">
        <f t="shared" si="2"/>
        <v>0</v>
      </c>
      <c r="O11" s="1328"/>
      <c r="P11" s="1327"/>
      <c r="Q11" s="1613" t="s">
        <v>1456</v>
      </c>
    </row>
    <row r="12" spans="1:62" ht="27" customHeight="1">
      <c r="A12" s="1343" t="s">
        <v>1745</v>
      </c>
      <c r="B12" s="1244" t="s">
        <v>1553</v>
      </c>
      <c r="C12" s="1235">
        <f>+SUM(雨汚水!O79:O83)</f>
        <v>3718891</v>
      </c>
      <c r="D12" s="1234">
        <f>+SUM(雨汚水!P79:P83)</f>
        <v>713461</v>
      </c>
      <c r="E12" s="1231">
        <f>+SUM(雨汚水!Q79:Q83)</f>
        <v>0</v>
      </c>
      <c r="F12" s="1231">
        <f>+SUM(雨汚水!R79:R83)</f>
        <v>504308</v>
      </c>
      <c r="G12" s="1230">
        <f t="shared" si="0"/>
        <v>1217769</v>
      </c>
      <c r="H12" s="1232">
        <f>+SUM(雨汚水!T79:T83)</f>
        <v>29260</v>
      </c>
      <c r="I12" s="1231">
        <f>+SUM(雨汚水!U79:U83)</f>
        <v>2471862</v>
      </c>
      <c r="J12" s="1230">
        <f t="shared" si="1"/>
        <v>2501122</v>
      </c>
      <c r="L12" s="1203">
        <f>収入税込!C12-'収入税抜き (消費税雑収入加算）)'!C12</f>
        <v>145888</v>
      </c>
      <c r="M12" s="1203">
        <f t="shared" si="2"/>
        <v>0</v>
      </c>
      <c r="O12" s="1328"/>
      <c r="P12" s="1327"/>
      <c r="Q12" s="1616"/>
      <c r="S12" s="1261" t="s">
        <v>1778</v>
      </c>
    </row>
    <row r="13" spans="1:62" ht="27" customHeight="1">
      <c r="A13" s="1343" t="s">
        <v>1743</v>
      </c>
      <c r="B13" s="1354" t="s">
        <v>1755</v>
      </c>
      <c r="C13" s="1235">
        <f>+雨汚水!O69</f>
        <v>0</v>
      </c>
      <c r="D13" s="1234">
        <f>+雨汚水!P69</f>
        <v>0</v>
      </c>
      <c r="E13" s="1231">
        <f>+雨汚水!Q69</f>
        <v>0</v>
      </c>
      <c r="F13" s="1231">
        <f>+雨汚水!R69</f>
        <v>0</v>
      </c>
      <c r="G13" s="1230">
        <f t="shared" si="0"/>
        <v>0</v>
      </c>
      <c r="H13" s="1232">
        <f>+雨汚水!T69</f>
        <v>0</v>
      </c>
      <c r="I13" s="1231">
        <f>+雨汚水!U69</f>
        <v>0</v>
      </c>
      <c r="J13" s="1230">
        <f t="shared" si="1"/>
        <v>0</v>
      </c>
      <c r="L13" s="1203">
        <f>収入税込!C13-'収入税抜き (消費税雑収入加算）)'!C13</f>
        <v>0</v>
      </c>
      <c r="M13" s="1203">
        <f t="shared" si="2"/>
        <v>0</v>
      </c>
      <c r="O13" s="1328"/>
      <c r="P13" s="1327"/>
      <c r="Q13" s="1616"/>
      <c r="R13" s="1203">
        <f>'3条税抜き (消費税雑支出加算)'!H35+'3条税抜き (消費税雑支出加算)'!I35-'3条税抜き (消費税雑支出加算)'!G40-'収入税抜き (消費税雑収入加算）)'!G24-'収入税抜き (消費税雑収入加算）)'!H24+G21+H21+G22</f>
        <v>2011396013</v>
      </c>
      <c r="S13" s="1203">
        <f>R13+T8</f>
        <v>2002479010</v>
      </c>
      <c r="V13" s="1203">
        <f>R13+T8-収入税込!V12</f>
        <v>-9198273</v>
      </c>
    </row>
    <row r="14" spans="1:62" ht="27" customHeight="1">
      <c r="A14" s="1343" t="s">
        <v>1741</v>
      </c>
      <c r="B14" s="1545" t="s">
        <v>1786</v>
      </c>
      <c r="C14" s="1546">
        <f>+雨汚水!AD77</f>
        <v>1880565</v>
      </c>
      <c r="D14" s="1547">
        <f>+雨汚水!AE77</f>
        <v>0</v>
      </c>
      <c r="E14" s="1548">
        <f>+雨汚水!AF77</f>
        <v>0</v>
      </c>
      <c r="F14" s="1548">
        <f>+雨汚水!AG77</f>
        <v>0</v>
      </c>
      <c r="G14" s="1549">
        <f t="shared" si="0"/>
        <v>0</v>
      </c>
      <c r="H14" s="1550">
        <f>+雨汚水!AI77</f>
        <v>0</v>
      </c>
      <c r="I14" s="1548">
        <f>+雨汚水!AJ77</f>
        <v>1880565</v>
      </c>
      <c r="J14" s="1549">
        <f t="shared" si="1"/>
        <v>1880565</v>
      </c>
      <c r="L14" s="1203">
        <f>収入税込!C14-'収入税抜き (消費税雑収入加算）)'!C14</f>
        <v>-1880565</v>
      </c>
      <c r="M14" s="1203">
        <f t="shared" si="2"/>
        <v>0</v>
      </c>
      <c r="O14" s="1328"/>
      <c r="P14" s="1327"/>
      <c r="Q14" s="1617"/>
    </row>
    <row r="15" spans="1:62" ht="27" customHeight="1">
      <c r="A15" s="1343" t="s">
        <v>1738</v>
      </c>
      <c r="B15" s="1231" t="s">
        <v>1754</v>
      </c>
      <c r="C15" s="1235"/>
      <c r="D15" s="1234"/>
      <c r="E15" s="1231"/>
      <c r="F15" s="1231"/>
      <c r="G15" s="1230">
        <f t="shared" si="0"/>
        <v>0</v>
      </c>
      <c r="H15" s="1232"/>
      <c r="I15" s="1231"/>
      <c r="J15" s="1230">
        <f t="shared" si="1"/>
        <v>0</v>
      </c>
      <c r="M15" s="1203">
        <f t="shared" si="2"/>
        <v>0</v>
      </c>
      <c r="O15" s="1328"/>
      <c r="P15" s="1602" t="s">
        <v>1753</v>
      </c>
      <c r="Q15" s="1603"/>
    </row>
    <row r="16" spans="1:62" ht="27" customHeight="1">
      <c r="A16" s="1281"/>
      <c r="B16" s="1351"/>
      <c r="C16" s="1235"/>
      <c r="D16" s="1234"/>
      <c r="E16" s="1231"/>
      <c r="F16" s="1231"/>
      <c r="G16" s="1230"/>
      <c r="H16" s="1232"/>
      <c r="I16" s="1231"/>
      <c r="J16" s="1230"/>
      <c r="K16" s="1248" t="s">
        <v>1694</v>
      </c>
      <c r="M16" s="1203">
        <f t="shared" si="2"/>
        <v>0</v>
      </c>
      <c r="O16" s="1328"/>
      <c r="P16" s="1602"/>
      <c r="Q16" s="1603"/>
      <c r="R16" s="1203">
        <f>'3条税込み'!I8</f>
        <v>52443869</v>
      </c>
      <c r="V16" s="1203">
        <f>R16-収入税込!V15</f>
        <v>0</v>
      </c>
    </row>
    <row r="17" spans="1:23" ht="27" customHeight="1">
      <c r="A17" s="1215" t="s">
        <v>1676</v>
      </c>
      <c r="B17" s="1255"/>
      <c r="C17" s="1227">
        <f>SUM(C7:C16)</f>
        <v>247233264</v>
      </c>
      <c r="D17" s="1226">
        <f t="shared" ref="D17:J17" si="3">SUM(D7:D16)</f>
        <v>45208080</v>
      </c>
      <c r="E17" s="1224">
        <f t="shared" si="3"/>
        <v>461192</v>
      </c>
      <c r="F17" s="1224">
        <f t="shared" si="3"/>
        <v>36594136</v>
      </c>
      <c r="G17" s="1223">
        <f t="shared" si="3"/>
        <v>82263408</v>
      </c>
      <c r="H17" s="1225">
        <f t="shared" si="3"/>
        <v>298760</v>
      </c>
      <c r="I17" s="1224">
        <f t="shared" si="3"/>
        <v>164671096</v>
      </c>
      <c r="J17" s="1223">
        <f t="shared" si="3"/>
        <v>164969856</v>
      </c>
      <c r="K17" s="1203">
        <f>G17-F13</f>
        <v>82263408</v>
      </c>
      <c r="L17" s="1203">
        <f>SUM(L7:L15)</f>
        <v>20044088</v>
      </c>
      <c r="M17" s="1203">
        <f t="shared" si="2"/>
        <v>0</v>
      </c>
      <c r="O17" s="1328"/>
      <c r="P17" s="1602" t="s">
        <v>1752</v>
      </c>
      <c r="Q17" s="1603"/>
    </row>
    <row r="18" spans="1:23" ht="27" customHeight="1">
      <c r="A18" s="1350" t="s">
        <v>1751</v>
      </c>
      <c r="B18" s="1253" t="s">
        <v>1750</v>
      </c>
      <c r="C18" s="1349"/>
      <c r="D18" s="1348"/>
      <c r="E18" s="1346"/>
      <c r="F18" s="1346"/>
      <c r="G18" s="1345">
        <f t="shared" ref="G18:G23" si="4">SUM(D18:F18)</f>
        <v>0</v>
      </c>
      <c r="H18" s="1347"/>
      <c r="I18" s="1346"/>
      <c r="J18" s="1345">
        <f t="shared" ref="J18:J23" si="5">SUM(H18:I18)</f>
        <v>0</v>
      </c>
      <c r="K18" s="1248"/>
      <c r="L18" s="1203">
        <f>収入税込!C18-'収入税抜き (消費税雑収入加算）)'!C18</f>
        <v>0</v>
      </c>
      <c r="M18" s="1203">
        <f t="shared" si="2"/>
        <v>0</v>
      </c>
      <c r="O18" s="1328"/>
      <c r="P18" s="1602"/>
      <c r="Q18" s="1603"/>
      <c r="R18" s="1203">
        <f>'3条税込み'!L12</f>
        <v>44424775</v>
      </c>
      <c r="V18" s="1203">
        <f>R18-収入税込!V17</f>
        <v>0</v>
      </c>
    </row>
    <row r="19" spans="1:23" ht="27" customHeight="1">
      <c r="A19" s="1343" t="s">
        <v>1749</v>
      </c>
      <c r="B19" s="1244" t="s">
        <v>1566</v>
      </c>
      <c r="C19" s="1235">
        <f>+SUM(雨汚水!O88:O89)</f>
        <v>16476593</v>
      </c>
      <c r="D19" s="1234">
        <f>+SUM(雨汚水!P88:P89)</f>
        <v>8440628</v>
      </c>
      <c r="E19" s="1231">
        <f>+SUM(雨汚水!Q88:Q89)</f>
        <v>0</v>
      </c>
      <c r="F19" s="1231">
        <f>+SUM(雨汚水!R88:R89)</f>
        <v>0</v>
      </c>
      <c r="G19" s="1230">
        <f t="shared" si="4"/>
        <v>8440628</v>
      </c>
      <c r="H19" s="1232">
        <f>+SUM(雨汚水!T88:T89)</f>
        <v>0</v>
      </c>
      <c r="I19" s="1231">
        <f>+SUM(雨汚水!U88:U89)</f>
        <v>8035965</v>
      </c>
      <c r="J19" s="1230">
        <f t="shared" si="5"/>
        <v>8035965</v>
      </c>
      <c r="L19" s="1203">
        <f>収入税込!C19-'収入税抜き (消費税雑収入加算）)'!C19</f>
        <v>0</v>
      </c>
      <c r="M19" s="1301">
        <f t="shared" si="2"/>
        <v>0</v>
      </c>
      <c r="O19" s="1328"/>
      <c r="P19" s="1602" t="s">
        <v>1777</v>
      </c>
      <c r="Q19" s="1603"/>
    </row>
    <row r="20" spans="1:23" ht="27" customHeight="1" thickBot="1">
      <c r="A20" s="1241" t="s">
        <v>1747</v>
      </c>
      <c r="B20" s="1244" t="s">
        <v>1746</v>
      </c>
      <c r="C20" s="1235"/>
      <c r="D20" s="1234"/>
      <c r="E20" s="1231"/>
      <c r="F20" s="1231"/>
      <c r="G20" s="1230">
        <f t="shared" si="4"/>
        <v>0</v>
      </c>
      <c r="H20" s="1232"/>
      <c r="I20" s="1231"/>
      <c r="J20" s="1230">
        <f t="shared" si="5"/>
        <v>0</v>
      </c>
      <c r="M20" s="1203">
        <f t="shared" si="2"/>
        <v>0</v>
      </c>
      <c r="O20" s="1342"/>
      <c r="P20" s="1619"/>
      <c r="Q20" s="1620"/>
      <c r="R20" s="1203">
        <f>'3条税込み'!G13+'3条税込み'!G40</f>
        <v>10483859</v>
      </c>
      <c r="V20" s="1203">
        <f>R20-収入税込!V19</f>
        <v>0</v>
      </c>
    </row>
    <row r="21" spans="1:23" ht="27" customHeight="1">
      <c r="A21" s="1340" t="s">
        <v>1745</v>
      </c>
      <c r="B21" s="1341" t="s">
        <v>1744</v>
      </c>
      <c r="C21" s="1235">
        <f>+雨汚水!O85</f>
        <v>9364620277</v>
      </c>
      <c r="D21" s="1234">
        <f>+雨汚水!P85</f>
        <v>4482094461</v>
      </c>
      <c r="E21" s="1231">
        <f>+雨汚水!Q85</f>
        <v>2428480</v>
      </c>
      <c r="F21" s="1231">
        <f>+雨汚水!R85</f>
        <v>0</v>
      </c>
      <c r="G21" s="1230">
        <f t="shared" si="4"/>
        <v>4484522941</v>
      </c>
      <c r="H21" s="1232">
        <f>+雨汚水!T85</f>
        <v>6059291</v>
      </c>
      <c r="I21" s="1231">
        <f>+雨汚水!U85</f>
        <v>4874038045</v>
      </c>
      <c r="J21" s="1230">
        <f t="shared" si="5"/>
        <v>4880097336</v>
      </c>
      <c r="M21" s="1203">
        <f t="shared" si="2"/>
        <v>0</v>
      </c>
      <c r="O21" s="1621" t="s">
        <v>1477</v>
      </c>
      <c r="P21" s="1622"/>
      <c r="Q21" s="1611"/>
    </row>
    <row r="22" spans="1:23" ht="27" customHeight="1">
      <c r="A22" s="1340" t="s">
        <v>1743</v>
      </c>
      <c r="B22" s="1257" t="s">
        <v>1742</v>
      </c>
      <c r="C22" s="1235">
        <f>+雨汚水!O86</f>
        <v>120734725</v>
      </c>
      <c r="D22" s="1234">
        <f>+雨汚水!P86</f>
        <v>49928323</v>
      </c>
      <c r="E22" s="1231">
        <f>+雨汚水!Q86</f>
        <v>486150</v>
      </c>
      <c r="F22" s="1231">
        <f>+雨汚水!R86</f>
        <v>0</v>
      </c>
      <c r="G22" s="1230">
        <f t="shared" si="4"/>
        <v>50414473</v>
      </c>
      <c r="H22" s="1232">
        <f>+雨汚水!T86</f>
        <v>0</v>
      </c>
      <c r="I22" s="1231">
        <f>+雨汚水!U86</f>
        <v>70320252</v>
      </c>
      <c r="J22" s="1230">
        <f t="shared" si="5"/>
        <v>70320252</v>
      </c>
      <c r="M22" s="1203">
        <f t="shared" si="2"/>
        <v>0</v>
      </c>
      <c r="O22" s="1607"/>
      <c r="P22" s="1608"/>
      <c r="Q22" s="1609"/>
      <c r="R22" s="1203">
        <f>'3条税抜き (消費税雑支出加算)'!J44-'収入税抜き (消費税雑収入加算）)'!I26+V22+R31+R33</f>
        <v>523717783</v>
      </c>
      <c r="V22" s="1329">
        <v>1049218476</v>
      </c>
      <c r="W22" s="1203">
        <f>V22-R22+R31+R33</f>
        <v>534703946</v>
      </c>
    </row>
    <row r="23" spans="1:23" ht="27" customHeight="1">
      <c r="A23" s="1340" t="s">
        <v>1741</v>
      </c>
      <c r="B23" s="1236" t="s">
        <v>1740</v>
      </c>
      <c r="C23" s="1235">
        <f>+SUM(雨汚水!O93:O95)</f>
        <v>334220</v>
      </c>
      <c r="D23" s="1234">
        <f>+SUM(雨汚水!P93:P95)</f>
        <v>281270</v>
      </c>
      <c r="E23" s="1231">
        <f>+SUM(雨汚水!Q93:Q95)</f>
        <v>0</v>
      </c>
      <c r="F23" s="1231">
        <f>+SUM(雨汚水!R93:R95)</f>
        <v>0</v>
      </c>
      <c r="G23" s="1230">
        <f t="shared" si="4"/>
        <v>281270</v>
      </c>
      <c r="H23" s="1232">
        <f>+SUM(雨汚水!T93:T95)</f>
        <v>0</v>
      </c>
      <c r="I23" s="1231">
        <f>+SUM(雨汚水!U93:U95)</f>
        <v>52950</v>
      </c>
      <c r="J23" s="1230">
        <f t="shared" si="5"/>
        <v>52950</v>
      </c>
      <c r="K23" s="1248" t="s">
        <v>1719</v>
      </c>
      <c r="M23" s="1203">
        <f t="shared" si="2"/>
        <v>0</v>
      </c>
      <c r="O23" s="1328"/>
      <c r="P23" s="1610" t="s">
        <v>1739</v>
      </c>
      <c r="Q23" s="1611"/>
    </row>
    <row r="24" spans="1:23" ht="27" customHeight="1">
      <c r="A24" s="1339" t="s">
        <v>1738</v>
      </c>
      <c r="B24" s="1338" t="s">
        <v>1676</v>
      </c>
      <c r="C24" s="1227">
        <f t="shared" ref="C24:J24" si="6">SUM(C18:C23)</f>
        <v>9502165815</v>
      </c>
      <c r="D24" s="1226">
        <f t="shared" si="6"/>
        <v>4540744682</v>
      </c>
      <c r="E24" s="1224">
        <f t="shared" si="6"/>
        <v>2914630</v>
      </c>
      <c r="F24" s="1224">
        <f t="shared" si="6"/>
        <v>0</v>
      </c>
      <c r="G24" s="1223">
        <f t="shared" si="6"/>
        <v>4543659312</v>
      </c>
      <c r="H24" s="1225">
        <f t="shared" si="6"/>
        <v>6059291</v>
      </c>
      <c r="I24" s="1224">
        <f t="shared" si="6"/>
        <v>4952447212</v>
      </c>
      <c r="J24" s="1223">
        <f t="shared" si="6"/>
        <v>4958506503</v>
      </c>
      <c r="K24" s="1301">
        <f>D24+E24</f>
        <v>4543659312</v>
      </c>
      <c r="L24" s="1203">
        <f>SUM(L18:L20)</f>
        <v>0</v>
      </c>
      <c r="M24" s="1203">
        <f t="shared" si="2"/>
        <v>0</v>
      </c>
      <c r="O24" s="1328"/>
      <c r="P24" s="1612"/>
      <c r="Q24" s="1609"/>
      <c r="R24" s="1203">
        <f>+R26+R28+R31</f>
        <v>515005634</v>
      </c>
    </row>
    <row r="25" spans="1:23" ht="27" customHeight="1">
      <c r="A25" s="1222"/>
      <c r="B25" s="1221"/>
      <c r="C25" s="1220"/>
      <c r="D25" s="1219"/>
      <c r="E25" s="1217"/>
      <c r="F25" s="1217"/>
      <c r="G25" s="1216"/>
      <c r="H25" s="1218"/>
      <c r="I25" s="1217"/>
      <c r="J25" s="1216"/>
      <c r="M25" s="1203">
        <f t="shared" si="2"/>
        <v>0</v>
      </c>
      <c r="O25" s="1328"/>
      <c r="P25" s="1327"/>
      <c r="Q25" s="1613" t="s">
        <v>1457</v>
      </c>
    </row>
    <row r="26" spans="1:23" ht="27" customHeight="1" thickBot="1">
      <c r="A26" s="1330" t="s">
        <v>1674</v>
      </c>
      <c r="B26" s="1213"/>
      <c r="C26" s="1212">
        <f t="shared" ref="C26:J26" si="7">C6+C17+C24</f>
        <v>28375736546</v>
      </c>
      <c r="D26" s="1211">
        <f t="shared" si="7"/>
        <v>4585952762</v>
      </c>
      <c r="E26" s="1208">
        <f t="shared" si="7"/>
        <v>3375822</v>
      </c>
      <c r="F26" s="1211">
        <f t="shared" si="7"/>
        <v>36594136</v>
      </c>
      <c r="G26" s="1210">
        <f t="shared" si="7"/>
        <v>4625922720</v>
      </c>
      <c r="H26" s="1209">
        <f t="shared" si="7"/>
        <v>6358051</v>
      </c>
      <c r="I26" s="1208">
        <f t="shared" si="7"/>
        <v>23743455775</v>
      </c>
      <c r="J26" s="1207">
        <f t="shared" si="7"/>
        <v>23749813826</v>
      </c>
      <c r="L26" s="1301">
        <f>L6+L17+L24</f>
        <v>1882669149</v>
      </c>
      <c r="M26" s="1301">
        <f t="shared" si="2"/>
        <v>0</v>
      </c>
      <c r="O26" s="1328"/>
      <c r="P26" s="1327"/>
      <c r="Q26" s="1614"/>
      <c r="R26" s="1203">
        <f>R36-R40-R45+V26</f>
        <v>387746565</v>
      </c>
      <c r="V26" s="1329">
        <v>829447930</v>
      </c>
      <c r="W26" s="1203">
        <f>V26-R26</f>
        <v>441701365</v>
      </c>
    </row>
    <row r="27" spans="1:23" ht="21" customHeight="1">
      <c r="A27" s="1205"/>
      <c r="B27" s="1205"/>
      <c r="C27" s="1204"/>
      <c r="D27" s="1204"/>
      <c r="E27" s="1204"/>
      <c r="F27" s="1204"/>
      <c r="G27" s="1204"/>
      <c r="H27" s="1204"/>
      <c r="I27" s="1204"/>
      <c r="J27" s="1204"/>
      <c r="O27" s="1328"/>
      <c r="P27" s="1327"/>
      <c r="Q27" s="1613" t="s">
        <v>1456</v>
      </c>
    </row>
    <row r="28" spans="1:23">
      <c r="O28" s="1328"/>
      <c r="P28" s="1327"/>
      <c r="Q28" s="1614"/>
      <c r="R28" s="1203">
        <f>R37-R41-R46+V28</f>
        <v>127254089</v>
      </c>
      <c r="V28" s="1329">
        <v>220261650</v>
      </c>
      <c r="W28" s="1203">
        <f>V28-R28</f>
        <v>93007561</v>
      </c>
    </row>
    <row r="29" spans="1:23">
      <c r="O29" s="1328"/>
      <c r="P29" s="1327"/>
      <c r="Q29" s="1614"/>
    </row>
    <row r="30" spans="1:23">
      <c r="O30" s="1328"/>
      <c r="P30" s="1327"/>
      <c r="Q30" s="1615"/>
    </row>
    <row r="31" spans="1:23">
      <c r="O31" s="1328"/>
      <c r="P31" s="1327"/>
      <c r="Q31" s="1614" t="s">
        <v>1737</v>
      </c>
      <c r="R31" s="1203">
        <f>+収入税込!R31</f>
        <v>4980</v>
      </c>
    </row>
    <row r="32" spans="1:23">
      <c r="O32" s="1328"/>
      <c r="P32" s="1327"/>
      <c r="Q32" s="1614"/>
    </row>
    <row r="33" spans="4:18" ht="27.75" customHeight="1" thickBot="1">
      <c r="D33" s="1203">
        <f>'3条税抜き (消費税雑支出加算)'!E44-'収入税抜き (消費税雑収入加算）)'!D26</f>
        <v>12799515012</v>
      </c>
      <c r="E33" s="1203">
        <f>'3条税抜き (消費税雑支出加算)'!F44-'収入税抜き (消費税雑収入加算）)'!E26</f>
        <v>389424727</v>
      </c>
      <c r="F33" s="1203">
        <f>'3条税抜き (消費税雑支出加算)'!G44-'収入税抜き (消費税雑収入加算）)'!F26</f>
        <v>443703083</v>
      </c>
      <c r="H33" s="1203">
        <f>'3条税抜き (消費税雑支出加算)'!I44-'収入税抜き (消費税雑収入加算）)'!H26</f>
        <v>554459513</v>
      </c>
      <c r="O33" s="1325"/>
      <c r="P33" s="1363" t="s">
        <v>1735</v>
      </c>
      <c r="Q33" s="1323"/>
      <c r="R33" s="1203">
        <f>+収入税込!V33</f>
        <v>9198273</v>
      </c>
    </row>
    <row r="34" spans="4:18" ht="27.75" customHeight="1">
      <c r="R34" s="1203">
        <f>R24-R26-R28-R31</f>
        <v>0</v>
      </c>
    </row>
    <row r="35" spans="4:18">
      <c r="O35" s="1203" t="s">
        <v>1733</v>
      </c>
      <c r="R35" s="1203">
        <f>I6-('3条税抜き (消費税雑支出加算)'!J31-I17)</f>
        <v>11542408171</v>
      </c>
    </row>
    <row r="36" spans="4:18">
      <c r="P36" s="1203" t="s">
        <v>1732</v>
      </c>
      <c r="R36" s="1203">
        <f>'3条税抜き (消費税雑支出加算)'!J32-I21-I22</f>
        <v>9093018178</v>
      </c>
    </row>
    <row r="37" spans="4:18">
      <c r="P37" s="1203" t="s">
        <v>1731</v>
      </c>
      <c r="R37" s="1203">
        <f>'3条税抜き (消費税雑支出加算)'!J35-'収入税抜き (消費税雑収入加算）)'!I24+I21+I22</f>
        <v>1914686047</v>
      </c>
    </row>
    <row r="38" spans="4:18">
      <c r="P38" s="1203" t="s">
        <v>1730</v>
      </c>
      <c r="R38" s="1203">
        <f>R36+R37</f>
        <v>11007704225</v>
      </c>
    </row>
    <row r="39" spans="4:18">
      <c r="O39" s="1203" t="s">
        <v>1729</v>
      </c>
    </row>
    <row r="40" spans="4:18">
      <c r="P40" s="1203" t="s">
        <v>1728</v>
      </c>
      <c r="R40" s="1203">
        <f>ROUND(R35*R36/R38,0)</f>
        <v>9534715429</v>
      </c>
    </row>
    <row r="41" spans="4:18">
      <c r="P41" s="1203" t="s">
        <v>1727</v>
      </c>
      <c r="R41" s="1203">
        <f>ROUND(R35*R37/R38,0)</f>
        <v>2007692742</v>
      </c>
    </row>
    <row r="42" spans="4:18">
      <c r="P42" s="1203" t="s">
        <v>1722</v>
      </c>
      <c r="R42" s="1203">
        <f>R40+R41</f>
        <v>11542408171</v>
      </c>
    </row>
    <row r="43" spans="4:18">
      <c r="R43" s="1203">
        <f>R35-R42</f>
        <v>0</v>
      </c>
    </row>
    <row r="44" spans="4:18">
      <c r="O44" s="1203" t="s">
        <v>1725</v>
      </c>
      <c r="R44" s="1203">
        <f>R31</f>
        <v>4980</v>
      </c>
    </row>
    <row r="45" spans="4:18">
      <c r="P45" s="1203" t="s">
        <v>1724</v>
      </c>
      <c r="R45" s="1203">
        <f>ROUND(R44*R36/R38,0)</f>
        <v>4114</v>
      </c>
    </row>
    <row r="46" spans="4:18">
      <c r="P46" s="1203" t="s">
        <v>1723</v>
      </c>
      <c r="R46" s="1203">
        <f>ROUND(R44*R37/R38,0)</f>
        <v>866</v>
      </c>
    </row>
    <row r="47" spans="4:18">
      <c r="P47" s="1203" t="s">
        <v>1722</v>
      </c>
      <c r="R47" s="1203">
        <f>R44-R45-R46</f>
        <v>0</v>
      </c>
    </row>
  </sheetData>
  <mergeCells count="13">
    <mergeCell ref="Q31:Q32"/>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L151"/>
  <sheetViews>
    <sheetView topLeftCell="D1" zoomScale="55" zoomScaleNormal="55" zoomScaleSheetLayoutView="80" workbookViewId="0">
      <selection activeCell="W38" sqref="E38:W51"/>
    </sheetView>
  </sheetViews>
  <sheetFormatPr defaultColWidth="9" defaultRowHeight="13.5" outlineLevelCol="1"/>
  <cols>
    <col min="1" max="1" width="4" style="992" customWidth="1"/>
    <col min="2" max="3" width="4" style="990" customWidth="1"/>
    <col min="4" max="4" width="30.625" style="990" customWidth="1"/>
    <col min="5" max="8" width="14.125" style="990" customWidth="1"/>
    <col min="9" max="9" width="14.125" style="991" customWidth="1"/>
    <col min="10" max="11" width="14.125" style="990" customWidth="1"/>
    <col min="12" max="13" width="14.125" style="991" customWidth="1"/>
    <col min="14" max="14" width="30.625" style="990" customWidth="1"/>
    <col min="15" max="18" width="14.125" style="990" customWidth="1"/>
    <col min="19" max="19" width="14.125" style="991" customWidth="1"/>
    <col min="20" max="21" width="14.125" style="990" customWidth="1"/>
    <col min="22" max="23" width="14.125" style="991" customWidth="1"/>
    <col min="24" max="24" width="30.625" style="991" customWidth="1"/>
    <col min="25" max="29" width="14.125" style="991" customWidth="1" outlineLevel="1"/>
    <col min="30" max="33" width="14.125" style="990" customWidth="1"/>
    <col min="34" max="34" width="14.125" style="991" customWidth="1"/>
    <col min="35" max="36" width="14.125" style="990" customWidth="1"/>
    <col min="37" max="38" width="14.125" style="991" customWidth="1"/>
    <col min="39" max="16384" width="9" style="990"/>
  </cols>
  <sheetData>
    <row r="1" spans="1:38">
      <c r="D1" s="990" t="str">
        <f>+'3条支出'!$D$1</f>
        <v>令和５年度決算　消費税算出資料</v>
      </c>
      <c r="F1" s="991"/>
      <c r="G1" s="991"/>
      <c r="J1" s="991"/>
      <c r="N1" s="990" t="str">
        <f>+$D$1</f>
        <v>令和５年度決算　消費税算出資料</v>
      </c>
      <c r="X1" s="990" t="str">
        <f>+$D$1</f>
        <v>令和５年度決算　消費税算出資料</v>
      </c>
      <c r="Y1" s="990"/>
      <c r="Z1" s="990"/>
      <c r="AA1" s="990"/>
      <c r="AB1" s="990"/>
      <c r="AC1" s="990"/>
    </row>
    <row r="2" spans="1:38">
      <c r="D2" s="990" t="s">
        <v>1550</v>
      </c>
      <c r="F2" s="991"/>
      <c r="G2" s="991"/>
      <c r="J2" s="991"/>
      <c r="M2" s="1042" t="str">
        <f>+IF(COUNTIF(M7:M45,0)=COUNT(M7:M45),"","↓エラーあり")</f>
        <v>↓エラーあり</v>
      </c>
      <c r="N2" s="990" t="s">
        <v>1550</v>
      </c>
      <c r="W2" s="1042" t="str">
        <f>+IF(COUNTIF(W7:W45,0)=COUNT(W7:W45),"","↓エラーあり")</f>
        <v>↓エラーあり</v>
      </c>
      <c r="X2" s="990" t="s">
        <v>1526</v>
      </c>
      <c r="Y2" s="990"/>
      <c r="Z2" s="990"/>
      <c r="AA2" s="990"/>
      <c r="AB2" s="990"/>
      <c r="AC2" s="990"/>
      <c r="AL2" s="1042" t="str">
        <f>+IF(COUNTIF(AL7:AL45,0)=COUNT(AL7:AL45),"","↓エラーあり")</f>
        <v>↓エラーあり</v>
      </c>
    </row>
    <row r="3" spans="1:38">
      <c r="B3" s="1572" t="s">
        <v>1524</v>
      </c>
      <c r="C3" s="1573"/>
      <c r="D3" s="1565" t="s">
        <v>1520</v>
      </c>
      <c r="E3" s="1578" t="s">
        <v>1523</v>
      </c>
      <c r="F3" s="1579"/>
      <c r="G3" s="1579"/>
      <c r="H3" s="1579"/>
      <c r="I3" s="1579"/>
      <c r="J3" s="1579"/>
      <c r="K3" s="1579"/>
      <c r="L3" s="1579"/>
      <c r="M3" s="1580"/>
      <c r="N3" s="1565" t="s">
        <v>1520</v>
      </c>
      <c r="O3" s="1578" t="s">
        <v>1522</v>
      </c>
      <c r="P3" s="1579"/>
      <c r="Q3" s="1579"/>
      <c r="R3" s="1579"/>
      <c r="S3" s="1579"/>
      <c r="T3" s="1579"/>
      <c r="U3" s="1579"/>
      <c r="V3" s="1579"/>
      <c r="W3" s="1580"/>
      <c r="X3" s="1565" t="s">
        <v>1520</v>
      </c>
      <c r="Y3" s="1469"/>
      <c r="Z3" s="1469"/>
      <c r="AA3" s="1469"/>
      <c r="AB3" s="1469"/>
      <c r="AC3" s="1469"/>
      <c r="AD3" s="1578" t="s">
        <v>1522</v>
      </c>
      <c r="AE3" s="1579"/>
      <c r="AF3" s="1579"/>
      <c r="AG3" s="1579"/>
      <c r="AH3" s="1579"/>
      <c r="AI3" s="1579"/>
      <c r="AJ3" s="1579"/>
      <c r="AK3" s="1579"/>
      <c r="AL3" s="1580"/>
    </row>
    <row r="4" spans="1:38">
      <c r="B4" s="1574"/>
      <c r="C4" s="1575"/>
      <c r="D4" s="1566"/>
      <c r="E4" s="1565" t="s">
        <v>1515</v>
      </c>
      <c r="F4" s="1578" t="s">
        <v>1511</v>
      </c>
      <c r="G4" s="1579"/>
      <c r="H4" s="1579"/>
      <c r="I4" s="1580"/>
      <c r="J4" s="1578" t="s">
        <v>1510</v>
      </c>
      <c r="K4" s="1579"/>
      <c r="L4" s="1580"/>
      <c r="M4" s="1568" t="s">
        <v>1508</v>
      </c>
      <c r="N4" s="1566"/>
      <c r="O4" s="1565" t="s">
        <v>1516</v>
      </c>
      <c r="P4" s="1578" t="s">
        <v>1511</v>
      </c>
      <c r="Q4" s="1579"/>
      <c r="R4" s="1579"/>
      <c r="S4" s="1580"/>
      <c r="T4" s="1579" t="s">
        <v>1510</v>
      </c>
      <c r="U4" s="1579"/>
      <c r="V4" s="1580"/>
      <c r="W4" s="1568" t="s">
        <v>1508</v>
      </c>
      <c r="X4" s="1566"/>
      <c r="Y4" s="1465"/>
      <c r="Z4" s="1465"/>
      <c r="AA4" s="1465"/>
      <c r="AB4" s="1465"/>
      <c r="AC4" s="1465"/>
      <c r="AD4" s="1565" t="s">
        <v>1516</v>
      </c>
      <c r="AE4" s="1578" t="s">
        <v>1511</v>
      </c>
      <c r="AF4" s="1579"/>
      <c r="AG4" s="1579"/>
      <c r="AH4" s="1580"/>
      <c r="AI4" s="1579" t="s">
        <v>1510</v>
      </c>
      <c r="AJ4" s="1579"/>
      <c r="AK4" s="1580"/>
      <c r="AL4" s="1568" t="s">
        <v>1508</v>
      </c>
    </row>
    <row r="5" spans="1:38">
      <c r="A5" s="1575"/>
      <c r="B5" s="1574"/>
      <c r="C5" s="1575"/>
      <c r="D5" s="1566"/>
      <c r="E5" s="1566"/>
      <c r="F5" s="1102" t="s">
        <v>1507</v>
      </c>
      <c r="G5" s="1374" t="s">
        <v>1507</v>
      </c>
      <c r="H5" s="1101" t="s">
        <v>1505</v>
      </c>
      <c r="I5" s="1471" t="s">
        <v>1506</v>
      </c>
      <c r="J5" s="1102" t="s">
        <v>1507</v>
      </c>
      <c r="K5" s="1101" t="s">
        <v>1505</v>
      </c>
      <c r="L5" s="1100" t="s">
        <v>1506</v>
      </c>
      <c r="M5" s="1569"/>
      <c r="N5" s="1566"/>
      <c r="O5" s="1566"/>
      <c r="P5" s="1102" t="s">
        <v>1507</v>
      </c>
      <c r="Q5" s="1374" t="s">
        <v>1507</v>
      </c>
      <c r="R5" s="1101" t="s">
        <v>1505</v>
      </c>
      <c r="S5" s="1471" t="s">
        <v>1506</v>
      </c>
      <c r="T5" s="1414" t="s">
        <v>1507</v>
      </c>
      <c r="U5" s="1101" t="s">
        <v>1505</v>
      </c>
      <c r="V5" s="1100" t="s">
        <v>1506</v>
      </c>
      <c r="W5" s="1569"/>
      <c r="X5" s="1566"/>
      <c r="Y5" s="1465"/>
      <c r="Z5" s="1465"/>
      <c r="AA5" s="1465"/>
      <c r="AB5" s="1465"/>
      <c r="AC5" s="1465"/>
      <c r="AD5" s="1566"/>
      <c r="AE5" s="1102" t="s">
        <v>1507</v>
      </c>
      <c r="AF5" s="1374" t="s">
        <v>1507</v>
      </c>
      <c r="AG5" s="1101" t="s">
        <v>1505</v>
      </c>
      <c r="AH5" s="1471" t="s">
        <v>1506</v>
      </c>
      <c r="AI5" s="1414" t="s">
        <v>1507</v>
      </c>
      <c r="AJ5" s="1101" t="s">
        <v>1505</v>
      </c>
      <c r="AK5" s="1100" t="s">
        <v>1506</v>
      </c>
      <c r="AL5" s="1569"/>
    </row>
    <row r="6" spans="1:38" s="1095" customFormat="1">
      <c r="A6" s="1575"/>
      <c r="B6" s="1574"/>
      <c r="C6" s="1575"/>
      <c r="D6" s="1566"/>
      <c r="E6" s="1567"/>
      <c r="F6" s="1098" t="s">
        <v>1503</v>
      </c>
      <c r="G6" s="1375" t="s">
        <v>1504</v>
      </c>
      <c r="H6" s="1400" t="s">
        <v>1509</v>
      </c>
      <c r="I6" s="1390"/>
      <c r="J6" s="1098" t="s">
        <v>1503</v>
      </c>
      <c r="K6" s="1097" t="s">
        <v>1503</v>
      </c>
      <c r="L6" s="1096"/>
      <c r="M6" s="1569"/>
      <c r="N6" s="1566"/>
      <c r="O6" s="1567"/>
      <c r="P6" s="1098" t="s">
        <v>1503</v>
      </c>
      <c r="Q6" s="1375" t="s">
        <v>1504</v>
      </c>
      <c r="R6" s="1400" t="s">
        <v>1509</v>
      </c>
      <c r="S6" s="1390"/>
      <c r="T6" s="1415" t="s">
        <v>1503</v>
      </c>
      <c r="U6" s="1097" t="s">
        <v>1503</v>
      </c>
      <c r="V6" s="1096"/>
      <c r="W6" s="1569"/>
      <c r="X6" s="1567"/>
      <c r="Y6" s="1466"/>
      <c r="Z6" s="1466"/>
      <c r="AA6" s="1466"/>
      <c r="AB6" s="1466"/>
      <c r="AC6" s="1466"/>
      <c r="AD6" s="1567"/>
      <c r="AE6" s="1098" t="s">
        <v>1503</v>
      </c>
      <c r="AF6" s="1375" t="s">
        <v>1504</v>
      </c>
      <c r="AG6" s="1400" t="s">
        <v>1509</v>
      </c>
      <c r="AH6" s="1390"/>
      <c r="AI6" s="1415" t="s">
        <v>1503</v>
      </c>
      <c r="AJ6" s="1097" t="s">
        <v>1503</v>
      </c>
      <c r="AK6" s="1096"/>
      <c r="AL6" s="1570"/>
    </row>
    <row r="7" spans="1:38">
      <c r="A7" s="1139"/>
      <c r="B7" s="1181" t="s">
        <v>1429</v>
      </c>
      <c r="C7" s="1180" t="s">
        <v>1446</v>
      </c>
      <c r="D7" s="1177" t="s">
        <v>1502</v>
      </c>
      <c r="E7" s="1368">
        <f>+'3条支出'!E6</f>
        <v>611819957</v>
      </c>
      <c r="F7" s="1179">
        <v>230221297</v>
      </c>
      <c r="G7" s="1410">
        <v>52397598</v>
      </c>
      <c r="H7" s="1178">
        <v>9132669</v>
      </c>
      <c r="I7" s="1090">
        <f>+SUM(F7:H7)</f>
        <v>291751564</v>
      </c>
      <c r="J7" s="1179"/>
      <c r="K7" s="1178">
        <v>221309810</v>
      </c>
      <c r="L7" s="1084">
        <f t="shared" ref="L7:L44" si="0">+SUM(J7:K7)</f>
        <v>221309810</v>
      </c>
      <c r="M7" s="1083">
        <f t="shared" ref="M7:M44" si="1">E7-SUM(I7,L7)</f>
        <v>98758583</v>
      </c>
      <c r="N7" s="1177" t="s">
        <v>1502</v>
      </c>
      <c r="O7" s="1371">
        <f>+'3条支出'!T6</f>
        <v>564664608</v>
      </c>
      <c r="P7" s="1089">
        <f t="shared" ref="P7:R11" si="2">+IFERROR(ROUND(F7*$O7/$E7,0),0)</f>
        <v>212477244</v>
      </c>
      <c r="Q7" s="1123">
        <f t="shared" si="2"/>
        <v>48359111</v>
      </c>
      <c r="R7" s="1087">
        <f t="shared" si="2"/>
        <v>8428779</v>
      </c>
      <c r="S7" s="1084">
        <f>+SUM(P7:R7)</f>
        <v>269265134</v>
      </c>
      <c r="T7" s="1416">
        <f>+IFERROR(ROUND(J7*$O7/$E7,0),0)</f>
        <v>0</v>
      </c>
      <c r="U7" s="1087">
        <f t="shared" ref="U7:U19" si="3">+O7-S7-T7</f>
        <v>295399474</v>
      </c>
      <c r="V7" s="1084">
        <f t="shared" ref="V7:V44" si="4">+SUM(T7:U7)</f>
        <v>295399474</v>
      </c>
      <c r="W7" s="1083">
        <f>O7-SUM(S7,V7)</f>
        <v>0</v>
      </c>
      <c r="X7" s="1091" t="s">
        <v>1502</v>
      </c>
      <c r="Y7" s="1441"/>
      <c r="Z7" s="1441"/>
      <c r="AA7" s="1441"/>
      <c r="AB7" s="1441"/>
      <c r="AC7" s="1441"/>
      <c r="AD7" s="1090">
        <f t="shared" ref="AD7:AG20" si="5">+O7</f>
        <v>564664608</v>
      </c>
      <c r="AE7" s="1089">
        <f t="shared" si="5"/>
        <v>212477244</v>
      </c>
      <c r="AF7" s="1123">
        <f t="shared" si="5"/>
        <v>48359111</v>
      </c>
      <c r="AG7" s="1087">
        <f t="shared" si="5"/>
        <v>8428779</v>
      </c>
      <c r="AH7" s="1084">
        <f t="shared" ref="AH7:AH44" si="6">+SUM(AE7:AG7)</f>
        <v>269265134</v>
      </c>
      <c r="AI7" s="1416">
        <f t="shared" ref="AI7:AJ20" si="7">+T7</f>
        <v>0</v>
      </c>
      <c r="AJ7" s="1087">
        <f t="shared" si="7"/>
        <v>295399474</v>
      </c>
      <c r="AK7" s="1084">
        <f t="shared" ref="AK7:AK44" si="8">+SUM(AI7:AJ7)</f>
        <v>295399474</v>
      </c>
      <c r="AL7" s="1083">
        <f t="shared" ref="AL7:AL44" si="9">AD7-SUM(AH7,AK7)</f>
        <v>0</v>
      </c>
    </row>
    <row r="8" spans="1:38">
      <c r="A8" s="1139"/>
      <c r="B8" s="1146" t="s">
        <v>1429</v>
      </c>
      <c r="C8" s="1145" t="s">
        <v>1446</v>
      </c>
      <c r="D8" s="1060" t="s">
        <v>1499</v>
      </c>
      <c r="E8" s="1369">
        <f>+'3条支出'!E7</f>
        <v>52443869</v>
      </c>
      <c r="F8" s="1028"/>
      <c r="G8" s="1379"/>
      <c r="H8" s="1027"/>
      <c r="I8" s="1029">
        <f t="shared" ref="I8:I44" si="10">+SUM(F8:H8)</f>
        <v>0</v>
      </c>
      <c r="J8" s="1028">
        <f>+E8</f>
        <v>52443869</v>
      </c>
      <c r="K8" s="1027">
        <f>+E8-I8-J8</f>
        <v>0</v>
      </c>
      <c r="L8" s="1026">
        <f t="shared" si="0"/>
        <v>52443869</v>
      </c>
      <c r="M8" s="1025">
        <f t="shared" si="1"/>
        <v>0</v>
      </c>
      <c r="N8" s="1060" t="s">
        <v>1499</v>
      </c>
      <c r="O8" s="1370">
        <f>+'3条支出'!T7</f>
        <v>51313295</v>
      </c>
      <c r="P8" s="1028">
        <f t="shared" si="2"/>
        <v>0</v>
      </c>
      <c r="Q8" s="1379">
        <f t="shared" si="2"/>
        <v>0</v>
      </c>
      <c r="R8" s="1027">
        <f t="shared" si="2"/>
        <v>0</v>
      </c>
      <c r="S8" s="1026">
        <f t="shared" ref="S8:S44" si="11">+SUM(P8:R8)</f>
        <v>0</v>
      </c>
      <c r="T8" s="1417">
        <f>+IFERROR(ROUND(J8*$O8/$E8,0),0)</f>
        <v>51313295</v>
      </c>
      <c r="U8" s="1027">
        <f t="shared" si="3"/>
        <v>0</v>
      </c>
      <c r="V8" s="1026">
        <f t="shared" si="4"/>
        <v>51313295</v>
      </c>
      <c r="W8" s="1025">
        <f t="shared" ref="W8:W44" si="12">O8-SUM(S8,V8)</f>
        <v>0</v>
      </c>
      <c r="X8" s="1031" t="s">
        <v>1499</v>
      </c>
      <c r="Y8" s="1442"/>
      <c r="Z8" s="1442"/>
      <c r="AA8" s="1442"/>
      <c r="AB8" s="1442"/>
      <c r="AC8" s="1442"/>
      <c r="AD8" s="1029">
        <f t="shared" si="5"/>
        <v>51313295</v>
      </c>
      <c r="AE8" s="1028">
        <f t="shared" si="5"/>
        <v>0</v>
      </c>
      <c r="AF8" s="1379">
        <f t="shared" si="5"/>
        <v>0</v>
      </c>
      <c r="AG8" s="1027">
        <f t="shared" si="5"/>
        <v>0</v>
      </c>
      <c r="AH8" s="1026">
        <f t="shared" si="6"/>
        <v>0</v>
      </c>
      <c r="AI8" s="1417">
        <f t="shared" si="7"/>
        <v>51313295</v>
      </c>
      <c r="AJ8" s="1027">
        <f t="shared" si="7"/>
        <v>0</v>
      </c>
      <c r="AK8" s="1026">
        <f t="shared" si="8"/>
        <v>51313295</v>
      </c>
      <c r="AL8" s="1025">
        <f t="shared" si="9"/>
        <v>0</v>
      </c>
    </row>
    <row r="9" spans="1:38">
      <c r="A9" s="1139"/>
      <c r="B9" s="1146" t="s">
        <v>1429</v>
      </c>
      <c r="C9" s="1145" t="s">
        <v>1446</v>
      </c>
      <c r="D9" s="1060" t="s">
        <v>1496</v>
      </c>
      <c r="E9" s="1369">
        <f>+'3条支出'!E8</f>
        <v>2356040225</v>
      </c>
      <c r="F9" s="1142">
        <v>1527401796</v>
      </c>
      <c r="G9" s="1405">
        <v>48067803</v>
      </c>
      <c r="H9" s="1141"/>
      <c r="I9" s="1029">
        <f t="shared" si="10"/>
        <v>1575469599</v>
      </c>
      <c r="J9" s="1142"/>
      <c r="K9" s="1141">
        <v>533320590</v>
      </c>
      <c r="L9" s="1026">
        <f t="shared" si="0"/>
        <v>533320590</v>
      </c>
      <c r="M9" s="1025">
        <f t="shared" si="1"/>
        <v>247250036</v>
      </c>
      <c r="N9" s="1060" t="s">
        <v>1496</v>
      </c>
      <c r="O9" s="1370">
        <f>+'3条支出'!T8</f>
        <v>2251657967</v>
      </c>
      <c r="P9" s="1028">
        <f t="shared" si="2"/>
        <v>1459731624</v>
      </c>
      <c r="Q9" s="1379">
        <f t="shared" si="2"/>
        <v>45938202</v>
      </c>
      <c r="R9" s="1027">
        <f t="shared" si="2"/>
        <v>0</v>
      </c>
      <c r="S9" s="1026">
        <f t="shared" si="11"/>
        <v>1505669826</v>
      </c>
      <c r="T9" s="1417">
        <f>+IFERROR(ROUND(J9*$O9/$E9,0),0)</f>
        <v>0</v>
      </c>
      <c r="U9" s="1027">
        <f t="shared" si="3"/>
        <v>745988141</v>
      </c>
      <c r="V9" s="1026">
        <f t="shared" si="4"/>
        <v>745988141</v>
      </c>
      <c r="W9" s="1025">
        <f t="shared" si="12"/>
        <v>0</v>
      </c>
      <c r="X9" s="1031" t="s">
        <v>1496</v>
      </c>
      <c r="Y9" s="1442"/>
      <c r="Z9" s="1442"/>
      <c r="AA9" s="1442"/>
      <c r="AB9" s="1442"/>
      <c r="AC9" s="1442"/>
      <c r="AD9" s="1029">
        <f t="shared" si="5"/>
        <v>2251657967</v>
      </c>
      <c r="AE9" s="1028">
        <f t="shared" si="5"/>
        <v>1459731624</v>
      </c>
      <c r="AF9" s="1379">
        <f t="shared" si="5"/>
        <v>45938202</v>
      </c>
      <c r="AG9" s="1027">
        <f t="shared" si="5"/>
        <v>0</v>
      </c>
      <c r="AH9" s="1026">
        <f t="shared" si="6"/>
        <v>1505669826</v>
      </c>
      <c r="AI9" s="1417">
        <f t="shared" si="7"/>
        <v>0</v>
      </c>
      <c r="AJ9" s="1027">
        <f t="shared" si="7"/>
        <v>745988141</v>
      </c>
      <c r="AK9" s="1026">
        <f t="shared" si="8"/>
        <v>745988141</v>
      </c>
      <c r="AL9" s="1025">
        <f t="shared" si="9"/>
        <v>0</v>
      </c>
    </row>
    <row r="10" spans="1:38">
      <c r="A10" s="1139"/>
      <c r="B10" s="1146" t="s">
        <v>1429</v>
      </c>
      <c r="C10" s="1145" t="s">
        <v>1446</v>
      </c>
      <c r="D10" s="1060" t="s">
        <v>1494</v>
      </c>
      <c r="E10" s="1369">
        <f>+'3条支出'!E9</f>
        <v>6557703864</v>
      </c>
      <c r="F10" s="1142">
        <v>577234561</v>
      </c>
      <c r="G10" s="1405">
        <v>115034634</v>
      </c>
      <c r="H10" s="1141">
        <v>344422481</v>
      </c>
      <c r="I10" s="1029">
        <f t="shared" si="10"/>
        <v>1036691676</v>
      </c>
      <c r="J10" s="1142">
        <v>1493402</v>
      </c>
      <c r="K10" s="1141">
        <v>4285094822</v>
      </c>
      <c r="L10" s="1026">
        <f t="shared" si="0"/>
        <v>4286588224</v>
      </c>
      <c r="M10" s="1025">
        <f t="shared" si="1"/>
        <v>1234423964</v>
      </c>
      <c r="N10" s="1060" t="s">
        <v>1494</v>
      </c>
      <c r="O10" s="1370">
        <f>+'3条支出'!T9</f>
        <v>6037810078</v>
      </c>
      <c r="P10" s="1028">
        <f t="shared" si="2"/>
        <v>531471491</v>
      </c>
      <c r="Q10" s="1379">
        <f t="shared" si="2"/>
        <v>105914705</v>
      </c>
      <c r="R10" s="1027">
        <f t="shared" si="2"/>
        <v>317116718</v>
      </c>
      <c r="S10" s="1026">
        <f t="shared" si="11"/>
        <v>954502914</v>
      </c>
      <c r="T10" s="1417">
        <f>+IFERROR(ROUND(J10*$O10/$E10,0),0)</f>
        <v>1375005</v>
      </c>
      <c r="U10" s="1027">
        <f t="shared" si="3"/>
        <v>5081932159</v>
      </c>
      <c r="V10" s="1026">
        <f t="shared" si="4"/>
        <v>5083307164</v>
      </c>
      <c r="W10" s="1025">
        <f t="shared" si="12"/>
        <v>0</v>
      </c>
      <c r="X10" s="1031" t="s">
        <v>1494</v>
      </c>
      <c r="Y10" s="1442"/>
      <c r="Z10" s="1442"/>
      <c r="AA10" s="1442"/>
      <c r="AB10" s="1442"/>
      <c r="AC10" s="1442"/>
      <c r="AD10" s="1029">
        <f t="shared" si="5"/>
        <v>6037810078</v>
      </c>
      <c r="AE10" s="1028">
        <f t="shared" si="5"/>
        <v>531471491</v>
      </c>
      <c r="AF10" s="1379">
        <f t="shared" si="5"/>
        <v>105914705</v>
      </c>
      <c r="AG10" s="1027">
        <f t="shared" si="5"/>
        <v>317116718</v>
      </c>
      <c r="AH10" s="1026">
        <f t="shared" si="6"/>
        <v>954502914</v>
      </c>
      <c r="AI10" s="1417">
        <f t="shared" si="7"/>
        <v>1375005</v>
      </c>
      <c r="AJ10" s="1027">
        <f t="shared" si="7"/>
        <v>5081932159</v>
      </c>
      <c r="AK10" s="1026">
        <f t="shared" si="8"/>
        <v>5083307164</v>
      </c>
      <c r="AL10" s="1025">
        <f t="shared" si="9"/>
        <v>0</v>
      </c>
    </row>
    <row r="11" spans="1:38">
      <c r="A11" s="1139"/>
      <c r="B11" s="1146" t="s">
        <v>1429</v>
      </c>
      <c r="C11" s="1145" t="s">
        <v>1446</v>
      </c>
      <c r="D11" s="1060" t="s">
        <v>1492</v>
      </c>
      <c r="E11" s="1369">
        <f>+'3条支出'!E10</f>
        <v>0</v>
      </c>
      <c r="F11" s="1028"/>
      <c r="G11" s="1379"/>
      <c r="H11" s="1027"/>
      <c r="I11" s="1029">
        <f t="shared" si="10"/>
        <v>0</v>
      </c>
      <c r="J11" s="1028"/>
      <c r="K11" s="1027">
        <f t="shared" ref="K11:K19" si="13">+E11-I11-J11</f>
        <v>0</v>
      </c>
      <c r="L11" s="1026">
        <f t="shared" si="0"/>
        <v>0</v>
      </c>
      <c r="M11" s="1025">
        <f t="shared" si="1"/>
        <v>0</v>
      </c>
      <c r="N11" s="1060" t="s">
        <v>1492</v>
      </c>
      <c r="O11" s="1370">
        <f>+'3条支出'!T10</f>
        <v>0</v>
      </c>
      <c r="P11" s="1028">
        <f t="shared" si="2"/>
        <v>0</v>
      </c>
      <c r="Q11" s="1379">
        <f t="shared" si="2"/>
        <v>0</v>
      </c>
      <c r="R11" s="1027">
        <f t="shared" si="2"/>
        <v>0</v>
      </c>
      <c r="S11" s="1026">
        <f t="shared" si="11"/>
        <v>0</v>
      </c>
      <c r="T11" s="1417">
        <f>+IFERROR(ROUND(J11*$O11/$E11,0),0)</f>
        <v>0</v>
      </c>
      <c r="U11" s="1027">
        <f t="shared" si="3"/>
        <v>0</v>
      </c>
      <c r="V11" s="1026">
        <f t="shared" si="4"/>
        <v>0</v>
      </c>
      <c r="W11" s="1025">
        <f t="shared" si="12"/>
        <v>0</v>
      </c>
      <c r="X11" s="1031" t="s">
        <v>1492</v>
      </c>
      <c r="Y11" s="1442"/>
      <c r="Z11" s="1442"/>
      <c r="AA11" s="1442"/>
      <c r="AB11" s="1442"/>
      <c r="AC11" s="1442"/>
      <c r="AD11" s="1029">
        <f t="shared" si="5"/>
        <v>0</v>
      </c>
      <c r="AE11" s="1028">
        <f t="shared" si="5"/>
        <v>0</v>
      </c>
      <c r="AF11" s="1379">
        <f t="shared" si="5"/>
        <v>0</v>
      </c>
      <c r="AG11" s="1027">
        <f t="shared" si="5"/>
        <v>0</v>
      </c>
      <c r="AH11" s="1026">
        <f t="shared" si="6"/>
        <v>0</v>
      </c>
      <c r="AI11" s="1417">
        <f t="shared" si="7"/>
        <v>0</v>
      </c>
      <c r="AJ11" s="1027">
        <f t="shared" si="7"/>
        <v>0</v>
      </c>
      <c r="AK11" s="1026">
        <f t="shared" si="8"/>
        <v>0</v>
      </c>
      <c r="AL11" s="1025">
        <f t="shared" si="9"/>
        <v>0</v>
      </c>
    </row>
    <row r="12" spans="1:38">
      <c r="A12" s="1139"/>
      <c r="B12" s="1146" t="s">
        <v>1429</v>
      </c>
      <c r="C12" s="1145" t="s">
        <v>1446</v>
      </c>
      <c r="D12" s="1060" t="s">
        <v>1490</v>
      </c>
      <c r="E12" s="1369">
        <f>+'3条支出'!E11</f>
        <v>88849549</v>
      </c>
      <c r="F12" s="1028"/>
      <c r="G12" s="1379"/>
      <c r="H12" s="1153">
        <f>+普及!E5+補助補給!Y4</f>
        <v>19274556</v>
      </c>
      <c r="I12" s="1029">
        <f t="shared" si="10"/>
        <v>19274556</v>
      </c>
      <c r="J12" s="1028">
        <f>+ROUND((E12-H12)/2,0)</f>
        <v>34787497</v>
      </c>
      <c r="K12" s="1027">
        <f t="shared" si="13"/>
        <v>34787496</v>
      </c>
      <c r="L12" s="1026">
        <f t="shared" si="0"/>
        <v>69574993</v>
      </c>
      <c r="M12" s="1025">
        <f t="shared" si="1"/>
        <v>0</v>
      </c>
      <c r="N12" s="1060" t="s">
        <v>1490</v>
      </c>
      <c r="O12" s="1370">
        <f>+'3条支出'!T11</f>
        <v>87134052</v>
      </c>
      <c r="P12" s="1148"/>
      <c r="Q12" s="1406"/>
      <c r="R12" s="1153">
        <f>普及!T5+補助補給!AZ4</f>
        <v>19274556</v>
      </c>
      <c r="S12" s="1026">
        <f t="shared" si="11"/>
        <v>19274556</v>
      </c>
      <c r="T12" s="1417">
        <f>+ROUND((O12-R12)/2,0)</f>
        <v>33929748</v>
      </c>
      <c r="U12" s="1027">
        <f t="shared" si="3"/>
        <v>33929748</v>
      </c>
      <c r="V12" s="1026">
        <f t="shared" si="4"/>
        <v>67859496</v>
      </c>
      <c r="W12" s="1025">
        <f t="shared" si="12"/>
        <v>0</v>
      </c>
      <c r="X12" s="1031" t="s">
        <v>1490</v>
      </c>
      <c r="Y12" s="1442"/>
      <c r="Z12" s="1442"/>
      <c r="AA12" s="1442"/>
      <c r="AB12" s="1442"/>
      <c r="AC12" s="1442"/>
      <c r="AD12" s="1029">
        <f t="shared" si="5"/>
        <v>87134052</v>
      </c>
      <c r="AE12" s="1028">
        <f t="shared" si="5"/>
        <v>0</v>
      </c>
      <c r="AF12" s="1379">
        <f t="shared" si="5"/>
        <v>0</v>
      </c>
      <c r="AG12" s="1027">
        <f t="shared" si="5"/>
        <v>19274556</v>
      </c>
      <c r="AH12" s="1026">
        <f t="shared" si="6"/>
        <v>19274556</v>
      </c>
      <c r="AI12" s="1417">
        <f t="shared" si="7"/>
        <v>33929748</v>
      </c>
      <c r="AJ12" s="1027">
        <f t="shared" si="7"/>
        <v>33929748</v>
      </c>
      <c r="AK12" s="1026">
        <f t="shared" si="8"/>
        <v>67859496</v>
      </c>
      <c r="AL12" s="1025">
        <f t="shared" si="9"/>
        <v>0</v>
      </c>
    </row>
    <row r="13" spans="1:38">
      <c r="A13" s="1139"/>
      <c r="B13" s="1146" t="s">
        <v>1429</v>
      </c>
      <c r="C13" s="1145" t="s">
        <v>1446</v>
      </c>
      <c r="D13" s="1060" t="s">
        <v>1487</v>
      </c>
      <c r="E13" s="1369">
        <f>+'3条支出'!E12</f>
        <v>10483859</v>
      </c>
      <c r="F13" s="1028"/>
      <c r="G13" s="1379"/>
      <c r="H13" s="1027">
        <f>+E13</f>
        <v>10483859</v>
      </c>
      <c r="I13" s="1029">
        <f t="shared" si="10"/>
        <v>10483859</v>
      </c>
      <c r="J13" s="1028"/>
      <c r="K13" s="1027">
        <f t="shared" si="13"/>
        <v>0</v>
      </c>
      <c r="L13" s="1026">
        <f t="shared" si="0"/>
        <v>0</v>
      </c>
      <c r="M13" s="1025">
        <f t="shared" si="1"/>
        <v>0</v>
      </c>
      <c r="N13" s="1060" t="s">
        <v>1487</v>
      </c>
      <c r="O13" s="1370">
        <f>+'3条支出'!T12</f>
        <v>10396270</v>
      </c>
      <c r="P13" s="1148"/>
      <c r="Q13" s="1406"/>
      <c r="R13" s="1027">
        <f>+O13</f>
        <v>10396270</v>
      </c>
      <c r="S13" s="1026">
        <f t="shared" si="11"/>
        <v>10396270</v>
      </c>
      <c r="T13" s="1418"/>
      <c r="U13" s="1149">
        <f t="shared" si="3"/>
        <v>0</v>
      </c>
      <c r="V13" s="1026">
        <f t="shared" si="4"/>
        <v>0</v>
      </c>
      <c r="W13" s="1025">
        <f t="shared" si="12"/>
        <v>0</v>
      </c>
      <c r="X13" s="1031" t="s">
        <v>1487</v>
      </c>
      <c r="Y13" s="1442"/>
      <c r="Z13" s="1442"/>
      <c r="AA13" s="1442"/>
      <c r="AB13" s="1442"/>
      <c r="AC13" s="1442"/>
      <c r="AD13" s="1029">
        <f t="shared" si="5"/>
        <v>10396270</v>
      </c>
      <c r="AE13" s="1028">
        <f t="shared" si="5"/>
        <v>0</v>
      </c>
      <c r="AF13" s="1379">
        <f t="shared" si="5"/>
        <v>0</v>
      </c>
      <c r="AG13" s="1027">
        <f t="shared" si="5"/>
        <v>10396270</v>
      </c>
      <c r="AH13" s="1026">
        <f t="shared" si="6"/>
        <v>10396270</v>
      </c>
      <c r="AI13" s="1417">
        <f t="shared" si="7"/>
        <v>0</v>
      </c>
      <c r="AJ13" s="1027">
        <f t="shared" si="7"/>
        <v>0</v>
      </c>
      <c r="AK13" s="1026">
        <f t="shared" si="8"/>
        <v>0</v>
      </c>
      <c r="AL13" s="1025">
        <f t="shared" si="9"/>
        <v>0</v>
      </c>
    </row>
    <row r="14" spans="1:38">
      <c r="A14" s="1139"/>
      <c r="B14" s="1146" t="s">
        <v>1429</v>
      </c>
      <c r="C14" s="1145" t="s">
        <v>1446</v>
      </c>
      <c r="D14" s="1060" t="s">
        <v>1485</v>
      </c>
      <c r="E14" s="1369">
        <f>+'3条支出'!E13</f>
        <v>1019945143</v>
      </c>
      <c r="F14" s="1028"/>
      <c r="G14" s="1379"/>
      <c r="H14" s="1141">
        <v>4521799</v>
      </c>
      <c r="I14" s="1029">
        <f t="shared" si="10"/>
        <v>4521799</v>
      </c>
      <c r="J14" s="1028"/>
      <c r="K14" s="1027">
        <f t="shared" si="13"/>
        <v>1015423344</v>
      </c>
      <c r="L14" s="1026">
        <f t="shared" si="0"/>
        <v>1015423344</v>
      </c>
      <c r="M14" s="1025">
        <f t="shared" si="1"/>
        <v>0</v>
      </c>
      <c r="N14" s="1060" t="s">
        <v>1485</v>
      </c>
      <c r="O14" s="1370">
        <f>+'3条支出'!T13</f>
        <v>929691714</v>
      </c>
      <c r="P14" s="1148"/>
      <c r="Q14" s="1406"/>
      <c r="R14" s="1425">
        <f>+IFERROR(ROUND(H14/SUM(業務!E5:E9,業務!E34)*SUM(業務!T5:T9,業務!T34),0),0)</f>
        <v>4513095</v>
      </c>
      <c r="S14" s="1026">
        <f t="shared" si="11"/>
        <v>4513095</v>
      </c>
      <c r="T14" s="1418"/>
      <c r="U14" s="1149">
        <f t="shared" si="3"/>
        <v>925178619</v>
      </c>
      <c r="V14" s="1026">
        <f t="shared" si="4"/>
        <v>925178619</v>
      </c>
      <c r="W14" s="1025">
        <f t="shared" si="12"/>
        <v>0</v>
      </c>
      <c r="X14" s="1031" t="s">
        <v>1485</v>
      </c>
      <c r="Y14" s="1442"/>
      <c r="Z14" s="1442"/>
      <c r="AA14" s="1442"/>
      <c r="AB14" s="1442"/>
      <c r="AC14" s="1442"/>
      <c r="AD14" s="1029">
        <f t="shared" si="5"/>
        <v>929691714</v>
      </c>
      <c r="AE14" s="1028">
        <f t="shared" si="5"/>
        <v>0</v>
      </c>
      <c r="AF14" s="1379">
        <f t="shared" si="5"/>
        <v>0</v>
      </c>
      <c r="AG14" s="1027">
        <f t="shared" si="5"/>
        <v>4513095</v>
      </c>
      <c r="AH14" s="1026">
        <f t="shared" si="6"/>
        <v>4513095</v>
      </c>
      <c r="AI14" s="1417">
        <f t="shared" si="7"/>
        <v>0</v>
      </c>
      <c r="AJ14" s="1027">
        <f t="shared" si="7"/>
        <v>925178619</v>
      </c>
      <c r="AK14" s="1026">
        <f t="shared" si="8"/>
        <v>925178619</v>
      </c>
      <c r="AL14" s="1025">
        <f t="shared" si="9"/>
        <v>0</v>
      </c>
    </row>
    <row r="15" spans="1:38">
      <c r="A15" s="1139"/>
      <c r="B15" s="1146" t="s">
        <v>1429</v>
      </c>
      <c r="C15" s="1145" t="s">
        <v>1446</v>
      </c>
      <c r="D15" s="1060" t="s">
        <v>1483</v>
      </c>
      <c r="E15" s="1369">
        <f>+'3条支出(共通按分後)'!E14</f>
        <v>914982582</v>
      </c>
      <c r="F15" s="1168">
        <f>+IFERROR(ROUND((総係!$E$36-総係!$E$35-$H$15)*SUM(F7:F14)/SUM($F$7:$G$14,$J$7:$K$14),0),0)</f>
        <v>-1938652</v>
      </c>
      <c r="G15" s="1407">
        <f>+IFERROR(ROUND((総係!$E$36-総係!$E$35-$H$15)*SUM(G7:G14)/SUM($F$7:$G$14,$J$7:$K$14),0),0)</f>
        <v>-178931</v>
      </c>
      <c r="H15" s="1167">
        <f>+IFERROR(ROUND((総係!E36-総係!E35)/2,0),0)</f>
        <v>-7247778</v>
      </c>
      <c r="I15" s="1062">
        <f t="shared" si="10"/>
        <v>-9365361</v>
      </c>
      <c r="J15" s="1148"/>
      <c r="K15" s="1027">
        <f t="shared" si="13"/>
        <v>924347943</v>
      </c>
      <c r="L15" s="1026">
        <f t="shared" si="0"/>
        <v>924347943</v>
      </c>
      <c r="M15" s="1025">
        <f t="shared" si="1"/>
        <v>0</v>
      </c>
      <c r="N15" s="1060" t="s">
        <v>1483</v>
      </c>
      <c r="O15" s="1370">
        <f>+'3条支出(共通按分後)'!T14</f>
        <v>858656553</v>
      </c>
      <c r="P15" s="1168">
        <f>+IFERROR(ROUND((総係!$T$36-総係!$T$35-$R$15)*SUM(P7:P14)/SUM($P$7:$Q$14,$T$7:$U$14),0),0)</f>
        <v>-1668431</v>
      </c>
      <c r="Q15" s="1407">
        <f>+IFERROR(ROUND((総係!$T$36-総係!$T$35-$R$15)*SUM(Q7:Q14)/SUM($P$7:$Q$14,$T$7:$U$14),0),0)</f>
        <v>-151583</v>
      </c>
      <c r="R15" s="1167">
        <f>+IFERROR(ROUND((総係!T36-総係!T35)/2,0),0)</f>
        <v>-7247778</v>
      </c>
      <c r="S15" s="1057">
        <f t="shared" si="11"/>
        <v>-9067792</v>
      </c>
      <c r="T15" s="1418"/>
      <c r="U15" s="1027">
        <f t="shared" si="3"/>
        <v>867724345</v>
      </c>
      <c r="V15" s="1026">
        <f t="shared" si="4"/>
        <v>867724345</v>
      </c>
      <c r="W15" s="1025">
        <f t="shared" si="12"/>
        <v>0</v>
      </c>
      <c r="X15" s="1031" t="s">
        <v>1483</v>
      </c>
      <c r="Y15" s="1442"/>
      <c r="Z15" s="1442"/>
      <c r="AA15" s="1442"/>
      <c r="AB15" s="1442"/>
      <c r="AC15" s="1442"/>
      <c r="AD15" s="1029">
        <f t="shared" si="5"/>
        <v>858656553</v>
      </c>
      <c r="AE15" s="1040">
        <f t="shared" si="5"/>
        <v>-1668431</v>
      </c>
      <c r="AF15" s="1379">
        <f t="shared" si="5"/>
        <v>-151583</v>
      </c>
      <c r="AG15" s="1027">
        <f t="shared" si="5"/>
        <v>-7247778</v>
      </c>
      <c r="AH15" s="1026">
        <f t="shared" si="6"/>
        <v>-9067792</v>
      </c>
      <c r="AI15" s="1417">
        <f t="shared" si="7"/>
        <v>0</v>
      </c>
      <c r="AJ15" s="1027">
        <f t="shared" si="7"/>
        <v>867724345</v>
      </c>
      <c r="AK15" s="1026">
        <f t="shared" si="8"/>
        <v>867724345</v>
      </c>
      <c r="AL15" s="1025">
        <f t="shared" si="9"/>
        <v>0</v>
      </c>
    </row>
    <row r="16" spans="1:38">
      <c r="A16" s="1139"/>
      <c r="B16" s="1146" t="s">
        <v>1429</v>
      </c>
      <c r="C16" s="1145" t="s">
        <v>1446</v>
      </c>
      <c r="D16" s="1152" t="s">
        <v>1544</v>
      </c>
      <c r="E16" s="1369">
        <f>+'3条支出(共通按分後)'!E15</f>
        <v>0</v>
      </c>
      <c r="F16" s="1148"/>
      <c r="G16" s="1406"/>
      <c r="H16" s="1153">
        <f>+補助補給!Y5</f>
        <v>0</v>
      </c>
      <c r="I16" s="1062">
        <f t="shared" si="10"/>
        <v>0</v>
      </c>
      <c r="J16" s="1148"/>
      <c r="K16" s="1027">
        <f t="shared" si="13"/>
        <v>0</v>
      </c>
      <c r="L16" s="1026">
        <f t="shared" si="0"/>
        <v>0</v>
      </c>
      <c r="M16" s="1025">
        <f t="shared" si="1"/>
        <v>0</v>
      </c>
      <c r="N16" s="1152" t="s">
        <v>1544</v>
      </c>
      <c r="O16" s="1370">
        <f>+'3条支出(共通按分後)'!T15</f>
        <v>0</v>
      </c>
      <c r="P16" s="1148"/>
      <c r="Q16" s="1406"/>
      <c r="R16" s="1153">
        <f>+補助補給!AZ5</f>
        <v>0</v>
      </c>
      <c r="S16" s="1057">
        <f t="shared" si="11"/>
        <v>0</v>
      </c>
      <c r="T16" s="1418"/>
      <c r="U16" s="1149">
        <f t="shared" si="3"/>
        <v>0</v>
      </c>
      <c r="V16" s="1026">
        <f t="shared" si="4"/>
        <v>0</v>
      </c>
      <c r="W16" s="1025">
        <f t="shared" si="12"/>
        <v>0</v>
      </c>
      <c r="X16" s="1031" t="s">
        <v>1480</v>
      </c>
      <c r="Y16" s="1442"/>
      <c r="Z16" s="1442"/>
      <c r="AA16" s="1442"/>
      <c r="AB16" s="1442"/>
      <c r="AC16" s="1442"/>
      <c r="AD16" s="1029">
        <f t="shared" si="5"/>
        <v>0</v>
      </c>
      <c r="AE16" s="1028">
        <f t="shared" si="5"/>
        <v>0</v>
      </c>
      <c r="AF16" s="1379">
        <f t="shared" si="5"/>
        <v>0</v>
      </c>
      <c r="AG16" s="1027">
        <f t="shared" si="5"/>
        <v>0</v>
      </c>
      <c r="AH16" s="1026">
        <f t="shared" si="6"/>
        <v>0</v>
      </c>
      <c r="AI16" s="1417">
        <f t="shared" si="7"/>
        <v>0</v>
      </c>
      <c r="AJ16" s="1027">
        <f t="shared" si="7"/>
        <v>0</v>
      </c>
      <c r="AK16" s="1026">
        <f t="shared" si="8"/>
        <v>0</v>
      </c>
      <c r="AL16" s="1025">
        <f t="shared" si="9"/>
        <v>0</v>
      </c>
    </row>
    <row r="17" spans="1:38">
      <c r="A17" s="1139"/>
      <c r="B17" s="1146" t="s">
        <v>1429</v>
      </c>
      <c r="C17" s="1145" t="s">
        <v>1446</v>
      </c>
      <c r="D17" s="1152" t="s">
        <v>1543</v>
      </c>
      <c r="E17" s="1369">
        <f>+'3条支出(共通按分後)'!E16</f>
        <v>0</v>
      </c>
      <c r="F17" s="1148"/>
      <c r="G17" s="1406"/>
      <c r="H17" s="1153">
        <f>+補助補給!Y6</f>
        <v>0</v>
      </c>
      <c r="I17" s="1062">
        <f t="shared" si="10"/>
        <v>0</v>
      </c>
      <c r="J17" s="1148"/>
      <c r="K17" s="1027">
        <f t="shared" si="13"/>
        <v>0</v>
      </c>
      <c r="L17" s="1026">
        <f t="shared" si="0"/>
        <v>0</v>
      </c>
      <c r="M17" s="1025">
        <f t="shared" si="1"/>
        <v>0</v>
      </c>
      <c r="N17" s="1152" t="s">
        <v>1543</v>
      </c>
      <c r="O17" s="1370">
        <f>+'3条支出(共通按分後)'!T16</f>
        <v>0</v>
      </c>
      <c r="P17" s="1148"/>
      <c r="Q17" s="1406"/>
      <c r="R17" s="1153">
        <f>+補助補給!AZ6</f>
        <v>0</v>
      </c>
      <c r="S17" s="1057">
        <f t="shared" si="11"/>
        <v>0</v>
      </c>
      <c r="T17" s="1418"/>
      <c r="U17" s="1149">
        <f t="shared" si="3"/>
        <v>0</v>
      </c>
      <c r="V17" s="1026">
        <f t="shared" si="4"/>
        <v>0</v>
      </c>
      <c r="W17" s="1025">
        <f t="shared" si="12"/>
        <v>0</v>
      </c>
      <c r="X17" s="1031" t="s">
        <v>1478</v>
      </c>
      <c r="Y17" s="1442"/>
      <c r="Z17" s="1442"/>
      <c r="AA17" s="1442"/>
      <c r="AB17" s="1442"/>
      <c r="AC17" s="1442"/>
      <c r="AD17" s="1029">
        <f t="shared" si="5"/>
        <v>0</v>
      </c>
      <c r="AE17" s="1028">
        <f t="shared" si="5"/>
        <v>0</v>
      </c>
      <c r="AF17" s="1379">
        <f t="shared" si="5"/>
        <v>0</v>
      </c>
      <c r="AG17" s="1027">
        <f t="shared" si="5"/>
        <v>0</v>
      </c>
      <c r="AH17" s="1026">
        <f t="shared" si="6"/>
        <v>0</v>
      </c>
      <c r="AI17" s="1417">
        <f t="shared" si="7"/>
        <v>0</v>
      </c>
      <c r="AJ17" s="1027">
        <f t="shared" si="7"/>
        <v>0</v>
      </c>
      <c r="AK17" s="1026">
        <f t="shared" si="8"/>
        <v>0</v>
      </c>
      <c r="AL17" s="1025">
        <f t="shared" si="9"/>
        <v>0</v>
      </c>
    </row>
    <row r="18" spans="1:38">
      <c r="A18" s="1139"/>
      <c r="B18" s="1146" t="s">
        <v>1429</v>
      </c>
      <c r="C18" s="1145" t="s">
        <v>1446</v>
      </c>
      <c r="D18" s="1060" t="s">
        <v>1476</v>
      </c>
      <c r="E18" s="1369">
        <f>+'3条支出(共通按分後)'!E17</f>
        <v>0</v>
      </c>
      <c r="F18" s="1148"/>
      <c r="G18" s="1406"/>
      <c r="H18" s="1153">
        <f>+補助補給!Y7</f>
        <v>0</v>
      </c>
      <c r="I18" s="1029">
        <f t="shared" si="10"/>
        <v>0</v>
      </c>
      <c r="J18" s="1148"/>
      <c r="K18" s="1027">
        <f t="shared" si="13"/>
        <v>0</v>
      </c>
      <c r="L18" s="1026">
        <f t="shared" si="0"/>
        <v>0</v>
      </c>
      <c r="M18" s="1025">
        <f t="shared" si="1"/>
        <v>0</v>
      </c>
      <c r="N18" s="1060" t="s">
        <v>1476</v>
      </c>
      <c r="O18" s="1370">
        <f>+'3条支出(共通按分後)'!T17</f>
        <v>0</v>
      </c>
      <c r="P18" s="1148"/>
      <c r="Q18" s="1406"/>
      <c r="R18" s="1153">
        <f>+補助補給!AZ7</f>
        <v>0</v>
      </c>
      <c r="S18" s="1026">
        <f t="shared" si="11"/>
        <v>0</v>
      </c>
      <c r="T18" s="1418"/>
      <c r="U18" s="1149">
        <f t="shared" si="3"/>
        <v>0</v>
      </c>
      <c r="V18" s="1026">
        <f t="shared" si="4"/>
        <v>0</v>
      </c>
      <c r="W18" s="1025">
        <f t="shared" si="12"/>
        <v>0</v>
      </c>
      <c r="X18" s="1031" t="s">
        <v>1476</v>
      </c>
      <c r="Y18" s="1442"/>
      <c r="Z18" s="1442"/>
      <c r="AA18" s="1442"/>
      <c r="AB18" s="1442"/>
      <c r="AC18" s="1442"/>
      <c r="AD18" s="1029">
        <f t="shared" si="5"/>
        <v>0</v>
      </c>
      <c r="AE18" s="1028">
        <f t="shared" si="5"/>
        <v>0</v>
      </c>
      <c r="AF18" s="1379">
        <f t="shared" si="5"/>
        <v>0</v>
      </c>
      <c r="AG18" s="1027">
        <f t="shared" si="5"/>
        <v>0</v>
      </c>
      <c r="AH18" s="1026">
        <f t="shared" si="6"/>
        <v>0</v>
      </c>
      <c r="AI18" s="1417">
        <f t="shared" si="7"/>
        <v>0</v>
      </c>
      <c r="AJ18" s="1027">
        <f t="shared" si="7"/>
        <v>0</v>
      </c>
      <c r="AK18" s="1026">
        <f t="shared" si="8"/>
        <v>0</v>
      </c>
      <c r="AL18" s="1025">
        <f t="shared" si="9"/>
        <v>0</v>
      </c>
    </row>
    <row r="19" spans="1:38">
      <c r="A19" s="1139"/>
      <c r="B19" s="1146" t="s">
        <v>1429</v>
      </c>
      <c r="C19" s="1145" t="s">
        <v>1446</v>
      </c>
      <c r="D19" s="1060" t="s">
        <v>1474</v>
      </c>
      <c r="E19" s="1369">
        <f>+'3条支出'!E18</f>
        <v>0</v>
      </c>
      <c r="F19" s="1148"/>
      <c r="G19" s="1406"/>
      <c r="H19" s="1149"/>
      <c r="I19" s="1029">
        <f t="shared" si="10"/>
        <v>0</v>
      </c>
      <c r="J19" s="1148"/>
      <c r="K19" s="1027">
        <f t="shared" si="13"/>
        <v>0</v>
      </c>
      <c r="L19" s="1026">
        <f t="shared" si="0"/>
        <v>0</v>
      </c>
      <c r="M19" s="1025">
        <f t="shared" si="1"/>
        <v>0</v>
      </c>
      <c r="N19" s="1060" t="s">
        <v>1474</v>
      </c>
      <c r="O19" s="1370">
        <f>+'3条支出'!T18</f>
        <v>0</v>
      </c>
      <c r="P19" s="1148"/>
      <c r="Q19" s="1406"/>
      <c r="R19" s="1149"/>
      <c r="S19" s="1026">
        <f t="shared" si="11"/>
        <v>0</v>
      </c>
      <c r="T19" s="1418"/>
      <c r="U19" s="1149">
        <f t="shared" si="3"/>
        <v>0</v>
      </c>
      <c r="V19" s="1026">
        <f t="shared" si="4"/>
        <v>0</v>
      </c>
      <c r="W19" s="1025">
        <f t="shared" si="12"/>
        <v>0</v>
      </c>
      <c r="X19" s="1031" t="s">
        <v>1474</v>
      </c>
      <c r="Y19" s="1442"/>
      <c r="Z19" s="1442"/>
      <c r="AA19" s="1442"/>
      <c r="AB19" s="1442"/>
      <c r="AC19" s="1442"/>
      <c r="AD19" s="1029">
        <f t="shared" si="5"/>
        <v>0</v>
      </c>
      <c r="AE19" s="1028">
        <f t="shared" si="5"/>
        <v>0</v>
      </c>
      <c r="AF19" s="1379">
        <f t="shared" si="5"/>
        <v>0</v>
      </c>
      <c r="AG19" s="1027">
        <f t="shared" si="5"/>
        <v>0</v>
      </c>
      <c r="AH19" s="1026">
        <f t="shared" si="6"/>
        <v>0</v>
      </c>
      <c r="AI19" s="1417">
        <f t="shared" si="7"/>
        <v>0</v>
      </c>
      <c r="AJ19" s="1027">
        <f t="shared" si="7"/>
        <v>0</v>
      </c>
      <c r="AK19" s="1026">
        <f t="shared" si="8"/>
        <v>0</v>
      </c>
      <c r="AL19" s="1025">
        <f t="shared" si="9"/>
        <v>0</v>
      </c>
    </row>
    <row r="20" spans="1:38">
      <c r="A20" s="1139"/>
      <c r="B20" s="1146" t="s">
        <v>1429</v>
      </c>
      <c r="C20" s="1145" t="s">
        <v>1446</v>
      </c>
      <c r="D20" s="1152" t="s">
        <v>1471</v>
      </c>
      <c r="E20" s="1144">
        <f>+減耗!$E$7</f>
        <v>0</v>
      </c>
      <c r="F20" s="1142">
        <v>14904000</v>
      </c>
      <c r="G20" s="1406"/>
      <c r="H20" s="1027"/>
      <c r="I20" s="1062">
        <f t="shared" si="10"/>
        <v>14904000</v>
      </c>
      <c r="J20" s="1148"/>
      <c r="K20" s="1141"/>
      <c r="L20" s="1026">
        <f t="shared" si="0"/>
        <v>0</v>
      </c>
      <c r="M20" s="1025">
        <f t="shared" si="1"/>
        <v>-14904000</v>
      </c>
      <c r="N20" s="1152" t="s">
        <v>1471</v>
      </c>
      <c r="O20" s="1143">
        <f>+減耗!T7</f>
        <v>0</v>
      </c>
      <c r="P20" s="1028">
        <f>+IFERROR(ROUND(F20*$O20/$E20,0),0)</f>
        <v>0</v>
      </c>
      <c r="Q20" s="1406">
        <f>+IFERROR(ROUND(G20*$O20/$E20,0),0)</f>
        <v>0</v>
      </c>
      <c r="R20" s="1149">
        <f>+IFERROR(ROUND(H20*$O20/$E20,0),0)</f>
        <v>0</v>
      </c>
      <c r="S20" s="1057">
        <f t="shared" si="11"/>
        <v>0</v>
      </c>
      <c r="T20" s="1418">
        <f>+IFERROR(ROUND(J20*$O20/$E20,0),0)</f>
        <v>0</v>
      </c>
      <c r="U20" s="1149">
        <f>+O20-S20-T20</f>
        <v>0</v>
      </c>
      <c r="V20" s="1026">
        <f t="shared" si="4"/>
        <v>0</v>
      </c>
      <c r="W20" s="1025">
        <f t="shared" si="12"/>
        <v>0</v>
      </c>
      <c r="X20" s="1039" t="s">
        <v>1471</v>
      </c>
      <c r="Y20" s="1443"/>
      <c r="Z20" s="1443"/>
      <c r="AA20" s="1443"/>
      <c r="AB20" s="1443"/>
      <c r="AC20" s="1443"/>
      <c r="AD20" s="1029">
        <f t="shared" si="5"/>
        <v>0</v>
      </c>
      <c r="AE20" s="1028">
        <f t="shared" si="5"/>
        <v>0</v>
      </c>
      <c r="AF20" s="1379">
        <f t="shared" si="5"/>
        <v>0</v>
      </c>
      <c r="AG20" s="1027">
        <f t="shared" si="5"/>
        <v>0</v>
      </c>
      <c r="AH20" s="1026">
        <f t="shared" si="6"/>
        <v>0</v>
      </c>
      <c r="AI20" s="1417">
        <f t="shared" si="7"/>
        <v>0</v>
      </c>
      <c r="AJ20" s="1027">
        <f t="shared" si="7"/>
        <v>0</v>
      </c>
      <c r="AK20" s="1026">
        <f t="shared" si="8"/>
        <v>0</v>
      </c>
      <c r="AL20" s="1025">
        <f t="shared" si="9"/>
        <v>0</v>
      </c>
    </row>
    <row r="21" spans="1:38">
      <c r="A21" s="1139"/>
      <c r="B21" s="1146"/>
      <c r="C21" s="1145"/>
      <c r="D21" s="1060"/>
      <c r="E21" s="1151"/>
      <c r="F21" s="1158"/>
      <c r="G21" s="1408"/>
      <c r="H21" s="1149"/>
      <c r="I21" s="1029"/>
      <c r="J21" s="1158"/>
      <c r="K21" s="1027"/>
      <c r="L21" s="1026"/>
      <c r="M21" s="1025"/>
      <c r="N21" s="1060"/>
      <c r="O21" s="1150"/>
      <c r="P21" s="1158"/>
      <c r="Q21" s="1408"/>
      <c r="R21" s="1149"/>
      <c r="S21" s="1026"/>
      <c r="T21" s="1419"/>
      <c r="U21" s="1149"/>
      <c r="V21" s="1026"/>
      <c r="W21" s="1025"/>
      <c r="X21" s="1031"/>
      <c r="Y21" s="1442"/>
      <c r="Z21" s="1442"/>
      <c r="AA21" s="1442"/>
      <c r="AB21" s="1442"/>
      <c r="AC21" s="1442"/>
      <c r="AD21" s="1029"/>
      <c r="AE21" s="1028"/>
      <c r="AF21" s="1379"/>
      <c r="AG21" s="1027"/>
      <c r="AH21" s="1041"/>
      <c r="AI21" s="1417"/>
      <c r="AJ21" s="1027"/>
      <c r="AK21" s="1041"/>
      <c r="AL21" s="1025"/>
    </row>
    <row r="22" spans="1:38">
      <c r="A22" s="1139"/>
      <c r="B22" s="1146" t="s">
        <v>1429</v>
      </c>
      <c r="C22" s="1145" t="s">
        <v>1439</v>
      </c>
      <c r="D22" s="1060" t="s">
        <v>1468</v>
      </c>
      <c r="E22" s="1144">
        <f>+営外!E11</f>
        <v>2483</v>
      </c>
      <c r="F22" s="1154">
        <f>+雨汚支出!AV3</f>
        <v>0</v>
      </c>
      <c r="G22" s="1401">
        <f>+雨汚支出!AW3</f>
        <v>0</v>
      </c>
      <c r="H22" s="1153">
        <f>+雨汚支出!AX3</f>
        <v>0</v>
      </c>
      <c r="I22" s="1029">
        <f t="shared" si="10"/>
        <v>0</v>
      </c>
      <c r="J22" s="1154">
        <f>+雨汚支出!AZ3</f>
        <v>0</v>
      </c>
      <c r="K22" s="1153">
        <f>+雨汚支出!BA3</f>
        <v>2483</v>
      </c>
      <c r="L22" s="1026">
        <f t="shared" si="0"/>
        <v>2483</v>
      </c>
      <c r="M22" s="1025">
        <f t="shared" si="1"/>
        <v>0</v>
      </c>
      <c r="N22" s="1060" t="s">
        <v>1468</v>
      </c>
      <c r="O22" s="1143">
        <f>+営外!T11</f>
        <v>2483</v>
      </c>
      <c r="P22" s="1154">
        <f>+雨汚支出!BF3</f>
        <v>0</v>
      </c>
      <c r="Q22" s="1401">
        <f>+雨汚支出!BG3</f>
        <v>0</v>
      </c>
      <c r="R22" s="1153">
        <f>+雨汚支出!BH3</f>
        <v>0</v>
      </c>
      <c r="S22" s="1026">
        <f t="shared" si="11"/>
        <v>0</v>
      </c>
      <c r="T22" s="1420">
        <f>+雨汚支出!BJ3</f>
        <v>0</v>
      </c>
      <c r="U22" s="1153">
        <f>+雨汚支出!BK3</f>
        <v>2483</v>
      </c>
      <c r="V22" s="1026">
        <f t="shared" si="4"/>
        <v>2483</v>
      </c>
      <c r="W22" s="1025">
        <f t="shared" si="12"/>
        <v>0</v>
      </c>
      <c r="X22" s="1031" t="s">
        <v>1468</v>
      </c>
      <c r="Y22" s="1442"/>
      <c r="Z22" s="1442"/>
      <c r="AA22" s="1442"/>
      <c r="AB22" s="1442"/>
      <c r="AC22" s="1442"/>
      <c r="AD22" s="1029">
        <f t="shared" ref="AD22:AG24" si="14">+O22</f>
        <v>2483</v>
      </c>
      <c r="AE22" s="1028">
        <f t="shared" si="14"/>
        <v>0</v>
      </c>
      <c r="AF22" s="1379">
        <f t="shared" si="14"/>
        <v>0</v>
      </c>
      <c r="AG22" s="1027">
        <f t="shared" si="14"/>
        <v>0</v>
      </c>
      <c r="AH22" s="1026">
        <f t="shared" si="6"/>
        <v>0</v>
      </c>
      <c r="AI22" s="1417">
        <f t="shared" ref="AI22:AJ24" si="15">+T22</f>
        <v>0</v>
      </c>
      <c r="AJ22" s="1027">
        <f t="shared" si="15"/>
        <v>2483</v>
      </c>
      <c r="AK22" s="1026">
        <f t="shared" si="8"/>
        <v>2483</v>
      </c>
      <c r="AL22" s="1025">
        <f t="shared" si="9"/>
        <v>0</v>
      </c>
    </row>
    <row r="23" spans="1:38">
      <c r="A23" s="1139"/>
      <c r="B23" s="1146" t="s">
        <v>1429</v>
      </c>
      <c r="C23" s="1145" t="s">
        <v>1439</v>
      </c>
      <c r="D23" s="1060" t="s">
        <v>1465</v>
      </c>
      <c r="E23" s="1144">
        <f>+営外!E15+営外!E16-E24</f>
        <v>25896</v>
      </c>
      <c r="F23" s="1154">
        <f>+雨汚支出!AV4+雨汚支出!AV5-F24</f>
        <v>0</v>
      </c>
      <c r="G23" s="1401">
        <f>+雨汚支出!AW4+雨汚支出!AW5-G24</f>
        <v>0</v>
      </c>
      <c r="H23" s="1153">
        <f>+雨汚支出!AX4+雨汚支出!AX5-H24</f>
        <v>-9198273</v>
      </c>
      <c r="I23" s="1029">
        <f t="shared" si="10"/>
        <v>-9198273</v>
      </c>
      <c r="J23" s="1154">
        <f>+雨汚支出!AZ4+雨汚支出!AZ5-J24</f>
        <v>0</v>
      </c>
      <c r="K23" s="1153">
        <f>+雨汚支出!BA4+雨汚支出!BA5-K24</f>
        <v>9224169</v>
      </c>
      <c r="L23" s="1026">
        <f t="shared" si="0"/>
        <v>9224169</v>
      </c>
      <c r="M23" s="1025">
        <f t="shared" si="1"/>
        <v>0</v>
      </c>
      <c r="N23" s="1060" t="s">
        <v>1465</v>
      </c>
      <c r="O23" s="1144">
        <f>+営外!T15+営外!T16-O24</f>
        <v>24123</v>
      </c>
      <c r="P23" s="1154">
        <f>+雨汚支出!BF4+雨汚支出!BF5-P24</f>
        <v>0</v>
      </c>
      <c r="Q23" s="1401">
        <f>+雨汚支出!BG4+雨汚支出!BG5-Q24</f>
        <v>0</v>
      </c>
      <c r="R23" s="1153">
        <f>+雨汚支出!BH4+雨汚支出!BH5-R24</f>
        <v>-8710224</v>
      </c>
      <c r="S23" s="1026">
        <f t="shared" si="11"/>
        <v>-8710224</v>
      </c>
      <c r="T23" s="1420">
        <f>+雨汚支出!BJ4+雨汚支出!BJ5-T24</f>
        <v>0</v>
      </c>
      <c r="U23" s="1153">
        <f>+雨汚支出!BK4+雨汚支出!BK5-U24</f>
        <v>8734347</v>
      </c>
      <c r="V23" s="1026">
        <f t="shared" si="4"/>
        <v>8734347</v>
      </c>
      <c r="W23" s="1025">
        <f t="shared" si="12"/>
        <v>0</v>
      </c>
      <c r="X23" s="1060" t="s">
        <v>1465</v>
      </c>
      <c r="Y23" s="1444"/>
      <c r="Z23" s="1444"/>
      <c r="AA23" s="1444"/>
      <c r="AB23" s="1444"/>
      <c r="AC23" s="1444"/>
      <c r="AD23" s="1040">
        <f t="shared" si="14"/>
        <v>24123</v>
      </c>
      <c r="AE23" s="1028">
        <f t="shared" si="14"/>
        <v>0</v>
      </c>
      <c r="AF23" s="1379">
        <f t="shared" si="14"/>
        <v>0</v>
      </c>
      <c r="AG23" s="1027">
        <f t="shared" si="14"/>
        <v>-8710224</v>
      </c>
      <c r="AH23" s="1026">
        <f t="shared" si="6"/>
        <v>-8710224</v>
      </c>
      <c r="AI23" s="1417">
        <f t="shared" si="15"/>
        <v>0</v>
      </c>
      <c r="AJ23" s="1027">
        <f t="shared" si="15"/>
        <v>8734347</v>
      </c>
      <c r="AK23" s="1026">
        <f t="shared" si="8"/>
        <v>8734347</v>
      </c>
      <c r="AL23" s="1025">
        <f t="shared" si="9"/>
        <v>0</v>
      </c>
    </row>
    <row r="24" spans="1:38">
      <c r="A24" s="1139"/>
      <c r="B24" s="1146" t="s">
        <v>1542</v>
      </c>
      <c r="C24" s="1145" t="s">
        <v>1541</v>
      </c>
      <c r="D24" s="1060" t="s">
        <v>1463</v>
      </c>
      <c r="E24" s="1144">
        <f>+営外!E20</f>
        <v>9198273</v>
      </c>
      <c r="F24" s="1028"/>
      <c r="G24" s="1379"/>
      <c r="H24" s="1027">
        <f>+E24</f>
        <v>9198273</v>
      </c>
      <c r="I24" s="1029">
        <f t="shared" si="10"/>
        <v>9198273</v>
      </c>
      <c r="J24" s="1028"/>
      <c r="K24" s="1027">
        <f>+E24-I24-J24</f>
        <v>0</v>
      </c>
      <c r="L24" s="1026">
        <f t="shared" si="0"/>
        <v>0</v>
      </c>
      <c r="M24" s="1025">
        <f t="shared" si="1"/>
        <v>0</v>
      </c>
      <c r="N24" s="1060" t="s">
        <v>1463</v>
      </c>
      <c r="O24" s="1144">
        <f>+営外!T20</f>
        <v>8710224</v>
      </c>
      <c r="P24" s="1148"/>
      <c r="Q24" s="1379"/>
      <c r="R24" s="1027">
        <f>+O24</f>
        <v>8710224</v>
      </c>
      <c r="S24" s="1026">
        <f t="shared" si="11"/>
        <v>8710224</v>
      </c>
      <c r="T24" s="1417"/>
      <c r="U24" s="1149">
        <f t="shared" ref="U24:U28" si="16">+O24-S24-T24</f>
        <v>0</v>
      </c>
      <c r="V24" s="1026">
        <f t="shared" si="4"/>
        <v>0</v>
      </c>
      <c r="W24" s="1025">
        <f t="shared" si="12"/>
        <v>0</v>
      </c>
      <c r="X24" s="1031" t="s">
        <v>1463</v>
      </c>
      <c r="Y24" s="1445"/>
      <c r="Z24" s="1445"/>
      <c r="AA24" s="1445"/>
      <c r="AB24" s="1445"/>
      <c r="AC24" s="1445"/>
      <c r="AD24" s="1040">
        <f t="shared" si="14"/>
        <v>8710224</v>
      </c>
      <c r="AE24" s="1028">
        <f t="shared" si="14"/>
        <v>0</v>
      </c>
      <c r="AF24" s="1379">
        <f t="shared" si="14"/>
        <v>0</v>
      </c>
      <c r="AG24" s="1027">
        <f t="shared" si="14"/>
        <v>8710224</v>
      </c>
      <c r="AH24" s="1026">
        <f t="shared" si="6"/>
        <v>8710224</v>
      </c>
      <c r="AI24" s="1417">
        <f t="shared" si="15"/>
        <v>0</v>
      </c>
      <c r="AJ24" s="1027">
        <f t="shared" si="15"/>
        <v>0</v>
      </c>
      <c r="AK24" s="1026">
        <f t="shared" si="8"/>
        <v>0</v>
      </c>
      <c r="AL24" s="1025">
        <f t="shared" si="9"/>
        <v>0</v>
      </c>
    </row>
    <row r="25" spans="1:38">
      <c r="A25" s="1139"/>
      <c r="B25" s="1146" t="s">
        <v>1429</v>
      </c>
      <c r="C25" s="1145" t="s">
        <v>1439</v>
      </c>
      <c r="D25" s="1152" t="s">
        <v>1460</v>
      </c>
      <c r="E25" s="1040"/>
      <c r="F25" s="1148"/>
      <c r="G25" s="1406"/>
      <c r="H25" s="1149"/>
      <c r="I25" s="1029">
        <f t="shared" si="10"/>
        <v>0</v>
      </c>
      <c r="J25" s="1148"/>
      <c r="K25" s="1027">
        <f>+E25-I25-J25</f>
        <v>0</v>
      </c>
      <c r="L25" s="1026">
        <f t="shared" si="0"/>
        <v>0</v>
      </c>
      <c r="M25" s="1025">
        <f t="shared" si="1"/>
        <v>0</v>
      </c>
      <c r="N25" s="1152" t="s">
        <v>1460</v>
      </c>
      <c r="O25" s="1040"/>
      <c r="P25" s="1148"/>
      <c r="Q25" s="1406"/>
      <c r="R25" s="1149"/>
      <c r="S25" s="1026">
        <f t="shared" si="11"/>
        <v>0</v>
      </c>
      <c r="T25" s="1418"/>
      <c r="U25" s="1149">
        <f t="shared" si="16"/>
        <v>0</v>
      </c>
      <c r="V25" s="1026">
        <f t="shared" si="4"/>
        <v>0</v>
      </c>
      <c r="W25" s="1025">
        <f t="shared" si="12"/>
        <v>0</v>
      </c>
      <c r="X25" s="1039" t="s">
        <v>1460</v>
      </c>
      <c r="Y25" s="1446"/>
      <c r="Z25" s="1446"/>
      <c r="AA25" s="1446"/>
      <c r="AB25" s="1446"/>
      <c r="AC25" s="1446"/>
      <c r="AD25" s="1050">
        <f>+AD130-AD39</f>
        <v>4793427261</v>
      </c>
      <c r="AE25" s="1037">
        <f>+AE130-AE39</f>
        <v>3921344187</v>
      </c>
      <c r="AF25" s="1378">
        <f>+AF130-AF39</f>
        <v>362943053</v>
      </c>
      <c r="AG25" s="1036">
        <f>+AG130-AG39</f>
        <v>505492698</v>
      </c>
      <c r="AH25" s="1026">
        <f t="shared" si="6"/>
        <v>4789779938</v>
      </c>
      <c r="AI25" s="1422">
        <f>+AI130-AI39</f>
        <v>3634583</v>
      </c>
      <c r="AJ25" s="1036">
        <f>+AJ130-AJ39</f>
        <v>12740</v>
      </c>
      <c r="AK25" s="1026">
        <f t="shared" si="8"/>
        <v>3647323</v>
      </c>
      <c r="AL25" s="1025">
        <f t="shared" si="9"/>
        <v>0</v>
      </c>
    </row>
    <row r="26" spans="1:38">
      <c r="A26" s="1139"/>
      <c r="B26" s="1146"/>
      <c r="C26" s="1145"/>
      <c r="D26" s="1060"/>
      <c r="E26" s="1040"/>
      <c r="F26" s="1148"/>
      <c r="G26" s="1406"/>
      <c r="H26" s="1149"/>
      <c r="I26" s="1029"/>
      <c r="J26" s="1148"/>
      <c r="K26" s="1027"/>
      <c r="L26" s="1026"/>
      <c r="M26" s="1025"/>
      <c r="N26" s="1060"/>
      <c r="O26" s="1040"/>
      <c r="P26" s="1148"/>
      <c r="Q26" s="1406"/>
      <c r="R26" s="1149"/>
      <c r="S26" s="1026"/>
      <c r="T26" s="1418"/>
      <c r="U26" s="1149"/>
      <c r="V26" s="1026"/>
      <c r="W26" s="1025"/>
      <c r="X26" s="1031"/>
      <c r="Y26" s="1442"/>
      <c r="Z26" s="1442"/>
      <c r="AA26" s="1442"/>
      <c r="AB26" s="1442"/>
      <c r="AC26" s="1442"/>
      <c r="AD26" s="1029"/>
      <c r="AE26" s="1028"/>
      <c r="AF26" s="1379"/>
      <c r="AG26" s="1027"/>
      <c r="AH26" s="1026"/>
      <c r="AI26" s="1417"/>
      <c r="AJ26" s="1027"/>
      <c r="AK26" s="1026"/>
      <c r="AL26" s="1025"/>
    </row>
    <row r="27" spans="1:38">
      <c r="A27" s="1139"/>
      <c r="B27" s="1146"/>
      <c r="C27" s="1145"/>
      <c r="D27" s="1060"/>
      <c r="E27" s="1151"/>
      <c r="F27" s="1148"/>
      <c r="G27" s="1406"/>
      <c r="H27" s="1149"/>
      <c r="I27" s="1029"/>
      <c r="J27" s="1148"/>
      <c r="K27" s="1027"/>
      <c r="L27" s="1026"/>
      <c r="M27" s="1025"/>
      <c r="N27" s="1060"/>
      <c r="O27" s="1150"/>
      <c r="P27" s="1148"/>
      <c r="Q27" s="1406"/>
      <c r="R27" s="1149"/>
      <c r="S27" s="1026"/>
      <c r="T27" s="1418"/>
      <c r="U27" s="1149"/>
      <c r="V27" s="1026"/>
      <c r="W27" s="1025"/>
      <c r="X27" s="1031"/>
      <c r="Y27" s="1442"/>
      <c r="Z27" s="1442"/>
      <c r="AA27" s="1442"/>
      <c r="AB27" s="1442"/>
      <c r="AC27" s="1442"/>
      <c r="AD27" s="1029"/>
      <c r="AE27" s="1028"/>
      <c r="AF27" s="1379"/>
      <c r="AG27" s="1027"/>
      <c r="AH27" s="1026"/>
      <c r="AI27" s="1417"/>
      <c r="AJ27" s="1027"/>
      <c r="AK27" s="1026"/>
      <c r="AL27" s="1025"/>
    </row>
    <row r="28" spans="1:38">
      <c r="A28" s="1139"/>
      <c r="B28" s="1146" t="s">
        <v>1429</v>
      </c>
      <c r="C28" s="1145" t="s">
        <v>1433</v>
      </c>
      <c r="D28" s="1060" t="s">
        <v>1455</v>
      </c>
      <c r="E28" s="1369">
        <f>+'3条支出'!$E$30</f>
        <v>10315355</v>
      </c>
      <c r="F28" s="1154">
        <f>+雨汚支出!AV6</f>
        <v>0</v>
      </c>
      <c r="G28" s="1401">
        <f>+雨汚支出!AW6</f>
        <v>0</v>
      </c>
      <c r="H28" s="1153">
        <f>+雨汚支出!AX6</f>
        <v>0</v>
      </c>
      <c r="I28" s="1029">
        <f t="shared" si="10"/>
        <v>0</v>
      </c>
      <c r="J28" s="1154">
        <f>+雨汚支出!AZ6</f>
        <v>0</v>
      </c>
      <c r="K28" s="1153">
        <f>+雨汚支出!BA6</f>
        <v>10315355</v>
      </c>
      <c r="L28" s="1026">
        <f t="shared" si="0"/>
        <v>10315355</v>
      </c>
      <c r="M28" s="1025">
        <f t="shared" si="1"/>
        <v>0</v>
      </c>
      <c r="N28" s="1060" t="s">
        <v>1455</v>
      </c>
      <c r="O28" s="1370">
        <f>+'3条支出'!$T$30</f>
        <v>10315355</v>
      </c>
      <c r="P28" s="1028">
        <f>+F28</f>
        <v>0</v>
      </c>
      <c r="Q28" s="1379">
        <f>+G28</f>
        <v>0</v>
      </c>
      <c r="R28" s="1149"/>
      <c r="S28" s="1026">
        <f t="shared" si="11"/>
        <v>0</v>
      </c>
      <c r="T28" s="1417">
        <f>+J28</f>
        <v>0</v>
      </c>
      <c r="U28" s="1027">
        <f t="shared" si="16"/>
        <v>10315355</v>
      </c>
      <c r="V28" s="1026">
        <f t="shared" si="4"/>
        <v>10315355</v>
      </c>
      <c r="W28" s="1025">
        <f t="shared" si="12"/>
        <v>0</v>
      </c>
      <c r="X28" s="1031" t="s">
        <v>1455</v>
      </c>
      <c r="Y28" s="1442"/>
      <c r="Z28" s="1442"/>
      <c r="AA28" s="1442"/>
      <c r="AB28" s="1442"/>
      <c r="AC28" s="1442"/>
      <c r="AD28" s="1029">
        <f t="shared" ref="AD28:AG32" si="17">+O28</f>
        <v>10315355</v>
      </c>
      <c r="AE28" s="1028">
        <f t="shared" si="17"/>
        <v>0</v>
      </c>
      <c r="AF28" s="1379">
        <f t="shared" si="17"/>
        <v>0</v>
      </c>
      <c r="AG28" s="1027">
        <f t="shared" si="17"/>
        <v>0</v>
      </c>
      <c r="AH28" s="1041">
        <f t="shared" si="6"/>
        <v>0</v>
      </c>
      <c r="AI28" s="1417">
        <f t="shared" ref="AI28:AJ32" si="18">+T28</f>
        <v>0</v>
      </c>
      <c r="AJ28" s="1027">
        <f t="shared" si="18"/>
        <v>10315355</v>
      </c>
      <c r="AK28" s="1041">
        <f t="shared" si="8"/>
        <v>10315355</v>
      </c>
      <c r="AL28" s="1025">
        <f t="shared" si="9"/>
        <v>0</v>
      </c>
    </row>
    <row r="29" spans="1:38">
      <c r="A29" s="1139"/>
      <c r="B29" s="1146" t="s">
        <v>1429</v>
      </c>
      <c r="C29" s="1145" t="s">
        <v>1433</v>
      </c>
      <c r="D29" s="1060" t="s">
        <v>1452</v>
      </c>
      <c r="E29" s="1369">
        <f>+'3条支出'!$E$28-E42</f>
        <v>10679943</v>
      </c>
      <c r="F29" s="1154">
        <f>+雨汚支出!AV7-F42</f>
        <v>6760</v>
      </c>
      <c r="G29" s="1401">
        <f>+雨汚支出!AW7-G42</f>
        <v>0</v>
      </c>
      <c r="H29" s="1153">
        <f>+雨汚支出!AX7-H42</f>
        <v>0</v>
      </c>
      <c r="I29" s="1029">
        <f t="shared" si="10"/>
        <v>6760</v>
      </c>
      <c r="J29" s="1154">
        <f>+雨汚支出!AZ7-J42</f>
        <v>0</v>
      </c>
      <c r="K29" s="1153">
        <f>+雨汚支出!BA7-K42</f>
        <v>10673183</v>
      </c>
      <c r="L29" s="1026">
        <f t="shared" si="0"/>
        <v>10673183</v>
      </c>
      <c r="M29" s="1025">
        <f t="shared" si="1"/>
        <v>0</v>
      </c>
      <c r="N29" s="1060" t="s">
        <v>1452</v>
      </c>
      <c r="O29" s="1370">
        <f>+'3条支出'!$T$28-O42</f>
        <v>9711499</v>
      </c>
      <c r="P29" s="1154">
        <f>+雨汚支出!BF7-P42</f>
        <v>6733</v>
      </c>
      <c r="Q29" s="1401">
        <f>+雨汚支出!BG7-Q42</f>
        <v>0</v>
      </c>
      <c r="R29" s="1153">
        <f>+雨汚支出!BH7-R42</f>
        <v>0</v>
      </c>
      <c r="S29" s="1026">
        <f t="shared" si="11"/>
        <v>6733</v>
      </c>
      <c r="T29" s="1420">
        <f>+雨汚支出!BJ7-T42</f>
        <v>0</v>
      </c>
      <c r="U29" s="1153">
        <f>+雨汚支出!BK7-U42</f>
        <v>9704766</v>
      </c>
      <c r="V29" s="1026">
        <f t="shared" si="4"/>
        <v>9704766</v>
      </c>
      <c r="W29" s="1025">
        <f t="shared" si="12"/>
        <v>0</v>
      </c>
      <c r="X29" s="1031" t="s">
        <v>1452</v>
      </c>
      <c r="Y29" s="1442"/>
      <c r="Z29" s="1442"/>
      <c r="AA29" s="1442"/>
      <c r="AB29" s="1442"/>
      <c r="AC29" s="1442"/>
      <c r="AD29" s="1029">
        <f t="shared" si="17"/>
        <v>9711499</v>
      </c>
      <c r="AE29" s="1028">
        <f t="shared" si="17"/>
        <v>6733</v>
      </c>
      <c r="AF29" s="1379">
        <f t="shared" si="17"/>
        <v>0</v>
      </c>
      <c r="AG29" s="1027">
        <f t="shared" si="17"/>
        <v>0</v>
      </c>
      <c r="AH29" s="1026">
        <f t="shared" si="6"/>
        <v>6733</v>
      </c>
      <c r="AI29" s="1417">
        <f t="shared" si="18"/>
        <v>0</v>
      </c>
      <c r="AJ29" s="1027">
        <f t="shared" si="18"/>
        <v>9704766</v>
      </c>
      <c r="AK29" s="1026">
        <f t="shared" si="8"/>
        <v>9704766</v>
      </c>
      <c r="AL29" s="1025">
        <f t="shared" si="9"/>
        <v>0</v>
      </c>
    </row>
    <row r="30" spans="1:38">
      <c r="A30" s="1139"/>
      <c r="B30" s="1146" t="s">
        <v>1429</v>
      </c>
      <c r="C30" s="1145" t="s">
        <v>1433</v>
      </c>
      <c r="D30" s="1060" t="s">
        <v>1435</v>
      </c>
      <c r="E30" s="1369">
        <f>+'3条支出'!$E$29-E43</f>
        <v>0</v>
      </c>
      <c r="F30" s="1154">
        <f>+雨汚支出!AV8-F43</f>
        <v>0</v>
      </c>
      <c r="G30" s="1401">
        <f>+雨汚支出!AW8-G43</f>
        <v>0</v>
      </c>
      <c r="H30" s="1153">
        <f>+雨汚支出!AX8-H43</f>
        <v>0</v>
      </c>
      <c r="I30" s="1029">
        <f t="shared" si="10"/>
        <v>0</v>
      </c>
      <c r="J30" s="1154">
        <f>+雨汚支出!AZ8-J43</f>
        <v>0</v>
      </c>
      <c r="K30" s="1153">
        <f>+雨汚支出!BA8-K43</f>
        <v>0</v>
      </c>
      <c r="L30" s="1026">
        <f t="shared" si="0"/>
        <v>0</v>
      </c>
      <c r="M30" s="1025">
        <f t="shared" si="1"/>
        <v>0</v>
      </c>
      <c r="N30" s="1060" t="s">
        <v>1435</v>
      </c>
      <c r="O30" s="1370">
        <f>+'3条支出'!$T$29-O43</f>
        <v>0</v>
      </c>
      <c r="P30" s="1154">
        <f>+雨汚支出!BF8-P43</f>
        <v>0</v>
      </c>
      <c r="Q30" s="1401">
        <f>+雨汚支出!BG8-Q43</f>
        <v>0</v>
      </c>
      <c r="R30" s="1153">
        <f>+雨汚支出!BH8-R43</f>
        <v>0</v>
      </c>
      <c r="S30" s="1026">
        <f t="shared" si="11"/>
        <v>0</v>
      </c>
      <c r="T30" s="1420">
        <f>+雨汚支出!BJ8-T43</f>
        <v>0</v>
      </c>
      <c r="U30" s="1153">
        <f>+雨汚支出!BK8-U43</f>
        <v>0</v>
      </c>
      <c r="V30" s="1026">
        <f t="shared" si="4"/>
        <v>0</v>
      </c>
      <c r="W30" s="1025">
        <f t="shared" si="12"/>
        <v>0</v>
      </c>
      <c r="X30" s="1031" t="s">
        <v>1435</v>
      </c>
      <c r="Y30" s="1442"/>
      <c r="Z30" s="1442"/>
      <c r="AA30" s="1442"/>
      <c r="AB30" s="1442"/>
      <c r="AC30" s="1442"/>
      <c r="AD30" s="1029">
        <f t="shared" si="17"/>
        <v>0</v>
      </c>
      <c r="AE30" s="1028">
        <f t="shared" si="17"/>
        <v>0</v>
      </c>
      <c r="AF30" s="1379">
        <f t="shared" si="17"/>
        <v>0</v>
      </c>
      <c r="AG30" s="1027">
        <f t="shared" si="17"/>
        <v>0</v>
      </c>
      <c r="AH30" s="1026">
        <f t="shared" si="6"/>
        <v>0</v>
      </c>
      <c r="AI30" s="1417">
        <f t="shared" si="18"/>
        <v>0</v>
      </c>
      <c r="AJ30" s="1027">
        <f t="shared" si="18"/>
        <v>0</v>
      </c>
      <c r="AK30" s="1026">
        <f t="shared" si="8"/>
        <v>0</v>
      </c>
      <c r="AL30" s="1025">
        <f t="shared" si="9"/>
        <v>0</v>
      </c>
    </row>
    <row r="31" spans="1:38">
      <c r="A31" s="1139"/>
      <c r="B31" s="1146" t="s">
        <v>1429</v>
      </c>
      <c r="C31" s="1145" t="s">
        <v>1433</v>
      </c>
      <c r="D31" s="1060"/>
      <c r="E31" s="1151"/>
      <c r="F31" s="1148"/>
      <c r="G31" s="1406"/>
      <c r="H31" s="1149"/>
      <c r="I31" s="1029">
        <f t="shared" si="10"/>
        <v>0</v>
      </c>
      <c r="J31" s="1148"/>
      <c r="K31" s="1027">
        <f>+E31-I31-J31</f>
        <v>0</v>
      </c>
      <c r="L31" s="1026">
        <f t="shared" si="0"/>
        <v>0</v>
      </c>
      <c r="M31" s="1025">
        <f t="shared" si="1"/>
        <v>0</v>
      </c>
      <c r="N31" s="1060"/>
      <c r="O31" s="1150"/>
      <c r="P31" s="1148"/>
      <c r="Q31" s="1406"/>
      <c r="R31" s="1149"/>
      <c r="S31" s="1026">
        <f t="shared" si="11"/>
        <v>0</v>
      </c>
      <c r="T31" s="1418"/>
      <c r="U31" s="1027">
        <f t="shared" ref="U31:U44" si="19">+O31-S31-T31</f>
        <v>0</v>
      </c>
      <c r="V31" s="1026">
        <f t="shared" si="4"/>
        <v>0</v>
      </c>
      <c r="W31" s="1025">
        <f t="shared" si="12"/>
        <v>0</v>
      </c>
      <c r="X31" s="1031"/>
      <c r="Y31" s="1442"/>
      <c r="Z31" s="1442"/>
      <c r="AA31" s="1442"/>
      <c r="AB31" s="1442"/>
      <c r="AC31" s="1442"/>
      <c r="AD31" s="1029">
        <f t="shared" si="17"/>
        <v>0</v>
      </c>
      <c r="AE31" s="1028">
        <f t="shared" si="17"/>
        <v>0</v>
      </c>
      <c r="AF31" s="1379">
        <f t="shared" si="17"/>
        <v>0</v>
      </c>
      <c r="AG31" s="1027">
        <f t="shared" si="17"/>
        <v>0</v>
      </c>
      <c r="AH31" s="1026">
        <f t="shared" si="6"/>
        <v>0</v>
      </c>
      <c r="AI31" s="1417">
        <f t="shared" si="18"/>
        <v>0</v>
      </c>
      <c r="AJ31" s="1027">
        <f t="shared" si="18"/>
        <v>0</v>
      </c>
      <c r="AK31" s="1026">
        <f t="shared" si="8"/>
        <v>0</v>
      </c>
      <c r="AL31" s="1025">
        <f t="shared" si="9"/>
        <v>0</v>
      </c>
    </row>
    <row r="32" spans="1:38">
      <c r="A32" s="1139"/>
      <c r="B32" s="1146" t="s">
        <v>1429</v>
      </c>
      <c r="C32" s="1145" t="s">
        <v>1433</v>
      </c>
      <c r="D32" s="1060"/>
      <c r="E32" s="1151"/>
      <c r="F32" s="1148"/>
      <c r="G32" s="1406"/>
      <c r="H32" s="1149"/>
      <c r="I32" s="1029">
        <f t="shared" si="10"/>
        <v>0</v>
      </c>
      <c r="J32" s="1148"/>
      <c r="K32" s="1027">
        <f>+E32-I32-J32</f>
        <v>0</v>
      </c>
      <c r="L32" s="1026">
        <f t="shared" si="0"/>
        <v>0</v>
      </c>
      <c r="M32" s="1025">
        <f t="shared" si="1"/>
        <v>0</v>
      </c>
      <c r="N32" s="1060"/>
      <c r="O32" s="1150"/>
      <c r="P32" s="1148"/>
      <c r="Q32" s="1406"/>
      <c r="R32" s="1149"/>
      <c r="S32" s="1026">
        <f t="shared" si="11"/>
        <v>0</v>
      </c>
      <c r="T32" s="1418"/>
      <c r="U32" s="1027">
        <f t="shared" si="19"/>
        <v>0</v>
      </c>
      <c r="V32" s="1026">
        <f t="shared" si="4"/>
        <v>0</v>
      </c>
      <c r="W32" s="1025">
        <f t="shared" si="12"/>
        <v>0</v>
      </c>
      <c r="X32" s="1031"/>
      <c r="Y32" s="1442"/>
      <c r="Z32" s="1442"/>
      <c r="AA32" s="1442"/>
      <c r="AB32" s="1442"/>
      <c r="AC32" s="1442"/>
      <c r="AD32" s="1029">
        <f t="shared" si="17"/>
        <v>0</v>
      </c>
      <c r="AE32" s="1028">
        <f t="shared" si="17"/>
        <v>0</v>
      </c>
      <c r="AF32" s="1379">
        <f t="shared" si="17"/>
        <v>0</v>
      </c>
      <c r="AG32" s="1027">
        <f t="shared" si="17"/>
        <v>0</v>
      </c>
      <c r="AH32" s="1026">
        <f t="shared" si="6"/>
        <v>0</v>
      </c>
      <c r="AI32" s="1417">
        <f t="shared" si="18"/>
        <v>0</v>
      </c>
      <c r="AJ32" s="1027">
        <f t="shared" si="18"/>
        <v>0</v>
      </c>
      <c r="AK32" s="1026">
        <f t="shared" si="8"/>
        <v>0</v>
      </c>
      <c r="AL32" s="1025">
        <f t="shared" si="9"/>
        <v>0</v>
      </c>
    </row>
    <row r="33" spans="1:38">
      <c r="A33" s="1139"/>
      <c r="B33" s="1146"/>
      <c r="C33" s="1145"/>
      <c r="D33" s="1060"/>
      <c r="E33" s="1151"/>
      <c r="F33" s="1158"/>
      <c r="G33" s="1408"/>
      <c r="H33" s="1149"/>
      <c r="I33" s="1029"/>
      <c r="J33" s="1158"/>
      <c r="K33" s="1027"/>
      <c r="L33" s="1026"/>
      <c r="M33" s="1025"/>
      <c r="N33" s="1060"/>
      <c r="O33" s="1150"/>
      <c r="P33" s="1158"/>
      <c r="Q33" s="1408"/>
      <c r="R33" s="1149"/>
      <c r="S33" s="1026"/>
      <c r="T33" s="1419"/>
      <c r="U33" s="1149"/>
      <c r="V33" s="1026"/>
      <c r="W33" s="1025"/>
      <c r="X33" s="1031"/>
      <c r="Y33" s="1442"/>
      <c r="Z33" s="1442"/>
      <c r="AA33" s="1442"/>
      <c r="AB33" s="1442"/>
      <c r="AC33" s="1442"/>
      <c r="AD33" s="1029"/>
      <c r="AE33" s="1028"/>
      <c r="AF33" s="1379"/>
      <c r="AG33" s="1027"/>
      <c r="AH33" s="1041"/>
      <c r="AI33" s="1417"/>
      <c r="AJ33" s="1027"/>
      <c r="AK33" s="1041"/>
      <c r="AL33" s="1025"/>
    </row>
    <row r="34" spans="1:38">
      <c r="A34" s="1139"/>
      <c r="B34" s="1146" t="s">
        <v>1427</v>
      </c>
      <c r="C34" s="1145" t="s">
        <v>1446</v>
      </c>
      <c r="D34" s="1060" t="s">
        <v>1448</v>
      </c>
      <c r="E34" s="1369">
        <f>'3条支出'!$E$19</f>
        <v>26551442230</v>
      </c>
      <c r="F34" s="1142">
        <v>12077971252</v>
      </c>
      <c r="G34" s="1405">
        <v>130483874</v>
      </c>
      <c r="H34" s="1027"/>
      <c r="I34" s="1029">
        <f t="shared" si="10"/>
        <v>12208455126</v>
      </c>
      <c r="J34" s="1142">
        <v>490154021</v>
      </c>
      <c r="K34" s="1141">
        <v>13581700001</v>
      </c>
      <c r="L34" s="1026">
        <f t="shared" si="0"/>
        <v>14071854022</v>
      </c>
      <c r="M34" s="1025">
        <f t="shared" si="1"/>
        <v>271133082</v>
      </c>
      <c r="N34" s="1060" t="s">
        <v>1448</v>
      </c>
      <c r="O34" s="1370">
        <f>+'3条支出'!$T$19</f>
        <v>26551442230</v>
      </c>
      <c r="P34" s="1028">
        <f>+F34</f>
        <v>12077971252</v>
      </c>
      <c r="Q34" s="1379">
        <f>+G34</f>
        <v>130483874</v>
      </c>
      <c r="R34" s="1027">
        <f>+H34</f>
        <v>0</v>
      </c>
      <c r="S34" s="1026">
        <f t="shared" si="11"/>
        <v>12208455126</v>
      </c>
      <c r="T34" s="1417">
        <f>+J34</f>
        <v>490154021</v>
      </c>
      <c r="U34" s="1027">
        <f>+K34</f>
        <v>13581700001</v>
      </c>
      <c r="V34" s="1026">
        <f t="shared" si="4"/>
        <v>14071854022</v>
      </c>
      <c r="W34" s="1025">
        <f t="shared" si="12"/>
        <v>271133082</v>
      </c>
      <c r="X34" s="1031" t="s">
        <v>1448</v>
      </c>
      <c r="Y34" s="1442"/>
      <c r="Z34" s="1442"/>
      <c r="AA34" s="1442"/>
      <c r="AB34" s="1442"/>
      <c r="AC34" s="1442"/>
      <c r="AD34" s="1029">
        <f t="shared" ref="AD34:AG35" si="20">+O34</f>
        <v>26551442230</v>
      </c>
      <c r="AE34" s="1028">
        <f t="shared" si="20"/>
        <v>12077971252</v>
      </c>
      <c r="AF34" s="1379">
        <f t="shared" si="20"/>
        <v>130483874</v>
      </c>
      <c r="AG34" s="1027">
        <f t="shared" si="20"/>
        <v>0</v>
      </c>
      <c r="AH34" s="1026">
        <f t="shared" si="6"/>
        <v>12208455126</v>
      </c>
      <c r="AI34" s="1417">
        <f>+T34</f>
        <v>490154021</v>
      </c>
      <c r="AJ34" s="1027">
        <f>+U34</f>
        <v>13581700001</v>
      </c>
      <c r="AK34" s="1026">
        <f t="shared" si="8"/>
        <v>14071854022</v>
      </c>
      <c r="AL34" s="1025">
        <f t="shared" si="9"/>
        <v>271133082</v>
      </c>
    </row>
    <row r="35" spans="1:38">
      <c r="A35" s="1139"/>
      <c r="B35" s="1146" t="s">
        <v>1427</v>
      </c>
      <c r="C35" s="1145" t="s">
        <v>1446</v>
      </c>
      <c r="D35" s="1152" t="s">
        <v>1445</v>
      </c>
      <c r="E35" s="1369">
        <f>'3条支出'!$E$20-E20</f>
        <v>503761871</v>
      </c>
      <c r="F35" s="1028">
        <f>+E35-L35-G35</f>
        <v>351779106</v>
      </c>
      <c r="G35" s="1379">
        <f>+IFERROR(ROUND((E35-L35)*G34/I34,0),0)</f>
        <v>3800431</v>
      </c>
      <c r="H35" s="1149"/>
      <c r="I35" s="1029">
        <f t="shared" si="10"/>
        <v>355579537</v>
      </c>
      <c r="J35" s="1142">
        <v>7665695</v>
      </c>
      <c r="K35" s="1141">
        <v>140516639</v>
      </c>
      <c r="L35" s="1026">
        <f t="shared" si="0"/>
        <v>148182334</v>
      </c>
      <c r="M35" s="1025">
        <f t="shared" si="1"/>
        <v>0</v>
      </c>
      <c r="N35" s="1152" t="s">
        <v>1445</v>
      </c>
      <c r="O35" s="1370">
        <f>+'3条支出'!$T$20-O20</f>
        <v>503761871</v>
      </c>
      <c r="P35" s="1028">
        <f>+F35</f>
        <v>351779106</v>
      </c>
      <c r="Q35" s="1379">
        <f>+G35</f>
        <v>3800431</v>
      </c>
      <c r="R35" s="1149"/>
      <c r="S35" s="1026">
        <f t="shared" si="11"/>
        <v>355579537</v>
      </c>
      <c r="T35" s="1417">
        <f>+J35</f>
        <v>7665695</v>
      </c>
      <c r="U35" s="1027">
        <f>+K35</f>
        <v>140516639</v>
      </c>
      <c r="V35" s="1026">
        <f t="shared" si="4"/>
        <v>148182334</v>
      </c>
      <c r="W35" s="1025">
        <f t="shared" si="12"/>
        <v>0</v>
      </c>
      <c r="X35" s="1039" t="s">
        <v>1445</v>
      </c>
      <c r="Y35" s="1443"/>
      <c r="Z35" s="1443"/>
      <c r="AA35" s="1443"/>
      <c r="AB35" s="1443"/>
      <c r="AC35" s="1443"/>
      <c r="AD35" s="1029">
        <f t="shared" si="20"/>
        <v>503761871</v>
      </c>
      <c r="AE35" s="1028">
        <f t="shared" si="20"/>
        <v>351779106</v>
      </c>
      <c r="AF35" s="1379">
        <f t="shared" si="20"/>
        <v>3800431</v>
      </c>
      <c r="AG35" s="1027">
        <f t="shared" si="20"/>
        <v>0</v>
      </c>
      <c r="AH35" s="1026">
        <f t="shared" si="6"/>
        <v>355579537</v>
      </c>
      <c r="AI35" s="1417">
        <f>+T35</f>
        <v>7665695</v>
      </c>
      <c r="AJ35" s="1027">
        <f>+U35</f>
        <v>140516639</v>
      </c>
      <c r="AK35" s="1026">
        <f t="shared" si="8"/>
        <v>148182334</v>
      </c>
      <c r="AL35" s="1025">
        <f t="shared" si="9"/>
        <v>0</v>
      </c>
    </row>
    <row r="36" spans="1:38">
      <c r="A36" s="1139"/>
      <c r="B36" s="1146"/>
      <c r="C36" s="1145"/>
      <c r="D36" s="1060"/>
      <c r="E36" s="1151"/>
      <c r="F36" s="1148"/>
      <c r="G36" s="1406"/>
      <c r="H36" s="1149"/>
      <c r="I36" s="1029"/>
      <c r="J36" s="1148"/>
      <c r="K36" s="1027"/>
      <c r="L36" s="1026"/>
      <c r="M36" s="1025"/>
      <c r="N36" s="1060"/>
      <c r="O36" s="1150"/>
      <c r="P36" s="1028"/>
      <c r="Q36" s="1379"/>
      <c r="R36" s="1149"/>
      <c r="S36" s="1026"/>
      <c r="T36" s="1417"/>
      <c r="U36" s="1027"/>
      <c r="V36" s="1026"/>
      <c r="W36" s="1025"/>
      <c r="X36" s="1031"/>
      <c r="Y36" s="1442"/>
      <c r="Z36" s="1442"/>
      <c r="AA36" s="1442"/>
      <c r="AB36" s="1442"/>
      <c r="AC36" s="1442"/>
      <c r="AD36" s="1029"/>
      <c r="AE36" s="1028"/>
      <c r="AF36" s="1379"/>
      <c r="AG36" s="1027"/>
      <c r="AH36" s="1026"/>
      <c r="AI36" s="1417"/>
      <c r="AJ36" s="1027"/>
      <c r="AK36" s="1026"/>
      <c r="AL36" s="1025"/>
    </row>
    <row r="37" spans="1:38">
      <c r="A37" s="1139"/>
      <c r="B37" s="1146" t="s">
        <v>1427</v>
      </c>
      <c r="C37" s="1145" t="s">
        <v>1439</v>
      </c>
      <c r="D37" s="1060" t="s">
        <v>1531</v>
      </c>
      <c r="E37" s="1144">
        <f>+営外!E6</f>
        <v>3884144913</v>
      </c>
      <c r="F37" s="1142">
        <v>3239911015</v>
      </c>
      <c r="G37" s="1405"/>
      <c r="H37" s="1141">
        <v>93230210</v>
      </c>
      <c r="I37" s="1029">
        <f t="shared" si="10"/>
        <v>3333141225</v>
      </c>
      <c r="J37" s="1142">
        <v>875942080</v>
      </c>
      <c r="K37" s="1141">
        <v>4258555660</v>
      </c>
      <c r="L37" s="1026">
        <f t="shared" si="0"/>
        <v>5134497740</v>
      </c>
      <c r="M37" s="1025">
        <f t="shared" si="1"/>
        <v>-4583494052</v>
      </c>
      <c r="N37" s="1060" t="s">
        <v>1531</v>
      </c>
      <c r="O37" s="1143">
        <f>+営外!T6</f>
        <v>3884144913</v>
      </c>
      <c r="P37" s="1028">
        <f>+F37</f>
        <v>3239911015</v>
      </c>
      <c r="Q37" s="1379">
        <f>+G37</f>
        <v>0</v>
      </c>
      <c r="R37" s="1027">
        <f>+H37</f>
        <v>93230210</v>
      </c>
      <c r="S37" s="1026">
        <f t="shared" si="11"/>
        <v>3333141225</v>
      </c>
      <c r="T37" s="1417">
        <f>+J37</f>
        <v>875942080</v>
      </c>
      <c r="U37" s="1027">
        <f>+O37-S37-T37</f>
        <v>-324938392</v>
      </c>
      <c r="V37" s="1026">
        <f t="shared" si="4"/>
        <v>551003688</v>
      </c>
      <c r="W37" s="1025">
        <f t="shared" si="12"/>
        <v>0</v>
      </c>
      <c r="X37" s="1039" t="s">
        <v>1443</v>
      </c>
      <c r="Y37" s="1443"/>
      <c r="Z37" s="1443"/>
      <c r="AA37" s="1443"/>
      <c r="AB37" s="1443"/>
      <c r="AC37" s="1443"/>
      <c r="AD37" s="1029">
        <f t="shared" ref="AD37:AG38" si="21">+O37</f>
        <v>3884144913</v>
      </c>
      <c r="AE37" s="1028">
        <f t="shared" si="21"/>
        <v>3239911015</v>
      </c>
      <c r="AF37" s="1379">
        <f t="shared" si="21"/>
        <v>0</v>
      </c>
      <c r="AG37" s="1027">
        <f t="shared" si="21"/>
        <v>93230210</v>
      </c>
      <c r="AH37" s="1026">
        <f t="shared" si="6"/>
        <v>3333141225</v>
      </c>
      <c r="AI37" s="1417">
        <f>+T37</f>
        <v>875942080</v>
      </c>
      <c r="AJ37" s="1027">
        <f>+U37</f>
        <v>-324938392</v>
      </c>
      <c r="AK37" s="1026">
        <f t="shared" si="8"/>
        <v>551003688</v>
      </c>
      <c r="AL37" s="1025">
        <f t="shared" si="9"/>
        <v>0</v>
      </c>
    </row>
    <row r="38" spans="1:38">
      <c r="A38" s="1139"/>
      <c r="B38" s="1146" t="s">
        <v>1427</v>
      </c>
      <c r="C38" s="1145" t="s">
        <v>1439</v>
      </c>
      <c r="D38" s="1060" t="s">
        <v>1441</v>
      </c>
      <c r="E38" s="1144">
        <f>+営外!E9</f>
        <v>61813753</v>
      </c>
      <c r="F38" s="1142">
        <v>21371910</v>
      </c>
      <c r="G38" s="1405"/>
      <c r="H38" s="1149"/>
      <c r="I38" s="1029">
        <f t="shared" si="10"/>
        <v>21371910</v>
      </c>
      <c r="J38" s="1142"/>
      <c r="K38" s="1141">
        <v>25588999</v>
      </c>
      <c r="L38" s="1026">
        <f t="shared" si="0"/>
        <v>25588999</v>
      </c>
      <c r="M38" s="1025">
        <f t="shared" si="1"/>
        <v>14852844</v>
      </c>
      <c r="N38" s="1060" t="s">
        <v>1441</v>
      </c>
      <c r="O38" s="1143">
        <f>+営外!T9</f>
        <v>56194321</v>
      </c>
      <c r="P38" s="1028">
        <f>+IFERROR(ROUND(F38*$O38/$E38,0),0)</f>
        <v>19429009</v>
      </c>
      <c r="Q38" s="1379">
        <f>+IFERROR(ROUND(G38*$O38/$E38,0),0)</f>
        <v>0</v>
      </c>
      <c r="R38" s="1027">
        <f>+IFERROR(ROUND(H38*$O38/$E38,0),0)</f>
        <v>0</v>
      </c>
      <c r="S38" s="1026">
        <f t="shared" si="11"/>
        <v>19429009</v>
      </c>
      <c r="T38" s="1417">
        <f>+IFERROR(ROUND(J38*$O38/$E38,0),0)</f>
        <v>0</v>
      </c>
      <c r="U38" s="1027">
        <f>+O38-S38-T38</f>
        <v>36765312</v>
      </c>
      <c r="V38" s="1026">
        <f t="shared" si="4"/>
        <v>36765312</v>
      </c>
      <c r="W38" s="1025">
        <f t="shared" si="12"/>
        <v>0</v>
      </c>
      <c r="X38" s="1031" t="s">
        <v>1441</v>
      </c>
      <c r="Y38" s="1442"/>
      <c r="Z38" s="1442"/>
      <c r="AA38" s="1442"/>
      <c r="AB38" s="1442"/>
      <c r="AC38" s="1442"/>
      <c r="AD38" s="1029">
        <f t="shared" si="21"/>
        <v>56194321</v>
      </c>
      <c r="AE38" s="1028">
        <f t="shared" si="21"/>
        <v>19429009</v>
      </c>
      <c r="AF38" s="1379">
        <f t="shared" si="21"/>
        <v>0</v>
      </c>
      <c r="AG38" s="1027">
        <f t="shared" si="21"/>
        <v>0</v>
      </c>
      <c r="AH38" s="1026">
        <f t="shared" si="6"/>
        <v>19429009</v>
      </c>
      <c r="AI38" s="1417">
        <f>+T38</f>
        <v>0</v>
      </c>
      <c r="AJ38" s="1027">
        <f>+U38</f>
        <v>36765312</v>
      </c>
      <c r="AK38" s="1026">
        <f t="shared" si="8"/>
        <v>36765312</v>
      </c>
      <c r="AL38" s="1025">
        <f t="shared" si="9"/>
        <v>0</v>
      </c>
    </row>
    <row r="39" spans="1:38">
      <c r="A39" s="1139"/>
      <c r="B39" s="1146" t="s">
        <v>1427</v>
      </c>
      <c r="C39" s="1145" t="s">
        <v>1439</v>
      </c>
      <c r="D39" s="1152" t="s">
        <v>1438</v>
      </c>
      <c r="E39" s="1151"/>
      <c r="F39" s="1148"/>
      <c r="G39" s="1406"/>
      <c r="H39" s="1149"/>
      <c r="I39" s="1029">
        <f t="shared" si="10"/>
        <v>0</v>
      </c>
      <c r="J39" s="1148"/>
      <c r="K39" s="1027">
        <f>+E39-I39-J39</f>
        <v>0</v>
      </c>
      <c r="L39" s="1026">
        <f t="shared" ref="L39" si="22">+SUM(J39:K39)</f>
        <v>0</v>
      </c>
      <c r="M39" s="1025">
        <f t="shared" si="1"/>
        <v>0</v>
      </c>
      <c r="N39" s="1152" t="s">
        <v>1438</v>
      </c>
      <c r="O39" s="1150"/>
      <c r="P39" s="1148"/>
      <c r="Q39" s="1406"/>
      <c r="R39" s="1149"/>
      <c r="S39" s="1026">
        <f t="shared" si="11"/>
        <v>0</v>
      </c>
      <c r="T39" s="1418"/>
      <c r="U39" s="1149">
        <f t="shared" si="19"/>
        <v>0</v>
      </c>
      <c r="V39" s="1026">
        <f t="shared" si="4"/>
        <v>0</v>
      </c>
      <c r="W39" s="1025">
        <f t="shared" si="12"/>
        <v>0</v>
      </c>
      <c r="X39" s="1031" t="s">
        <v>1438</v>
      </c>
      <c r="Y39" s="1442"/>
      <c r="Z39" s="1442"/>
      <c r="AA39" s="1442"/>
      <c r="AB39" s="1442"/>
      <c r="AC39" s="1442"/>
      <c r="AD39" s="1038">
        <f>+SUM(AD113,AD124)</f>
        <v>-4580940413</v>
      </c>
      <c r="AE39" s="1037">
        <f>+SUM(AE113,AE124)</f>
        <v>-3525955391</v>
      </c>
      <c r="AF39" s="1378">
        <f>+SUM(AF113,AF124)</f>
        <v>0</v>
      </c>
      <c r="AG39" s="1036">
        <f>+SUM(AG113,AG124)</f>
        <v>-101485026</v>
      </c>
      <c r="AH39" s="1026">
        <f t="shared" si="6"/>
        <v>-3627440417</v>
      </c>
      <c r="AI39" s="1422">
        <f>+SUM(AI113,AI124)</f>
        <v>-953499996</v>
      </c>
      <c r="AJ39" s="1036">
        <f>+SUM(AJ113,AJ124)</f>
        <v>0</v>
      </c>
      <c r="AK39" s="1026">
        <f t="shared" si="8"/>
        <v>-953499996</v>
      </c>
      <c r="AL39" s="1025">
        <f t="shared" si="9"/>
        <v>0</v>
      </c>
    </row>
    <row r="40" spans="1:38">
      <c r="A40" s="1139"/>
      <c r="B40" s="1146"/>
      <c r="C40" s="1145"/>
      <c r="D40" s="1060"/>
      <c r="E40" s="1151"/>
      <c r="F40" s="1148"/>
      <c r="G40" s="1406"/>
      <c r="H40" s="1149"/>
      <c r="I40" s="1029"/>
      <c r="J40" s="1148"/>
      <c r="K40" s="1027"/>
      <c r="L40" s="1026"/>
      <c r="M40" s="1025"/>
      <c r="N40" s="1060"/>
      <c r="O40" s="1150"/>
      <c r="P40" s="1148"/>
      <c r="Q40" s="1406"/>
      <c r="R40" s="1149"/>
      <c r="S40" s="1026"/>
      <c r="T40" s="1418"/>
      <c r="U40" s="1149"/>
      <c r="V40" s="1026"/>
      <c r="W40" s="1025"/>
      <c r="X40" s="1031"/>
      <c r="Y40" s="1442"/>
      <c r="Z40" s="1442"/>
      <c r="AA40" s="1442"/>
      <c r="AB40" s="1442"/>
      <c r="AC40" s="1442"/>
      <c r="AD40" s="1029"/>
      <c r="AE40" s="1028"/>
      <c r="AF40" s="1379"/>
      <c r="AG40" s="1027"/>
      <c r="AH40" s="1026"/>
      <c r="AI40" s="1417"/>
      <c r="AJ40" s="1027"/>
      <c r="AK40" s="1026"/>
      <c r="AL40" s="1025"/>
    </row>
    <row r="41" spans="1:38">
      <c r="A41" s="1139"/>
      <c r="B41" s="1146" t="s">
        <v>1427</v>
      </c>
      <c r="C41" s="1145" t="s">
        <v>1433</v>
      </c>
      <c r="D41" s="1060"/>
      <c r="E41" s="1040"/>
      <c r="F41" s="1028"/>
      <c r="G41" s="1379"/>
      <c r="H41" s="1027"/>
      <c r="I41" s="1029">
        <f t="shared" si="10"/>
        <v>0</v>
      </c>
      <c r="J41" s="1028"/>
      <c r="K41" s="1027"/>
      <c r="L41" s="1026">
        <f t="shared" ref="L41" si="23">+SUM(J41:K41)</f>
        <v>0</v>
      </c>
      <c r="M41" s="1025">
        <f t="shared" si="1"/>
        <v>0</v>
      </c>
      <c r="N41" s="1060"/>
      <c r="O41" s="1150"/>
      <c r="P41" s="1148"/>
      <c r="Q41" s="1406"/>
      <c r="R41" s="1149"/>
      <c r="S41" s="1026">
        <f t="shared" si="11"/>
        <v>0</v>
      </c>
      <c r="T41" s="1418"/>
      <c r="U41" s="1149">
        <f t="shared" si="19"/>
        <v>0</v>
      </c>
      <c r="V41" s="1026">
        <f t="shared" si="4"/>
        <v>0</v>
      </c>
      <c r="W41" s="1025">
        <f t="shared" si="12"/>
        <v>0</v>
      </c>
      <c r="X41" s="1031"/>
      <c r="Y41" s="1442"/>
      <c r="Z41" s="1442"/>
      <c r="AA41" s="1442"/>
      <c r="AB41" s="1442"/>
      <c r="AC41" s="1442"/>
      <c r="AD41" s="1029">
        <f t="shared" ref="AD41:AG44" si="24">+O41</f>
        <v>0</v>
      </c>
      <c r="AE41" s="1028">
        <f t="shared" si="24"/>
        <v>0</v>
      </c>
      <c r="AF41" s="1379">
        <f t="shared" si="24"/>
        <v>0</v>
      </c>
      <c r="AG41" s="1027">
        <f t="shared" si="24"/>
        <v>0</v>
      </c>
      <c r="AH41" s="1026">
        <f t="shared" si="6"/>
        <v>0</v>
      </c>
      <c r="AI41" s="1417">
        <f t="shared" ref="AI41:AJ44" si="25">+T41</f>
        <v>0</v>
      </c>
      <c r="AJ41" s="1027">
        <f t="shared" si="25"/>
        <v>0</v>
      </c>
      <c r="AK41" s="1026">
        <f t="shared" si="8"/>
        <v>0</v>
      </c>
      <c r="AL41" s="1025">
        <f t="shared" si="9"/>
        <v>0</v>
      </c>
    </row>
    <row r="42" spans="1:38">
      <c r="A42" s="1139"/>
      <c r="B42" s="1146" t="s">
        <v>1427</v>
      </c>
      <c r="C42" s="1145" t="s">
        <v>1433</v>
      </c>
      <c r="D42" s="1060" t="s">
        <v>1437</v>
      </c>
      <c r="E42" s="1040">
        <f>+SUM(I42,L42:L42)</f>
        <v>0</v>
      </c>
      <c r="F42" s="1142"/>
      <c r="G42" s="1405"/>
      <c r="H42" s="1149"/>
      <c r="I42" s="1029">
        <f t="shared" si="10"/>
        <v>0</v>
      </c>
      <c r="J42" s="1142"/>
      <c r="K42" s="1141"/>
      <c r="L42" s="1026">
        <f t="shared" si="0"/>
        <v>0</v>
      </c>
      <c r="M42" s="1025">
        <f t="shared" si="1"/>
        <v>0</v>
      </c>
      <c r="N42" s="1060" t="s">
        <v>1437</v>
      </c>
      <c r="O42" s="1040">
        <f t="shared" ref="O42:Q43" si="26">+E42</f>
        <v>0</v>
      </c>
      <c r="P42" s="1028">
        <f t="shared" si="26"/>
        <v>0</v>
      </c>
      <c r="Q42" s="1379">
        <f t="shared" si="26"/>
        <v>0</v>
      </c>
      <c r="R42" s="1027"/>
      <c r="S42" s="1026">
        <f t="shared" si="11"/>
        <v>0</v>
      </c>
      <c r="T42" s="1417">
        <f>+J42</f>
        <v>0</v>
      </c>
      <c r="U42" s="1027">
        <f t="shared" si="19"/>
        <v>0</v>
      </c>
      <c r="V42" s="1026">
        <f t="shared" si="4"/>
        <v>0</v>
      </c>
      <c r="W42" s="1025">
        <f t="shared" si="12"/>
        <v>0</v>
      </c>
      <c r="X42" s="1031" t="s">
        <v>1437</v>
      </c>
      <c r="Y42" s="1442"/>
      <c r="Z42" s="1442"/>
      <c r="AA42" s="1442"/>
      <c r="AB42" s="1442"/>
      <c r="AC42" s="1442"/>
      <c r="AD42" s="1029">
        <f t="shared" si="24"/>
        <v>0</v>
      </c>
      <c r="AE42" s="1028">
        <f t="shared" si="24"/>
        <v>0</v>
      </c>
      <c r="AF42" s="1379">
        <f t="shared" si="24"/>
        <v>0</v>
      </c>
      <c r="AG42" s="1027">
        <f t="shared" si="24"/>
        <v>0</v>
      </c>
      <c r="AH42" s="1026">
        <f t="shared" si="6"/>
        <v>0</v>
      </c>
      <c r="AI42" s="1417">
        <f t="shared" si="25"/>
        <v>0</v>
      </c>
      <c r="AJ42" s="1027">
        <f t="shared" si="25"/>
        <v>0</v>
      </c>
      <c r="AK42" s="1026">
        <f t="shared" si="8"/>
        <v>0</v>
      </c>
      <c r="AL42" s="1025">
        <f t="shared" si="9"/>
        <v>0</v>
      </c>
    </row>
    <row r="43" spans="1:38">
      <c r="A43" s="1139"/>
      <c r="B43" s="1146" t="s">
        <v>1427</v>
      </c>
      <c r="C43" s="1145" t="s">
        <v>1433</v>
      </c>
      <c r="D43" s="1060" t="s">
        <v>1435</v>
      </c>
      <c r="E43" s="1040">
        <f>+SUM(I43,L43:L43)</f>
        <v>0</v>
      </c>
      <c r="F43" s="1142"/>
      <c r="G43" s="1405"/>
      <c r="H43" s="1149"/>
      <c r="I43" s="1029">
        <f t="shared" si="10"/>
        <v>0</v>
      </c>
      <c r="J43" s="1142"/>
      <c r="K43" s="1141"/>
      <c r="L43" s="1026">
        <f t="shared" si="0"/>
        <v>0</v>
      </c>
      <c r="M43" s="1025">
        <f t="shared" si="1"/>
        <v>0</v>
      </c>
      <c r="N43" s="1060" t="s">
        <v>1435</v>
      </c>
      <c r="O43" s="1040">
        <f t="shared" si="26"/>
        <v>0</v>
      </c>
      <c r="P43" s="1028">
        <f t="shared" si="26"/>
        <v>0</v>
      </c>
      <c r="Q43" s="1379">
        <f t="shared" si="26"/>
        <v>0</v>
      </c>
      <c r="R43" s="1027"/>
      <c r="S43" s="1026">
        <f t="shared" si="11"/>
        <v>0</v>
      </c>
      <c r="T43" s="1417">
        <f>+J43</f>
        <v>0</v>
      </c>
      <c r="U43" s="1027">
        <f t="shared" si="19"/>
        <v>0</v>
      </c>
      <c r="V43" s="1026">
        <f t="shared" si="4"/>
        <v>0</v>
      </c>
      <c r="W43" s="1025">
        <f t="shared" si="12"/>
        <v>0</v>
      </c>
      <c r="X43" s="1031" t="s">
        <v>1435</v>
      </c>
      <c r="Y43" s="1442"/>
      <c r="Z43" s="1442"/>
      <c r="AA43" s="1442"/>
      <c r="AB43" s="1442"/>
      <c r="AC43" s="1442"/>
      <c r="AD43" s="1029">
        <f t="shared" si="24"/>
        <v>0</v>
      </c>
      <c r="AE43" s="1028">
        <f t="shared" si="24"/>
        <v>0</v>
      </c>
      <c r="AF43" s="1379">
        <f t="shared" si="24"/>
        <v>0</v>
      </c>
      <c r="AG43" s="1027">
        <f t="shared" si="24"/>
        <v>0</v>
      </c>
      <c r="AH43" s="1026">
        <f t="shared" si="6"/>
        <v>0</v>
      </c>
      <c r="AI43" s="1417">
        <f t="shared" si="25"/>
        <v>0</v>
      </c>
      <c r="AJ43" s="1027">
        <f t="shared" si="25"/>
        <v>0</v>
      </c>
      <c r="AK43" s="1026">
        <f t="shared" si="8"/>
        <v>0</v>
      </c>
      <c r="AL43" s="1025">
        <f t="shared" si="9"/>
        <v>0</v>
      </c>
    </row>
    <row r="44" spans="1:38">
      <c r="A44" s="1139"/>
      <c r="B44" s="1146" t="s">
        <v>1427</v>
      </c>
      <c r="C44" s="1145" t="s">
        <v>1433</v>
      </c>
      <c r="D44" s="1060" t="s">
        <v>1432</v>
      </c>
      <c r="E44" s="1369">
        <f>+'3条支出'!$E$31</f>
        <v>0</v>
      </c>
      <c r="F44" s="1142"/>
      <c r="G44" s="1379"/>
      <c r="H44" s="1149"/>
      <c r="I44" s="1029">
        <f t="shared" si="10"/>
        <v>0</v>
      </c>
      <c r="J44" s="1028"/>
      <c r="K44" s="1141"/>
      <c r="L44" s="1026">
        <f t="shared" si="0"/>
        <v>0</v>
      </c>
      <c r="M44" s="1025">
        <f t="shared" si="1"/>
        <v>0</v>
      </c>
      <c r="N44" s="1060" t="s">
        <v>1432</v>
      </c>
      <c r="O44" s="1370">
        <f>'3条支出'!$T$31</f>
        <v>0</v>
      </c>
      <c r="P44" s="1028">
        <f>+F44</f>
        <v>0</v>
      </c>
      <c r="Q44" s="1379"/>
      <c r="R44" s="1149"/>
      <c r="S44" s="1026">
        <f t="shared" si="11"/>
        <v>0</v>
      </c>
      <c r="T44" s="1417"/>
      <c r="U44" s="1027">
        <f t="shared" si="19"/>
        <v>0</v>
      </c>
      <c r="V44" s="1026">
        <f t="shared" si="4"/>
        <v>0</v>
      </c>
      <c r="W44" s="1025">
        <f t="shared" si="12"/>
        <v>0</v>
      </c>
      <c r="X44" s="1031" t="s">
        <v>1432</v>
      </c>
      <c r="Y44" s="1442"/>
      <c r="Z44" s="1442"/>
      <c r="AA44" s="1442"/>
      <c r="AB44" s="1442"/>
      <c r="AC44" s="1442"/>
      <c r="AD44" s="1029">
        <f t="shared" si="24"/>
        <v>0</v>
      </c>
      <c r="AE44" s="1028">
        <f t="shared" si="24"/>
        <v>0</v>
      </c>
      <c r="AF44" s="1379">
        <f t="shared" si="24"/>
        <v>0</v>
      </c>
      <c r="AG44" s="1027">
        <f t="shared" si="24"/>
        <v>0</v>
      </c>
      <c r="AH44" s="1026">
        <f t="shared" si="6"/>
        <v>0</v>
      </c>
      <c r="AI44" s="1417">
        <f t="shared" si="25"/>
        <v>0</v>
      </c>
      <c r="AJ44" s="1027">
        <f t="shared" si="25"/>
        <v>0</v>
      </c>
      <c r="AK44" s="1026">
        <f t="shared" si="8"/>
        <v>0</v>
      </c>
      <c r="AL44" s="1025">
        <f t="shared" si="9"/>
        <v>0</v>
      </c>
    </row>
    <row r="45" spans="1:38" ht="14.25" thickBot="1">
      <c r="A45" s="1139"/>
      <c r="B45" s="1138"/>
      <c r="C45" s="1137"/>
      <c r="D45" s="1135"/>
      <c r="E45" s="1136"/>
      <c r="F45" s="1133"/>
      <c r="G45" s="1409"/>
      <c r="H45" s="1424"/>
      <c r="I45" s="1019"/>
      <c r="J45" s="1133"/>
      <c r="K45" s="1132"/>
      <c r="L45" s="1131"/>
      <c r="M45" s="1015"/>
      <c r="N45" s="1135"/>
      <c r="O45" s="1134"/>
      <c r="P45" s="1133"/>
      <c r="Q45" s="1409"/>
      <c r="R45" s="1424"/>
      <c r="S45" s="1131"/>
      <c r="T45" s="1421"/>
      <c r="U45" s="1132"/>
      <c r="V45" s="1131"/>
      <c r="W45" s="1015"/>
      <c r="X45" s="1021"/>
      <c r="Y45" s="1447"/>
      <c r="Z45" s="1447"/>
      <c r="AA45" s="1447"/>
      <c r="AB45" s="1447"/>
      <c r="AC45" s="1447"/>
      <c r="AD45" s="1019"/>
      <c r="AE45" s="1018"/>
      <c r="AF45" s="1403"/>
      <c r="AG45" s="1017"/>
      <c r="AH45" s="1016"/>
      <c r="AI45" s="1423"/>
      <c r="AJ45" s="1017"/>
      <c r="AK45" s="1016"/>
      <c r="AL45" s="1015"/>
    </row>
    <row r="46" spans="1:38" ht="14.25" thickTop="1">
      <c r="B46" s="1014"/>
      <c r="C46" s="1013"/>
      <c r="D46" s="1012" t="s">
        <v>1430</v>
      </c>
      <c r="E46" s="1011">
        <f t="shared" ref="E46:L46" si="27">+SUM(E7:E45)</f>
        <v>42643653765</v>
      </c>
      <c r="F46" s="1010">
        <f t="shared" si="27"/>
        <v>18038863045</v>
      </c>
      <c r="G46" s="1381">
        <f t="shared" si="27"/>
        <v>349605409</v>
      </c>
      <c r="H46" s="1009">
        <f>+SUM(H7:H45)</f>
        <v>473817796</v>
      </c>
      <c r="I46" s="1391">
        <f t="shared" ref="I46" si="28">+SUM(I7:I45)</f>
        <v>18862286250</v>
      </c>
      <c r="J46" s="1010">
        <f t="shared" si="27"/>
        <v>1462486564</v>
      </c>
      <c r="K46" s="1009">
        <f t="shared" si="27"/>
        <v>25050860494</v>
      </c>
      <c r="L46" s="1008">
        <f t="shared" si="27"/>
        <v>26513347058</v>
      </c>
      <c r="M46" s="1006">
        <f t="shared" ref="M46" si="29">+SUM(M7:M45)</f>
        <v>-2731979543</v>
      </c>
      <c r="N46" s="1012" t="s">
        <v>1430</v>
      </c>
      <c r="O46" s="1130">
        <f t="shared" ref="O46:W46" si="30">+SUM(O7:O45)</f>
        <v>41815631556</v>
      </c>
      <c r="P46" s="1010">
        <f t="shared" si="30"/>
        <v>17891109043</v>
      </c>
      <c r="Q46" s="1381">
        <f t="shared" si="30"/>
        <v>334344740</v>
      </c>
      <c r="R46" s="1009">
        <f>+SUM(R7:R45)</f>
        <v>445711850</v>
      </c>
      <c r="S46" s="1008">
        <f t="shared" ref="S46" si="31">+SUM(S7:S45)</f>
        <v>18671165633</v>
      </c>
      <c r="T46" s="1113">
        <f t="shared" si="30"/>
        <v>1460379844</v>
      </c>
      <c r="U46" s="1009">
        <f t="shared" si="30"/>
        <v>21412952997</v>
      </c>
      <c r="V46" s="1008">
        <f t="shared" si="30"/>
        <v>22873332841</v>
      </c>
      <c r="W46" s="1006">
        <f t="shared" si="30"/>
        <v>271133082</v>
      </c>
      <c r="X46" s="1012" t="s">
        <v>1430</v>
      </c>
      <c r="Y46" s="1448"/>
      <c r="Z46" s="1448"/>
      <c r="AA46" s="1448"/>
      <c r="AB46" s="1448"/>
      <c r="AC46" s="1448"/>
      <c r="AD46" s="1011">
        <f t="shared" ref="AD46:AL46" si="32">+SUM(AD7:AD45)</f>
        <v>42028118404</v>
      </c>
      <c r="AE46" s="1010">
        <f t="shared" si="32"/>
        <v>18286497839</v>
      </c>
      <c r="AF46" s="1381">
        <f t="shared" si="32"/>
        <v>697287793</v>
      </c>
      <c r="AG46" s="1009">
        <f>+SUM(AG7:AG45)</f>
        <v>849719522</v>
      </c>
      <c r="AH46" s="1008">
        <f t="shared" ref="AH46" si="33">+SUM(AH7:AH45)</f>
        <v>19833505154</v>
      </c>
      <c r="AI46" s="1113">
        <f t="shared" si="32"/>
        <v>510514431</v>
      </c>
      <c r="AJ46" s="1009">
        <f t="shared" si="32"/>
        <v>21412965737</v>
      </c>
      <c r="AK46" s="1008">
        <f t="shared" si="32"/>
        <v>21923480168</v>
      </c>
      <c r="AL46" s="1006">
        <f t="shared" si="32"/>
        <v>271133082</v>
      </c>
    </row>
    <row r="47" spans="1:38">
      <c r="B47" s="1003" t="s">
        <v>1429</v>
      </c>
      <c r="C47" s="1005"/>
      <c r="D47" s="1004" t="s">
        <v>1428</v>
      </c>
      <c r="E47" s="1000">
        <f t="shared" ref="E47:T48" si="34">+SUMIFS(E$7:E$45,$B$7:$B$45,$B47)</f>
        <v>11642490998</v>
      </c>
      <c r="F47" s="999">
        <f t="shared" si="34"/>
        <v>2347829762</v>
      </c>
      <c r="G47" s="1387">
        <f t="shared" si="34"/>
        <v>215321104</v>
      </c>
      <c r="H47" s="998">
        <f t="shared" si="34"/>
        <v>380587586</v>
      </c>
      <c r="I47" s="1411">
        <f t="shared" si="34"/>
        <v>2943738452</v>
      </c>
      <c r="J47" s="999">
        <f t="shared" si="34"/>
        <v>88724768</v>
      </c>
      <c r="K47" s="998">
        <f t="shared" si="34"/>
        <v>7044499195</v>
      </c>
      <c r="L47" s="997">
        <f t="shared" si="34"/>
        <v>7133223963</v>
      </c>
      <c r="M47" s="995">
        <f t="shared" si="34"/>
        <v>1565528583</v>
      </c>
      <c r="N47" s="1004" t="s">
        <v>1428</v>
      </c>
      <c r="O47" s="1000">
        <f t="shared" si="34"/>
        <v>10820088221</v>
      </c>
      <c r="P47" s="999">
        <f t="shared" si="34"/>
        <v>2202018661</v>
      </c>
      <c r="Q47" s="1387">
        <f t="shared" si="34"/>
        <v>200060435</v>
      </c>
      <c r="R47" s="998">
        <f t="shared" si="34"/>
        <v>352481640</v>
      </c>
      <c r="S47" s="1411">
        <f t="shared" si="34"/>
        <v>2754560736</v>
      </c>
      <c r="T47" s="1112">
        <f t="shared" si="34"/>
        <v>86618048</v>
      </c>
      <c r="U47" s="998">
        <f t="shared" ref="O47:W48" si="35">+SUMIFS(U$7:U$45,$B$7:$B$45,$B47)</f>
        <v>7978909437</v>
      </c>
      <c r="V47" s="997">
        <f t="shared" si="35"/>
        <v>8065527485</v>
      </c>
      <c r="W47" s="995">
        <f t="shared" si="35"/>
        <v>0</v>
      </c>
      <c r="X47" s="1004" t="s">
        <v>1428</v>
      </c>
      <c r="Y47" s="1470"/>
      <c r="Z47" s="1470"/>
      <c r="AA47" s="1470"/>
      <c r="AB47" s="1470"/>
      <c r="AC47" s="1470"/>
      <c r="AD47" s="1000">
        <f t="shared" ref="AD47:AL48" si="36">+SUMIFS(AD$7:AD$45,$B$7:$B$45,$B47)</f>
        <v>15613515482</v>
      </c>
      <c r="AE47" s="999">
        <f t="shared" si="36"/>
        <v>6123362848</v>
      </c>
      <c r="AF47" s="1387">
        <f t="shared" si="36"/>
        <v>563003488</v>
      </c>
      <c r="AG47" s="998">
        <f t="shared" si="36"/>
        <v>857974338</v>
      </c>
      <c r="AH47" s="1411">
        <f t="shared" si="36"/>
        <v>7544340674</v>
      </c>
      <c r="AI47" s="1112">
        <f t="shared" si="36"/>
        <v>90252631</v>
      </c>
      <c r="AJ47" s="998">
        <f t="shared" si="36"/>
        <v>7978922177</v>
      </c>
      <c r="AK47" s="997">
        <f t="shared" si="36"/>
        <v>8069174808</v>
      </c>
      <c r="AL47" s="995">
        <f t="shared" si="36"/>
        <v>0</v>
      </c>
    </row>
    <row r="48" spans="1:38">
      <c r="B48" s="1003" t="s">
        <v>1427</v>
      </c>
      <c r="C48" s="1005"/>
      <c r="D48" s="1004" t="s">
        <v>1426</v>
      </c>
      <c r="E48" s="1000">
        <f t="shared" si="34"/>
        <v>31001162767</v>
      </c>
      <c r="F48" s="999">
        <f t="shared" si="34"/>
        <v>15691033283</v>
      </c>
      <c r="G48" s="1387">
        <f t="shared" si="34"/>
        <v>134284305</v>
      </c>
      <c r="H48" s="998">
        <f t="shared" si="34"/>
        <v>93230210</v>
      </c>
      <c r="I48" s="1411">
        <f t="shared" si="34"/>
        <v>15918547798</v>
      </c>
      <c r="J48" s="999">
        <f t="shared" si="34"/>
        <v>1373761796</v>
      </c>
      <c r="K48" s="998">
        <f t="shared" si="34"/>
        <v>18006361299</v>
      </c>
      <c r="L48" s="997">
        <f t="shared" si="34"/>
        <v>19380123095</v>
      </c>
      <c r="M48" s="995">
        <f t="shared" si="34"/>
        <v>-4297508126</v>
      </c>
      <c r="N48" s="1004" t="s">
        <v>1426</v>
      </c>
      <c r="O48" s="1000">
        <f t="shared" si="35"/>
        <v>30995543335</v>
      </c>
      <c r="P48" s="999">
        <f t="shared" si="35"/>
        <v>15689090382</v>
      </c>
      <c r="Q48" s="1387">
        <f t="shared" si="35"/>
        <v>134284305</v>
      </c>
      <c r="R48" s="998">
        <f t="shared" si="35"/>
        <v>93230210</v>
      </c>
      <c r="S48" s="1411">
        <f t="shared" si="35"/>
        <v>15916604897</v>
      </c>
      <c r="T48" s="1112">
        <f t="shared" si="35"/>
        <v>1373761796</v>
      </c>
      <c r="U48" s="998">
        <f t="shared" si="35"/>
        <v>13434043560</v>
      </c>
      <c r="V48" s="997">
        <f t="shared" si="35"/>
        <v>14807805356</v>
      </c>
      <c r="W48" s="995">
        <f t="shared" si="35"/>
        <v>271133082</v>
      </c>
      <c r="X48" s="1004" t="s">
        <v>1426</v>
      </c>
      <c r="Y48" s="1470"/>
      <c r="Z48" s="1470"/>
      <c r="AA48" s="1470"/>
      <c r="AB48" s="1470"/>
      <c r="AC48" s="1470"/>
      <c r="AD48" s="1000">
        <f t="shared" si="36"/>
        <v>26414602922</v>
      </c>
      <c r="AE48" s="999">
        <f t="shared" si="36"/>
        <v>12163134991</v>
      </c>
      <c r="AF48" s="1387">
        <f t="shared" si="36"/>
        <v>134284305</v>
      </c>
      <c r="AG48" s="998">
        <f t="shared" si="36"/>
        <v>-8254816</v>
      </c>
      <c r="AH48" s="1411">
        <f t="shared" si="36"/>
        <v>12289164480</v>
      </c>
      <c r="AI48" s="1112">
        <f t="shared" si="36"/>
        <v>420261800</v>
      </c>
      <c r="AJ48" s="998">
        <f t="shared" si="36"/>
        <v>13434043560</v>
      </c>
      <c r="AK48" s="997">
        <f t="shared" si="36"/>
        <v>13854305360</v>
      </c>
      <c r="AL48" s="995">
        <f t="shared" si="36"/>
        <v>271133082</v>
      </c>
    </row>
    <row r="49" spans="1:38">
      <c r="B49" s="1003"/>
      <c r="C49" s="1002"/>
      <c r="D49" s="1001" t="s">
        <v>1425</v>
      </c>
      <c r="E49" s="1000">
        <f>+SUM(E7:E45)</f>
        <v>42643653765</v>
      </c>
      <c r="F49" s="999">
        <f t="shared" ref="F49:M49" si="37">+SUM(F7:F45)</f>
        <v>18038863045</v>
      </c>
      <c r="G49" s="1387">
        <f t="shared" si="37"/>
        <v>349605409</v>
      </c>
      <c r="H49" s="998">
        <f t="shared" si="37"/>
        <v>473817796</v>
      </c>
      <c r="I49" s="1411">
        <f t="shared" si="37"/>
        <v>18862286250</v>
      </c>
      <c r="J49" s="999">
        <f t="shared" si="37"/>
        <v>1462486564</v>
      </c>
      <c r="K49" s="998">
        <f t="shared" si="37"/>
        <v>25050860494</v>
      </c>
      <c r="L49" s="997">
        <f t="shared" si="37"/>
        <v>26513347058</v>
      </c>
      <c r="M49" s="995">
        <f t="shared" si="37"/>
        <v>-2731979543</v>
      </c>
      <c r="N49" s="1001" t="s">
        <v>1425</v>
      </c>
      <c r="O49" s="1000">
        <f>+SUM(O7:O45)</f>
        <v>41815631556</v>
      </c>
      <c r="P49" s="999">
        <f t="shared" ref="P49:V49" si="38">+SUM(P7:P45)</f>
        <v>17891109043</v>
      </c>
      <c r="Q49" s="1387">
        <f t="shared" si="38"/>
        <v>334344740</v>
      </c>
      <c r="R49" s="998">
        <f t="shared" si="38"/>
        <v>445711850</v>
      </c>
      <c r="S49" s="1411">
        <f t="shared" si="38"/>
        <v>18671165633</v>
      </c>
      <c r="T49" s="1112">
        <f t="shared" si="38"/>
        <v>1460379844</v>
      </c>
      <c r="U49" s="998">
        <f t="shared" si="38"/>
        <v>21412952997</v>
      </c>
      <c r="V49" s="997">
        <f t="shared" si="38"/>
        <v>22873332841</v>
      </c>
      <c r="W49" s="995">
        <f t="shared" ref="W49" si="39">+SUM(W7:W21,W22:W27,W28:W33,W34:W36,W37:W40,W41:W45)</f>
        <v>271133082</v>
      </c>
      <c r="X49" s="1001" t="s">
        <v>1425</v>
      </c>
      <c r="Y49" s="1449"/>
      <c r="Z49" s="1449"/>
      <c r="AA49" s="1449"/>
      <c r="AB49" s="1449"/>
      <c r="AC49" s="1449"/>
      <c r="AD49" s="1000">
        <f>+SUM(AD7:AD45)</f>
        <v>42028118404</v>
      </c>
      <c r="AE49" s="999">
        <f t="shared" ref="AE49:AK49" si="40">+SUM(AE7:AE45)</f>
        <v>18286497839</v>
      </c>
      <c r="AF49" s="1387">
        <f t="shared" si="40"/>
        <v>697287793</v>
      </c>
      <c r="AG49" s="998">
        <f t="shared" si="40"/>
        <v>849719522</v>
      </c>
      <c r="AH49" s="1411">
        <f t="shared" si="40"/>
        <v>19833505154</v>
      </c>
      <c r="AI49" s="1112">
        <f t="shared" si="40"/>
        <v>510514431</v>
      </c>
      <c r="AJ49" s="998">
        <f t="shared" si="40"/>
        <v>21412965737</v>
      </c>
      <c r="AK49" s="997">
        <f t="shared" si="40"/>
        <v>21923480168</v>
      </c>
      <c r="AL49" s="995">
        <f t="shared" ref="AL49" si="41">+SUM(AL7:AL21,AL22:AL27,AL28:AL33,AL34:AL36,AL37:AL40,AL41:AL45)</f>
        <v>271133082</v>
      </c>
    </row>
    <row r="50" spans="1:38" ht="13.5" customHeight="1">
      <c r="D50" s="1127"/>
      <c r="E50" s="994">
        <f>E49-'3条支出'!$E$42</f>
        <v>-15892</v>
      </c>
      <c r="F50" s="994"/>
      <c r="G50" s="994"/>
      <c r="H50" s="994"/>
      <c r="I50" s="993"/>
      <c r="J50" s="994"/>
      <c r="K50" s="994"/>
      <c r="L50" s="993"/>
      <c r="M50" s="994"/>
      <c r="O50" s="994">
        <f>+O49-'3条支出'!$T$42</f>
        <v>-15902</v>
      </c>
      <c r="P50" s="994"/>
      <c r="Q50" s="994"/>
      <c r="R50" s="994"/>
      <c r="S50" s="993"/>
      <c r="T50" s="994"/>
      <c r="U50" s="994"/>
      <c r="V50" s="993"/>
      <c r="W50" s="994"/>
      <c r="X50" s="990"/>
      <c r="Y50" s="990"/>
      <c r="Z50" s="990"/>
      <c r="AA50" s="990"/>
      <c r="AB50" s="990"/>
      <c r="AC50" s="990"/>
      <c r="AD50" s="994">
        <f>+AD49-'3条支出'!$T$41</f>
        <v>-16531</v>
      </c>
      <c r="AE50" s="994"/>
      <c r="AF50" s="994"/>
      <c r="AG50" s="994"/>
      <c r="AH50" s="993"/>
      <c r="AI50" s="994"/>
      <c r="AJ50" s="994"/>
      <c r="AK50" s="993"/>
      <c r="AL50" s="993"/>
    </row>
    <row r="51" spans="1:38">
      <c r="D51" s="992"/>
      <c r="E51" s="994"/>
      <c r="F51" s="994"/>
      <c r="G51" s="994"/>
      <c r="H51" s="994"/>
      <c r="I51" s="993"/>
      <c r="J51" s="994"/>
      <c r="K51" s="994"/>
      <c r="L51" s="993"/>
      <c r="M51" s="994"/>
      <c r="O51" s="994"/>
      <c r="P51" s="994"/>
      <c r="Q51" s="994"/>
      <c r="R51" s="994"/>
      <c r="S51" s="993"/>
      <c r="T51" s="994"/>
      <c r="U51" s="994"/>
      <c r="V51" s="993"/>
      <c r="W51" s="994"/>
      <c r="X51" s="993"/>
      <c r="Y51" s="993"/>
      <c r="Z51" s="993"/>
      <c r="AA51" s="993"/>
      <c r="AB51" s="993"/>
      <c r="AC51" s="993"/>
      <c r="AD51" s="994"/>
      <c r="AE51" s="994"/>
      <c r="AF51" s="994"/>
      <c r="AG51" s="994"/>
      <c r="AH51" s="993"/>
      <c r="AI51" s="994"/>
      <c r="AJ51" s="994"/>
      <c r="AK51" s="993"/>
      <c r="AL51" s="994"/>
    </row>
    <row r="52" spans="1:38">
      <c r="D52" s="990" t="str">
        <f>+$D$1</f>
        <v>令和５年度決算　消費税算出資料</v>
      </c>
      <c r="N52" s="990" t="str">
        <f>+$D$1</f>
        <v>令和５年度決算　消費税算出資料</v>
      </c>
      <c r="X52" s="990" t="str">
        <f>+$D$1</f>
        <v>令和５年度決算　消費税算出資料</v>
      </c>
      <c r="Y52" s="990"/>
      <c r="Z52" s="990"/>
      <c r="AA52" s="990"/>
      <c r="AB52" s="990"/>
      <c r="AC52" s="990"/>
    </row>
    <row r="53" spans="1:38">
      <c r="D53" s="990" t="s">
        <v>1525</v>
      </c>
      <c r="M53" s="1042" t="str">
        <f>+IF(COUNTIF(M58:M96,0)=COUNT(M58:M96),"","↓エラーあり")</f>
        <v>↓エラーあり</v>
      </c>
      <c r="N53" s="990" t="s">
        <v>1525</v>
      </c>
      <c r="W53" s="1042" t="str">
        <f>+IF(COUNTIF(W58:W96,0)=COUNT(W58:W96),"","↓エラーあり")</f>
        <v/>
      </c>
      <c r="X53" s="990" t="s">
        <v>1780</v>
      </c>
      <c r="Y53" s="990"/>
      <c r="Z53" s="990"/>
      <c r="AA53" s="990"/>
      <c r="AB53" s="990"/>
      <c r="AC53" s="990"/>
      <c r="AL53" s="1042" t="str">
        <f>+IF(COUNTIF(AL58:AL96,0)=COUNT(AL58:AL96),"","↓エラーあり")</f>
        <v/>
      </c>
    </row>
    <row r="54" spans="1:38">
      <c r="B54" s="1572"/>
      <c r="C54" s="1573"/>
      <c r="D54" s="1565" t="s">
        <v>1520</v>
      </c>
      <c r="E54" s="1578" t="s">
        <v>1521</v>
      </c>
      <c r="F54" s="1579"/>
      <c r="G54" s="1579"/>
      <c r="H54" s="1579"/>
      <c r="I54" s="1579"/>
      <c r="J54" s="1579"/>
      <c r="K54" s="1579"/>
      <c r="L54" s="1579"/>
      <c r="M54" s="1580"/>
      <c r="N54" s="1565" t="s">
        <v>1520</v>
      </c>
      <c r="O54" s="1578" t="s">
        <v>1519</v>
      </c>
      <c r="P54" s="1579"/>
      <c r="Q54" s="1579"/>
      <c r="R54" s="1579"/>
      <c r="S54" s="1579"/>
      <c r="T54" s="1579"/>
      <c r="U54" s="1579"/>
      <c r="V54" s="1579"/>
      <c r="W54" s="1580"/>
      <c r="X54" s="1565" t="s">
        <v>1520</v>
      </c>
      <c r="Y54" s="1469"/>
      <c r="Z54" s="1469"/>
      <c r="AA54" s="1469"/>
      <c r="AB54" s="1469"/>
      <c r="AC54" s="1469"/>
      <c r="AD54" s="1578" t="s">
        <v>1519</v>
      </c>
      <c r="AE54" s="1579"/>
      <c r="AF54" s="1579"/>
      <c r="AG54" s="1579"/>
      <c r="AH54" s="1579"/>
      <c r="AI54" s="1579"/>
      <c r="AJ54" s="1579"/>
      <c r="AK54" s="1579"/>
      <c r="AL54" s="1580"/>
    </row>
    <row r="55" spans="1:38">
      <c r="B55" s="1574"/>
      <c r="C55" s="1575"/>
      <c r="D55" s="1566"/>
      <c r="E55" s="1565" t="s">
        <v>1515</v>
      </c>
      <c r="F55" s="1578" t="s">
        <v>1511</v>
      </c>
      <c r="G55" s="1579"/>
      <c r="H55" s="1579"/>
      <c r="I55" s="1580"/>
      <c r="J55" s="1578" t="s">
        <v>1510</v>
      </c>
      <c r="K55" s="1579"/>
      <c r="L55" s="1580"/>
      <c r="M55" s="1568" t="s">
        <v>1508</v>
      </c>
      <c r="N55" s="1566"/>
      <c r="O55" s="1565" t="s">
        <v>1514</v>
      </c>
      <c r="P55" s="1578" t="s">
        <v>1511</v>
      </c>
      <c r="Q55" s="1579"/>
      <c r="R55" s="1579"/>
      <c r="S55" s="1580"/>
      <c r="T55" s="1578" t="s">
        <v>1510</v>
      </c>
      <c r="U55" s="1579"/>
      <c r="V55" s="1580"/>
      <c r="W55" s="1568" t="s">
        <v>1508</v>
      </c>
      <c r="X55" s="1566"/>
      <c r="Y55" s="1465"/>
      <c r="Z55" s="1465"/>
      <c r="AA55" s="1465"/>
      <c r="AB55" s="1465"/>
      <c r="AC55" s="1465"/>
      <c r="AD55" s="1565" t="s">
        <v>1514</v>
      </c>
      <c r="AE55" s="1578" t="s">
        <v>1511</v>
      </c>
      <c r="AF55" s="1579"/>
      <c r="AG55" s="1579"/>
      <c r="AH55" s="1580"/>
      <c r="AI55" s="1578" t="s">
        <v>1510</v>
      </c>
      <c r="AJ55" s="1579"/>
      <c r="AK55" s="1580"/>
      <c r="AL55" s="1568" t="s">
        <v>1508</v>
      </c>
    </row>
    <row r="56" spans="1:38">
      <c r="A56" s="1571"/>
      <c r="B56" s="1574"/>
      <c r="C56" s="1575"/>
      <c r="D56" s="1566"/>
      <c r="E56" s="1566"/>
      <c r="F56" s="1102" t="s">
        <v>1507</v>
      </c>
      <c r="G56" s="1374" t="s">
        <v>1507</v>
      </c>
      <c r="H56" s="1101" t="s">
        <v>1505</v>
      </c>
      <c r="I56" s="1471" t="s">
        <v>1506</v>
      </c>
      <c r="J56" s="1102" t="s">
        <v>1507</v>
      </c>
      <c r="K56" s="1101" t="s">
        <v>1505</v>
      </c>
      <c r="L56" s="1100" t="s">
        <v>1506</v>
      </c>
      <c r="M56" s="1569"/>
      <c r="N56" s="1566"/>
      <c r="O56" s="1566"/>
      <c r="P56" s="1102" t="s">
        <v>1507</v>
      </c>
      <c r="Q56" s="1374" t="s">
        <v>1507</v>
      </c>
      <c r="R56" s="1101" t="s">
        <v>1505</v>
      </c>
      <c r="S56" s="1471" t="s">
        <v>1506</v>
      </c>
      <c r="T56" s="1102" t="s">
        <v>1507</v>
      </c>
      <c r="U56" s="1101" t="s">
        <v>1505</v>
      </c>
      <c r="V56" s="1100" t="s">
        <v>1506</v>
      </c>
      <c r="W56" s="1569"/>
      <c r="X56" s="1566"/>
      <c r="Y56" s="1465"/>
      <c r="Z56" s="1465"/>
      <c r="AA56" s="1465"/>
      <c r="AB56" s="1465"/>
      <c r="AC56" s="1465"/>
      <c r="AD56" s="1566"/>
      <c r="AE56" s="1102" t="s">
        <v>1507</v>
      </c>
      <c r="AF56" s="1374" t="s">
        <v>1507</v>
      </c>
      <c r="AG56" s="1101" t="s">
        <v>1505</v>
      </c>
      <c r="AH56" s="1471" t="s">
        <v>1506</v>
      </c>
      <c r="AI56" s="1102" t="s">
        <v>1507</v>
      </c>
      <c r="AJ56" s="1101" t="s">
        <v>1505</v>
      </c>
      <c r="AK56" s="1100" t="s">
        <v>1506</v>
      </c>
      <c r="AL56" s="1569"/>
    </row>
    <row r="57" spans="1:38" s="1095" customFormat="1">
      <c r="A57" s="1571"/>
      <c r="B57" s="1576"/>
      <c r="C57" s="1577"/>
      <c r="D57" s="1566"/>
      <c r="E57" s="1566"/>
      <c r="F57" s="1098" t="s">
        <v>1503</v>
      </c>
      <c r="G57" s="1375" t="s">
        <v>1504</v>
      </c>
      <c r="H57" s="1400" t="s">
        <v>1509</v>
      </c>
      <c r="I57" s="1390"/>
      <c r="J57" s="1098" t="s">
        <v>1503</v>
      </c>
      <c r="K57" s="1097" t="s">
        <v>1503</v>
      </c>
      <c r="L57" s="1096"/>
      <c r="M57" s="1569"/>
      <c r="N57" s="1566"/>
      <c r="O57" s="1566"/>
      <c r="P57" s="1098" t="s">
        <v>1503</v>
      </c>
      <c r="Q57" s="1375" t="s">
        <v>1504</v>
      </c>
      <c r="R57" s="1400" t="s">
        <v>1509</v>
      </c>
      <c r="S57" s="1390"/>
      <c r="T57" s="1098" t="s">
        <v>1503</v>
      </c>
      <c r="U57" s="1097" t="s">
        <v>1503</v>
      </c>
      <c r="V57" s="1096"/>
      <c r="W57" s="1569"/>
      <c r="X57" s="1567"/>
      <c r="Y57" s="1466"/>
      <c r="Z57" s="1466"/>
      <c r="AA57" s="1466"/>
      <c r="AB57" s="1466"/>
      <c r="AC57" s="1466"/>
      <c r="AD57" s="1567"/>
      <c r="AE57" s="1098" t="s">
        <v>1503</v>
      </c>
      <c r="AF57" s="1375" t="s">
        <v>1504</v>
      </c>
      <c r="AG57" s="1400" t="s">
        <v>1509</v>
      </c>
      <c r="AH57" s="1390"/>
      <c r="AI57" s="1098" t="s">
        <v>1503</v>
      </c>
      <c r="AJ57" s="1097" t="s">
        <v>1503</v>
      </c>
      <c r="AK57" s="1096"/>
      <c r="AL57" s="1570"/>
    </row>
    <row r="58" spans="1:38" s="991" customFormat="1">
      <c r="A58" s="1024"/>
      <c r="B58" s="1094" t="s">
        <v>1429</v>
      </c>
      <c r="C58" s="1093" t="s">
        <v>1446</v>
      </c>
      <c r="D58" s="1088" t="s">
        <v>1482</v>
      </c>
      <c r="E58" s="1176">
        <f>+'3条収入'!E8</f>
        <v>20488962528</v>
      </c>
      <c r="F58" s="1086"/>
      <c r="G58" s="1123"/>
      <c r="H58" s="1087"/>
      <c r="I58" s="1090">
        <f>+SUM(F58:H58)</f>
        <v>0</v>
      </c>
      <c r="J58" s="1086"/>
      <c r="K58" s="1087">
        <f>+E58</f>
        <v>20488962528</v>
      </c>
      <c r="L58" s="1084">
        <f>+SUM(J58:K58)</f>
        <v>20488962528</v>
      </c>
      <c r="M58" s="1083">
        <f>E58-SUM(I58,L58)</f>
        <v>0</v>
      </c>
      <c r="N58" s="1088" t="s">
        <v>1482</v>
      </c>
      <c r="O58" s="1176">
        <f>+'3条収入'!AI8</f>
        <v>18626337467</v>
      </c>
      <c r="P58" s="1086">
        <f>+IFERROR(ROUND(F58*$O58/$E58,0),0)</f>
        <v>0</v>
      </c>
      <c r="Q58" s="1123">
        <f>+IFERROR(ROUND(G58*$O58/$E58,0),0)</f>
        <v>0</v>
      </c>
      <c r="R58" s="1087">
        <f>+IFERROR(ROUND(H58*$O58/$E58,0),0)</f>
        <v>0</v>
      </c>
      <c r="S58" s="1090">
        <f t="shared" ref="S58:S95" si="42">+SUM(P58:R58)</f>
        <v>0</v>
      </c>
      <c r="T58" s="1086">
        <f>+IFERROR(ROUND(J58*$O58/$E58,0),0)</f>
        <v>0</v>
      </c>
      <c r="U58" s="1087">
        <f>+O58-S58-T58</f>
        <v>18626337467</v>
      </c>
      <c r="V58" s="1084">
        <f t="shared" ref="V58:V73" si="43">+SUM(T58:U58)</f>
        <v>18626337467</v>
      </c>
      <c r="W58" s="1083">
        <f t="shared" ref="W58:W95" si="44">O58-SUM(S58,V58)</f>
        <v>0</v>
      </c>
      <c r="X58" s="1088" t="s">
        <v>1482</v>
      </c>
      <c r="Y58" s="1088"/>
      <c r="Z58" s="1088"/>
      <c r="AA58" s="1088"/>
      <c r="AB58" s="1088"/>
      <c r="AC58" s="1088"/>
      <c r="AD58" s="1083">
        <f>+O58</f>
        <v>18626337467</v>
      </c>
      <c r="AE58" s="1086">
        <f>+P58</f>
        <v>0</v>
      </c>
      <c r="AF58" s="1123">
        <f>+Q58</f>
        <v>0</v>
      </c>
      <c r="AG58" s="1087">
        <f>+R58</f>
        <v>0</v>
      </c>
      <c r="AH58" s="1090">
        <f t="shared" ref="AH58:AH95" si="45">+SUM(AE58:AG58)</f>
        <v>0</v>
      </c>
      <c r="AI58" s="1086">
        <f>+T58</f>
        <v>0</v>
      </c>
      <c r="AJ58" s="1085">
        <f>+U58</f>
        <v>18626337467</v>
      </c>
      <c r="AK58" s="1084">
        <f t="shared" ref="AK58:AK95" si="46">+SUM(AI58:AJ58)</f>
        <v>18626337467</v>
      </c>
      <c r="AL58" s="1083">
        <f t="shared" ref="AL58:AL95" si="47">AD58-SUM(AH58,AK58)</f>
        <v>0</v>
      </c>
    </row>
    <row r="59" spans="1:38" s="991" customFormat="1">
      <c r="A59" s="1024"/>
      <c r="B59" s="1034"/>
      <c r="C59" s="1033"/>
      <c r="D59" s="1030"/>
      <c r="E59" s="1025"/>
      <c r="F59" s="1028"/>
      <c r="G59" s="1379"/>
      <c r="H59" s="1027"/>
      <c r="I59" s="1029"/>
      <c r="J59" s="1028"/>
      <c r="K59" s="1027"/>
      <c r="L59" s="1026"/>
      <c r="M59" s="1025"/>
      <c r="N59" s="1030"/>
      <c r="O59" s="1025"/>
      <c r="P59" s="1028"/>
      <c r="Q59" s="1379"/>
      <c r="R59" s="1027"/>
      <c r="S59" s="1029"/>
      <c r="T59" s="1028"/>
      <c r="U59" s="1027"/>
      <c r="V59" s="1026"/>
      <c r="W59" s="1025"/>
      <c r="X59" s="1030"/>
      <c r="Y59" s="1030"/>
      <c r="Z59" s="1030"/>
      <c r="AA59" s="1030"/>
      <c r="AB59" s="1030"/>
      <c r="AC59" s="1030"/>
      <c r="AD59" s="1025"/>
      <c r="AE59" s="1028"/>
      <c r="AF59" s="1379"/>
      <c r="AG59" s="1027"/>
      <c r="AH59" s="1029"/>
      <c r="AI59" s="1028"/>
      <c r="AJ59" s="1027"/>
      <c r="AK59" s="1026"/>
      <c r="AL59" s="1025"/>
    </row>
    <row r="60" spans="1:38" s="991" customFormat="1">
      <c r="A60" s="1024"/>
      <c r="B60" s="1034" t="s">
        <v>1429</v>
      </c>
      <c r="C60" s="1033" t="s">
        <v>1446</v>
      </c>
      <c r="D60" s="1030" t="s">
        <v>1491</v>
      </c>
      <c r="E60" s="1163">
        <f>+'3条収入'!E17</f>
        <v>0</v>
      </c>
      <c r="F60" s="1154">
        <f>+雨汚収入!AV3</f>
        <v>0</v>
      </c>
      <c r="G60" s="1401">
        <f>+雨汚収入!AW3</f>
        <v>0</v>
      </c>
      <c r="H60" s="1153">
        <f>+雨汚収入!AX3</f>
        <v>0</v>
      </c>
      <c r="I60" s="1029">
        <f t="shared" ref="I60:I65" si="48">+SUM(F60:H60)</f>
        <v>0</v>
      </c>
      <c r="J60" s="1154">
        <f>+雨汚収入!AZ3</f>
        <v>0</v>
      </c>
      <c r="K60" s="1153">
        <f>+雨汚収入!BA3</f>
        <v>0</v>
      </c>
      <c r="L60" s="1026">
        <f t="shared" ref="L60:L65" si="49">+SUM(J60:K60)</f>
        <v>0</v>
      </c>
      <c r="M60" s="1025">
        <f t="shared" ref="M60:M65" si="50">E60-SUM(I60,L60)</f>
        <v>0</v>
      </c>
      <c r="N60" s="1030" t="s">
        <v>1491</v>
      </c>
      <c r="O60" s="1163">
        <f>+'3条収入'!AI17</f>
        <v>0</v>
      </c>
      <c r="P60" s="1154">
        <f>+雨汚収入!BF3</f>
        <v>0</v>
      </c>
      <c r="Q60" s="1401">
        <f>+雨汚収入!BG3</f>
        <v>0</v>
      </c>
      <c r="R60" s="1153">
        <f>+雨汚収入!BH3</f>
        <v>0</v>
      </c>
      <c r="S60" s="1029">
        <f t="shared" ref="S60:S73" si="51">+SUM(P60:R60)</f>
        <v>0</v>
      </c>
      <c r="T60" s="1154">
        <f>+雨汚収入!BJ3</f>
        <v>0</v>
      </c>
      <c r="U60" s="1153">
        <f>+雨汚収入!BK3</f>
        <v>0</v>
      </c>
      <c r="V60" s="1026">
        <f t="shared" si="43"/>
        <v>0</v>
      </c>
      <c r="W60" s="1025">
        <f t="shared" ref="W60:W73" si="52">O60-SUM(S60,V60)</f>
        <v>0</v>
      </c>
      <c r="X60" s="1030" t="s">
        <v>1491</v>
      </c>
      <c r="Y60" s="1030"/>
      <c r="Z60" s="1030"/>
      <c r="AA60" s="1030"/>
      <c r="AB60" s="1030"/>
      <c r="AC60" s="1030"/>
      <c r="AD60" s="1025">
        <f t="shared" ref="AD60:AG65" si="53">+O60</f>
        <v>0</v>
      </c>
      <c r="AE60" s="1028">
        <f t="shared" si="53"/>
        <v>0</v>
      </c>
      <c r="AF60" s="1379">
        <f t="shared" si="53"/>
        <v>0</v>
      </c>
      <c r="AG60" s="1027">
        <f t="shared" si="53"/>
        <v>0</v>
      </c>
      <c r="AH60" s="1029">
        <f t="shared" si="45"/>
        <v>0</v>
      </c>
      <c r="AI60" s="1028">
        <f t="shared" ref="AI60:AJ65" si="54">+T60</f>
        <v>0</v>
      </c>
      <c r="AJ60" s="1027">
        <f t="shared" si="54"/>
        <v>0</v>
      </c>
      <c r="AK60" s="1026">
        <f t="shared" si="46"/>
        <v>0</v>
      </c>
      <c r="AL60" s="1025">
        <f t="shared" si="47"/>
        <v>0</v>
      </c>
    </row>
    <row r="61" spans="1:38" s="991" customFormat="1">
      <c r="A61" s="1024"/>
      <c r="B61" s="1034" t="s">
        <v>1429</v>
      </c>
      <c r="C61" s="1033" t="s">
        <v>1446</v>
      </c>
      <c r="D61" s="1030" t="s">
        <v>1493</v>
      </c>
      <c r="E61" s="1163">
        <f>+'3条収入'!E20</f>
        <v>187826166</v>
      </c>
      <c r="F61" s="1154">
        <f>+雨汚収入!AV4</f>
        <v>0</v>
      </c>
      <c r="G61" s="1401">
        <f>+雨汚収入!AW4</f>
        <v>0</v>
      </c>
      <c r="H61" s="1160">
        <f>+雨汚収入!AX4</f>
        <v>37753060</v>
      </c>
      <c r="I61" s="1029">
        <f t="shared" si="48"/>
        <v>37753060</v>
      </c>
      <c r="J61" s="1154">
        <f>+雨汚収入!AZ4</f>
        <v>0</v>
      </c>
      <c r="K61" s="1153">
        <f>+雨汚収入!BA4</f>
        <v>150073106</v>
      </c>
      <c r="L61" s="1026">
        <f t="shared" si="49"/>
        <v>150073106</v>
      </c>
      <c r="M61" s="1025">
        <f t="shared" si="50"/>
        <v>0</v>
      </c>
      <c r="N61" s="1030" t="s">
        <v>1493</v>
      </c>
      <c r="O61" s="1163">
        <f>+'3条収入'!AI20</f>
        <v>170751060</v>
      </c>
      <c r="P61" s="1154">
        <f>+雨汚収入!BF4</f>
        <v>0</v>
      </c>
      <c r="Q61" s="1401">
        <f>+雨汚収入!BG4</f>
        <v>0</v>
      </c>
      <c r="R61" s="1160">
        <f>+雨汚収入!BH4</f>
        <v>34320964</v>
      </c>
      <c r="S61" s="1029">
        <f t="shared" si="51"/>
        <v>34320964</v>
      </c>
      <c r="T61" s="1154">
        <f>+雨汚収入!BJ4</f>
        <v>0</v>
      </c>
      <c r="U61" s="1153">
        <f>+雨汚収入!BK4</f>
        <v>136430096</v>
      </c>
      <c r="V61" s="1026">
        <f t="shared" si="43"/>
        <v>136430096</v>
      </c>
      <c r="W61" s="1025">
        <f t="shared" si="52"/>
        <v>0</v>
      </c>
      <c r="X61" s="1030" t="s">
        <v>1493</v>
      </c>
      <c r="Y61" s="1030"/>
      <c r="Z61" s="1030"/>
      <c r="AA61" s="1030"/>
      <c r="AB61" s="1030"/>
      <c r="AC61" s="1030"/>
      <c r="AD61" s="1025">
        <f t="shared" si="53"/>
        <v>170751060</v>
      </c>
      <c r="AE61" s="1028">
        <f t="shared" si="53"/>
        <v>0</v>
      </c>
      <c r="AF61" s="1379">
        <f t="shared" si="53"/>
        <v>0</v>
      </c>
      <c r="AG61" s="1043">
        <f t="shared" si="53"/>
        <v>34320964</v>
      </c>
      <c r="AH61" s="1029">
        <f t="shared" si="45"/>
        <v>34320964</v>
      </c>
      <c r="AI61" s="1028">
        <f t="shared" si="54"/>
        <v>0</v>
      </c>
      <c r="AJ61" s="1027">
        <f t="shared" si="54"/>
        <v>136430096</v>
      </c>
      <c r="AK61" s="1026">
        <f t="shared" si="46"/>
        <v>136430096</v>
      </c>
      <c r="AL61" s="1025">
        <f t="shared" si="47"/>
        <v>0</v>
      </c>
    </row>
    <row r="62" spans="1:38" s="991" customFormat="1">
      <c r="A62" s="1024"/>
      <c r="B62" s="1034" t="s">
        <v>1429</v>
      </c>
      <c r="C62" s="1033" t="s">
        <v>1446</v>
      </c>
      <c r="D62" s="1030" t="s">
        <v>1498</v>
      </c>
      <c r="E62" s="1163">
        <f>+'3条収入'!E21</f>
        <v>1409733</v>
      </c>
      <c r="F62" s="1154">
        <f>+雨汚収入!AV5</f>
        <v>902422</v>
      </c>
      <c r="G62" s="1401">
        <f>+雨汚収入!AW5</f>
        <v>507311</v>
      </c>
      <c r="H62" s="1153">
        <f>+雨汚収入!AX5</f>
        <v>0</v>
      </c>
      <c r="I62" s="1029">
        <f t="shared" si="48"/>
        <v>1409733</v>
      </c>
      <c r="J62" s="1154">
        <f>+雨汚収入!AZ5</f>
        <v>0</v>
      </c>
      <c r="K62" s="1153">
        <f>+雨汚収入!BA5</f>
        <v>0</v>
      </c>
      <c r="L62" s="1026">
        <f t="shared" si="49"/>
        <v>0</v>
      </c>
      <c r="M62" s="1025">
        <f t="shared" si="50"/>
        <v>0</v>
      </c>
      <c r="N62" s="1030" t="s">
        <v>1498</v>
      </c>
      <c r="O62" s="1163">
        <f>+'3条収入'!AI21</f>
        <v>1281576</v>
      </c>
      <c r="P62" s="1154">
        <f>+雨汚収入!BF5</f>
        <v>820384</v>
      </c>
      <c r="Q62" s="1401">
        <f>+雨汚収入!BG5</f>
        <v>461192</v>
      </c>
      <c r="R62" s="1153">
        <f>+雨汚収入!BH5</f>
        <v>0</v>
      </c>
      <c r="S62" s="1029">
        <f t="shared" si="51"/>
        <v>1281576</v>
      </c>
      <c r="T62" s="1154">
        <f>+雨汚収入!BJ5</f>
        <v>0</v>
      </c>
      <c r="U62" s="1153">
        <f>+雨汚収入!BK5</f>
        <v>0</v>
      </c>
      <c r="V62" s="1026">
        <f t="shared" si="43"/>
        <v>0</v>
      </c>
      <c r="W62" s="1025">
        <f t="shared" si="52"/>
        <v>0</v>
      </c>
      <c r="X62" s="1030" t="s">
        <v>1498</v>
      </c>
      <c r="Y62" s="1030"/>
      <c r="Z62" s="1030"/>
      <c r="AA62" s="1030"/>
      <c r="AB62" s="1030"/>
      <c r="AC62" s="1030"/>
      <c r="AD62" s="1025">
        <f t="shared" si="53"/>
        <v>1281576</v>
      </c>
      <c r="AE62" s="1028">
        <f t="shared" si="53"/>
        <v>820384</v>
      </c>
      <c r="AF62" s="1379">
        <f t="shared" si="53"/>
        <v>461192</v>
      </c>
      <c r="AG62" s="1027">
        <f t="shared" si="53"/>
        <v>0</v>
      </c>
      <c r="AH62" s="1029">
        <f t="shared" si="45"/>
        <v>1281576</v>
      </c>
      <c r="AI62" s="1028">
        <f t="shared" si="54"/>
        <v>0</v>
      </c>
      <c r="AJ62" s="1027">
        <f t="shared" si="54"/>
        <v>0</v>
      </c>
      <c r="AK62" s="1026">
        <f t="shared" si="46"/>
        <v>0</v>
      </c>
      <c r="AL62" s="1025">
        <f t="shared" si="47"/>
        <v>0</v>
      </c>
    </row>
    <row r="63" spans="1:38" s="991" customFormat="1">
      <c r="A63" s="1024"/>
      <c r="B63" s="1034" t="s">
        <v>1429</v>
      </c>
      <c r="C63" s="1033" t="s">
        <v>1446</v>
      </c>
      <c r="D63" s="1074" t="s">
        <v>1501</v>
      </c>
      <c r="E63" s="1426">
        <f>+'3条収入'!E23</f>
        <v>71970</v>
      </c>
      <c r="F63" s="1427">
        <f>+雨汚収入!AV6</f>
        <v>32943</v>
      </c>
      <c r="G63" s="1428">
        <f>+雨汚収入!AW6</f>
        <v>0</v>
      </c>
      <c r="H63" s="1429">
        <f>+雨汚収入!AX6</f>
        <v>0</v>
      </c>
      <c r="I63" s="1172">
        <f t="shared" si="48"/>
        <v>32943</v>
      </c>
      <c r="J63" s="1427">
        <f>+雨汚収入!AZ6</f>
        <v>0</v>
      </c>
      <c r="K63" s="1430">
        <f>+雨汚収入!BA6</f>
        <v>39027</v>
      </c>
      <c r="L63" s="1169">
        <f t="shared" si="49"/>
        <v>39027</v>
      </c>
      <c r="M63" s="1073">
        <f t="shared" si="50"/>
        <v>0</v>
      </c>
      <c r="N63" s="1074" t="s">
        <v>1501</v>
      </c>
      <c r="O63" s="1426">
        <f>+'3条収入'!AI23</f>
        <v>71970</v>
      </c>
      <c r="P63" s="1427">
        <f>+雨汚収入!BF6</f>
        <v>32943</v>
      </c>
      <c r="Q63" s="1428">
        <f>+雨汚収入!BG6</f>
        <v>0</v>
      </c>
      <c r="R63" s="1429">
        <f>+雨汚収入!BH6</f>
        <v>0</v>
      </c>
      <c r="S63" s="1172">
        <f t="shared" si="51"/>
        <v>32943</v>
      </c>
      <c r="T63" s="1427">
        <f>+雨汚収入!BJ6</f>
        <v>0</v>
      </c>
      <c r="U63" s="1430">
        <f>+雨汚収入!BK6</f>
        <v>39027</v>
      </c>
      <c r="V63" s="1169">
        <f t="shared" si="43"/>
        <v>39027</v>
      </c>
      <c r="W63" s="1073">
        <f t="shared" si="52"/>
        <v>0</v>
      </c>
      <c r="X63" s="1030" t="s">
        <v>1501</v>
      </c>
      <c r="Y63" s="1030"/>
      <c r="Z63" s="1030"/>
      <c r="AA63" s="1030"/>
      <c r="AB63" s="1030"/>
      <c r="AC63" s="1030"/>
      <c r="AD63" s="1025">
        <f t="shared" si="53"/>
        <v>71970</v>
      </c>
      <c r="AE63" s="1028">
        <f t="shared" si="53"/>
        <v>32943</v>
      </c>
      <c r="AF63" s="1379">
        <f t="shared" si="53"/>
        <v>0</v>
      </c>
      <c r="AG63" s="1027">
        <f t="shared" si="53"/>
        <v>0</v>
      </c>
      <c r="AH63" s="1029">
        <f t="shared" si="45"/>
        <v>32943</v>
      </c>
      <c r="AI63" s="1028">
        <f t="shared" si="54"/>
        <v>0</v>
      </c>
      <c r="AJ63" s="1027">
        <f t="shared" si="54"/>
        <v>39027</v>
      </c>
      <c r="AK63" s="1026">
        <f t="shared" si="46"/>
        <v>39027</v>
      </c>
      <c r="AL63" s="1025">
        <f t="shared" si="47"/>
        <v>0</v>
      </c>
    </row>
    <row r="64" spans="1:38" s="991" customFormat="1">
      <c r="A64" s="1024"/>
      <c r="B64" s="1034" t="s">
        <v>1429</v>
      </c>
      <c r="C64" s="1033" t="s">
        <v>1446</v>
      </c>
      <c r="D64" s="1030" t="s">
        <v>1489</v>
      </c>
      <c r="E64" s="1163">
        <f>+'3条収入'!E24</f>
        <v>539000</v>
      </c>
      <c r="F64" s="1154">
        <f>+雨汚収入!AV7</f>
        <v>0</v>
      </c>
      <c r="G64" s="1401">
        <f>+雨汚収入!AW7</f>
        <v>0</v>
      </c>
      <c r="H64" s="1153">
        <f>+雨汚収入!AX7</f>
        <v>0</v>
      </c>
      <c r="I64" s="1029">
        <f t="shared" si="48"/>
        <v>0</v>
      </c>
      <c r="J64" s="1154">
        <f>+雨汚収入!AZ7</f>
        <v>269500</v>
      </c>
      <c r="K64" s="1153">
        <f>+雨汚収入!BA7</f>
        <v>269500</v>
      </c>
      <c r="L64" s="1026">
        <f t="shared" si="49"/>
        <v>539000</v>
      </c>
      <c r="M64" s="1025">
        <f t="shared" si="50"/>
        <v>0</v>
      </c>
      <c r="N64" s="1030" t="s">
        <v>1489</v>
      </c>
      <c r="O64" s="1163">
        <f>+'3条収入'!AI24</f>
        <v>539000</v>
      </c>
      <c r="P64" s="1154">
        <f>+雨汚収入!BF7</f>
        <v>0</v>
      </c>
      <c r="Q64" s="1401">
        <f>+雨汚収入!BG7</f>
        <v>0</v>
      </c>
      <c r="R64" s="1153">
        <f>+雨汚収入!BH7</f>
        <v>0</v>
      </c>
      <c r="S64" s="1029">
        <f t="shared" si="51"/>
        <v>0</v>
      </c>
      <c r="T64" s="1154">
        <f>+雨汚収入!BJ7</f>
        <v>269500</v>
      </c>
      <c r="U64" s="1153">
        <f>+雨汚収入!BK7</f>
        <v>269500</v>
      </c>
      <c r="V64" s="1026">
        <f t="shared" si="43"/>
        <v>539000</v>
      </c>
      <c r="W64" s="1025">
        <f t="shared" si="52"/>
        <v>0</v>
      </c>
      <c r="X64" s="1030" t="s">
        <v>1489</v>
      </c>
      <c r="Y64" s="1030"/>
      <c r="Z64" s="1030"/>
      <c r="AA64" s="1030"/>
      <c r="AB64" s="1030"/>
      <c r="AC64" s="1030"/>
      <c r="AD64" s="1025">
        <f t="shared" si="53"/>
        <v>539000</v>
      </c>
      <c r="AE64" s="1028">
        <f t="shared" si="53"/>
        <v>0</v>
      </c>
      <c r="AF64" s="1379">
        <f t="shared" si="53"/>
        <v>0</v>
      </c>
      <c r="AG64" s="1027">
        <f t="shared" si="53"/>
        <v>0</v>
      </c>
      <c r="AH64" s="1029">
        <f t="shared" si="45"/>
        <v>0</v>
      </c>
      <c r="AI64" s="1028">
        <f t="shared" si="54"/>
        <v>269500</v>
      </c>
      <c r="AJ64" s="1027">
        <f t="shared" si="54"/>
        <v>269500</v>
      </c>
      <c r="AK64" s="1026">
        <f t="shared" si="46"/>
        <v>539000</v>
      </c>
      <c r="AL64" s="1025">
        <f t="shared" si="47"/>
        <v>0</v>
      </c>
    </row>
    <row r="65" spans="1:38" s="991" customFormat="1">
      <c r="A65" s="1024"/>
      <c r="B65" s="1034" t="s">
        <v>1429</v>
      </c>
      <c r="C65" s="1033" t="s">
        <v>1446</v>
      </c>
      <c r="D65" s="1030" t="s">
        <v>1462</v>
      </c>
      <c r="E65" s="1163">
        <f>+'3条収入'!E26</f>
        <v>0</v>
      </c>
      <c r="F65" s="1154">
        <f>+雨汚収入!AV8</f>
        <v>0</v>
      </c>
      <c r="G65" s="1401">
        <f>+雨汚収入!AW8</f>
        <v>0</v>
      </c>
      <c r="H65" s="1153">
        <f>+雨汚収入!AX8</f>
        <v>0</v>
      </c>
      <c r="I65" s="1029">
        <f t="shared" si="48"/>
        <v>0</v>
      </c>
      <c r="J65" s="1154">
        <f>+雨汚収入!AZ8</f>
        <v>0</v>
      </c>
      <c r="K65" s="1153">
        <f>+雨汚収入!BA8</f>
        <v>0</v>
      </c>
      <c r="L65" s="1026">
        <f t="shared" si="49"/>
        <v>0</v>
      </c>
      <c r="M65" s="1025">
        <f t="shared" si="50"/>
        <v>0</v>
      </c>
      <c r="N65" s="1030" t="s">
        <v>1462</v>
      </c>
      <c r="O65" s="1163">
        <f>+'3条収入'!AI26</f>
        <v>0</v>
      </c>
      <c r="P65" s="1154">
        <f>+雨汚収入!BF8</f>
        <v>0</v>
      </c>
      <c r="Q65" s="1401">
        <f>+雨汚収入!BG8</f>
        <v>0</v>
      </c>
      <c r="R65" s="1153">
        <f>+雨汚収入!BH8</f>
        <v>0</v>
      </c>
      <c r="S65" s="1029">
        <f t="shared" si="51"/>
        <v>0</v>
      </c>
      <c r="T65" s="1154">
        <f>+雨汚収入!BJ8</f>
        <v>0</v>
      </c>
      <c r="U65" s="1153">
        <f>+雨汚収入!BK8</f>
        <v>0</v>
      </c>
      <c r="V65" s="1057">
        <f t="shared" si="43"/>
        <v>0</v>
      </c>
      <c r="W65" s="1025">
        <f t="shared" si="52"/>
        <v>0</v>
      </c>
      <c r="X65" s="1030" t="s">
        <v>1462</v>
      </c>
      <c r="Y65" s="1030"/>
      <c r="Z65" s="1030"/>
      <c r="AA65" s="1030"/>
      <c r="AB65" s="1030"/>
      <c r="AC65" s="1030"/>
      <c r="AD65" s="1025">
        <f t="shared" si="53"/>
        <v>0</v>
      </c>
      <c r="AE65" s="1028">
        <f t="shared" si="53"/>
        <v>0</v>
      </c>
      <c r="AF65" s="1379">
        <f t="shared" si="53"/>
        <v>0</v>
      </c>
      <c r="AG65" s="1027">
        <f t="shared" si="53"/>
        <v>0</v>
      </c>
      <c r="AH65" s="1029">
        <f t="shared" si="45"/>
        <v>0</v>
      </c>
      <c r="AI65" s="1028">
        <f t="shared" si="54"/>
        <v>0</v>
      </c>
      <c r="AJ65" s="1027">
        <f t="shared" si="54"/>
        <v>0</v>
      </c>
      <c r="AK65" s="1026">
        <f>+SUM(AI65:AJ65)</f>
        <v>0</v>
      </c>
      <c r="AL65" s="1025">
        <f t="shared" si="47"/>
        <v>0</v>
      </c>
    </row>
    <row r="66" spans="1:38" s="991" customFormat="1">
      <c r="A66" s="1024"/>
      <c r="B66" s="1034"/>
      <c r="C66" s="1033"/>
      <c r="D66" s="1056"/>
      <c r="E66" s="1166"/>
      <c r="F66" s="1164"/>
      <c r="G66" s="1402"/>
      <c r="H66" s="1165"/>
      <c r="I66" s="1062"/>
      <c r="J66" s="1164"/>
      <c r="K66" s="1165"/>
      <c r="L66" s="1057"/>
      <c r="M66" s="1025"/>
      <c r="N66" s="1056"/>
      <c r="O66" s="1166"/>
      <c r="P66" s="1164"/>
      <c r="Q66" s="1402"/>
      <c r="R66" s="1043"/>
      <c r="S66" s="1062"/>
      <c r="T66" s="1164"/>
      <c r="U66" s="1043"/>
      <c r="V66" s="1057"/>
      <c r="W66" s="1025"/>
      <c r="X66" s="1056"/>
      <c r="Y66" s="1056"/>
      <c r="Z66" s="1056"/>
      <c r="AA66" s="1056"/>
      <c r="AB66" s="1056"/>
      <c r="AC66" s="1056"/>
      <c r="AD66" s="1056"/>
      <c r="AE66" s="1058"/>
      <c r="AF66" s="1380"/>
      <c r="AG66" s="1043"/>
      <c r="AH66" s="1029"/>
      <c r="AI66" s="1058"/>
      <c r="AJ66" s="1043"/>
      <c r="AK66" s="1026"/>
      <c r="AL66" s="1025"/>
    </row>
    <row r="67" spans="1:38" s="991" customFormat="1">
      <c r="A67" s="1024"/>
      <c r="B67" s="1034"/>
      <c r="C67" s="1033"/>
      <c r="D67" s="1056"/>
      <c r="E67" s="1166"/>
      <c r="F67" s="1164"/>
      <c r="G67" s="1402"/>
      <c r="H67" s="1165"/>
      <c r="I67" s="1062"/>
      <c r="J67" s="1164"/>
      <c r="K67" s="1165"/>
      <c r="L67" s="1057"/>
      <c r="M67" s="1025"/>
      <c r="N67" s="1056"/>
      <c r="O67" s="1166"/>
      <c r="P67" s="1164"/>
      <c r="Q67" s="1402"/>
      <c r="R67" s="1043"/>
      <c r="S67" s="1062"/>
      <c r="T67" s="1164"/>
      <c r="U67" s="1043"/>
      <c r="V67" s="1057"/>
      <c r="W67" s="1025"/>
      <c r="X67" s="1056"/>
      <c r="Y67" s="1056"/>
      <c r="Z67" s="1056"/>
      <c r="AA67" s="1056"/>
      <c r="AB67" s="1056"/>
      <c r="AC67" s="1056"/>
      <c r="AD67" s="1056"/>
      <c r="AE67" s="1058"/>
      <c r="AF67" s="1380"/>
      <c r="AG67" s="1043"/>
      <c r="AH67" s="1029"/>
      <c r="AI67" s="1058"/>
      <c r="AJ67" s="1043"/>
      <c r="AK67" s="1026"/>
      <c r="AL67" s="1025"/>
    </row>
    <row r="68" spans="1:38" s="991" customFormat="1">
      <c r="A68" s="1024"/>
      <c r="B68" s="1034" t="s">
        <v>1429</v>
      </c>
      <c r="C68" s="1033" t="s">
        <v>1439</v>
      </c>
      <c r="D68" s="1030" t="s">
        <v>1467</v>
      </c>
      <c r="E68" s="1163">
        <f>+'3条収入'!E29</f>
        <v>88770</v>
      </c>
      <c r="F68" s="1154">
        <f>+雨汚収入!AV9</f>
        <v>44385</v>
      </c>
      <c r="G68" s="1401">
        <f>+雨汚収入!AW9</f>
        <v>0</v>
      </c>
      <c r="H68" s="1153">
        <f>+雨汚収入!AX9</f>
        <v>0</v>
      </c>
      <c r="I68" s="1029">
        <f t="shared" ref="I68:I77" si="55">+SUM(F68:H68)</f>
        <v>44385</v>
      </c>
      <c r="J68" s="1154">
        <f>+雨汚収入!AZ9</f>
        <v>0</v>
      </c>
      <c r="K68" s="1153">
        <f>+雨汚収入!BA9</f>
        <v>44385</v>
      </c>
      <c r="L68" s="1026">
        <f>+SUM(J68:K68)</f>
        <v>44385</v>
      </c>
      <c r="M68" s="1025">
        <f t="shared" ref="M68:M77" si="56">E68-SUM(I68,L68)</f>
        <v>0</v>
      </c>
      <c r="N68" s="1030" t="s">
        <v>1467</v>
      </c>
      <c r="O68" s="1163">
        <f>+'3条収入'!AI29</f>
        <v>88770</v>
      </c>
      <c r="P68" s="1154">
        <f>+雨汚収入!BF9</f>
        <v>44385</v>
      </c>
      <c r="Q68" s="1401">
        <f>+雨汚収入!BG9</f>
        <v>0</v>
      </c>
      <c r="R68" s="1153">
        <f>+雨汚収入!BH9</f>
        <v>0</v>
      </c>
      <c r="S68" s="1029">
        <f t="shared" si="51"/>
        <v>44385</v>
      </c>
      <c r="T68" s="1154">
        <f>+雨汚収入!BJ9</f>
        <v>0</v>
      </c>
      <c r="U68" s="1153">
        <f>+雨汚収入!BK9</f>
        <v>44385</v>
      </c>
      <c r="V68" s="1026">
        <f t="shared" si="43"/>
        <v>44385</v>
      </c>
      <c r="W68" s="1025">
        <f t="shared" si="52"/>
        <v>0</v>
      </c>
      <c r="X68" s="1056" t="s">
        <v>1467</v>
      </c>
      <c r="Y68" s="1056"/>
      <c r="Z68" s="1056"/>
      <c r="AA68" s="1056"/>
      <c r="AB68" s="1056"/>
      <c r="AC68" s="1056"/>
      <c r="AD68" s="1056">
        <f t="shared" ref="AD68:AG76" si="57">+O68</f>
        <v>88770</v>
      </c>
      <c r="AE68" s="1058">
        <f t="shared" si="57"/>
        <v>44385</v>
      </c>
      <c r="AF68" s="1380">
        <f t="shared" si="57"/>
        <v>0</v>
      </c>
      <c r="AG68" s="1043">
        <f t="shared" si="57"/>
        <v>0</v>
      </c>
      <c r="AH68" s="1029">
        <f t="shared" si="45"/>
        <v>44385</v>
      </c>
      <c r="AI68" s="1058">
        <f t="shared" ref="AI68:AJ76" si="58">+T68</f>
        <v>0</v>
      </c>
      <c r="AJ68" s="1043">
        <f t="shared" si="58"/>
        <v>44385</v>
      </c>
      <c r="AK68" s="1026">
        <f t="shared" si="46"/>
        <v>44385</v>
      </c>
      <c r="AL68" s="1025">
        <f t="shared" si="47"/>
        <v>0</v>
      </c>
    </row>
    <row r="69" spans="1:38" s="991" customFormat="1">
      <c r="A69" s="1024"/>
      <c r="B69" s="1034" t="s">
        <v>1429</v>
      </c>
      <c r="C69" s="1033" t="s">
        <v>1439</v>
      </c>
      <c r="D69" s="1030" t="s">
        <v>1473</v>
      </c>
      <c r="E69" s="1163">
        <f>+'3条収入'!E34</f>
        <v>0</v>
      </c>
      <c r="F69" s="1154">
        <f>+雨汚収入!AV10</f>
        <v>0</v>
      </c>
      <c r="G69" s="1401">
        <f>+雨汚収入!AW10</f>
        <v>0</v>
      </c>
      <c r="H69" s="1153">
        <f>+雨汚収入!AX10</f>
        <v>0</v>
      </c>
      <c r="I69" s="1029">
        <f t="shared" si="55"/>
        <v>0</v>
      </c>
      <c r="J69" s="1154">
        <f>+雨汚収入!AZ10</f>
        <v>0</v>
      </c>
      <c r="K69" s="1153">
        <f>+雨汚収入!BA10</f>
        <v>0</v>
      </c>
      <c r="L69" s="1026">
        <f>+SUM(J69:K69)</f>
        <v>0</v>
      </c>
      <c r="M69" s="1025">
        <f t="shared" si="56"/>
        <v>0</v>
      </c>
      <c r="N69" s="1030" t="s">
        <v>1473</v>
      </c>
      <c r="O69" s="1163">
        <f>+'3条収入'!AI34</f>
        <v>0</v>
      </c>
      <c r="P69" s="1154">
        <f>+雨汚収入!BF10</f>
        <v>0</v>
      </c>
      <c r="Q69" s="1401">
        <f>+雨汚収入!BG10</f>
        <v>0</v>
      </c>
      <c r="R69" s="1153">
        <f>+雨汚収入!BH10</f>
        <v>0</v>
      </c>
      <c r="S69" s="1029">
        <f t="shared" ref="S69" si="59">+SUM(P69:R69)</f>
        <v>0</v>
      </c>
      <c r="T69" s="1154">
        <f>+雨汚収入!BJ10</f>
        <v>0</v>
      </c>
      <c r="U69" s="1153">
        <f>+雨汚収入!BK10</f>
        <v>0</v>
      </c>
      <c r="V69" s="1026">
        <f t="shared" si="43"/>
        <v>0</v>
      </c>
      <c r="W69" s="1025">
        <f t="shared" si="52"/>
        <v>0</v>
      </c>
      <c r="X69" s="1030" t="s">
        <v>1473</v>
      </c>
      <c r="Y69" s="1030"/>
      <c r="Z69" s="1030"/>
      <c r="AA69" s="1030"/>
      <c r="AB69" s="1030"/>
      <c r="AC69" s="1030"/>
      <c r="AD69" s="1025">
        <f t="shared" si="57"/>
        <v>0</v>
      </c>
      <c r="AE69" s="1028">
        <f t="shared" si="57"/>
        <v>0</v>
      </c>
      <c r="AF69" s="1379">
        <f t="shared" si="57"/>
        <v>0</v>
      </c>
      <c r="AG69" s="1027">
        <f t="shared" si="57"/>
        <v>0</v>
      </c>
      <c r="AH69" s="1029">
        <f t="shared" si="45"/>
        <v>0</v>
      </c>
      <c r="AI69" s="1028">
        <f t="shared" si="58"/>
        <v>0</v>
      </c>
      <c r="AJ69" s="1027">
        <f t="shared" si="58"/>
        <v>0</v>
      </c>
      <c r="AK69" s="1026">
        <f t="shared" si="46"/>
        <v>0</v>
      </c>
      <c r="AL69" s="1025">
        <f t="shared" si="47"/>
        <v>0</v>
      </c>
    </row>
    <row r="70" spans="1:38" s="991" customFormat="1">
      <c r="A70" s="1024"/>
      <c r="B70" s="1034" t="s">
        <v>1429</v>
      </c>
      <c r="C70" s="1033" t="s">
        <v>1439</v>
      </c>
      <c r="D70" s="1030" t="s">
        <v>1495</v>
      </c>
      <c r="E70" s="1163">
        <f>+'3条収入'!E40</f>
        <v>37016600</v>
      </c>
      <c r="F70" s="1154">
        <f>+雨汚収入!AV11</f>
        <v>36785219</v>
      </c>
      <c r="G70" s="1401">
        <f>+雨汚収入!AW11</f>
        <v>0</v>
      </c>
      <c r="H70" s="1153">
        <f>+雨汚収入!AX11</f>
        <v>0</v>
      </c>
      <c r="I70" s="1029">
        <f t="shared" si="55"/>
        <v>36785219</v>
      </c>
      <c r="J70" s="1154">
        <f>+雨汚収入!AZ11</f>
        <v>0</v>
      </c>
      <c r="K70" s="1153">
        <f>+雨汚収入!BA11</f>
        <v>231381</v>
      </c>
      <c r="L70" s="1026">
        <f>+SUM(J70:K70)</f>
        <v>231381</v>
      </c>
      <c r="M70" s="1025">
        <f t="shared" si="56"/>
        <v>0</v>
      </c>
      <c r="N70" s="1030" t="s">
        <v>1495</v>
      </c>
      <c r="O70" s="1163">
        <f>+'3条収入'!AI40</f>
        <v>33651455</v>
      </c>
      <c r="P70" s="1154">
        <f>+雨汚収入!BF11</f>
        <v>33441108</v>
      </c>
      <c r="Q70" s="1401">
        <f>+雨汚収入!BG11</f>
        <v>0</v>
      </c>
      <c r="R70" s="1153">
        <f>+雨汚収入!BH11</f>
        <v>0</v>
      </c>
      <c r="S70" s="1029">
        <f t="shared" si="51"/>
        <v>33441108</v>
      </c>
      <c r="T70" s="1154">
        <f>+雨汚収入!BJ11</f>
        <v>0</v>
      </c>
      <c r="U70" s="1153">
        <f>+雨汚収入!BK11</f>
        <v>210347</v>
      </c>
      <c r="V70" s="1026">
        <f t="shared" si="43"/>
        <v>210347</v>
      </c>
      <c r="W70" s="1025">
        <f t="shared" si="52"/>
        <v>0</v>
      </c>
      <c r="X70" s="1030" t="s">
        <v>1495</v>
      </c>
      <c r="Y70" s="1030"/>
      <c r="Z70" s="1030"/>
      <c r="AA70" s="1030"/>
      <c r="AB70" s="1030"/>
      <c r="AC70" s="1030"/>
      <c r="AD70" s="1025">
        <f t="shared" si="57"/>
        <v>33651455</v>
      </c>
      <c r="AE70" s="1028">
        <f t="shared" si="57"/>
        <v>33441108</v>
      </c>
      <c r="AF70" s="1379">
        <f t="shared" si="57"/>
        <v>0</v>
      </c>
      <c r="AG70" s="1027">
        <f t="shared" si="57"/>
        <v>0</v>
      </c>
      <c r="AH70" s="1029">
        <f t="shared" si="45"/>
        <v>33441108</v>
      </c>
      <c r="AI70" s="1028">
        <f t="shared" si="58"/>
        <v>0</v>
      </c>
      <c r="AJ70" s="1027">
        <f t="shared" si="58"/>
        <v>210347</v>
      </c>
      <c r="AK70" s="1026">
        <f t="shared" si="46"/>
        <v>210347</v>
      </c>
      <c r="AL70" s="1025">
        <f t="shared" si="47"/>
        <v>0</v>
      </c>
    </row>
    <row r="71" spans="1:38" s="991" customFormat="1">
      <c r="A71" s="1024"/>
      <c r="B71" s="1034" t="s">
        <v>1429</v>
      </c>
      <c r="C71" s="1033"/>
      <c r="D71" s="1030"/>
      <c r="E71" s="1025"/>
      <c r="F71" s="1028"/>
      <c r="G71" s="1379"/>
      <c r="H71" s="1027"/>
      <c r="I71" s="1029">
        <f t="shared" si="55"/>
        <v>0</v>
      </c>
      <c r="J71" s="1028"/>
      <c r="K71" s="1027"/>
      <c r="L71" s="1026"/>
      <c r="M71" s="1025">
        <f t="shared" si="56"/>
        <v>0</v>
      </c>
      <c r="N71" s="1030"/>
      <c r="O71" s="1025"/>
      <c r="P71" s="1028">
        <f t="shared" ref="P71:R72" si="60">+IFERROR(ROUND(F71*$O71/$E71,0),0)</f>
        <v>0</v>
      </c>
      <c r="Q71" s="1379">
        <f t="shared" si="60"/>
        <v>0</v>
      </c>
      <c r="R71" s="1027">
        <f t="shared" si="60"/>
        <v>0</v>
      </c>
      <c r="S71" s="1029">
        <f t="shared" si="51"/>
        <v>0</v>
      </c>
      <c r="T71" s="1028">
        <f>+IFERROR(ROUND(J71*$O71/$E71,0),0)</f>
        <v>0</v>
      </c>
      <c r="U71" s="1027">
        <f t="shared" ref="U71:U72" si="61">+O71-S71-T71</f>
        <v>0</v>
      </c>
      <c r="V71" s="1026">
        <f t="shared" si="43"/>
        <v>0</v>
      </c>
      <c r="W71" s="1025">
        <f t="shared" si="52"/>
        <v>0</v>
      </c>
      <c r="X71" s="1030"/>
      <c r="Y71" s="1030"/>
      <c r="Z71" s="1030"/>
      <c r="AA71" s="1030"/>
      <c r="AB71" s="1030"/>
      <c r="AC71" s="1030"/>
      <c r="AD71" s="1056">
        <f t="shared" si="57"/>
        <v>0</v>
      </c>
      <c r="AE71" s="1058">
        <f t="shared" si="57"/>
        <v>0</v>
      </c>
      <c r="AF71" s="1380">
        <f t="shared" si="57"/>
        <v>0</v>
      </c>
      <c r="AG71" s="1043">
        <f t="shared" si="57"/>
        <v>0</v>
      </c>
      <c r="AH71" s="1029">
        <f t="shared" si="45"/>
        <v>0</v>
      </c>
      <c r="AI71" s="1058">
        <f t="shared" si="58"/>
        <v>0</v>
      </c>
      <c r="AJ71" s="1043">
        <f t="shared" si="58"/>
        <v>0</v>
      </c>
      <c r="AK71" s="1026">
        <f t="shared" si="46"/>
        <v>0</v>
      </c>
      <c r="AL71" s="1025">
        <f t="shared" si="47"/>
        <v>0</v>
      </c>
    </row>
    <row r="72" spans="1:38" s="991" customFormat="1">
      <c r="A72" s="1024"/>
      <c r="B72" s="1034" t="s">
        <v>1429</v>
      </c>
      <c r="C72" s="1033"/>
      <c r="D72" s="1056"/>
      <c r="E72" s="1166"/>
      <c r="F72" s="1164"/>
      <c r="G72" s="1402"/>
      <c r="H72" s="1165"/>
      <c r="I72" s="1062">
        <f t="shared" si="55"/>
        <v>0</v>
      </c>
      <c r="J72" s="1164"/>
      <c r="K72" s="1165"/>
      <c r="L72" s="1057"/>
      <c r="M72" s="1025">
        <f t="shared" si="56"/>
        <v>0</v>
      </c>
      <c r="N72" s="1056"/>
      <c r="O72" s="1166"/>
      <c r="P72" s="1164">
        <f t="shared" si="60"/>
        <v>0</v>
      </c>
      <c r="Q72" s="1402">
        <f t="shared" si="60"/>
        <v>0</v>
      </c>
      <c r="R72" s="1043">
        <f t="shared" si="60"/>
        <v>0</v>
      </c>
      <c r="S72" s="1062">
        <f t="shared" si="51"/>
        <v>0</v>
      </c>
      <c r="T72" s="1164">
        <f>+IFERROR(ROUND(J72*$O72/$E72,0),0)</f>
        <v>0</v>
      </c>
      <c r="U72" s="1043">
        <f t="shared" si="61"/>
        <v>0</v>
      </c>
      <c r="V72" s="1057">
        <f t="shared" si="43"/>
        <v>0</v>
      </c>
      <c r="W72" s="1025">
        <f t="shared" si="52"/>
        <v>0</v>
      </c>
      <c r="X72" s="1030"/>
      <c r="Y72" s="1030"/>
      <c r="Z72" s="1030"/>
      <c r="AA72" s="1030"/>
      <c r="AB72" s="1030"/>
      <c r="AC72" s="1030"/>
      <c r="AD72" s="1025">
        <f t="shared" si="57"/>
        <v>0</v>
      </c>
      <c r="AE72" s="1028">
        <f t="shared" si="57"/>
        <v>0</v>
      </c>
      <c r="AF72" s="1379">
        <f t="shared" si="57"/>
        <v>0</v>
      </c>
      <c r="AG72" s="1027">
        <f t="shared" si="57"/>
        <v>0</v>
      </c>
      <c r="AH72" s="1412">
        <f t="shared" si="45"/>
        <v>0</v>
      </c>
      <c r="AI72" s="1028">
        <f t="shared" si="58"/>
        <v>0</v>
      </c>
      <c r="AJ72" s="1027">
        <f t="shared" si="58"/>
        <v>0</v>
      </c>
      <c r="AK72" s="1041">
        <f t="shared" si="46"/>
        <v>0</v>
      </c>
      <c r="AL72" s="1025">
        <f t="shared" si="47"/>
        <v>0</v>
      </c>
    </row>
    <row r="73" spans="1:38" s="991" customFormat="1">
      <c r="A73" s="1024"/>
      <c r="B73" s="1034" t="s">
        <v>1429</v>
      </c>
      <c r="C73" s="1033" t="s">
        <v>1439</v>
      </c>
      <c r="D73" s="1030" t="s">
        <v>1461</v>
      </c>
      <c r="E73" s="1163">
        <f>+'3条収入'!E50</f>
        <v>0</v>
      </c>
      <c r="F73" s="1154">
        <f>+雨汚収入!AV13</f>
        <v>0</v>
      </c>
      <c r="G73" s="1401">
        <f>+雨汚収入!AW13</f>
        <v>0</v>
      </c>
      <c r="H73" s="1153">
        <f>+雨汚収入!AX13</f>
        <v>0</v>
      </c>
      <c r="I73" s="1029">
        <f t="shared" si="55"/>
        <v>0</v>
      </c>
      <c r="J73" s="1154">
        <f>+雨汚収入!AZ13</f>
        <v>0</v>
      </c>
      <c r="K73" s="1153">
        <f>+雨汚収入!BA13</f>
        <v>0</v>
      </c>
      <c r="L73" s="1026">
        <f>+SUM(J73:K73)</f>
        <v>0</v>
      </c>
      <c r="M73" s="1025">
        <f t="shared" si="56"/>
        <v>0</v>
      </c>
      <c r="N73" s="1030" t="s">
        <v>1461</v>
      </c>
      <c r="O73" s="1163">
        <f>+'3条収入'!AI50</f>
        <v>0</v>
      </c>
      <c r="P73" s="1154">
        <f>+雨汚収入!BF13</f>
        <v>0</v>
      </c>
      <c r="Q73" s="1401">
        <f>+雨汚収入!BG13</f>
        <v>0</v>
      </c>
      <c r="R73" s="1153">
        <f>+雨汚収入!BH13</f>
        <v>0</v>
      </c>
      <c r="S73" s="1029">
        <f t="shared" si="51"/>
        <v>0</v>
      </c>
      <c r="T73" s="1154">
        <f>+雨汚収入!BJ13</f>
        <v>0</v>
      </c>
      <c r="U73" s="1160">
        <f>+雨汚収入!BK13</f>
        <v>0</v>
      </c>
      <c r="V73" s="1026">
        <f t="shared" si="43"/>
        <v>0</v>
      </c>
      <c r="W73" s="1025">
        <f t="shared" si="52"/>
        <v>0</v>
      </c>
      <c r="X73" s="1030" t="s">
        <v>1461</v>
      </c>
      <c r="Y73" s="1030"/>
      <c r="Z73" s="1030"/>
      <c r="AA73" s="1030"/>
      <c r="AB73" s="1030"/>
      <c r="AC73" s="1030"/>
      <c r="AD73" s="1025">
        <f t="shared" si="57"/>
        <v>0</v>
      </c>
      <c r="AE73" s="1028">
        <f t="shared" si="57"/>
        <v>0</v>
      </c>
      <c r="AF73" s="1379">
        <f t="shared" si="57"/>
        <v>0</v>
      </c>
      <c r="AG73" s="1027">
        <f t="shared" si="57"/>
        <v>0</v>
      </c>
      <c r="AH73" s="1029">
        <f t="shared" si="45"/>
        <v>0</v>
      </c>
      <c r="AI73" s="1028">
        <f t="shared" si="58"/>
        <v>0</v>
      </c>
      <c r="AJ73" s="1027">
        <f t="shared" si="58"/>
        <v>0</v>
      </c>
      <c r="AK73" s="1026">
        <f t="shared" si="46"/>
        <v>0</v>
      </c>
      <c r="AL73" s="1025">
        <f t="shared" si="47"/>
        <v>0</v>
      </c>
    </row>
    <row r="74" spans="1:38" s="991" customFormat="1">
      <c r="A74" s="1024"/>
      <c r="B74" s="1034" t="s">
        <v>1429</v>
      </c>
      <c r="C74" s="1033" t="s">
        <v>1439</v>
      </c>
      <c r="D74" s="1030"/>
      <c r="E74" s="1025"/>
      <c r="F74" s="1028"/>
      <c r="G74" s="1379"/>
      <c r="H74" s="1027"/>
      <c r="I74" s="1029">
        <f t="shared" si="55"/>
        <v>0</v>
      </c>
      <c r="J74" s="1028"/>
      <c r="K74" s="1027"/>
      <c r="L74" s="1026">
        <f>+SUM(J74:K74)</f>
        <v>0</v>
      </c>
      <c r="M74" s="1025">
        <f t="shared" si="56"/>
        <v>0</v>
      </c>
      <c r="N74" s="1030"/>
      <c r="O74" s="1025"/>
      <c r="P74" s="1028">
        <f>+IFERROR(ROUND(F74*$O74/$E74,0),0)</f>
        <v>0</v>
      </c>
      <c r="Q74" s="1379">
        <f>+IFERROR(ROUND(G74*$O74/$E74,0),0)</f>
        <v>0</v>
      </c>
      <c r="R74" s="1027">
        <f>+IFERROR(ROUND(H74*$O74/$E74,0),0)</f>
        <v>0</v>
      </c>
      <c r="S74" s="1029">
        <f t="shared" si="42"/>
        <v>0</v>
      </c>
      <c r="T74" s="1028">
        <f>+IFERROR(ROUND(J74*$O74/$E74,0),0)</f>
        <v>0</v>
      </c>
      <c r="U74" s="1027">
        <f>+O74-S74-T74</f>
        <v>0</v>
      </c>
      <c r="V74" s="1026">
        <f t="shared" ref="V74:V95" si="62">+SUM(T74:U74)</f>
        <v>0</v>
      </c>
      <c r="W74" s="1025">
        <f t="shared" si="44"/>
        <v>0</v>
      </c>
      <c r="X74" s="1030"/>
      <c r="Y74" s="1030"/>
      <c r="Z74" s="1030"/>
      <c r="AA74" s="1030"/>
      <c r="AB74" s="1030"/>
      <c r="AC74" s="1030"/>
      <c r="AD74" s="1025">
        <f t="shared" si="57"/>
        <v>0</v>
      </c>
      <c r="AE74" s="1028">
        <f t="shared" si="57"/>
        <v>0</v>
      </c>
      <c r="AF74" s="1379">
        <f t="shared" si="57"/>
        <v>0</v>
      </c>
      <c r="AG74" s="1027">
        <f t="shared" si="57"/>
        <v>0</v>
      </c>
      <c r="AH74" s="1029">
        <f t="shared" si="45"/>
        <v>0</v>
      </c>
      <c r="AI74" s="1028">
        <f t="shared" si="58"/>
        <v>0</v>
      </c>
      <c r="AJ74" s="1027">
        <f t="shared" si="58"/>
        <v>0</v>
      </c>
      <c r="AK74" s="1026">
        <f>+SUM(AI74:AJ74)</f>
        <v>0</v>
      </c>
      <c r="AL74" s="1025">
        <f t="shared" si="47"/>
        <v>0</v>
      </c>
    </row>
    <row r="75" spans="1:38" s="991" customFormat="1">
      <c r="A75" s="1024"/>
      <c r="B75" s="1034" t="s">
        <v>1542</v>
      </c>
      <c r="C75" s="1033" t="s">
        <v>1541</v>
      </c>
      <c r="D75" s="1030" t="s">
        <v>1781</v>
      </c>
      <c r="E75" s="1163">
        <f>+'3条収入'!E52</f>
        <v>408100</v>
      </c>
      <c r="F75" s="1154">
        <f>+雨汚収入!AV14</f>
        <v>0</v>
      </c>
      <c r="G75" s="1401">
        <f>+雨汚収入!AW14</f>
        <v>0</v>
      </c>
      <c r="H75" s="1153">
        <f>+雨汚収入!AX14</f>
        <v>408100</v>
      </c>
      <c r="I75" s="1029">
        <f t="shared" si="55"/>
        <v>408100</v>
      </c>
      <c r="J75" s="1154">
        <f>+雨汚収入!AZ14</f>
        <v>0</v>
      </c>
      <c r="K75" s="1153">
        <f>+雨汚収入!BA14</f>
        <v>0</v>
      </c>
      <c r="L75" s="1026">
        <f>+SUM(J75:K75)</f>
        <v>0</v>
      </c>
      <c r="M75" s="1025">
        <f t="shared" si="56"/>
        <v>0</v>
      </c>
      <c r="N75" s="1030" t="s">
        <v>1781</v>
      </c>
      <c r="O75" s="1163">
        <f>+'3条収入'!AI52</f>
        <v>371000</v>
      </c>
      <c r="P75" s="1154">
        <f>+雨汚収入!BF14</f>
        <v>0</v>
      </c>
      <c r="Q75" s="1401">
        <f>+雨汚収入!BG14</f>
        <v>0</v>
      </c>
      <c r="R75" s="1153">
        <f>+雨汚収入!BH14</f>
        <v>371000</v>
      </c>
      <c r="S75" s="1029">
        <f t="shared" si="42"/>
        <v>371000</v>
      </c>
      <c r="T75" s="1154">
        <f>+雨汚収入!BJ14</f>
        <v>0</v>
      </c>
      <c r="U75" s="1160">
        <f>+雨汚収入!BK14</f>
        <v>0</v>
      </c>
      <c r="V75" s="1026">
        <f t="shared" ref="V75" si="63">+SUM(T75:U75)</f>
        <v>0</v>
      </c>
      <c r="W75" s="1025">
        <f t="shared" si="44"/>
        <v>0</v>
      </c>
      <c r="X75" s="1030" t="s">
        <v>1781</v>
      </c>
      <c r="Y75" s="1030"/>
      <c r="Z75" s="1030"/>
      <c r="AA75" s="1030"/>
      <c r="AB75" s="1030"/>
      <c r="AC75" s="1030"/>
      <c r="AD75" s="1025">
        <f t="shared" si="57"/>
        <v>371000</v>
      </c>
      <c r="AE75" s="1028">
        <f t="shared" si="57"/>
        <v>0</v>
      </c>
      <c r="AF75" s="1379">
        <f t="shared" si="57"/>
        <v>0</v>
      </c>
      <c r="AG75" s="1027">
        <f t="shared" si="57"/>
        <v>371000</v>
      </c>
      <c r="AH75" s="1029">
        <f t="shared" si="45"/>
        <v>371000</v>
      </c>
      <c r="AI75" s="1028">
        <f t="shared" si="58"/>
        <v>0</v>
      </c>
      <c r="AJ75" s="1043">
        <f t="shared" si="58"/>
        <v>0</v>
      </c>
      <c r="AK75" s="1026">
        <f t="shared" si="46"/>
        <v>0</v>
      </c>
      <c r="AL75" s="1025">
        <f t="shared" si="47"/>
        <v>0</v>
      </c>
    </row>
    <row r="76" spans="1:38" s="991" customFormat="1">
      <c r="A76" s="1024"/>
      <c r="B76" s="1034" t="s">
        <v>1429</v>
      </c>
      <c r="C76" s="1033" t="s">
        <v>1439</v>
      </c>
      <c r="D76" s="1030" t="s">
        <v>1782</v>
      </c>
      <c r="E76" s="1163">
        <f>+'3条収入'!E53</f>
        <v>36052234</v>
      </c>
      <c r="F76" s="1154">
        <f>+雨汚収入!AV15</f>
        <v>10360569</v>
      </c>
      <c r="G76" s="1401">
        <f>+雨汚収入!AW15</f>
        <v>0</v>
      </c>
      <c r="H76" s="1153">
        <f>+雨汚収入!AX15</f>
        <v>1399670</v>
      </c>
      <c r="I76" s="1029">
        <f t="shared" si="55"/>
        <v>11760239</v>
      </c>
      <c r="J76" s="1154">
        <f>+雨汚収入!AZ15</f>
        <v>0</v>
      </c>
      <c r="K76" s="1153">
        <f>+雨汚収入!BA15</f>
        <v>24291995</v>
      </c>
      <c r="L76" s="1026">
        <f>+SUM(J76:K76)</f>
        <v>24291995</v>
      </c>
      <c r="M76" s="1025">
        <f t="shared" si="56"/>
        <v>0</v>
      </c>
      <c r="N76" s="1030" t="s">
        <v>1782</v>
      </c>
      <c r="O76" s="1163">
        <f>+'3条収入'!AI53</f>
        <v>34878977</v>
      </c>
      <c r="P76" s="1154">
        <f>+雨汚収入!BF15</f>
        <v>10155799</v>
      </c>
      <c r="Q76" s="1401">
        <f>+雨汚収入!BG15</f>
        <v>0</v>
      </c>
      <c r="R76" s="1153">
        <f>+雨汚収入!BH15</f>
        <v>1397864</v>
      </c>
      <c r="S76" s="1029">
        <f t="shared" si="42"/>
        <v>11553663</v>
      </c>
      <c r="T76" s="1154">
        <f>+雨汚収入!BJ15</f>
        <v>0</v>
      </c>
      <c r="U76" s="1160">
        <f>+雨汚収入!BK15</f>
        <v>23325314</v>
      </c>
      <c r="V76" s="1026">
        <f t="shared" si="62"/>
        <v>23325314</v>
      </c>
      <c r="W76" s="1025">
        <f t="shared" si="44"/>
        <v>0</v>
      </c>
      <c r="X76" s="1030" t="s">
        <v>1795</v>
      </c>
      <c r="Y76" s="1030"/>
      <c r="Z76" s="1030"/>
      <c r="AA76" s="1030"/>
      <c r="AB76" s="1030"/>
      <c r="AC76" s="1030"/>
      <c r="AD76" s="1025">
        <f t="shared" si="57"/>
        <v>34878977</v>
      </c>
      <c r="AE76" s="1028">
        <f t="shared" si="57"/>
        <v>10155799</v>
      </c>
      <c r="AF76" s="1379">
        <f t="shared" si="57"/>
        <v>0</v>
      </c>
      <c r="AG76" s="1027">
        <f t="shared" si="57"/>
        <v>1397864</v>
      </c>
      <c r="AH76" s="1029">
        <f t="shared" si="45"/>
        <v>11553663</v>
      </c>
      <c r="AI76" s="1028">
        <f t="shared" si="58"/>
        <v>0</v>
      </c>
      <c r="AJ76" s="1043">
        <f t="shared" si="58"/>
        <v>23325314</v>
      </c>
      <c r="AK76" s="1026">
        <f>+SUM(AI76:AJ76)</f>
        <v>23325314</v>
      </c>
      <c r="AL76" s="1025">
        <f t="shared" si="47"/>
        <v>0</v>
      </c>
    </row>
    <row r="77" spans="1:38" s="991" customFormat="1">
      <c r="A77" s="1024"/>
      <c r="B77" s="1034" t="s">
        <v>1429</v>
      </c>
      <c r="C77" s="1033" t="s">
        <v>1439</v>
      </c>
      <c r="D77" s="1049" t="s">
        <v>1783</v>
      </c>
      <c r="E77" s="1025"/>
      <c r="F77" s="1028"/>
      <c r="G77" s="1379"/>
      <c r="H77" s="1027"/>
      <c r="I77" s="1029">
        <f t="shared" si="55"/>
        <v>0</v>
      </c>
      <c r="J77" s="1028"/>
      <c r="K77" s="1027"/>
      <c r="L77" s="1026">
        <f>+SUM(J77:K77)</f>
        <v>0</v>
      </c>
      <c r="M77" s="1025">
        <f t="shared" si="56"/>
        <v>0</v>
      </c>
      <c r="N77" s="1049" t="s">
        <v>1783</v>
      </c>
      <c r="O77" s="1025"/>
      <c r="P77" s="1028"/>
      <c r="Q77" s="1379"/>
      <c r="R77" s="1027"/>
      <c r="S77" s="1029">
        <f t="shared" si="42"/>
        <v>0</v>
      </c>
      <c r="T77" s="1028"/>
      <c r="U77" s="1027"/>
      <c r="V77" s="1026">
        <f t="shared" si="62"/>
        <v>0</v>
      </c>
      <c r="W77" s="1025">
        <f t="shared" si="44"/>
        <v>0</v>
      </c>
      <c r="X77" s="1049" t="s">
        <v>1796</v>
      </c>
      <c r="Y77" s="1048"/>
      <c r="Z77" s="1048"/>
      <c r="AA77" s="1048"/>
      <c r="AB77" s="1048"/>
      <c r="AC77" s="1048"/>
      <c r="AD77" s="1047">
        <f>+SUM(AH77,AK77:AK77)</f>
        <v>1880565</v>
      </c>
      <c r="AE77" s="1046"/>
      <c r="AF77" s="1404"/>
      <c r="AG77" s="1045">
        <f>+対価返還!AX14-対価返還!BH14</f>
        <v>0</v>
      </c>
      <c r="AH77" s="1029">
        <f>+SUM(AE77:AG77)</f>
        <v>0</v>
      </c>
      <c r="AI77" s="1046"/>
      <c r="AJ77" s="1045">
        <f>+消費税!Z125</f>
        <v>1880565</v>
      </c>
      <c r="AK77" s="1026">
        <f>+SUM(AI77:AJ77)</f>
        <v>1880565</v>
      </c>
      <c r="AL77" s="1025">
        <f>AD77-SUM(AH77,AK77)</f>
        <v>0</v>
      </c>
    </row>
    <row r="78" spans="1:38" s="991" customFormat="1">
      <c r="A78" s="1024"/>
      <c r="B78" s="1034"/>
      <c r="C78" s="1033"/>
      <c r="D78" s="1030"/>
      <c r="E78" s="1025"/>
      <c r="F78" s="1028"/>
      <c r="G78" s="1379"/>
      <c r="H78" s="1027"/>
      <c r="I78" s="1029"/>
      <c r="J78" s="1028"/>
      <c r="K78" s="1027"/>
      <c r="L78" s="1026"/>
      <c r="M78" s="1025"/>
      <c r="N78" s="1030"/>
      <c r="O78" s="1025"/>
      <c r="P78" s="1028"/>
      <c r="Q78" s="1379"/>
      <c r="R78" s="1027"/>
      <c r="S78" s="1029"/>
      <c r="T78" s="1028"/>
      <c r="U78" s="1027"/>
      <c r="V78" s="1026"/>
      <c r="W78" s="1025"/>
      <c r="X78" s="1030"/>
      <c r="Y78" s="1030"/>
      <c r="Z78" s="1030"/>
      <c r="AA78" s="1030"/>
      <c r="AB78" s="1030"/>
      <c r="AC78" s="1030"/>
      <c r="AD78" s="1025"/>
      <c r="AE78" s="1028"/>
      <c r="AF78" s="1379"/>
      <c r="AG78" s="1027"/>
      <c r="AH78" s="1029"/>
      <c r="AI78" s="1028"/>
      <c r="AJ78" s="1027"/>
      <c r="AK78" s="1026"/>
      <c r="AL78" s="1025"/>
    </row>
    <row r="79" spans="1:38" s="991" customFormat="1">
      <c r="A79" s="1024"/>
      <c r="B79" s="1034" t="s">
        <v>1429</v>
      </c>
      <c r="C79" s="1033" t="s">
        <v>1433</v>
      </c>
      <c r="D79" s="1030" t="s">
        <v>1454</v>
      </c>
      <c r="E79" s="1140">
        <f>+'3条収入'!E59</f>
        <v>0</v>
      </c>
      <c r="F79" s="1154">
        <f>+雨汚収入!AV16</f>
        <v>0</v>
      </c>
      <c r="G79" s="1401">
        <f>+雨汚収入!AW16</f>
        <v>0</v>
      </c>
      <c r="H79" s="1153">
        <f>+雨汚収入!AX16</f>
        <v>0</v>
      </c>
      <c r="I79" s="1029">
        <f>+SUM(F79:H79)</f>
        <v>0</v>
      </c>
      <c r="J79" s="1154">
        <f>+雨汚収入!AZ16</f>
        <v>0</v>
      </c>
      <c r="K79" s="1153">
        <f>+雨汚収入!BA16</f>
        <v>0</v>
      </c>
      <c r="L79" s="1026">
        <f>+SUM(J79:K79)</f>
        <v>0</v>
      </c>
      <c r="M79" s="1025">
        <f>E79-SUM(I79,L79)</f>
        <v>0</v>
      </c>
      <c r="N79" s="1030" t="s">
        <v>1454</v>
      </c>
      <c r="O79" s="1140">
        <f>+'3条収入'!AI59</f>
        <v>0</v>
      </c>
      <c r="P79" s="1154">
        <f>+雨汚収入!BF16</f>
        <v>0</v>
      </c>
      <c r="Q79" s="1401">
        <f>+雨汚収入!BG16</f>
        <v>0</v>
      </c>
      <c r="R79" s="1153">
        <f>+雨汚収入!BH16</f>
        <v>0</v>
      </c>
      <c r="S79" s="1029">
        <f t="shared" si="42"/>
        <v>0</v>
      </c>
      <c r="T79" s="1154">
        <f>+雨汚収入!BJ16</f>
        <v>0</v>
      </c>
      <c r="U79" s="1153">
        <f>+雨汚収入!BK16</f>
        <v>0</v>
      </c>
      <c r="V79" s="1026">
        <f t="shared" si="62"/>
        <v>0</v>
      </c>
      <c r="W79" s="1025">
        <f t="shared" si="44"/>
        <v>0</v>
      </c>
      <c r="X79" s="1030" t="s">
        <v>1454</v>
      </c>
      <c r="Y79" s="1450"/>
      <c r="Z79" s="1450"/>
      <c r="AA79" s="1450"/>
      <c r="AB79" s="1450"/>
      <c r="AC79" s="1450"/>
      <c r="AD79" s="1029">
        <f t="shared" ref="AD79:AG83" si="64">+O79</f>
        <v>0</v>
      </c>
      <c r="AE79" s="1028">
        <f t="shared" si="64"/>
        <v>0</v>
      </c>
      <c r="AF79" s="1379">
        <f t="shared" si="64"/>
        <v>0</v>
      </c>
      <c r="AG79" s="1027">
        <f t="shared" si="64"/>
        <v>0</v>
      </c>
      <c r="AH79" s="1412">
        <f t="shared" si="45"/>
        <v>0</v>
      </c>
      <c r="AI79" s="1028">
        <f t="shared" ref="AI79:AJ83" si="65">+T79</f>
        <v>0</v>
      </c>
      <c r="AJ79" s="1027">
        <f t="shared" si="65"/>
        <v>0</v>
      </c>
      <c r="AK79" s="1041">
        <f t="shared" si="46"/>
        <v>0</v>
      </c>
      <c r="AL79" s="1025">
        <f t="shared" si="47"/>
        <v>0</v>
      </c>
    </row>
    <row r="80" spans="1:38" s="991" customFormat="1">
      <c r="A80" s="1024"/>
      <c r="B80" s="1034" t="s">
        <v>1429</v>
      </c>
      <c r="C80" s="1033" t="s">
        <v>1433</v>
      </c>
      <c r="D80" s="1030" t="s">
        <v>1436</v>
      </c>
      <c r="E80" s="1140">
        <f>+'3条収入'!E61-E93</f>
        <v>2769570</v>
      </c>
      <c r="F80" s="1154">
        <f>+雨汚収入!AV17-F93</f>
        <v>352162</v>
      </c>
      <c r="G80" s="1401">
        <f>+雨汚収入!AW17-G93</f>
        <v>0</v>
      </c>
      <c r="H80" s="1153">
        <f>+雨汚収入!AX17-H93</f>
        <v>487974</v>
      </c>
      <c r="I80" s="1029">
        <f>+SUM(F80:H80)</f>
        <v>840136</v>
      </c>
      <c r="J80" s="1154">
        <f>+雨汚収入!AZ17-J93</f>
        <v>29260</v>
      </c>
      <c r="K80" s="1153">
        <f>+雨汚収入!BA17-K93</f>
        <v>1900174</v>
      </c>
      <c r="L80" s="1026">
        <f>+SUM(J80:K80)</f>
        <v>1929434</v>
      </c>
      <c r="M80" s="1025">
        <f>E80-SUM(I80,L80)</f>
        <v>0</v>
      </c>
      <c r="N80" s="1030" t="s">
        <v>1436</v>
      </c>
      <c r="O80" s="1140">
        <f>+'3条収入'!AI61-O93</f>
        <v>2623682</v>
      </c>
      <c r="P80" s="1154">
        <f>+雨汚収入!BF17-P93</f>
        <v>352162</v>
      </c>
      <c r="Q80" s="1401">
        <f>+雨汚収入!BG17-Q93</f>
        <v>0</v>
      </c>
      <c r="R80" s="1153">
        <f>+雨汚収入!BH17-R93</f>
        <v>487974</v>
      </c>
      <c r="S80" s="1029">
        <f t="shared" si="42"/>
        <v>840136</v>
      </c>
      <c r="T80" s="1154">
        <f>+雨汚収入!BJ17-T93</f>
        <v>29260</v>
      </c>
      <c r="U80" s="1160">
        <f>+雨汚収入!BK17-U93</f>
        <v>1754286</v>
      </c>
      <c r="V80" s="1026">
        <f t="shared" si="62"/>
        <v>1783546</v>
      </c>
      <c r="W80" s="1025">
        <f t="shared" si="44"/>
        <v>0</v>
      </c>
      <c r="X80" s="1030" t="s">
        <v>1436</v>
      </c>
      <c r="Y80" s="1450"/>
      <c r="Z80" s="1450"/>
      <c r="AA80" s="1450"/>
      <c r="AB80" s="1450"/>
      <c r="AC80" s="1450"/>
      <c r="AD80" s="1029">
        <f t="shared" si="64"/>
        <v>2623682</v>
      </c>
      <c r="AE80" s="1028">
        <f t="shared" si="64"/>
        <v>352162</v>
      </c>
      <c r="AF80" s="1379">
        <f t="shared" si="64"/>
        <v>0</v>
      </c>
      <c r="AG80" s="1027">
        <f t="shared" si="64"/>
        <v>487974</v>
      </c>
      <c r="AH80" s="1029">
        <f t="shared" si="45"/>
        <v>840136</v>
      </c>
      <c r="AI80" s="1028">
        <f t="shared" si="65"/>
        <v>29260</v>
      </c>
      <c r="AJ80" s="1043">
        <f t="shared" si="65"/>
        <v>1754286</v>
      </c>
      <c r="AK80" s="1026">
        <f t="shared" si="46"/>
        <v>1783546</v>
      </c>
      <c r="AL80" s="1025">
        <f t="shared" si="47"/>
        <v>0</v>
      </c>
    </row>
    <row r="81" spans="1:38" s="991" customFormat="1">
      <c r="A81" s="1024"/>
      <c r="B81" s="1034" t="s">
        <v>1429</v>
      </c>
      <c r="C81" s="1033" t="s">
        <v>1433</v>
      </c>
      <c r="D81" s="1030" t="s">
        <v>1451</v>
      </c>
      <c r="E81" s="1140">
        <f>+'3条収入'!E63-E94</f>
        <v>864807</v>
      </c>
      <c r="F81" s="1154">
        <f>+雨汚収入!AV18-F94</f>
        <v>588069</v>
      </c>
      <c r="G81" s="1401">
        <f>+雨汚収入!AW18-G94</f>
        <v>0</v>
      </c>
      <c r="H81" s="1153">
        <f>+雨汚収入!AX18-H94</f>
        <v>0</v>
      </c>
      <c r="I81" s="1029">
        <f>+SUM(F81:H81)</f>
        <v>588069</v>
      </c>
      <c r="J81" s="1154">
        <f>+雨汚収入!AZ18-J94</f>
        <v>0</v>
      </c>
      <c r="K81" s="1153">
        <f>+雨汚収入!BA18-K94</f>
        <v>276738</v>
      </c>
      <c r="L81" s="1026">
        <f>+SUM(J81:K81)</f>
        <v>276738</v>
      </c>
      <c r="M81" s="1025">
        <f>E81-SUM(I81,L81)</f>
        <v>0</v>
      </c>
      <c r="N81" s="1030" t="s">
        <v>1451</v>
      </c>
      <c r="O81" s="1140">
        <f>+'3条収入'!AI63-O94</f>
        <v>864807</v>
      </c>
      <c r="P81" s="1154">
        <f>+雨汚収入!BF18-P94</f>
        <v>588069</v>
      </c>
      <c r="Q81" s="1401">
        <f>+雨汚収入!BG18-Q94</f>
        <v>0</v>
      </c>
      <c r="R81" s="1153">
        <f>+雨汚収入!BH18-R94</f>
        <v>0</v>
      </c>
      <c r="S81" s="1029">
        <f t="shared" si="42"/>
        <v>588069</v>
      </c>
      <c r="T81" s="1154">
        <f>+雨汚収入!BJ18-T94</f>
        <v>0</v>
      </c>
      <c r="U81" s="1153">
        <f>+雨汚収入!BK18-U94</f>
        <v>276738</v>
      </c>
      <c r="V81" s="1026">
        <f t="shared" si="62"/>
        <v>276738</v>
      </c>
      <c r="W81" s="1025">
        <f t="shared" si="44"/>
        <v>0</v>
      </c>
      <c r="X81" s="1030" t="s">
        <v>1451</v>
      </c>
      <c r="Y81" s="1450"/>
      <c r="Z81" s="1450"/>
      <c r="AA81" s="1450"/>
      <c r="AB81" s="1450"/>
      <c r="AC81" s="1450"/>
      <c r="AD81" s="1029">
        <f t="shared" si="64"/>
        <v>864807</v>
      </c>
      <c r="AE81" s="1028">
        <f t="shared" si="64"/>
        <v>588069</v>
      </c>
      <c r="AF81" s="1379">
        <f t="shared" si="64"/>
        <v>0</v>
      </c>
      <c r="AG81" s="1027">
        <f t="shared" si="64"/>
        <v>0</v>
      </c>
      <c r="AH81" s="1029">
        <f t="shared" si="45"/>
        <v>588069</v>
      </c>
      <c r="AI81" s="1028">
        <f t="shared" si="65"/>
        <v>0</v>
      </c>
      <c r="AJ81" s="1027">
        <f t="shared" si="65"/>
        <v>276738</v>
      </c>
      <c r="AK81" s="1026">
        <f t="shared" si="46"/>
        <v>276738</v>
      </c>
      <c r="AL81" s="1025">
        <f t="shared" si="47"/>
        <v>0</v>
      </c>
    </row>
    <row r="82" spans="1:38" s="991" customFormat="1">
      <c r="A82" s="1024"/>
      <c r="B82" s="1034" t="s">
        <v>1429</v>
      </c>
      <c r="C82" s="1033" t="s">
        <v>1433</v>
      </c>
      <c r="D82" s="1030" t="s">
        <v>1450</v>
      </c>
      <c r="E82" s="1140">
        <f>+'3条収入'!E64</f>
        <v>455622</v>
      </c>
      <c r="F82" s="1154">
        <f>+雨汚収入!AV19</f>
        <v>0</v>
      </c>
      <c r="G82" s="1401">
        <f>+雨汚収入!AW19</f>
        <v>0</v>
      </c>
      <c r="H82" s="1153">
        <f>+雨汚収入!AX19</f>
        <v>16334</v>
      </c>
      <c r="I82" s="1029">
        <f>+SUM(F82:H82)</f>
        <v>16334</v>
      </c>
      <c r="J82" s="1154">
        <f>+雨汚収入!AZ19</f>
        <v>0</v>
      </c>
      <c r="K82" s="1153">
        <f>+雨汚収入!BA19</f>
        <v>439288</v>
      </c>
      <c r="L82" s="1026">
        <f>+SUM(J82:K82)</f>
        <v>439288</v>
      </c>
      <c r="M82" s="1025">
        <f>E82-SUM(I82,L82)</f>
        <v>0</v>
      </c>
      <c r="N82" s="1030" t="s">
        <v>1450</v>
      </c>
      <c r="O82" s="1140">
        <f>+'3条収入'!AI64</f>
        <v>455622</v>
      </c>
      <c r="P82" s="1154">
        <f>+雨汚収入!BF19</f>
        <v>0</v>
      </c>
      <c r="Q82" s="1401">
        <f>+雨汚収入!BG19</f>
        <v>0</v>
      </c>
      <c r="R82" s="1153">
        <f>+雨汚収入!BH19</f>
        <v>16334</v>
      </c>
      <c r="S82" s="1029">
        <f t="shared" si="42"/>
        <v>16334</v>
      </c>
      <c r="T82" s="1154">
        <f>+雨汚収入!BJ19</f>
        <v>0</v>
      </c>
      <c r="U82" s="1153">
        <f>+雨汚収入!BK19</f>
        <v>439288</v>
      </c>
      <c r="V82" s="1026">
        <f t="shared" si="62"/>
        <v>439288</v>
      </c>
      <c r="W82" s="1025">
        <f t="shared" si="44"/>
        <v>0</v>
      </c>
      <c r="X82" s="1030" t="s">
        <v>1450</v>
      </c>
      <c r="Y82" s="1450"/>
      <c r="Z82" s="1450"/>
      <c r="AA82" s="1450"/>
      <c r="AB82" s="1450"/>
      <c r="AC82" s="1450"/>
      <c r="AD82" s="1029">
        <f t="shared" si="64"/>
        <v>455622</v>
      </c>
      <c r="AE82" s="1028">
        <f t="shared" si="64"/>
        <v>0</v>
      </c>
      <c r="AF82" s="1379">
        <f t="shared" si="64"/>
        <v>0</v>
      </c>
      <c r="AG82" s="1027">
        <f t="shared" si="64"/>
        <v>16334</v>
      </c>
      <c r="AH82" s="1029">
        <f t="shared" si="45"/>
        <v>16334</v>
      </c>
      <c r="AI82" s="1028">
        <f t="shared" si="65"/>
        <v>0</v>
      </c>
      <c r="AJ82" s="1027">
        <f t="shared" si="65"/>
        <v>439288</v>
      </c>
      <c r="AK82" s="1026">
        <f t="shared" si="46"/>
        <v>439288</v>
      </c>
      <c r="AL82" s="1025">
        <f t="shared" si="47"/>
        <v>0</v>
      </c>
    </row>
    <row r="83" spans="1:38" s="991" customFormat="1">
      <c r="A83" s="1024"/>
      <c r="B83" s="1034" t="s">
        <v>1429</v>
      </c>
      <c r="C83" s="1033" t="s">
        <v>1433</v>
      </c>
      <c r="D83" s="1030" t="s">
        <v>1449</v>
      </c>
      <c r="E83" s="1140">
        <f>+'3条収入'!E65</f>
        <v>109000</v>
      </c>
      <c r="F83" s="1154">
        <f>+雨汚収入!AV20</f>
        <v>54500</v>
      </c>
      <c r="G83" s="1401">
        <f>+雨汚収入!AW20</f>
        <v>0</v>
      </c>
      <c r="H83" s="1153">
        <f>+雨汚収入!AX20</f>
        <v>0</v>
      </c>
      <c r="I83" s="1029">
        <f>+SUM(F83:H83)</f>
        <v>54500</v>
      </c>
      <c r="J83" s="1154">
        <f>+雨汚収入!AZ20</f>
        <v>0</v>
      </c>
      <c r="K83" s="1153">
        <f>+雨汚収入!BA20</f>
        <v>54500</v>
      </c>
      <c r="L83" s="1026">
        <f>+SUM(J83:K83)</f>
        <v>54500</v>
      </c>
      <c r="M83" s="1025">
        <f>E83-SUM(I83,L83)</f>
        <v>0</v>
      </c>
      <c r="N83" s="1030" t="s">
        <v>1449</v>
      </c>
      <c r="O83" s="1140">
        <f>+'3条収入'!AI65</f>
        <v>109000</v>
      </c>
      <c r="P83" s="1154">
        <f>+雨汚収入!BF20</f>
        <v>54500</v>
      </c>
      <c r="Q83" s="1401">
        <f>+雨汚収入!BG20</f>
        <v>0</v>
      </c>
      <c r="R83" s="1153">
        <f>+雨汚収入!BH20</f>
        <v>0</v>
      </c>
      <c r="S83" s="1029">
        <f t="shared" si="42"/>
        <v>54500</v>
      </c>
      <c r="T83" s="1154">
        <f>+雨汚収入!BJ20</f>
        <v>0</v>
      </c>
      <c r="U83" s="1153">
        <f>+雨汚収入!BK20</f>
        <v>54500</v>
      </c>
      <c r="V83" s="1026">
        <f t="shared" si="62"/>
        <v>54500</v>
      </c>
      <c r="W83" s="1025">
        <f t="shared" si="44"/>
        <v>0</v>
      </c>
      <c r="X83" s="1030" t="s">
        <v>1449</v>
      </c>
      <c r="Y83" s="1450"/>
      <c r="Z83" s="1450"/>
      <c r="AA83" s="1450"/>
      <c r="AB83" s="1450"/>
      <c r="AC83" s="1450"/>
      <c r="AD83" s="1029">
        <f t="shared" si="64"/>
        <v>109000</v>
      </c>
      <c r="AE83" s="1028">
        <f t="shared" si="64"/>
        <v>54500</v>
      </c>
      <c r="AF83" s="1379">
        <f t="shared" si="64"/>
        <v>0</v>
      </c>
      <c r="AG83" s="1027">
        <f t="shared" si="64"/>
        <v>0</v>
      </c>
      <c r="AH83" s="1029">
        <f t="shared" si="45"/>
        <v>54500</v>
      </c>
      <c r="AI83" s="1028">
        <f t="shared" si="65"/>
        <v>0</v>
      </c>
      <c r="AJ83" s="1027">
        <f t="shared" si="65"/>
        <v>54500</v>
      </c>
      <c r="AK83" s="1026">
        <f t="shared" si="46"/>
        <v>54500</v>
      </c>
      <c r="AL83" s="1025">
        <f t="shared" si="47"/>
        <v>0</v>
      </c>
    </row>
    <row r="84" spans="1:38" s="991" customFormat="1">
      <c r="A84" s="1024"/>
      <c r="B84" s="1034"/>
      <c r="C84" s="1033"/>
      <c r="D84" s="1030"/>
      <c r="E84" s="1029"/>
      <c r="F84" s="1028"/>
      <c r="G84" s="1379"/>
      <c r="H84" s="1027"/>
      <c r="I84" s="1029"/>
      <c r="J84" s="1028"/>
      <c r="K84" s="1027"/>
      <c r="L84" s="1026"/>
      <c r="M84" s="1025"/>
      <c r="N84" s="1030"/>
      <c r="O84" s="1029"/>
      <c r="P84" s="1028"/>
      <c r="Q84" s="1379"/>
      <c r="R84" s="1027"/>
      <c r="S84" s="1029"/>
      <c r="T84" s="1028"/>
      <c r="U84" s="1027"/>
      <c r="V84" s="1026"/>
      <c r="W84" s="1025"/>
      <c r="X84" s="1030"/>
      <c r="Y84" s="1450"/>
      <c r="Z84" s="1450"/>
      <c r="AA84" s="1450"/>
      <c r="AB84" s="1450"/>
      <c r="AC84" s="1450"/>
      <c r="AD84" s="1029"/>
      <c r="AE84" s="1028"/>
      <c r="AF84" s="1379"/>
      <c r="AG84" s="1027"/>
      <c r="AH84" s="1412"/>
      <c r="AI84" s="1028"/>
      <c r="AJ84" s="1027"/>
      <c r="AK84" s="1041"/>
      <c r="AL84" s="1025"/>
    </row>
    <row r="85" spans="1:38" s="991" customFormat="1">
      <c r="A85" s="1024"/>
      <c r="B85" s="1034" t="s">
        <v>1427</v>
      </c>
      <c r="C85" s="1033" t="s">
        <v>1446</v>
      </c>
      <c r="D85" s="1030" t="s">
        <v>1447</v>
      </c>
      <c r="E85" s="1157">
        <f>+'3条収入'!E56-E86</f>
        <v>9350298041</v>
      </c>
      <c r="F85" s="1142">
        <v>4127091265</v>
      </c>
      <c r="G85" s="1405">
        <v>3477517</v>
      </c>
      <c r="H85" s="1027"/>
      <c r="I85" s="1029">
        <f t="shared" ref="I85:I90" si="66">+SUM(F85:H85)</f>
        <v>4130568782</v>
      </c>
      <c r="J85" s="1142">
        <v>188779282</v>
      </c>
      <c r="K85" s="1141">
        <v>4753525109</v>
      </c>
      <c r="L85" s="1026">
        <f t="shared" ref="L85:L90" si="67">+SUM(J85:K85)</f>
        <v>4942304391</v>
      </c>
      <c r="M85" s="1025"/>
      <c r="N85" s="1030" t="s">
        <v>1447</v>
      </c>
      <c r="O85" s="1157">
        <f>+'3条収入'!AI56-O86</f>
        <v>9350298041</v>
      </c>
      <c r="P85" s="1028">
        <f t="shared" ref="P85:R86" si="68">+F85</f>
        <v>4127091265</v>
      </c>
      <c r="Q85" s="1379">
        <f t="shared" si="68"/>
        <v>3477517</v>
      </c>
      <c r="R85" s="1027">
        <f t="shared" si="68"/>
        <v>0</v>
      </c>
      <c r="S85" s="1029">
        <f t="shared" si="42"/>
        <v>4130568782</v>
      </c>
      <c r="T85" s="1028">
        <f>+J85</f>
        <v>188779282</v>
      </c>
      <c r="U85" s="1027">
        <f t="shared" ref="U85:U86" si="69">+O85-S85-T85</f>
        <v>5030949977</v>
      </c>
      <c r="V85" s="1026">
        <f t="shared" si="62"/>
        <v>5219729259</v>
      </c>
      <c r="W85" s="1025">
        <f t="shared" si="44"/>
        <v>0</v>
      </c>
      <c r="X85" s="1030" t="s">
        <v>1447</v>
      </c>
      <c r="Y85" s="1451"/>
      <c r="Z85" s="1451"/>
      <c r="AA85" s="1451"/>
      <c r="AB85" s="1451"/>
      <c r="AC85" s="1451"/>
      <c r="AD85" s="1040">
        <f t="shared" ref="AD85:AG90" si="70">+O85</f>
        <v>9350298041</v>
      </c>
      <c r="AE85" s="1028">
        <f t="shared" si="70"/>
        <v>4127091265</v>
      </c>
      <c r="AF85" s="1379">
        <f t="shared" si="70"/>
        <v>3477517</v>
      </c>
      <c r="AG85" s="1027">
        <f t="shared" si="70"/>
        <v>0</v>
      </c>
      <c r="AH85" s="1029">
        <f t="shared" si="45"/>
        <v>4130568782</v>
      </c>
      <c r="AI85" s="1028">
        <f t="shared" ref="AI85:AJ90" si="71">+T85</f>
        <v>188779282</v>
      </c>
      <c r="AJ85" s="1027">
        <f t="shared" si="71"/>
        <v>5030949977</v>
      </c>
      <c r="AK85" s="1026">
        <f t="shared" si="46"/>
        <v>5219729259</v>
      </c>
      <c r="AL85" s="1025">
        <f t="shared" si="47"/>
        <v>0</v>
      </c>
    </row>
    <row r="86" spans="1:38" s="991" customFormat="1">
      <c r="A86" s="1024"/>
      <c r="B86" s="1034" t="s">
        <v>1427</v>
      </c>
      <c r="C86" s="1033" t="s">
        <v>1446</v>
      </c>
      <c r="D86" s="1030" t="s">
        <v>1444</v>
      </c>
      <c r="E86" s="1156">
        <v>135056961</v>
      </c>
      <c r="F86" s="1028">
        <f>+E86-L86-G86</f>
        <v>42543906</v>
      </c>
      <c r="G86" s="1379">
        <f>+IFERROR(ROUND((E86-L86)*G35/I35,0),0)</f>
        <v>459621</v>
      </c>
      <c r="H86" s="1027"/>
      <c r="I86" s="1029">
        <f t="shared" si="66"/>
        <v>43003527</v>
      </c>
      <c r="J86" s="1142">
        <v>6851654</v>
      </c>
      <c r="K86" s="1141">
        <v>85201780</v>
      </c>
      <c r="L86" s="1026">
        <f t="shared" si="67"/>
        <v>92053434</v>
      </c>
      <c r="M86" s="1025">
        <f t="shared" ref="M86:M90" si="72">E86-SUM(I86,L86)</f>
        <v>0</v>
      </c>
      <c r="N86" s="1030" t="s">
        <v>1444</v>
      </c>
      <c r="O86" s="1040">
        <f>+E86</f>
        <v>135056961</v>
      </c>
      <c r="P86" s="1028">
        <f t="shared" si="68"/>
        <v>42543906</v>
      </c>
      <c r="Q86" s="1379">
        <f t="shared" si="68"/>
        <v>459621</v>
      </c>
      <c r="R86" s="1027">
        <f t="shared" si="68"/>
        <v>0</v>
      </c>
      <c r="S86" s="1029">
        <f t="shared" si="42"/>
        <v>43003527</v>
      </c>
      <c r="T86" s="1028">
        <f>+J86</f>
        <v>6851654</v>
      </c>
      <c r="U86" s="1027">
        <f t="shared" si="69"/>
        <v>85201780</v>
      </c>
      <c r="V86" s="1026">
        <f t="shared" si="62"/>
        <v>92053434</v>
      </c>
      <c r="W86" s="1025">
        <f t="shared" si="44"/>
        <v>0</v>
      </c>
      <c r="X86" s="1030" t="s">
        <v>1444</v>
      </c>
      <c r="Y86" s="1451"/>
      <c r="Z86" s="1451"/>
      <c r="AA86" s="1451"/>
      <c r="AB86" s="1451"/>
      <c r="AC86" s="1451"/>
      <c r="AD86" s="1040">
        <f t="shared" si="70"/>
        <v>135056961</v>
      </c>
      <c r="AE86" s="1028">
        <f t="shared" si="70"/>
        <v>42543906</v>
      </c>
      <c r="AF86" s="1379">
        <f t="shared" si="70"/>
        <v>459621</v>
      </c>
      <c r="AG86" s="1027">
        <f t="shared" si="70"/>
        <v>0</v>
      </c>
      <c r="AH86" s="1029">
        <f t="shared" si="45"/>
        <v>43003527</v>
      </c>
      <c r="AI86" s="1028">
        <f t="shared" si="71"/>
        <v>6851654</v>
      </c>
      <c r="AJ86" s="1027">
        <f t="shared" si="71"/>
        <v>85201780</v>
      </c>
      <c r="AK86" s="1026">
        <f t="shared" si="46"/>
        <v>92053434</v>
      </c>
      <c r="AL86" s="1025">
        <f t="shared" si="47"/>
        <v>0</v>
      </c>
    </row>
    <row r="87" spans="1:38" s="991" customFormat="1">
      <c r="A87" s="1024"/>
      <c r="B87" s="1034" t="s">
        <v>1427</v>
      </c>
      <c r="C87" s="1033"/>
      <c r="D87" s="1030"/>
      <c r="E87" s="1029"/>
      <c r="F87" s="1028"/>
      <c r="G87" s="1379"/>
      <c r="H87" s="1027"/>
      <c r="I87" s="1029">
        <f t="shared" si="66"/>
        <v>0</v>
      </c>
      <c r="J87" s="1028"/>
      <c r="K87" s="1027"/>
      <c r="L87" s="1026">
        <f t="shared" si="67"/>
        <v>0</v>
      </c>
      <c r="M87" s="1025">
        <f t="shared" si="72"/>
        <v>0</v>
      </c>
      <c r="N87" s="1030"/>
      <c r="O87" s="1029"/>
      <c r="P87" s="1028"/>
      <c r="Q87" s="1379"/>
      <c r="R87" s="1027"/>
      <c r="S87" s="1029">
        <f t="shared" si="42"/>
        <v>0</v>
      </c>
      <c r="T87" s="1028"/>
      <c r="U87" s="1027"/>
      <c r="V87" s="1026">
        <f t="shared" si="62"/>
        <v>0</v>
      </c>
      <c r="W87" s="1025">
        <f t="shared" si="44"/>
        <v>0</v>
      </c>
      <c r="X87" s="1030"/>
      <c r="Y87" s="1450"/>
      <c r="Z87" s="1450"/>
      <c r="AA87" s="1450"/>
      <c r="AB87" s="1450"/>
      <c r="AC87" s="1450"/>
      <c r="AD87" s="1029">
        <f t="shared" si="70"/>
        <v>0</v>
      </c>
      <c r="AE87" s="1028">
        <f t="shared" si="70"/>
        <v>0</v>
      </c>
      <c r="AF87" s="1379">
        <f t="shared" si="70"/>
        <v>0</v>
      </c>
      <c r="AG87" s="1027">
        <f t="shared" si="70"/>
        <v>0</v>
      </c>
      <c r="AH87" s="1029">
        <f t="shared" si="45"/>
        <v>0</v>
      </c>
      <c r="AI87" s="1028">
        <f t="shared" si="71"/>
        <v>0</v>
      </c>
      <c r="AJ87" s="1027">
        <f t="shared" si="71"/>
        <v>0</v>
      </c>
      <c r="AK87" s="1026">
        <f t="shared" si="46"/>
        <v>0</v>
      </c>
      <c r="AL87" s="1025">
        <f t="shared" si="47"/>
        <v>0</v>
      </c>
    </row>
    <row r="88" spans="1:38" s="991" customFormat="1">
      <c r="A88" s="1024"/>
      <c r="B88" s="1034" t="s">
        <v>1427</v>
      </c>
      <c r="C88" s="1033" t="s">
        <v>1439</v>
      </c>
      <c r="D88" s="1030" t="s">
        <v>1442</v>
      </c>
      <c r="E88" s="1140">
        <f>+'3条収入'!E41-E89</f>
        <v>16476593</v>
      </c>
      <c r="F88" s="1028">
        <f>+E88-K88</f>
        <v>-1588255</v>
      </c>
      <c r="G88" s="1379"/>
      <c r="H88" s="1027"/>
      <c r="I88" s="1029">
        <f t="shared" si="66"/>
        <v>-1588255</v>
      </c>
      <c r="J88" s="1028"/>
      <c r="K88" s="1027">
        <f>+ROUND(E88*K37/E37,0)</f>
        <v>18064848</v>
      </c>
      <c r="L88" s="1026">
        <f t="shared" si="67"/>
        <v>18064848</v>
      </c>
      <c r="M88" s="1025">
        <f t="shared" si="72"/>
        <v>0</v>
      </c>
      <c r="N88" s="1030" t="s">
        <v>1442</v>
      </c>
      <c r="O88" s="1140">
        <f>+'3条収入'!AI41-O89</f>
        <v>16476593</v>
      </c>
      <c r="P88" s="1028">
        <f>+F88</f>
        <v>-1588255</v>
      </c>
      <c r="Q88" s="1379"/>
      <c r="R88" s="1027"/>
      <c r="S88" s="1029">
        <f t="shared" si="42"/>
        <v>-1588255</v>
      </c>
      <c r="T88" s="1027"/>
      <c r="U88" s="1027">
        <f t="shared" ref="U88" si="73">+O88-S88-T88</f>
        <v>18064848</v>
      </c>
      <c r="V88" s="1026">
        <f t="shared" si="62"/>
        <v>18064848</v>
      </c>
      <c r="W88" s="1025">
        <f t="shared" si="44"/>
        <v>0</v>
      </c>
      <c r="X88" s="1030" t="s">
        <v>1442</v>
      </c>
      <c r="Y88" s="1450"/>
      <c r="Z88" s="1450"/>
      <c r="AA88" s="1450"/>
      <c r="AB88" s="1450"/>
      <c r="AC88" s="1450"/>
      <c r="AD88" s="1029">
        <f t="shared" si="70"/>
        <v>16476593</v>
      </c>
      <c r="AE88" s="1028">
        <f t="shared" si="70"/>
        <v>-1588255</v>
      </c>
      <c r="AF88" s="1379">
        <f t="shared" si="70"/>
        <v>0</v>
      </c>
      <c r="AG88" s="1027">
        <f t="shared" si="70"/>
        <v>0</v>
      </c>
      <c r="AH88" s="1029">
        <f t="shared" si="45"/>
        <v>-1588255</v>
      </c>
      <c r="AI88" s="1028">
        <f t="shared" si="71"/>
        <v>0</v>
      </c>
      <c r="AJ88" s="1027">
        <f t="shared" si="71"/>
        <v>18064848</v>
      </c>
      <c r="AK88" s="1026">
        <f t="shared" si="46"/>
        <v>18064848</v>
      </c>
      <c r="AL88" s="1025">
        <f t="shared" si="47"/>
        <v>0</v>
      </c>
    </row>
    <row r="89" spans="1:38" s="991" customFormat="1">
      <c r="A89" s="1024"/>
      <c r="B89" s="1034" t="s">
        <v>1427</v>
      </c>
      <c r="C89" s="1033" t="s">
        <v>1439</v>
      </c>
      <c r="D89" s="1030" t="s">
        <v>1440</v>
      </c>
      <c r="E89" s="1029">
        <f>+K89</f>
        <v>0</v>
      </c>
      <c r="F89" s="1154">
        <f>+雨汚収入!AV12</f>
        <v>0</v>
      </c>
      <c r="G89" s="1401">
        <f>+雨汚収入!AW12</f>
        <v>0</v>
      </c>
      <c r="H89" s="1153">
        <f>+雨汚収入!AX12</f>
        <v>0</v>
      </c>
      <c r="I89" s="1029">
        <f t="shared" si="66"/>
        <v>0</v>
      </c>
      <c r="J89" s="1154">
        <f>+雨汚収入!AZ12</f>
        <v>0</v>
      </c>
      <c r="K89" s="1153">
        <f>+雨汚収入!BA12</f>
        <v>0</v>
      </c>
      <c r="L89" s="1026">
        <f t="shared" si="67"/>
        <v>0</v>
      </c>
      <c r="M89" s="1025">
        <f t="shared" si="72"/>
        <v>0</v>
      </c>
      <c r="N89" s="1030" t="s">
        <v>1440</v>
      </c>
      <c r="O89" s="1029">
        <f>+E89</f>
        <v>0</v>
      </c>
      <c r="P89" s="1154">
        <f>+雨汚収入!BF12</f>
        <v>0</v>
      </c>
      <c r="Q89" s="1401">
        <f>+雨汚収入!BG12</f>
        <v>0</v>
      </c>
      <c r="R89" s="1153">
        <f>+雨汚収入!BH12</f>
        <v>0</v>
      </c>
      <c r="S89" s="1029">
        <f t="shared" si="42"/>
        <v>0</v>
      </c>
      <c r="T89" s="1154">
        <f>+雨汚収入!BJ12</f>
        <v>0</v>
      </c>
      <c r="U89" s="1153">
        <f>+雨汚収入!BK12</f>
        <v>0</v>
      </c>
      <c r="V89" s="1026">
        <f t="shared" si="62"/>
        <v>0</v>
      </c>
      <c r="W89" s="1025">
        <f t="shared" si="44"/>
        <v>0</v>
      </c>
      <c r="X89" s="1030" t="s">
        <v>1440</v>
      </c>
      <c r="Y89" s="1450"/>
      <c r="Z89" s="1450"/>
      <c r="AA89" s="1450"/>
      <c r="AB89" s="1450"/>
      <c r="AC89" s="1450"/>
      <c r="AD89" s="1029">
        <f t="shared" si="70"/>
        <v>0</v>
      </c>
      <c r="AE89" s="1028">
        <f t="shared" si="70"/>
        <v>0</v>
      </c>
      <c r="AF89" s="1379">
        <f t="shared" si="70"/>
        <v>0</v>
      </c>
      <c r="AG89" s="1027">
        <f t="shared" si="70"/>
        <v>0</v>
      </c>
      <c r="AH89" s="1029">
        <f t="shared" si="45"/>
        <v>0</v>
      </c>
      <c r="AI89" s="1028">
        <f t="shared" si="71"/>
        <v>0</v>
      </c>
      <c r="AJ89" s="1027">
        <f t="shared" si="71"/>
        <v>0</v>
      </c>
      <c r="AK89" s="1026">
        <f t="shared" si="46"/>
        <v>0</v>
      </c>
      <c r="AL89" s="1025">
        <f t="shared" si="47"/>
        <v>0</v>
      </c>
    </row>
    <row r="90" spans="1:38" s="991" customFormat="1">
      <c r="A90" s="1024"/>
      <c r="B90" s="1034" t="s">
        <v>1427</v>
      </c>
      <c r="C90" s="1033" t="s">
        <v>1439</v>
      </c>
      <c r="D90" s="1030"/>
      <c r="E90" s="1029"/>
      <c r="F90" s="1028"/>
      <c r="G90" s="1379"/>
      <c r="H90" s="1027"/>
      <c r="I90" s="1029">
        <f t="shared" si="66"/>
        <v>0</v>
      </c>
      <c r="J90" s="1028"/>
      <c r="K90" s="1027"/>
      <c r="L90" s="1026">
        <f t="shared" si="67"/>
        <v>0</v>
      </c>
      <c r="M90" s="1025">
        <f t="shared" si="72"/>
        <v>0</v>
      </c>
      <c r="N90" s="1030"/>
      <c r="O90" s="1029"/>
      <c r="P90" s="1028"/>
      <c r="Q90" s="1379"/>
      <c r="R90" s="1027"/>
      <c r="S90" s="1029">
        <f t="shared" si="42"/>
        <v>0</v>
      </c>
      <c r="T90" s="1028"/>
      <c r="U90" s="1027"/>
      <c r="V90" s="1026">
        <f t="shared" si="62"/>
        <v>0</v>
      </c>
      <c r="W90" s="1025">
        <f t="shared" si="44"/>
        <v>0</v>
      </c>
      <c r="X90" s="1030"/>
      <c r="Y90" s="1450"/>
      <c r="Z90" s="1450"/>
      <c r="AA90" s="1450"/>
      <c r="AB90" s="1450"/>
      <c r="AC90" s="1450"/>
      <c r="AD90" s="1029">
        <f t="shared" si="70"/>
        <v>0</v>
      </c>
      <c r="AE90" s="1028">
        <f t="shared" si="70"/>
        <v>0</v>
      </c>
      <c r="AF90" s="1379">
        <f t="shared" si="70"/>
        <v>0</v>
      </c>
      <c r="AG90" s="1027">
        <f t="shared" si="70"/>
        <v>0</v>
      </c>
      <c r="AH90" s="1029">
        <f t="shared" si="45"/>
        <v>0</v>
      </c>
      <c r="AI90" s="1028">
        <f t="shared" si="71"/>
        <v>0</v>
      </c>
      <c r="AJ90" s="1027">
        <f t="shared" si="71"/>
        <v>0</v>
      </c>
      <c r="AK90" s="1026">
        <f t="shared" si="46"/>
        <v>0</v>
      </c>
      <c r="AL90" s="1025">
        <f t="shared" si="47"/>
        <v>0</v>
      </c>
    </row>
    <row r="91" spans="1:38" s="991" customFormat="1">
      <c r="A91" s="1024"/>
      <c r="B91" s="1034"/>
      <c r="C91" s="1033"/>
      <c r="D91" s="1030"/>
      <c r="E91" s="1029"/>
      <c r="F91" s="1028"/>
      <c r="G91" s="1379"/>
      <c r="H91" s="1027"/>
      <c r="I91" s="1029"/>
      <c r="J91" s="1028"/>
      <c r="K91" s="1027"/>
      <c r="L91" s="1026"/>
      <c r="M91" s="1025"/>
      <c r="N91" s="1030"/>
      <c r="O91" s="1029"/>
      <c r="P91" s="1028"/>
      <c r="Q91" s="1379"/>
      <c r="R91" s="1027"/>
      <c r="S91" s="1029"/>
      <c r="T91" s="1028"/>
      <c r="U91" s="1027"/>
      <c r="V91" s="1026"/>
      <c r="W91" s="1025"/>
      <c r="X91" s="1030"/>
      <c r="Y91" s="1450"/>
      <c r="Z91" s="1450"/>
      <c r="AA91" s="1450"/>
      <c r="AB91" s="1450"/>
      <c r="AC91" s="1450"/>
      <c r="AD91" s="1029"/>
      <c r="AE91" s="1028"/>
      <c r="AF91" s="1379"/>
      <c r="AG91" s="1027"/>
      <c r="AH91" s="1029"/>
      <c r="AI91" s="1028"/>
      <c r="AJ91" s="1027"/>
      <c r="AK91" s="1026"/>
      <c r="AL91" s="1025"/>
    </row>
    <row r="92" spans="1:38" s="991" customFormat="1">
      <c r="A92" s="1024"/>
      <c r="B92" s="1034" t="s">
        <v>1427</v>
      </c>
      <c r="C92" s="1033" t="s">
        <v>1433</v>
      </c>
      <c r="D92" s="1030"/>
      <c r="E92" s="1029"/>
      <c r="F92" s="1028"/>
      <c r="G92" s="1379"/>
      <c r="H92" s="1027"/>
      <c r="I92" s="1029">
        <f>+SUM(F92:H92)</f>
        <v>0</v>
      </c>
      <c r="J92" s="1028"/>
      <c r="K92" s="1027"/>
      <c r="L92" s="1026">
        <f>+SUM(J92:K92)</f>
        <v>0</v>
      </c>
      <c r="M92" s="1025">
        <f>E92-SUM(I92,L92)</f>
        <v>0</v>
      </c>
      <c r="N92" s="1030"/>
      <c r="O92" s="1029"/>
      <c r="P92" s="1028"/>
      <c r="Q92" s="1379"/>
      <c r="R92" s="1027"/>
      <c r="S92" s="1029">
        <f t="shared" si="42"/>
        <v>0</v>
      </c>
      <c r="T92" s="1028"/>
      <c r="U92" s="1027"/>
      <c r="V92" s="1026">
        <f t="shared" si="62"/>
        <v>0</v>
      </c>
      <c r="W92" s="1025">
        <f t="shared" si="44"/>
        <v>0</v>
      </c>
      <c r="X92" s="1030"/>
      <c r="Y92" s="1450"/>
      <c r="Z92" s="1450"/>
      <c r="AA92" s="1450"/>
      <c r="AB92" s="1450"/>
      <c r="AC92" s="1450"/>
      <c r="AD92" s="1029">
        <f t="shared" ref="AD92:AG95" si="74">+O92</f>
        <v>0</v>
      </c>
      <c r="AE92" s="1028">
        <f t="shared" si="74"/>
        <v>0</v>
      </c>
      <c r="AF92" s="1379">
        <f t="shared" si="74"/>
        <v>0</v>
      </c>
      <c r="AG92" s="1027">
        <f t="shared" si="74"/>
        <v>0</v>
      </c>
      <c r="AH92" s="1029">
        <f t="shared" si="45"/>
        <v>0</v>
      </c>
      <c r="AI92" s="1028">
        <f t="shared" ref="AI92:AJ95" si="75">+T92</f>
        <v>0</v>
      </c>
      <c r="AJ92" s="1027">
        <f t="shared" si="75"/>
        <v>0</v>
      </c>
      <c r="AK92" s="1026">
        <f t="shared" si="46"/>
        <v>0</v>
      </c>
      <c r="AL92" s="1025">
        <f t="shared" si="47"/>
        <v>0</v>
      </c>
    </row>
    <row r="93" spans="1:38" s="991" customFormat="1">
      <c r="A93" s="1024"/>
      <c r="B93" s="1034" t="s">
        <v>1427</v>
      </c>
      <c r="C93" s="1033" t="s">
        <v>1433</v>
      </c>
      <c r="D93" s="1030" t="s">
        <v>1436</v>
      </c>
      <c r="E93" s="1147"/>
      <c r="F93" s="1142"/>
      <c r="G93" s="1405"/>
      <c r="H93" s="1027"/>
      <c r="I93" s="1029">
        <f>+SUM(F93:H93)</f>
        <v>0</v>
      </c>
      <c r="J93" s="1142"/>
      <c r="K93" s="1141"/>
      <c r="L93" s="1026">
        <f>+SUM(J93:K93)</f>
        <v>0</v>
      </c>
      <c r="M93" s="1025">
        <f>E93-SUM(I93,L93)</f>
        <v>0</v>
      </c>
      <c r="N93" s="1030" t="s">
        <v>1436</v>
      </c>
      <c r="O93" s="1040">
        <f t="shared" ref="O93:Q94" si="76">+E93</f>
        <v>0</v>
      </c>
      <c r="P93" s="1028">
        <f t="shared" si="76"/>
        <v>0</v>
      </c>
      <c r="Q93" s="1379">
        <f t="shared" si="76"/>
        <v>0</v>
      </c>
      <c r="R93" s="1027"/>
      <c r="S93" s="1029">
        <f t="shared" si="42"/>
        <v>0</v>
      </c>
      <c r="T93" s="1028">
        <f>+J93</f>
        <v>0</v>
      </c>
      <c r="U93" s="1027">
        <f t="shared" ref="U93:U95" si="77">+O93-S93-T93</f>
        <v>0</v>
      </c>
      <c r="V93" s="1026">
        <f t="shared" si="62"/>
        <v>0</v>
      </c>
      <c r="W93" s="1025">
        <f t="shared" si="44"/>
        <v>0</v>
      </c>
      <c r="X93" s="1030" t="s">
        <v>1436</v>
      </c>
      <c r="Y93" s="1450"/>
      <c r="Z93" s="1450"/>
      <c r="AA93" s="1450"/>
      <c r="AB93" s="1450"/>
      <c r="AC93" s="1450"/>
      <c r="AD93" s="1029">
        <f t="shared" si="74"/>
        <v>0</v>
      </c>
      <c r="AE93" s="1028">
        <f t="shared" si="74"/>
        <v>0</v>
      </c>
      <c r="AF93" s="1379">
        <f t="shared" si="74"/>
        <v>0</v>
      </c>
      <c r="AG93" s="1027">
        <f t="shared" si="74"/>
        <v>0</v>
      </c>
      <c r="AH93" s="1029">
        <f t="shared" si="45"/>
        <v>0</v>
      </c>
      <c r="AI93" s="1028">
        <f t="shared" si="75"/>
        <v>0</v>
      </c>
      <c r="AJ93" s="1027">
        <f t="shared" si="75"/>
        <v>0</v>
      </c>
      <c r="AK93" s="1026">
        <f t="shared" si="46"/>
        <v>0</v>
      </c>
      <c r="AL93" s="1025">
        <f t="shared" si="47"/>
        <v>0</v>
      </c>
    </row>
    <row r="94" spans="1:38" s="991" customFormat="1">
      <c r="A94" s="1024"/>
      <c r="B94" s="1034" t="s">
        <v>1427</v>
      </c>
      <c r="C94" s="1033" t="s">
        <v>1433</v>
      </c>
      <c r="D94" s="1030" t="s">
        <v>1434</v>
      </c>
      <c r="E94" s="1147"/>
      <c r="F94" s="1142"/>
      <c r="G94" s="1405"/>
      <c r="H94" s="1027"/>
      <c r="I94" s="1029">
        <f>+SUM(F94:H94)</f>
        <v>0</v>
      </c>
      <c r="J94" s="1142"/>
      <c r="K94" s="1141"/>
      <c r="L94" s="1026">
        <f>+SUM(J94:K94)</f>
        <v>0</v>
      </c>
      <c r="M94" s="1025">
        <f>E94-SUM(I94,L94)</f>
        <v>0</v>
      </c>
      <c r="N94" s="1030" t="s">
        <v>1434</v>
      </c>
      <c r="O94" s="1040">
        <f t="shared" si="76"/>
        <v>0</v>
      </c>
      <c r="P94" s="1028">
        <f t="shared" si="76"/>
        <v>0</v>
      </c>
      <c r="Q94" s="1379">
        <f t="shared" si="76"/>
        <v>0</v>
      </c>
      <c r="R94" s="1027"/>
      <c r="S94" s="1029">
        <f t="shared" si="42"/>
        <v>0</v>
      </c>
      <c r="T94" s="1028">
        <f>+J94</f>
        <v>0</v>
      </c>
      <c r="U94" s="1027">
        <f t="shared" si="77"/>
        <v>0</v>
      </c>
      <c r="V94" s="1026">
        <f t="shared" si="62"/>
        <v>0</v>
      </c>
      <c r="W94" s="1025">
        <f t="shared" si="44"/>
        <v>0</v>
      </c>
      <c r="X94" s="1030" t="s">
        <v>1434</v>
      </c>
      <c r="Y94" s="1450"/>
      <c r="Z94" s="1450"/>
      <c r="AA94" s="1450"/>
      <c r="AB94" s="1450"/>
      <c r="AC94" s="1450"/>
      <c r="AD94" s="1029">
        <f t="shared" si="74"/>
        <v>0</v>
      </c>
      <c r="AE94" s="1028">
        <f t="shared" si="74"/>
        <v>0</v>
      </c>
      <c r="AF94" s="1379">
        <f t="shared" si="74"/>
        <v>0</v>
      </c>
      <c r="AG94" s="1027">
        <f t="shared" si="74"/>
        <v>0</v>
      </c>
      <c r="AH94" s="1029">
        <f t="shared" si="45"/>
        <v>0</v>
      </c>
      <c r="AI94" s="1028">
        <f t="shared" si="75"/>
        <v>0</v>
      </c>
      <c r="AJ94" s="1027">
        <f t="shared" si="75"/>
        <v>0</v>
      </c>
      <c r="AK94" s="1026">
        <f t="shared" si="46"/>
        <v>0</v>
      </c>
      <c r="AL94" s="1025">
        <f t="shared" si="47"/>
        <v>0</v>
      </c>
    </row>
    <row r="95" spans="1:38" s="991" customFormat="1">
      <c r="A95" s="1024"/>
      <c r="B95" s="1034" t="s">
        <v>1427</v>
      </c>
      <c r="C95" s="1033" t="s">
        <v>1433</v>
      </c>
      <c r="D95" s="1030" t="s">
        <v>1431</v>
      </c>
      <c r="E95" s="1029">
        <f>+'3条収入'!E66</f>
        <v>0</v>
      </c>
      <c r="F95" s="1142"/>
      <c r="G95" s="1379"/>
      <c r="H95" s="1027"/>
      <c r="I95" s="1029">
        <f>+SUM(F95:H95)</f>
        <v>0</v>
      </c>
      <c r="J95" s="1028"/>
      <c r="K95" s="1141">
        <v>107592046</v>
      </c>
      <c r="L95" s="1026">
        <f>+SUM(J95:K95)</f>
        <v>107592046</v>
      </c>
      <c r="M95" s="1025">
        <f>E95-SUM(I95,L95)</f>
        <v>-107592046</v>
      </c>
      <c r="N95" s="1030" t="s">
        <v>1431</v>
      </c>
      <c r="O95" s="1140">
        <f>+'3条収入'!AI66</f>
        <v>0</v>
      </c>
      <c r="P95" s="1028">
        <f>+F95</f>
        <v>0</v>
      </c>
      <c r="Q95" s="1379"/>
      <c r="R95" s="1027"/>
      <c r="S95" s="1029">
        <f t="shared" si="42"/>
        <v>0</v>
      </c>
      <c r="T95" s="1028"/>
      <c r="U95" s="1027">
        <f t="shared" si="77"/>
        <v>0</v>
      </c>
      <c r="V95" s="1026">
        <f t="shared" si="62"/>
        <v>0</v>
      </c>
      <c r="W95" s="1025">
        <f t="shared" si="44"/>
        <v>0</v>
      </c>
      <c r="X95" s="1030" t="s">
        <v>1431</v>
      </c>
      <c r="Y95" s="1450"/>
      <c r="Z95" s="1450"/>
      <c r="AA95" s="1450"/>
      <c r="AB95" s="1450"/>
      <c r="AC95" s="1450"/>
      <c r="AD95" s="1029">
        <f t="shared" si="74"/>
        <v>0</v>
      </c>
      <c r="AE95" s="1028">
        <f t="shared" si="74"/>
        <v>0</v>
      </c>
      <c r="AF95" s="1379">
        <f t="shared" si="74"/>
        <v>0</v>
      </c>
      <c r="AG95" s="1027">
        <f t="shared" si="74"/>
        <v>0</v>
      </c>
      <c r="AH95" s="1029">
        <f t="shared" si="45"/>
        <v>0</v>
      </c>
      <c r="AI95" s="1028">
        <f t="shared" si="75"/>
        <v>0</v>
      </c>
      <c r="AJ95" s="1027">
        <f t="shared" si="75"/>
        <v>0</v>
      </c>
      <c r="AK95" s="1026">
        <f t="shared" si="46"/>
        <v>0</v>
      </c>
      <c r="AL95" s="1025">
        <f t="shared" si="47"/>
        <v>0</v>
      </c>
    </row>
    <row r="96" spans="1:38" s="991" customFormat="1" ht="14.25" thickBot="1">
      <c r="A96" s="1024"/>
      <c r="B96" s="1023"/>
      <c r="C96" s="1022"/>
      <c r="D96" s="1020"/>
      <c r="E96" s="1019"/>
      <c r="F96" s="1018"/>
      <c r="G96" s="1403"/>
      <c r="H96" s="1017"/>
      <c r="I96" s="1019"/>
      <c r="J96" s="1018"/>
      <c r="K96" s="1017"/>
      <c r="L96" s="1131"/>
      <c r="M96" s="1015"/>
      <c r="N96" s="1020"/>
      <c r="O96" s="1019"/>
      <c r="P96" s="1018"/>
      <c r="Q96" s="1403"/>
      <c r="R96" s="1017"/>
      <c r="S96" s="1019"/>
      <c r="T96" s="1018"/>
      <c r="U96" s="1017"/>
      <c r="V96" s="1131"/>
      <c r="W96" s="1015"/>
      <c r="X96" s="1020"/>
      <c r="Y96" s="1452"/>
      <c r="Z96" s="1452"/>
      <c r="AA96" s="1452"/>
      <c r="AB96" s="1452"/>
      <c r="AC96" s="1452"/>
      <c r="AD96" s="1019"/>
      <c r="AE96" s="1018"/>
      <c r="AF96" s="1403"/>
      <c r="AG96" s="1017"/>
      <c r="AH96" s="1413"/>
      <c r="AI96" s="1018"/>
      <c r="AJ96" s="1017"/>
      <c r="AK96" s="1016"/>
      <c r="AL96" s="1015"/>
    </row>
    <row r="97" spans="2:38" ht="14.25" thickTop="1">
      <c r="B97" s="1014"/>
      <c r="C97" s="1013"/>
      <c r="D97" s="1012" t="s">
        <v>1430</v>
      </c>
      <c r="E97" s="1130">
        <f t="shared" ref="E97:M97" si="78">+SUM(E58:E96)</f>
        <v>30258405695</v>
      </c>
      <c r="F97" s="1010">
        <f t="shared" si="78"/>
        <v>4217167185</v>
      </c>
      <c r="G97" s="1381">
        <f t="shared" si="78"/>
        <v>4444449</v>
      </c>
      <c r="H97" s="1009">
        <f t="shared" si="78"/>
        <v>40065138</v>
      </c>
      <c r="I97" s="1391">
        <f t="shared" si="78"/>
        <v>4261676772</v>
      </c>
      <c r="J97" s="1010">
        <f t="shared" si="78"/>
        <v>195929696</v>
      </c>
      <c r="K97" s="1009">
        <f t="shared" si="78"/>
        <v>25630966405</v>
      </c>
      <c r="L97" s="1008">
        <f t="shared" si="78"/>
        <v>25826896101</v>
      </c>
      <c r="M97" s="1006">
        <f t="shared" si="78"/>
        <v>-107592046</v>
      </c>
      <c r="N97" s="1012" t="s">
        <v>1430</v>
      </c>
      <c r="O97" s="1130">
        <f t="shared" ref="O97:W97" si="79">+SUM(O58:O96)</f>
        <v>28373855981</v>
      </c>
      <c r="P97" s="1010">
        <f t="shared" si="79"/>
        <v>4213536266</v>
      </c>
      <c r="Q97" s="1381">
        <f t="shared" si="79"/>
        <v>4398330</v>
      </c>
      <c r="R97" s="1009">
        <f t="shared" si="79"/>
        <v>36594136</v>
      </c>
      <c r="S97" s="1391">
        <f t="shared" si="79"/>
        <v>4254528732</v>
      </c>
      <c r="T97" s="1010">
        <f t="shared" si="79"/>
        <v>195929696</v>
      </c>
      <c r="U97" s="1009">
        <f t="shared" si="79"/>
        <v>23923397553</v>
      </c>
      <c r="V97" s="1008">
        <f t="shared" si="79"/>
        <v>24119327249</v>
      </c>
      <c r="W97" s="1006">
        <f t="shared" si="79"/>
        <v>0</v>
      </c>
      <c r="X97" s="1012" t="s">
        <v>1430</v>
      </c>
      <c r="Y97" s="1448"/>
      <c r="Z97" s="1448"/>
      <c r="AA97" s="1448"/>
      <c r="AB97" s="1448"/>
      <c r="AC97" s="1448"/>
      <c r="AD97" s="1011">
        <f t="shared" ref="AD97:AL97" si="80">+SUM(AD58:AD96)</f>
        <v>28375736546</v>
      </c>
      <c r="AE97" s="1010">
        <f t="shared" si="80"/>
        <v>4213536266</v>
      </c>
      <c r="AF97" s="1381">
        <f t="shared" si="80"/>
        <v>4398330</v>
      </c>
      <c r="AG97" s="1009">
        <f t="shared" si="80"/>
        <v>36594136</v>
      </c>
      <c r="AH97" s="1391">
        <f t="shared" si="80"/>
        <v>4254528732</v>
      </c>
      <c r="AI97" s="1010">
        <f t="shared" si="80"/>
        <v>195929696</v>
      </c>
      <c r="AJ97" s="1009">
        <f t="shared" si="80"/>
        <v>23925278118</v>
      </c>
      <c r="AK97" s="1008">
        <f t="shared" si="80"/>
        <v>24121207814</v>
      </c>
      <c r="AL97" s="1006">
        <f t="shared" si="80"/>
        <v>0</v>
      </c>
    </row>
    <row r="98" spans="2:38">
      <c r="B98" s="1003" t="s">
        <v>1429</v>
      </c>
      <c r="C98" s="1005"/>
      <c r="D98" s="1004" t="s">
        <v>1428</v>
      </c>
      <c r="E98" s="1129">
        <f>+SUMIFS(E$58:E$96,$B$58:$B$96,$B98)</f>
        <v>20756574100</v>
      </c>
      <c r="F98" s="999">
        <f t="shared" ref="F98:M99" si="81">+SUMIFS(F$58:F$96,$B$58:$B$96,$B98)</f>
        <v>49120269</v>
      </c>
      <c r="G98" s="1387">
        <f t="shared" si="81"/>
        <v>507311</v>
      </c>
      <c r="H98" s="998">
        <f t="shared" si="81"/>
        <v>40065138</v>
      </c>
      <c r="I98" s="1411">
        <f t="shared" si="81"/>
        <v>89692718</v>
      </c>
      <c r="J98" s="999">
        <f t="shared" si="81"/>
        <v>298760</v>
      </c>
      <c r="K98" s="998">
        <f t="shared" si="81"/>
        <v>20666582622</v>
      </c>
      <c r="L98" s="997">
        <f t="shared" si="81"/>
        <v>20666881382</v>
      </c>
      <c r="M98" s="995">
        <f t="shared" si="81"/>
        <v>0</v>
      </c>
      <c r="N98" s="1004" t="s">
        <v>1428</v>
      </c>
      <c r="O98" s="1129">
        <f>+SUMIFS(O$58:O$96,$B$58:$B$96,$B98)</f>
        <v>18872024386</v>
      </c>
      <c r="P98" s="999">
        <f t="shared" ref="P98:W99" si="82">+SUMIFS(P$58:P$96,$B$58:$B$96,$B98)</f>
        <v>45489350</v>
      </c>
      <c r="Q98" s="1387">
        <f t="shared" si="82"/>
        <v>461192</v>
      </c>
      <c r="R98" s="998">
        <f t="shared" si="82"/>
        <v>36594136</v>
      </c>
      <c r="S98" s="1411">
        <f t="shared" si="82"/>
        <v>82544678</v>
      </c>
      <c r="T98" s="999">
        <f t="shared" si="82"/>
        <v>298760</v>
      </c>
      <c r="U98" s="998">
        <f t="shared" si="82"/>
        <v>18789180948</v>
      </c>
      <c r="V98" s="997">
        <f t="shared" si="82"/>
        <v>18789479708</v>
      </c>
      <c r="W98" s="995">
        <f t="shared" si="82"/>
        <v>0</v>
      </c>
      <c r="X98" s="1004" t="s">
        <v>1428</v>
      </c>
      <c r="Y98" s="1434"/>
      <c r="Z98" s="1434"/>
      <c r="AA98" s="1434"/>
      <c r="AB98" s="1434"/>
      <c r="AC98" s="1434"/>
      <c r="AD98" s="1129">
        <f>+SUMIFS(AD$58:AD$96,$B$58:$B$96,$B98)</f>
        <v>18873904951</v>
      </c>
      <c r="AE98" s="999">
        <f t="shared" ref="AE98:AL99" si="83">+SUMIFS(AE$58:AE$96,$B$58:$B$96,$B98)</f>
        <v>45489350</v>
      </c>
      <c r="AF98" s="1387">
        <f t="shared" si="83"/>
        <v>461192</v>
      </c>
      <c r="AG98" s="998">
        <f t="shared" si="83"/>
        <v>36594136</v>
      </c>
      <c r="AH98" s="1411">
        <f t="shared" si="83"/>
        <v>82544678</v>
      </c>
      <c r="AI98" s="999">
        <f t="shared" si="83"/>
        <v>298760</v>
      </c>
      <c r="AJ98" s="998">
        <f t="shared" si="83"/>
        <v>18791061513</v>
      </c>
      <c r="AK98" s="997">
        <f t="shared" si="83"/>
        <v>18791360273</v>
      </c>
      <c r="AL98" s="995">
        <f t="shared" si="83"/>
        <v>0</v>
      </c>
    </row>
    <row r="99" spans="2:38">
      <c r="B99" s="1003" t="s">
        <v>1427</v>
      </c>
      <c r="C99" s="1005"/>
      <c r="D99" s="1004" t="s">
        <v>1426</v>
      </c>
      <c r="E99" s="1129">
        <f t="shared" ref="E99:O99" si="84">+SUMIFS(E$58:E$96,$B$58:$B$96,$B99)</f>
        <v>9501831595</v>
      </c>
      <c r="F99" s="999">
        <f t="shared" si="81"/>
        <v>4168046916</v>
      </c>
      <c r="G99" s="1387">
        <f t="shared" si="81"/>
        <v>3937138</v>
      </c>
      <c r="H99" s="998">
        <f t="shared" si="81"/>
        <v>0</v>
      </c>
      <c r="I99" s="1411">
        <f t="shared" si="81"/>
        <v>4171984054</v>
      </c>
      <c r="J99" s="999">
        <f t="shared" si="81"/>
        <v>195630936</v>
      </c>
      <c r="K99" s="998">
        <f t="shared" si="81"/>
        <v>4964383783</v>
      </c>
      <c r="L99" s="997">
        <f t="shared" si="81"/>
        <v>5160014719</v>
      </c>
      <c r="M99" s="995">
        <f t="shared" si="81"/>
        <v>-107592046</v>
      </c>
      <c r="N99" s="1004" t="s">
        <v>1426</v>
      </c>
      <c r="O99" s="1129">
        <f t="shared" si="84"/>
        <v>9501831595</v>
      </c>
      <c r="P99" s="999">
        <f t="shared" si="82"/>
        <v>4168046916</v>
      </c>
      <c r="Q99" s="1387">
        <f t="shared" si="82"/>
        <v>3937138</v>
      </c>
      <c r="R99" s="998">
        <f t="shared" si="82"/>
        <v>0</v>
      </c>
      <c r="S99" s="1411">
        <f t="shared" si="82"/>
        <v>4171984054</v>
      </c>
      <c r="T99" s="999">
        <f t="shared" si="82"/>
        <v>195630936</v>
      </c>
      <c r="U99" s="998">
        <f t="shared" si="82"/>
        <v>5134216605</v>
      </c>
      <c r="V99" s="997">
        <f t="shared" si="82"/>
        <v>5329847541</v>
      </c>
      <c r="W99" s="995">
        <f t="shared" si="82"/>
        <v>0</v>
      </c>
      <c r="X99" s="1004" t="s">
        <v>1426</v>
      </c>
      <c r="Y99" s="1434"/>
      <c r="Z99" s="1434"/>
      <c r="AA99" s="1434"/>
      <c r="AB99" s="1434"/>
      <c r="AC99" s="1434"/>
      <c r="AD99" s="1129">
        <f t="shared" ref="AD99" si="85">+SUMIFS(AD$58:AD$96,$B$58:$B$96,$B99)</f>
        <v>9501831595</v>
      </c>
      <c r="AE99" s="999">
        <f t="shared" si="83"/>
        <v>4168046916</v>
      </c>
      <c r="AF99" s="1387">
        <f t="shared" si="83"/>
        <v>3937138</v>
      </c>
      <c r="AG99" s="998">
        <f t="shared" si="83"/>
        <v>0</v>
      </c>
      <c r="AH99" s="1411">
        <f t="shared" si="83"/>
        <v>4171984054</v>
      </c>
      <c r="AI99" s="999">
        <f t="shared" si="83"/>
        <v>195630936</v>
      </c>
      <c r="AJ99" s="998">
        <f t="shared" si="83"/>
        <v>5134216605</v>
      </c>
      <c r="AK99" s="997">
        <f t="shared" si="83"/>
        <v>5329847541</v>
      </c>
      <c r="AL99" s="995">
        <f t="shared" si="83"/>
        <v>0</v>
      </c>
    </row>
    <row r="100" spans="2:38">
      <c r="B100" s="1003"/>
      <c r="C100" s="1002"/>
      <c r="D100" s="1001" t="s">
        <v>1425</v>
      </c>
      <c r="E100" s="1000">
        <f t="shared" ref="E100:L100" si="86">+SUM(E58:E96)</f>
        <v>30258405695</v>
      </c>
      <c r="F100" s="999">
        <f t="shared" si="86"/>
        <v>4217167185</v>
      </c>
      <c r="G100" s="1387">
        <f t="shared" si="86"/>
        <v>4444449</v>
      </c>
      <c r="H100" s="998">
        <f t="shared" si="86"/>
        <v>40065138</v>
      </c>
      <c r="I100" s="1411">
        <f t="shared" si="86"/>
        <v>4261676772</v>
      </c>
      <c r="J100" s="999">
        <f t="shared" si="86"/>
        <v>195929696</v>
      </c>
      <c r="K100" s="998">
        <f t="shared" si="86"/>
        <v>25630966405</v>
      </c>
      <c r="L100" s="997">
        <f t="shared" si="86"/>
        <v>25826896101</v>
      </c>
      <c r="M100" s="995">
        <f>+SUM(M58:M74,M68:M78,M79:M84,M85:M87,M88:M91,M92:M96)</f>
        <v>-107592046</v>
      </c>
      <c r="N100" s="1001" t="s">
        <v>1425</v>
      </c>
      <c r="O100" s="1000">
        <f>+SUM(O58:O96)</f>
        <v>28373855981</v>
      </c>
      <c r="P100" s="999">
        <f t="shared" ref="P100:V100" si="87">+SUM(P58:P96)</f>
        <v>4213536266</v>
      </c>
      <c r="Q100" s="1387">
        <f t="shared" si="87"/>
        <v>4398330</v>
      </c>
      <c r="R100" s="998">
        <f t="shared" si="87"/>
        <v>36594136</v>
      </c>
      <c r="S100" s="1411">
        <f t="shared" si="87"/>
        <v>4254528732</v>
      </c>
      <c r="T100" s="999">
        <f t="shared" si="87"/>
        <v>195929696</v>
      </c>
      <c r="U100" s="998">
        <f t="shared" si="87"/>
        <v>23923397553</v>
      </c>
      <c r="V100" s="997">
        <f t="shared" si="87"/>
        <v>24119327249</v>
      </c>
      <c r="W100" s="995">
        <f>+SUM(W58:W74,W68:W78,W79:W84,W85:W87,W88:W91,W92:W96)</f>
        <v>0</v>
      </c>
      <c r="X100" s="1001" t="s">
        <v>1425</v>
      </c>
      <c r="Y100" s="1449"/>
      <c r="Z100" s="1449"/>
      <c r="AA100" s="1449"/>
      <c r="AB100" s="1449"/>
      <c r="AC100" s="1449"/>
      <c r="AD100" s="1000">
        <f>+SUM(AD58:AD96)</f>
        <v>28375736546</v>
      </c>
      <c r="AE100" s="999">
        <f t="shared" ref="AE100:AK100" si="88">+SUM(AE58:AE96)</f>
        <v>4213536266</v>
      </c>
      <c r="AF100" s="1387">
        <f t="shared" si="88"/>
        <v>4398330</v>
      </c>
      <c r="AG100" s="998">
        <f t="shared" si="88"/>
        <v>36594136</v>
      </c>
      <c r="AH100" s="1411">
        <f t="shared" si="88"/>
        <v>4254528732</v>
      </c>
      <c r="AI100" s="999">
        <f t="shared" si="88"/>
        <v>195929696</v>
      </c>
      <c r="AJ100" s="998">
        <f t="shared" si="88"/>
        <v>23925278118</v>
      </c>
      <c r="AK100" s="997">
        <f t="shared" si="88"/>
        <v>24121207814</v>
      </c>
      <c r="AL100" s="995">
        <f>+SUM(AL58:AL72,AL73:AL78,AL79:AL84,AL85:AL87,AL88:AL91,AL92:AL96)</f>
        <v>0</v>
      </c>
    </row>
    <row r="101" spans="2:38">
      <c r="D101" s="993"/>
      <c r="E101" s="994">
        <f>+E100-('3条収入'!$E$70-'3条収入'!$E$9-'3条収入'!$E$42)</f>
        <v>0</v>
      </c>
      <c r="F101" s="994"/>
      <c r="G101" s="994"/>
      <c r="H101" s="994"/>
      <c r="I101" s="993"/>
      <c r="J101" s="994"/>
      <c r="K101" s="994"/>
      <c r="L101" s="993"/>
      <c r="M101" s="994"/>
      <c r="N101" s="993"/>
      <c r="O101" s="994">
        <f>+O100-('3条収入'!$AI$70-'3条収入'!$AI$9-'3条収入'!$AI$42)</f>
        <v>0</v>
      </c>
      <c r="P101" s="994"/>
      <c r="Q101" s="994"/>
      <c r="R101" s="994"/>
      <c r="S101" s="993"/>
      <c r="T101" s="994"/>
      <c r="U101" s="994"/>
      <c r="V101" s="993"/>
      <c r="W101" s="994"/>
      <c r="X101" s="993"/>
      <c r="Y101" s="993"/>
      <c r="Z101" s="993"/>
      <c r="AA101" s="993"/>
      <c r="AB101" s="993"/>
      <c r="AC101" s="993"/>
      <c r="AD101" s="994">
        <f>+AD100-('3条収入'!$AI$69-'3条収入'!$AI$9-'3条収入'!$AI$42)</f>
        <v>0</v>
      </c>
      <c r="AE101" s="994"/>
      <c r="AF101" s="994"/>
      <c r="AG101" s="994"/>
      <c r="AH101" s="993"/>
      <c r="AI101" s="994"/>
      <c r="AJ101" s="994"/>
      <c r="AK101" s="993"/>
      <c r="AL101" s="993"/>
    </row>
    <row r="103" spans="2:38">
      <c r="D103" s="990" t="str">
        <f>+$D$1</f>
        <v>令和５年度決算　消費税算出資料</v>
      </c>
      <c r="E103" s="994"/>
      <c r="F103" s="994"/>
      <c r="G103" s="994"/>
      <c r="H103" s="994"/>
      <c r="I103" s="994"/>
      <c r="J103" s="994"/>
      <c r="K103" s="994"/>
      <c r="L103" s="994"/>
      <c r="M103" s="994"/>
      <c r="N103" s="990" t="str">
        <f>+$D$1</f>
        <v>令和５年度決算　消費税算出資料</v>
      </c>
      <c r="O103" s="991"/>
      <c r="U103" s="991"/>
      <c r="V103" s="990"/>
      <c r="W103" s="990"/>
      <c r="X103" s="990" t="str">
        <f>+$D$1</f>
        <v>令和５年度決算　消費税算出資料</v>
      </c>
      <c r="AA103" s="990"/>
      <c r="AB103" s="990"/>
      <c r="AC103" s="990"/>
      <c r="AE103" s="991"/>
      <c r="AI103" s="991"/>
    </row>
    <row r="104" spans="2:38">
      <c r="D104" s="1103" t="s">
        <v>1797</v>
      </c>
      <c r="E104" s="994"/>
      <c r="F104" s="994"/>
      <c r="G104" s="994"/>
      <c r="H104" s="994"/>
      <c r="I104" s="994"/>
      <c r="J104" s="994"/>
      <c r="K104" s="994"/>
      <c r="L104" s="994"/>
      <c r="M104" s="1042" t="str">
        <f>+IF(COUNTIF(M109:M130,0)=COUNT(M109:M130),"","↓エラーあり")</f>
        <v/>
      </c>
      <c r="N104" s="990" t="s">
        <v>1798</v>
      </c>
      <c r="O104" s="991"/>
      <c r="U104" s="991"/>
      <c r="V104" s="990"/>
      <c r="W104" s="1042" t="str">
        <f>+IF(COUNTIF(W109:W130,0)=COUNT(W109:W130),"","↓エラーあり")</f>
        <v/>
      </c>
      <c r="X104" s="990" t="s">
        <v>1549</v>
      </c>
      <c r="AA104" s="990"/>
      <c r="AB104" s="990"/>
      <c r="AC104" s="990"/>
      <c r="AE104" s="991"/>
      <c r="AI104" s="991"/>
      <c r="AL104" s="1042" t="str">
        <f>+IF(COUNTIF(AL109:AL137,0)=COUNT(AL109:AL137),"","↓エラーあり")</f>
        <v/>
      </c>
    </row>
    <row r="105" spans="2:38">
      <c r="D105" s="1565" t="s">
        <v>1518</v>
      </c>
      <c r="E105" s="1578" t="s">
        <v>1517</v>
      </c>
      <c r="F105" s="1579"/>
      <c r="G105" s="1579"/>
      <c r="H105" s="1579"/>
      <c r="I105" s="1579"/>
      <c r="J105" s="1579"/>
      <c r="K105" s="1579"/>
      <c r="L105" s="1579"/>
      <c r="M105" s="1580"/>
      <c r="N105" s="1565" t="s">
        <v>1518</v>
      </c>
      <c r="O105" s="1578" t="s">
        <v>1548</v>
      </c>
      <c r="P105" s="1579"/>
      <c r="Q105" s="1579"/>
      <c r="R105" s="1579"/>
      <c r="S105" s="1579"/>
      <c r="T105" s="1579"/>
      <c r="U105" s="1579"/>
      <c r="V105" s="1579"/>
      <c r="W105" s="1580"/>
      <c r="X105" s="1565" t="s">
        <v>1518</v>
      </c>
      <c r="Y105" s="1578" t="s">
        <v>1539</v>
      </c>
      <c r="Z105" s="1579"/>
      <c r="AA105" s="1579"/>
      <c r="AB105" s="1579"/>
      <c r="AC105" s="1579"/>
      <c r="AD105" s="1579"/>
      <c r="AE105" s="1579"/>
      <c r="AF105" s="1579"/>
      <c r="AG105" s="1579"/>
      <c r="AH105" s="1579"/>
      <c r="AI105" s="1579"/>
      <c r="AJ105" s="1579"/>
      <c r="AK105" s="1579"/>
      <c r="AL105" s="1580"/>
    </row>
    <row r="106" spans="2:38">
      <c r="D106" s="1566"/>
      <c r="E106" s="1581" t="s">
        <v>1512</v>
      </c>
      <c r="F106" s="1578" t="s">
        <v>1511</v>
      </c>
      <c r="G106" s="1579"/>
      <c r="H106" s="1579"/>
      <c r="I106" s="1580"/>
      <c r="J106" s="1578" t="s">
        <v>1510</v>
      </c>
      <c r="K106" s="1579"/>
      <c r="L106" s="1580"/>
      <c r="M106" s="1583" t="s">
        <v>1508</v>
      </c>
      <c r="N106" s="1566"/>
      <c r="O106" s="1587" t="s">
        <v>1546</v>
      </c>
      <c r="P106" s="1578" t="s">
        <v>1511</v>
      </c>
      <c r="Q106" s="1579"/>
      <c r="R106" s="1579"/>
      <c r="S106" s="1580"/>
      <c r="T106" s="1578" t="s">
        <v>1510</v>
      </c>
      <c r="U106" s="1579"/>
      <c r="V106" s="1580"/>
      <c r="W106" s="1568" t="s">
        <v>1508</v>
      </c>
      <c r="X106" s="1566"/>
      <c r="Y106" s="1588" t="s">
        <v>1547</v>
      </c>
      <c r="Z106" s="1588" t="s">
        <v>1538</v>
      </c>
      <c r="AA106" s="1590" t="s">
        <v>1537</v>
      </c>
      <c r="AB106" s="1593" t="s">
        <v>1536</v>
      </c>
      <c r="AC106" s="1472" t="s">
        <v>1535</v>
      </c>
      <c r="AD106" s="1581" t="s">
        <v>1534</v>
      </c>
      <c r="AE106" s="1578" t="s">
        <v>1511</v>
      </c>
      <c r="AF106" s="1579"/>
      <c r="AG106" s="1579"/>
      <c r="AH106" s="1580"/>
      <c r="AI106" s="1578" t="s">
        <v>1510</v>
      </c>
      <c r="AJ106" s="1579"/>
      <c r="AK106" s="1580"/>
      <c r="AL106" s="1568" t="s">
        <v>1508</v>
      </c>
    </row>
    <row r="107" spans="2:38">
      <c r="D107" s="1566"/>
      <c r="E107" s="1582"/>
      <c r="F107" s="1102" t="s">
        <v>1507</v>
      </c>
      <c r="G107" s="1374" t="s">
        <v>1507</v>
      </c>
      <c r="H107" s="1101" t="s">
        <v>1505</v>
      </c>
      <c r="I107" s="1471" t="s">
        <v>1506</v>
      </c>
      <c r="J107" s="1102" t="s">
        <v>1507</v>
      </c>
      <c r="K107" s="1101" t="s">
        <v>1505</v>
      </c>
      <c r="L107" s="1100" t="s">
        <v>1506</v>
      </c>
      <c r="M107" s="1569"/>
      <c r="N107" s="1566"/>
      <c r="O107" s="1571"/>
      <c r="P107" s="1102" t="s">
        <v>1507</v>
      </c>
      <c r="Q107" s="1374" t="s">
        <v>1507</v>
      </c>
      <c r="R107" s="1101" t="s">
        <v>1505</v>
      </c>
      <c r="S107" s="1471" t="s">
        <v>1506</v>
      </c>
      <c r="T107" s="1102" t="s">
        <v>1507</v>
      </c>
      <c r="U107" s="1101" t="s">
        <v>1505</v>
      </c>
      <c r="V107" s="1100" t="s">
        <v>1506</v>
      </c>
      <c r="W107" s="1569"/>
      <c r="X107" s="1566"/>
      <c r="Y107" s="1566"/>
      <c r="Z107" s="1589"/>
      <c r="AA107" s="1591"/>
      <c r="AB107" s="1594"/>
      <c r="AC107" s="1473" t="s">
        <v>1532</v>
      </c>
      <c r="AD107" s="1582"/>
      <c r="AE107" s="1102" t="s">
        <v>1507</v>
      </c>
      <c r="AF107" s="1374" t="s">
        <v>1507</v>
      </c>
      <c r="AG107" s="1101" t="s">
        <v>1505</v>
      </c>
      <c r="AH107" s="1471" t="s">
        <v>1506</v>
      </c>
      <c r="AI107" s="1102" t="s">
        <v>1507</v>
      </c>
      <c r="AJ107" s="1101" t="s">
        <v>1505</v>
      </c>
      <c r="AK107" s="1100" t="s">
        <v>1506</v>
      </c>
      <c r="AL107" s="1569"/>
    </row>
    <row r="108" spans="2:38">
      <c r="D108" s="1566"/>
      <c r="E108" s="1582"/>
      <c r="F108" s="1098" t="s">
        <v>1503</v>
      </c>
      <c r="G108" s="1375" t="s">
        <v>1504</v>
      </c>
      <c r="H108" s="1400" t="s">
        <v>1509</v>
      </c>
      <c r="I108" s="1390"/>
      <c r="J108" s="1098" t="s">
        <v>1503</v>
      </c>
      <c r="K108" s="1097" t="s">
        <v>1503</v>
      </c>
      <c r="L108" s="1096"/>
      <c r="M108" s="1569"/>
      <c r="N108" s="1566"/>
      <c r="O108" s="1571"/>
      <c r="P108" s="1098" t="s">
        <v>1503</v>
      </c>
      <c r="Q108" s="1375" t="s">
        <v>1504</v>
      </c>
      <c r="R108" s="1400" t="s">
        <v>1509</v>
      </c>
      <c r="S108" s="1390"/>
      <c r="T108" s="1098" t="s">
        <v>1503</v>
      </c>
      <c r="U108" s="1097" t="s">
        <v>1503</v>
      </c>
      <c r="V108" s="1096"/>
      <c r="W108" s="1569"/>
      <c r="X108" s="1566"/>
      <c r="Y108" s="1566"/>
      <c r="Z108" s="1589"/>
      <c r="AA108" s="1592"/>
      <c r="AB108" s="1595"/>
      <c r="AC108" s="1473"/>
      <c r="AD108" s="1582"/>
      <c r="AE108" s="1098" t="s">
        <v>1503</v>
      </c>
      <c r="AF108" s="1375" t="s">
        <v>1504</v>
      </c>
      <c r="AG108" s="1400" t="s">
        <v>1509</v>
      </c>
      <c r="AH108" s="1390"/>
      <c r="AI108" s="1098" t="s">
        <v>1503</v>
      </c>
      <c r="AJ108" s="1097" t="s">
        <v>1503</v>
      </c>
      <c r="AK108" s="1096"/>
      <c r="AL108" s="1569"/>
    </row>
    <row r="109" spans="2:38">
      <c r="D109" s="1082" t="s">
        <v>1500</v>
      </c>
      <c r="E109" s="1080">
        <f>+SUM(E110,E116:E118)</f>
        <v>15884362884</v>
      </c>
      <c r="F109" s="1079">
        <f>+SUM(F110,F116:F118)</f>
        <v>14072961573</v>
      </c>
      <c r="G109" s="1382">
        <f>+SUM(G110,G116:G118)</f>
        <v>692889463</v>
      </c>
      <c r="H109" s="1078">
        <f>+SUM(H110,H116:H118)</f>
        <v>803927113</v>
      </c>
      <c r="I109" s="1392">
        <f>+SUM(F109:H109)</f>
        <v>15569778149</v>
      </c>
      <c r="J109" s="1079">
        <f>+SUM(J110,J116:J118)</f>
        <v>314584735</v>
      </c>
      <c r="K109" s="1078">
        <f>+SUM(K110,K116:K118)</f>
        <v>0</v>
      </c>
      <c r="L109" s="1077">
        <f t="shared" ref="L109:L126" si="89">+SUM(J109:K109)</f>
        <v>314584735</v>
      </c>
      <c r="M109" s="1075">
        <f>E109-SUM(I109,L109)</f>
        <v>0</v>
      </c>
      <c r="N109" s="1082" t="s">
        <v>1500</v>
      </c>
      <c r="O109" s="1175">
        <f>+SUM(O110,O116:O118)</f>
        <v>15672376825</v>
      </c>
      <c r="P109" s="1174">
        <f>+SUM(P110,P116:P118)</f>
        <v>13677572777</v>
      </c>
      <c r="Q109" s="1376">
        <f>+SUM(Q110,Q116:Q118)</f>
        <v>329946410</v>
      </c>
      <c r="R109" s="1173">
        <f>+SUM(R110,R116:R118)</f>
        <v>400407490</v>
      </c>
      <c r="S109" s="1090">
        <f t="shared" ref="S109:S115" si="90">+SUM(P109:R109)</f>
        <v>14407926677</v>
      </c>
      <c r="T109" s="1174">
        <f>+SUM(T110,T116:T118)</f>
        <v>1264450148</v>
      </c>
      <c r="U109" s="1173">
        <f>+SUM(U110,U116:U118)</f>
        <v>0</v>
      </c>
      <c r="V109" s="1084">
        <f t="shared" ref="V109:V124" si="91">+SUM(T109:U109)</f>
        <v>1264450148</v>
      </c>
      <c r="W109" s="1083">
        <f>O109-SUM(S109,V109)</f>
        <v>0</v>
      </c>
      <c r="X109" s="1082" t="s">
        <v>1500</v>
      </c>
      <c r="Y109" s="1125">
        <f>+SUM(Y110,Y116:Y118)</f>
        <v>12956155708</v>
      </c>
      <c r="Z109" s="1081">
        <f>+SUM(Z110,Z116:Z118)</f>
        <v>209752468</v>
      </c>
      <c r="AA109" s="1081">
        <f>+SUM(AA110,AA116:AA118)</f>
        <v>2228406</v>
      </c>
      <c r="AB109" s="1081">
        <f>+O109+Z109+AA109</f>
        <v>15884357699</v>
      </c>
      <c r="AC109" s="1081">
        <f>+SUM(AC110,AC116:AC118)</f>
        <v>5185</v>
      </c>
      <c r="AD109" s="1080">
        <f>+SUM(AD110,AD116:AD118)</f>
        <v>211986059</v>
      </c>
      <c r="AE109" s="1079">
        <f>+SUM(AE110,AE116:AE118)</f>
        <v>395388796</v>
      </c>
      <c r="AF109" s="1382">
        <f>+SUM(AF110,AF116:AF118)</f>
        <v>362943053</v>
      </c>
      <c r="AG109" s="1078">
        <f>+SUM(AG110,AG116:AG118)</f>
        <v>403519623</v>
      </c>
      <c r="AH109" s="1392">
        <f>+SUM(AE109:AG109)</f>
        <v>1161851472</v>
      </c>
      <c r="AI109" s="1079">
        <f>+SUM(AI110,AI116:AI118)</f>
        <v>-949865413</v>
      </c>
      <c r="AJ109" s="1078">
        <f>+SUM(AJ110,AJ116:AJ118)</f>
        <v>0</v>
      </c>
      <c r="AK109" s="1077">
        <f t="shared" ref="AK109:AK128" si="92">+SUM(AI109:AJ109)</f>
        <v>-949865413</v>
      </c>
      <c r="AL109" s="1075">
        <f>AD109-SUM(AH109,AK109)</f>
        <v>0</v>
      </c>
    </row>
    <row r="110" spans="2:38">
      <c r="D110" s="1074" t="s">
        <v>1497</v>
      </c>
      <c r="E110" s="1072">
        <f>+SUM(E111:E113)</f>
        <v>15767373103</v>
      </c>
      <c r="F110" s="1071">
        <f>+SUM(F111:F113)</f>
        <v>14072961573</v>
      </c>
      <c r="G110" s="1383">
        <f>+SUM(G111:G113)</f>
        <v>692889463</v>
      </c>
      <c r="H110" s="1070">
        <f>+SUM(H111:H113)</f>
        <v>773857958</v>
      </c>
      <c r="I110" s="1393">
        <f t="shared" ref="I110:I126" si="93">+SUM(F110:H110)</f>
        <v>15539708994</v>
      </c>
      <c r="J110" s="1071">
        <f>+SUM(J111:J113)</f>
        <v>227664109</v>
      </c>
      <c r="K110" s="1070">
        <f>+SUM(K111:K113)</f>
        <v>0</v>
      </c>
      <c r="L110" s="1069">
        <f t="shared" si="89"/>
        <v>227664109</v>
      </c>
      <c r="M110" s="1068">
        <f t="shared" ref="M110:M126" si="94">E110-SUM(I110,L110)</f>
        <v>0</v>
      </c>
      <c r="N110" s="1074" t="s">
        <v>1497</v>
      </c>
      <c r="O110" s="1172">
        <f>+SUM(O111:O113)</f>
        <v>15557462956</v>
      </c>
      <c r="P110" s="1171">
        <f>+SUM(P111:P113)</f>
        <v>13677572777</v>
      </c>
      <c r="Q110" s="1377">
        <f>+SUM(Q111:Q113)</f>
        <v>329946410</v>
      </c>
      <c r="R110" s="1170">
        <f>+SUM(R111:R113)</f>
        <v>370736664</v>
      </c>
      <c r="S110" s="1172">
        <f t="shared" si="90"/>
        <v>14378255851</v>
      </c>
      <c r="T110" s="1171">
        <f>+SUM(T111:T113)</f>
        <v>1179207105</v>
      </c>
      <c r="U110" s="1170">
        <f>+SUM(U111:U113)</f>
        <v>0</v>
      </c>
      <c r="V110" s="1169">
        <f t="shared" si="91"/>
        <v>1179207105</v>
      </c>
      <c r="W110" s="1073">
        <f t="shared" ref="W110:W126" si="95">O110-SUM(S110,V110)</f>
        <v>0</v>
      </c>
      <c r="X110" s="1074" t="s">
        <v>1497</v>
      </c>
      <c r="Y110" s="1073">
        <f>+SUM(Y111:Y113)</f>
        <v>12839165927</v>
      </c>
      <c r="Z110" s="1068">
        <f>+SUM(Z111:Z113)</f>
        <v>207718222</v>
      </c>
      <c r="AA110" s="1068">
        <f>+SUM(AA111:AA113)</f>
        <v>2206794</v>
      </c>
      <c r="AB110" s="1068">
        <f>+O110+Z110+AA110</f>
        <v>15767387972</v>
      </c>
      <c r="AC110" s="1068">
        <f>+SUM(AC111:AC113)</f>
        <v>-14869</v>
      </c>
      <c r="AD110" s="1072">
        <f>+SUM(AD111:AD113)</f>
        <v>209910147</v>
      </c>
      <c r="AE110" s="1071">
        <f>+SUM(AE111:AE113)</f>
        <v>395388796</v>
      </c>
      <c r="AF110" s="1383">
        <f>+SUM(AF111:AF113)</f>
        <v>362943053</v>
      </c>
      <c r="AG110" s="1070">
        <f>+SUM(AG111:AG113)</f>
        <v>403121294</v>
      </c>
      <c r="AH110" s="1393">
        <f t="shared" ref="AH110:AH128" si="96">+SUM(AE110:AG110)</f>
        <v>1161453143</v>
      </c>
      <c r="AI110" s="1071">
        <f>+SUM(AI111:AI113)</f>
        <v>-951542996</v>
      </c>
      <c r="AJ110" s="1070">
        <f>+SUM(AJ111:AJ113)</f>
        <v>0</v>
      </c>
      <c r="AK110" s="1069">
        <f t="shared" si="92"/>
        <v>-951542996</v>
      </c>
      <c r="AL110" s="1068">
        <f t="shared" ref="AL110:AL137" si="97">AD110-SUM(AH110,AK110)</f>
        <v>0</v>
      </c>
    </row>
    <row r="111" spans="2:38">
      <c r="D111" s="1030" t="s">
        <v>1472</v>
      </c>
      <c r="E111" s="1062">
        <f>+SUM(I111,L111)</f>
        <v>7425561813</v>
      </c>
      <c r="F111" s="1067">
        <f>+P111+AE111+AE137</f>
        <v>6077873498</v>
      </c>
      <c r="G111" s="1389">
        <f>+Q111+AF111+AF137</f>
        <v>562542296</v>
      </c>
      <c r="H111" s="1065">
        <f>+R111+AG111+AG137</f>
        <v>782112774</v>
      </c>
      <c r="I111" s="1062">
        <f t="shared" si="93"/>
        <v>7422528568</v>
      </c>
      <c r="J111" s="1066">
        <f>+T111+AI111+AI137</f>
        <v>3033245</v>
      </c>
      <c r="K111" s="1065">
        <f>+IF(SUM(U131:U133,-U125)&gt;=0,U111+AJ111,U111+AJ111+AJ135+AJ137)</f>
        <v>0</v>
      </c>
      <c r="L111" s="1057">
        <f t="shared" si="89"/>
        <v>3033245</v>
      </c>
      <c r="M111" s="1056">
        <f t="shared" si="94"/>
        <v>0</v>
      </c>
      <c r="N111" s="1030" t="s">
        <v>1472</v>
      </c>
      <c r="O111" s="1029">
        <f>+SUM(S111,V111)</f>
        <v>2634711253</v>
      </c>
      <c r="P111" s="1037">
        <f>+P47-P98-SUM(P116:P118,P126)</f>
        <v>2156529311</v>
      </c>
      <c r="Q111" s="1378">
        <f>+Q47-Q98-SUM(Q116:Q118,Q126)</f>
        <v>199599243</v>
      </c>
      <c r="R111" s="1027">
        <f>+R47-R98-SUM(R116:R118,R126)</f>
        <v>277506454</v>
      </c>
      <c r="S111" s="1029">
        <f t="shared" si="90"/>
        <v>2633635008</v>
      </c>
      <c r="T111" s="1037">
        <f>+T47-T98-SUM(T116:T118,T126)</f>
        <v>1076245</v>
      </c>
      <c r="U111" s="1036">
        <f>+IF(U134&gt;0,0,-U134)</f>
        <v>0</v>
      </c>
      <c r="V111" s="1026">
        <f t="shared" si="91"/>
        <v>1076245</v>
      </c>
      <c r="W111" s="1025">
        <f t="shared" si="95"/>
        <v>0</v>
      </c>
      <c r="X111" s="1030" t="s">
        <v>1472</v>
      </c>
      <c r="Y111" s="1035">
        <f>+E47-K47-(E98-K98)-SUM(Y116:Y118,Y126)+IF(Y141&gt;0,0,-Y141)</f>
        <v>4381812271</v>
      </c>
      <c r="Z111" s="1064">
        <f>+Z130-SUM(Z112:Z113,Z116:Z120,Z128)</f>
        <v>205191428</v>
      </c>
      <c r="AA111" s="1064">
        <f>+AA130-SUM(AA112:AA113,AA116:AA120,AA128)</f>
        <v>2179949</v>
      </c>
      <c r="AB111" s="1056">
        <f>+O111+Z111+AA111</f>
        <v>2842082630</v>
      </c>
      <c r="AC111" s="1064">
        <f>-SUM(AC112:AC113,AC116:AC120)</f>
        <v>4583479183</v>
      </c>
      <c r="AD111" s="1155">
        <f>+AD130-SUM(AD112:AD113,AD116:AD120,AD128)</f>
        <v>4790850560</v>
      </c>
      <c r="AE111" s="1061">
        <f t="shared" ref="AE111:AG112" si="98">+IFERROR(ROUND($AD111*P111/$O111,0),0)</f>
        <v>3921344187</v>
      </c>
      <c r="AF111" s="1380">
        <f t="shared" si="98"/>
        <v>362943053</v>
      </c>
      <c r="AG111" s="1043">
        <f t="shared" si="98"/>
        <v>504606320</v>
      </c>
      <c r="AH111" s="1062">
        <f t="shared" si="96"/>
        <v>4788893560</v>
      </c>
      <c r="AI111" s="1058">
        <f>+IFERROR(ROUND($AD111*T111/$O111,0),0)</f>
        <v>1957000</v>
      </c>
      <c r="AJ111" s="1043">
        <f>+IFERROR(ROUND($AD111*U111/$O111,0),0)</f>
        <v>0</v>
      </c>
      <c r="AK111" s="1057">
        <f t="shared" si="92"/>
        <v>1957000</v>
      </c>
      <c r="AL111" s="1056">
        <f t="shared" si="97"/>
        <v>0</v>
      </c>
    </row>
    <row r="112" spans="2:38">
      <c r="D112" s="1030" t="s">
        <v>1470</v>
      </c>
      <c r="E112" s="1062">
        <f>+SUM(I112,L112)</f>
        <v>8692651134</v>
      </c>
      <c r="F112" s="1061">
        <f>+P112+AE112</f>
        <v>8260115187</v>
      </c>
      <c r="G112" s="1380">
        <f>+Q112+AF112</f>
        <v>130347167</v>
      </c>
      <c r="H112" s="1043">
        <f>+R112+AG112</f>
        <v>0</v>
      </c>
      <c r="I112" s="1062">
        <f t="shared" si="93"/>
        <v>8390462354</v>
      </c>
      <c r="J112" s="1058">
        <f>+T112+AI112</f>
        <v>302188780</v>
      </c>
      <c r="K112" s="1043">
        <f>+U112+AJ112</f>
        <v>0</v>
      </c>
      <c r="L112" s="1057">
        <f t="shared" si="89"/>
        <v>302188780</v>
      </c>
      <c r="M112" s="1056">
        <f t="shared" si="94"/>
        <v>0</v>
      </c>
      <c r="N112" s="1030" t="s">
        <v>1470</v>
      </c>
      <c r="O112" s="1029">
        <f>+SUM(S112,V112)</f>
        <v>8692651134</v>
      </c>
      <c r="P112" s="1028">
        <f>+P48-P99-P113</f>
        <v>8260115187</v>
      </c>
      <c r="Q112" s="1379">
        <f>+Q48-Q99-Q113</f>
        <v>130347167</v>
      </c>
      <c r="R112" s="1027">
        <f>+R48-R99-R113</f>
        <v>0</v>
      </c>
      <c r="S112" s="1029">
        <f t="shared" si="90"/>
        <v>8390462354</v>
      </c>
      <c r="T112" s="1028">
        <f>+T48-T99-T113</f>
        <v>302188780</v>
      </c>
      <c r="U112" s="1027"/>
      <c r="V112" s="1026">
        <f t="shared" si="91"/>
        <v>302188780</v>
      </c>
      <c r="W112" s="1025">
        <f t="shared" si="95"/>
        <v>0</v>
      </c>
      <c r="X112" s="1030" t="s">
        <v>1470</v>
      </c>
      <c r="Y112" s="1025">
        <f>+E48-K48-(E99-K99)-Y113</f>
        <v>8793951394</v>
      </c>
      <c r="Z112" s="1056">
        <f>+'3条収入'!AH12</f>
        <v>0</v>
      </c>
      <c r="AA112" s="1056">
        <f>+ROUND($AA$130*$Z112/$Z$130,0)</f>
        <v>0</v>
      </c>
      <c r="AB112" s="1056">
        <f>+O112+Z112+AA112</f>
        <v>8692651134</v>
      </c>
      <c r="AC112" s="1056">
        <f>+IF((Y112-AB112)&lt;0,(Y112-AB112),0)</f>
        <v>0</v>
      </c>
      <c r="AD112" s="1059">
        <f>+IF(AC112&lt;0,SUM(Z112:AA112,AC112),SUM(Z112:AA112))</f>
        <v>0</v>
      </c>
      <c r="AE112" s="1061">
        <f t="shared" si="98"/>
        <v>0</v>
      </c>
      <c r="AF112" s="1380">
        <f t="shared" si="98"/>
        <v>0</v>
      </c>
      <c r="AG112" s="1043">
        <f t="shared" si="98"/>
        <v>0</v>
      </c>
      <c r="AH112" s="1062">
        <f t="shared" si="96"/>
        <v>0</v>
      </c>
      <c r="AI112" s="1058">
        <f>+IFERROR(ROUND($AD112*T112/$O112,0),0)</f>
        <v>0</v>
      </c>
      <c r="AJ112" s="1043">
        <f>+IFERROR(ROUND($AD112*U112/$O112,0),0)</f>
        <v>0</v>
      </c>
      <c r="AK112" s="1057">
        <f t="shared" si="92"/>
        <v>0</v>
      </c>
      <c r="AL112" s="1056">
        <f t="shared" si="97"/>
        <v>0</v>
      </c>
    </row>
    <row r="113" spans="4:38">
      <c r="D113" s="1030" t="s">
        <v>1469</v>
      </c>
      <c r="E113" s="1025">
        <f>+SUM(E114:E115)</f>
        <v>-350839844</v>
      </c>
      <c r="F113" s="1040">
        <f>+SUM(F114:F115)</f>
        <v>-265027112</v>
      </c>
      <c r="G113" s="1379">
        <f>+SUM(G114:G115)</f>
        <v>0</v>
      </c>
      <c r="H113" s="1043">
        <f>+SUM(H114:H115)</f>
        <v>-8254816</v>
      </c>
      <c r="I113" s="1062">
        <f t="shared" si="93"/>
        <v>-273281928</v>
      </c>
      <c r="J113" s="1058">
        <f>+SUM(J114:J115)</f>
        <v>-77557916</v>
      </c>
      <c r="K113" s="1043">
        <f>+SUM(K114:K115)</f>
        <v>0</v>
      </c>
      <c r="L113" s="1057">
        <f t="shared" si="89"/>
        <v>-77557916</v>
      </c>
      <c r="M113" s="1056">
        <f t="shared" si="94"/>
        <v>0</v>
      </c>
      <c r="N113" s="1030" t="s">
        <v>1469</v>
      </c>
      <c r="O113" s="1029">
        <f>+SUM(O114:O115)</f>
        <v>4230100569</v>
      </c>
      <c r="P113" s="1028">
        <f>+SUM(P114:P115)</f>
        <v>3260928279</v>
      </c>
      <c r="Q113" s="1379">
        <f>+SUM(Q114:Q115)</f>
        <v>0</v>
      </c>
      <c r="R113" s="1043">
        <f>+SUM(R114:R115)</f>
        <v>93230210</v>
      </c>
      <c r="S113" s="1029">
        <f t="shared" si="90"/>
        <v>3354158489</v>
      </c>
      <c r="T113" s="1028">
        <f>+SUM(T114:T115)</f>
        <v>875942080</v>
      </c>
      <c r="U113" s="1027">
        <f>+SUM(U114:U115)</f>
        <v>0</v>
      </c>
      <c r="V113" s="1026">
        <f t="shared" si="91"/>
        <v>875942080</v>
      </c>
      <c r="W113" s="1025">
        <f t="shared" si="95"/>
        <v>0</v>
      </c>
      <c r="X113" s="1030" t="s">
        <v>1469</v>
      </c>
      <c r="Y113" s="1025">
        <f>+SUM(Y114:Y115)</f>
        <v>-336597738</v>
      </c>
      <c r="Z113" s="1025">
        <f t="shared" ref="Z113:AF113" si="99">+SUM(Z114:Z115)</f>
        <v>2526794</v>
      </c>
      <c r="AA113" s="1056">
        <f t="shared" si="99"/>
        <v>26845</v>
      </c>
      <c r="AB113" s="1025">
        <f t="shared" si="99"/>
        <v>4232654208</v>
      </c>
      <c r="AC113" s="1025">
        <f t="shared" si="99"/>
        <v>-4583494052</v>
      </c>
      <c r="AD113" s="1025">
        <f t="shared" si="99"/>
        <v>-4580940413</v>
      </c>
      <c r="AE113" s="1040">
        <f t="shared" si="99"/>
        <v>-3525955391</v>
      </c>
      <c r="AF113" s="1379">
        <f t="shared" si="99"/>
        <v>0</v>
      </c>
      <c r="AG113" s="1043">
        <f>+SUM(AG114:AG115)</f>
        <v>-101485026</v>
      </c>
      <c r="AH113" s="1062">
        <f t="shared" si="96"/>
        <v>-3627440417</v>
      </c>
      <c r="AI113" s="1058">
        <f>+SUM(AI114:AI115)</f>
        <v>-953499996</v>
      </c>
      <c r="AJ113" s="1043">
        <f>+SUM(AJ114:AJ115)</f>
        <v>0</v>
      </c>
      <c r="AK113" s="1057">
        <f t="shared" si="92"/>
        <v>-953499996</v>
      </c>
      <c r="AL113" s="1056">
        <f t="shared" si="97"/>
        <v>0</v>
      </c>
    </row>
    <row r="114" spans="4:38">
      <c r="D114" s="1030" t="s">
        <v>1488</v>
      </c>
      <c r="E114" s="1062">
        <f>+SUM(I114,L114)</f>
        <v>-372822492</v>
      </c>
      <c r="F114" s="1061">
        <f t="shared" ref="F114:H118" si="100">+P114+AE114</f>
        <v>-287009760</v>
      </c>
      <c r="G114" s="1380">
        <f t="shared" si="100"/>
        <v>0</v>
      </c>
      <c r="H114" s="1043">
        <f t="shared" si="100"/>
        <v>-8254816</v>
      </c>
      <c r="I114" s="1062">
        <f t="shared" si="93"/>
        <v>-295264576</v>
      </c>
      <c r="J114" s="1058">
        <f t="shared" ref="J114:K118" si="101">+T114+AI114</f>
        <v>-77557916</v>
      </c>
      <c r="K114" s="1043">
        <f t="shared" si="101"/>
        <v>0</v>
      </c>
      <c r="L114" s="1057">
        <f t="shared" si="89"/>
        <v>-77557916</v>
      </c>
      <c r="M114" s="1056">
        <f t="shared" si="94"/>
        <v>0</v>
      </c>
      <c r="N114" s="1030" t="s">
        <v>1488</v>
      </c>
      <c r="O114" s="1029">
        <f>+SUM(S114,V114)</f>
        <v>4210671560</v>
      </c>
      <c r="P114" s="1028">
        <f t="shared" ref="P114:R115" si="102">+P37-P88</f>
        <v>3241499270</v>
      </c>
      <c r="Q114" s="1379">
        <f t="shared" si="102"/>
        <v>0</v>
      </c>
      <c r="R114" s="1043">
        <f t="shared" si="102"/>
        <v>93230210</v>
      </c>
      <c r="S114" s="1029">
        <f t="shared" si="90"/>
        <v>3334729480</v>
      </c>
      <c r="T114" s="1028">
        <f>+T37-T88</f>
        <v>875942080</v>
      </c>
      <c r="U114" s="1027"/>
      <c r="V114" s="1026">
        <f t="shared" si="91"/>
        <v>875942080</v>
      </c>
      <c r="W114" s="1025">
        <f t="shared" si="95"/>
        <v>0</v>
      </c>
      <c r="X114" s="1030" t="s">
        <v>1488</v>
      </c>
      <c r="Y114" s="1025">
        <f>+(E37-K37)-(E88-K88)</f>
        <v>-372822492</v>
      </c>
      <c r="Z114" s="1056"/>
      <c r="AA114" s="1056">
        <f>+ROUND($AA$130*$Z114/$Z$130,0)</f>
        <v>0</v>
      </c>
      <c r="AB114" s="1056">
        <f>+O114+Z114+AA114</f>
        <v>4210671560</v>
      </c>
      <c r="AC114" s="1056">
        <f>+IF((Y114-AB114)&lt;0,(Y114-AB114),0)</f>
        <v>-4583494052</v>
      </c>
      <c r="AD114" s="1059">
        <f>+IF(AC114&lt;0,SUM(Z114:AA114,AC114),SUM(Z114:AA114))</f>
        <v>-4583494052</v>
      </c>
      <c r="AE114" s="1061">
        <f t="shared" ref="AE114:AG118" si="103">+IFERROR(ROUND($AD114*P114/$O114,0),0)</f>
        <v>-3528509030</v>
      </c>
      <c r="AF114" s="1380">
        <f t="shared" si="103"/>
        <v>0</v>
      </c>
      <c r="AG114" s="1043">
        <f t="shared" si="103"/>
        <v>-101485026</v>
      </c>
      <c r="AH114" s="1062">
        <f t="shared" si="96"/>
        <v>-3629994056</v>
      </c>
      <c r="AI114" s="1058">
        <f t="shared" ref="AI114:AJ118" si="104">+IFERROR(ROUND($AD114*T114/$O114,0),0)</f>
        <v>-953499996</v>
      </c>
      <c r="AJ114" s="1043">
        <f t="shared" si="104"/>
        <v>0</v>
      </c>
      <c r="AK114" s="1057">
        <f t="shared" si="92"/>
        <v>-953499996</v>
      </c>
      <c r="AL114" s="1056">
        <f t="shared" si="97"/>
        <v>0</v>
      </c>
    </row>
    <row r="115" spans="4:38">
      <c r="D115" s="1063" t="s">
        <v>1486</v>
      </c>
      <c r="E115" s="1062">
        <f>+SUM(I115,L115)</f>
        <v>21982648</v>
      </c>
      <c r="F115" s="1061">
        <f t="shared" si="100"/>
        <v>21982648</v>
      </c>
      <c r="G115" s="1380">
        <f t="shared" si="100"/>
        <v>0</v>
      </c>
      <c r="H115" s="1043">
        <f t="shared" si="100"/>
        <v>0</v>
      </c>
      <c r="I115" s="1062">
        <f t="shared" si="93"/>
        <v>21982648</v>
      </c>
      <c r="J115" s="1058">
        <f t="shared" si="101"/>
        <v>0</v>
      </c>
      <c r="K115" s="1043">
        <f t="shared" si="101"/>
        <v>0</v>
      </c>
      <c r="L115" s="1057">
        <f t="shared" si="89"/>
        <v>0</v>
      </c>
      <c r="M115" s="1056">
        <f t="shared" si="94"/>
        <v>0</v>
      </c>
      <c r="N115" s="1063" t="s">
        <v>1486</v>
      </c>
      <c r="O115" s="1029">
        <f t="shared" ref="O115:O118" si="105">+SUM(S115,V115)</f>
        <v>19429009</v>
      </c>
      <c r="P115" s="1028">
        <f t="shared" si="102"/>
        <v>19429009</v>
      </c>
      <c r="Q115" s="1379">
        <f t="shared" si="102"/>
        <v>0</v>
      </c>
      <c r="R115" s="1043">
        <f t="shared" si="102"/>
        <v>0</v>
      </c>
      <c r="S115" s="1029">
        <f t="shared" si="90"/>
        <v>19429009</v>
      </c>
      <c r="T115" s="1028">
        <f>+T38-T89</f>
        <v>0</v>
      </c>
      <c r="U115" s="1027"/>
      <c r="V115" s="1026">
        <f t="shared" si="91"/>
        <v>0</v>
      </c>
      <c r="W115" s="1025">
        <f t="shared" si="95"/>
        <v>0</v>
      </c>
      <c r="X115" s="1063" t="s">
        <v>1486</v>
      </c>
      <c r="Y115" s="1025">
        <f>+(E38-K38)-(E89-K89)</f>
        <v>36224754</v>
      </c>
      <c r="Z115" s="1056">
        <f>+'3条収入'!AH13</f>
        <v>2526794</v>
      </c>
      <c r="AA115" s="1056">
        <f>+ROUND($AA$130*$Z115/$Z$130,0)</f>
        <v>26845</v>
      </c>
      <c r="AB115" s="1056">
        <f>+O115+Z115+AA115</f>
        <v>21982648</v>
      </c>
      <c r="AC115" s="1056">
        <f>+IF((Y115-AB115)&lt;0,(Y115-AB115),0)</f>
        <v>0</v>
      </c>
      <c r="AD115" s="1059">
        <f>+IF(AC115&lt;0,SUM(Z115:AA115,AC115),SUM(Z115:AA115))</f>
        <v>2553639</v>
      </c>
      <c r="AE115" s="1061">
        <f t="shared" si="103"/>
        <v>2553639</v>
      </c>
      <c r="AF115" s="1380">
        <f t="shared" si="103"/>
        <v>0</v>
      </c>
      <c r="AG115" s="1043">
        <f t="shared" si="103"/>
        <v>0</v>
      </c>
      <c r="AH115" s="1062">
        <f t="shared" si="96"/>
        <v>2553639</v>
      </c>
      <c r="AI115" s="1058">
        <f t="shared" si="104"/>
        <v>0</v>
      </c>
      <c r="AJ115" s="1043">
        <f t="shared" si="104"/>
        <v>0</v>
      </c>
      <c r="AK115" s="1057">
        <f t="shared" si="92"/>
        <v>0</v>
      </c>
      <c r="AL115" s="1056">
        <f t="shared" si="97"/>
        <v>0</v>
      </c>
    </row>
    <row r="116" spans="4:38">
      <c r="D116" s="1030" t="s">
        <v>1484</v>
      </c>
      <c r="E116" s="1062">
        <f>+SUM(I116,L116)</f>
        <v>52443869</v>
      </c>
      <c r="F116" s="1061">
        <f t="shared" si="100"/>
        <v>0</v>
      </c>
      <c r="G116" s="1380">
        <f t="shared" si="100"/>
        <v>0</v>
      </c>
      <c r="H116" s="1043">
        <f t="shared" si="100"/>
        <v>0</v>
      </c>
      <c r="I116" s="1062">
        <f t="shared" si="93"/>
        <v>0</v>
      </c>
      <c r="J116" s="1058">
        <f t="shared" si="101"/>
        <v>52443869</v>
      </c>
      <c r="K116" s="1043">
        <f t="shared" si="101"/>
        <v>0</v>
      </c>
      <c r="L116" s="1057">
        <f t="shared" si="89"/>
        <v>52443869</v>
      </c>
      <c r="M116" s="1056">
        <f t="shared" si="94"/>
        <v>0</v>
      </c>
      <c r="N116" s="1030" t="s">
        <v>1484</v>
      </c>
      <c r="O116" s="1029">
        <f t="shared" si="105"/>
        <v>51313295</v>
      </c>
      <c r="P116" s="1028">
        <f>+P8</f>
        <v>0</v>
      </c>
      <c r="Q116" s="1379">
        <f>+Q8</f>
        <v>0</v>
      </c>
      <c r="R116" s="1027">
        <f>+R8</f>
        <v>0</v>
      </c>
      <c r="S116" s="1029">
        <f t="shared" ref="S116:S118" si="106">+SUM(P116:R116)</f>
        <v>0</v>
      </c>
      <c r="T116" s="1028">
        <f>+T8</f>
        <v>51313295</v>
      </c>
      <c r="U116" s="1027"/>
      <c r="V116" s="1026">
        <f t="shared" si="91"/>
        <v>51313295</v>
      </c>
      <c r="W116" s="1025">
        <f t="shared" si="95"/>
        <v>0</v>
      </c>
      <c r="X116" s="1030" t="s">
        <v>1484</v>
      </c>
      <c r="Y116" s="1025">
        <f>+E8-K8</f>
        <v>52443869</v>
      </c>
      <c r="Z116" s="1056">
        <f>+'3条収入'!AH14</f>
        <v>1106201</v>
      </c>
      <c r="AA116" s="1056">
        <f>+ROUND($AA$130*$Z116/$Z$130,0)</f>
        <v>11752</v>
      </c>
      <c r="AB116" s="1056">
        <f>+O116+Z116+AA116</f>
        <v>52431248</v>
      </c>
      <c r="AC116" s="1064">
        <f>Y116-AB116</f>
        <v>12621</v>
      </c>
      <c r="AD116" s="1128">
        <f>SUM(Z116:AA116,AC116)</f>
        <v>1130574</v>
      </c>
      <c r="AE116" s="1061">
        <f t="shared" si="103"/>
        <v>0</v>
      </c>
      <c r="AF116" s="1380">
        <f t="shared" si="103"/>
        <v>0</v>
      </c>
      <c r="AG116" s="1043">
        <f t="shared" si="103"/>
        <v>0</v>
      </c>
      <c r="AH116" s="1062">
        <f t="shared" si="96"/>
        <v>0</v>
      </c>
      <c r="AI116" s="1058">
        <f t="shared" si="104"/>
        <v>1130574</v>
      </c>
      <c r="AJ116" s="1043">
        <f t="shared" si="104"/>
        <v>0</v>
      </c>
      <c r="AK116" s="1057">
        <f t="shared" si="92"/>
        <v>1130574</v>
      </c>
      <c r="AL116" s="1056">
        <f t="shared" si="97"/>
        <v>0</v>
      </c>
    </row>
    <row r="117" spans="4:38">
      <c r="D117" s="1030" t="s">
        <v>1481</v>
      </c>
      <c r="E117" s="1062">
        <f>+SUM(I117,L117)</f>
        <v>54062053</v>
      </c>
      <c r="F117" s="1061">
        <f t="shared" si="100"/>
        <v>0</v>
      </c>
      <c r="G117" s="1380">
        <f t="shared" si="100"/>
        <v>0</v>
      </c>
      <c r="H117" s="1043">
        <f t="shared" si="100"/>
        <v>19585296</v>
      </c>
      <c r="I117" s="1062">
        <f t="shared" si="93"/>
        <v>19585296</v>
      </c>
      <c r="J117" s="1058">
        <f t="shared" si="101"/>
        <v>34476757</v>
      </c>
      <c r="K117" s="1043">
        <f t="shared" si="101"/>
        <v>0</v>
      </c>
      <c r="L117" s="1057">
        <f t="shared" si="89"/>
        <v>34476757</v>
      </c>
      <c r="M117" s="1056">
        <f t="shared" si="94"/>
        <v>0</v>
      </c>
      <c r="N117" s="1030" t="s">
        <v>1481</v>
      </c>
      <c r="O117" s="1029">
        <f t="shared" si="105"/>
        <v>53204304</v>
      </c>
      <c r="P117" s="1028">
        <f t="shared" ref="P117:R118" si="107">+P12</f>
        <v>0</v>
      </c>
      <c r="Q117" s="1379">
        <f t="shared" si="107"/>
        <v>0</v>
      </c>
      <c r="R117" s="1027">
        <f t="shared" si="107"/>
        <v>19274556</v>
      </c>
      <c r="S117" s="1029">
        <f t="shared" si="106"/>
        <v>19274556</v>
      </c>
      <c r="T117" s="1028">
        <f>+T12</f>
        <v>33929748</v>
      </c>
      <c r="U117" s="1027"/>
      <c r="V117" s="1026">
        <f t="shared" si="91"/>
        <v>33929748</v>
      </c>
      <c r="W117" s="1025">
        <f t="shared" si="95"/>
        <v>0</v>
      </c>
      <c r="X117" s="1030" t="s">
        <v>1481</v>
      </c>
      <c r="Y117" s="1025">
        <f>+E12-K12</f>
        <v>54062053</v>
      </c>
      <c r="Z117" s="1056">
        <f>+'3条収入'!AH15</f>
        <v>841187</v>
      </c>
      <c r="AA117" s="1056">
        <f>+ROUND($AA$130*$Z117/$Z$130,0)</f>
        <v>8937</v>
      </c>
      <c r="AB117" s="1056">
        <f>+O117+Z117+AA117</f>
        <v>54054428</v>
      </c>
      <c r="AC117" s="1064">
        <f>Y117-AB117</f>
        <v>7625</v>
      </c>
      <c r="AD117" s="1128">
        <f>SUM(Z117:AA117,AC117)</f>
        <v>857749</v>
      </c>
      <c r="AE117" s="1061">
        <f t="shared" si="103"/>
        <v>0</v>
      </c>
      <c r="AF117" s="1380">
        <f t="shared" si="103"/>
        <v>0</v>
      </c>
      <c r="AG117" s="1043">
        <f t="shared" si="103"/>
        <v>310740</v>
      </c>
      <c r="AH117" s="1062">
        <f t="shared" si="96"/>
        <v>310740</v>
      </c>
      <c r="AI117" s="1058">
        <f t="shared" si="104"/>
        <v>547009</v>
      </c>
      <c r="AJ117" s="1043">
        <f t="shared" si="104"/>
        <v>0</v>
      </c>
      <c r="AK117" s="1057">
        <f t="shared" si="92"/>
        <v>547009</v>
      </c>
      <c r="AL117" s="1056">
        <f t="shared" si="97"/>
        <v>0</v>
      </c>
    </row>
    <row r="118" spans="4:38">
      <c r="D118" s="1056" t="s">
        <v>1479</v>
      </c>
      <c r="E118" s="1062">
        <f>+SUM(I118,L118)</f>
        <v>10483859</v>
      </c>
      <c r="F118" s="1061">
        <f t="shared" si="100"/>
        <v>0</v>
      </c>
      <c r="G118" s="1380">
        <f t="shared" si="100"/>
        <v>0</v>
      </c>
      <c r="H118" s="1043">
        <f t="shared" si="100"/>
        <v>10483859</v>
      </c>
      <c r="I118" s="1062">
        <f t="shared" si="93"/>
        <v>10483859</v>
      </c>
      <c r="J118" s="1058">
        <f t="shared" si="101"/>
        <v>0</v>
      </c>
      <c r="K118" s="1043">
        <f t="shared" si="101"/>
        <v>0</v>
      </c>
      <c r="L118" s="1057">
        <f t="shared" si="89"/>
        <v>0</v>
      </c>
      <c r="M118" s="1056">
        <f t="shared" si="94"/>
        <v>0</v>
      </c>
      <c r="N118" s="1056" t="s">
        <v>1479</v>
      </c>
      <c r="O118" s="1029">
        <f t="shared" si="105"/>
        <v>10396270</v>
      </c>
      <c r="P118" s="1028">
        <f t="shared" si="107"/>
        <v>0</v>
      </c>
      <c r="Q118" s="1380">
        <f t="shared" si="107"/>
        <v>0</v>
      </c>
      <c r="R118" s="1043">
        <f t="shared" si="107"/>
        <v>10396270</v>
      </c>
      <c r="S118" s="1062">
        <f t="shared" si="106"/>
        <v>10396270</v>
      </c>
      <c r="T118" s="1058">
        <f>+T13</f>
        <v>0</v>
      </c>
      <c r="U118" s="1043"/>
      <c r="V118" s="1057">
        <f t="shared" si="91"/>
        <v>0</v>
      </c>
      <c r="W118" s="1025">
        <f t="shared" si="95"/>
        <v>0</v>
      </c>
      <c r="X118" s="1056" t="s">
        <v>1479</v>
      </c>
      <c r="Y118" s="1025">
        <f>+E13-K13</f>
        <v>10483859</v>
      </c>
      <c r="Z118" s="1056">
        <f>+'3条収入'!AH16</f>
        <v>86858</v>
      </c>
      <c r="AA118" s="1056">
        <f>+ROUND($AA$130*$Z118/$Z$130,0)</f>
        <v>923</v>
      </c>
      <c r="AB118" s="1056">
        <f>+O118+Z118+AA118</f>
        <v>10484051</v>
      </c>
      <c r="AC118" s="1064">
        <f>Y118-AB118</f>
        <v>-192</v>
      </c>
      <c r="AD118" s="1128">
        <f>SUM(Z118:AA118,AC118)</f>
        <v>87589</v>
      </c>
      <c r="AE118" s="1061">
        <f t="shared" si="103"/>
        <v>0</v>
      </c>
      <c r="AF118" s="1380">
        <f t="shared" si="103"/>
        <v>0</v>
      </c>
      <c r="AG118" s="1043">
        <f t="shared" si="103"/>
        <v>87589</v>
      </c>
      <c r="AH118" s="1062">
        <f t="shared" si="96"/>
        <v>87589</v>
      </c>
      <c r="AI118" s="1058">
        <f t="shared" si="104"/>
        <v>0</v>
      </c>
      <c r="AJ118" s="1043">
        <f t="shared" si="104"/>
        <v>0</v>
      </c>
      <c r="AK118" s="1057">
        <f t="shared" si="92"/>
        <v>0</v>
      </c>
      <c r="AL118" s="1056">
        <f t="shared" si="97"/>
        <v>0</v>
      </c>
    </row>
    <row r="119" spans="4:38">
      <c r="D119" s="1056"/>
      <c r="E119" s="1059"/>
      <c r="F119" s="1061"/>
      <c r="G119" s="1380"/>
      <c r="H119" s="1043"/>
      <c r="I119" s="1062"/>
      <c r="J119" s="1058"/>
      <c r="K119" s="1043"/>
      <c r="L119" s="1057"/>
      <c r="M119" s="1056"/>
      <c r="N119" s="1056"/>
      <c r="O119" s="1029"/>
      <c r="P119" s="1028"/>
      <c r="Q119" s="1380"/>
      <c r="R119" s="1043"/>
      <c r="S119" s="1062"/>
      <c r="T119" s="1058"/>
      <c r="U119" s="1043"/>
      <c r="V119" s="1057"/>
      <c r="W119" s="1025"/>
      <c r="X119" s="1056"/>
      <c r="Y119" s="1025"/>
      <c r="Z119" s="1056"/>
      <c r="AA119" s="1056"/>
      <c r="AB119" s="1056"/>
      <c r="AC119" s="1064"/>
      <c r="AD119" s="1059"/>
      <c r="AE119" s="1061"/>
      <c r="AF119" s="1380"/>
      <c r="AG119" s="1043"/>
      <c r="AH119" s="1062"/>
      <c r="AI119" s="1058"/>
      <c r="AJ119" s="1043"/>
      <c r="AK119" s="1057"/>
      <c r="AL119" s="1056"/>
    </row>
    <row r="120" spans="4:38">
      <c r="D120" s="1056" t="s">
        <v>1477</v>
      </c>
      <c r="E120" s="1059">
        <f>+SUM(E121,E126)</f>
        <v>9203253</v>
      </c>
      <c r="F120" s="1058">
        <f>+SUM(F121,F126)</f>
        <v>0</v>
      </c>
      <c r="G120" s="1380">
        <f>+SUM(G121,G126)</f>
        <v>0</v>
      </c>
      <c r="H120" s="1043">
        <f>+SUM(H121,H126)</f>
        <v>9198273</v>
      </c>
      <c r="I120" s="1062">
        <f t="shared" si="93"/>
        <v>9198273</v>
      </c>
      <c r="J120" s="1058">
        <f>+SUM(J121,J126)</f>
        <v>0</v>
      </c>
      <c r="K120" s="1043">
        <f>+SUM(K121,K126)</f>
        <v>4980</v>
      </c>
      <c r="L120" s="1057">
        <f t="shared" si="89"/>
        <v>4980</v>
      </c>
      <c r="M120" s="1056">
        <f t="shared" si="94"/>
        <v>0</v>
      </c>
      <c r="N120" s="1056" t="s">
        <v>1477</v>
      </c>
      <c r="O120" s="1062">
        <f>+SUM(O121,O126)</f>
        <v>8715204</v>
      </c>
      <c r="P120" s="1058">
        <f>+SUM(P121,P126)</f>
        <v>0</v>
      </c>
      <c r="Q120" s="1380">
        <f>+SUM(Q121,Q126)</f>
        <v>0</v>
      </c>
      <c r="R120" s="1043">
        <f>+SUM(R121,R126)</f>
        <v>8710224</v>
      </c>
      <c r="S120" s="1062">
        <f>+SUM(P120:R120)</f>
        <v>8710224</v>
      </c>
      <c r="T120" s="1058">
        <f>+SUM(T121,T126)</f>
        <v>0</v>
      </c>
      <c r="U120" s="1043">
        <f>+SUM(U121,U126)</f>
        <v>4980</v>
      </c>
      <c r="V120" s="1057">
        <f t="shared" si="91"/>
        <v>4980</v>
      </c>
      <c r="W120" s="1025">
        <f t="shared" si="95"/>
        <v>0</v>
      </c>
      <c r="X120" s="1056" t="s">
        <v>1477</v>
      </c>
      <c r="Y120" s="1056">
        <f>+SUM(Y121,Y126)</f>
        <v>9203253</v>
      </c>
      <c r="Z120" s="1056">
        <f>+SUM(Z121,Z126)</f>
        <v>488049</v>
      </c>
      <c r="AA120" s="1056">
        <f>+SUM(AA121,AA126)</f>
        <v>5185</v>
      </c>
      <c r="AB120" s="1056">
        <f t="shared" ref="AB120:AB126" si="108">+O120+Z120+AA120</f>
        <v>9208438</v>
      </c>
      <c r="AC120" s="1056">
        <f>+SUM(AC121,AC126)</f>
        <v>-5185</v>
      </c>
      <c r="AD120" s="1059">
        <f>+SUM(AD121,AD126)</f>
        <v>488049</v>
      </c>
      <c r="AE120" s="1058">
        <f>+SUM(AE121,AE126)</f>
        <v>0</v>
      </c>
      <c r="AF120" s="1380">
        <f>+SUM(AF121,AF126)</f>
        <v>0</v>
      </c>
      <c r="AG120" s="1043">
        <f>+SUM(AG121,AG126)</f>
        <v>488049</v>
      </c>
      <c r="AH120" s="1062">
        <f t="shared" si="96"/>
        <v>488049</v>
      </c>
      <c r="AI120" s="1058">
        <f>+SUM(AI121,AI126)</f>
        <v>0</v>
      </c>
      <c r="AJ120" s="1043">
        <f>+SUM(AJ121,AJ126)</f>
        <v>0</v>
      </c>
      <c r="AK120" s="1057">
        <f t="shared" si="92"/>
        <v>0</v>
      </c>
      <c r="AL120" s="1056">
        <f t="shared" si="97"/>
        <v>0</v>
      </c>
    </row>
    <row r="121" spans="4:38">
      <c r="D121" s="1056" t="s">
        <v>1475</v>
      </c>
      <c r="E121" s="1059">
        <f>+SUM(E122:E125)</f>
        <v>4980</v>
      </c>
      <c r="F121" s="1058">
        <f>+SUM(F122:F125)</f>
        <v>0</v>
      </c>
      <c r="G121" s="1380">
        <f>+SUM(G122:G125)</f>
        <v>0</v>
      </c>
      <c r="H121" s="1043">
        <f>+SUM(H122:H125)</f>
        <v>0</v>
      </c>
      <c r="I121" s="1062">
        <f t="shared" si="93"/>
        <v>0</v>
      </c>
      <c r="J121" s="1058">
        <f>+SUM(J122:J125)</f>
        <v>0</v>
      </c>
      <c r="K121" s="1043">
        <f>+SUM(K122:K125)</f>
        <v>4980</v>
      </c>
      <c r="L121" s="1057">
        <f t="shared" si="89"/>
        <v>4980</v>
      </c>
      <c r="M121" s="1056">
        <f t="shared" si="94"/>
        <v>0</v>
      </c>
      <c r="N121" s="1056" t="s">
        <v>1475</v>
      </c>
      <c r="O121" s="1062">
        <f>+SUM(O122:O125)</f>
        <v>4980</v>
      </c>
      <c r="P121" s="1058">
        <f>+SUM(P122:P125)</f>
        <v>0</v>
      </c>
      <c r="Q121" s="1380">
        <f>+SUM(Q122:Q125)</f>
        <v>0</v>
      </c>
      <c r="R121" s="1043">
        <f>+SUM(R122:R125)</f>
        <v>0</v>
      </c>
      <c r="S121" s="1062">
        <f>+SUM(P121:R121)</f>
        <v>0</v>
      </c>
      <c r="T121" s="1058">
        <f>+SUM(T122:T125)</f>
        <v>0</v>
      </c>
      <c r="U121" s="1043">
        <f>+SUM(U122:U125)</f>
        <v>4980</v>
      </c>
      <c r="V121" s="1057">
        <f t="shared" si="91"/>
        <v>4980</v>
      </c>
      <c r="W121" s="1025">
        <f t="shared" si="95"/>
        <v>0</v>
      </c>
      <c r="X121" s="1056" t="s">
        <v>1475</v>
      </c>
      <c r="Y121" s="1056">
        <f>+SUM(Y122:Y125)</f>
        <v>4980</v>
      </c>
      <c r="Z121" s="1056">
        <f>+SUM(Z122:Z125)</f>
        <v>0</v>
      </c>
      <c r="AA121" s="1056">
        <f>+SUM(AA122:AA125)</f>
        <v>0</v>
      </c>
      <c r="AB121" s="1056">
        <f t="shared" si="108"/>
        <v>4980</v>
      </c>
      <c r="AC121" s="1056">
        <f>+SUM(AC122:AC125)</f>
        <v>0</v>
      </c>
      <c r="AD121" s="1059">
        <f>+SUM(AD122:AD125)</f>
        <v>0</v>
      </c>
      <c r="AE121" s="1058">
        <f>+SUM(AE122:AE125)</f>
        <v>0</v>
      </c>
      <c r="AF121" s="1380">
        <f>+SUM(AF122:AF125)</f>
        <v>0</v>
      </c>
      <c r="AG121" s="1043">
        <f>+SUM(AG122:AG125)</f>
        <v>0</v>
      </c>
      <c r="AH121" s="1062">
        <f t="shared" si="96"/>
        <v>0</v>
      </c>
      <c r="AI121" s="1058">
        <f>+SUM(AI122:AI125)</f>
        <v>0</v>
      </c>
      <c r="AJ121" s="1043">
        <f>+SUM(AJ122:AJ125)</f>
        <v>0</v>
      </c>
      <c r="AK121" s="1057">
        <f t="shared" si="92"/>
        <v>0</v>
      </c>
      <c r="AL121" s="1056">
        <f t="shared" si="97"/>
        <v>0</v>
      </c>
    </row>
    <row r="122" spans="4:38">
      <c r="D122" s="1030" t="s">
        <v>1472</v>
      </c>
      <c r="E122" s="1062">
        <f>+SUM(I122,L122)</f>
        <v>0</v>
      </c>
      <c r="F122" s="1058">
        <f t="shared" ref="F122:H126" si="109">+P122+AE122</f>
        <v>0</v>
      </c>
      <c r="G122" s="1380">
        <f t="shared" si="109"/>
        <v>0</v>
      </c>
      <c r="H122" s="1043">
        <f t="shared" si="109"/>
        <v>0</v>
      </c>
      <c r="I122" s="1062">
        <f t="shared" si="93"/>
        <v>0</v>
      </c>
      <c r="J122" s="1058">
        <f>+T122+AI122</f>
        <v>0</v>
      </c>
      <c r="K122" s="1065">
        <f>+U122+AJ122+IF(SUM(U131:U133,-U125)&gt;=0,U111+AJ111,U111+AJ111+AJ135+AJ137)</f>
        <v>0</v>
      </c>
      <c r="L122" s="1057">
        <f t="shared" si="89"/>
        <v>0</v>
      </c>
      <c r="M122" s="1056">
        <f t="shared" si="94"/>
        <v>0</v>
      </c>
      <c r="N122" s="1030" t="s">
        <v>1472</v>
      </c>
      <c r="O122" s="1029">
        <f t="shared" ref="O122:O126" si="110">+SUM(S122,V122)</f>
        <v>0</v>
      </c>
      <c r="P122" s="1028"/>
      <c r="Q122" s="1379"/>
      <c r="R122" s="1027"/>
      <c r="S122" s="1029">
        <f>+SUM(P122:R122)</f>
        <v>0</v>
      </c>
      <c r="T122" s="1028"/>
      <c r="U122" s="1065">
        <f>-IF($U$134=0,0,IF($U$131&gt;0,0,U131))</f>
        <v>0</v>
      </c>
      <c r="V122" s="1026">
        <f t="shared" si="91"/>
        <v>0</v>
      </c>
      <c r="W122" s="1025">
        <f t="shared" si="95"/>
        <v>0</v>
      </c>
      <c r="X122" s="1030" t="s">
        <v>1472</v>
      </c>
      <c r="Y122" s="1064">
        <f>-IF($Y$141=0,0,IF($Y$138&gt;0,0,Y138))</f>
        <v>0</v>
      </c>
      <c r="Z122" s="1056">
        <f>+'3条収入'!AH44</f>
        <v>0</v>
      </c>
      <c r="AA122" s="1056">
        <f>+ROUND($AA$130*$Z122/$Z$130,0)</f>
        <v>0</v>
      </c>
      <c r="AB122" s="1056">
        <f t="shared" si="108"/>
        <v>0</v>
      </c>
      <c r="AC122" s="1056">
        <f>+IF((Y122-AB122)&lt;0,(Y122-AB122),0)</f>
        <v>0</v>
      </c>
      <c r="AD122" s="1059">
        <f>+IF(AC122&lt;0,SUM(Z122:AA122,AC122),SUM(Z122:AA122))</f>
        <v>0</v>
      </c>
      <c r="AE122" s="1061">
        <f t="shared" ref="AE122:AG126" si="111">+IFERROR(ROUND($AD122*P122/$O122,0),0)</f>
        <v>0</v>
      </c>
      <c r="AF122" s="1380">
        <f t="shared" si="111"/>
        <v>0</v>
      </c>
      <c r="AG122" s="1043">
        <f t="shared" si="111"/>
        <v>0</v>
      </c>
      <c r="AH122" s="1062">
        <f t="shared" si="96"/>
        <v>0</v>
      </c>
      <c r="AI122" s="1058">
        <f t="shared" ref="AI122:AJ126" si="112">+IFERROR(ROUND($AD122*T122/$O122,0),0)</f>
        <v>0</v>
      </c>
      <c r="AJ122" s="1043">
        <f t="shared" si="112"/>
        <v>0</v>
      </c>
      <c r="AK122" s="1057">
        <f t="shared" si="92"/>
        <v>0</v>
      </c>
      <c r="AL122" s="1056">
        <f t="shared" si="97"/>
        <v>0</v>
      </c>
    </row>
    <row r="123" spans="4:38">
      <c r="D123" s="1030" t="s">
        <v>1470</v>
      </c>
      <c r="E123" s="1062">
        <f>+SUM(I123,L123)</f>
        <v>0</v>
      </c>
      <c r="F123" s="1058">
        <f t="shared" si="109"/>
        <v>0</v>
      </c>
      <c r="G123" s="1380">
        <f t="shared" si="109"/>
        <v>0</v>
      </c>
      <c r="H123" s="1043">
        <f t="shared" si="109"/>
        <v>0</v>
      </c>
      <c r="I123" s="1062">
        <f t="shared" si="93"/>
        <v>0</v>
      </c>
      <c r="J123" s="1058">
        <f>+T123+AI123</f>
        <v>0</v>
      </c>
      <c r="K123" s="1065">
        <f>+U123+AJ123</f>
        <v>0</v>
      </c>
      <c r="L123" s="1057">
        <f t="shared" si="89"/>
        <v>0</v>
      </c>
      <c r="M123" s="1056">
        <f t="shared" si="94"/>
        <v>0</v>
      </c>
      <c r="N123" s="1030" t="s">
        <v>1470</v>
      </c>
      <c r="O123" s="1029">
        <f t="shared" si="110"/>
        <v>0</v>
      </c>
      <c r="P123" s="1028"/>
      <c r="Q123" s="1379"/>
      <c r="R123" s="1027"/>
      <c r="S123" s="1029">
        <f>+SUM(P123:Q123)</f>
        <v>0</v>
      </c>
      <c r="T123" s="1028"/>
      <c r="U123" s="1065">
        <f>-IF($U$134=0,0,IF($U$131&gt;0,ROUND($U$134*U132/($U$132+$U$133),0),U132))</f>
        <v>0</v>
      </c>
      <c r="V123" s="1026">
        <f t="shared" si="91"/>
        <v>0</v>
      </c>
      <c r="W123" s="1025">
        <f t="shared" si="95"/>
        <v>0</v>
      </c>
      <c r="X123" s="1030" t="s">
        <v>1470</v>
      </c>
      <c r="Y123" s="1064">
        <f>-IF($Y$141=0,0,IF($Y$138&gt;0,ROUND($Y$141*Y139/($Y$139+$Y$140),0),Y139))</f>
        <v>0</v>
      </c>
      <c r="Z123" s="1056">
        <f>+'3条収入'!AH45</f>
        <v>0</v>
      </c>
      <c r="AA123" s="1056">
        <f>+ROUND($AA$130*$Z123/$Z$130,0)</f>
        <v>0</v>
      </c>
      <c r="AB123" s="1056">
        <f t="shared" si="108"/>
        <v>0</v>
      </c>
      <c r="AC123" s="1064"/>
      <c r="AD123" s="1059">
        <f>+IF(AC123&lt;0,SUM(Z123:AA123,AC123),SUM(Z123:AA123))</f>
        <v>0</v>
      </c>
      <c r="AE123" s="1061">
        <f t="shared" si="111"/>
        <v>0</v>
      </c>
      <c r="AF123" s="1380">
        <f t="shared" si="111"/>
        <v>0</v>
      </c>
      <c r="AG123" s="1043">
        <f t="shared" si="111"/>
        <v>0</v>
      </c>
      <c r="AH123" s="1062">
        <f t="shared" si="96"/>
        <v>0</v>
      </c>
      <c r="AI123" s="1058">
        <f t="shared" si="112"/>
        <v>0</v>
      </c>
      <c r="AJ123" s="1043">
        <f t="shared" si="112"/>
        <v>0</v>
      </c>
      <c r="AK123" s="1057">
        <f t="shared" si="92"/>
        <v>0</v>
      </c>
      <c r="AL123" s="1056">
        <f t="shared" si="97"/>
        <v>0</v>
      </c>
    </row>
    <row r="124" spans="4:38">
      <c r="D124" s="1030" t="s">
        <v>1469</v>
      </c>
      <c r="E124" s="1062">
        <f>+SUM(I124,L124)</f>
        <v>0</v>
      </c>
      <c r="F124" s="1058">
        <f t="shared" si="109"/>
        <v>0</v>
      </c>
      <c r="G124" s="1380">
        <f t="shared" si="109"/>
        <v>0</v>
      </c>
      <c r="H124" s="1043">
        <f t="shared" si="109"/>
        <v>0</v>
      </c>
      <c r="I124" s="1062">
        <f t="shared" si="93"/>
        <v>0</v>
      </c>
      <c r="J124" s="1058">
        <f>+T124+AI124</f>
        <v>0</v>
      </c>
      <c r="K124" s="1065">
        <f>+U124+AJ124</f>
        <v>0</v>
      </c>
      <c r="L124" s="1057">
        <f t="shared" si="89"/>
        <v>0</v>
      </c>
      <c r="M124" s="1056">
        <f t="shared" si="94"/>
        <v>0</v>
      </c>
      <c r="N124" s="1030" t="s">
        <v>1469</v>
      </c>
      <c r="O124" s="1029">
        <f t="shared" si="110"/>
        <v>0</v>
      </c>
      <c r="P124" s="1058"/>
      <c r="Q124" s="1380"/>
      <c r="R124" s="1027"/>
      <c r="S124" s="1029">
        <f>+SUM(P124:Q124)</f>
        <v>0</v>
      </c>
      <c r="T124" s="1028"/>
      <c r="U124" s="1065">
        <f>-IF($U$134=0,0,IF($U$131&gt;0,U134+U123,U133))</f>
        <v>0</v>
      </c>
      <c r="V124" s="1026">
        <f t="shared" si="91"/>
        <v>0</v>
      </c>
      <c r="W124" s="1025">
        <f t="shared" si="95"/>
        <v>0</v>
      </c>
      <c r="X124" s="1030" t="s">
        <v>1469</v>
      </c>
      <c r="Y124" s="1064">
        <f>-IF($Y$141=0,0,IF($Y$138&gt;0,Y141+Y123,Y140))</f>
        <v>0</v>
      </c>
      <c r="Z124" s="1056">
        <f>+'3条収入'!AH46</f>
        <v>0</v>
      </c>
      <c r="AA124" s="1056">
        <f>+ROUND($AA$130*$Z124/$Z$130,0)</f>
        <v>0</v>
      </c>
      <c r="AB124" s="1056">
        <f t="shared" si="108"/>
        <v>0</v>
      </c>
      <c r="AC124" s="1064"/>
      <c r="AD124" s="1059">
        <f>+IF(AC124&lt;0,SUM(Z124:AA124,AC124),SUM(Z124:AA124))</f>
        <v>0</v>
      </c>
      <c r="AE124" s="1061">
        <f t="shared" si="111"/>
        <v>0</v>
      </c>
      <c r="AF124" s="1380">
        <f t="shared" si="111"/>
        <v>0</v>
      </c>
      <c r="AG124" s="1043">
        <f t="shared" si="111"/>
        <v>0</v>
      </c>
      <c r="AH124" s="1062">
        <f t="shared" si="96"/>
        <v>0</v>
      </c>
      <c r="AI124" s="1058">
        <f t="shared" si="112"/>
        <v>0</v>
      </c>
      <c r="AJ124" s="1043">
        <f t="shared" si="112"/>
        <v>0</v>
      </c>
      <c r="AK124" s="1057">
        <f t="shared" si="92"/>
        <v>0</v>
      </c>
      <c r="AL124" s="1056">
        <f t="shared" si="97"/>
        <v>0</v>
      </c>
    </row>
    <row r="125" spans="4:38">
      <c r="D125" s="1030" t="s">
        <v>1466</v>
      </c>
      <c r="E125" s="1062">
        <f>+SUM(I125,L125)</f>
        <v>4980</v>
      </c>
      <c r="F125" s="1058">
        <f t="shared" si="109"/>
        <v>0</v>
      </c>
      <c r="G125" s="1380">
        <f t="shared" si="109"/>
        <v>0</v>
      </c>
      <c r="H125" s="1043">
        <f t="shared" si="109"/>
        <v>0</v>
      </c>
      <c r="I125" s="1062">
        <f t="shared" si="93"/>
        <v>0</v>
      </c>
      <c r="J125" s="1058">
        <f>+T125+AI125</f>
        <v>0</v>
      </c>
      <c r="K125" s="1043">
        <f>+U125+AJ125</f>
        <v>4980</v>
      </c>
      <c r="L125" s="1057">
        <f t="shared" si="89"/>
        <v>4980</v>
      </c>
      <c r="M125" s="1056">
        <f t="shared" si="94"/>
        <v>0</v>
      </c>
      <c r="N125" s="1030" t="s">
        <v>1466</v>
      </c>
      <c r="O125" s="1029">
        <f t="shared" si="110"/>
        <v>4980</v>
      </c>
      <c r="P125" s="1028"/>
      <c r="Q125" s="1379"/>
      <c r="R125" s="1027"/>
      <c r="S125" s="1029">
        <f>+SUM(P125:R125)</f>
        <v>0</v>
      </c>
      <c r="T125" s="1028"/>
      <c r="U125" s="1399">
        <f>+'3条収入'!V47</f>
        <v>4980</v>
      </c>
      <c r="V125" s="1026">
        <f>+SUM(T125:U125)</f>
        <v>4980</v>
      </c>
      <c r="W125" s="1025">
        <f t="shared" si="95"/>
        <v>0</v>
      </c>
      <c r="X125" s="1030" t="s">
        <v>1466</v>
      </c>
      <c r="Y125" s="1035">
        <f>+O125</f>
        <v>4980</v>
      </c>
      <c r="Z125" s="1056">
        <f>+'3条収入'!AH47</f>
        <v>0</v>
      </c>
      <c r="AA125" s="1056">
        <f>+ROUND($AA$130*$Z125/$Z$130,0)</f>
        <v>0</v>
      </c>
      <c r="AB125" s="1056">
        <f t="shared" si="108"/>
        <v>4980</v>
      </c>
      <c r="AC125" s="1056">
        <f>+IF((Y125-AB125)&lt;0,(Y125-AB125),0)</f>
        <v>0</v>
      </c>
      <c r="AD125" s="1059">
        <f>+IF(AC125&lt;0,SUM(Z125:AA125,AC125),SUM(Z125:AA125))</f>
        <v>0</v>
      </c>
      <c r="AE125" s="1061">
        <f t="shared" si="111"/>
        <v>0</v>
      </c>
      <c r="AF125" s="1380">
        <f t="shared" si="111"/>
        <v>0</v>
      </c>
      <c r="AG125" s="1043">
        <f t="shared" si="111"/>
        <v>0</v>
      </c>
      <c r="AH125" s="1062">
        <f t="shared" si="96"/>
        <v>0</v>
      </c>
      <c r="AI125" s="1058">
        <f t="shared" si="112"/>
        <v>0</v>
      </c>
      <c r="AJ125" s="1043">
        <f t="shared" si="112"/>
        <v>0</v>
      </c>
      <c r="AK125" s="1057">
        <f t="shared" si="92"/>
        <v>0</v>
      </c>
      <c r="AL125" s="1056">
        <f t="shared" si="97"/>
        <v>0</v>
      </c>
    </row>
    <row r="126" spans="4:38">
      <c r="D126" s="1030" t="s">
        <v>1464</v>
      </c>
      <c r="E126" s="1059">
        <f>+SUM(I126,L126)</f>
        <v>9198273</v>
      </c>
      <c r="F126" s="1058">
        <f t="shared" si="109"/>
        <v>0</v>
      </c>
      <c r="G126" s="1380">
        <f t="shared" si="109"/>
        <v>0</v>
      </c>
      <c r="H126" s="1043">
        <f t="shared" si="109"/>
        <v>9198273</v>
      </c>
      <c r="I126" s="1062">
        <f t="shared" si="93"/>
        <v>9198273</v>
      </c>
      <c r="J126" s="1058">
        <f>+T126+AI126</f>
        <v>0</v>
      </c>
      <c r="K126" s="1043">
        <f>+U126+AJ126</f>
        <v>0</v>
      </c>
      <c r="L126" s="1057">
        <f t="shared" si="89"/>
        <v>0</v>
      </c>
      <c r="M126" s="1056">
        <f t="shared" si="94"/>
        <v>0</v>
      </c>
      <c r="N126" s="1030" t="s">
        <v>1464</v>
      </c>
      <c r="O126" s="1029">
        <f t="shared" si="110"/>
        <v>8710224</v>
      </c>
      <c r="P126" s="1028">
        <f>+P24</f>
        <v>0</v>
      </c>
      <c r="Q126" s="1379">
        <f>+Q24</f>
        <v>0</v>
      </c>
      <c r="R126" s="1036">
        <f>+R24</f>
        <v>8710224</v>
      </c>
      <c r="S126" s="1029">
        <f>+SUM(P126:R126)</f>
        <v>8710224</v>
      </c>
      <c r="T126" s="1028">
        <f>+T24</f>
        <v>0</v>
      </c>
      <c r="U126" s="1027"/>
      <c r="V126" s="1026">
        <f>+SUM(T126:U126)</f>
        <v>0</v>
      </c>
      <c r="W126" s="1025">
        <f t="shared" si="95"/>
        <v>0</v>
      </c>
      <c r="X126" s="1030" t="s">
        <v>1464</v>
      </c>
      <c r="Y126" s="1025">
        <f>+E24</f>
        <v>9198273</v>
      </c>
      <c r="Z126" s="1056">
        <f>+'3条収入'!AH48</f>
        <v>488049</v>
      </c>
      <c r="AA126" s="1056">
        <f>+ROUND($AA$130*$Z126/$Z$130,0)</f>
        <v>5185</v>
      </c>
      <c r="AB126" s="1056">
        <f t="shared" si="108"/>
        <v>9203458</v>
      </c>
      <c r="AC126" s="1064">
        <f>Y126-AB126</f>
        <v>-5185</v>
      </c>
      <c r="AD126" s="1128">
        <f>SUM(Z126:AA126,AC126)</f>
        <v>488049</v>
      </c>
      <c r="AE126" s="1061">
        <f t="shared" si="111"/>
        <v>0</v>
      </c>
      <c r="AF126" s="1380">
        <f t="shared" si="111"/>
        <v>0</v>
      </c>
      <c r="AG126" s="1043">
        <f t="shared" si="111"/>
        <v>488049</v>
      </c>
      <c r="AH126" s="1062">
        <f t="shared" si="96"/>
        <v>488049</v>
      </c>
      <c r="AI126" s="1058">
        <f t="shared" si="112"/>
        <v>0</v>
      </c>
      <c r="AJ126" s="1043">
        <f t="shared" si="112"/>
        <v>0</v>
      </c>
      <c r="AK126" s="1057">
        <f t="shared" si="92"/>
        <v>0</v>
      </c>
      <c r="AL126" s="1056">
        <f t="shared" si="97"/>
        <v>0</v>
      </c>
    </row>
    <row r="127" spans="4:38">
      <c r="D127" s="1030"/>
      <c r="E127" s="1059"/>
      <c r="F127" s="1058"/>
      <c r="G127" s="1380"/>
      <c r="H127" s="1043"/>
      <c r="I127" s="1062"/>
      <c r="J127" s="1058"/>
      <c r="K127" s="1043"/>
      <c r="L127" s="1057"/>
      <c r="M127" s="1056"/>
      <c r="N127" s="1030"/>
      <c r="O127" s="1029"/>
      <c r="P127" s="1028"/>
      <c r="Q127" s="1379"/>
      <c r="R127" s="1027"/>
      <c r="S127" s="1029"/>
      <c r="T127" s="1028"/>
      <c r="U127" s="1027"/>
      <c r="V127" s="1026"/>
      <c r="W127" s="1025"/>
      <c r="X127" s="1030"/>
      <c r="Y127" s="1032"/>
      <c r="Z127" s="1056"/>
      <c r="AA127" s="1056"/>
      <c r="AB127" s="1056"/>
      <c r="AC127" s="1064"/>
      <c r="AD127" s="1059"/>
      <c r="AE127" s="1061"/>
      <c r="AF127" s="1380"/>
      <c r="AG127" s="1043"/>
      <c r="AH127" s="1062"/>
      <c r="AI127" s="1058"/>
      <c r="AJ127" s="1043"/>
      <c r="AK127" s="1057"/>
      <c r="AL127" s="1056"/>
    </row>
    <row r="128" spans="4:38">
      <c r="D128" s="1030"/>
      <c r="E128" s="1059"/>
      <c r="F128" s="1058"/>
      <c r="G128" s="1380"/>
      <c r="H128" s="1043"/>
      <c r="I128" s="1062"/>
      <c r="J128" s="1058"/>
      <c r="K128" s="1043"/>
      <c r="L128" s="1057"/>
      <c r="M128" s="1056"/>
      <c r="N128" s="1030"/>
      <c r="O128" s="1029"/>
      <c r="P128" s="1028"/>
      <c r="Q128" s="1379"/>
      <c r="R128" s="1027"/>
      <c r="S128" s="1029"/>
      <c r="T128" s="1028"/>
      <c r="U128" s="1027"/>
      <c r="V128" s="1026"/>
      <c r="W128" s="1025"/>
      <c r="X128" s="1453" t="s">
        <v>1528</v>
      </c>
      <c r="Y128" s="1454"/>
      <c r="Z128" s="1056">
        <f>+AJ133</f>
        <v>12606</v>
      </c>
      <c r="AA128" s="1056">
        <f>+AJ134</f>
        <v>134</v>
      </c>
      <c r="AB128" s="1056">
        <f>+Z128+AA128</f>
        <v>12740</v>
      </c>
      <c r="AC128" s="1056"/>
      <c r="AD128" s="1059">
        <f>SUM(Z128:AA128,AC128)</f>
        <v>12740</v>
      </c>
      <c r="AE128" s="1061"/>
      <c r="AF128" s="1380"/>
      <c r="AG128" s="1043"/>
      <c r="AH128" s="1062">
        <f t="shared" si="96"/>
        <v>0</v>
      </c>
      <c r="AI128" s="1058"/>
      <c r="AJ128" s="1065">
        <f t="shared" ref="AJ128" si="113">+AD128-AH128-AI128</f>
        <v>12740</v>
      </c>
      <c r="AK128" s="1057">
        <f t="shared" si="92"/>
        <v>12740</v>
      </c>
      <c r="AL128" s="1056">
        <f t="shared" si="97"/>
        <v>0</v>
      </c>
    </row>
    <row r="129" spans="4:38" ht="14.25" thickBot="1">
      <c r="D129" s="1020"/>
      <c r="E129" s="1455"/>
      <c r="F129" s="1456"/>
      <c r="G129" s="1457"/>
      <c r="H129" s="1458"/>
      <c r="I129" s="1459"/>
      <c r="J129" s="1456"/>
      <c r="K129" s="1458"/>
      <c r="L129" s="1460"/>
      <c r="M129" s="1461"/>
      <c r="N129" s="1020"/>
      <c r="O129" s="1019"/>
      <c r="P129" s="1018"/>
      <c r="Q129" s="1403"/>
      <c r="R129" s="1017"/>
      <c r="S129" s="1019"/>
      <c r="T129" s="1018"/>
      <c r="U129" s="1017"/>
      <c r="V129" s="1131"/>
      <c r="W129" s="1015"/>
      <c r="X129" s="1462"/>
      <c r="Y129" s="1463"/>
      <c r="Z129" s="1461"/>
      <c r="AA129" s="1461"/>
      <c r="AB129" s="1461"/>
      <c r="AC129" s="1461"/>
      <c r="AD129" s="1455"/>
      <c r="AE129" s="1464"/>
      <c r="AF129" s="1457"/>
      <c r="AG129" s="1458"/>
      <c r="AH129" s="1459"/>
      <c r="AI129" s="1456"/>
      <c r="AJ129" s="1458"/>
      <c r="AK129" s="1460"/>
      <c r="AL129" s="1461"/>
    </row>
    <row r="130" spans="4:38" ht="14.25" thickTop="1">
      <c r="D130" s="1012" t="s">
        <v>1430</v>
      </c>
      <c r="E130" s="1055">
        <f t="shared" ref="E130:M130" si="114">+SUM(E109,E120)</f>
        <v>15893566137</v>
      </c>
      <c r="F130" s="1054">
        <f t="shared" si="114"/>
        <v>14072961573</v>
      </c>
      <c r="G130" s="1384">
        <f t="shared" si="114"/>
        <v>692889463</v>
      </c>
      <c r="H130" s="1053">
        <f>+SUM(H109,H120)</f>
        <v>813125386</v>
      </c>
      <c r="I130" s="1394">
        <f t="shared" si="114"/>
        <v>15578976422</v>
      </c>
      <c r="J130" s="1054">
        <f t="shared" si="114"/>
        <v>314584735</v>
      </c>
      <c r="K130" s="1053">
        <f t="shared" si="114"/>
        <v>4980</v>
      </c>
      <c r="L130" s="1052">
        <f t="shared" si="114"/>
        <v>314589715</v>
      </c>
      <c r="M130" s="1051">
        <f t="shared" si="114"/>
        <v>0</v>
      </c>
      <c r="N130" s="1012" t="s">
        <v>1430</v>
      </c>
      <c r="O130" s="1130">
        <f t="shared" ref="O130:W130" si="115">+SUM(O109,O120)</f>
        <v>15681092029</v>
      </c>
      <c r="P130" s="1010">
        <f t="shared" si="115"/>
        <v>13677572777</v>
      </c>
      <c r="Q130" s="1381">
        <f t="shared" si="115"/>
        <v>329946410</v>
      </c>
      <c r="R130" s="1009">
        <f t="shared" si="115"/>
        <v>409117714</v>
      </c>
      <c r="S130" s="1391">
        <f t="shared" si="115"/>
        <v>14416636901</v>
      </c>
      <c r="T130" s="1010">
        <f t="shared" si="115"/>
        <v>1264450148</v>
      </c>
      <c r="U130" s="1009">
        <f t="shared" si="115"/>
        <v>4980</v>
      </c>
      <c r="V130" s="1008">
        <f t="shared" si="115"/>
        <v>1264455128</v>
      </c>
      <c r="W130" s="1006">
        <f t="shared" si="115"/>
        <v>0</v>
      </c>
      <c r="X130" s="1012" t="s">
        <v>1430</v>
      </c>
      <c r="Y130" s="1007">
        <f>+SUM(Y109,Y120)</f>
        <v>12965358961</v>
      </c>
      <c r="Z130" s="1126">
        <f>+営外!T17</f>
        <v>210253123</v>
      </c>
      <c r="AA130" s="1126">
        <f>+営外!T18</f>
        <v>2233725</v>
      </c>
      <c r="AB130" s="1007">
        <f>+SUM(AB109,AB120,AB128)</f>
        <v>15893578877</v>
      </c>
      <c r="AC130" s="1007">
        <f>+SUM(AC109,AC120,AC128)</f>
        <v>0</v>
      </c>
      <c r="AD130" s="1055">
        <f>+Z130+AA130</f>
        <v>212486848</v>
      </c>
      <c r="AE130" s="1054">
        <f>+SUM(AE109,AE120,AE128)</f>
        <v>395388796</v>
      </c>
      <c r="AF130" s="1384">
        <f>+SUM(AF109,AF120,AF128)</f>
        <v>362943053</v>
      </c>
      <c r="AG130" s="1053">
        <f>+SUM(AG109,AG120,AG128)</f>
        <v>404007672</v>
      </c>
      <c r="AH130" s="1394">
        <f>+SUM(AH109,AH120)</f>
        <v>1162339521</v>
      </c>
      <c r="AI130" s="1054">
        <f>+SUM(AI109,AI120,AI128)</f>
        <v>-949865413</v>
      </c>
      <c r="AJ130" s="1053">
        <f>+SUM(AJ109,AJ120,AJ128)</f>
        <v>12740</v>
      </c>
      <c r="AK130" s="1052">
        <f>+SUM(AK109,AK120)</f>
        <v>-949865413</v>
      </c>
      <c r="AL130" s="1051">
        <f>+SUM(AL109,AL120)</f>
        <v>0</v>
      </c>
    </row>
    <row r="131" spans="4:38">
      <c r="D131" s="991"/>
      <c r="E131" s="994"/>
      <c r="H131" s="991"/>
      <c r="I131" s="993"/>
      <c r="J131" s="994" t="s">
        <v>1459</v>
      </c>
      <c r="K131" s="993">
        <f>AJ97-AJ46-K132-K133+K120+K111</f>
        <v>10812144316</v>
      </c>
      <c r="L131" s="994"/>
      <c r="M131" s="990"/>
      <c r="O131" s="1438"/>
      <c r="P131" s="1438"/>
      <c r="R131" s="994"/>
      <c r="T131" s="994" t="s">
        <v>1459</v>
      </c>
      <c r="U131" s="993">
        <f>U97-U46-U132-U133+U125</f>
        <v>10810276491</v>
      </c>
      <c r="V131" s="994"/>
      <c r="W131" s="994"/>
      <c r="X131" s="1366" t="s">
        <v>1793</v>
      </c>
      <c r="Y131" s="1366"/>
      <c r="Z131" s="996">
        <f t="shared" ref="Z131:AG131" si="116">+Z130-Z128</f>
        <v>210240517</v>
      </c>
      <c r="AA131" s="996">
        <f t="shared" si="116"/>
        <v>2233591</v>
      </c>
      <c r="AB131" s="996">
        <f t="shared" si="116"/>
        <v>15893566137</v>
      </c>
      <c r="AC131" s="996">
        <f t="shared" si="116"/>
        <v>0</v>
      </c>
      <c r="AD131" s="996">
        <f t="shared" si="116"/>
        <v>212474108</v>
      </c>
      <c r="AE131" s="1112">
        <f t="shared" si="116"/>
        <v>395388796</v>
      </c>
      <c r="AF131" s="1387">
        <f t="shared" si="116"/>
        <v>362943053</v>
      </c>
      <c r="AG131" s="998">
        <f t="shared" si="116"/>
        <v>404007672</v>
      </c>
      <c r="AH131" s="1397">
        <f>+SUM(AE131:AG131)</f>
        <v>1162339521</v>
      </c>
      <c r="AI131" s="999">
        <f>+AI130-AI128</f>
        <v>-949865413</v>
      </c>
      <c r="AJ131" s="1111">
        <f>+AJ130-AJ128</f>
        <v>0</v>
      </c>
      <c r="AK131" s="997">
        <f>+SUM(AI131:AJ131)</f>
        <v>-949865413</v>
      </c>
      <c r="AL131" s="995">
        <f>AD131-SUM(AH131,AK131)</f>
        <v>0</v>
      </c>
    </row>
    <row r="132" spans="4:38">
      <c r="D132" s="991"/>
      <c r="E132" s="991"/>
      <c r="I132" s="993" t="s">
        <v>1458</v>
      </c>
      <c r="J132" s="993" t="s">
        <v>1457</v>
      </c>
      <c r="K132" s="990">
        <f>+AJ99-AJ48-K133+K123</f>
        <v>-8606064883</v>
      </c>
      <c r="L132" s="1044"/>
      <c r="M132" s="990"/>
      <c r="O132" s="1438"/>
      <c r="P132" s="1438"/>
      <c r="R132" s="994"/>
      <c r="T132" s="993" t="s">
        <v>1457</v>
      </c>
      <c r="U132" s="990">
        <f>+U99-U48-U133</f>
        <v>-8606064883</v>
      </c>
      <c r="V132" s="1044"/>
      <c r="W132" s="994"/>
      <c r="X132" s="1439"/>
      <c r="Y132" s="1398"/>
      <c r="Z132" s="1440"/>
      <c r="AA132" s="1440"/>
      <c r="AB132" s="1398"/>
      <c r="AC132" s="1398"/>
      <c r="AD132" s="1440"/>
      <c r="AE132" s="1440"/>
      <c r="AF132" s="1440"/>
      <c r="AG132" s="1440"/>
      <c r="AH132" s="1440"/>
      <c r="AI132" s="1440"/>
      <c r="AJ132" s="1440"/>
      <c r="AK132" s="1440"/>
      <c r="AL132" s="1440"/>
    </row>
    <row r="133" spans="4:38">
      <c r="D133" s="991"/>
      <c r="E133" s="991"/>
      <c r="H133" s="991"/>
      <c r="J133" s="993" t="s">
        <v>1456</v>
      </c>
      <c r="K133" s="990">
        <f>+(AJ88+AJ89)-(AJ37+AJ38)+K124</f>
        <v>306237928</v>
      </c>
      <c r="L133" s="1044"/>
      <c r="M133" s="990"/>
      <c r="O133" s="1438"/>
      <c r="P133" s="1438"/>
      <c r="R133" s="994"/>
      <c r="T133" s="993" t="s">
        <v>1456</v>
      </c>
      <c r="U133" s="990">
        <f>+(U88+U89)-(U37+U38)</f>
        <v>306237928</v>
      </c>
      <c r="V133" s="1044"/>
      <c r="W133" s="994"/>
      <c r="X133" s="1584" t="s">
        <v>1794</v>
      </c>
      <c r="Y133" s="1125"/>
      <c r="Z133" s="1120">
        <f>+雨汚収入!BM65</f>
        <v>23344</v>
      </c>
      <c r="AA133" s="1076"/>
      <c r="AB133" s="1125">
        <f>+Z133+AA133</f>
        <v>23344</v>
      </c>
      <c r="AC133" s="1125"/>
      <c r="AD133" s="1125">
        <f>+Z133</f>
        <v>23344</v>
      </c>
      <c r="AE133" s="1124">
        <f>+雨汚収入!BF65</f>
        <v>10738</v>
      </c>
      <c r="AF133" s="1385">
        <f>+雨汚収入!BG65</f>
        <v>0</v>
      </c>
      <c r="AG133" s="1121">
        <f>+雨汚収入!BH65</f>
        <v>0</v>
      </c>
      <c r="AH133" s="1092">
        <f t="shared" ref="AH133:AH137" si="117">+SUM(AE133:AG133)</f>
        <v>10738</v>
      </c>
      <c r="AI133" s="1122">
        <f>+雨汚収入!BJ65</f>
        <v>0</v>
      </c>
      <c r="AJ133" s="1121">
        <f>+雨汚収入!BK65</f>
        <v>12606</v>
      </c>
      <c r="AK133" s="1084">
        <f>+SUM(AI133:AJ133)</f>
        <v>12606</v>
      </c>
      <c r="AL133" s="1083">
        <f t="shared" si="97"/>
        <v>0</v>
      </c>
    </row>
    <row r="134" spans="4:38" ht="14.25" thickBot="1">
      <c r="D134" s="991"/>
      <c r="E134" s="991"/>
      <c r="H134" s="991"/>
      <c r="J134" s="994" t="s">
        <v>1453</v>
      </c>
      <c r="K134" s="991">
        <f>+SUM(K131:K133)</f>
        <v>2512317361</v>
      </c>
      <c r="M134" s="990"/>
      <c r="N134" s="1161"/>
      <c r="O134" s="1438"/>
      <c r="P134" s="1438"/>
      <c r="T134" s="1161" t="s">
        <v>1540</v>
      </c>
      <c r="U134" s="991">
        <f>IF(SUM(U131:U133)&gt;0,0,SUM(U131:U133))</f>
        <v>0</v>
      </c>
      <c r="X134" s="1585"/>
      <c r="Y134" s="1115"/>
      <c r="Z134" s="1115"/>
      <c r="AA134" s="1114">
        <f>+ROUND(Z133/Z130*AA130,0)</f>
        <v>248</v>
      </c>
      <c r="AB134" s="1115">
        <f>+Z134+AA134</f>
        <v>248</v>
      </c>
      <c r="AC134" s="1115"/>
      <c r="AD134" s="1115">
        <f>+AA134</f>
        <v>248</v>
      </c>
      <c r="AE134" s="1119">
        <f>+IFERROR(ROUND($AD$134/$AD$133*AE133,0),0)</f>
        <v>114</v>
      </c>
      <c r="AF134" s="1386">
        <f>+IFERROR(ROUND($AD$134/$AD$133*AF133,0),0)</f>
        <v>0</v>
      </c>
      <c r="AG134" s="1117">
        <f>+IFERROR(ROUND($AD$134/$AD$133*AG133,0),0)</f>
        <v>0</v>
      </c>
      <c r="AH134" s="1395">
        <f t="shared" si="117"/>
        <v>114</v>
      </c>
      <c r="AI134" s="1118">
        <f>+IFERROR(ROUND($AD$134/$AD$133*AI133,0),0)</f>
        <v>0</v>
      </c>
      <c r="AJ134" s="1117">
        <f>+IFERROR(ROUND($AD$134/$AD$133*AJ133,0),0)</f>
        <v>134</v>
      </c>
      <c r="AK134" s="1116">
        <f>+SUM(AI134:AJ134)</f>
        <v>134</v>
      </c>
      <c r="AL134" s="1114">
        <f t="shared" si="97"/>
        <v>0</v>
      </c>
    </row>
    <row r="135" spans="4:38" ht="14.25" thickTop="1">
      <c r="D135" s="991"/>
      <c r="E135" s="991"/>
      <c r="H135" s="991"/>
      <c r="K135" s="1042" t="str">
        <f>+IF(K134='3条収入'!AI74,"↑純利益と一致","純利益と不一致!!")</f>
        <v>純利益と不一致!!</v>
      </c>
      <c r="M135" s="990"/>
      <c r="O135" s="994"/>
      <c r="P135" s="994"/>
      <c r="S135" s="990"/>
      <c r="U135" s="991"/>
      <c r="V135" s="990"/>
      <c r="W135" s="990"/>
      <c r="X135" s="1586"/>
      <c r="Y135" s="1007"/>
      <c r="Z135" s="1007">
        <f t="shared" ref="Z135:AF135" si="118">+SUM(Z133:Z134)</f>
        <v>23344</v>
      </c>
      <c r="AA135" s="1007">
        <f t="shared" si="118"/>
        <v>248</v>
      </c>
      <c r="AB135" s="1007">
        <f t="shared" si="118"/>
        <v>23592</v>
      </c>
      <c r="AC135" s="1007">
        <f t="shared" si="118"/>
        <v>0</v>
      </c>
      <c r="AD135" s="1007">
        <f t="shared" si="118"/>
        <v>23592</v>
      </c>
      <c r="AE135" s="1113">
        <f t="shared" si="118"/>
        <v>10852</v>
      </c>
      <c r="AF135" s="1381">
        <f t="shared" si="118"/>
        <v>0</v>
      </c>
      <c r="AG135" s="1009">
        <f>+SUM(AG133:AG134)</f>
        <v>0</v>
      </c>
      <c r="AH135" s="1396">
        <f t="shared" si="117"/>
        <v>10852</v>
      </c>
      <c r="AI135" s="1010">
        <f>+SUM(AI133:AI134)</f>
        <v>0</v>
      </c>
      <c r="AJ135" s="1009">
        <f>+SUM(AJ133:AJ134)</f>
        <v>12740</v>
      </c>
      <c r="AK135" s="1008">
        <f>+SUM(AI135:AJ135)</f>
        <v>12740</v>
      </c>
      <c r="AL135" s="1006">
        <f t="shared" si="97"/>
        <v>0</v>
      </c>
    </row>
    <row r="136" spans="4:38">
      <c r="D136" s="991"/>
      <c r="E136" s="991"/>
      <c r="H136" s="991"/>
      <c r="K136" s="991"/>
      <c r="M136" s="990"/>
      <c r="O136" s="991"/>
      <c r="P136" s="994"/>
      <c r="S136" s="990"/>
      <c r="U136" s="991"/>
      <c r="V136" s="990"/>
      <c r="W136" s="990"/>
      <c r="X136" s="1439"/>
      <c r="Y136" s="1398"/>
      <c r="Z136" s="1440"/>
      <c r="AA136" s="1440"/>
      <c r="AB136" s="1398"/>
      <c r="AC136" s="1398"/>
      <c r="AD136" s="1440"/>
      <c r="AE136" s="1440"/>
      <c r="AF136" s="1440"/>
      <c r="AG136" s="1440"/>
      <c r="AH136" s="1440"/>
      <c r="AI136" s="1440"/>
      <c r="AJ136" s="1440"/>
      <c r="AK136" s="1440"/>
      <c r="AL136" s="1440"/>
    </row>
    <row r="137" spans="4:38">
      <c r="D137" s="991"/>
      <c r="O137" s="994"/>
      <c r="P137" s="994"/>
      <c r="R137" s="991"/>
      <c r="T137" s="991"/>
      <c r="V137" s="990"/>
      <c r="W137" s="990"/>
      <c r="X137" s="1367" t="s">
        <v>1527</v>
      </c>
      <c r="Y137" s="1367"/>
      <c r="Z137" s="1105">
        <f>-AD77</f>
        <v>-1880565</v>
      </c>
      <c r="AA137" s="1110"/>
      <c r="AB137" s="1105">
        <f>+Z137+AA137</f>
        <v>-1880565</v>
      </c>
      <c r="AC137" s="1105"/>
      <c r="AD137" s="1105">
        <f>+Z137</f>
        <v>-1880565</v>
      </c>
      <c r="AE137" s="1109">
        <f>-AE77</f>
        <v>0</v>
      </c>
      <c r="AF137" s="1388">
        <f>-AF77</f>
        <v>0</v>
      </c>
      <c r="AG137" s="1107">
        <f>-AG77</f>
        <v>0</v>
      </c>
      <c r="AH137" s="1398">
        <f t="shared" si="117"/>
        <v>0</v>
      </c>
      <c r="AI137" s="1108">
        <f>-AI77</f>
        <v>0</v>
      </c>
      <c r="AJ137" s="1107">
        <f>-AJ77</f>
        <v>-1880565</v>
      </c>
      <c r="AK137" s="1106">
        <f>+SUM(AI137:AJ137)</f>
        <v>-1880565</v>
      </c>
      <c r="AL137" s="1104">
        <f t="shared" si="97"/>
        <v>0</v>
      </c>
    </row>
    <row r="138" spans="4:38">
      <c r="O138" s="991"/>
      <c r="R138" s="991"/>
      <c r="T138" s="991"/>
      <c r="V138" s="990"/>
      <c r="W138" s="990"/>
      <c r="X138" s="994" t="s">
        <v>1459</v>
      </c>
      <c r="Y138" s="994">
        <f>K97-K46-Y139-Y140+Y125</f>
        <v>13622088407</v>
      </c>
      <c r="Z138" s="994"/>
      <c r="AA138" s="990"/>
      <c r="AB138" s="990"/>
      <c r="AD138" s="991"/>
      <c r="AE138" s="991"/>
      <c r="AH138" s="990"/>
      <c r="AJ138" s="991"/>
      <c r="AK138" s="990"/>
      <c r="AL138" s="990"/>
    </row>
    <row r="139" spans="4:38">
      <c r="O139" s="991"/>
      <c r="P139" s="991"/>
      <c r="R139" s="991"/>
      <c r="T139" s="991"/>
      <c r="V139" s="990"/>
      <c r="W139" s="990"/>
      <c r="X139" s="993" t="s">
        <v>1457</v>
      </c>
      <c r="Y139" s="994">
        <f>K99-K48-Y140</f>
        <v>-8775897705</v>
      </c>
      <c r="Z139" s="994"/>
      <c r="AA139" s="990"/>
      <c r="AB139" s="990"/>
      <c r="AD139" s="991"/>
      <c r="AE139" s="991"/>
      <c r="AH139" s="990"/>
      <c r="AJ139" s="991"/>
      <c r="AK139" s="990"/>
      <c r="AL139" s="990"/>
    </row>
    <row r="140" spans="4:38">
      <c r="X140" s="993" t="s">
        <v>1456</v>
      </c>
      <c r="Y140" s="990">
        <f>+(K88+K89)-(K37+K38)</f>
        <v>-4266079811</v>
      </c>
      <c r="Z140" s="994"/>
      <c r="AA140" s="990"/>
      <c r="AB140" s="990"/>
      <c r="AD140" s="991"/>
      <c r="AE140" s="991"/>
      <c r="AH140" s="990"/>
      <c r="AJ140" s="991"/>
      <c r="AK140" s="990"/>
      <c r="AL140" s="990"/>
    </row>
    <row r="141" spans="4:38">
      <c r="X141" s="990"/>
      <c r="Y141" s="991">
        <f>IF(SUM(Y138:Y140)&gt;0,0,SUM(Y138:Y140))</f>
        <v>0</v>
      </c>
      <c r="Z141" s="1162" t="s">
        <v>1785</v>
      </c>
      <c r="AA141" s="990"/>
      <c r="AB141" s="990"/>
      <c r="AC141" s="990"/>
      <c r="AD141" s="991"/>
      <c r="AG141" s="991"/>
      <c r="AI141" s="991"/>
      <c r="AK141" s="990"/>
      <c r="AL141" s="990"/>
    </row>
    <row r="142" spans="4:38">
      <c r="Z142" s="990"/>
      <c r="AA142" s="990"/>
      <c r="AB142" s="990"/>
      <c r="AC142" s="990"/>
      <c r="AD142" s="991"/>
      <c r="AG142" s="991"/>
      <c r="AI142" s="991"/>
      <c r="AK142" s="990"/>
      <c r="AL142" s="990"/>
    </row>
    <row r="143" spans="4:38">
      <c r="Z143" s="990"/>
      <c r="AA143" s="990"/>
      <c r="AB143" s="990"/>
      <c r="AC143" s="990"/>
      <c r="AD143" s="991"/>
      <c r="AG143" s="991"/>
      <c r="AI143" s="991"/>
      <c r="AK143" s="990"/>
      <c r="AL143" s="990"/>
    </row>
    <row r="144" spans="4:38">
      <c r="Z144" s="990"/>
      <c r="AA144" s="990"/>
      <c r="AB144" s="990"/>
      <c r="AC144" s="990"/>
      <c r="AD144" s="991"/>
      <c r="AG144" s="991"/>
      <c r="AI144" s="991"/>
      <c r="AK144" s="990"/>
      <c r="AL144" s="990"/>
    </row>
    <row r="145" spans="25:38">
      <c r="Y145" s="990"/>
      <c r="Z145" s="990"/>
      <c r="AA145" s="990"/>
      <c r="AB145" s="990"/>
      <c r="AF145" s="991"/>
      <c r="AG145" s="991"/>
      <c r="AK145" s="990"/>
      <c r="AL145" s="990"/>
    </row>
    <row r="146" spans="25:38">
      <c r="Y146" s="990"/>
      <c r="Z146" s="990"/>
      <c r="AA146" s="990"/>
      <c r="AB146" s="990"/>
      <c r="AF146" s="991"/>
      <c r="AG146" s="991"/>
      <c r="AK146" s="990"/>
      <c r="AL146" s="990"/>
    </row>
    <row r="147" spans="25:38">
      <c r="Y147" s="990"/>
      <c r="Z147" s="990"/>
      <c r="AA147" s="990"/>
      <c r="AB147" s="990"/>
      <c r="AF147" s="991"/>
      <c r="AG147" s="991"/>
      <c r="AK147" s="990"/>
      <c r="AL147" s="990"/>
    </row>
    <row r="148" spans="25:38">
      <c r="Y148" s="990"/>
      <c r="Z148" s="990"/>
      <c r="AA148" s="990"/>
      <c r="AB148" s="990"/>
      <c r="AF148" s="991"/>
      <c r="AG148" s="991"/>
      <c r="AK148" s="990"/>
      <c r="AL148" s="990"/>
    </row>
    <row r="149" spans="25:38">
      <c r="Y149" s="990"/>
      <c r="Z149" s="990"/>
      <c r="AA149" s="990"/>
      <c r="AB149" s="990"/>
      <c r="AF149" s="991"/>
      <c r="AG149" s="991"/>
      <c r="AK149" s="990"/>
      <c r="AL149" s="990"/>
    </row>
    <row r="150" spans="25:38">
      <c r="Y150" s="990"/>
      <c r="Z150" s="990"/>
      <c r="AA150" s="990"/>
      <c r="AB150" s="990"/>
      <c r="AF150" s="991"/>
      <c r="AG150" s="991"/>
      <c r="AK150" s="990"/>
      <c r="AL150" s="990"/>
    </row>
    <row r="151" spans="25:38">
      <c r="Y151" s="990"/>
      <c r="Z151" s="990"/>
      <c r="AA151" s="990"/>
      <c r="AB151" s="990"/>
      <c r="AF151" s="991"/>
      <c r="AG151" s="991"/>
      <c r="AK151" s="990"/>
      <c r="AL151" s="990"/>
    </row>
  </sheetData>
  <mergeCells count="63">
    <mergeCell ref="AD3:AL3"/>
    <mergeCell ref="E4:E6"/>
    <mergeCell ref="F4:I4"/>
    <mergeCell ref="J4:L4"/>
    <mergeCell ref="M4:M6"/>
    <mergeCell ref="O4:O6"/>
    <mergeCell ref="P4:S4"/>
    <mergeCell ref="T4:V4"/>
    <mergeCell ref="W4:W6"/>
    <mergeCell ref="AD4:AD6"/>
    <mergeCell ref="E3:M3"/>
    <mergeCell ref="N3:N6"/>
    <mergeCell ref="O3:W3"/>
    <mergeCell ref="X3:X6"/>
    <mergeCell ref="AE4:AH4"/>
    <mergeCell ref="AI4:AK4"/>
    <mergeCell ref="AL4:AL6"/>
    <mergeCell ref="A5:A6"/>
    <mergeCell ref="B54:C57"/>
    <mergeCell ref="D54:D57"/>
    <mergeCell ref="E54:M54"/>
    <mergeCell ref="N54:N57"/>
    <mergeCell ref="O54:W54"/>
    <mergeCell ref="X54:X57"/>
    <mergeCell ref="B3:C6"/>
    <mergeCell ref="D3:D6"/>
    <mergeCell ref="AD54:AL54"/>
    <mergeCell ref="E55:E57"/>
    <mergeCell ref="F55:I55"/>
    <mergeCell ref="J55:L55"/>
    <mergeCell ref="M55:M57"/>
    <mergeCell ref="O55:O57"/>
    <mergeCell ref="P55:S55"/>
    <mergeCell ref="T55:V55"/>
    <mergeCell ref="W55:W57"/>
    <mergeCell ref="AD55:AD57"/>
    <mergeCell ref="P106:S106"/>
    <mergeCell ref="W106:W108"/>
    <mergeCell ref="Y106:Y108"/>
    <mergeCell ref="Z106:Z108"/>
    <mergeCell ref="AA106:AA108"/>
    <mergeCell ref="AD106:AD108"/>
    <mergeCell ref="AE55:AH55"/>
    <mergeCell ref="AI55:AK55"/>
    <mergeCell ref="AL55:AL57"/>
    <mergeCell ref="A56:A57"/>
    <mergeCell ref="D105:D108"/>
    <mergeCell ref="E105:M105"/>
    <mergeCell ref="N105:N108"/>
    <mergeCell ref="O105:W105"/>
    <mergeCell ref="X105:X108"/>
    <mergeCell ref="Y105:AL105"/>
    <mergeCell ref="E106:E108"/>
    <mergeCell ref="F106:I106"/>
    <mergeCell ref="J106:L106"/>
    <mergeCell ref="M106:M108"/>
    <mergeCell ref="O106:O108"/>
    <mergeCell ref="T106:V106"/>
    <mergeCell ref="AE106:AH106"/>
    <mergeCell ref="AI106:AK106"/>
    <mergeCell ref="AL106:AL108"/>
    <mergeCell ref="X133:X135"/>
    <mergeCell ref="AB106:AB108"/>
  </mergeCells>
  <phoneticPr fontId="2"/>
  <conditionalFormatting sqref="W58:W97 M58:M100 AL58:AL97 W109:W130 M109:M130 W100 AL100 AL109:AL135 AL137">
    <cfRule type="cellIs" dxfId="457" priority="8" operator="notEqual">
      <formula>0</formula>
    </cfRule>
  </conditionalFormatting>
  <conditionalFormatting sqref="W7:W46 AL7:AL46 W49 AL49">
    <cfRule type="cellIs" dxfId="456" priority="7" operator="notEqual">
      <formula>0</formula>
    </cfRule>
  </conditionalFormatting>
  <conditionalFormatting sqref="M7:M49">
    <cfRule type="cellIs" dxfId="455" priority="6" operator="notEqual">
      <formula>0</formula>
    </cfRule>
  </conditionalFormatting>
  <conditionalFormatting sqref="W98:W99">
    <cfRule type="cellIs" dxfId="454" priority="5" operator="notEqual">
      <formula>0</formula>
    </cfRule>
  </conditionalFormatting>
  <conditionalFormatting sqref="AL98:AL99">
    <cfRule type="cellIs" dxfId="453" priority="4" operator="notEqual">
      <formula>0</formula>
    </cfRule>
  </conditionalFormatting>
  <conditionalFormatting sqref="W47:W48">
    <cfRule type="cellIs" dxfId="452" priority="3" operator="notEqual">
      <formula>0</formula>
    </cfRule>
  </conditionalFormatting>
  <conditionalFormatting sqref="AL47:AL48">
    <cfRule type="cellIs" dxfId="451" priority="2" operator="notEqual">
      <formula>0</formula>
    </cfRule>
  </conditionalFormatting>
  <conditionalFormatting sqref="AL136">
    <cfRule type="cellIs" dxfId="450" priority="1" operator="notEqual">
      <formula>0</formula>
    </cfRule>
  </conditionalFormatting>
  <printOptions horizontalCentered="1"/>
  <pageMargins left="0.39370078740157483" right="0.39370078740157483" top="0.59055118110236227" bottom="0.39370078740157483" header="0.19685039370078741" footer="0.19685039370078741"/>
  <pageSetup paperSize="9" scale="83" fitToWidth="3" fitToHeight="3" orientation="landscape" blackAndWhite="1" r:id="rId1"/>
  <rowBreaks count="2" manualBreakCount="2">
    <brk id="51" max="16383" man="1"/>
    <brk id="102" max="16383" man="1"/>
  </rowBreaks>
  <drawing r:id="rId2"/>
  <legacyDrawing r:id="rId3"/>
</worksheet>
</file>

<file path=xl/worksheets/w5_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T45"/>
  <sheetViews>
    <sheetView showGridLines="0" zoomScale="85" zoomScaleNormal="85" zoomScaleSheetLayoutView="100" workbookViewId="0">
      <pane xSplit="3" ySplit="5" topLeftCell="E6" activePane="bottomRight" state="frozen"/>
      <selection activeCell="H28" sqref="H28"/>
      <selection pane="topRight" activeCell="H28" sqref="H28"/>
      <selection pane="bottomLeft" activeCell="H28" sqref="H28"/>
      <selection pane="bottomRight" activeCell="E15" sqref="E15"/>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3" style="1203" customWidth="1"/>
    <col min="9" max="9" width="12" style="1203" customWidth="1"/>
    <col min="10" max="10" width="12.75" style="1203" customWidth="1"/>
    <col min="11" max="11" width="13" style="1203" customWidth="1"/>
    <col min="12" max="12" width="10.625" style="1203" customWidth="1"/>
    <col min="13" max="15" width="12.75" style="1203" customWidth="1"/>
    <col min="16" max="16" width="3.625" style="1203" customWidth="1"/>
    <col min="17"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3" style="1203" customWidth="1"/>
    <col min="265" max="265" width="12" style="1203" customWidth="1"/>
    <col min="266" max="266" width="12.75" style="1203" customWidth="1"/>
    <col min="267" max="267" width="13" style="1203" customWidth="1"/>
    <col min="268" max="268" width="12.375" style="1203" customWidth="1"/>
    <col min="269" max="269" width="11.75" style="1203" customWidth="1"/>
    <col min="270" max="270" width="13" style="1203" customWidth="1"/>
    <col min="271" max="271" width="14.125" style="1203" bestFit="1" customWidth="1"/>
    <col min="272" max="272" width="3.625" style="1203" customWidth="1"/>
    <col min="273"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3" style="1203" customWidth="1"/>
    <col min="521" max="521" width="12" style="1203" customWidth="1"/>
    <col min="522" max="522" width="12.75" style="1203" customWidth="1"/>
    <col min="523" max="523" width="13" style="1203" customWidth="1"/>
    <col min="524" max="524" width="12.375" style="1203" customWidth="1"/>
    <col min="525" max="525" width="11.75" style="1203" customWidth="1"/>
    <col min="526" max="526" width="13" style="1203" customWidth="1"/>
    <col min="527" max="527" width="14.125" style="1203" bestFit="1" customWidth="1"/>
    <col min="528" max="528" width="3.625" style="1203" customWidth="1"/>
    <col min="529"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3" style="1203" customWidth="1"/>
    <col min="777" max="777" width="12" style="1203" customWidth="1"/>
    <col min="778" max="778" width="12.75" style="1203" customWidth="1"/>
    <col min="779" max="779" width="13" style="1203" customWidth="1"/>
    <col min="780" max="780" width="12.375" style="1203" customWidth="1"/>
    <col min="781" max="781" width="11.75" style="1203" customWidth="1"/>
    <col min="782" max="782" width="13" style="1203" customWidth="1"/>
    <col min="783" max="783" width="14.125" style="1203" bestFit="1" customWidth="1"/>
    <col min="784" max="784" width="3.625" style="1203" customWidth="1"/>
    <col min="785"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3" style="1203" customWidth="1"/>
    <col min="1033" max="1033" width="12" style="1203" customWidth="1"/>
    <col min="1034" max="1034" width="12.75" style="1203" customWidth="1"/>
    <col min="1035" max="1035" width="13" style="1203" customWidth="1"/>
    <col min="1036" max="1036" width="12.375" style="1203" customWidth="1"/>
    <col min="1037" max="1037" width="11.75" style="1203" customWidth="1"/>
    <col min="1038" max="1038" width="13" style="1203" customWidth="1"/>
    <col min="1039" max="1039" width="14.125" style="1203" bestFit="1" customWidth="1"/>
    <col min="1040" max="1040" width="3.625" style="1203" customWidth="1"/>
    <col min="1041"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3" style="1203" customWidth="1"/>
    <col min="1289" max="1289" width="12" style="1203" customWidth="1"/>
    <col min="1290" max="1290" width="12.75" style="1203" customWidth="1"/>
    <col min="1291" max="1291" width="13" style="1203" customWidth="1"/>
    <col min="1292" max="1292" width="12.375" style="1203" customWidth="1"/>
    <col min="1293" max="1293" width="11.75" style="1203" customWidth="1"/>
    <col min="1294" max="1294" width="13" style="1203" customWidth="1"/>
    <col min="1295" max="1295" width="14.125" style="1203" bestFit="1" customWidth="1"/>
    <col min="1296" max="1296" width="3.625" style="1203" customWidth="1"/>
    <col min="1297"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3" style="1203" customWidth="1"/>
    <col min="1545" max="1545" width="12" style="1203" customWidth="1"/>
    <col min="1546" max="1546" width="12.75" style="1203" customWidth="1"/>
    <col min="1547" max="1547" width="13" style="1203" customWidth="1"/>
    <col min="1548" max="1548" width="12.375" style="1203" customWidth="1"/>
    <col min="1549" max="1549" width="11.75" style="1203" customWidth="1"/>
    <col min="1550" max="1550" width="13" style="1203" customWidth="1"/>
    <col min="1551" max="1551" width="14.125" style="1203" bestFit="1" customWidth="1"/>
    <col min="1552" max="1552" width="3.625" style="1203" customWidth="1"/>
    <col min="1553"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3" style="1203" customWidth="1"/>
    <col min="1801" max="1801" width="12" style="1203" customWidth="1"/>
    <col min="1802" max="1802" width="12.75" style="1203" customWidth="1"/>
    <col min="1803" max="1803" width="13" style="1203" customWidth="1"/>
    <col min="1804" max="1804" width="12.375" style="1203" customWidth="1"/>
    <col min="1805" max="1805" width="11.75" style="1203" customWidth="1"/>
    <col min="1806" max="1806" width="13" style="1203" customWidth="1"/>
    <col min="1807" max="1807" width="14.125" style="1203" bestFit="1" customWidth="1"/>
    <col min="1808" max="1808" width="3.625" style="1203" customWidth="1"/>
    <col min="1809"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3" style="1203" customWidth="1"/>
    <col min="2057" max="2057" width="12" style="1203" customWidth="1"/>
    <col min="2058" max="2058" width="12.75" style="1203" customWidth="1"/>
    <col min="2059" max="2059" width="13" style="1203" customWidth="1"/>
    <col min="2060" max="2060" width="12.375" style="1203" customWidth="1"/>
    <col min="2061" max="2061" width="11.75" style="1203" customWidth="1"/>
    <col min="2062" max="2062" width="13" style="1203" customWidth="1"/>
    <col min="2063" max="2063" width="14.125" style="1203" bestFit="1" customWidth="1"/>
    <col min="2064" max="2064" width="3.625" style="1203" customWidth="1"/>
    <col min="2065"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3" style="1203" customWidth="1"/>
    <col min="2313" max="2313" width="12" style="1203" customWidth="1"/>
    <col min="2314" max="2314" width="12.75" style="1203" customWidth="1"/>
    <col min="2315" max="2315" width="13" style="1203" customWidth="1"/>
    <col min="2316" max="2316" width="12.375" style="1203" customWidth="1"/>
    <col min="2317" max="2317" width="11.75" style="1203" customWidth="1"/>
    <col min="2318" max="2318" width="13" style="1203" customWidth="1"/>
    <col min="2319" max="2319" width="14.125" style="1203" bestFit="1" customWidth="1"/>
    <col min="2320" max="2320" width="3.625" style="1203" customWidth="1"/>
    <col min="2321"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3" style="1203" customWidth="1"/>
    <col min="2569" max="2569" width="12" style="1203" customWidth="1"/>
    <col min="2570" max="2570" width="12.75" style="1203" customWidth="1"/>
    <col min="2571" max="2571" width="13" style="1203" customWidth="1"/>
    <col min="2572" max="2572" width="12.375" style="1203" customWidth="1"/>
    <col min="2573" max="2573" width="11.75" style="1203" customWidth="1"/>
    <col min="2574" max="2574" width="13" style="1203" customWidth="1"/>
    <col min="2575" max="2575" width="14.125" style="1203" bestFit="1" customWidth="1"/>
    <col min="2576" max="2576" width="3.625" style="1203" customWidth="1"/>
    <col min="2577"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3" style="1203" customWidth="1"/>
    <col min="2825" max="2825" width="12" style="1203" customWidth="1"/>
    <col min="2826" max="2826" width="12.75" style="1203" customWidth="1"/>
    <col min="2827" max="2827" width="13" style="1203" customWidth="1"/>
    <col min="2828" max="2828" width="12.375" style="1203" customWidth="1"/>
    <col min="2829" max="2829" width="11.75" style="1203" customWidth="1"/>
    <col min="2830" max="2830" width="13" style="1203" customWidth="1"/>
    <col min="2831" max="2831" width="14.125" style="1203" bestFit="1" customWidth="1"/>
    <col min="2832" max="2832" width="3.625" style="1203" customWidth="1"/>
    <col min="2833"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3" style="1203" customWidth="1"/>
    <col min="3081" max="3081" width="12" style="1203" customWidth="1"/>
    <col min="3082" max="3082" width="12.75" style="1203" customWidth="1"/>
    <col min="3083" max="3083" width="13" style="1203" customWidth="1"/>
    <col min="3084" max="3084" width="12.375" style="1203" customWidth="1"/>
    <col min="3085" max="3085" width="11.75" style="1203" customWidth="1"/>
    <col min="3086" max="3086" width="13" style="1203" customWidth="1"/>
    <col min="3087" max="3087" width="14.125" style="1203" bestFit="1" customWidth="1"/>
    <col min="3088" max="3088" width="3.625" style="1203" customWidth="1"/>
    <col min="3089"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3" style="1203" customWidth="1"/>
    <col min="3337" max="3337" width="12" style="1203" customWidth="1"/>
    <col min="3338" max="3338" width="12.75" style="1203" customWidth="1"/>
    <col min="3339" max="3339" width="13" style="1203" customWidth="1"/>
    <col min="3340" max="3340" width="12.375" style="1203" customWidth="1"/>
    <col min="3341" max="3341" width="11.75" style="1203" customWidth="1"/>
    <col min="3342" max="3342" width="13" style="1203" customWidth="1"/>
    <col min="3343" max="3343" width="14.125" style="1203" bestFit="1" customWidth="1"/>
    <col min="3344" max="3344" width="3.625" style="1203" customWidth="1"/>
    <col min="3345"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3" style="1203" customWidth="1"/>
    <col min="3593" max="3593" width="12" style="1203" customWidth="1"/>
    <col min="3594" max="3594" width="12.75" style="1203" customWidth="1"/>
    <col min="3595" max="3595" width="13" style="1203" customWidth="1"/>
    <col min="3596" max="3596" width="12.375" style="1203" customWidth="1"/>
    <col min="3597" max="3597" width="11.75" style="1203" customWidth="1"/>
    <col min="3598" max="3598" width="13" style="1203" customWidth="1"/>
    <col min="3599" max="3599" width="14.125" style="1203" bestFit="1" customWidth="1"/>
    <col min="3600" max="3600" width="3.625" style="1203" customWidth="1"/>
    <col min="3601"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3" style="1203" customWidth="1"/>
    <col min="3849" max="3849" width="12" style="1203" customWidth="1"/>
    <col min="3850" max="3850" width="12.75" style="1203" customWidth="1"/>
    <col min="3851" max="3851" width="13" style="1203" customWidth="1"/>
    <col min="3852" max="3852" width="12.375" style="1203" customWidth="1"/>
    <col min="3853" max="3853" width="11.75" style="1203" customWidth="1"/>
    <col min="3854" max="3854" width="13" style="1203" customWidth="1"/>
    <col min="3855" max="3855" width="14.125" style="1203" bestFit="1" customWidth="1"/>
    <col min="3856" max="3856" width="3.625" style="1203" customWidth="1"/>
    <col min="3857"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3" style="1203" customWidth="1"/>
    <col min="4105" max="4105" width="12" style="1203" customWidth="1"/>
    <col min="4106" max="4106" width="12.75" style="1203" customWidth="1"/>
    <col min="4107" max="4107" width="13" style="1203" customWidth="1"/>
    <col min="4108" max="4108" width="12.375" style="1203" customWidth="1"/>
    <col min="4109" max="4109" width="11.75" style="1203" customWidth="1"/>
    <col min="4110" max="4110" width="13" style="1203" customWidth="1"/>
    <col min="4111" max="4111" width="14.125" style="1203" bestFit="1" customWidth="1"/>
    <col min="4112" max="4112" width="3.625" style="1203" customWidth="1"/>
    <col min="4113"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3" style="1203" customWidth="1"/>
    <col min="4361" max="4361" width="12" style="1203" customWidth="1"/>
    <col min="4362" max="4362" width="12.75" style="1203" customWidth="1"/>
    <col min="4363" max="4363" width="13" style="1203" customWidth="1"/>
    <col min="4364" max="4364" width="12.375" style="1203" customWidth="1"/>
    <col min="4365" max="4365" width="11.75" style="1203" customWidth="1"/>
    <col min="4366" max="4366" width="13" style="1203" customWidth="1"/>
    <col min="4367" max="4367" width="14.125" style="1203" bestFit="1" customWidth="1"/>
    <col min="4368" max="4368" width="3.625" style="1203" customWidth="1"/>
    <col min="4369"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3" style="1203" customWidth="1"/>
    <col min="4617" max="4617" width="12" style="1203" customWidth="1"/>
    <col min="4618" max="4618" width="12.75" style="1203" customWidth="1"/>
    <col min="4619" max="4619" width="13" style="1203" customWidth="1"/>
    <col min="4620" max="4620" width="12.375" style="1203" customWidth="1"/>
    <col min="4621" max="4621" width="11.75" style="1203" customWidth="1"/>
    <col min="4622" max="4622" width="13" style="1203" customWidth="1"/>
    <col min="4623" max="4623" width="14.125" style="1203" bestFit="1" customWidth="1"/>
    <col min="4624" max="4624" width="3.625" style="1203" customWidth="1"/>
    <col min="4625"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3" style="1203" customWidth="1"/>
    <col min="4873" max="4873" width="12" style="1203" customWidth="1"/>
    <col min="4874" max="4874" width="12.75" style="1203" customWidth="1"/>
    <col min="4875" max="4875" width="13" style="1203" customWidth="1"/>
    <col min="4876" max="4876" width="12.375" style="1203" customWidth="1"/>
    <col min="4877" max="4877" width="11.75" style="1203" customWidth="1"/>
    <col min="4878" max="4878" width="13" style="1203" customWidth="1"/>
    <col min="4879" max="4879" width="14.125" style="1203" bestFit="1" customWidth="1"/>
    <col min="4880" max="4880" width="3.625" style="1203" customWidth="1"/>
    <col min="4881"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3" style="1203" customWidth="1"/>
    <col min="5129" max="5129" width="12" style="1203" customWidth="1"/>
    <col min="5130" max="5130" width="12.75" style="1203" customWidth="1"/>
    <col min="5131" max="5131" width="13" style="1203" customWidth="1"/>
    <col min="5132" max="5132" width="12.375" style="1203" customWidth="1"/>
    <col min="5133" max="5133" width="11.75" style="1203" customWidth="1"/>
    <col min="5134" max="5134" width="13" style="1203" customWidth="1"/>
    <col min="5135" max="5135" width="14.125" style="1203" bestFit="1" customWidth="1"/>
    <col min="5136" max="5136" width="3.625" style="1203" customWidth="1"/>
    <col min="5137"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3" style="1203" customWidth="1"/>
    <col min="5385" max="5385" width="12" style="1203" customWidth="1"/>
    <col min="5386" max="5386" width="12.75" style="1203" customWidth="1"/>
    <col min="5387" max="5387" width="13" style="1203" customWidth="1"/>
    <col min="5388" max="5388" width="12.375" style="1203" customWidth="1"/>
    <col min="5389" max="5389" width="11.75" style="1203" customWidth="1"/>
    <col min="5390" max="5390" width="13" style="1203" customWidth="1"/>
    <col min="5391" max="5391" width="14.125" style="1203" bestFit="1" customWidth="1"/>
    <col min="5392" max="5392" width="3.625" style="1203" customWidth="1"/>
    <col min="5393"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3" style="1203" customWidth="1"/>
    <col min="5641" max="5641" width="12" style="1203" customWidth="1"/>
    <col min="5642" max="5642" width="12.75" style="1203" customWidth="1"/>
    <col min="5643" max="5643" width="13" style="1203" customWidth="1"/>
    <col min="5644" max="5644" width="12.375" style="1203" customWidth="1"/>
    <col min="5645" max="5645" width="11.75" style="1203" customWidth="1"/>
    <col min="5646" max="5646" width="13" style="1203" customWidth="1"/>
    <col min="5647" max="5647" width="14.125" style="1203" bestFit="1" customWidth="1"/>
    <col min="5648" max="5648" width="3.625" style="1203" customWidth="1"/>
    <col min="5649"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3" style="1203" customWidth="1"/>
    <col min="5897" max="5897" width="12" style="1203" customWidth="1"/>
    <col min="5898" max="5898" width="12.75" style="1203" customWidth="1"/>
    <col min="5899" max="5899" width="13" style="1203" customWidth="1"/>
    <col min="5900" max="5900" width="12.375" style="1203" customWidth="1"/>
    <col min="5901" max="5901" width="11.75" style="1203" customWidth="1"/>
    <col min="5902" max="5902" width="13" style="1203" customWidth="1"/>
    <col min="5903" max="5903" width="14.125" style="1203" bestFit="1" customWidth="1"/>
    <col min="5904" max="5904" width="3.625" style="1203" customWidth="1"/>
    <col min="5905"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3" style="1203" customWidth="1"/>
    <col min="6153" max="6153" width="12" style="1203" customWidth="1"/>
    <col min="6154" max="6154" width="12.75" style="1203" customWidth="1"/>
    <col min="6155" max="6155" width="13" style="1203" customWidth="1"/>
    <col min="6156" max="6156" width="12.375" style="1203" customWidth="1"/>
    <col min="6157" max="6157" width="11.75" style="1203" customWidth="1"/>
    <col min="6158" max="6158" width="13" style="1203" customWidth="1"/>
    <col min="6159" max="6159" width="14.125" style="1203" bestFit="1" customWidth="1"/>
    <col min="6160" max="6160" width="3.625" style="1203" customWidth="1"/>
    <col min="6161"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3" style="1203" customWidth="1"/>
    <col min="6409" max="6409" width="12" style="1203" customWidth="1"/>
    <col min="6410" max="6410" width="12.75" style="1203" customWidth="1"/>
    <col min="6411" max="6411" width="13" style="1203" customWidth="1"/>
    <col min="6412" max="6412" width="12.375" style="1203" customWidth="1"/>
    <col min="6413" max="6413" width="11.75" style="1203" customWidth="1"/>
    <col min="6414" max="6414" width="13" style="1203" customWidth="1"/>
    <col min="6415" max="6415" width="14.125" style="1203" bestFit="1" customWidth="1"/>
    <col min="6416" max="6416" width="3.625" style="1203" customWidth="1"/>
    <col min="6417"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3" style="1203" customWidth="1"/>
    <col min="6665" max="6665" width="12" style="1203" customWidth="1"/>
    <col min="6666" max="6666" width="12.75" style="1203" customWidth="1"/>
    <col min="6667" max="6667" width="13" style="1203" customWidth="1"/>
    <col min="6668" max="6668" width="12.375" style="1203" customWidth="1"/>
    <col min="6669" max="6669" width="11.75" style="1203" customWidth="1"/>
    <col min="6670" max="6670" width="13" style="1203" customWidth="1"/>
    <col min="6671" max="6671" width="14.125" style="1203" bestFit="1" customWidth="1"/>
    <col min="6672" max="6672" width="3.625" style="1203" customWidth="1"/>
    <col min="6673"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3" style="1203" customWidth="1"/>
    <col min="6921" max="6921" width="12" style="1203" customWidth="1"/>
    <col min="6922" max="6922" width="12.75" style="1203" customWidth="1"/>
    <col min="6923" max="6923" width="13" style="1203" customWidth="1"/>
    <col min="6924" max="6924" width="12.375" style="1203" customWidth="1"/>
    <col min="6925" max="6925" width="11.75" style="1203" customWidth="1"/>
    <col min="6926" max="6926" width="13" style="1203" customWidth="1"/>
    <col min="6927" max="6927" width="14.125" style="1203" bestFit="1" customWidth="1"/>
    <col min="6928" max="6928" width="3.625" style="1203" customWidth="1"/>
    <col min="6929"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3" style="1203" customWidth="1"/>
    <col min="7177" max="7177" width="12" style="1203" customWidth="1"/>
    <col min="7178" max="7178" width="12.75" style="1203" customWidth="1"/>
    <col min="7179" max="7179" width="13" style="1203" customWidth="1"/>
    <col min="7180" max="7180" width="12.375" style="1203" customWidth="1"/>
    <col min="7181" max="7181" width="11.75" style="1203" customWidth="1"/>
    <col min="7182" max="7182" width="13" style="1203" customWidth="1"/>
    <col min="7183" max="7183" width="14.125" style="1203" bestFit="1" customWidth="1"/>
    <col min="7184" max="7184" width="3.625" style="1203" customWidth="1"/>
    <col min="7185"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3" style="1203" customWidth="1"/>
    <col min="7433" max="7433" width="12" style="1203" customWidth="1"/>
    <col min="7434" max="7434" width="12.75" style="1203" customWidth="1"/>
    <col min="7435" max="7435" width="13" style="1203" customWidth="1"/>
    <col min="7436" max="7436" width="12.375" style="1203" customWidth="1"/>
    <col min="7437" max="7437" width="11.75" style="1203" customWidth="1"/>
    <col min="7438" max="7438" width="13" style="1203" customWidth="1"/>
    <col min="7439" max="7439" width="14.125" style="1203" bestFit="1" customWidth="1"/>
    <col min="7440" max="7440" width="3.625" style="1203" customWidth="1"/>
    <col min="7441"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3" style="1203" customWidth="1"/>
    <col min="7689" max="7689" width="12" style="1203" customWidth="1"/>
    <col min="7690" max="7690" width="12.75" style="1203" customWidth="1"/>
    <col min="7691" max="7691" width="13" style="1203" customWidth="1"/>
    <col min="7692" max="7692" width="12.375" style="1203" customWidth="1"/>
    <col min="7693" max="7693" width="11.75" style="1203" customWidth="1"/>
    <col min="7694" max="7694" width="13" style="1203" customWidth="1"/>
    <col min="7695" max="7695" width="14.125" style="1203" bestFit="1" customWidth="1"/>
    <col min="7696" max="7696" width="3.625" style="1203" customWidth="1"/>
    <col min="7697"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3" style="1203" customWidth="1"/>
    <col min="7945" max="7945" width="12" style="1203" customWidth="1"/>
    <col min="7946" max="7946" width="12.75" style="1203" customWidth="1"/>
    <col min="7947" max="7947" width="13" style="1203" customWidth="1"/>
    <col min="7948" max="7948" width="12.375" style="1203" customWidth="1"/>
    <col min="7949" max="7949" width="11.75" style="1203" customWidth="1"/>
    <col min="7950" max="7950" width="13" style="1203" customWidth="1"/>
    <col min="7951" max="7951" width="14.125" style="1203" bestFit="1" customWidth="1"/>
    <col min="7952" max="7952" width="3.625" style="1203" customWidth="1"/>
    <col min="7953"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3" style="1203" customWidth="1"/>
    <col min="8201" max="8201" width="12" style="1203" customWidth="1"/>
    <col min="8202" max="8202" width="12.75" style="1203" customWidth="1"/>
    <col min="8203" max="8203" width="13" style="1203" customWidth="1"/>
    <col min="8204" max="8204" width="12.375" style="1203" customWidth="1"/>
    <col min="8205" max="8205" width="11.75" style="1203" customWidth="1"/>
    <col min="8206" max="8206" width="13" style="1203" customWidth="1"/>
    <col min="8207" max="8207" width="14.125" style="1203" bestFit="1" customWidth="1"/>
    <col min="8208" max="8208" width="3.625" style="1203" customWidth="1"/>
    <col min="8209"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3" style="1203" customWidth="1"/>
    <col min="8457" max="8457" width="12" style="1203" customWidth="1"/>
    <col min="8458" max="8458" width="12.75" style="1203" customWidth="1"/>
    <col min="8459" max="8459" width="13" style="1203" customWidth="1"/>
    <col min="8460" max="8460" width="12.375" style="1203" customWidth="1"/>
    <col min="8461" max="8461" width="11.75" style="1203" customWidth="1"/>
    <col min="8462" max="8462" width="13" style="1203" customWidth="1"/>
    <col min="8463" max="8463" width="14.125" style="1203" bestFit="1" customWidth="1"/>
    <col min="8464" max="8464" width="3.625" style="1203" customWidth="1"/>
    <col min="8465"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3" style="1203" customWidth="1"/>
    <col min="8713" max="8713" width="12" style="1203" customWidth="1"/>
    <col min="8714" max="8714" width="12.75" style="1203" customWidth="1"/>
    <col min="8715" max="8715" width="13" style="1203" customWidth="1"/>
    <col min="8716" max="8716" width="12.375" style="1203" customWidth="1"/>
    <col min="8717" max="8717" width="11.75" style="1203" customWidth="1"/>
    <col min="8718" max="8718" width="13" style="1203" customWidth="1"/>
    <col min="8719" max="8719" width="14.125" style="1203" bestFit="1" customWidth="1"/>
    <col min="8720" max="8720" width="3.625" style="1203" customWidth="1"/>
    <col min="8721"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3" style="1203" customWidth="1"/>
    <col min="8969" max="8969" width="12" style="1203" customWidth="1"/>
    <col min="8970" max="8970" width="12.75" style="1203" customWidth="1"/>
    <col min="8971" max="8971" width="13" style="1203" customWidth="1"/>
    <col min="8972" max="8972" width="12.375" style="1203" customWidth="1"/>
    <col min="8973" max="8973" width="11.75" style="1203" customWidth="1"/>
    <col min="8974" max="8974" width="13" style="1203" customWidth="1"/>
    <col min="8975" max="8975" width="14.125" style="1203" bestFit="1" customWidth="1"/>
    <col min="8976" max="8976" width="3.625" style="1203" customWidth="1"/>
    <col min="8977"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3" style="1203" customWidth="1"/>
    <col min="9225" max="9225" width="12" style="1203" customWidth="1"/>
    <col min="9226" max="9226" width="12.75" style="1203" customWidth="1"/>
    <col min="9227" max="9227" width="13" style="1203" customWidth="1"/>
    <col min="9228" max="9228" width="12.375" style="1203" customWidth="1"/>
    <col min="9229" max="9229" width="11.75" style="1203" customWidth="1"/>
    <col min="9230" max="9230" width="13" style="1203" customWidth="1"/>
    <col min="9231" max="9231" width="14.125" style="1203" bestFit="1" customWidth="1"/>
    <col min="9232" max="9232" width="3.625" style="1203" customWidth="1"/>
    <col min="9233"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3" style="1203" customWidth="1"/>
    <col min="9481" max="9481" width="12" style="1203" customWidth="1"/>
    <col min="9482" max="9482" width="12.75" style="1203" customWidth="1"/>
    <col min="9483" max="9483" width="13" style="1203" customWidth="1"/>
    <col min="9484" max="9484" width="12.375" style="1203" customWidth="1"/>
    <col min="9485" max="9485" width="11.75" style="1203" customWidth="1"/>
    <col min="9486" max="9486" width="13" style="1203" customWidth="1"/>
    <col min="9487" max="9487" width="14.125" style="1203" bestFit="1" customWidth="1"/>
    <col min="9488" max="9488" width="3.625" style="1203" customWidth="1"/>
    <col min="9489"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3" style="1203" customWidth="1"/>
    <col min="9737" max="9737" width="12" style="1203" customWidth="1"/>
    <col min="9738" max="9738" width="12.75" style="1203" customWidth="1"/>
    <col min="9739" max="9739" width="13" style="1203" customWidth="1"/>
    <col min="9740" max="9740" width="12.375" style="1203" customWidth="1"/>
    <col min="9741" max="9741" width="11.75" style="1203" customWidth="1"/>
    <col min="9742" max="9742" width="13" style="1203" customWidth="1"/>
    <col min="9743" max="9743" width="14.125" style="1203" bestFit="1" customWidth="1"/>
    <col min="9744" max="9744" width="3.625" style="1203" customWidth="1"/>
    <col min="9745"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3" style="1203" customWidth="1"/>
    <col min="9993" max="9993" width="12" style="1203" customWidth="1"/>
    <col min="9994" max="9994" width="12.75" style="1203" customWidth="1"/>
    <col min="9995" max="9995" width="13" style="1203" customWidth="1"/>
    <col min="9996" max="9996" width="12.375" style="1203" customWidth="1"/>
    <col min="9997" max="9997" width="11.75" style="1203" customWidth="1"/>
    <col min="9998" max="9998" width="13" style="1203" customWidth="1"/>
    <col min="9999" max="9999" width="14.125" style="1203" bestFit="1" customWidth="1"/>
    <col min="10000" max="10000" width="3.625" style="1203" customWidth="1"/>
    <col min="10001"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3" style="1203" customWidth="1"/>
    <col min="10249" max="10249" width="12" style="1203" customWidth="1"/>
    <col min="10250" max="10250" width="12.75" style="1203" customWidth="1"/>
    <col min="10251" max="10251" width="13" style="1203" customWidth="1"/>
    <col min="10252" max="10252" width="12.375" style="1203" customWidth="1"/>
    <col min="10253" max="10253" width="11.75" style="1203" customWidth="1"/>
    <col min="10254" max="10254" width="13" style="1203" customWidth="1"/>
    <col min="10255" max="10255" width="14.125" style="1203" bestFit="1" customWidth="1"/>
    <col min="10256" max="10256" width="3.625" style="1203" customWidth="1"/>
    <col min="10257"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3" style="1203" customWidth="1"/>
    <col min="10505" max="10505" width="12" style="1203" customWidth="1"/>
    <col min="10506" max="10506" width="12.75" style="1203" customWidth="1"/>
    <col min="10507" max="10507" width="13" style="1203" customWidth="1"/>
    <col min="10508" max="10508" width="12.375" style="1203" customWidth="1"/>
    <col min="10509" max="10509" width="11.75" style="1203" customWidth="1"/>
    <col min="10510" max="10510" width="13" style="1203" customWidth="1"/>
    <col min="10511" max="10511" width="14.125" style="1203" bestFit="1" customWidth="1"/>
    <col min="10512" max="10512" width="3.625" style="1203" customWidth="1"/>
    <col min="10513"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3" style="1203" customWidth="1"/>
    <col min="10761" max="10761" width="12" style="1203" customWidth="1"/>
    <col min="10762" max="10762" width="12.75" style="1203" customWidth="1"/>
    <col min="10763" max="10763" width="13" style="1203" customWidth="1"/>
    <col min="10764" max="10764" width="12.375" style="1203" customWidth="1"/>
    <col min="10765" max="10765" width="11.75" style="1203" customWidth="1"/>
    <col min="10766" max="10766" width="13" style="1203" customWidth="1"/>
    <col min="10767" max="10767" width="14.125" style="1203" bestFit="1" customWidth="1"/>
    <col min="10768" max="10768" width="3.625" style="1203" customWidth="1"/>
    <col min="10769"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3" style="1203" customWidth="1"/>
    <col min="11017" max="11017" width="12" style="1203" customWidth="1"/>
    <col min="11018" max="11018" width="12.75" style="1203" customWidth="1"/>
    <col min="11019" max="11019" width="13" style="1203" customWidth="1"/>
    <col min="11020" max="11020" width="12.375" style="1203" customWidth="1"/>
    <col min="11021" max="11021" width="11.75" style="1203" customWidth="1"/>
    <col min="11022" max="11022" width="13" style="1203" customWidth="1"/>
    <col min="11023" max="11023" width="14.125" style="1203" bestFit="1" customWidth="1"/>
    <col min="11024" max="11024" width="3.625" style="1203" customWidth="1"/>
    <col min="11025"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3" style="1203" customWidth="1"/>
    <col min="11273" max="11273" width="12" style="1203" customWidth="1"/>
    <col min="11274" max="11274" width="12.75" style="1203" customWidth="1"/>
    <col min="11275" max="11275" width="13" style="1203" customWidth="1"/>
    <col min="11276" max="11276" width="12.375" style="1203" customWidth="1"/>
    <col min="11277" max="11277" width="11.75" style="1203" customWidth="1"/>
    <col min="11278" max="11278" width="13" style="1203" customWidth="1"/>
    <col min="11279" max="11279" width="14.125" style="1203" bestFit="1" customWidth="1"/>
    <col min="11280" max="11280" width="3.625" style="1203" customWidth="1"/>
    <col min="11281"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3" style="1203" customWidth="1"/>
    <col min="11529" max="11529" width="12" style="1203" customWidth="1"/>
    <col min="11530" max="11530" width="12.75" style="1203" customWidth="1"/>
    <col min="11531" max="11531" width="13" style="1203" customWidth="1"/>
    <col min="11532" max="11532" width="12.375" style="1203" customWidth="1"/>
    <col min="11533" max="11533" width="11.75" style="1203" customWidth="1"/>
    <col min="11534" max="11534" width="13" style="1203" customWidth="1"/>
    <col min="11535" max="11535" width="14.125" style="1203" bestFit="1" customWidth="1"/>
    <col min="11536" max="11536" width="3.625" style="1203" customWidth="1"/>
    <col min="11537"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3" style="1203" customWidth="1"/>
    <col min="11785" max="11785" width="12" style="1203" customWidth="1"/>
    <col min="11786" max="11786" width="12.75" style="1203" customWidth="1"/>
    <col min="11787" max="11787" width="13" style="1203" customWidth="1"/>
    <col min="11788" max="11788" width="12.375" style="1203" customWidth="1"/>
    <col min="11789" max="11789" width="11.75" style="1203" customWidth="1"/>
    <col min="11790" max="11790" width="13" style="1203" customWidth="1"/>
    <col min="11791" max="11791" width="14.125" style="1203" bestFit="1" customWidth="1"/>
    <col min="11792" max="11792" width="3.625" style="1203" customWidth="1"/>
    <col min="11793"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3" style="1203" customWidth="1"/>
    <col min="12041" max="12041" width="12" style="1203" customWidth="1"/>
    <col min="12042" max="12042" width="12.75" style="1203" customWidth="1"/>
    <col min="12043" max="12043" width="13" style="1203" customWidth="1"/>
    <col min="12044" max="12044" width="12.375" style="1203" customWidth="1"/>
    <col min="12045" max="12045" width="11.75" style="1203" customWidth="1"/>
    <col min="12046" max="12046" width="13" style="1203" customWidth="1"/>
    <col min="12047" max="12047" width="14.125" style="1203" bestFit="1" customWidth="1"/>
    <col min="12048" max="12048" width="3.625" style="1203" customWidth="1"/>
    <col min="12049"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3" style="1203" customWidth="1"/>
    <col min="12297" max="12297" width="12" style="1203" customWidth="1"/>
    <col min="12298" max="12298" width="12.75" style="1203" customWidth="1"/>
    <col min="12299" max="12299" width="13" style="1203" customWidth="1"/>
    <col min="12300" max="12300" width="12.375" style="1203" customWidth="1"/>
    <col min="12301" max="12301" width="11.75" style="1203" customWidth="1"/>
    <col min="12302" max="12302" width="13" style="1203" customWidth="1"/>
    <col min="12303" max="12303" width="14.125" style="1203" bestFit="1" customWidth="1"/>
    <col min="12304" max="12304" width="3.625" style="1203" customWidth="1"/>
    <col min="12305"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3" style="1203" customWidth="1"/>
    <col min="12553" max="12553" width="12" style="1203" customWidth="1"/>
    <col min="12554" max="12554" width="12.75" style="1203" customWidth="1"/>
    <col min="12555" max="12555" width="13" style="1203" customWidth="1"/>
    <col min="12556" max="12556" width="12.375" style="1203" customWidth="1"/>
    <col min="12557" max="12557" width="11.75" style="1203" customWidth="1"/>
    <col min="12558" max="12558" width="13" style="1203" customWidth="1"/>
    <col min="12559" max="12559" width="14.125" style="1203" bestFit="1" customWidth="1"/>
    <col min="12560" max="12560" width="3.625" style="1203" customWidth="1"/>
    <col min="12561"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3" style="1203" customWidth="1"/>
    <col min="12809" max="12809" width="12" style="1203" customWidth="1"/>
    <col min="12810" max="12810" width="12.75" style="1203" customWidth="1"/>
    <col min="12811" max="12811" width="13" style="1203" customWidth="1"/>
    <col min="12812" max="12812" width="12.375" style="1203" customWidth="1"/>
    <col min="12813" max="12813" width="11.75" style="1203" customWidth="1"/>
    <col min="12814" max="12814" width="13" style="1203" customWidth="1"/>
    <col min="12815" max="12815" width="14.125" style="1203" bestFit="1" customWidth="1"/>
    <col min="12816" max="12816" width="3.625" style="1203" customWidth="1"/>
    <col min="12817"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3" style="1203" customWidth="1"/>
    <col min="13065" max="13065" width="12" style="1203" customWidth="1"/>
    <col min="13066" max="13066" width="12.75" style="1203" customWidth="1"/>
    <col min="13067" max="13067" width="13" style="1203" customWidth="1"/>
    <col min="13068" max="13068" width="12.375" style="1203" customWidth="1"/>
    <col min="13069" max="13069" width="11.75" style="1203" customWidth="1"/>
    <col min="13070" max="13070" width="13" style="1203" customWidth="1"/>
    <col min="13071" max="13071" width="14.125" style="1203" bestFit="1" customWidth="1"/>
    <col min="13072" max="13072" width="3.625" style="1203" customWidth="1"/>
    <col min="13073"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3" style="1203" customWidth="1"/>
    <col min="13321" max="13321" width="12" style="1203" customWidth="1"/>
    <col min="13322" max="13322" width="12.75" style="1203" customWidth="1"/>
    <col min="13323" max="13323" width="13" style="1203" customWidth="1"/>
    <col min="13324" max="13324" width="12.375" style="1203" customWidth="1"/>
    <col min="13325" max="13325" width="11.75" style="1203" customWidth="1"/>
    <col min="13326" max="13326" width="13" style="1203" customWidth="1"/>
    <col min="13327" max="13327" width="14.125" style="1203" bestFit="1" customWidth="1"/>
    <col min="13328" max="13328" width="3.625" style="1203" customWidth="1"/>
    <col min="13329"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3" style="1203" customWidth="1"/>
    <col min="13577" max="13577" width="12" style="1203" customWidth="1"/>
    <col min="13578" max="13578" width="12.75" style="1203" customWidth="1"/>
    <col min="13579" max="13579" width="13" style="1203" customWidth="1"/>
    <col min="13580" max="13580" width="12.375" style="1203" customWidth="1"/>
    <col min="13581" max="13581" width="11.75" style="1203" customWidth="1"/>
    <col min="13582" max="13582" width="13" style="1203" customWidth="1"/>
    <col min="13583" max="13583" width="14.125" style="1203" bestFit="1" customWidth="1"/>
    <col min="13584" max="13584" width="3.625" style="1203" customWidth="1"/>
    <col min="13585"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3" style="1203" customWidth="1"/>
    <col min="13833" max="13833" width="12" style="1203" customWidth="1"/>
    <col min="13834" max="13834" width="12.75" style="1203" customWidth="1"/>
    <col min="13835" max="13835" width="13" style="1203" customWidth="1"/>
    <col min="13836" max="13836" width="12.375" style="1203" customWidth="1"/>
    <col min="13837" max="13837" width="11.75" style="1203" customWidth="1"/>
    <col min="13838" max="13838" width="13" style="1203" customWidth="1"/>
    <col min="13839" max="13839" width="14.125" style="1203" bestFit="1" customWidth="1"/>
    <col min="13840" max="13840" width="3.625" style="1203" customWidth="1"/>
    <col min="13841"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3" style="1203" customWidth="1"/>
    <col min="14089" max="14089" width="12" style="1203" customWidth="1"/>
    <col min="14090" max="14090" width="12.75" style="1203" customWidth="1"/>
    <col min="14091" max="14091" width="13" style="1203" customWidth="1"/>
    <col min="14092" max="14092" width="12.375" style="1203" customWidth="1"/>
    <col min="14093" max="14093" width="11.75" style="1203" customWidth="1"/>
    <col min="14094" max="14094" width="13" style="1203" customWidth="1"/>
    <col min="14095" max="14095" width="14.125" style="1203" bestFit="1" customWidth="1"/>
    <col min="14096" max="14096" width="3.625" style="1203" customWidth="1"/>
    <col min="14097"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3" style="1203" customWidth="1"/>
    <col min="14345" max="14345" width="12" style="1203" customWidth="1"/>
    <col min="14346" max="14346" width="12.75" style="1203" customWidth="1"/>
    <col min="14347" max="14347" width="13" style="1203" customWidth="1"/>
    <col min="14348" max="14348" width="12.375" style="1203" customWidth="1"/>
    <col min="14349" max="14349" width="11.75" style="1203" customWidth="1"/>
    <col min="14350" max="14350" width="13" style="1203" customWidth="1"/>
    <col min="14351" max="14351" width="14.125" style="1203" bestFit="1" customWidth="1"/>
    <col min="14352" max="14352" width="3.625" style="1203" customWidth="1"/>
    <col min="14353"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3" style="1203" customWidth="1"/>
    <col min="14601" max="14601" width="12" style="1203" customWidth="1"/>
    <col min="14602" max="14602" width="12.75" style="1203" customWidth="1"/>
    <col min="14603" max="14603" width="13" style="1203" customWidth="1"/>
    <col min="14604" max="14604" width="12.375" style="1203" customWidth="1"/>
    <col min="14605" max="14605" width="11.75" style="1203" customWidth="1"/>
    <col min="14606" max="14606" width="13" style="1203" customWidth="1"/>
    <col min="14607" max="14607" width="14.125" style="1203" bestFit="1" customWidth="1"/>
    <col min="14608" max="14608" width="3.625" style="1203" customWidth="1"/>
    <col min="14609"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3" style="1203" customWidth="1"/>
    <col min="14857" max="14857" width="12" style="1203" customWidth="1"/>
    <col min="14858" max="14858" width="12.75" style="1203" customWidth="1"/>
    <col min="14859" max="14859" width="13" style="1203" customWidth="1"/>
    <col min="14860" max="14860" width="12.375" style="1203" customWidth="1"/>
    <col min="14861" max="14861" width="11.75" style="1203" customWidth="1"/>
    <col min="14862" max="14862" width="13" style="1203" customWidth="1"/>
    <col min="14863" max="14863" width="14.125" style="1203" bestFit="1" customWidth="1"/>
    <col min="14864" max="14864" width="3.625" style="1203" customWidth="1"/>
    <col min="14865"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3" style="1203" customWidth="1"/>
    <col min="15113" max="15113" width="12" style="1203" customWidth="1"/>
    <col min="15114" max="15114" width="12.75" style="1203" customWidth="1"/>
    <col min="15115" max="15115" width="13" style="1203" customWidth="1"/>
    <col min="15116" max="15116" width="12.375" style="1203" customWidth="1"/>
    <col min="15117" max="15117" width="11.75" style="1203" customWidth="1"/>
    <col min="15118" max="15118" width="13" style="1203" customWidth="1"/>
    <col min="15119" max="15119" width="14.125" style="1203" bestFit="1" customWidth="1"/>
    <col min="15120" max="15120" width="3.625" style="1203" customWidth="1"/>
    <col min="15121"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3" style="1203" customWidth="1"/>
    <col min="15369" max="15369" width="12" style="1203" customWidth="1"/>
    <col min="15370" max="15370" width="12.75" style="1203" customWidth="1"/>
    <col min="15371" max="15371" width="13" style="1203" customWidth="1"/>
    <col min="15372" max="15372" width="12.375" style="1203" customWidth="1"/>
    <col min="15373" max="15373" width="11.75" style="1203" customWidth="1"/>
    <col min="15374" max="15374" width="13" style="1203" customWidth="1"/>
    <col min="15375" max="15375" width="14.125" style="1203" bestFit="1" customWidth="1"/>
    <col min="15376" max="15376" width="3.625" style="1203" customWidth="1"/>
    <col min="15377"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3" style="1203" customWidth="1"/>
    <col min="15625" max="15625" width="12" style="1203" customWidth="1"/>
    <col min="15626" max="15626" width="12.75" style="1203" customWidth="1"/>
    <col min="15627" max="15627" width="13" style="1203" customWidth="1"/>
    <col min="15628" max="15628" width="12.375" style="1203" customWidth="1"/>
    <col min="15629" max="15629" width="11.75" style="1203" customWidth="1"/>
    <col min="15630" max="15630" width="13" style="1203" customWidth="1"/>
    <col min="15631" max="15631" width="14.125" style="1203" bestFit="1" customWidth="1"/>
    <col min="15632" max="15632" width="3.625" style="1203" customWidth="1"/>
    <col min="15633"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3" style="1203" customWidth="1"/>
    <col min="15881" max="15881" width="12" style="1203" customWidth="1"/>
    <col min="15882" max="15882" width="12.75" style="1203" customWidth="1"/>
    <col min="15883" max="15883" width="13" style="1203" customWidth="1"/>
    <col min="15884" max="15884" width="12.375" style="1203" customWidth="1"/>
    <col min="15885" max="15885" width="11.75" style="1203" customWidth="1"/>
    <col min="15886" max="15886" width="13" style="1203" customWidth="1"/>
    <col min="15887" max="15887" width="14.125" style="1203" bestFit="1" customWidth="1"/>
    <col min="15888" max="15888" width="3.625" style="1203" customWidth="1"/>
    <col min="15889"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3" style="1203" customWidth="1"/>
    <col min="16137" max="16137" width="12" style="1203" customWidth="1"/>
    <col min="16138" max="16138" width="12.75" style="1203" customWidth="1"/>
    <col min="16139" max="16139" width="13" style="1203" customWidth="1"/>
    <col min="16140" max="16140" width="12.375" style="1203" customWidth="1"/>
    <col min="16141" max="16141" width="11.75" style="1203" customWidth="1"/>
    <col min="16142" max="16142" width="13" style="1203" customWidth="1"/>
    <col min="16143" max="16143" width="14.125" style="1203" bestFit="1" customWidth="1"/>
    <col min="16144" max="16144" width="3.625" style="1203" customWidth="1"/>
    <col min="16145" max="16384" width="9" style="1203"/>
  </cols>
  <sheetData>
    <row r="1" spans="1:15" ht="24.95" customHeight="1">
      <c r="A1" s="1287" t="s">
        <v>1801</v>
      </c>
    </row>
    <row r="2" spans="1:15" ht="24.95" customHeight="1" thickBot="1">
      <c r="A2" s="1203" t="s">
        <v>1718</v>
      </c>
      <c r="K2" s="1248" t="s">
        <v>1717</v>
      </c>
    </row>
    <row r="3" spans="1:15" ht="24.95" customHeight="1">
      <c r="A3" s="1222" t="s">
        <v>1716</v>
      </c>
      <c r="B3" s="1221"/>
      <c r="C3" s="1221"/>
      <c r="D3" s="1286" t="s">
        <v>1715</v>
      </c>
      <c r="E3" s="1285" t="s">
        <v>1714</v>
      </c>
      <c r="F3" s="1283"/>
      <c r="G3" s="1283"/>
      <c r="H3" s="1282"/>
      <c r="I3" s="1284" t="s">
        <v>1713</v>
      </c>
      <c r="J3" s="1283"/>
      <c r="K3" s="1282"/>
    </row>
    <row r="4" spans="1:15" s="1262" customFormat="1" ht="24.95" customHeight="1">
      <c r="A4" s="1281"/>
      <c r="B4" s="1280"/>
      <c r="C4" s="1280"/>
      <c r="D4" s="1279"/>
      <c r="E4" s="1278" t="s">
        <v>1712</v>
      </c>
      <c r="F4" s="1277"/>
      <c r="G4" s="1276" t="s">
        <v>1711</v>
      </c>
      <c r="H4" s="1273" t="s">
        <v>1710</v>
      </c>
      <c r="I4" s="1275" t="s">
        <v>1712</v>
      </c>
      <c r="J4" s="1274" t="s">
        <v>1711</v>
      </c>
      <c r="K4" s="1273" t="s">
        <v>1710</v>
      </c>
    </row>
    <row r="5" spans="1:15" s="1264" customFormat="1" ht="24.95" customHeight="1">
      <c r="A5" s="1272"/>
      <c r="B5" s="1271"/>
      <c r="C5" s="1271"/>
      <c r="D5" s="1270"/>
      <c r="E5" s="1269" t="s">
        <v>1707</v>
      </c>
      <c r="F5" s="1266" t="s">
        <v>1709</v>
      </c>
      <c r="G5" s="1268" t="s">
        <v>1708</v>
      </c>
      <c r="H5" s="1265"/>
      <c r="I5" s="1267" t="s">
        <v>1707</v>
      </c>
      <c r="J5" s="1266" t="s">
        <v>1707</v>
      </c>
      <c r="K5" s="1265"/>
    </row>
    <row r="6" spans="1:15" ht="24.95" customHeight="1">
      <c r="A6" s="1254"/>
      <c r="B6" s="1244" t="s">
        <v>1669</v>
      </c>
      <c r="C6" s="1247"/>
      <c r="D6" s="1235">
        <f>SUM(D7:D20)</f>
        <v>11612269048</v>
      </c>
      <c r="E6" s="1234">
        <f>SUM(E7:E20)</f>
        <v>2347823002</v>
      </c>
      <c r="F6" s="1231">
        <f>SUM(F7:F20)</f>
        <v>215321104</v>
      </c>
      <c r="G6" s="1231">
        <f>SUM(G7:G20)</f>
        <v>380587586</v>
      </c>
      <c r="H6" s="1230">
        <f t="shared" ref="H6:H24" si="0">SUM(E6:G6)</f>
        <v>2943731692</v>
      </c>
      <c r="I6" s="1232">
        <f>SUM(I7:I20)</f>
        <v>88724768</v>
      </c>
      <c r="J6" s="1231">
        <f>SUM(J7:J20)</f>
        <v>7014284005</v>
      </c>
      <c r="K6" s="1230">
        <f t="shared" ref="K6:K24" si="1">SUM(I6:J6)</f>
        <v>7103008773</v>
      </c>
      <c r="M6" s="1203">
        <f t="shared" ref="M6:M24" si="2">D6-H6-K6</f>
        <v>1565528583</v>
      </c>
    </row>
    <row r="7" spans="1:15" ht="24.95" customHeight="1">
      <c r="A7" s="1241"/>
      <c r="B7" s="1244"/>
      <c r="C7" s="1244" t="s">
        <v>1502</v>
      </c>
      <c r="D7" s="1235">
        <f>+'雨汚水(共通按分後)'!E7</f>
        <v>611819957</v>
      </c>
      <c r="E7" s="1234">
        <f>+'雨汚水(共通按分後)'!F7</f>
        <v>230221297</v>
      </c>
      <c r="F7" s="1231">
        <f>+'雨汚水(共通按分後)'!G7</f>
        <v>52397598</v>
      </c>
      <c r="G7" s="1231">
        <f>+'雨汚水(共通按分後)'!H7</f>
        <v>9132669</v>
      </c>
      <c r="H7" s="1230">
        <f t="shared" si="0"/>
        <v>291751564</v>
      </c>
      <c r="I7" s="1232">
        <f>+'雨汚水(共通按分後)'!J7</f>
        <v>0</v>
      </c>
      <c r="J7" s="1231">
        <f>+'雨汚水(共通按分後)'!K7</f>
        <v>221309810</v>
      </c>
      <c r="K7" s="1230">
        <f t="shared" si="1"/>
        <v>221309810</v>
      </c>
      <c r="M7" s="1203">
        <f t="shared" si="2"/>
        <v>98758583</v>
      </c>
    </row>
    <row r="8" spans="1:15" ht="24.95" customHeight="1">
      <c r="A8" s="1241"/>
      <c r="B8" s="1245"/>
      <c r="C8" s="1244" t="s">
        <v>1499</v>
      </c>
      <c r="D8" s="1235">
        <f>+'雨汚水(共通按分後)'!E8</f>
        <v>52443869</v>
      </c>
      <c r="E8" s="1234">
        <f>+'雨汚水(共通按分後)'!F8</f>
        <v>0</v>
      </c>
      <c r="F8" s="1231">
        <f>+'雨汚水(共通按分後)'!G8</f>
        <v>0</v>
      </c>
      <c r="G8" s="1231">
        <f>+'雨汚水(共通按分後)'!H8</f>
        <v>0</v>
      </c>
      <c r="H8" s="1230">
        <f t="shared" si="0"/>
        <v>0</v>
      </c>
      <c r="I8" s="1232">
        <f>+'雨汚水(共通按分後)'!J8</f>
        <v>52443869</v>
      </c>
      <c r="J8" s="1231">
        <f>+'雨汚水(共通按分後)'!K8</f>
        <v>0</v>
      </c>
      <c r="K8" s="1230">
        <f t="shared" si="1"/>
        <v>52443869</v>
      </c>
      <c r="M8" s="1203">
        <f t="shared" si="2"/>
        <v>0</v>
      </c>
    </row>
    <row r="9" spans="1:15" ht="24.95" customHeight="1">
      <c r="A9" s="1241"/>
      <c r="B9" s="1245"/>
      <c r="C9" s="1244" t="s">
        <v>1496</v>
      </c>
      <c r="D9" s="1235">
        <f>+'雨汚水(共通按分後)'!E9</f>
        <v>2356040225</v>
      </c>
      <c r="E9" s="1234">
        <f>+'雨汚水(共通按分後)'!F9</f>
        <v>1527401796</v>
      </c>
      <c r="F9" s="1231">
        <f>+'雨汚水(共通按分後)'!G9</f>
        <v>48067803</v>
      </c>
      <c r="G9" s="1231">
        <f>+'雨汚水(共通按分後)'!H9</f>
        <v>0</v>
      </c>
      <c r="H9" s="1230">
        <f t="shared" si="0"/>
        <v>1575469599</v>
      </c>
      <c r="I9" s="1232">
        <f>+'雨汚水(共通按分後)'!J9</f>
        <v>0</v>
      </c>
      <c r="J9" s="1231">
        <f>+'雨汚水(共通按分後)'!K9</f>
        <v>533320590</v>
      </c>
      <c r="K9" s="1230">
        <f t="shared" si="1"/>
        <v>533320590</v>
      </c>
      <c r="M9" s="1203">
        <f t="shared" si="2"/>
        <v>247250036</v>
      </c>
    </row>
    <row r="10" spans="1:15" ht="24.95" customHeight="1">
      <c r="A10" s="1241"/>
      <c r="B10" s="1245"/>
      <c r="C10" s="1244" t="s">
        <v>1494</v>
      </c>
      <c r="D10" s="1235">
        <f>+'雨汚水(共通按分後)'!E10</f>
        <v>6557703864</v>
      </c>
      <c r="E10" s="1234">
        <f>+'雨汚水(共通按分後)'!F10</f>
        <v>577234561</v>
      </c>
      <c r="F10" s="1231">
        <f>+'雨汚水(共通按分後)'!G10</f>
        <v>115034634</v>
      </c>
      <c r="G10" s="1231">
        <f>+'雨汚水(共通按分後)'!H10</f>
        <v>344422481</v>
      </c>
      <c r="H10" s="1230">
        <f t="shared" si="0"/>
        <v>1036691676</v>
      </c>
      <c r="I10" s="1263">
        <f>+'雨汚水(共通按分後)'!J10</f>
        <v>1493402</v>
      </c>
      <c r="J10" s="1231">
        <f>+'雨汚水(共通按分後)'!K10</f>
        <v>4285094822</v>
      </c>
      <c r="K10" s="1230">
        <f t="shared" si="1"/>
        <v>4286588224</v>
      </c>
      <c r="M10" s="1203">
        <f t="shared" si="2"/>
        <v>1234423964</v>
      </c>
    </row>
    <row r="11" spans="1:15" ht="24.95" customHeight="1">
      <c r="A11" s="1241"/>
      <c r="B11" s="1245"/>
      <c r="C11" s="1244" t="s">
        <v>1492</v>
      </c>
      <c r="D11" s="1235">
        <f>+'雨汚水(共通按分後)'!E11</f>
        <v>0</v>
      </c>
      <c r="E11" s="1234">
        <f>+'雨汚水(共通按分後)'!F11</f>
        <v>0</v>
      </c>
      <c r="F11" s="1231">
        <f>+'雨汚水(共通按分後)'!G11</f>
        <v>0</v>
      </c>
      <c r="G11" s="1231">
        <f>+'雨汚水(共通按分後)'!H11</f>
        <v>0</v>
      </c>
      <c r="H11" s="1230">
        <f t="shared" si="0"/>
        <v>0</v>
      </c>
      <c r="I11" s="1232">
        <f>+'雨汚水(共通按分後)'!J11</f>
        <v>0</v>
      </c>
      <c r="J11" s="1231">
        <f>+'雨汚水(共通按分後)'!K11</f>
        <v>0</v>
      </c>
      <c r="K11" s="1230">
        <f t="shared" si="1"/>
        <v>0</v>
      </c>
      <c r="L11" s="1262" t="s">
        <v>1706</v>
      </c>
      <c r="M11" s="1203">
        <f t="shared" si="2"/>
        <v>0</v>
      </c>
    </row>
    <row r="12" spans="1:15" ht="24.95" customHeight="1">
      <c r="A12" s="1241"/>
      <c r="B12" s="1245"/>
      <c r="C12" s="1244" t="s">
        <v>1490</v>
      </c>
      <c r="D12" s="1235">
        <f>+'雨汚水(共通按分後)'!E12</f>
        <v>88849549</v>
      </c>
      <c r="E12" s="1234">
        <f>+'雨汚水(共通按分後)'!F12</f>
        <v>0</v>
      </c>
      <c r="F12" s="1231">
        <f>+'雨汚水(共通按分後)'!G12</f>
        <v>0</v>
      </c>
      <c r="G12" s="1231">
        <f>+'雨汚水(共通按分後)'!H12</f>
        <v>19274556</v>
      </c>
      <c r="H12" s="1230">
        <f t="shared" si="0"/>
        <v>19274556</v>
      </c>
      <c r="I12" s="1232">
        <f>+'雨汚水(共通按分後)'!J12</f>
        <v>34787497</v>
      </c>
      <c r="J12" s="1231">
        <f>+'雨汚水(共通按分後)'!K12</f>
        <v>34787496</v>
      </c>
      <c r="K12" s="1230">
        <f t="shared" si="1"/>
        <v>69574993</v>
      </c>
      <c r="L12" s="1203">
        <f>G12+I12</f>
        <v>54062053</v>
      </c>
      <c r="M12" s="1203">
        <f t="shared" si="2"/>
        <v>0</v>
      </c>
    </row>
    <row r="13" spans="1:15" ht="24.95" customHeight="1">
      <c r="A13" s="1241"/>
      <c r="B13" s="1245"/>
      <c r="C13" s="1259" t="s">
        <v>1487</v>
      </c>
      <c r="D13" s="1235">
        <f>+'雨汚水(共通按分後)'!E13</f>
        <v>10483859</v>
      </c>
      <c r="E13" s="1234">
        <f>+'雨汚水(共通按分後)'!F13</f>
        <v>0</v>
      </c>
      <c r="F13" s="1231">
        <f>+'雨汚水(共通按分後)'!G13</f>
        <v>0</v>
      </c>
      <c r="G13" s="1231">
        <f>+'雨汚水(共通按分後)'!H13</f>
        <v>10483859</v>
      </c>
      <c r="H13" s="1230">
        <f t="shared" si="0"/>
        <v>10483859</v>
      </c>
      <c r="I13" s="1232">
        <f>+'雨汚水(共通按分後)'!J13</f>
        <v>0</v>
      </c>
      <c r="J13" s="1231">
        <f>+'雨汚水(共通按分後)'!K13</f>
        <v>0</v>
      </c>
      <c r="K13" s="1230">
        <f t="shared" si="1"/>
        <v>0</v>
      </c>
      <c r="L13" s="1203" t="s">
        <v>1705</v>
      </c>
      <c r="M13" s="1203">
        <f t="shared" si="2"/>
        <v>0</v>
      </c>
    </row>
    <row r="14" spans="1:15" ht="24.95" customHeight="1">
      <c r="A14" s="1241"/>
      <c r="B14" s="1245"/>
      <c r="C14" s="1244" t="s">
        <v>1485</v>
      </c>
      <c r="D14" s="1235">
        <f>+'雨汚水(共通按分後)'!E14</f>
        <v>1019945143</v>
      </c>
      <c r="E14" s="1234">
        <f>+'雨汚水(共通按分後)'!F14</f>
        <v>0</v>
      </c>
      <c r="F14" s="1231">
        <f>+'雨汚水(共通按分後)'!G14</f>
        <v>0</v>
      </c>
      <c r="G14" s="1231">
        <f>+'雨汚水(共通按分後)'!H14</f>
        <v>4521799</v>
      </c>
      <c r="H14" s="1230">
        <f t="shared" si="0"/>
        <v>4521799</v>
      </c>
      <c r="I14" s="1232">
        <f>+'雨汚水(共通按分後)'!J14</f>
        <v>0</v>
      </c>
      <c r="J14" s="1231">
        <f>+'雨汚水(共通按分後)'!K14</f>
        <v>1015423344</v>
      </c>
      <c r="K14" s="1230">
        <f t="shared" si="1"/>
        <v>1015423344</v>
      </c>
      <c r="L14" s="1203">
        <f>G13+G40</f>
        <v>10483859</v>
      </c>
      <c r="M14" s="1203">
        <f t="shared" si="2"/>
        <v>0</v>
      </c>
      <c r="O14" s="1261" t="s">
        <v>1704</v>
      </c>
    </row>
    <row r="15" spans="1:15" ht="24.95" customHeight="1">
      <c r="A15" s="1241"/>
      <c r="B15" s="1245"/>
      <c r="C15" s="1244" t="s">
        <v>1483</v>
      </c>
      <c r="D15" s="1235">
        <f>+'雨汚水(共通按分後)'!E15</f>
        <v>914982582</v>
      </c>
      <c r="E15" s="1234">
        <f>+'雨汚水(共通按分後)'!F15</f>
        <v>-1938652</v>
      </c>
      <c r="F15" s="1231">
        <f>+'雨汚水(共通按分後)'!G15</f>
        <v>-178931</v>
      </c>
      <c r="G15" s="1231">
        <f>+'雨汚水(共通按分後)'!H15</f>
        <v>-7247778</v>
      </c>
      <c r="H15" s="1230">
        <f t="shared" si="0"/>
        <v>-9365361</v>
      </c>
      <c r="I15" s="1232">
        <f>+'雨汚水(共通按分後)'!J15</f>
        <v>0</v>
      </c>
      <c r="J15" s="1231">
        <f>+'雨汚水(共通按分後)'!K15</f>
        <v>924347943</v>
      </c>
      <c r="K15" s="1230">
        <f t="shared" si="1"/>
        <v>924347943</v>
      </c>
      <c r="M15" s="1203">
        <f t="shared" si="2"/>
        <v>0</v>
      </c>
      <c r="O15" s="1260">
        <f>+総係!E37-総係!E36</f>
        <v>482288769</v>
      </c>
    </row>
    <row r="16" spans="1:15" ht="24.95" customHeight="1">
      <c r="A16" s="1241"/>
      <c r="B16" s="1245"/>
      <c r="C16" s="1259" t="s">
        <v>1703</v>
      </c>
      <c r="D16" s="1235">
        <f>+'雨汚水(共通按分後)'!E16</f>
        <v>0</v>
      </c>
      <c r="E16" s="1234">
        <f>+'雨汚水(共通按分後)'!F16</f>
        <v>0</v>
      </c>
      <c r="F16" s="1231">
        <f>+'雨汚水(共通按分後)'!G16</f>
        <v>0</v>
      </c>
      <c r="G16" s="1231">
        <f>+'雨汚水(共通按分後)'!H16</f>
        <v>0</v>
      </c>
      <c r="H16" s="1230">
        <f t="shared" si="0"/>
        <v>0</v>
      </c>
      <c r="I16" s="1232">
        <f>+'雨汚水(共通按分後)'!J16</f>
        <v>0</v>
      </c>
      <c r="J16" s="1231">
        <f>+'雨汚水(共通按分後)'!K16</f>
        <v>0</v>
      </c>
      <c r="K16" s="1230">
        <f t="shared" si="1"/>
        <v>0</v>
      </c>
      <c r="M16" s="1203">
        <f t="shared" si="2"/>
        <v>0</v>
      </c>
    </row>
    <row r="17" spans="1:13" ht="24.95" customHeight="1">
      <c r="A17" s="1241"/>
      <c r="B17" s="1245"/>
      <c r="C17" s="1244" t="s">
        <v>1702</v>
      </c>
      <c r="D17" s="1235">
        <f>+'雨汚水(共通按分後)'!E17</f>
        <v>0</v>
      </c>
      <c r="E17" s="1234">
        <f>+'雨汚水(共通按分後)'!F17</f>
        <v>0</v>
      </c>
      <c r="F17" s="1231">
        <f>+'雨汚水(共通按分後)'!G17</f>
        <v>0</v>
      </c>
      <c r="G17" s="1231">
        <f>+'雨汚水(共通按分後)'!H17</f>
        <v>0</v>
      </c>
      <c r="H17" s="1230">
        <f t="shared" si="0"/>
        <v>0</v>
      </c>
      <c r="I17" s="1232">
        <f>+'雨汚水(共通按分後)'!J17</f>
        <v>0</v>
      </c>
      <c r="J17" s="1231">
        <f>+'雨汚水(共通按分後)'!K17</f>
        <v>0</v>
      </c>
      <c r="K17" s="1230">
        <f t="shared" si="1"/>
        <v>0</v>
      </c>
      <c r="M17" s="1203">
        <f t="shared" si="2"/>
        <v>0</v>
      </c>
    </row>
    <row r="18" spans="1:13" ht="24.95" customHeight="1">
      <c r="A18" s="1241"/>
      <c r="B18" s="1245"/>
      <c r="C18" s="1244" t="s">
        <v>1701</v>
      </c>
      <c r="D18" s="1235">
        <f>+'雨汚水(共通按分後)'!E18</f>
        <v>0</v>
      </c>
      <c r="E18" s="1234">
        <f>+'雨汚水(共通按分後)'!F18</f>
        <v>0</v>
      </c>
      <c r="F18" s="1231">
        <f>+'雨汚水(共通按分後)'!G18</f>
        <v>0</v>
      </c>
      <c r="G18" s="1231">
        <f>+'雨汚水(共通按分後)'!H18</f>
        <v>0</v>
      </c>
      <c r="H18" s="1230">
        <f t="shared" si="0"/>
        <v>0</v>
      </c>
      <c r="I18" s="1232">
        <f>+'雨汚水(共通按分後)'!J18</f>
        <v>0</v>
      </c>
      <c r="J18" s="1231">
        <f>+'雨汚水(共通按分後)'!K18</f>
        <v>0</v>
      </c>
      <c r="K18" s="1230">
        <f t="shared" si="1"/>
        <v>0</v>
      </c>
      <c r="M18" s="1203">
        <f t="shared" si="2"/>
        <v>0</v>
      </c>
    </row>
    <row r="19" spans="1:13" ht="24.95" customHeight="1">
      <c r="A19" s="1241"/>
      <c r="B19" s="1245"/>
      <c r="C19" s="1244" t="s">
        <v>1700</v>
      </c>
      <c r="D19" s="1235">
        <f>+'雨汚水(共通按分後)'!E19</f>
        <v>0</v>
      </c>
      <c r="E19" s="1234">
        <f>+'雨汚水(共通按分後)'!F19</f>
        <v>0</v>
      </c>
      <c r="F19" s="1231">
        <f>+'雨汚水(共通按分後)'!G19</f>
        <v>0</v>
      </c>
      <c r="G19" s="1231">
        <f>+'雨汚水(共通按分後)'!H19</f>
        <v>0</v>
      </c>
      <c r="H19" s="1230">
        <f t="shared" si="0"/>
        <v>0</v>
      </c>
      <c r="I19" s="1232">
        <f>+'雨汚水(共通按分後)'!J19</f>
        <v>0</v>
      </c>
      <c r="J19" s="1231">
        <f>+'雨汚水(共通按分後)'!K19</f>
        <v>0</v>
      </c>
      <c r="K19" s="1230">
        <f t="shared" si="1"/>
        <v>0</v>
      </c>
      <c r="M19" s="1203">
        <f t="shared" si="2"/>
        <v>0</v>
      </c>
    </row>
    <row r="20" spans="1:13" ht="24.95" customHeight="1">
      <c r="A20" s="1241"/>
      <c r="B20" s="1245"/>
      <c r="C20" s="1244" t="s">
        <v>1699</v>
      </c>
      <c r="D20" s="1235">
        <f>+'雨汚水(共通按分後)'!E20</f>
        <v>0</v>
      </c>
      <c r="E20" s="1234">
        <f>+'雨汚水(共通按分後)'!F20</f>
        <v>14904000</v>
      </c>
      <c r="F20" s="1231">
        <f>+'雨汚水(共通按分後)'!G20</f>
        <v>0</v>
      </c>
      <c r="G20" s="1231">
        <f>+'雨汚水(共通按分後)'!H20</f>
        <v>0</v>
      </c>
      <c r="H20" s="1230">
        <f t="shared" si="0"/>
        <v>14904000</v>
      </c>
      <c r="I20" s="1232">
        <f>+'雨汚水(共通按分後)'!J20</f>
        <v>0</v>
      </c>
      <c r="J20" s="1231">
        <f>+'雨汚水(共通按分後)'!K20</f>
        <v>0</v>
      </c>
      <c r="K20" s="1230">
        <f t="shared" si="1"/>
        <v>0</v>
      </c>
      <c r="M20" s="1203">
        <f t="shared" si="2"/>
        <v>-14904000</v>
      </c>
    </row>
    <row r="21" spans="1:13" ht="24.95" customHeight="1">
      <c r="A21" s="1241"/>
      <c r="B21" s="1244" t="s">
        <v>1657</v>
      </c>
      <c r="C21" s="1244"/>
      <c r="D21" s="1235">
        <f>SUM(D22:D25)</f>
        <v>9226652</v>
      </c>
      <c r="E21" s="1234">
        <f>SUM(E22:E25)</f>
        <v>0</v>
      </c>
      <c r="F21" s="1231">
        <f>SUM(F22:F25)</f>
        <v>0</v>
      </c>
      <c r="G21" s="1231">
        <f>SUM(G22:G25)</f>
        <v>0</v>
      </c>
      <c r="H21" s="1230">
        <f t="shared" si="0"/>
        <v>0</v>
      </c>
      <c r="I21" s="1232">
        <f>SUM(I22:I25)</f>
        <v>0</v>
      </c>
      <c r="J21" s="1231">
        <f>SUM(J22:J25)</f>
        <v>9226652</v>
      </c>
      <c r="K21" s="1230">
        <f t="shared" si="1"/>
        <v>9226652</v>
      </c>
      <c r="M21" s="1203">
        <f t="shared" si="2"/>
        <v>0</v>
      </c>
    </row>
    <row r="22" spans="1:13" ht="24.95" customHeight="1">
      <c r="A22" s="1241"/>
      <c r="B22" s="1244"/>
      <c r="C22" s="1244" t="s">
        <v>1698</v>
      </c>
      <c r="D22" s="1235">
        <f>+'雨汚水(共通按分後)'!E22</f>
        <v>2483</v>
      </c>
      <c r="E22" s="1234">
        <f>+'雨汚水(共通按分後)'!F22</f>
        <v>0</v>
      </c>
      <c r="F22" s="1231">
        <f>+'雨汚水(共通按分後)'!G22</f>
        <v>0</v>
      </c>
      <c r="G22" s="1231">
        <f>+'雨汚水(共通按分後)'!H22</f>
        <v>0</v>
      </c>
      <c r="H22" s="1230">
        <f t="shared" si="0"/>
        <v>0</v>
      </c>
      <c r="I22" s="1232">
        <f>+'雨汚水(共通按分後)'!J22</f>
        <v>0</v>
      </c>
      <c r="J22" s="1231">
        <f>+'雨汚水(共通按分後)'!K22</f>
        <v>2483</v>
      </c>
      <c r="K22" s="1230">
        <f t="shared" si="1"/>
        <v>2483</v>
      </c>
      <c r="M22" s="1203">
        <f t="shared" si="2"/>
        <v>0</v>
      </c>
    </row>
    <row r="23" spans="1:13" ht="24.95" customHeight="1">
      <c r="A23" s="1241"/>
      <c r="B23" s="1245"/>
      <c r="C23" s="1244" t="s">
        <v>1656</v>
      </c>
      <c r="D23" s="1235">
        <f>'雨汚水(共通按分後)'!E23</f>
        <v>25896</v>
      </c>
      <c r="E23" s="1234">
        <f>'雨汚水(共通按分後)'!F23</f>
        <v>0</v>
      </c>
      <c r="F23" s="1231">
        <f>'雨汚水(共通按分後)'!G23</f>
        <v>0</v>
      </c>
      <c r="G23" s="1231">
        <f>+'雨汚水(共通按分後)'!H23</f>
        <v>-9198273</v>
      </c>
      <c r="H23" s="1230">
        <f t="shared" si="0"/>
        <v>-9198273</v>
      </c>
      <c r="I23" s="1232">
        <f>+'雨汚水(共通按分後)'!J23</f>
        <v>0</v>
      </c>
      <c r="J23" s="1231">
        <f>+'雨汚水(共通按分後)'!K23</f>
        <v>9224169</v>
      </c>
      <c r="K23" s="1230">
        <f t="shared" si="1"/>
        <v>9224169</v>
      </c>
      <c r="M23" s="1203">
        <f t="shared" si="2"/>
        <v>0</v>
      </c>
    </row>
    <row r="24" spans="1:13" ht="24.95" customHeight="1">
      <c r="A24" s="1241"/>
      <c r="B24" s="1245"/>
      <c r="C24" s="1259" t="s">
        <v>1697</v>
      </c>
      <c r="D24" s="1235">
        <f>'雨汚水(共通按分後)'!E24</f>
        <v>9198273</v>
      </c>
      <c r="E24" s="1234">
        <f>'雨汚水(共通按分後)'!F24</f>
        <v>0</v>
      </c>
      <c r="F24" s="1231">
        <f>'雨汚水(共通按分後)'!G24</f>
        <v>0</v>
      </c>
      <c r="G24" s="1231">
        <f>+'雨汚水(共通按分後)'!H24</f>
        <v>9198273</v>
      </c>
      <c r="H24" s="1230">
        <f t="shared" si="0"/>
        <v>9198273</v>
      </c>
      <c r="I24" s="1232">
        <f>+'雨汚水(共通按分後)'!J24</f>
        <v>0</v>
      </c>
      <c r="J24" s="1231">
        <f>+'雨汚水(共通按分後)'!K24</f>
        <v>0</v>
      </c>
      <c r="K24" s="1230">
        <f t="shared" si="1"/>
        <v>0</v>
      </c>
      <c r="M24" s="1203">
        <f t="shared" si="2"/>
        <v>0</v>
      </c>
    </row>
    <row r="25" spans="1:13" ht="24.95" customHeight="1">
      <c r="A25" s="1241"/>
      <c r="B25" s="1245"/>
      <c r="C25" s="1259" t="s">
        <v>1689</v>
      </c>
      <c r="D25" s="1235"/>
      <c r="E25" s="1234"/>
      <c r="F25" s="1231"/>
      <c r="G25" s="1231"/>
      <c r="H25" s="1230"/>
      <c r="I25" s="1258"/>
      <c r="J25" s="1231"/>
      <c r="K25" s="1230"/>
    </row>
    <row r="26" spans="1:13" ht="24.95" customHeight="1">
      <c r="A26" s="1241"/>
      <c r="B26" s="1244" t="s">
        <v>1653</v>
      </c>
      <c r="C26" s="1244"/>
      <c r="D26" s="1235">
        <f>SUM(D27:D28)</f>
        <v>20995298</v>
      </c>
      <c r="E26" s="1234">
        <f>SUM(E27:E28)</f>
        <v>6760</v>
      </c>
      <c r="F26" s="1231">
        <f>SUM(F27:F28)</f>
        <v>0</v>
      </c>
      <c r="G26" s="1231">
        <f>SUM(G27:G28)</f>
        <v>0</v>
      </c>
      <c r="H26" s="1230">
        <f>SUM(E26:G26)</f>
        <v>6760</v>
      </c>
      <c r="I26" s="1231">
        <f>SUM(I27:I28)</f>
        <v>0</v>
      </c>
      <c r="J26" s="1231">
        <f>SUM(J27:J28)</f>
        <v>20988538</v>
      </c>
      <c r="K26" s="1230">
        <f>SUM(I26:J26)</f>
        <v>20988538</v>
      </c>
      <c r="M26" s="1203">
        <f t="shared" ref="M26:M37" si="3">D26-H26-K26</f>
        <v>0</v>
      </c>
    </row>
    <row r="27" spans="1:13" ht="24.95" customHeight="1">
      <c r="A27" s="1241"/>
      <c r="B27" s="1244"/>
      <c r="C27" s="1257" t="s">
        <v>1696</v>
      </c>
      <c r="D27" s="1235">
        <f>+SUM('雨汚水(共通按分後)'!E28:E29)</f>
        <v>20995298</v>
      </c>
      <c r="E27" s="1234">
        <f>+SUM('雨汚水(共通按分後)'!F28:F29)</f>
        <v>6760</v>
      </c>
      <c r="F27" s="1231">
        <f>+SUM('雨汚水(共通按分後)'!G28:G29)</f>
        <v>0</v>
      </c>
      <c r="G27" s="1231">
        <f>+SUM('雨汚水(共通按分後)'!H28:H29)</f>
        <v>0</v>
      </c>
      <c r="H27" s="1230">
        <f>SUM(E27:G27)</f>
        <v>6760</v>
      </c>
      <c r="I27" s="1232">
        <f>+SUM('雨汚水(共通按分後)'!J28:J29)</f>
        <v>0</v>
      </c>
      <c r="J27" s="1231">
        <f>+SUM('雨汚水(共通按分後)'!K28:K29)</f>
        <v>20988538</v>
      </c>
      <c r="K27" s="1230">
        <f>SUM(I27:J27)</f>
        <v>20988538</v>
      </c>
      <c r="M27" s="1203">
        <f t="shared" si="3"/>
        <v>0</v>
      </c>
    </row>
    <row r="28" spans="1:13" ht="24.95" customHeight="1">
      <c r="A28" s="1241"/>
      <c r="B28" s="1245"/>
      <c r="C28" s="1244" t="s">
        <v>1435</v>
      </c>
      <c r="D28" s="1235">
        <f>+'雨汚水(共通按分後)'!E30</f>
        <v>0</v>
      </c>
      <c r="E28" s="1234">
        <f>+'雨汚水(共通按分後)'!F30</f>
        <v>0</v>
      </c>
      <c r="F28" s="1231">
        <f>+'雨汚水(共通按分後)'!G30</f>
        <v>0</v>
      </c>
      <c r="G28" s="1231">
        <f>+'雨汚水(共通按分後)'!H30</f>
        <v>0</v>
      </c>
      <c r="H28" s="1230">
        <f>SUM(E28:G28)</f>
        <v>0</v>
      </c>
      <c r="I28" s="1231">
        <f>+'雨汚水(共通按分後)'!J30</f>
        <v>0</v>
      </c>
      <c r="J28" s="1231">
        <f>+'雨汚水(共通按分後)'!K30</f>
        <v>0</v>
      </c>
      <c r="K28" s="1230">
        <f>SUM(I28:J28)</f>
        <v>0</v>
      </c>
      <c r="M28" s="1203">
        <f t="shared" si="3"/>
        <v>0</v>
      </c>
    </row>
    <row r="29" spans="1:13" ht="24.95" customHeight="1">
      <c r="A29" s="1241"/>
      <c r="B29" s="1242" t="s">
        <v>1695</v>
      </c>
      <c r="C29" s="1231"/>
      <c r="D29" s="1235">
        <v>0</v>
      </c>
      <c r="E29" s="1234"/>
      <c r="F29" s="1231"/>
      <c r="G29" s="1231">
        <f>D29</f>
        <v>0</v>
      </c>
      <c r="H29" s="1230">
        <f>SUM(E29:G29)</f>
        <v>0</v>
      </c>
      <c r="I29" s="1232"/>
      <c r="J29" s="1231"/>
      <c r="K29" s="1230">
        <f>SUM(I29:J29)</f>
        <v>0</v>
      </c>
      <c r="M29" s="1203">
        <f t="shared" si="3"/>
        <v>0</v>
      </c>
    </row>
    <row r="30" spans="1:13" ht="24.95" customHeight="1">
      <c r="A30" s="1228"/>
      <c r="B30" s="1205"/>
      <c r="C30" s="1205"/>
      <c r="D30" s="1235"/>
      <c r="E30" s="1234"/>
      <c r="F30" s="1231"/>
      <c r="G30" s="1231"/>
      <c r="H30" s="1230"/>
      <c r="I30" s="1232"/>
      <c r="J30" s="1231"/>
      <c r="K30" s="1230"/>
      <c r="L30" s="1248" t="s">
        <v>1694</v>
      </c>
      <c r="M30" s="1203">
        <f t="shared" si="3"/>
        <v>0</v>
      </c>
    </row>
    <row r="31" spans="1:13" ht="24.95" customHeight="1">
      <c r="A31" s="1256"/>
      <c r="B31" s="1213" t="s">
        <v>1676</v>
      </c>
      <c r="C31" s="1255"/>
      <c r="D31" s="1227">
        <f t="shared" ref="D31:K31" si="4">D6+D21+D26+D29</f>
        <v>11642490998</v>
      </c>
      <c r="E31" s="1226">
        <f t="shared" si="4"/>
        <v>2347829762</v>
      </c>
      <c r="F31" s="1224">
        <f t="shared" si="4"/>
        <v>215321104</v>
      </c>
      <c r="G31" s="1224">
        <f t="shared" si="4"/>
        <v>380587586</v>
      </c>
      <c r="H31" s="1223">
        <f t="shared" si="4"/>
        <v>2943738452</v>
      </c>
      <c r="I31" s="1225">
        <f t="shared" si="4"/>
        <v>88724768</v>
      </c>
      <c r="J31" s="1224">
        <f t="shared" si="4"/>
        <v>7044499195</v>
      </c>
      <c r="K31" s="1223">
        <f t="shared" si="4"/>
        <v>7133223963</v>
      </c>
      <c r="L31" s="1203">
        <f>H31+I31-I8-L12-G13</f>
        <v>2915473439</v>
      </c>
      <c r="M31" s="1203">
        <f t="shared" si="3"/>
        <v>1565528583</v>
      </c>
    </row>
    <row r="32" spans="1:13" ht="24.95" customHeight="1">
      <c r="A32" s="1254"/>
      <c r="B32" s="1244" t="s">
        <v>1669</v>
      </c>
      <c r="C32" s="1253"/>
      <c r="D32" s="1252">
        <f>SUM(D33:D34)</f>
        <v>27055204101</v>
      </c>
      <c r="E32" s="1251">
        <f>SUM(E33:E34)</f>
        <v>12429750358</v>
      </c>
      <c r="F32" s="1237">
        <f>SUM(F33:F34)</f>
        <v>134284305</v>
      </c>
      <c r="G32" s="1237">
        <f>SUM(G33:G34)</f>
        <v>0</v>
      </c>
      <c r="H32" s="1249">
        <f t="shared" ref="H32:H37" si="5">SUM(E32:G32)</f>
        <v>12564034663</v>
      </c>
      <c r="I32" s="1250">
        <f>SUM(I33:I34)</f>
        <v>497819716</v>
      </c>
      <c r="J32" s="1237">
        <f>SUM(J33:J34)</f>
        <v>13722216640</v>
      </c>
      <c r="K32" s="1249">
        <f t="shared" ref="K32:K37" si="6">SUM(I32:J32)</f>
        <v>14220036356</v>
      </c>
      <c r="L32" s="1248" t="s">
        <v>1693</v>
      </c>
      <c r="M32" s="1203">
        <f t="shared" si="3"/>
        <v>271133082</v>
      </c>
    </row>
    <row r="33" spans="1:20" ht="24.95" customHeight="1">
      <c r="A33" s="1241"/>
      <c r="B33" s="1244"/>
      <c r="C33" s="1244" t="s">
        <v>1448</v>
      </c>
      <c r="D33" s="1235">
        <f>+'雨汚水(共通按分後)'!E34</f>
        <v>26551442230</v>
      </c>
      <c r="E33" s="1234">
        <f>+'雨汚水(共通按分後)'!F34</f>
        <v>12077971252</v>
      </c>
      <c r="F33" s="1231">
        <f>+'雨汚水(共通按分後)'!G34</f>
        <v>130483874</v>
      </c>
      <c r="G33" s="1231">
        <f>+'雨汚水(共通按分後)'!H34</f>
        <v>0</v>
      </c>
      <c r="H33" s="1230">
        <f t="shared" si="5"/>
        <v>12208455126</v>
      </c>
      <c r="I33" s="1232">
        <f>+'雨汚水(共通按分後)'!J34</f>
        <v>490154021</v>
      </c>
      <c r="J33" s="1231">
        <f>+'雨汚水(共通按分後)'!K34</f>
        <v>13581700001</v>
      </c>
      <c r="K33" s="1230">
        <f t="shared" si="6"/>
        <v>14071854022</v>
      </c>
      <c r="L33" s="1203">
        <f>E32+F32</f>
        <v>12564034663</v>
      </c>
      <c r="M33" s="1203">
        <f t="shared" si="3"/>
        <v>271133082</v>
      </c>
    </row>
    <row r="34" spans="1:20" ht="24.95" customHeight="1">
      <c r="A34" s="1241"/>
      <c r="B34" s="1245"/>
      <c r="C34" s="1244" t="s">
        <v>1692</v>
      </c>
      <c r="D34" s="1235">
        <f>+'雨汚水(共通按分後)'!E35</f>
        <v>503761871</v>
      </c>
      <c r="E34" s="1234">
        <f>+'雨汚水(共通按分後)'!F35</f>
        <v>351779106</v>
      </c>
      <c r="F34" s="1231">
        <f>+'雨汚水(共通按分後)'!G35</f>
        <v>3800431</v>
      </c>
      <c r="G34" s="1231">
        <f>+'雨汚水(共通按分後)'!H35</f>
        <v>0</v>
      </c>
      <c r="H34" s="1230">
        <f t="shared" si="5"/>
        <v>355579537</v>
      </c>
      <c r="I34" s="1232">
        <f>+'雨汚水(共通按分後)'!J35</f>
        <v>7665695</v>
      </c>
      <c r="J34" s="1231">
        <f>+'雨汚水(共通按分後)'!K35</f>
        <v>140516639</v>
      </c>
      <c r="K34" s="1230">
        <f t="shared" si="6"/>
        <v>148182334</v>
      </c>
      <c r="M34" s="1203">
        <f t="shared" si="3"/>
        <v>0</v>
      </c>
    </row>
    <row r="35" spans="1:20" ht="24.95" customHeight="1">
      <c r="A35" s="1241"/>
      <c r="B35" s="1247" t="s">
        <v>1657</v>
      </c>
      <c r="C35" s="1246"/>
      <c r="D35" s="1235">
        <f>SUM(D36:D37)</f>
        <v>3945958666</v>
      </c>
      <c r="E35" s="1234">
        <f>SUM(E36:E37)</f>
        <v>3261282925</v>
      </c>
      <c r="F35" s="1231">
        <f>SUM(F36:F37)</f>
        <v>0</v>
      </c>
      <c r="G35" s="1231">
        <f>SUM(G36:G37)</f>
        <v>93230210</v>
      </c>
      <c r="H35" s="1230">
        <f t="shared" si="5"/>
        <v>3354513135</v>
      </c>
      <c r="I35" s="1232">
        <f>SUM(I36:I37)</f>
        <v>875942080</v>
      </c>
      <c r="J35" s="1231">
        <f>SUM(J36:J37)</f>
        <v>4284144659</v>
      </c>
      <c r="K35" s="1230">
        <f t="shared" si="6"/>
        <v>5160086739</v>
      </c>
      <c r="M35" s="1203">
        <f t="shared" si="3"/>
        <v>-4568641208</v>
      </c>
    </row>
    <row r="36" spans="1:20" ht="24.95" customHeight="1">
      <c r="A36" s="1241"/>
      <c r="B36" s="1244"/>
      <c r="C36" s="1244" t="s">
        <v>1691</v>
      </c>
      <c r="D36" s="1235">
        <f>+SUM('雨汚水(共通按分後)'!E37:E38)</f>
        <v>3945958666</v>
      </c>
      <c r="E36" s="1234">
        <f>+SUM('雨汚水(共通按分後)'!F37:F38)</f>
        <v>3261282925</v>
      </c>
      <c r="F36" s="1231">
        <f>+SUM('雨汚水(共通按分後)'!G37:G38)</f>
        <v>0</v>
      </c>
      <c r="G36" s="1231">
        <f>+SUM('雨汚水(共通按分後)'!H37:H38)</f>
        <v>93230210</v>
      </c>
      <c r="H36" s="1230">
        <f t="shared" si="5"/>
        <v>3354513135</v>
      </c>
      <c r="I36" s="1232">
        <f>+SUM('雨汚水(共通按分後)'!J37:J38)</f>
        <v>875942080</v>
      </c>
      <c r="J36" s="1231">
        <f>+SUM('雨汚水(共通按分後)'!K37:K38)</f>
        <v>4284144659</v>
      </c>
      <c r="K36" s="1230">
        <f t="shared" si="6"/>
        <v>5160086739</v>
      </c>
      <c r="M36" s="1203">
        <f t="shared" si="3"/>
        <v>-4568641208</v>
      </c>
      <c r="Q36" s="1599" t="s">
        <v>1690</v>
      </c>
      <c r="R36" s="1599"/>
      <c r="S36" s="1599"/>
      <c r="T36" s="1599"/>
    </row>
    <row r="37" spans="1:20" ht="24.95" customHeight="1">
      <c r="A37" s="1241"/>
      <c r="B37" s="1245"/>
      <c r="C37" s="1244" t="s">
        <v>1689</v>
      </c>
      <c r="D37" s="1235"/>
      <c r="E37" s="1234"/>
      <c r="F37" s="1231"/>
      <c r="G37" s="1231"/>
      <c r="H37" s="1230">
        <f t="shared" si="5"/>
        <v>0</v>
      </c>
      <c r="I37" s="1232"/>
      <c r="J37" s="1231"/>
      <c r="K37" s="1230">
        <f t="shared" si="6"/>
        <v>0</v>
      </c>
      <c r="M37" s="1203">
        <f t="shared" si="3"/>
        <v>0</v>
      </c>
      <c r="N37" s="1600" t="s">
        <v>1688</v>
      </c>
      <c r="O37" s="1600"/>
      <c r="Q37" s="1599"/>
      <c r="R37" s="1599"/>
      <c r="S37" s="1599"/>
      <c r="T37" s="1599"/>
    </row>
    <row r="38" spans="1:20" ht="24.9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c r="N38" s="1474" t="s">
        <v>1678</v>
      </c>
      <c r="O38" s="1474" t="s">
        <v>1677</v>
      </c>
      <c r="Q38" s="1601" t="s">
        <v>1678</v>
      </c>
      <c r="R38" s="1601"/>
      <c r="S38" s="1601" t="s">
        <v>1677</v>
      </c>
      <c r="T38" s="1601"/>
    </row>
    <row r="39" spans="1:20" ht="24.95" customHeight="1">
      <c r="A39" s="1241"/>
      <c r="B39" s="1244"/>
      <c r="C39" s="1243" t="s">
        <v>1687</v>
      </c>
      <c r="D39" s="1235">
        <f>+SUM('雨汚水(共通按分後)'!E42:E44)</f>
        <v>0</v>
      </c>
      <c r="E39" s="1234">
        <f>+SUM('雨汚水(共通按分後)'!F42:F44)</f>
        <v>0</v>
      </c>
      <c r="F39" s="1231">
        <f>+SUM('雨汚水(共通按分後)'!G42:G44)</f>
        <v>0</v>
      </c>
      <c r="G39" s="1231">
        <f>+SUM('雨汚水(共通按分後)'!H42:H44)</f>
        <v>0</v>
      </c>
      <c r="H39" s="1242">
        <f>SUM(E39:G39)</f>
        <v>0</v>
      </c>
      <c r="I39" s="1232">
        <f>+SUM('雨汚水(共通按分後)'!J42:J44)</f>
        <v>0</v>
      </c>
      <c r="J39" s="1231">
        <f>+SUM('雨汚水(共通按分後)'!K42:K44)</f>
        <v>0</v>
      </c>
      <c r="K39" s="1230">
        <f>SUM(I39:J39)</f>
        <v>0</v>
      </c>
      <c r="M39" s="1203">
        <f>D39-H39-K39</f>
        <v>0</v>
      </c>
      <c r="N39" s="1206"/>
      <c r="O39" s="1206"/>
      <c r="Q39" s="1474" t="s">
        <v>1686</v>
      </c>
      <c r="R39" s="1474" t="s">
        <v>1685</v>
      </c>
      <c r="S39" s="1474" t="s">
        <v>1684</v>
      </c>
      <c r="T39" s="1474" t="s">
        <v>1683</v>
      </c>
    </row>
    <row r="40" spans="1:20" ht="24.95" customHeight="1">
      <c r="A40" s="1241"/>
      <c r="B40" s="1240"/>
      <c r="C40" s="1239"/>
      <c r="D40" s="1235"/>
      <c r="E40" s="1234"/>
      <c r="F40" s="1233" t="s">
        <v>1682</v>
      </c>
      <c r="G40" s="1231">
        <v>0</v>
      </c>
      <c r="H40" s="1230">
        <f>SUM(E40:G40)</f>
        <v>0</v>
      </c>
      <c r="I40" s="1232"/>
      <c r="J40" s="1231"/>
      <c r="K40" s="1230">
        <f>SUM(I40:J40)</f>
        <v>0</v>
      </c>
      <c r="L40" s="1203" t="s">
        <v>1681</v>
      </c>
      <c r="N40" s="1600" t="s">
        <v>1680</v>
      </c>
      <c r="O40" s="1600"/>
      <c r="Q40" s="1238">
        <f>1-R40</f>
        <v>0.98762116512271769</v>
      </c>
      <c r="R40" s="1238">
        <v>1.2378834877282266E-2</v>
      </c>
      <c r="S40" s="1238">
        <v>3.1758003175013282E-2</v>
      </c>
      <c r="T40" s="1238">
        <v>0.96824199682498668</v>
      </c>
    </row>
    <row r="41" spans="1:20" ht="24.95" customHeight="1">
      <c r="A41" s="1228"/>
      <c r="B41" s="1237"/>
      <c r="C41" s="1236"/>
      <c r="D41" s="1235"/>
      <c r="E41" s="1234"/>
      <c r="F41" s="1233" t="s">
        <v>1679</v>
      </c>
      <c r="G41" s="1231">
        <f>G35-G40</f>
        <v>93230210</v>
      </c>
      <c r="H41" s="1230"/>
      <c r="I41" s="1232"/>
      <c r="J41" s="1231"/>
      <c r="K41" s="1230"/>
      <c r="L41" s="1203">
        <f>E36+F36+G41+I36</f>
        <v>4230455215</v>
      </c>
      <c r="M41" s="1203">
        <f>D41-H41-K41</f>
        <v>0</v>
      </c>
      <c r="N41" s="1474" t="s">
        <v>1678</v>
      </c>
      <c r="O41" s="1474" t="s">
        <v>1677</v>
      </c>
    </row>
    <row r="42" spans="1:20" ht="24.95" customHeight="1">
      <c r="A42" s="1228"/>
      <c r="B42" s="1205" t="s">
        <v>1676</v>
      </c>
      <c r="C42" s="1205"/>
      <c r="D42" s="1227">
        <f t="shared" ref="D42:K42" si="8">D32+D35+D38</f>
        <v>31001162767</v>
      </c>
      <c r="E42" s="1226">
        <f t="shared" si="8"/>
        <v>15691033283</v>
      </c>
      <c r="F42" s="1224">
        <f t="shared" si="8"/>
        <v>134284305</v>
      </c>
      <c r="G42" s="1224">
        <f t="shared" si="8"/>
        <v>93230210</v>
      </c>
      <c r="H42" s="1223">
        <f t="shared" si="8"/>
        <v>15918547798</v>
      </c>
      <c r="I42" s="1225">
        <f t="shared" si="8"/>
        <v>1373761796</v>
      </c>
      <c r="J42" s="1224">
        <f t="shared" si="8"/>
        <v>18006361299</v>
      </c>
      <c r="K42" s="1223">
        <f t="shared" si="8"/>
        <v>19380123095</v>
      </c>
      <c r="M42" s="1203">
        <f>D42-H42-K42</f>
        <v>-4297508126</v>
      </c>
      <c r="N42" s="1206"/>
      <c r="O42" s="1206">
        <v>126964884</v>
      </c>
      <c r="Q42" s="1599" t="s">
        <v>1675</v>
      </c>
      <c r="R42" s="1599"/>
      <c r="S42" s="1599"/>
      <c r="T42" s="1599"/>
    </row>
    <row r="43" spans="1:20" ht="24.95" customHeight="1">
      <c r="A43" s="1222"/>
      <c r="B43" s="1221"/>
      <c r="C43" s="1221"/>
      <c r="D43" s="1220"/>
      <c r="E43" s="1219"/>
      <c r="F43" s="1217"/>
      <c r="G43" s="1217"/>
      <c r="H43" s="1216"/>
      <c r="I43" s="1218"/>
      <c r="J43" s="1217"/>
      <c r="K43" s="1216"/>
      <c r="M43" s="1203">
        <f>D43-H43-K43</f>
        <v>0</v>
      </c>
      <c r="Q43" s="1599"/>
      <c r="R43" s="1599"/>
      <c r="S43" s="1599"/>
      <c r="T43" s="1599"/>
    </row>
    <row r="44" spans="1:20" ht="24.95" customHeight="1" thickBot="1">
      <c r="A44" s="1215" t="s">
        <v>1674</v>
      </c>
      <c r="B44" s="1214"/>
      <c r="C44" s="1213"/>
      <c r="D44" s="1212">
        <f t="shared" ref="D44:K44" si="9">D31+D42</f>
        <v>42643653765</v>
      </c>
      <c r="E44" s="1211">
        <f t="shared" si="9"/>
        <v>18038863045</v>
      </c>
      <c r="F44" s="1208">
        <f t="shared" si="9"/>
        <v>349605409</v>
      </c>
      <c r="G44" s="1211">
        <f t="shared" si="9"/>
        <v>473817796</v>
      </c>
      <c r="H44" s="1210">
        <f t="shared" si="9"/>
        <v>18862286250</v>
      </c>
      <c r="I44" s="1209">
        <f t="shared" si="9"/>
        <v>1462486564</v>
      </c>
      <c r="J44" s="1208">
        <f t="shared" si="9"/>
        <v>25050860494</v>
      </c>
      <c r="K44" s="1207">
        <f t="shared" si="9"/>
        <v>26513347058</v>
      </c>
      <c r="M44" s="1203">
        <f>D44-H44-K44</f>
        <v>-2731979543</v>
      </c>
      <c r="Q44" s="1206">
        <v>0</v>
      </c>
    </row>
    <row r="45" spans="1:20" ht="21" customHeight="1">
      <c r="A45" s="1205"/>
      <c r="B45" s="1205"/>
      <c r="C45" s="1205"/>
      <c r="D45" s="1204"/>
      <c r="E45" s="1204"/>
      <c r="F45" s="1204"/>
      <c r="G45" s="1204"/>
      <c r="H45" s="1204"/>
      <c r="I45" s="1204"/>
      <c r="J45" s="1204"/>
      <c r="K45" s="1204"/>
    </row>
  </sheetData>
  <mergeCells count="6">
    <mergeCell ref="Q42:T43"/>
    <mergeCell ref="Q36:T37"/>
    <mergeCell ref="N37:O37"/>
    <mergeCell ref="Q38:R38"/>
    <mergeCell ref="S38:T38"/>
    <mergeCell ref="N40:O40"/>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O45"/>
  <sheetViews>
    <sheetView zoomScale="85" zoomScaleNormal="85" zoomScaleSheetLayoutView="100" workbookViewId="0">
      <pane xSplit="3" ySplit="5" topLeftCell="D6" activePane="bottomRight" state="frozen"/>
      <selection activeCell="H28" sqref="H28"/>
      <selection pane="topRight" activeCell="H28" sqref="H28"/>
      <selection pane="bottomLeft" activeCell="H28" sqref="H28"/>
      <selection pane="bottomRight" activeCell="O16" sqref="O16"/>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3" style="1203" customWidth="1"/>
    <col min="9" max="9" width="12" style="1203" customWidth="1"/>
    <col min="10" max="10" width="12.75" style="1203" customWidth="1"/>
    <col min="11" max="11" width="13" style="1203" customWidth="1"/>
    <col min="12" max="15" width="12.75" style="1203" customWidth="1"/>
    <col min="16" max="16" width="9" style="1203" bestFit="1" customWidth="1"/>
    <col min="17"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3" style="1203" customWidth="1"/>
    <col min="265" max="265" width="12" style="1203" customWidth="1"/>
    <col min="266" max="266" width="12.75" style="1203" customWidth="1"/>
    <col min="267" max="267" width="13" style="1203" customWidth="1"/>
    <col min="268" max="268" width="13" style="1203" bestFit="1" customWidth="1"/>
    <col min="269" max="269" width="11.125" style="1203" bestFit="1" customWidth="1"/>
    <col min="270" max="270" width="9.375" style="1203" customWidth="1"/>
    <col min="271" max="271" width="14.125" style="1203" bestFit="1" customWidth="1"/>
    <col min="272" max="272" width="9" style="1203" bestFit="1" customWidth="1"/>
    <col min="273"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3" style="1203" customWidth="1"/>
    <col min="521" max="521" width="12" style="1203" customWidth="1"/>
    <col min="522" max="522" width="12.75" style="1203" customWidth="1"/>
    <col min="523" max="523" width="13" style="1203" customWidth="1"/>
    <col min="524" max="524" width="13" style="1203" bestFit="1" customWidth="1"/>
    <col min="525" max="525" width="11.125" style="1203" bestFit="1" customWidth="1"/>
    <col min="526" max="526" width="9.375" style="1203" customWidth="1"/>
    <col min="527" max="527" width="14.125" style="1203" bestFit="1" customWidth="1"/>
    <col min="528" max="528" width="9" style="1203" bestFit="1" customWidth="1"/>
    <col min="529"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3" style="1203" customWidth="1"/>
    <col min="777" max="777" width="12" style="1203" customWidth="1"/>
    <col min="778" max="778" width="12.75" style="1203" customWidth="1"/>
    <col min="779" max="779" width="13" style="1203" customWidth="1"/>
    <col min="780" max="780" width="13" style="1203" bestFit="1" customWidth="1"/>
    <col min="781" max="781" width="11.125" style="1203" bestFit="1" customWidth="1"/>
    <col min="782" max="782" width="9.375" style="1203" customWidth="1"/>
    <col min="783" max="783" width="14.125" style="1203" bestFit="1" customWidth="1"/>
    <col min="784" max="784" width="9" style="1203" bestFit="1" customWidth="1"/>
    <col min="785"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3" style="1203" customWidth="1"/>
    <col min="1033" max="1033" width="12" style="1203" customWidth="1"/>
    <col min="1034" max="1034" width="12.75" style="1203" customWidth="1"/>
    <col min="1035" max="1035" width="13" style="1203" customWidth="1"/>
    <col min="1036" max="1036" width="13" style="1203" bestFit="1" customWidth="1"/>
    <col min="1037" max="1037" width="11.125" style="1203" bestFit="1" customWidth="1"/>
    <col min="1038" max="1038" width="9.375" style="1203" customWidth="1"/>
    <col min="1039" max="1039" width="14.125" style="1203" bestFit="1" customWidth="1"/>
    <col min="1040" max="1040" width="9" style="1203" bestFit="1" customWidth="1"/>
    <col min="1041"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3" style="1203" customWidth="1"/>
    <col min="1289" max="1289" width="12" style="1203" customWidth="1"/>
    <col min="1290" max="1290" width="12.75" style="1203" customWidth="1"/>
    <col min="1291" max="1291" width="13" style="1203" customWidth="1"/>
    <col min="1292" max="1292" width="13" style="1203" bestFit="1" customWidth="1"/>
    <col min="1293" max="1293" width="11.125" style="1203" bestFit="1" customWidth="1"/>
    <col min="1294" max="1294" width="9.375" style="1203" customWidth="1"/>
    <col min="1295" max="1295" width="14.125" style="1203" bestFit="1" customWidth="1"/>
    <col min="1296" max="1296" width="9" style="1203" bestFit="1" customWidth="1"/>
    <col min="1297"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3" style="1203" customWidth="1"/>
    <col min="1545" max="1545" width="12" style="1203" customWidth="1"/>
    <col min="1546" max="1546" width="12.75" style="1203" customWidth="1"/>
    <col min="1547" max="1547" width="13" style="1203" customWidth="1"/>
    <col min="1548" max="1548" width="13" style="1203" bestFit="1" customWidth="1"/>
    <col min="1549" max="1549" width="11.125" style="1203" bestFit="1" customWidth="1"/>
    <col min="1550" max="1550" width="9.375" style="1203" customWidth="1"/>
    <col min="1551" max="1551" width="14.125" style="1203" bestFit="1" customWidth="1"/>
    <col min="1552" max="1552" width="9" style="1203" bestFit="1" customWidth="1"/>
    <col min="1553"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3" style="1203" customWidth="1"/>
    <col min="1801" max="1801" width="12" style="1203" customWidth="1"/>
    <col min="1802" max="1802" width="12.75" style="1203" customWidth="1"/>
    <col min="1803" max="1803" width="13" style="1203" customWidth="1"/>
    <col min="1804" max="1804" width="13" style="1203" bestFit="1" customWidth="1"/>
    <col min="1805" max="1805" width="11.125" style="1203" bestFit="1" customWidth="1"/>
    <col min="1806" max="1806" width="9.375" style="1203" customWidth="1"/>
    <col min="1807" max="1807" width="14.125" style="1203" bestFit="1" customWidth="1"/>
    <col min="1808" max="1808" width="9" style="1203" bestFit="1" customWidth="1"/>
    <col min="1809"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3" style="1203" customWidth="1"/>
    <col min="2057" max="2057" width="12" style="1203" customWidth="1"/>
    <col min="2058" max="2058" width="12.75" style="1203" customWidth="1"/>
    <col min="2059" max="2059" width="13" style="1203" customWidth="1"/>
    <col min="2060" max="2060" width="13" style="1203" bestFit="1" customWidth="1"/>
    <col min="2061" max="2061" width="11.125" style="1203" bestFit="1" customWidth="1"/>
    <col min="2062" max="2062" width="9.375" style="1203" customWidth="1"/>
    <col min="2063" max="2063" width="14.125" style="1203" bestFit="1" customWidth="1"/>
    <col min="2064" max="2064" width="9" style="1203" bestFit="1" customWidth="1"/>
    <col min="2065"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3" style="1203" customWidth="1"/>
    <col min="2313" max="2313" width="12" style="1203" customWidth="1"/>
    <col min="2314" max="2314" width="12.75" style="1203" customWidth="1"/>
    <col min="2315" max="2315" width="13" style="1203" customWidth="1"/>
    <col min="2316" max="2316" width="13" style="1203" bestFit="1" customWidth="1"/>
    <col min="2317" max="2317" width="11.125" style="1203" bestFit="1" customWidth="1"/>
    <col min="2318" max="2318" width="9.375" style="1203" customWidth="1"/>
    <col min="2319" max="2319" width="14.125" style="1203" bestFit="1" customWidth="1"/>
    <col min="2320" max="2320" width="9" style="1203" bestFit="1" customWidth="1"/>
    <col min="2321"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3" style="1203" customWidth="1"/>
    <col min="2569" max="2569" width="12" style="1203" customWidth="1"/>
    <col min="2570" max="2570" width="12.75" style="1203" customWidth="1"/>
    <col min="2571" max="2571" width="13" style="1203" customWidth="1"/>
    <col min="2572" max="2572" width="13" style="1203" bestFit="1" customWidth="1"/>
    <col min="2573" max="2573" width="11.125" style="1203" bestFit="1" customWidth="1"/>
    <col min="2574" max="2574" width="9.375" style="1203" customWidth="1"/>
    <col min="2575" max="2575" width="14.125" style="1203" bestFit="1" customWidth="1"/>
    <col min="2576" max="2576" width="9" style="1203" bestFit="1" customWidth="1"/>
    <col min="2577"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3" style="1203" customWidth="1"/>
    <col min="2825" max="2825" width="12" style="1203" customWidth="1"/>
    <col min="2826" max="2826" width="12.75" style="1203" customWidth="1"/>
    <col min="2827" max="2827" width="13" style="1203" customWidth="1"/>
    <col min="2828" max="2828" width="13" style="1203" bestFit="1" customWidth="1"/>
    <col min="2829" max="2829" width="11.125" style="1203" bestFit="1" customWidth="1"/>
    <col min="2830" max="2830" width="9.375" style="1203" customWidth="1"/>
    <col min="2831" max="2831" width="14.125" style="1203" bestFit="1" customWidth="1"/>
    <col min="2832" max="2832" width="9" style="1203" bestFit="1" customWidth="1"/>
    <col min="2833"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3" style="1203" customWidth="1"/>
    <col min="3081" max="3081" width="12" style="1203" customWidth="1"/>
    <col min="3082" max="3082" width="12.75" style="1203" customWidth="1"/>
    <col min="3083" max="3083" width="13" style="1203" customWidth="1"/>
    <col min="3084" max="3084" width="13" style="1203" bestFit="1" customWidth="1"/>
    <col min="3085" max="3085" width="11.125" style="1203" bestFit="1" customWidth="1"/>
    <col min="3086" max="3086" width="9.375" style="1203" customWidth="1"/>
    <col min="3087" max="3087" width="14.125" style="1203" bestFit="1" customWidth="1"/>
    <col min="3088" max="3088" width="9" style="1203" bestFit="1" customWidth="1"/>
    <col min="3089"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3" style="1203" customWidth="1"/>
    <col min="3337" max="3337" width="12" style="1203" customWidth="1"/>
    <col min="3338" max="3338" width="12.75" style="1203" customWidth="1"/>
    <col min="3339" max="3339" width="13" style="1203" customWidth="1"/>
    <col min="3340" max="3340" width="13" style="1203" bestFit="1" customWidth="1"/>
    <col min="3341" max="3341" width="11.125" style="1203" bestFit="1" customWidth="1"/>
    <col min="3342" max="3342" width="9.375" style="1203" customWidth="1"/>
    <col min="3343" max="3343" width="14.125" style="1203" bestFit="1" customWidth="1"/>
    <col min="3344" max="3344" width="9" style="1203" bestFit="1" customWidth="1"/>
    <col min="3345"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3" style="1203" customWidth="1"/>
    <col min="3593" max="3593" width="12" style="1203" customWidth="1"/>
    <col min="3594" max="3594" width="12.75" style="1203" customWidth="1"/>
    <col min="3595" max="3595" width="13" style="1203" customWidth="1"/>
    <col min="3596" max="3596" width="13" style="1203" bestFit="1" customWidth="1"/>
    <col min="3597" max="3597" width="11.125" style="1203" bestFit="1" customWidth="1"/>
    <col min="3598" max="3598" width="9.375" style="1203" customWidth="1"/>
    <col min="3599" max="3599" width="14.125" style="1203" bestFit="1" customWidth="1"/>
    <col min="3600" max="3600" width="9" style="1203" bestFit="1" customWidth="1"/>
    <col min="3601"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3" style="1203" customWidth="1"/>
    <col min="3849" max="3849" width="12" style="1203" customWidth="1"/>
    <col min="3850" max="3850" width="12.75" style="1203" customWidth="1"/>
    <col min="3851" max="3851" width="13" style="1203" customWidth="1"/>
    <col min="3852" max="3852" width="13" style="1203" bestFit="1" customWidth="1"/>
    <col min="3853" max="3853" width="11.125" style="1203" bestFit="1" customWidth="1"/>
    <col min="3854" max="3854" width="9.375" style="1203" customWidth="1"/>
    <col min="3855" max="3855" width="14.125" style="1203" bestFit="1" customWidth="1"/>
    <col min="3856" max="3856" width="9" style="1203" bestFit="1" customWidth="1"/>
    <col min="3857"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3" style="1203" customWidth="1"/>
    <col min="4105" max="4105" width="12" style="1203" customWidth="1"/>
    <col min="4106" max="4106" width="12.75" style="1203" customWidth="1"/>
    <col min="4107" max="4107" width="13" style="1203" customWidth="1"/>
    <col min="4108" max="4108" width="13" style="1203" bestFit="1" customWidth="1"/>
    <col min="4109" max="4109" width="11.125" style="1203" bestFit="1" customWidth="1"/>
    <col min="4110" max="4110" width="9.375" style="1203" customWidth="1"/>
    <col min="4111" max="4111" width="14.125" style="1203" bestFit="1" customWidth="1"/>
    <col min="4112" max="4112" width="9" style="1203" bestFit="1" customWidth="1"/>
    <col min="4113"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3" style="1203" customWidth="1"/>
    <col min="4361" max="4361" width="12" style="1203" customWidth="1"/>
    <col min="4362" max="4362" width="12.75" style="1203" customWidth="1"/>
    <col min="4363" max="4363" width="13" style="1203" customWidth="1"/>
    <col min="4364" max="4364" width="13" style="1203" bestFit="1" customWidth="1"/>
    <col min="4365" max="4365" width="11.125" style="1203" bestFit="1" customWidth="1"/>
    <col min="4366" max="4366" width="9.375" style="1203" customWidth="1"/>
    <col min="4367" max="4367" width="14.125" style="1203" bestFit="1" customWidth="1"/>
    <col min="4368" max="4368" width="9" style="1203" bestFit="1" customWidth="1"/>
    <col min="4369"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3" style="1203" customWidth="1"/>
    <col min="4617" max="4617" width="12" style="1203" customWidth="1"/>
    <col min="4618" max="4618" width="12.75" style="1203" customWidth="1"/>
    <col min="4619" max="4619" width="13" style="1203" customWidth="1"/>
    <col min="4620" max="4620" width="13" style="1203" bestFit="1" customWidth="1"/>
    <col min="4621" max="4621" width="11.125" style="1203" bestFit="1" customWidth="1"/>
    <col min="4622" max="4622" width="9.375" style="1203" customWidth="1"/>
    <col min="4623" max="4623" width="14.125" style="1203" bestFit="1" customWidth="1"/>
    <col min="4624" max="4624" width="9" style="1203" bestFit="1" customWidth="1"/>
    <col min="4625"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3" style="1203" customWidth="1"/>
    <col min="4873" max="4873" width="12" style="1203" customWidth="1"/>
    <col min="4874" max="4874" width="12.75" style="1203" customWidth="1"/>
    <col min="4875" max="4875" width="13" style="1203" customWidth="1"/>
    <col min="4876" max="4876" width="13" style="1203" bestFit="1" customWidth="1"/>
    <col min="4877" max="4877" width="11.125" style="1203" bestFit="1" customWidth="1"/>
    <col min="4878" max="4878" width="9.375" style="1203" customWidth="1"/>
    <col min="4879" max="4879" width="14.125" style="1203" bestFit="1" customWidth="1"/>
    <col min="4880" max="4880" width="9" style="1203" bestFit="1" customWidth="1"/>
    <col min="4881"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3" style="1203" customWidth="1"/>
    <col min="5129" max="5129" width="12" style="1203" customWidth="1"/>
    <col min="5130" max="5130" width="12.75" style="1203" customWidth="1"/>
    <col min="5131" max="5131" width="13" style="1203" customWidth="1"/>
    <col min="5132" max="5132" width="13" style="1203" bestFit="1" customWidth="1"/>
    <col min="5133" max="5133" width="11.125" style="1203" bestFit="1" customWidth="1"/>
    <col min="5134" max="5134" width="9.375" style="1203" customWidth="1"/>
    <col min="5135" max="5135" width="14.125" style="1203" bestFit="1" customWidth="1"/>
    <col min="5136" max="5136" width="9" style="1203" bestFit="1" customWidth="1"/>
    <col min="5137"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3" style="1203" customWidth="1"/>
    <col min="5385" max="5385" width="12" style="1203" customWidth="1"/>
    <col min="5386" max="5386" width="12.75" style="1203" customWidth="1"/>
    <col min="5387" max="5387" width="13" style="1203" customWidth="1"/>
    <col min="5388" max="5388" width="13" style="1203" bestFit="1" customWidth="1"/>
    <col min="5389" max="5389" width="11.125" style="1203" bestFit="1" customWidth="1"/>
    <col min="5390" max="5390" width="9.375" style="1203" customWidth="1"/>
    <col min="5391" max="5391" width="14.125" style="1203" bestFit="1" customWidth="1"/>
    <col min="5392" max="5392" width="9" style="1203" bestFit="1" customWidth="1"/>
    <col min="5393"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3" style="1203" customWidth="1"/>
    <col min="5641" max="5641" width="12" style="1203" customWidth="1"/>
    <col min="5642" max="5642" width="12.75" style="1203" customWidth="1"/>
    <col min="5643" max="5643" width="13" style="1203" customWidth="1"/>
    <col min="5644" max="5644" width="13" style="1203" bestFit="1" customWidth="1"/>
    <col min="5645" max="5645" width="11.125" style="1203" bestFit="1" customWidth="1"/>
    <col min="5646" max="5646" width="9.375" style="1203" customWidth="1"/>
    <col min="5647" max="5647" width="14.125" style="1203" bestFit="1" customWidth="1"/>
    <col min="5648" max="5648" width="9" style="1203" bestFit="1" customWidth="1"/>
    <col min="5649"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3" style="1203" customWidth="1"/>
    <col min="5897" max="5897" width="12" style="1203" customWidth="1"/>
    <col min="5898" max="5898" width="12.75" style="1203" customWidth="1"/>
    <col min="5899" max="5899" width="13" style="1203" customWidth="1"/>
    <col min="5900" max="5900" width="13" style="1203" bestFit="1" customWidth="1"/>
    <col min="5901" max="5901" width="11.125" style="1203" bestFit="1" customWidth="1"/>
    <col min="5902" max="5902" width="9.375" style="1203" customWidth="1"/>
    <col min="5903" max="5903" width="14.125" style="1203" bestFit="1" customWidth="1"/>
    <col min="5904" max="5904" width="9" style="1203" bestFit="1" customWidth="1"/>
    <col min="5905"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3" style="1203" customWidth="1"/>
    <col min="6153" max="6153" width="12" style="1203" customWidth="1"/>
    <col min="6154" max="6154" width="12.75" style="1203" customWidth="1"/>
    <col min="6155" max="6155" width="13" style="1203" customWidth="1"/>
    <col min="6156" max="6156" width="13" style="1203" bestFit="1" customWidth="1"/>
    <col min="6157" max="6157" width="11.125" style="1203" bestFit="1" customWidth="1"/>
    <col min="6158" max="6158" width="9.375" style="1203" customWidth="1"/>
    <col min="6159" max="6159" width="14.125" style="1203" bestFit="1" customWidth="1"/>
    <col min="6160" max="6160" width="9" style="1203" bestFit="1" customWidth="1"/>
    <col min="6161"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3" style="1203" customWidth="1"/>
    <col min="6409" max="6409" width="12" style="1203" customWidth="1"/>
    <col min="6410" max="6410" width="12.75" style="1203" customWidth="1"/>
    <col min="6411" max="6411" width="13" style="1203" customWidth="1"/>
    <col min="6412" max="6412" width="13" style="1203" bestFit="1" customWidth="1"/>
    <col min="6413" max="6413" width="11.125" style="1203" bestFit="1" customWidth="1"/>
    <col min="6414" max="6414" width="9.375" style="1203" customWidth="1"/>
    <col min="6415" max="6415" width="14.125" style="1203" bestFit="1" customWidth="1"/>
    <col min="6416" max="6416" width="9" style="1203" bestFit="1" customWidth="1"/>
    <col min="6417"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3" style="1203" customWidth="1"/>
    <col min="6665" max="6665" width="12" style="1203" customWidth="1"/>
    <col min="6666" max="6666" width="12.75" style="1203" customWidth="1"/>
    <col min="6667" max="6667" width="13" style="1203" customWidth="1"/>
    <col min="6668" max="6668" width="13" style="1203" bestFit="1" customWidth="1"/>
    <col min="6669" max="6669" width="11.125" style="1203" bestFit="1" customWidth="1"/>
    <col min="6670" max="6670" width="9.375" style="1203" customWidth="1"/>
    <col min="6671" max="6671" width="14.125" style="1203" bestFit="1" customWidth="1"/>
    <col min="6672" max="6672" width="9" style="1203" bestFit="1" customWidth="1"/>
    <col min="6673"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3" style="1203" customWidth="1"/>
    <col min="6921" max="6921" width="12" style="1203" customWidth="1"/>
    <col min="6922" max="6922" width="12.75" style="1203" customWidth="1"/>
    <col min="6923" max="6923" width="13" style="1203" customWidth="1"/>
    <col min="6924" max="6924" width="13" style="1203" bestFit="1" customWidth="1"/>
    <col min="6925" max="6925" width="11.125" style="1203" bestFit="1" customWidth="1"/>
    <col min="6926" max="6926" width="9.375" style="1203" customWidth="1"/>
    <col min="6927" max="6927" width="14.125" style="1203" bestFit="1" customWidth="1"/>
    <col min="6928" max="6928" width="9" style="1203" bestFit="1" customWidth="1"/>
    <col min="6929"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3" style="1203" customWidth="1"/>
    <col min="7177" max="7177" width="12" style="1203" customWidth="1"/>
    <col min="7178" max="7178" width="12.75" style="1203" customWidth="1"/>
    <col min="7179" max="7179" width="13" style="1203" customWidth="1"/>
    <col min="7180" max="7180" width="13" style="1203" bestFit="1" customWidth="1"/>
    <col min="7181" max="7181" width="11.125" style="1203" bestFit="1" customWidth="1"/>
    <col min="7182" max="7182" width="9.375" style="1203" customWidth="1"/>
    <col min="7183" max="7183" width="14.125" style="1203" bestFit="1" customWidth="1"/>
    <col min="7184" max="7184" width="9" style="1203" bestFit="1" customWidth="1"/>
    <col min="7185"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3" style="1203" customWidth="1"/>
    <col min="7433" max="7433" width="12" style="1203" customWidth="1"/>
    <col min="7434" max="7434" width="12.75" style="1203" customWidth="1"/>
    <col min="7435" max="7435" width="13" style="1203" customWidth="1"/>
    <col min="7436" max="7436" width="13" style="1203" bestFit="1" customWidth="1"/>
    <col min="7437" max="7437" width="11.125" style="1203" bestFit="1" customWidth="1"/>
    <col min="7438" max="7438" width="9.375" style="1203" customWidth="1"/>
    <col min="7439" max="7439" width="14.125" style="1203" bestFit="1" customWidth="1"/>
    <col min="7440" max="7440" width="9" style="1203" bestFit="1" customWidth="1"/>
    <col min="7441"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3" style="1203" customWidth="1"/>
    <col min="7689" max="7689" width="12" style="1203" customWidth="1"/>
    <col min="7690" max="7690" width="12.75" style="1203" customWidth="1"/>
    <col min="7691" max="7691" width="13" style="1203" customWidth="1"/>
    <col min="7692" max="7692" width="13" style="1203" bestFit="1" customWidth="1"/>
    <col min="7693" max="7693" width="11.125" style="1203" bestFit="1" customWidth="1"/>
    <col min="7694" max="7694" width="9.375" style="1203" customWidth="1"/>
    <col min="7695" max="7695" width="14.125" style="1203" bestFit="1" customWidth="1"/>
    <col min="7696" max="7696" width="9" style="1203" bestFit="1" customWidth="1"/>
    <col min="7697"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3" style="1203" customWidth="1"/>
    <col min="7945" max="7945" width="12" style="1203" customWidth="1"/>
    <col min="7946" max="7946" width="12.75" style="1203" customWidth="1"/>
    <col min="7947" max="7947" width="13" style="1203" customWidth="1"/>
    <col min="7948" max="7948" width="13" style="1203" bestFit="1" customWidth="1"/>
    <col min="7949" max="7949" width="11.125" style="1203" bestFit="1" customWidth="1"/>
    <col min="7950" max="7950" width="9.375" style="1203" customWidth="1"/>
    <col min="7951" max="7951" width="14.125" style="1203" bestFit="1" customWidth="1"/>
    <col min="7952" max="7952" width="9" style="1203" bestFit="1" customWidth="1"/>
    <col min="7953"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3" style="1203" customWidth="1"/>
    <col min="8201" max="8201" width="12" style="1203" customWidth="1"/>
    <col min="8202" max="8202" width="12.75" style="1203" customWidth="1"/>
    <col min="8203" max="8203" width="13" style="1203" customWidth="1"/>
    <col min="8204" max="8204" width="13" style="1203" bestFit="1" customWidth="1"/>
    <col min="8205" max="8205" width="11.125" style="1203" bestFit="1" customWidth="1"/>
    <col min="8206" max="8206" width="9.375" style="1203" customWidth="1"/>
    <col min="8207" max="8207" width="14.125" style="1203" bestFit="1" customWidth="1"/>
    <col min="8208" max="8208" width="9" style="1203" bestFit="1" customWidth="1"/>
    <col min="8209"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3" style="1203" customWidth="1"/>
    <col min="8457" max="8457" width="12" style="1203" customWidth="1"/>
    <col min="8458" max="8458" width="12.75" style="1203" customWidth="1"/>
    <col min="8459" max="8459" width="13" style="1203" customWidth="1"/>
    <col min="8460" max="8460" width="13" style="1203" bestFit="1" customWidth="1"/>
    <col min="8461" max="8461" width="11.125" style="1203" bestFit="1" customWidth="1"/>
    <col min="8462" max="8462" width="9.375" style="1203" customWidth="1"/>
    <col min="8463" max="8463" width="14.125" style="1203" bestFit="1" customWidth="1"/>
    <col min="8464" max="8464" width="9" style="1203" bestFit="1" customWidth="1"/>
    <col min="8465"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3" style="1203" customWidth="1"/>
    <col min="8713" max="8713" width="12" style="1203" customWidth="1"/>
    <col min="8714" max="8714" width="12.75" style="1203" customWidth="1"/>
    <col min="8715" max="8715" width="13" style="1203" customWidth="1"/>
    <col min="8716" max="8716" width="13" style="1203" bestFit="1" customWidth="1"/>
    <col min="8717" max="8717" width="11.125" style="1203" bestFit="1" customWidth="1"/>
    <col min="8718" max="8718" width="9.375" style="1203" customWidth="1"/>
    <col min="8719" max="8719" width="14.125" style="1203" bestFit="1" customWidth="1"/>
    <col min="8720" max="8720" width="9" style="1203" bestFit="1" customWidth="1"/>
    <col min="8721"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3" style="1203" customWidth="1"/>
    <col min="8969" max="8969" width="12" style="1203" customWidth="1"/>
    <col min="8970" max="8970" width="12.75" style="1203" customWidth="1"/>
    <col min="8971" max="8971" width="13" style="1203" customWidth="1"/>
    <col min="8972" max="8972" width="13" style="1203" bestFit="1" customWidth="1"/>
    <col min="8973" max="8973" width="11.125" style="1203" bestFit="1" customWidth="1"/>
    <col min="8974" max="8974" width="9.375" style="1203" customWidth="1"/>
    <col min="8975" max="8975" width="14.125" style="1203" bestFit="1" customWidth="1"/>
    <col min="8976" max="8976" width="9" style="1203" bestFit="1" customWidth="1"/>
    <col min="8977"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3" style="1203" customWidth="1"/>
    <col min="9225" max="9225" width="12" style="1203" customWidth="1"/>
    <col min="9226" max="9226" width="12.75" style="1203" customWidth="1"/>
    <col min="9227" max="9227" width="13" style="1203" customWidth="1"/>
    <col min="9228" max="9228" width="13" style="1203" bestFit="1" customWidth="1"/>
    <col min="9229" max="9229" width="11.125" style="1203" bestFit="1" customWidth="1"/>
    <col min="9230" max="9230" width="9.375" style="1203" customWidth="1"/>
    <col min="9231" max="9231" width="14.125" style="1203" bestFit="1" customWidth="1"/>
    <col min="9232" max="9232" width="9" style="1203" bestFit="1" customWidth="1"/>
    <col min="9233"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3" style="1203" customWidth="1"/>
    <col min="9481" max="9481" width="12" style="1203" customWidth="1"/>
    <col min="9482" max="9482" width="12.75" style="1203" customWidth="1"/>
    <col min="9483" max="9483" width="13" style="1203" customWidth="1"/>
    <col min="9484" max="9484" width="13" style="1203" bestFit="1" customWidth="1"/>
    <col min="9485" max="9485" width="11.125" style="1203" bestFit="1" customWidth="1"/>
    <col min="9486" max="9486" width="9.375" style="1203" customWidth="1"/>
    <col min="9487" max="9487" width="14.125" style="1203" bestFit="1" customWidth="1"/>
    <col min="9488" max="9488" width="9" style="1203" bestFit="1" customWidth="1"/>
    <col min="9489"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3" style="1203" customWidth="1"/>
    <col min="9737" max="9737" width="12" style="1203" customWidth="1"/>
    <col min="9738" max="9738" width="12.75" style="1203" customWidth="1"/>
    <col min="9739" max="9739" width="13" style="1203" customWidth="1"/>
    <col min="9740" max="9740" width="13" style="1203" bestFit="1" customWidth="1"/>
    <col min="9741" max="9741" width="11.125" style="1203" bestFit="1" customWidth="1"/>
    <col min="9742" max="9742" width="9.375" style="1203" customWidth="1"/>
    <col min="9743" max="9743" width="14.125" style="1203" bestFit="1" customWidth="1"/>
    <col min="9744" max="9744" width="9" style="1203" bestFit="1" customWidth="1"/>
    <col min="9745"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3" style="1203" customWidth="1"/>
    <col min="9993" max="9993" width="12" style="1203" customWidth="1"/>
    <col min="9994" max="9994" width="12.75" style="1203" customWidth="1"/>
    <col min="9995" max="9995" width="13" style="1203" customWidth="1"/>
    <col min="9996" max="9996" width="13" style="1203" bestFit="1" customWidth="1"/>
    <col min="9997" max="9997" width="11.125" style="1203" bestFit="1" customWidth="1"/>
    <col min="9998" max="9998" width="9.375" style="1203" customWidth="1"/>
    <col min="9999" max="9999" width="14.125" style="1203" bestFit="1" customWidth="1"/>
    <col min="10000" max="10000" width="9" style="1203" bestFit="1" customWidth="1"/>
    <col min="10001"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3" style="1203" customWidth="1"/>
    <col min="10249" max="10249" width="12" style="1203" customWidth="1"/>
    <col min="10250" max="10250" width="12.75" style="1203" customWidth="1"/>
    <col min="10251" max="10251" width="13" style="1203" customWidth="1"/>
    <col min="10252" max="10252" width="13" style="1203" bestFit="1" customWidth="1"/>
    <col min="10253" max="10253" width="11.125" style="1203" bestFit="1" customWidth="1"/>
    <col min="10254" max="10254" width="9.375" style="1203" customWidth="1"/>
    <col min="10255" max="10255" width="14.125" style="1203" bestFit="1" customWidth="1"/>
    <col min="10256" max="10256" width="9" style="1203" bestFit="1" customWidth="1"/>
    <col min="10257"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3" style="1203" customWidth="1"/>
    <col min="10505" max="10505" width="12" style="1203" customWidth="1"/>
    <col min="10506" max="10506" width="12.75" style="1203" customWidth="1"/>
    <col min="10507" max="10507" width="13" style="1203" customWidth="1"/>
    <col min="10508" max="10508" width="13" style="1203" bestFit="1" customWidth="1"/>
    <col min="10509" max="10509" width="11.125" style="1203" bestFit="1" customWidth="1"/>
    <col min="10510" max="10510" width="9.375" style="1203" customWidth="1"/>
    <col min="10511" max="10511" width="14.125" style="1203" bestFit="1" customWidth="1"/>
    <col min="10512" max="10512" width="9" style="1203" bestFit="1" customWidth="1"/>
    <col min="10513"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3" style="1203" customWidth="1"/>
    <col min="10761" max="10761" width="12" style="1203" customWidth="1"/>
    <col min="10762" max="10762" width="12.75" style="1203" customWidth="1"/>
    <col min="10763" max="10763" width="13" style="1203" customWidth="1"/>
    <col min="10764" max="10764" width="13" style="1203" bestFit="1" customWidth="1"/>
    <col min="10765" max="10765" width="11.125" style="1203" bestFit="1" customWidth="1"/>
    <col min="10766" max="10766" width="9.375" style="1203" customWidth="1"/>
    <col min="10767" max="10767" width="14.125" style="1203" bestFit="1" customWidth="1"/>
    <col min="10768" max="10768" width="9" style="1203" bestFit="1" customWidth="1"/>
    <col min="10769"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3" style="1203" customWidth="1"/>
    <col min="11017" max="11017" width="12" style="1203" customWidth="1"/>
    <col min="11018" max="11018" width="12.75" style="1203" customWidth="1"/>
    <col min="11019" max="11019" width="13" style="1203" customWidth="1"/>
    <col min="11020" max="11020" width="13" style="1203" bestFit="1" customWidth="1"/>
    <col min="11021" max="11021" width="11.125" style="1203" bestFit="1" customWidth="1"/>
    <col min="11022" max="11022" width="9.375" style="1203" customWidth="1"/>
    <col min="11023" max="11023" width="14.125" style="1203" bestFit="1" customWidth="1"/>
    <col min="11024" max="11024" width="9" style="1203" bestFit="1" customWidth="1"/>
    <col min="11025"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3" style="1203" customWidth="1"/>
    <col min="11273" max="11273" width="12" style="1203" customWidth="1"/>
    <col min="11274" max="11274" width="12.75" style="1203" customWidth="1"/>
    <col min="11275" max="11275" width="13" style="1203" customWidth="1"/>
    <col min="11276" max="11276" width="13" style="1203" bestFit="1" customWidth="1"/>
    <col min="11277" max="11277" width="11.125" style="1203" bestFit="1" customWidth="1"/>
    <col min="11278" max="11278" width="9.375" style="1203" customWidth="1"/>
    <col min="11279" max="11279" width="14.125" style="1203" bestFit="1" customWidth="1"/>
    <col min="11280" max="11280" width="9" style="1203" bestFit="1" customWidth="1"/>
    <col min="11281"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3" style="1203" customWidth="1"/>
    <col min="11529" max="11529" width="12" style="1203" customWidth="1"/>
    <col min="11530" max="11530" width="12.75" style="1203" customWidth="1"/>
    <col min="11531" max="11531" width="13" style="1203" customWidth="1"/>
    <col min="11532" max="11532" width="13" style="1203" bestFit="1" customWidth="1"/>
    <col min="11533" max="11533" width="11.125" style="1203" bestFit="1" customWidth="1"/>
    <col min="11534" max="11534" width="9.375" style="1203" customWidth="1"/>
    <col min="11535" max="11535" width="14.125" style="1203" bestFit="1" customWidth="1"/>
    <col min="11536" max="11536" width="9" style="1203" bestFit="1" customWidth="1"/>
    <col min="11537"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3" style="1203" customWidth="1"/>
    <col min="11785" max="11785" width="12" style="1203" customWidth="1"/>
    <col min="11786" max="11786" width="12.75" style="1203" customWidth="1"/>
    <col min="11787" max="11787" width="13" style="1203" customWidth="1"/>
    <col min="11788" max="11788" width="13" style="1203" bestFit="1" customWidth="1"/>
    <col min="11789" max="11789" width="11.125" style="1203" bestFit="1" customWidth="1"/>
    <col min="11790" max="11790" width="9.375" style="1203" customWidth="1"/>
    <col min="11791" max="11791" width="14.125" style="1203" bestFit="1" customWidth="1"/>
    <col min="11792" max="11792" width="9" style="1203" bestFit="1" customWidth="1"/>
    <col min="11793"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3" style="1203" customWidth="1"/>
    <col min="12041" max="12041" width="12" style="1203" customWidth="1"/>
    <col min="12042" max="12042" width="12.75" style="1203" customWidth="1"/>
    <col min="12043" max="12043" width="13" style="1203" customWidth="1"/>
    <col min="12044" max="12044" width="13" style="1203" bestFit="1" customWidth="1"/>
    <col min="12045" max="12045" width="11.125" style="1203" bestFit="1" customWidth="1"/>
    <col min="12046" max="12046" width="9.375" style="1203" customWidth="1"/>
    <col min="12047" max="12047" width="14.125" style="1203" bestFit="1" customWidth="1"/>
    <col min="12048" max="12048" width="9" style="1203" bestFit="1" customWidth="1"/>
    <col min="12049"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3" style="1203" customWidth="1"/>
    <col min="12297" max="12297" width="12" style="1203" customWidth="1"/>
    <col min="12298" max="12298" width="12.75" style="1203" customWidth="1"/>
    <col min="12299" max="12299" width="13" style="1203" customWidth="1"/>
    <col min="12300" max="12300" width="13" style="1203" bestFit="1" customWidth="1"/>
    <col min="12301" max="12301" width="11.125" style="1203" bestFit="1" customWidth="1"/>
    <col min="12302" max="12302" width="9.375" style="1203" customWidth="1"/>
    <col min="12303" max="12303" width="14.125" style="1203" bestFit="1" customWidth="1"/>
    <col min="12304" max="12304" width="9" style="1203" bestFit="1" customWidth="1"/>
    <col min="12305"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3" style="1203" customWidth="1"/>
    <col min="12553" max="12553" width="12" style="1203" customWidth="1"/>
    <col min="12554" max="12554" width="12.75" style="1203" customWidth="1"/>
    <col min="12555" max="12555" width="13" style="1203" customWidth="1"/>
    <col min="12556" max="12556" width="13" style="1203" bestFit="1" customWidth="1"/>
    <col min="12557" max="12557" width="11.125" style="1203" bestFit="1" customWidth="1"/>
    <col min="12558" max="12558" width="9.375" style="1203" customWidth="1"/>
    <col min="12559" max="12559" width="14.125" style="1203" bestFit="1" customWidth="1"/>
    <col min="12560" max="12560" width="9" style="1203" bestFit="1" customWidth="1"/>
    <col min="12561"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3" style="1203" customWidth="1"/>
    <col min="12809" max="12809" width="12" style="1203" customWidth="1"/>
    <col min="12810" max="12810" width="12.75" style="1203" customWidth="1"/>
    <col min="12811" max="12811" width="13" style="1203" customWidth="1"/>
    <col min="12812" max="12812" width="13" style="1203" bestFit="1" customWidth="1"/>
    <col min="12813" max="12813" width="11.125" style="1203" bestFit="1" customWidth="1"/>
    <col min="12814" max="12814" width="9.375" style="1203" customWidth="1"/>
    <col min="12815" max="12815" width="14.125" style="1203" bestFit="1" customWidth="1"/>
    <col min="12816" max="12816" width="9" style="1203" bestFit="1" customWidth="1"/>
    <col min="12817"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3" style="1203" customWidth="1"/>
    <col min="13065" max="13065" width="12" style="1203" customWidth="1"/>
    <col min="13066" max="13066" width="12.75" style="1203" customWidth="1"/>
    <col min="13067" max="13067" width="13" style="1203" customWidth="1"/>
    <col min="13068" max="13068" width="13" style="1203" bestFit="1" customWidth="1"/>
    <col min="13069" max="13069" width="11.125" style="1203" bestFit="1" customWidth="1"/>
    <col min="13070" max="13070" width="9.375" style="1203" customWidth="1"/>
    <col min="13071" max="13071" width="14.125" style="1203" bestFit="1" customWidth="1"/>
    <col min="13072" max="13072" width="9" style="1203" bestFit="1" customWidth="1"/>
    <col min="13073"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3" style="1203" customWidth="1"/>
    <col min="13321" max="13321" width="12" style="1203" customWidth="1"/>
    <col min="13322" max="13322" width="12.75" style="1203" customWidth="1"/>
    <col min="13323" max="13323" width="13" style="1203" customWidth="1"/>
    <col min="13324" max="13324" width="13" style="1203" bestFit="1" customWidth="1"/>
    <col min="13325" max="13325" width="11.125" style="1203" bestFit="1" customWidth="1"/>
    <col min="13326" max="13326" width="9.375" style="1203" customWidth="1"/>
    <col min="13327" max="13327" width="14.125" style="1203" bestFit="1" customWidth="1"/>
    <col min="13328" max="13328" width="9" style="1203" bestFit="1" customWidth="1"/>
    <col min="13329"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3" style="1203" customWidth="1"/>
    <col min="13577" max="13577" width="12" style="1203" customWidth="1"/>
    <col min="13578" max="13578" width="12.75" style="1203" customWidth="1"/>
    <col min="13579" max="13579" width="13" style="1203" customWidth="1"/>
    <col min="13580" max="13580" width="13" style="1203" bestFit="1" customWidth="1"/>
    <col min="13581" max="13581" width="11.125" style="1203" bestFit="1" customWidth="1"/>
    <col min="13582" max="13582" width="9.375" style="1203" customWidth="1"/>
    <col min="13583" max="13583" width="14.125" style="1203" bestFit="1" customWidth="1"/>
    <col min="13584" max="13584" width="9" style="1203" bestFit="1" customWidth="1"/>
    <col min="13585"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3" style="1203" customWidth="1"/>
    <col min="13833" max="13833" width="12" style="1203" customWidth="1"/>
    <col min="13834" max="13834" width="12.75" style="1203" customWidth="1"/>
    <col min="13835" max="13835" width="13" style="1203" customWidth="1"/>
    <col min="13836" max="13836" width="13" style="1203" bestFit="1" customWidth="1"/>
    <col min="13837" max="13837" width="11.125" style="1203" bestFit="1" customWidth="1"/>
    <col min="13838" max="13838" width="9.375" style="1203" customWidth="1"/>
    <col min="13839" max="13839" width="14.125" style="1203" bestFit="1" customWidth="1"/>
    <col min="13840" max="13840" width="9" style="1203" bestFit="1" customWidth="1"/>
    <col min="13841"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3" style="1203" customWidth="1"/>
    <col min="14089" max="14089" width="12" style="1203" customWidth="1"/>
    <col min="14090" max="14090" width="12.75" style="1203" customWidth="1"/>
    <col min="14091" max="14091" width="13" style="1203" customWidth="1"/>
    <col min="14092" max="14092" width="13" style="1203" bestFit="1" customWidth="1"/>
    <col min="14093" max="14093" width="11.125" style="1203" bestFit="1" customWidth="1"/>
    <col min="14094" max="14094" width="9.375" style="1203" customWidth="1"/>
    <col min="14095" max="14095" width="14.125" style="1203" bestFit="1" customWidth="1"/>
    <col min="14096" max="14096" width="9" style="1203" bestFit="1" customWidth="1"/>
    <col min="14097"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3" style="1203" customWidth="1"/>
    <col min="14345" max="14345" width="12" style="1203" customWidth="1"/>
    <col min="14346" max="14346" width="12.75" style="1203" customWidth="1"/>
    <col min="14347" max="14347" width="13" style="1203" customWidth="1"/>
    <col min="14348" max="14348" width="13" style="1203" bestFit="1" customWidth="1"/>
    <col min="14349" max="14349" width="11.125" style="1203" bestFit="1" customWidth="1"/>
    <col min="14350" max="14350" width="9.375" style="1203" customWidth="1"/>
    <col min="14351" max="14351" width="14.125" style="1203" bestFit="1" customWidth="1"/>
    <col min="14352" max="14352" width="9" style="1203" bestFit="1" customWidth="1"/>
    <col min="14353"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3" style="1203" customWidth="1"/>
    <col min="14601" max="14601" width="12" style="1203" customWidth="1"/>
    <col min="14602" max="14602" width="12.75" style="1203" customWidth="1"/>
    <col min="14603" max="14603" width="13" style="1203" customWidth="1"/>
    <col min="14604" max="14604" width="13" style="1203" bestFit="1" customWidth="1"/>
    <col min="14605" max="14605" width="11.125" style="1203" bestFit="1" customWidth="1"/>
    <col min="14606" max="14606" width="9.375" style="1203" customWidth="1"/>
    <col min="14607" max="14607" width="14.125" style="1203" bestFit="1" customWidth="1"/>
    <col min="14608" max="14608" width="9" style="1203" bestFit="1" customWidth="1"/>
    <col min="14609"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3" style="1203" customWidth="1"/>
    <col min="14857" max="14857" width="12" style="1203" customWidth="1"/>
    <col min="14858" max="14858" width="12.75" style="1203" customWidth="1"/>
    <col min="14859" max="14859" width="13" style="1203" customWidth="1"/>
    <col min="14860" max="14860" width="13" style="1203" bestFit="1" customWidth="1"/>
    <col min="14861" max="14861" width="11.125" style="1203" bestFit="1" customWidth="1"/>
    <col min="14862" max="14862" width="9.375" style="1203" customWidth="1"/>
    <col min="14863" max="14863" width="14.125" style="1203" bestFit="1" customWidth="1"/>
    <col min="14864" max="14864" width="9" style="1203" bestFit="1" customWidth="1"/>
    <col min="14865"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3" style="1203" customWidth="1"/>
    <col min="15113" max="15113" width="12" style="1203" customWidth="1"/>
    <col min="15114" max="15114" width="12.75" style="1203" customWidth="1"/>
    <col min="15115" max="15115" width="13" style="1203" customWidth="1"/>
    <col min="15116" max="15116" width="13" style="1203" bestFit="1" customWidth="1"/>
    <col min="15117" max="15117" width="11.125" style="1203" bestFit="1" customWidth="1"/>
    <col min="15118" max="15118" width="9.375" style="1203" customWidth="1"/>
    <col min="15119" max="15119" width="14.125" style="1203" bestFit="1" customWidth="1"/>
    <col min="15120" max="15120" width="9" style="1203" bestFit="1" customWidth="1"/>
    <col min="15121"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3" style="1203" customWidth="1"/>
    <col min="15369" max="15369" width="12" style="1203" customWidth="1"/>
    <col min="15370" max="15370" width="12.75" style="1203" customWidth="1"/>
    <col min="15371" max="15371" width="13" style="1203" customWidth="1"/>
    <col min="15372" max="15372" width="13" style="1203" bestFit="1" customWidth="1"/>
    <col min="15373" max="15373" width="11.125" style="1203" bestFit="1" customWidth="1"/>
    <col min="15374" max="15374" width="9.375" style="1203" customWidth="1"/>
    <col min="15375" max="15375" width="14.125" style="1203" bestFit="1" customWidth="1"/>
    <col min="15376" max="15376" width="9" style="1203" bestFit="1" customWidth="1"/>
    <col min="15377"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3" style="1203" customWidth="1"/>
    <col min="15625" max="15625" width="12" style="1203" customWidth="1"/>
    <col min="15626" max="15626" width="12.75" style="1203" customWidth="1"/>
    <col min="15627" max="15627" width="13" style="1203" customWidth="1"/>
    <col min="15628" max="15628" width="13" style="1203" bestFit="1" customWidth="1"/>
    <col min="15629" max="15629" width="11.125" style="1203" bestFit="1" customWidth="1"/>
    <col min="15630" max="15630" width="9.375" style="1203" customWidth="1"/>
    <col min="15631" max="15631" width="14.125" style="1203" bestFit="1" customWidth="1"/>
    <col min="15632" max="15632" width="9" style="1203" bestFit="1" customWidth="1"/>
    <col min="15633"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3" style="1203" customWidth="1"/>
    <col min="15881" max="15881" width="12" style="1203" customWidth="1"/>
    <col min="15882" max="15882" width="12.75" style="1203" customWidth="1"/>
    <col min="15883" max="15883" width="13" style="1203" customWidth="1"/>
    <col min="15884" max="15884" width="13" style="1203" bestFit="1" customWidth="1"/>
    <col min="15885" max="15885" width="11.125" style="1203" bestFit="1" customWidth="1"/>
    <col min="15886" max="15886" width="9.375" style="1203" customWidth="1"/>
    <col min="15887" max="15887" width="14.125" style="1203" bestFit="1" customWidth="1"/>
    <col min="15888" max="15888" width="9" style="1203" bestFit="1" customWidth="1"/>
    <col min="15889"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3" style="1203" customWidth="1"/>
    <col min="16137" max="16137" width="12" style="1203" customWidth="1"/>
    <col min="16138" max="16138" width="12.75" style="1203" customWidth="1"/>
    <col min="16139" max="16139" width="13" style="1203" customWidth="1"/>
    <col min="16140" max="16140" width="13" style="1203" bestFit="1" customWidth="1"/>
    <col min="16141" max="16141" width="11.125" style="1203" bestFit="1" customWidth="1"/>
    <col min="16142" max="16142" width="9.375" style="1203" customWidth="1"/>
    <col min="16143" max="16143" width="14.125" style="1203" bestFit="1" customWidth="1"/>
    <col min="16144" max="16144" width="9" style="1203" bestFit="1" customWidth="1"/>
    <col min="16145" max="16384" width="9" style="1203"/>
  </cols>
  <sheetData>
    <row r="1" spans="1:15" ht="24.75" customHeight="1">
      <c r="A1" s="1287" t="str">
        <f>+LEFT('3条税込み(共通按分後)'!A1,2)&amp;"年度経費（雨水・汚水）区分調 (決算・税抜き)"</f>
        <v>3年年度経費（雨水・汚水）区分調 (決算・税抜き)</v>
      </c>
    </row>
    <row r="2" spans="1:15" ht="24.75" customHeight="1" thickBot="1">
      <c r="A2" s="1203" t="s">
        <v>1718</v>
      </c>
      <c r="K2" s="1248" t="s">
        <v>1717</v>
      </c>
    </row>
    <row r="3" spans="1:15" ht="24.75" customHeight="1">
      <c r="A3" s="1222" t="s">
        <v>1716</v>
      </c>
      <c r="B3" s="1221"/>
      <c r="C3" s="1221"/>
      <c r="D3" s="1286" t="s">
        <v>1715</v>
      </c>
      <c r="E3" s="1285" t="s">
        <v>1714</v>
      </c>
      <c r="F3" s="1283"/>
      <c r="G3" s="1283"/>
      <c r="H3" s="1282"/>
      <c r="I3" s="1284" t="s">
        <v>1713</v>
      </c>
      <c r="J3" s="1283"/>
      <c r="K3" s="1282"/>
    </row>
    <row r="4" spans="1:15" s="1262" customFormat="1" ht="24.75" customHeight="1">
      <c r="A4" s="1281"/>
      <c r="B4" s="1280"/>
      <c r="C4" s="1280"/>
      <c r="D4" s="1279"/>
      <c r="E4" s="1278" t="s">
        <v>1712</v>
      </c>
      <c r="F4" s="1277"/>
      <c r="G4" s="1276" t="s">
        <v>1711</v>
      </c>
      <c r="H4" s="1273" t="s">
        <v>1710</v>
      </c>
      <c r="I4" s="1275" t="s">
        <v>1712</v>
      </c>
      <c r="J4" s="1274" t="s">
        <v>1711</v>
      </c>
      <c r="K4" s="1273" t="s">
        <v>1710</v>
      </c>
    </row>
    <row r="5" spans="1:15" s="1264" customFormat="1" ht="24.75" customHeight="1">
      <c r="A5" s="1272"/>
      <c r="B5" s="1271"/>
      <c r="C5" s="1271"/>
      <c r="D5" s="1270"/>
      <c r="E5" s="1269" t="s">
        <v>1707</v>
      </c>
      <c r="F5" s="1266" t="s">
        <v>1709</v>
      </c>
      <c r="G5" s="1268" t="s">
        <v>1708</v>
      </c>
      <c r="H5" s="1265"/>
      <c r="I5" s="1267" t="s">
        <v>1707</v>
      </c>
      <c r="J5" s="1266" t="s">
        <v>1707</v>
      </c>
      <c r="K5" s="1265"/>
      <c r="M5" s="1303" t="s">
        <v>1720</v>
      </c>
    </row>
    <row r="6" spans="1:15" ht="24.75" customHeight="1">
      <c r="A6" s="1254"/>
      <c r="B6" s="1244" t="s">
        <v>1669</v>
      </c>
      <c r="C6" s="1247"/>
      <c r="D6" s="1235">
        <f>SUM(D7:D20)</f>
        <v>10791324537</v>
      </c>
      <c r="E6" s="1234">
        <f>SUM(E7:E20)</f>
        <v>2202011928</v>
      </c>
      <c r="F6" s="1300">
        <f>SUM(F7:F20)</f>
        <v>200060435</v>
      </c>
      <c r="G6" s="1231">
        <f>SUM(G7:G20)</f>
        <v>352481640</v>
      </c>
      <c r="H6" s="1230">
        <f t="shared" ref="H6:H24" si="0">SUM(E6:G6)</f>
        <v>2754554003</v>
      </c>
      <c r="I6" s="1232">
        <f>SUM(I7:I20)</f>
        <v>86618048</v>
      </c>
      <c r="J6" s="1231">
        <f>SUM(J7:J20)</f>
        <v>7950152486</v>
      </c>
      <c r="K6" s="1230">
        <f t="shared" ref="K6:K24" si="1">SUM(I6:J6)</f>
        <v>8036770534</v>
      </c>
      <c r="M6" s="1203">
        <f>SUM(M7:M20)</f>
        <v>820944511</v>
      </c>
      <c r="N6" s="1203">
        <f t="shared" ref="N6:N24" si="2">D6-H6-K6</f>
        <v>0</v>
      </c>
    </row>
    <row r="7" spans="1:15" ht="24.75" customHeight="1">
      <c r="A7" s="1241"/>
      <c r="B7" s="1244"/>
      <c r="C7" s="1244" t="s">
        <v>1502</v>
      </c>
      <c r="D7" s="1235">
        <f>+'雨汚水(共通按分後)'!O7</f>
        <v>564664608</v>
      </c>
      <c r="E7" s="1234">
        <f>+'雨汚水(共通按分後)'!P7</f>
        <v>212477244</v>
      </c>
      <c r="F7" s="1300">
        <f>+'雨汚水(共通按分後)'!Q7</f>
        <v>48359111</v>
      </c>
      <c r="G7" s="1231">
        <f>+'雨汚水(共通按分後)'!R7</f>
        <v>8428779</v>
      </c>
      <c r="H7" s="1230">
        <f t="shared" si="0"/>
        <v>269265134</v>
      </c>
      <c r="I7" s="1232">
        <f>+'雨汚水(共通按分後)'!T7</f>
        <v>0</v>
      </c>
      <c r="J7" s="1231">
        <f>+'雨汚水(共通按分後)'!U7</f>
        <v>295399474</v>
      </c>
      <c r="K7" s="1230">
        <f t="shared" si="1"/>
        <v>295399474</v>
      </c>
      <c r="M7" s="1203">
        <f>'3条税込み(共通按分後)'!D7-'3条税抜き(共通按分後)'!D7</f>
        <v>47155349</v>
      </c>
      <c r="N7" s="1203">
        <f t="shared" si="2"/>
        <v>0</v>
      </c>
    </row>
    <row r="8" spans="1:15" ht="24.75" customHeight="1">
      <c r="A8" s="1241"/>
      <c r="B8" s="1245"/>
      <c r="C8" s="1244" t="s">
        <v>1499</v>
      </c>
      <c r="D8" s="1235">
        <f>+'雨汚水(共通按分後)'!O8</f>
        <v>51313295</v>
      </c>
      <c r="E8" s="1234">
        <f>+'雨汚水(共通按分後)'!P8</f>
        <v>0</v>
      </c>
      <c r="F8" s="1300">
        <f>+'雨汚水(共通按分後)'!Q8</f>
        <v>0</v>
      </c>
      <c r="G8" s="1231">
        <f>+'雨汚水(共通按分後)'!R8</f>
        <v>0</v>
      </c>
      <c r="H8" s="1230">
        <f t="shared" si="0"/>
        <v>0</v>
      </c>
      <c r="I8" s="1232">
        <f>+'雨汚水(共通按分後)'!T8</f>
        <v>51313295</v>
      </c>
      <c r="J8" s="1231">
        <f>+'雨汚水(共通按分後)'!U8</f>
        <v>0</v>
      </c>
      <c r="K8" s="1230">
        <f t="shared" si="1"/>
        <v>51313295</v>
      </c>
      <c r="M8" s="1203">
        <f>'3条税込み(共通按分後)'!D8-'3条税抜き(共通按分後)'!D8</f>
        <v>1130574</v>
      </c>
      <c r="N8" s="1203">
        <f t="shared" si="2"/>
        <v>0</v>
      </c>
    </row>
    <row r="9" spans="1:15" ht="24.75" customHeight="1">
      <c r="A9" s="1241"/>
      <c r="B9" s="1245"/>
      <c r="C9" s="1244" t="s">
        <v>1496</v>
      </c>
      <c r="D9" s="1235">
        <f>+'雨汚水(共通按分後)'!O9</f>
        <v>2251657967</v>
      </c>
      <c r="E9" s="1234">
        <f>+'雨汚水(共通按分後)'!P9</f>
        <v>1459731624</v>
      </c>
      <c r="F9" s="1300">
        <f>+'雨汚水(共通按分後)'!Q9</f>
        <v>45938202</v>
      </c>
      <c r="G9" s="1231">
        <f>+'雨汚水(共通按分後)'!R9</f>
        <v>0</v>
      </c>
      <c r="H9" s="1230">
        <f t="shared" si="0"/>
        <v>1505669826</v>
      </c>
      <c r="I9" s="1232">
        <f>+'雨汚水(共通按分後)'!T9</f>
        <v>0</v>
      </c>
      <c r="J9" s="1231">
        <f>+'雨汚水(共通按分後)'!U9</f>
        <v>745988141</v>
      </c>
      <c r="K9" s="1230">
        <f t="shared" si="1"/>
        <v>745988141</v>
      </c>
      <c r="M9" s="1203">
        <f>'3条税込み(共通按分後)'!D9-'3条税抜き(共通按分後)'!D9</f>
        <v>104382258</v>
      </c>
      <c r="N9" s="1203">
        <f t="shared" si="2"/>
        <v>0</v>
      </c>
    </row>
    <row r="10" spans="1:15" ht="24.75" customHeight="1">
      <c r="A10" s="1241"/>
      <c r="B10" s="1245"/>
      <c r="C10" s="1244" t="s">
        <v>1494</v>
      </c>
      <c r="D10" s="1235">
        <f>+'雨汚水(共通按分後)'!O10</f>
        <v>6037810078</v>
      </c>
      <c r="E10" s="1234">
        <f>+'雨汚水(共通按分後)'!P10</f>
        <v>531471491</v>
      </c>
      <c r="F10" s="1300">
        <f>+'雨汚水(共通按分後)'!Q10</f>
        <v>105914705</v>
      </c>
      <c r="G10" s="1231">
        <f>+'雨汚水(共通按分後)'!R10</f>
        <v>317116718</v>
      </c>
      <c r="H10" s="1230">
        <f t="shared" si="0"/>
        <v>954502914</v>
      </c>
      <c r="I10" s="1263">
        <f>+'雨汚水(共通按分後)'!T10</f>
        <v>1375005</v>
      </c>
      <c r="J10" s="1231">
        <f>+'雨汚水(共通按分後)'!U10</f>
        <v>5081932159</v>
      </c>
      <c r="K10" s="1230">
        <f t="shared" si="1"/>
        <v>5083307164</v>
      </c>
      <c r="M10" s="1203">
        <f>'3条税込み(共通按分後)'!D10-'3条税抜き(共通按分後)'!D10</f>
        <v>519893786</v>
      </c>
      <c r="N10" s="1203">
        <f t="shared" si="2"/>
        <v>0</v>
      </c>
    </row>
    <row r="11" spans="1:15" ht="24.75" customHeight="1">
      <c r="A11" s="1241"/>
      <c r="B11" s="1245"/>
      <c r="C11" s="1244" t="s">
        <v>1492</v>
      </c>
      <c r="D11" s="1235">
        <f>+'雨汚水(共通按分後)'!O11</f>
        <v>0</v>
      </c>
      <c r="E11" s="1234">
        <f>+'雨汚水(共通按分後)'!P11</f>
        <v>0</v>
      </c>
      <c r="F11" s="1231">
        <f>+'雨汚水(共通按分後)'!Q11</f>
        <v>0</v>
      </c>
      <c r="G11" s="1231">
        <f>+'雨汚水(共通按分後)'!R11</f>
        <v>0</v>
      </c>
      <c r="H11" s="1230">
        <f t="shared" si="0"/>
        <v>0</v>
      </c>
      <c r="I11" s="1232">
        <f>+'雨汚水(共通按分後)'!T11</f>
        <v>0</v>
      </c>
      <c r="J11" s="1231">
        <f>+'雨汚水(共通按分後)'!U11</f>
        <v>0</v>
      </c>
      <c r="K11" s="1230">
        <f t="shared" si="1"/>
        <v>0</v>
      </c>
      <c r="L11" s="1262" t="s">
        <v>1706</v>
      </c>
      <c r="M11" s="1203">
        <f>'3条税込み(共通按分後)'!D11-'3条税抜き(共通按分後)'!D11</f>
        <v>0</v>
      </c>
      <c r="N11" s="1203">
        <f t="shared" si="2"/>
        <v>0</v>
      </c>
    </row>
    <row r="12" spans="1:15" ht="24.75" customHeight="1">
      <c r="A12" s="1241"/>
      <c r="B12" s="1245"/>
      <c r="C12" s="1244" t="s">
        <v>1490</v>
      </c>
      <c r="D12" s="1235">
        <f>+'雨汚水(共通按分後)'!O12</f>
        <v>87134052</v>
      </c>
      <c r="E12" s="1234">
        <f>+'雨汚水(共通按分後)'!P12</f>
        <v>0</v>
      </c>
      <c r="F12" s="1231">
        <f>+'雨汚水(共通按分後)'!Q12</f>
        <v>0</v>
      </c>
      <c r="G12" s="1231">
        <f>+'雨汚水(共通按分後)'!R12</f>
        <v>19274556</v>
      </c>
      <c r="H12" s="1230">
        <f t="shared" si="0"/>
        <v>19274556</v>
      </c>
      <c r="I12" s="1232">
        <f>+'雨汚水(共通按分後)'!T12</f>
        <v>33929748</v>
      </c>
      <c r="J12" s="1231">
        <f>+'雨汚水(共通按分後)'!U12</f>
        <v>33929748</v>
      </c>
      <c r="K12" s="1230">
        <f t="shared" si="1"/>
        <v>67859496</v>
      </c>
      <c r="L12" s="1203">
        <f>G12+I12</f>
        <v>53204304</v>
      </c>
      <c r="M12" s="1203">
        <f>'3条税込み(共通按分後)'!D12-'3条税抜き(共通按分後)'!D12</f>
        <v>1715497</v>
      </c>
      <c r="N12" s="1203">
        <f t="shared" si="2"/>
        <v>0</v>
      </c>
    </row>
    <row r="13" spans="1:15" ht="24.75" customHeight="1">
      <c r="A13" s="1241"/>
      <c r="B13" s="1245"/>
      <c r="C13" s="1259" t="s">
        <v>1487</v>
      </c>
      <c r="D13" s="1235">
        <f>+'雨汚水(共通按分後)'!O13</f>
        <v>10396270</v>
      </c>
      <c r="E13" s="1234">
        <f>+'雨汚水(共通按分後)'!P13</f>
        <v>0</v>
      </c>
      <c r="F13" s="1231">
        <f>+'雨汚水(共通按分後)'!Q13</f>
        <v>0</v>
      </c>
      <c r="G13" s="1231">
        <f>+'雨汚水(共通按分後)'!R13</f>
        <v>10396270</v>
      </c>
      <c r="H13" s="1230">
        <f t="shared" si="0"/>
        <v>10396270</v>
      </c>
      <c r="I13" s="1232">
        <f>+'雨汚水(共通按分後)'!T13</f>
        <v>0</v>
      </c>
      <c r="J13" s="1231">
        <f>+'雨汚水(共通按分後)'!U13</f>
        <v>0</v>
      </c>
      <c r="K13" s="1230">
        <f t="shared" si="1"/>
        <v>0</v>
      </c>
      <c r="M13" s="1203">
        <f>'3条税込み(共通按分後)'!D13-'3条税抜き(共通按分後)'!D13</f>
        <v>87589</v>
      </c>
      <c r="N13" s="1203">
        <f t="shared" si="2"/>
        <v>0</v>
      </c>
    </row>
    <row r="14" spans="1:15" ht="24.75" customHeight="1">
      <c r="A14" s="1241"/>
      <c r="B14" s="1245"/>
      <c r="C14" s="1244" t="s">
        <v>1485</v>
      </c>
      <c r="D14" s="1235">
        <f>+'雨汚水(共通按分後)'!O14</f>
        <v>929691714</v>
      </c>
      <c r="E14" s="1234">
        <f>+'雨汚水(共通按分後)'!P14</f>
        <v>0</v>
      </c>
      <c r="F14" s="1231">
        <f>+'雨汚水(共通按分後)'!Q14</f>
        <v>0</v>
      </c>
      <c r="G14" s="1231">
        <f>+'雨汚水(共通按分後)'!R14</f>
        <v>4513095</v>
      </c>
      <c r="H14" s="1230">
        <f t="shared" si="0"/>
        <v>4513095</v>
      </c>
      <c r="I14" s="1232">
        <f>+'雨汚水(共通按分後)'!T14</f>
        <v>0</v>
      </c>
      <c r="J14" s="1231">
        <f>+'雨汚水(共通按分後)'!U14</f>
        <v>925178619</v>
      </c>
      <c r="K14" s="1230">
        <f t="shared" si="1"/>
        <v>925178619</v>
      </c>
      <c r="M14" s="1203">
        <f>'3条税込み(共通按分後)'!D14-'3条税抜き(共通按分後)'!D14</f>
        <v>90253429</v>
      </c>
      <c r="N14" s="1203">
        <f t="shared" si="2"/>
        <v>0</v>
      </c>
      <c r="O14" s="1261" t="s">
        <v>1704</v>
      </c>
    </row>
    <row r="15" spans="1:15" ht="24.75" customHeight="1">
      <c r="A15" s="1241"/>
      <c r="B15" s="1245"/>
      <c r="C15" s="1244" t="s">
        <v>1483</v>
      </c>
      <c r="D15" s="1235">
        <f>+'雨汚水(共通按分後)'!O15</f>
        <v>858656553</v>
      </c>
      <c r="E15" s="1234">
        <f>+'雨汚水(共通按分後)'!P15</f>
        <v>-1668431</v>
      </c>
      <c r="F15" s="1231">
        <f>+'雨汚水(共通按分後)'!Q15</f>
        <v>-151583</v>
      </c>
      <c r="G15" s="1231">
        <f>+'雨汚水(共通按分後)'!R15</f>
        <v>-7247778</v>
      </c>
      <c r="H15" s="1230">
        <f t="shared" si="0"/>
        <v>-9067792</v>
      </c>
      <c r="I15" s="1232">
        <f>+'雨汚水(共通按分後)'!T15</f>
        <v>0</v>
      </c>
      <c r="J15" s="1231">
        <f>+'雨汚水(共通按分後)'!U15</f>
        <v>867724345</v>
      </c>
      <c r="K15" s="1230">
        <f t="shared" si="1"/>
        <v>867724345</v>
      </c>
      <c r="M15" s="1203">
        <f>'3条税込み(共通按分後)'!D15-'3条税抜き(共通按分後)'!D15</f>
        <v>56326029</v>
      </c>
      <c r="N15" s="1203">
        <f t="shared" si="2"/>
        <v>0</v>
      </c>
      <c r="O15" s="1260">
        <f>+総係!T37-総係!T36</f>
        <v>464609964</v>
      </c>
    </row>
    <row r="16" spans="1:15" ht="24.75" customHeight="1">
      <c r="A16" s="1241"/>
      <c r="B16" s="1245"/>
      <c r="C16" s="1259" t="s">
        <v>1703</v>
      </c>
      <c r="D16" s="1235">
        <f>+'雨汚水(共通按分後)'!O16</f>
        <v>0</v>
      </c>
      <c r="E16" s="1234">
        <f>+'雨汚水(共通按分後)'!P16</f>
        <v>0</v>
      </c>
      <c r="F16" s="1231">
        <f>+'雨汚水(共通按分後)'!Q16</f>
        <v>0</v>
      </c>
      <c r="G16" s="1231">
        <f>+'雨汚水(共通按分後)'!R16</f>
        <v>0</v>
      </c>
      <c r="H16" s="1230">
        <f t="shared" si="0"/>
        <v>0</v>
      </c>
      <c r="I16" s="1232">
        <f>+'雨汚水(共通按分後)'!T16</f>
        <v>0</v>
      </c>
      <c r="J16" s="1231">
        <f>+'雨汚水(共通按分後)'!U16</f>
        <v>0</v>
      </c>
      <c r="K16" s="1230">
        <f t="shared" si="1"/>
        <v>0</v>
      </c>
      <c r="M16" s="1203">
        <f>'3条税込み(共通按分後)'!D16-'3条税抜き(共通按分後)'!D16</f>
        <v>0</v>
      </c>
      <c r="N16" s="1203">
        <f t="shared" si="2"/>
        <v>0</v>
      </c>
    </row>
    <row r="17" spans="1:14" ht="24.75" customHeight="1">
      <c r="A17" s="1241"/>
      <c r="B17" s="1245"/>
      <c r="C17" s="1244" t="s">
        <v>1702</v>
      </c>
      <c r="D17" s="1235">
        <f>+'雨汚水(共通按分後)'!O17</f>
        <v>0</v>
      </c>
      <c r="E17" s="1234">
        <f>+'雨汚水(共通按分後)'!P17</f>
        <v>0</v>
      </c>
      <c r="F17" s="1231">
        <f>+'雨汚水(共通按分後)'!Q17</f>
        <v>0</v>
      </c>
      <c r="G17" s="1231">
        <f>+'雨汚水(共通按分後)'!R17</f>
        <v>0</v>
      </c>
      <c r="H17" s="1230">
        <f t="shared" si="0"/>
        <v>0</v>
      </c>
      <c r="I17" s="1232">
        <f>+'雨汚水(共通按分後)'!T17</f>
        <v>0</v>
      </c>
      <c r="J17" s="1231">
        <f>+'雨汚水(共通按分後)'!U17</f>
        <v>0</v>
      </c>
      <c r="K17" s="1230">
        <f t="shared" si="1"/>
        <v>0</v>
      </c>
      <c r="M17" s="1203">
        <f>'3条税込み(共通按分後)'!D17-'3条税抜き(共通按分後)'!D17</f>
        <v>0</v>
      </c>
      <c r="N17" s="1203">
        <f t="shared" si="2"/>
        <v>0</v>
      </c>
    </row>
    <row r="18" spans="1:14" ht="24.75" customHeight="1">
      <c r="A18" s="1241"/>
      <c r="B18" s="1245"/>
      <c r="C18" s="1244" t="s">
        <v>1701</v>
      </c>
      <c r="D18" s="1235">
        <f>+'雨汚水(共通按分後)'!O18</f>
        <v>0</v>
      </c>
      <c r="E18" s="1234">
        <f>+'雨汚水(共通按分後)'!P18</f>
        <v>0</v>
      </c>
      <c r="F18" s="1231">
        <f>+'雨汚水(共通按分後)'!Q18</f>
        <v>0</v>
      </c>
      <c r="G18" s="1231">
        <f>+'雨汚水(共通按分後)'!R18</f>
        <v>0</v>
      </c>
      <c r="H18" s="1230">
        <f t="shared" si="0"/>
        <v>0</v>
      </c>
      <c r="I18" s="1232">
        <f>+'雨汚水(共通按分後)'!T18</f>
        <v>0</v>
      </c>
      <c r="J18" s="1231">
        <f>+'雨汚水(共通按分後)'!U18</f>
        <v>0</v>
      </c>
      <c r="K18" s="1230">
        <f t="shared" si="1"/>
        <v>0</v>
      </c>
      <c r="M18" s="1203">
        <f>'3条税込み(共通按分後)'!D18-'3条税抜き(共通按分後)'!D18</f>
        <v>0</v>
      </c>
      <c r="N18" s="1203">
        <f t="shared" si="2"/>
        <v>0</v>
      </c>
    </row>
    <row r="19" spans="1:14" ht="24.75" customHeight="1">
      <c r="A19" s="1241"/>
      <c r="B19" s="1245"/>
      <c r="C19" s="1244" t="s">
        <v>1700</v>
      </c>
      <c r="D19" s="1235">
        <f>+'雨汚水(共通按分後)'!O19</f>
        <v>0</v>
      </c>
      <c r="E19" s="1234">
        <f>+'雨汚水(共通按分後)'!P19</f>
        <v>0</v>
      </c>
      <c r="F19" s="1231">
        <f>+'雨汚水(共通按分後)'!Q19</f>
        <v>0</v>
      </c>
      <c r="G19" s="1231">
        <f>+'雨汚水(共通按分後)'!R19</f>
        <v>0</v>
      </c>
      <c r="H19" s="1230">
        <f t="shared" si="0"/>
        <v>0</v>
      </c>
      <c r="I19" s="1232">
        <f>+'雨汚水(共通按分後)'!T19</f>
        <v>0</v>
      </c>
      <c r="J19" s="1231">
        <f>+'雨汚水(共通按分後)'!U19</f>
        <v>0</v>
      </c>
      <c r="K19" s="1230">
        <f t="shared" si="1"/>
        <v>0</v>
      </c>
      <c r="M19" s="1203">
        <f>'3条税込み(共通按分後)'!D19-'3条税抜き(共通按分後)'!D19</f>
        <v>0</v>
      </c>
      <c r="N19" s="1203">
        <f t="shared" si="2"/>
        <v>0</v>
      </c>
    </row>
    <row r="20" spans="1:14" ht="24.75" customHeight="1">
      <c r="A20" s="1241"/>
      <c r="B20" s="1245"/>
      <c r="C20" s="1244" t="s">
        <v>1699</v>
      </c>
      <c r="D20" s="1235">
        <f>+'雨汚水(共通按分後)'!O20</f>
        <v>0</v>
      </c>
      <c r="E20" s="1234">
        <f>+'雨汚水(共通按分後)'!P20</f>
        <v>0</v>
      </c>
      <c r="F20" s="1231">
        <f>+'雨汚水(共通按分後)'!Q20</f>
        <v>0</v>
      </c>
      <c r="G20" s="1231">
        <f>+'雨汚水(共通按分後)'!R20</f>
        <v>0</v>
      </c>
      <c r="H20" s="1230">
        <f t="shared" si="0"/>
        <v>0</v>
      </c>
      <c r="I20" s="1232">
        <f>+'雨汚水(共通按分後)'!T20</f>
        <v>0</v>
      </c>
      <c r="J20" s="1231">
        <f>+'雨汚水(共通按分後)'!U20</f>
        <v>0</v>
      </c>
      <c r="K20" s="1230">
        <f t="shared" si="1"/>
        <v>0</v>
      </c>
      <c r="M20" s="1203">
        <f>'3条税込み(共通按分後)'!D20-'3条税抜き(共通按分後)'!D20</f>
        <v>0</v>
      </c>
      <c r="N20" s="1203">
        <f t="shared" si="2"/>
        <v>0</v>
      </c>
    </row>
    <row r="21" spans="1:14" ht="24.75" customHeight="1">
      <c r="A21" s="1241"/>
      <c r="B21" s="1244" t="s">
        <v>1657</v>
      </c>
      <c r="C21" s="1244"/>
      <c r="D21" s="1235">
        <f>SUM(D22:D25)</f>
        <v>8736830</v>
      </c>
      <c r="E21" s="1234">
        <f>SUM(E22:E25)</f>
        <v>0</v>
      </c>
      <c r="F21" s="1231">
        <f>SUM(F22:F25)</f>
        <v>0</v>
      </c>
      <c r="G21" s="1231">
        <f>SUM(G22:G25)</f>
        <v>0</v>
      </c>
      <c r="H21" s="1230">
        <f t="shared" si="0"/>
        <v>0</v>
      </c>
      <c r="I21" s="1232">
        <f>SUM(I22:I25)</f>
        <v>0</v>
      </c>
      <c r="J21" s="1231">
        <f>SUM(J22:J25)</f>
        <v>8736830</v>
      </c>
      <c r="K21" s="1230">
        <f t="shared" si="1"/>
        <v>8736830</v>
      </c>
      <c r="M21" s="1203">
        <f>SUM(M22:M24)</f>
        <v>489822</v>
      </c>
      <c r="N21" s="1203">
        <f t="shared" si="2"/>
        <v>0</v>
      </c>
    </row>
    <row r="22" spans="1:14" ht="24.75" customHeight="1">
      <c r="A22" s="1241"/>
      <c r="B22" s="1244"/>
      <c r="C22" s="1244" t="s">
        <v>1698</v>
      </c>
      <c r="D22" s="1235">
        <f>+'雨汚水(共通按分後)'!O22</f>
        <v>2483</v>
      </c>
      <c r="E22" s="1234">
        <f>+'雨汚水(共通按分後)'!P22</f>
        <v>0</v>
      </c>
      <c r="F22" s="1231">
        <f>+'雨汚水(共通按分後)'!Q22</f>
        <v>0</v>
      </c>
      <c r="G22" s="1231">
        <f>+'雨汚水(共通按分後)'!R22</f>
        <v>0</v>
      </c>
      <c r="H22" s="1230">
        <f t="shared" si="0"/>
        <v>0</v>
      </c>
      <c r="I22" s="1232">
        <f>+'雨汚水(共通按分後)'!T22</f>
        <v>0</v>
      </c>
      <c r="J22" s="1231">
        <f>+'雨汚水(共通按分後)'!U22</f>
        <v>2483</v>
      </c>
      <c r="K22" s="1230">
        <f t="shared" si="1"/>
        <v>2483</v>
      </c>
      <c r="M22" s="1203">
        <f>'3条税込み(共通按分後)'!D22-'3条税抜き(共通按分後)'!D22</f>
        <v>0</v>
      </c>
      <c r="N22" s="1203">
        <f t="shared" si="2"/>
        <v>0</v>
      </c>
    </row>
    <row r="23" spans="1:14" ht="24.75" customHeight="1">
      <c r="A23" s="1241"/>
      <c r="B23" s="1245"/>
      <c r="C23" s="1244" t="s">
        <v>1656</v>
      </c>
      <c r="D23" s="1235">
        <f>+'雨汚水(共通按分後)'!O23</f>
        <v>24123</v>
      </c>
      <c r="E23" s="1234">
        <f>+'雨汚水(共通按分後)'!P23</f>
        <v>0</v>
      </c>
      <c r="F23" s="1231">
        <f>+'雨汚水(共通按分後)'!Q23</f>
        <v>0</v>
      </c>
      <c r="G23" s="1231">
        <f>+'雨汚水(共通按分後)'!R23</f>
        <v>-8710224</v>
      </c>
      <c r="H23" s="1230">
        <f t="shared" si="0"/>
        <v>-8710224</v>
      </c>
      <c r="I23" s="1232">
        <f>+'雨汚水(共通按分後)'!T23</f>
        <v>0</v>
      </c>
      <c r="J23" s="1231">
        <f>+'雨汚水(共通按分後)'!U23</f>
        <v>8734347</v>
      </c>
      <c r="K23" s="1230">
        <f t="shared" si="1"/>
        <v>8734347</v>
      </c>
      <c r="M23" s="1203">
        <f>'3条税込み(共通按分後)'!D23-'3条税抜き(共通按分後)'!D23</f>
        <v>1773</v>
      </c>
      <c r="N23" s="1203">
        <f t="shared" si="2"/>
        <v>0</v>
      </c>
    </row>
    <row r="24" spans="1:14" ht="24.75" customHeight="1">
      <c r="A24" s="1241"/>
      <c r="B24" s="1245"/>
      <c r="C24" s="1259" t="s">
        <v>1697</v>
      </c>
      <c r="D24" s="1235">
        <f>+'雨汚水(共通按分後)'!O24</f>
        <v>8710224</v>
      </c>
      <c r="E24" s="1234">
        <f>+'雨汚水(共通按分後)'!P24</f>
        <v>0</v>
      </c>
      <c r="F24" s="1231">
        <f>+'雨汚水(共通按分後)'!Q24</f>
        <v>0</v>
      </c>
      <c r="G24" s="1231">
        <f>+'雨汚水(共通按分後)'!R24</f>
        <v>8710224</v>
      </c>
      <c r="H24" s="1230">
        <f t="shared" si="0"/>
        <v>8710224</v>
      </c>
      <c r="I24" s="1232">
        <f>+'雨汚水(共通按分後)'!T24</f>
        <v>0</v>
      </c>
      <c r="J24" s="1231">
        <f>+'雨汚水(共通按分後)'!U24</f>
        <v>0</v>
      </c>
      <c r="K24" s="1230">
        <f t="shared" si="1"/>
        <v>0</v>
      </c>
      <c r="M24" s="1203">
        <f>'3条税込み(共通按分後)'!D24-'3条税抜き(共通按分後)'!D24</f>
        <v>488049</v>
      </c>
      <c r="N24" s="1203">
        <f t="shared" si="2"/>
        <v>0</v>
      </c>
    </row>
    <row r="25" spans="1:14" ht="24.75" customHeight="1">
      <c r="A25" s="1241"/>
      <c r="B25" s="1245"/>
      <c r="C25" s="1259" t="s">
        <v>1689</v>
      </c>
      <c r="D25" s="1235"/>
      <c r="E25" s="1234"/>
      <c r="F25" s="1231"/>
      <c r="G25" s="1231"/>
      <c r="H25" s="1230"/>
      <c r="I25" s="1258"/>
      <c r="J25" s="1231"/>
      <c r="K25" s="1230"/>
    </row>
    <row r="26" spans="1:14" ht="24.75" customHeight="1">
      <c r="A26" s="1241"/>
      <c r="B26" s="1244" t="s">
        <v>1653</v>
      </c>
      <c r="C26" s="1244"/>
      <c r="D26" s="1235">
        <f>SUM(D27:D28)</f>
        <v>20026854</v>
      </c>
      <c r="E26" s="1234">
        <f>SUM(E27:E28)</f>
        <v>6733</v>
      </c>
      <c r="F26" s="1231">
        <f>SUM(F27:F28)</f>
        <v>0</v>
      </c>
      <c r="G26" s="1231">
        <f>SUM(G27:G28)</f>
        <v>0</v>
      </c>
      <c r="H26" s="1230">
        <f>SUM(E26:G26)</f>
        <v>6733</v>
      </c>
      <c r="I26" s="1231">
        <f>SUM(I27:I28)</f>
        <v>0</v>
      </c>
      <c r="J26" s="1231">
        <f>SUM(J27:J28)</f>
        <v>20020121</v>
      </c>
      <c r="K26" s="1230">
        <f>SUM(I26:J26)</f>
        <v>20020121</v>
      </c>
      <c r="M26" s="1203">
        <f>SUM(M27:M28)</f>
        <v>968444</v>
      </c>
      <c r="N26" s="1203">
        <f t="shared" ref="N26:N37" si="3">D26-H26-K26</f>
        <v>0</v>
      </c>
    </row>
    <row r="27" spans="1:14" ht="24.75" customHeight="1">
      <c r="A27" s="1241"/>
      <c r="B27" s="1244"/>
      <c r="C27" s="1257" t="s">
        <v>1696</v>
      </c>
      <c r="D27" s="1235">
        <f>+SUM('雨汚水(共通按分後)'!O28:O29)</f>
        <v>20026854</v>
      </c>
      <c r="E27" s="1234">
        <f>+SUM('雨汚水(共通按分後)'!P28:P29)</f>
        <v>6733</v>
      </c>
      <c r="F27" s="1231">
        <f>+SUM('雨汚水(共通按分後)'!Q28:Q29)</f>
        <v>0</v>
      </c>
      <c r="G27" s="1231">
        <f>+SUM('雨汚水(共通按分後)'!R28:R29)</f>
        <v>0</v>
      </c>
      <c r="H27" s="1230">
        <f>SUM(E27:G27)</f>
        <v>6733</v>
      </c>
      <c r="I27" s="1232">
        <f>+SUM('雨汚水(共通按分後)'!T28:T29)</f>
        <v>0</v>
      </c>
      <c r="J27" s="1231">
        <f>+SUM('雨汚水(共通按分後)'!U28:U29)</f>
        <v>20020121</v>
      </c>
      <c r="K27" s="1230">
        <f>SUM(I27:J27)</f>
        <v>20020121</v>
      </c>
      <c r="M27" s="1203">
        <f>'3条税込み(共通按分後)'!D27-'3条税抜き(共通按分後)'!D27</f>
        <v>968444</v>
      </c>
      <c r="N27" s="1203">
        <f t="shared" si="3"/>
        <v>0</v>
      </c>
    </row>
    <row r="28" spans="1:14" ht="24.75" customHeight="1">
      <c r="A28" s="1241"/>
      <c r="B28" s="1245"/>
      <c r="C28" s="1244" t="s">
        <v>1435</v>
      </c>
      <c r="D28" s="1235">
        <f>+'雨汚水(共通按分後)'!O30</f>
        <v>0</v>
      </c>
      <c r="E28" s="1234">
        <f>+'雨汚水(共通按分後)'!P30</f>
        <v>0</v>
      </c>
      <c r="F28" s="1231">
        <f>+'雨汚水(共通按分後)'!Q30</f>
        <v>0</v>
      </c>
      <c r="G28" s="1231">
        <f>+'雨汚水(共通按分後)'!R30</f>
        <v>0</v>
      </c>
      <c r="H28" s="1230">
        <f>SUM(E28:G28)</f>
        <v>0</v>
      </c>
      <c r="I28" s="1232">
        <f>+'雨汚水(共通按分後)'!T30</f>
        <v>0</v>
      </c>
      <c r="J28" s="1231">
        <f>+'雨汚水(共通按分後)'!U30</f>
        <v>0</v>
      </c>
      <c r="K28" s="1230">
        <f>SUM(I28:J28)</f>
        <v>0</v>
      </c>
      <c r="M28" s="1203">
        <f>'3条税込み(共通按分後)'!D28-'3条税抜き(共通按分後)'!D28</f>
        <v>0</v>
      </c>
      <c r="N28" s="1203">
        <f t="shared" si="3"/>
        <v>0</v>
      </c>
    </row>
    <row r="29" spans="1:14" ht="24.75" customHeight="1">
      <c r="A29" s="1241"/>
      <c r="B29" s="1242" t="s">
        <v>1695</v>
      </c>
      <c r="C29" s="1231"/>
      <c r="D29" s="1235"/>
      <c r="E29" s="1234"/>
      <c r="F29" s="1231"/>
      <c r="G29" s="1231"/>
      <c r="H29" s="1230">
        <f>SUM(E29:G29)</f>
        <v>0</v>
      </c>
      <c r="I29" s="1232"/>
      <c r="J29" s="1231"/>
      <c r="K29" s="1230">
        <f>SUM(I29:J29)</f>
        <v>0</v>
      </c>
      <c r="M29" s="1203">
        <f>'3条税込み(共通按分後)'!D29-'3条税抜き(共通按分後)'!D29</f>
        <v>0</v>
      </c>
      <c r="N29" s="1203">
        <f t="shared" si="3"/>
        <v>0</v>
      </c>
    </row>
    <row r="30" spans="1:14" ht="24.75" customHeight="1">
      <c r="A30" s="1228"/>
      <c r="B30" s="1205"/>
      <c r="C30" s="1205"/>
      <c r="D30" s="1235"/>
      <c r="E30" s="1234"/>
      <c r="F30" s="1231"/>
      <c r="G30" s="1231"/>
      <c r="H30" s="1230"/>
      <c r="I30" s="1232"/>
      <c r="J30" s="1231"/>
      <c r="K30" s="1230"/>
      <c r="L30" s="1248" t="s">
        <v>1694</v>
      </c>
      <c r="N30" s="1203">
        <f t="shared" si="3"/>
        <v>0</v>
      </c>
    </row>
    <row r="31" spans="1:14" ht="24.75" customHeight="1">
      <c r="A31" s="1256"/>
      <c r="B31" s="1213" t="s">
        <v>1676</v>
      </c>
      <c r="C31" s="1255"/>
      <c r="D31" s="1227">
        <f t="shared" ref="D31:K31" si="4">D6+D21+D26+D29</f>
        <v>10820088221</v>
      </c>
      <c r="E31" s="1226">
        <f t="shared" si="4"/>
        <v>2202018661</v>
      </c>
      <c r="F31" s="1295">
        <f t="shared" si="4"/>
        <v>200060435</v>
      </c>
      <c r="G31" s="1224">
        <f t="shared" si="4"/>
        <v>352481640</v>
      </c>
      <c r="H31" s="1223">
        <f t="shared" si="4"/>
        <v>2754560736</v>
      </c>
      <c r="I31" s="1225">
        <f t="shared" si="4"/>
        <v>86618048</v>
      </c>
      <c r="J31" s="1224">
        <f t="shared" si="4"/>
        <v>7978909437</v>
      </c>
      <c r="K31" s="1223">
        <f t="shared" si="4"/>
        <v>8065527485</v>
      </c>
      <c r="L31" s="1203">
        <f>H31+I31-I8-L12-G13</f>
        <v>2726264915</v>
      </c>
      <c r="M31" s="1203">
        <f>M6+M21+M26+M29</f>
        <v>822402777</v>
      </c>
      <c r="N31" s="1203">
        <f t="shared" si="3"/>
        <v>0</v>
      </c>
    </row>
    <row r="32" spans="1:14" ht="24.75" customHeight="1">
      <c r="A32" s="1254"/>
      <c r="B32" s="1244" t="s">
        <v>1669</v>
      </c>
      <c r="C32" s="1253"/>
      <c r="D32" s="1252">
        <f>SUM(D33:D34)</f>
        <v>27055204101</v>
      </c>
      <c r="E32" s="1251">
        <f>SUM(E33:E34)</f>
        <v>12429750358</v>
      </c>
      <c r="F32" s="1302">
        <f>SUM(F33:F34)</f>
        <v>134284305</v>
      </c>
      <c r="G32" s="1237">
        <f>SUM(G33:G34)</f>
        <v>0</v>
      </c>
      <c r="H32" s="1249">
        <f t="shared" ref="H32:H37" si="5">SUM(E32:G32)</f>
        <v>12564034663</v>
      </c>
      <c r="I32" s="1250">
        <f>SUM(I33:I34)</f>
        <v>497819716</v>
      </c>
      <c r="J32" s="1237">
        <f>SUM(J33:J34)</f>
        <v>13722216640</v>
      </c>
      <c r="K32" s="1249">
        <f t="shared" ref="K32:K37" si="6">SUM(I32:J32)</f>
        <v>14220036356</v>
      </c>
      <c r="L32" s="1248" t="s">
        <v>1719</v>
      </c>
      <c r="M32" s="1203">
        <f>SUM(M33:M34)</f>
        <v>0</v>
      </c>
      <c r="N32" s="1301">
        <f t="shared" si="3"/>
        <v>271133082</v>
      </c>
    </row>
    <row r="33" spans="1:14" ht="24.75" customHeight="1">
      <c r="A33" s="1241"/>
      <c r="B33" s="1244"/>
      <c r="C33" s="1244" t="s">
        <v>1448</v>
      </c>
      <c r="D33" s="1235">
        <f>+'雨汚水(共通按分後)'!O34</f>
        <v>26551442230</v>
      </c>
      <c r="E33" s="1234">
        <f>+'雨汚水(共通按分後)'!P34</f>
        <v>12077971252</v>
      </c>
      <c r="F33" s="1300">
        <f>+'雨汚水(共通按分後)'!Q34</f>
        <v>130483874</v>
      </c>
      <c r="G33" s="1300">
        <f>+'雨汚水(共通按分後)'!R34</f>
        <v>0</v>
      </c>
      <c r="H33" s="1230">
        <f t="shared" si="5"/>
        <v>12208455126</v>
      </c>
      <c r="I33" s="1231">
        <f>+'雨汚水(共通按分後)'!T34</f>
        <v>490154021</v>
      </c>
      <c r="J33" s="1231">
        <f>+'雨汚水(共通按分後)'!U34</f>
        <v>13581700001</v>
      </c>
      <c r="K33" s="1230">
        <f t="shared" si="6"/>
        <v>14071854022</v>
      </c>
      <c r="L33" s="1203">
        <f>E32+F32</f>
        <v>12564034663</v>
      </c>
      <c r="M33" s="1203">
        <f>'3条税込み(共通按分後)'!D33-'3条税抜き(共通按分後)'!D33</f>
        <v>0</v>
      </c>
      <c r="N33" s="1301">
        <f t="shared" si="3"/>
        <v>271133082</v>
      </c>
    </row>
    <row r="34" spans="1:14" ht="24.75" customHeight="1">
      <c r="A34" s="1241"/>
      <c r="B34" s="1245"/>
      <c r="C34" s="1244" t="s">
        <v>1692</v>
      </c>
      <c r="D34" s="1235">
        <f>+'雨汚水(共通按分後)'!O35</f>
        <v>503761871</v>
      </c>
      <c r="E34" s="1234">
        <f>+'雨汚水(共通按分後)'!P35</f>
        <v>351779106</v>
      </c>
      <c r="F34" s="1300">
        <f>+'雨汚水(共通按分後)'!Q35</f>
        <v>3800431</v>
      </c>
      <c r="G34" s="1300">
        <f>+'雨汚水(共通按分後)'!R35</f>
        <v>0</v>
      </c>
      <c r="H34" s="1230">
        <f t="shared" si="5"/>
        <v>355579537</v>
      </c>
      <c r="I34" s="1232">
        <f>+'雨汚水(共通按分後)'!T35</f>
        <v>7665695</v>
      </c>
      <c r="J34" s="1231">
        <f>+'雨汚水(共通按分後)'!U35</f>
        <v>140516639</v>
      </c>
      <c r="K34" s="1230">
        <f t="shared" si="6"/>
        <v>148182334</v>
      </c>
      <c r="M34" s="1203">
        <f>'3条税込み(共通按分後)'!D34-'3条税抜き(共通按分後)'!D34</f>
        <v>0</v>
      </c>
      <c r="N34" s="1203">
        <f t="shared" si="3"/>
        <v>0</v>
      </c>
    </row>
    <row r="35" spans="1:14" ht="24.75" customHeight="1">
      <c r="A35" s="1241"/>
      <c r="B35" s="1247" t="s">
        <v>1657</v>
      </c>
      <c r="C35" s="1246"/>
      <c r="D35" s="1235">
        <f>SUM(D36:D37)</f>
        <v>3940339234</v>
      </c>
      <c r="E35" s="1234">
        <f>SUM(E36:E37)</f>
        <v>3259340024</v>
      </c>
      <c r="F35" s="1231">
        <f>SUM(F36:F37)</f>
        <v>0</v>
      </c>
      <c r="G35" s="1231">
        <f>SUM(G36:G37)</f>
        <v>93230210</v>
      </c>
      <c r="H35" s="1230">
        <f t="shared" si="5"/>
        <v>3352570234</v>
      </c>
      <c r="I35" s="1299">
        <f>SUM(I36:I37)</f>
        <v>875942080</v>
      </c>
      <c r="J35" s="1231">
        <f>SUM(J36:J37)</f>
        <v>-288173080</v>
      </c>
      <c r="K35" s="1230">
        <f t="shared" si="6"/>
        <v>587769000</v>
      </c>
      <c r="M35" s="1203">
        <f>SUM(M36:M37)</f>
        <v>5619432</v>
      </c>
      <c r="N35" s="1203">
        <f t="shared" si="3"/>
        <v>0</v>
      </c>
    </row>
    <row r="36" spans="1:14" ht="24.75" customHeight="1">
      <c r="A36" s="1241"/>
      <c r="B36" s="1244"/>
      <c r="C36" s="1244" t="s">
        <v>1691</v>
      </c>
      <c r="D36" s="1235">
        <f>+SUM('雨汚水(共通按分後)'!O37:O38)</f>
        <v>3940339234</v>
      </c>
      <c r="E36" s="1234">
        <f>+SUM('雨汚水(共通按分後)'!P37:P38)</f>
        <v>3259340024</v>
      </c>
      <c r="F36" s="1231">
        <f>+SUM('雨汚水(共通按分後)'!Q37:Q38)</f>
        <v>0</v>
      </c>
      <c r="G36" s="1231">
        <f>+SUM('雨汚水(共通按分後)'!R37:R38)</f>
        <v>93230210</v>
      </c>
      <c r="H36" s="1230">
        <f t="shared" si="5"/>
        <v>3352570234</v>
      </c>
      <c r="I36" s="1299">
        <f>+SUM('雨汚水(共通按分後)'!T37:T38)</f>
        <v>875942080</v>
      </c>
      <c r="J36" s="1231">
        <f>+SUM('雨汚水(共通按分後)'!U37:U38)</f>
        <v>-288173080</v>
      </c>
      <c r="K36" s="1230">
        <f t="shared" si="6"/>
        <v>587769000</v>
      </c>
      <c r="M36" s="1203">
        <f>'3条税込み(共通按分後)'!D36-'3条税抜き(共通按分後)'!D36</f>
        <v>5619432</v>
      </c>
      <c r="N36" s="1203">
        <f t="shared" si="3"/>
        <v>0</v>
      </c>
    </row>
    <row r="37" spans="1:14" ht="24.75" customHeight="1">
      <c r="A37" s="1241"/>
      <c r="B37" s="1245"/>
      <c r="C37" s="1244" t="s">
        <v>1689</v>
      </c>
      <c r="D37" s="1235"/>
      <c r="E37" s="1234"/>
      <c r="F37" s="1231"/>
      <c r="G37" s="1231"/>
      <c r="H37" s="1230">
        <f t="shared" si="5"/>
        <v>0</v>
      </c>
      <c r="I37" s="1232"/>
      <c r="J37" s="1231"/>
      <c r="K37" s="1230">
        <f t="shared" si="6"/>
        <v>0</v>
      </c>
      <c r="M37" s="1203">
        <f>'3条税込み(共通按分後)'!D37-'3条税抜き(共通按分後)'!D37</f>
        <v>0</v>
      </c>
      <c r="N37" s="1203">
        <f t="shared" si="3"/>
        <v>0</v>
      </c>
    </row>
    <row r="38" spans="1:14" ht="24.7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row>
    <row r="39" spans="1:14" ht="24.75" customHeight="1">
      <c r="A39" s="1241"/>
      <c r="B39" s="1244"/>
      <c r="C39" s="1243" t="s">
        <v>1687</v>
      </c>
      <c r="D39" s="1235">
        <f>+SUM('雨汚水(共通按分後)'!O42:O44)</f>
        <v>0</v>
      </c>
      <c r="E39" s="1234">
        <f>+SUM('雨汚水(共通按分後)'!P42:P44)</f>
        <v>0</v>
      </c>
      <c r="F39" s="1231">
        <f>+SUM('雨汚水(共通按分後)'!Q42:Q44)</f>
        <v>0</v>
      </c>
      <c r="G39" s="1231">
        <f>+SUM('雨汚水(共通按分後)'!R42:R44)</f>
        <v>0</v>
      </c>
      <c r="H39" s="1230">
        <f>SUM(E39:G39)</f>
        <v>0</v>
      </c>
      <c r="I39" s="1232">
        <f>+SUM('雨汚水(共通按分後)'!T42:T44)</f>
        <v>0</v>
      </c>
      <c r="J39" s="1231">
        <f>+SUM('雨汚水(共通按分後)'!U42:U44)</f>
        <v>0</v>
      </c>
      <c r="K39" s="1230">
        <f>SUM(I39:J39)</f>
        <v>0</v>
      </c>
      <c r="M39" s="1203">
        <f>D39-H39-K39</f>
        <v>0</v>
      </c>
    </row>
    <row r="40" spans="1:14" ht="24.75" customHeight="1">
      <c r="A40" s="1241"/>
      <c r="B40" s="1240"/>
      <c r="C40" s="1239"/>
      <c r="D40" s="1235"/>
      <c r="E40" s="1234"/>
      <c r="F40" s="1233" t="s">
        <v>1682</v>
      </c>
      <c r="G40" s="1231">
        <f>'3条税込み(共通按分後)'!G40</f>
        <v>0</v>
      </c>
      <c r="H40" s="1230">
        <f>SUM(E40:G40)</f>
        <v>0</v>
      </c>
      <c r="I40" s="1232"/>
      <c r="J40" s="1231"/>
      <c r="K40" s="1230">
        <f>SUM(I40:J40)</f>
        <v>0</v>
      </c>
      <c r="L40" s="1203" t="s">
        <v>1681</v>
      </c>
    </row>
    <row r="41" spans="1:14" ht="24.75" customHeight="1">
      <c r="A41" s="1228"/>
      <c r="B41" s="1237"/>
      <c r="C41" s="1236"/>
      <c r="D41" s="1235"/>
      <c r="E41" s="1234"/>
      <c r="F41" s="1233" t="s">
        <v>1679</v>
      </c>
      <c r="G41" s="1231">
        <f>G36-G40</f>
        <v>93230210</v>
      </c>
      <c r="H41" s="1230"/>
      <c r="I41" s="1232"/>
      <c r="J41" s="1231"/>
      <c r="K41" s="1230"/>
      <c r="L41" s="1203">
        <f>E36+F36+G41+I36</f>
        <v>4228512314</v>
      </c>
      <c r="N41" s="1203">
        <f>D41-H41-K41</f>
        <v>0</v>
      </c>
    </row>
    <row r="42" spans="1:14" ht="24.75" customHeight="1">
      <c r="A42" s="1228"/>
      <c r="B42" s="1205" t="s">
        <v>1676</v>
      </c>
      <c r="C42" s="1205"/>
      <c r="D42" s="1298">
        <f t="shared" ref="D42:K42" si="8">D32+D35+D38</f>
        <v>30995543335</v>
      </c>
      <c r="E42" s="1297">
        <f t="shared" si="8"/>
        <v>15689090382</v>
      </c>
      <c r="F42" s="1295">
        <f t="shared" si="8"/>
        <v>134284305</v>
      </c>
      <c r="G42" s="1295">
        <f t="shared" si="8"/>
        <v>93230210</v>
      </c>
      <c r="H42" s="1294">
        <f t="shared" si="8"/>
        <v>15916604897</v>
      </c>
      <c r="I42" s="1296">
        <f t="shared" si="8"/>
        <v>1373761796</v>
      </c>
      <c r="J42" s="1295">
        <f t="shared" si="8"/>
        <v>13434043560</v>
      </c>
      <c r="K42" s="1294">
        <f t="shared" si="8"/>
        <v>14807805356</v>
      </c>
      <c r="M42" s="1203">
        <f>M32+M35</f>
        <v>5619432</v>
      </c>
      <c r="N42" s="1203">
        <f>D42-H42-K42</f>
        <v>271133082</v>
      </c>
    </row>
    <row r="43" spans="1:14" ht="24.75" customHeight="1">
      <c r="A43" s="1222"/>
      <c r="B43" s="1221"/>
      <c r="C43" s="1221"/>
      <c r="D43" s="1220"/>
      <c r="E43" s="1219"/>
      <c r="F43" s="1217"/>
      <c r="G43" s="1217"/>
      <c r="H43" s="1216"/>
      <c r="I43" s="1218"/>
      <c r="J43" s="1217"/>
      <c r="K43" s="1216"/>
      <c r="N43" s="1203">
        <f>D43-H43-K43</f>
        <v>0</v>
      </c>
    </row>
    <row r="44" spans="1:14" ht="24.75" customHeight="1" thickBot="1">
      <c r="A44" s="1215" t="s">
        <v>1674</v>
      </c>
      <c r="B44" s="1214"/>
      <c r="C44" s="1213"/>
      <c r="D44" s="1293">
        <f t="shared" ref="D44:K44" si="9">D31+D42</f>
        <v>41815631556</v>
      </c>
      <c r="E44" s="1292">
        <f t="shared" si="9"/>
        <v>17891109043</v>
      </c>
      <c r="F44" s="1289">
        <f t="shared" si="9"/>
        <v>334344740</v>
      </c>
      <c r="G44" s="1292">
        <f t="shared" si="9"/>
        <v>445711850</v>
      </c>
      <c r="H44" s="1291">
        <f t="shared" si="9"/>
        <v>18671165633</v>
      </c>
      <c r="I44" s="1290">
        <f t="shared" si="9"/>
        <v>1460379844</v>
      </c>
      <c r="J44" s="1289">
        <f t="shared" si="9"/>
        <v>21412952997</v>
      </c>
      <c r="K44" s="1288">
        <f t="shared" si="9"/>
        <v>22873332841</v>
      </c>
      <c r="M44" s="1203">
        <f>M31+M42</f>
        <v>828022209</v>
      </c>
      <c r="N44" s="1203">
        <f>D44-H44-K44</f>
        <v>271133082</v>
      </c>
    </row>
    <row r="45" spans="1:14" ht="21" customHeight="1">
      <c r="A45" s="1205"/>
      <c r="B45" s="1205"/>
      <c r="C45" s="1205"/>
      <c r="D45" s="1204"/>
      <c r="E45" s="1204"/>
      <c r="F45" s="1204"/>
      <c r="G45" s="1204"/>
      <c r="H45" s="1204"/>
      <c r="I45" s="1204"/>
      <c r="J45" s="1204"/>
      <c r="K45" s="1204"/>
    </row>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O56"/>
  <sheetViews>
    <sheetView zoomScaleNormal="100" zoomScaleSheetLayoutView="90" workbookViewId="0">
      <pane xSplit="3" ySplit="5" topLeftCell="D6" activePane="bottomRight" state="frozen"/>
      <selection activeCell="AK149" sqref="AK149"/>
      <selection pane="topRight" activeCell="AK149" sqref="AK149"/>
      <selection pane="bottomLeft" activeCell="AK149" sqref="AK149"/>
      <selection pane="bottomRight" activeCell="J8" sqref="J8"/>
    </sheetView>
  </sheetViews>
  <sheetFormatPr defaultRowHeight="11.25"/>
  <cols>
    <col min="1" max="1" width="2.625" style="1203" customWidth="1"/>
    <col min="2" max="2" width="1.25" style="1203" customWidth="1"/>
    <col min="3" max="3" width="14.125" style="1203" customWidth="1"/>
    <col min="4" max="5" width="13" style="1203" customWidth="1"/>
    <col min="6" max="6" width="10.25" style="1203" customWidth="1"/>
    <col min="7" max="7" width="11.375" style="1203" customWidth="1"/>
    <col min="8" max="8" width="12.875" style="1203" customWidth="1"/>
    <col min="9" max="9" width="12" style="1203" customWidth="1"/>
    <col min="10" max="10" width="12.75" style="1203" customWidth="1"/>
    <col min="11" max="11" width="13" style="1203" customWidth="1"/>
    <col min="12" max="15" width="12.75" style="1203" customWidth="1"/>
    <col min="16" max="256" width="9" style="1203"/>
    <col min="257" max="257" width="2.625" style="1203" customWidth="1"/>
    <col min="258" max="258" width="1.25" style="1203" customWidth="1"/>
    <col min="259" max="259" width="14.125" style="1203" customWidth="1"/>
    <col min="260" max="261" width="13" style="1203" customWidth="1"/>
    <col min="262" max="262" width="10.25" style="1203" customWidth="1"/>
    <col min="263" max="263" width="11.375" style="1203" customWidth="1"/>
    <col min="264" max="264" width="12.875" style="1203" customWidth="1"/>
    <col min="265" max="265" width="12" style="1203" customWidth="1"/>
    <col min="266" max="266" width="12.75" style="1203" customWidth="1"/>
    <col min="267" max="267" width="13" style="1203" customWidth="1"/>
    <col min="268" max="268" width="13.75" style="1203" bestFit="1" customWidth="1"/>
    <col min="269" max="269" width="11.375" style="1203" customWidth="1"/>
    <col min="270" max="270" width="11.875" style="1203" customWidth="1"/>
    <col min="271" max="271" width="16" style="1203" bestFit="1" customWidth="1"/>
    <col min="272" max="512" width="9" style="1203"/>
    <col min="513" max="513" width="2.625" style="1203" customWidth="1"/>
    <col min="514" max="514" width="1.25" style="1203" customWidth="1"/>
    <col min="515" max="515" width="14.125" style="1203" customWidth="1"/>
    <col min="516" max="517" width="13" style="1203" customWidth="1"/>
    <col min="518" max="518" width="10.25" style="1203" customWidth="1"/>
    <col min="519" max="519" width="11.375" style="1203" customWidth="1"/>
    <col min="520" max="520" width="12.875" style="1203" customWidth="1"/>
    <col min="521" max="521" width="12" style="1203" customWidth="1"/>
    <col min="522" max="522" width="12.75" style="1203" customWidth="1"/>
    <col min="523" max="523" width="13" style="1203" customWidth="1"/>
    <col min="524" max="524" width="13.75" style="1203" bestFit="1" customWidth="1"/>
    <col min="525" max="525" width="11.375" style="1203" customWidth="1"/>
    <col min="526" max="526" width="11.875" style="1203" customWidth="1"/>
    <col min="527" max="527" width="16" style="1203" bestFit="1" customWidth="1"/>
    <col min="528" max="768" width="9" style="1203"/>
    <col min="769" max="769" width="2.625" style="1203" customWidth="1"/>
    <col min="770" max="770" width="1.25" style="1203" customWidth="1"/>
    <col min="771" max="771" width="14.125" style="1203" customWidth="1"/>
    <col min="772" max="773" width="13" style="1203" customWidth="1"/>
    <col min="774" max="774" width="10.25" style="1203" customWidth="1"/>
    <col min="775" max="775" width="11.375" style="1203" customWidth="1"/>
    <col min="776" max="776" width="12.875" style="1203" customWidth="1"/>
    <col min="777" max="777" width="12" style="1203" customWidth="1"/>
    <col min="778" max="778" width="12.75" style="1203" customWidth="1"/>
    <col min="779" max="779" width="13" style="1203" customWidth="1"/>
    <col min="780" max="780" width="13.75" style="1203" bestFit="1" customWidth="1"/>
    <col min="781" max="781" width="11.375" style="1203" customWidth="1"/>
    <col min="782" max="782" width="11.875" style="1203" customWidth="1"/>
    <col min="783" max="783" width="16" style="1203" bestFit="1" customWidth="1"/>
    <col min="784" max="1024" width="9" style="1203"/>
    <col min="1025" max="1025" width="2.625" style="1203" customWidth="1"/>
    <col min="1026" max="1026" width="1.25" style="1203" customWidth="1"/>
    <col min="1027" max="1027" width="14.125" style="1203" customWidth="1"/>
    <col min="1028" max="1029" width="13" style="1203" customWidth="1"/>
    <col min="1030" max="1030" width="10.25" style="1203" customWidth="1"/>
    <col min="1031" max="1031" width="11.375" style="1203" customWidth="1"/>
    <col min="1032" max="1032" width="12.875" style="1203" customWidth="1"/>
    <col min="1033" max="1033" width="12" style="1203" customWidth="1"/>
    <col min="1034" max="1034" width="12.75" style="1203" customWidth="1"/>
    <col min="1035" max="1035" width="13" style="1203" customWidth="1"/>
    <col min="1036" max="1036" width="13.75" style="1203" bestFit="1" customWidth="1"/>
    <col min="1037" max="1037" width="11.375" style="1203" customWidth="1"/>
    <col min="1038" max="1038" width="11.875" style="1203" customWidth="1"/>
    <col min="1039" max="1039" width="16" style="1203" bestFit="1" customWidth="1"/>
    <col min="1040" max="1280" width="9" style="1203"/>
    <col min="1281" max="1281" width="2.625" style="1203" customWidth="1"/>
    <col min="1282" max="1282" width="1.25" style="1203" customWidth="1"/>
    <col min="1283" max="1283" width="14.125" style="1203" customWidth="1"/>
    <col min="1284" max="1285" width="13" style="1203" customWidth="1"/>
    <col min="1286" max="1286" width="10.25" style="1203" customWidth="1"/>
    <col min="1287" max="1287" width="11.375" style="1203" customWidth="1"/>
    <col min="1288" max="1288" width="12.875" style="1203" customWidth="1"/>
    <col min="1289" max="1289" width="12" style="1203" customWidth="1"/>
    <col min="1290" max="1290" width="12.75" style="1203" customWidth="1"/>
    <col min="1291" max="1291" width="13" style="1203" customWidth="1"/>
    <col min="1292" max="1292" width="13.75" style="1203" bestFit="1" customWidth="1"/>
    <col min="1293" max="1293" width="11.375" style="1203" customWidth="1"/>
    <col min="1294" max="1294" width="11.875" style="1203" customWidth="1"/>
    <col min="1295" max="1295" width="16" style="1203" bestFit="1" customWidth="1"/>
    <col min="1296" max="1536" width="9" style="1203"/>
    <col min="1537" max="1537" width="2.625" style="1203" customWidth="1"/>
    <col min="1538" max="1538" width="1.25" style="1203" customWidth="1"/>
    <col min="1539" max="1539" width="14.125" style="1203" customWidth="1"/>
    <col min="1540" max="1541" width="13" style="1203" customWidth="1"/>
    <col min="1542" max="1542" width="10.25" style="1203" customWidth="1"/>
    <col min="1543" max="1543" width="11.375" style="1203" customWidth="1"/>
    <col min="1544" max="1544" width="12.875" style="1203" customWidth="1"/>
    <col min="1545" max="1545" width="12" style="1203" customWidth="1"/>
    <col min="1546" max="1546" width="12.75" style="1203" customWidth="1"/>
    <col min="1547" max="1547" width="13" style="1203" customWidth="1"/>
    <col min="1548" max="1548" width="13.75" style="1203" bestFit="1" customWidth="1"/>
    <col min="1549" max="1549" width="11.375" style="1203" customWidth="1"/>
    <col min="1550" max="1550" width="11.875" style="1203" customWidth="1"/>
    <col min="1551" max="1551" width="16" style="1203" bestFit="1" customWidth="1"/>
    <col min="1552" max="1792" width="9" style="1203"/>
    <col min="1793" max="1793" width="2.625" style="1203" customWidth="1"/>
    <col min="1794" max="1794" width="1.25" style="1203" customWidth="1"/>
    <col min="1795" max="1795" width="14.125" style="1203" customWidth="1"/>
    <col min="1796" max="1797" width="13" style="1203" customWidth="1"/>
    <col min="1798" max="1798" width="10.25" style="1203" customWidth="1"/>
    <col min="1799" max="1799" width="11.375" style="1203" customWidth="1"/>
    <col min="1800" max="1800" width="12.875" style="1203" customWidth="1"/>
    <col min="1801" max="1801" width="12" style="1203" customWidth="1"/>
    <col min="1802" max="1802" width="12.75" style="1203" customWidth="1"/>
    <col min="1803" max="1803" width="13" style="1203" customWidth="1"/>
    <col min="1804" max="1804" width="13.75" style="1203" bestFit="1" customWidth="1"/>
    <col min="1805" max="1805" width="11.375" style="1203" customWidth="1"/>
    <col min="1806" max="1806" width="11.875" style="1203" customWidth="1"/>
    <col min="1807" max="1807" width="16" style="1203" bestFit="1" customWidth="1"/>
    <col min="1808" max="2048" width="9" style="1203"/>
    <col min="2049" max="2049" width="2.625" style="1203" customWidth="1"/>
    <col min="2050" max="2050" width="1.25" style="1203" customWidth="1"/>
    <col min="2051" max="2051" width="14.125" style="1203" customWidth="1"/>
    <col min="2052" max="2053" width="13" style="1203" customWidth="1"/>
    <col min="2054" max="2054" width="10.25" style="1203" customWidth="1"/>
    <col min="2055" max="2055" width="11.375" style="1203" customWidth="1"/>
    <col min="2056" max="2056" width="12.875" style="1203" customWidth="1"/>
    <col min="2057" max="2057" width="12" style="1203" customWidth="1"/>
    <col min="2058" max="2058" width="12.75" style="1203" customWidth="1"/>
    <col min="2059" max="2059" width="13" style="1203" customWidth="1"/>
    <col min="2060" max="2060" width="13.75" style="1203" bestFit="1" customWidth="1"/>
    <col min="2061" max="2061" width="11.375" style="1203" customWidth="1"/>
    <col min="2062" max="2062" width="11.875" style="1203" customWidth="1"/>
    <col min="2063" max="2063" width="16" style="1203" bestFit="1" customWidth="1"/>
    <col min="2064" max="2304" width="9" style="1203"/>
    <col min="2305" max="2305" width="2.625" style="1203" customWidth="1"/>
    <col min="2306" max="2306" width="1.25" style="1203" customWidth="1"/>
    <col min="2307" max="2307" width="14.125" style="1203" customWidth="1"/>
    <col min="2308" max="2309" width="13" style="1203" customWidth="1"/>
    <col min="2310" max="2310" width="10.25" style="1203" customWidth="1"/>
    <col min="2311" max="2311" width="11.375" style="1203" customWidth="1"/>
    <col min="2312" max="2312" width="12.875" style="1203" customWidth="1"/>
    <col min="2313" max="2313" width="12" style="1203" customWidth="1"/>
    <col min="2314" max="2314" width="12.75" style="1203" customWidth="1"/>
    <col min="2315" max="2315" width="13" style="1203" customWidth="1"/>
    <col min="2316" max="2316" width="13.75" style="1203" bestFit="1" customWidth="1"/>
    <col min="2317" max="2317" width="11.375" style="1203" customWidth="1"/>
    <col min="2318" max="2318" width="11.875" style="1203" customWidth="1"/>
    <col min="2319" max="2319" width="16" style="1203" bestFit="1" customWidth="1"/>
    <col min="2320" max="2560" width="9" style="1203"/>
    <col min="2561" max="2561" width="2.625" style="1203" customWidth="1"/>
    <col min="2562" max="2562" width="1.25" style="1203" customWidth="1"/>
    <col min="2563" max="2563" width="14.125" style="1203" customWidth="1"/>
    <col min="2564" max="2565" width="13" style="1203" customWidth="1"/>
    <col min="2566" max="2566" width="10.25" style="1203" customWidth="1"/>
    <col min="2567" max="2567" width="11.375" style="1203" customWidth="1"/>
    <col min="2568" max="2568" width="12.875" style="1203" customWidth="1"/>
    <col min="2569" max="2569" width="12" style="1203" customWidth="1"/>
    <col min="2570" max="2570" width="12.75" style="1203" customWidth="1"/>
    <col min="2571" max="2571" width="13" style="1203" customWidth="1"/>
    <col min="2572" max="2572" width="13.75" style="1203" bestFit="1" customWidth="1"/>
    <col min="2573" max="2573" width="11.375" style="1203" customWidth="1"/>
    <col min="2574" max="2574" width="11.875" style="1203" customWidth="1"/>
    <col min="2575" max="2575" width="16" style="1203" bestFit="1" customWidth="1"/>
    <col min="2576" max="2816" width="9" style="1203"/>
    <col min="2817" max="2817" width="2.625" style="1203" customWidth="1"/>
    <col min="2818" max="2818" width="1.25" style="1203" customWidth="1"/>
    <col min="2819" max="2819" width="14.125" style="1203" customWidth="1"/>
    <col min="2820" max="2821" width="13" style="1203" customWidth="1"/>
    <col min="2822" max="2822" width="10.25" style="1203" customWidth="1"/>
    <col min="2823" max="2823" width="11.375" style="1203" customWidth="1"/>
    <col min="2824" max="2824" width="12.875" style="1203" customWidth="1"/>
    <col min="2825" max="2825" width="12" style="1203" customWidth="1"/>
    <col min="2826" max="2826" width="12.75" style="1203" customWidth="1"/>
    <col min="2827" max="2827" width="13" style="1203" customWidth="1"/>
    <col min="2828" max="2828" width="13.75" style="1203" bestFit="1" customWidth="1"/>
    <col min="2829" max="2829" width="11.375" style="1203" customWidth="1"/>
    <col min="2830" max="2830" width="11.875" style="1203" customWidth="1"/>
    <col min="2831" max="2831" width="16" style="1203" bestFit="1" customWidth="1"/>
    <col min="2832" max="3072" width="9" style="1203"/>
    <col min="3073" max="3073" width="2.625" style="1203" customWidth="1"/>
    <col min="3074" max="3074" width="1.25" style="1203" customWidth="1"/>
    <col min="3075" max="3075" width="14.125" style="1203" customWidth="1"/>
    <col min="3076" max="3077" width="13" style="1203" customWidth="1"/>
    <col min="3078" max="3078" width="10.25" style="1203" customWidth="1"/>
    <col min="3079" max="3079" width="11.375" style="1203" customWidth="1"/>
    <col min="3080" max="3080" width="12.875" style="1203" customWidth="1"/>
    <col min="3081" max="3081" width="12" style="1203" customWidth="1"/>
    <col min="3082" max="3082" width="12.75" style="1203" customWidth="1"/>
    <col min="3083" max="3083" width="13" style="1203" customWidth="1"/>
    <col min="3084" max="3084" width="13.75" style="1203" bestFit="1" customWidth="1"/>
    <col min="3085" max="3085" width="11.375" style="1203" customWidth="1"/>
    <col min="3086" max="3086" width="11.875" style="1203" customWidth="1"/>
    <col min="3087" max="3087" width="16" style="1203" bestFit="1" customWidth="1"/>
    <col min="3088" max="3328" width="9" style="1203"/>
    <col min="3329" max="3329" width="2.625" style="1203" customWidth="1"/>
    <col min="3330" max="3330" width="1.25" style="1203" customWidth="1"/>
    <col min="3331" max="3331" width="14.125" style="1203" customWidth="1"/>
    <col min="3332" max="3333" width="13" style="1203" customWidth="1"/>
    <col min="3334" max="3334" width="10.25" style="1203" customWidth="1"/>
    <col min="3335" max="3335" width="11.375" style="1203" customWidth="1"/>
    <col min="3336" max="3336" width="12.875" style="1203" customWidth="1"/>
    <col min="3337" max="3337" width="12" style="1203" customWidth="1"/>
    <col min="3338" max="3338" width="12.75" style="1203" customWidth="1"/>
    <col min="3339" max="3339" width="13" style="1203" customWidth="1"/>
    <col min="3340" max="3340" width="13.75" style="1203" bestFit="1" customWidth="1"/>
    <col min="3341" max="3341" width="11.375" style="1203" customWidth="1"/>
    <col min="3342" max="3342" width="11.875" style="1203" customWidth="1"/>
    <col min="3343" max="3343" width="16" style="1203" bestFit="1" customWidth="1"/>
    <col min="3344" max="3584" width="9" style="1203"/>
    <col min="3585" max="3585" width="2.625" style="1203" customWidth="1"/>
    <col min="3586" max="3586" width="1.25" style="1203" customWidth="1"/>
    <col min="3587" max="3587" width="14.125" style="1203" customWidth="1"/>
    <col min="3588" max="3589" width="13" style="1203" customWidth="1"/>
    <col min="3590" max="3590" width="10.25" style="1203" customWidth="1"/>
    <col min="3591" max="3591" width="11.375" style="1203" customWidth="1"/>
    <col min="3592" max="3592" width="12.875" style="1203" customWidth="1"/>
    <col min="3593" max="3593" width="12" style="1203" customWidth="1"/>
    <col min="3594" max="3594" width="12.75" style="1203" customWidth="1"/>
    <col min="3595" max="3595" width="13" style="1203" customWidth="1"/>
    <col min="3596" max="3596" width="13.75" style="1203" bestFit="1" customWidth="1"/>
    <col min="3597" max="3597" width="11.375" style="1203" customWidth="1"/>
    <col min="3598" max="3598" width="11.875" style="1203" customWidth="1"/>
    <col min="3599" max="3599" width="16" style="1203" bestFit="1" customWidth="1"/>
    <col min="3600" max="3840" width="9" style="1203"/>
    <col min="3841" max="3841" width="2.625" style="1203" customWidth="1"/>
    <col min="3842" max="3842" width="1.25" style="1203" customWidth="1"/>
    <col min="3843" max="3843" width="14.125" style="1203" customWidth="1"/>
    <col min="3844" max="3845" width="13" style="1203" customWidth="1"/>
    <col min="3846" max="3846" width="10.25" style="1203" customWidth="1"/>
    <col min="3847" max="3847" width="11.375" style="1203" customWidth="1"/>
    <col min="3848" max="3848" width="12.875" style="1203" customWidth="1"/>
    <col min="3849" max="3849" width="12" style="1203" customWidth="1"/>
    <col min="3850" max="3850" width="12.75" style="1203" customWidth="1"/>
    <col min="3851" max="3851" width="13" style="1203" customWidth="1"/>
    <col min="3852" max="3852" width="13.75" style="1203" bestFit="1" customWidth="1"/>
    <col min="3853" max="3853" width="11.375" style="1203" customWidth="1"/>
    <col min="3854" max="3854" width="11.875" style="1203" customWidth="1"/>
    <col min="3855" max="3855" width="16" style="1203" bestFit="1" customWidth="1"/>
    <col min="3856" max="4096" width="9" style="1203"/>
    <col min="4097" max="4097" width="2.625" style="1203" customWidth="1"/>
    <col min="4098" max="4098" width="1.25" style="1203" customWidth="1"/>
    <col min="4099" max="4099" width="14.125" style="1203" customWidth="1"/>
    <col min="4100" max="4101" width="13" style="1203" customWidth="1"/>
    <col min="4102" max="4102" width="10.25" style="1203" customWidth="1"/>
    <col min="4103" max="4103" width="11.375" style="1203" customWidth="1"/>
    <col min="4104" max="4104" width="12.875" style="1203" customWidth="1"/>
    <col min="4105" max="4105" width="12" style="1203" customWidth="1"/>
    <col min="4106" max="4106" width="12.75" style="1203" customWidth="1"/>
    <col min="4107" max="4107" width="13" style="1203" customWidth="1"/>
    <col min="4108" max="4108" width="13.75" style="1203" bestFit="1" customWidth="1"/>
    <col min="4109" max="4109" width="11.375" style="1203" customWidth="1"/>
    <col min="4110" max="4110" width="11.875" style="1203" customWidth="1"/>
    <col min="4111" max="4111" width="16" style="1203" bestFit="1" customWidth="1"/>
    <col min="4112" max="4352" width="9" style="1203"/>
    <col min="4353" max="4353" width="2.625" style="1203" customWidth="1"/>
    <col min="4354" max="4354" width="1.25" style="1203" customWidth="1"/>
    <col min="4355" max="4355" width="14.125" style="1203" customWidth="1"/>
    <col min="4356" max="4357" width="13" style="1203" customWidth="1"/>
    <col min="4358" max="4358" width="10.25" style="1203" customWidth="1"/>
    <col min="4359" max="4359" width="11.375" style="1203" customWidth="1"/>
    <col min="4360" max="4360" width="12.875" style="1203" customWidth="1"/>
    <col min="4361" max="4361" width="12" style="1203" customWidth="1"/>
    <col min="4362" max="4362" width="12.75" style="1203" customWidth="1"/>
    <col min="4363" max="4363" width="13" style="1203" customWidth="1"/>
    <col min="4364" max="4364" width="13.75" style="1203" bestFit="1" customWidth="1"/>
    <col min="4365" max="4365" width="11.375" style="1203" customWidth="1"/>
    <col min="4366" max="4366" width="11.875" style="1203" customWidth="1"/>
    <col min="4367" max="4367" width="16" style="1203" bestFit="1" customWidth="1"/>
    <col min="4368" max="4608" width="9" style="1203"/>
    <col min="4609" max="4609" width="2.625" style="1203" customWidth="1"/>
    <col min="4610" max="4610" width="1.25" style="1203" customWidth="1"/>
    <col min="4611" max="4611" width="14.125" style="1203" customWidth="1"/>
    <col min="4612" max="4613" width="13" style="1203" customWidth="1"/>
    <col min="4614" max="4614" width="10.25" style="1203" customWidth="1"/>
    <col min="4615" max="4615" width="11.375" style="1203" customWidth="1"/>
    <col min="4616" max="4616" width="12.875" style="1203" customWidth="1"/>
    <col min="4617" max="4617" width="12" style="1203" customWidth="1"/>
    <col min="4618" max="4618" width="12.75" style="1203" customWidth="1"/>
    <col min="4619" max="4619" width="13" style="1203" customWidth="1"/>
    <col min="4620" max="4620" width="13.75" style="1203" bestFit="1" customWidth="1"/>
    <col min="4621" max="4621" width="11.375" style="1203" customWidth="1"/>
    <col min="4622" max="4622" width="11.875" style="1203" customWidth="1"/>
    <col min="4623" max="4623" width="16" style="1203" bestFit="1" customWidth="1"/>
    <col min="4624" max="4864" width="9" style="1203"/>
    <col min="4865" max="4865" width="2.625" style="1203" customWidth="1"/>
    <col min="4866" max="4866" width="1.25" style="1203" customWidth="1"/>
    <col min="4867" max="4867" width="14.125" style="1203" customWidth="1"/>
    <col min="4868" max="4869" width="13" style="1203" customWidth="1"/>
    <col min="4870" max="4870" width="10.25" style="1203" customWidth="1"/>
    <col min="4871" max="4871" width="11.375" style="1203" customWidth="1"/>
    <col min="4872" max="4872" width="12.875" style="1203" customWidth="1"/>
    <col min="4873" max="4873" width="12" style="1203" customWidth="1"/>
    <col min="4874" max="4874" width="12.75" style="1203" customWidth="1"/>
    <col min="4875" max="4875" width="13" style="1203" customWidth="1"/>
    <col min="4876" max="4876" width="13.75" style="1203" bestFit="1" customWidth="1"/>
    <col min="4877" max="4877" width="11.375" style="1203" customWidth="1"/>
    <col min="4878" max="4878" width="11.875" style="1203" customWidth="1"/>
    <col min="4879" max="4879" width="16" style="1203" bestFit="1" customWidth="1"/>
    <col min="4880" max="5120" width="9" style="1203"/>
    <col min="5121" max="5121" width="2.625" style="1203" customWidth="1"/>
    <col min="5122" max="5122" width="1.25" style="1203" customWidth="1"/>
    <col min="5123" max="5123" width="14.125" style="1203" customWidth="1"/>
    <col min="5124" max="5125" width="13" style="1203" customWidth="1"/>
    <col min="5126" max="5126" width="10.25" style="1203" customWidth="1"/>
    <col min="5127" max="5127" width="11.375" style="1203" customWidth="1"/>
    <col min="5128" max="5128" width="12.875" style="1203" customWidth="1"/>
    <col min="5129" max="5129" width="12" style="1203" customWidth="1"/>
    <col min="5130" max="5130" width="12.75" style="1203" customWidth="1"/>
    <col min="5131" max="5131" width="13" style="1203" customWidth="1"/>
    <col min="5132" max="5132" width="13.75" style="1203" bestFit="1" customWidth="1"/>
    <col min="5133" max="5133" width="11.375" style="1203" customWidth="1"/>
    <col min="5134" max="5134" width="11.875" style="1203" customWidth="1"/>
    <col min="5135" max="5135" width="16" style="1203" bestFit="1" customWidth="1"/>
    <col min="5136" max="5376" width="9" style="1203"/>
    <col min="5377" max="5377" width="2.625" style="1203" customWidth="1"/>
    <col min="5378" max="5378" width="1.25" style="1203" customWidth="1"/>
    <col min="5379" max="5379" width="14.125" style="1203" customWidth="1"/>
    <col min="5380" max="5381" width="13" style="1203" customWidth="1"/>
    <col min="5382" max="5382" width="10.25" style="1203" customWidth="1"/>
    <col min="5383" max="5383" width="11.375" style="1203" customWidth="1"/>
    <col min="5384" max="5384" width="12.875" style="1203" customWidth="1"/>
    <col min="5385" max="5385" width="12" style="1203" customWidth="1"/>
    <col min="5386" max="5386" width="12.75" style="1203" customWidth="1"/>
    <col min="5387" max="5387" width="13" style="1203" customWidth="1"/>
    <col min="5388" max="5388" width="13.75" style="1203" bestFit="1" customWidth="1"/>
    <col min="5389" max="5389" width="11.375" style="1203" customWidth="1"/>
    <col min="5390" max="5390" width="11.875" style="1203" customWidth="1"/>
    <col min="5391" max="5391" width="16" style="1203" bestFit="1" customWidth="1"/>
    <col min="5392" max="5632" width="9" style="1203"/>
    <col min="5633" max="5633" width="2.625" style="1203" customWidth="1"/>
    <col min="5634" max="5634" width="1.25" style="1203" customWidth="1"/>
    <col min="5635" max="5635" width="14.125" style="1203" customWidth="1"/>
    <col min="5636" max="5637" width="13" style="1203" customWidth="1"/>
    <col min="5638" max="5638" width="10.25" style="1203" customWidth="1"/>
    <col min="5639" max="5639" width="11.375" style="1203" customWidth="1"/>
    <col min="5640" max="5640" width="12.875" style="1203" customWidth="1"/>
    <col min="5641" max="5641" width="12" style="1203" customWidth="1"/>
    <col min="5642" max="5642" width="12.75" style="1203" customWidth="1"/>
    <col min="5643" max="5643" width="13" style="1203" customWidth="1"/>
    <col min="5644" max="5644" width="13.75" style="1203" bestFit="1" customWidth="1"/>
    <col min="5645" max="5645" width="11.375" style="1203" customWidth="1"/>
    <col min="5646" max="5646" width="11.875" style="1203" customWidth="1"/>
    <col min="5647" max="5647" width="16" style="1203" bestFit="1" customWidth="1"/>
    <col min="5648" max="5888" width="9" style="1203"/>
    <col min="5889" max="5889" width="2.625" style="1203" customWidth="1"/>
    <col min="5890" max="5890" width="1.25" style="1203" customWidth="1"/>
    <col min="5891" max="5891" width="14.125" style="1203" customWidth="1"/>
    <col min="5892" max="5893" width="13" style="1203" customWidth="1"/>
    <col min="5894" max="5894" width="10.25" style="1203" customWidth="1"/>
    <col min="5895" max="5895" width="11.375" style="1203" customWidth="1"/>
    <col min="5896" max="5896" width="12.875" style="1203" customWidth="1"/>
    <col min="5897" max="5897" width="12" style="1203" customWidth="1"/>
    <col min="5898" max="5898" width="12.75" style="1203" customWidth="1"/>
    <col min="5899" max="5899" width="13" style="1203" customWidth="1"/>
    <col min="5900" max="5900" width="13.75" style="1203" bestFit="1" customWidth="1"/>
    <col min="5901" max="5901" width="11.375" style="1203" customWidth="1"/>
    <col min="5902" max="5902" width="11.875" style="1203" customWidth="1"/>
    <col min="5903" max="5903" width="16" style="1203" bestFit="1" customWidth="1"/>
    <col min="5904" max="6144" width="9" style="1203"/>
    <col min="6145" max="6145" width="2.625" style="1203" customWidth="1"/>
    <col min="6146" max="6146" width="1.25" style="1203" customWidth="1"/>
    <col min="6147" max="6147" width="14.125" style="1203" customWidth="1"/>
    <col min="6148" max="6149" width="13" style="1203" customWidth="1"/>
    <col min="6150" max="6150" width="10.25" style="1203" customWidth="1"/>
    <col min="6151" max="6151" width="11.375" style="1203" customWidth="1"/>
    <col min="6152" max="6152" width="12.875" style="1203" customWidth="1"/>
    <col min="6153" max="6153" width="12" style="1203" customWidth="1"/>
    <col min="6154" max="6154" width="12.75" style="1203" customWidth="1"/>
    <col min="6155" max="6155" width="13" style="1203" customWidth="1"/>
    <col min="6156" max="6156" width="13.75" style="1203" bestFit="1" customWidth="1"/>
    <col min="6157" max="6157" width="11.375" style="1203" customWidth="1"/>
    <col min="6158" max="6158" width="11.875" style="1203" customWidth="1"/>
    <col min="6159" max="6159" width="16" style="1203" bestFit="1" customWidth="1"/>
    <col min="6160" max="6400" width="9" style="1203"/>
    <col min="6401" max="6401" width="2.625" style="1203" customWidth="1"/>
    <col min="6402" max="6402" width="1.25" style="1203" customWidth="1"/>
    <col min="6403" max="6403" width="14.125" style="1203" customWidth="1"/>
    <col min="6404" max="6405" width="13" style="1203" customWidth="1"/>
    <col min="6406" max="6406" width="10.25" style="1203" customWidth="1"/>
    <col min="6407" max="6407" width="11.375" style="1203" customWidth="1"/>
    <col min="6408" max="6408" width="12.875" style="1203" customWidth="1"/>
    <col min="6409" max="6409" width="12" style="1203" customWidth="1"/>
    <col min="6410" max="6410" width="12.75" style="1203" customWidth="1"/>
    <col min="6411" max="6411" width="13" style="1203" customWidth="1"/>
    <col min="6412" max="6412" width="13.75" style="1203" bestFit="1" customWidth="1"/>
    <col min="6413" max="6413" width="11.375" style="1203" customWidth="1"/>
    <col min="6414" max="6414" width="11.875" style="1203" customWidth="1"/>
    <col min="6415" max="6415" width="16" style="1203" bestFit="1" customWidth="1"/>
    <col min="6416" max="6656" width="9" style="1203"/>
    <col min="6657" max="6657" width="2.625" style="1203" customWidth="1"/>
    <col min="6658" max="6658" width="1.25" style="1203" customWidth="1"/>
    <col min="6659" max="6659" width="14.125" style="1203" customWidth="1"/>
    <col min="6660" max="6661" width="13" style="1203" customWidth="1"/>
    <col min="6662" max="6662" width="10.25" style="1203" customWidth="1"/>
    <col min="6663" max="6663" width="11.375" style="1203" customWidth="1"/>
    <col min="6664" max="6664" width="12.875" style="1203" customWidth="1"/>
    <col min="6665" max="6665" width="12" style="1203" customWidth="1"/>
    <col min="6666" max="6666" width="12.75" style="1203" customWidth="1"/>
    <col min="6667" max="6667" width="13" style="1203" customWidth="1"/>
    <col min="6668" max="6668" width="13.75" style="1203" bestFit="1" customWidth="1"/>
    <col min="6669" max="6669" width="11.375" style="1203" customWidth="1"/>
    <col min="6670" max="6670" width="11.875" style="1203" customWidth="1"/>
    <col min="6671" max="6671" width="16" style="1203" bestFit="1" customWidth="1"/>
    <col min="6672" max="6912" width="9" style="1203"/>
    <col min="6913" max="6913" width="2.625" style="1203" customWidth="1"/>
    <col min="6914" max="6914" width="1.25" style="1203" customWidth="1"/>
    <col min="6915" max="6915" width="14.125" style="1203" customWidth="1"/>
    <col min="6916" max="6917" width="13" style="1203" customWidth="1"/>
    <col min="6918" max="6918" width="10.25" style="1203" customWidth="1"/>
    <col min="6919" max="6919" width="11.375" style="1203" customWidth="1"/>
    <col min="6920" max="6920" width="12.875" style="1203" customWidth="1"/>
    <col min="6921" max="6921" width="12" style="1203" customWidth="1"/>
    <col min="6922" max="6922" width="12.75" style="1203" customWidth="1"/>
    <col min="6923" max="6923" width="13" style="1203" customWidth="1"/>
    <col min="6924" max="6924" width="13.75" style="1203" bestFit="1" customWidth="1"/>
    <col min="6925" max="6925" width="11.375" style="1203" customWidth="1"/>
    <col min="6926" max="6926" width="11.875" style="1203" customWidth="1"/>
    <col min="6927" max="6927" width="16" style="1203" bestFit="1" customWidth="1"/>
    <col min="6928" max="7168" width="9" style="1203"/>
    <col min="7169" max="7169" width="2.625" style="1203" customWidth="1"/>
    <col min="7170" max="7170" width="1.25" style="1203" customWidth="1"/>
    <col min="7171" max="7171" width="14.125" style="1203" customWidth="1"/>
    <col min="7172" max="7173" width="13" style="1203" customWidth="1"/>
    <col min="7174" max="7174" width="10.25" style="1203" customWidth="1"/>
    <col min="7175" max="7175" width="11.375" style="1203" customWidth="1"/>
    <col min="7176" max="7176" width="12.875" style="1203" customWidth="1"/>
    <col min="7177" max="7177" width="12" style="1203" customWidth="1"/>
    <col min="7178" max="7178" width="12.75" style="1203" customWidth="1"/>
    <col min="7179" max="7179" width="13" style="1203" customWidth="1"/>
    <col min="7180" max="7180" width="13.75" style="1203" bestFit="1" customWidth="1"/>
    <col min="7181" max="7181" width="11.375" style="1203" customWidth="1"/>
    <col min="7182" max="7182" width="11.875" style="1203" customWidth="1"/>
    <col min="7183" max="7183" width="16" style="1203" bestFit="1" customWidth="1"/>
    <col min="7184" max="7424" width="9" style="1203"/>
    <col min="7425" max="7425" width="2.625" style="1203" customWidth="1"/>
    <col min="7426" max="7426" width="1.25" style="1203" customWidth="1"/>
    <col min="7427" max="7427" width="14.125" style="1203" customWidth="1"/>
    <col min="7428" max="7429" width="13" style="1203" customWidth="1"/>
    <col min="7430" max="7430" width="10.25" style="1203" customWidth="1"/>
    <col min="7431" max="7431" width="11.375" style="1203" customWidth="1"/>
    <col min="7432" max="7432" width="12.875" style="1203" customWidth="1"/>
    <col min="7433" max="7433" width="12" style="1203" customWidth="1"/>
    <col min="7434" max="7434" width="12.75" style="1203" customWidth="1"/>
    <col min="7435" max="7435" width="13" style="1203" customWidth="1"/>
    <col min="7436" max="7436" width="13.75" style="1203" bestFit="1" customWidth="1"/>
    <col min="7437" max="7437" width="11.375" style="1203" customWidth="1"/>
    <col min="7438" max="7438" width="11.875" style="1203" customWidth="1"/>
    <col min="7439" max="7439" width="16" style="1203" bestFit="1" customWidth="1"/>
    <col min="7440" max="7680" width="9" style="1203"/>
    <col min="7681" max="7681" width="2.625" style="1203" customWidth="1"/>
    <col min="7682" max="7682" width="1.25" style="1203" customWidth="1"/>
    <col min="7683" max="7683" width="14.125" style="1203" customWidth="1"/>
    <col min="7684" max="7685" width="13" style="1203" customWidth="1"/>
    <col min="7686" max="7686" width="10.25" style="1203" customWidth="1"/>
    <col min="7687" max="7687" width="11.375" style="1203" customWidth="1"/>
    <col min="7688" max="7688" width="12.875" style="1203" customWidth="1"/>
    <col min="7689" max="7689" width="12" style="1203" customWidth="1"/>
    <col min="7690" max="7690" width="12.75" style="1203" customWidth="1"/>
    <col min="7691" max="7691" width="13" style="1203" customWidth="1"/>
    <col min="7692" max="7692" width="13.75" style="1203" bestFit="1" customWidth="1"/>
    <col min="7693" max="7693" width="11.375" style="1203" customWidth="1"/>
    <col min="7694" max="7694" width="11.875" style="1203" customWidth="1"/>
    <col min="7695" max="7695" width="16" style="1203" bestFit="1" customWidth="1"/>
    <col min="7696" max="7936" width="9" style="1203"/>
    <col min="7937" max="7937" width="2.625" style="1203" customWidth="1"/>
    <col min="7938" max="7938" width="1.25" style="1203" customWidth="1"/>
    <col min="7939" max="7939" width="14.125" style="1203" customWidth="1"/>
    <col min="7940" max="7941" width="13" style="1203" customWidth="1"/>
    <col min="7942" max="7942" width="10.25" style="1203" customWidth="1"/>
    <col min="7943" max="7943" width="11.375" style="1203" customWidth="1"/>
    <col min="7944" max="7944" width="12.875" style="1203" customWidth="1"/>
    <col min="7945" max="7945" width="12" style="1203" customWidth="1"/>
    <col min="7946" max="7946" width="12.75" style="1203" customWidth="1"/>
    <col min="7947" max="7947" width="13" style="1203" customWidth="1"/>
    <col min="7948" max="7948" width="13.75" style="1203" bestFit="1" customWidth="1"/>
    <col min="7949" max="7949" width="11.375" style="1203" customWidth="1"/>
    <col min="7950" max="7950" width="11.875" style="1203" customWidth="1"/>
    <col min="7951" max="7951" width="16" style="1203" bestFit="1" customWidth="1"/>
    <col min="7952" max="8192" width="9" style="1203"/>
    <col min="8193" max="8193" width="2.625" style="1203" customWidth="1"/>
    <col min="8194" max="8194" width="1.25" style="1203" customWidth="1"/>
    <col min="8195" max="8195" width="14.125" style="1203" customWidth="1"/>
    <col min="8196" max="8197" width="13" style="1203" customWidth="1"/>
    <col min="8198" max="8198" width="10.25" style="1203" customWidth="1"/>
    <col min="8199" max="8199" width="11.375" style="1203" customWidth="1"/>
    <col min="8200" max="8200" width="12.875" style="1203" customWidth="1"/>
    <col min="8201" max="8201" width="12" style="1203" customWidth="1"/>
    <col min="8202" max="8202" width="12.75" style="1203" customWidth="1"/>
    <col min="8203" max="8203" width="13" style="1203" customWidth="1"/>
    <col min="8204" max="8204" width="13.75" style="1203" bestFit="1" customWidth="1"/>
    <col min="8205" max="8205" width="11.375" style="1203" customWidth="1"/>
    <col min="8206" max="8206" width="11.875" style="1203" customWidth="1"/>
    <col min="8207" max="8207" width="16" style="1203" bestFit="1" customWidth="1"/>
    <col min="8208" max="8448" width="9" style="1203"/>
    <col min="8449" max="8449" width="2.625" style="1203" customWidth="1"/>
    <col min="8450" max="8450" width="1.25" style="1203" customWidth="1"/>
    <col min="8451" max="8451" width="14.125" style="1203" customWidth="1"/>
    <col min="8452" max="8453" width="13" style="1203" customWidth="1"/>
    <col min="8454" max="8454" width="10.25" style="1203" customWidth="1"/>
    <col min="8455" max="8455" width="11.375" style="1203" customWidth="1"/>
    <col min="8456" max="8456" width="12.875" style="1203" customWidth="1"/>
    <col min="8457" max="8457" width="12" style="1203" customWidth="1"/>
    <col min="8458" max="8458" width="12.75" style="1203" customWidth="1"/>
    <col min="8459" max="8459" width="13" style="1203" customWidth="1"/>
    <col min="8460" max="8460" width="13.75" style="1203" bestFit="1" customWidth="1"/>
    <col min="8461" max="8461" width="11.375" style="1203" customWidth="1"/>
    <col min="8462" max="8462" width="11.875" style="1203" customWidth="1"/>
    <col min="8463" max="8463" width="16" style="1203" bestFit="1" customWidth="1"/>
    <col min="8464" max="8704" width="9" style="1203"/>
    <col min="8705" max="8705" width="2.625" style="1203" customWidth="1"/>
    <col min="8706" max="8706" width="1.25" style="1203" customWidth="1"/>
    <col min="8707" max="8707" width="14.125" style="1203" customWidth="1"/>
    <col min="8708" max="8709" width="13" style="1203" customWidth="1"/>
    <col min="8710" max="8710" width="10.25" style="1203" customWidth="1"/>
    <col min="8711" max="8711" width="11.375" style="1203" customWidth="1"/>
    <col min="8712" max="8712" width="12.875" style="1203" customWidth="1"/>
    <col min="8713" max="8713" width="12" style="1203" customWidth="1"/>
    <col min="8714" max="8714" width="12.75" style="1203" customWidth="1"/>
    <col min="8715" max="8715" width="13" style="1203" customWidth="1"/>
    <col min="8716" max="8716" width="13.75" style="1203" bestFit="1" customWidth="1"/>
    <col min="8717" max="8717" width="11.375" style="1203" customWidth="1"/>
    <col min="8718" max="8718" width="11.875" style="1203" customWidth="1"/>
    <col min="8719" max="8719" width="16" style="1203" bestFit="1" customWidth="1"/>
    <col min="8720" max="8960" width="9" style="1203"/>
    <col min="8961" max="8961" width="2.625" style="1203" customWidth="1"/>
    <col min="8962" max="8962" width="1.25" style="1203" customWidth="1"/>
    <col min="8963" max="8963" width="14.125" style="1203" customWidth="1"/>
    <col min="8964" max="8965" width="13" style="1203" customWidth="1"/>
    <col min="8966" max="8966" width="10.25" style="1203" customWidth="1"/>
    <col min="8967" max="8967" width="11.375" style="1203" customWidth="1"/>
    <col min="8968" max="8968" width="12.875" style="1203" customWidth="1"/>
    <col min="8969" max="8969" width="12" style="1203" customWidth="1"/>
    <col min="8970" max="8970" width="12.75" style="1203" customWidth="1"/>
    <col min="8971" max="8971" width="13" style="1203" customWidth="1"/>
    <col min="8972" max="8972" width="13.75" style="1203" bestFit="1" customWidth="1"/>
    <col min="8973" max="8973" width="11.375" style="1203" customWidth="1"/>
    <col min="8974" max="8974" width="11.875" style="1203" customWidth="1"/>
    <col min="8975" max="8975" width="16" style="1203" bestFit="1" customWidth="1"/>
    <col min="8976" max="9216" width="9" style="1203"/>
    <col min="9217" max="9217" width="2.625" style="1203" customWidth="1"/>
    <col min="9218" max="9218" width="1.25" style="1203" customWidth="1"/>
    <col min="9219" max="9219" width="14.125" style="1203" customWidth="1"/>
    <col min="9220" max="9221" width="13" style="1203" customWidth="1"/>
    <col min="9222" max="9222" width="10.25" style="1203" customWidth="1"/>
    <col min="9223" max="9223" width="11.375" style="1203" customWidth="1"/>
    <col min="9224" max="9224" width="12.875" style="1203" customWidth="1"/>
    <col min="9225" max="9225" width="12" style="1203" customWidth="1"/>
    <col min="9226" max="9226" width="12.75" style="1203" customWidth="1"/>
    <col min="9227" max="9227" width="13" style="1203" customWidth="1"/>
    <col min="9228" max="9228" width="13.75" style="1203" bestFit="1" customWidth="1"/>
    <col min="9229" max="9229" width="11.375" style="1203" customWidth="1"/>
    <col min="9230" max="9230" width="11.875" style="1203" customWidth="1"/>
    <col min="9231" max="9231" width="16" style="1203" bestFit="1" customWidth="1"/>
    <col min="9232" max="9472" width="9" style="1203"/>
    <col min="9473" max="9473" width="2.625" style="1203" customWidth="1"/>
    <col min="9474" max="9474" width="1.25" style="1203" customWidth="1"/>
    <col min="9475" max="9475" width="14.125" style="1203" customWidth="1"/>
    <col min="9476" max="9477" width="13" style="1203" customWidth="1"/>
    <col min="9478" max="9478" width="10.25" style="1203" customWidth="1"/>
    <col min="9479" max="9479" width="11.375" style="1203" customWidth="1"/>
    <col min="9480" max="9480" width="12.875" style="1203" customWidth="1"/>
    <col min="9481" max="9481" width="12" style="1203" customWidth="1"/>
    <col min="9482" max="9482" width="12.75" style="1203" customWidth="1"/>
    <col min="9483" max="9483" width="13" style="1203" customWidth="1"/>
    <col min="9484" max="9484" width="13.75" style="1203" bestFit="1" customWidth="1"/>
    <col min="9485" max="9485" width="11.375" style="1203" customWidth="1"/>
    <col min="9486" max="9486" width="11.875" style="1203" customWidth="1"/>
    <col min="9487" max="9487" width="16" style="1203" bestFit="1" customWidth="1"/>
    <col min="9488" max="9728" width="9" style="1203"/>
    <col min="9729" max="9729" width="2.625" style="1203" customWidth="1"/>
    <col min="9730" max="9730" width="1.25" style="1203" customWidth="1"/>
    <col min="9731" max="9731" width="14.125" style="1203" customWidth="1"/>
    <col min="9732" max="9733" width="13" style="1203" customWidth="1"/>
    <col min="9734" max="9734" width="10.25" style="1203" customWidth="1"/>
    <col min="9735" max="9735" width="11.375" style="1203" customWidth="1"/>
    <col min="9736" max="9736" width="12.875" style="1203" customWidth="1"/>
    <col min="9737" max="9737" width="12" style="1203" customWidth="1"/>
    <col min="9738" max="9738" width="12.75" style="1203" customWidth="1"/>
    <col min="9739" max="9739" width="13" style="1203" customWidth="1"/>
    <col min="9740" max="9740" width="13.75" style="1203" bestFit="1" customWidth="1"/>
    <col min="9741" max="9741" width="11.375" style="1203" customWidth="1"/>
    <col min="9742" max="9742" width="11.875" style="1203" customWidth="1"/>
    <col min="9743" max="9743" width="16" style="1203" bestFit="1" customWidth="1"/>
    <col min="9744" max="9984" width="9" style="1203"/>
    <col min="9985" max="9985" width="2.625" style="1203" customWidth="1"/>
    <col min="9986" max="9986" width="1.25" style="1203" customWidth="1"/>
    <col min="9987" max="9987" width="14.125" style="1203" customWidth="1"/>
    <col min="9988" max="9989" width="13" style="1203" customWidth="1"/>
    <col min="9990" max="9990" width="10.25" style="1203" customWidth="1"/>
    <col min="9991" max="9991" width="11.375" style="1203" customWidth="1"/>
    <col min="9992" max="9992" width="12.875" style="1203" customWidth="1"/>
    <col min="9993" max="9993" width="12" style="1203" customWidth="1"/>
    <col min="9994" max="9994" width="12.75" style="1203" customWidth="1"/>
    <col min="9995" max="9995" width="13" style="1203" customWidth="1"/>
    <col min="9996" max="9996" width="13.75" style="1203" bestFit="1" customWidth="1"/>
    <col min="9997" max="9997" width="11.375" style="1203" customWidth="1"/>
    <col min="9998" max="9998" width="11.875" style="1203" customWidth="1"/>
    <col min="9999" max="9999" width="16" style="1203" bestFit="1" customWidth="1"/>
    <col min="10000" max="10240" width="9" style="1203"/>
    <col min="10241" max="10241" width="2.625" style="1203" customWidth="1"/>
    <col min="10242" max="10242" width="1.25" style="1203" customWidth="1"/>
    <col min="10243" max="10243" width="14.125" style="1203" customWidth="1"/>
    <col min="10244" max="10245" width="13" style="1203" customWidth="1"/>
    <col min="10246" max="10246" width="10.25" style="1203" customWidth="1"/>
    <col min="10247" max="10247" width="11.375" style="1203" customWidth="1"/>
    <col min="10248" max="10248" width="12.875" style="1203" customWidth="1"/>
    <col min="10249" max="10249" width="12" style="1203" customWidth="1"/>
    <col min="10250" max="10250" width="12.75" style="1203" customWidth="1"/>
    <col min="10251" max="10251" width="13" style="1203" customWidth="1"/>
    <col min="10252" max="10252" width="13.75" style="1203" bestFit="1" customWidth="1"/>
    <col min="10253" max="10253" width="11.375" style="1203" customWidth="1"/>
    <col min="10254" max="10254" width="11.875" style="1203" customWidth="1"/>
    <col min="10255" max="10255" width="16" style="1203" bestFit="1" customWidth="1"/>
    <col min="10256" max="10496" width="9" style="1203"/>
    <col min="10497" max="10497" width="2.625" style="1203" customWidth="1"/>
    <col min="10498" max="10498" width="1.25" style="1203" customWidth="1"/>
    <col min="10499" max="10499" width="14.125" style="1203" customWidth="1"/>
    <col min="10500" max="10501" width="13" style="1203" customWidth="1"/>
    <col min="10502" max="10502" width="10.25" style="1203" customWidth="1"/>
    <col min="10503" max="10503" width="11.375" style="1203" customWidth="1"/>
    <col min="10504" max="10504" width="12.875" style="1203" customWidth="1"/>
    <col min="10505" max="10505" width="12" style="1203" customWidth="1"/>
    <col min="10506" max="10506" width="12.75" style="1203" customWidth="1"/>
    <col min="10507" max="10507" width="13" style="1203" customWidth="1"/>
    <col min="10508" max="10508" width="13.75" style="1203" bestFit="1" customWidth="1"/>
    <col min="10509" max="10509" width="11.375" style="1203" customWidth="1"/>
    <col min="10510" max="10510" width="11.875" style="1203" customWidth="1"/>
    <col min="10511" max="10511" width="16" style="1203" bestFit="1" customWidth="1"/>
    <col min="10512" max="10752" width="9" style="1203"/>
    <col min="10753" max="10753" width="2.625" style="1203" customWidth="1"/>
    <col min="10754" max="10754" width="1.25" style="1203" customWidth="1"/>
    <col min="10755" max="10755" width="14.125" style="1203" customWidth="1"/>
    <col min="10756" max="10757" width="13" style="1203" customWidth="1"/>
    <col min="10758" max="10758" width="10.25" style="1203" customWidth="1"/>
    <col min="10759" max="10759" width="11.375" style="1203" customWidth="1"/>
    <col min="10760" max="10760" width="12.875" style="1203" customWidth="1"/>
    <col min="10761" max="10761" width="12" style="1203" customWidth="1"/>
    <col min="10762" max="10762" width="12.75" style="1203" customWidth="1"/>
    <col min="10763" max="10763" width="13" style="1203" customWidth="1"/>
    <col min="10764" max="10764" width="13.75" style="1203" bestFit="1" customWidth="1"/>
    <col min="10765" max="10765" width="11.375" style="1203" customWidth="1"/>
    <col min="10766" max="10766" width="11.875" style="1203" customWidth="1"/>
    <col min="10767" max="10767" width="16" style="1203" bestFit="1" customWidth="1"/>
    <col min="10768" max="11008" width="9" style="1203"/>
    <col min="11009" max="11009" width="2.625" style="1203" customWidth="1"/>
    <col min="11010" max="11010" width="1.25" style="1203" customWidth="1"/>
    <col min="11011" max="11011" width="14.125" style="1203" customWidth="1"/>
    <col min="11012" max="11013" width="13" style="1203" customWidth="1"/>
    <col min="11014" max="11014" width="10.25" style="1203" customWidth="1"/>
    <col min="11015" max="11015" width="11.375" style="1203" customWidth="1"/>
    <col min="11016" max="11016" width="12.875" style="1203" customWidth="1"/>
    <col min="11017" max="11017" width="12" style="1203" customWidth="1"/>
    <col min="11018" max="11018" width="12.75" style="1203" customWidth="1"/>
    <col min="11019" max="11019" width="13" style="1203" customWidth="1"/>
    <col min="11020" max="11020" width="13.75" style="1203" bestFit="1" customWidth="1"/>
    <col min="11021" max="11021" width="11.375" style="1203" customWidth="1"/>
    <col min="11022" max="11022" width="11.875" style="1203" customWidth="1"/>
    <col min="11023" max="11023" width="16" style="1203" bestFit="1" customWidth="1"/>
    <col min="11024" max="11264" width="9" style="1203"/>
    <col min="11265" max="11265" width="2.625" style="1203" customWidth="1"/>
    <col min="11266" max="11266" width="1.25" style="1203" customWidth="1"/>
    <col min="11267" max="11267" width="14.125" style="1203" customWidth="1"/>
    <col min="11268" max="11269" width="13" style="1203" customWidth="1"/>
    <col min="11270" max="11270" width="10.25" style="1203" customWidth="1"/>
    <col min="11271" max="11271" width="11.375" style="1203" customWidth="1"/>
    <col min="11272" max="11272" width="12.875" style="1203" customWidth="1"/>
    <col min="11273" max="11273" width="12" style="1203" customWidth="1"/>
    <col min="11274" max="11274" width="12.75" style="1203" customWidth="1"/>
    <col min="11275" max="11275" width="13" style="1203" customWidth="1"/>
    <col min="11276" max="11276" width="13.75" style="1203" bestFit="1" customWidth="1"/>
    <col min="11277" max="11277" width="11.375" style="1203" customWidth="1"/>
    <col min="11278" max="11278" width="11.875" style="1203" customWidth="1"/>
    <col min="11279" max="11279" width="16" style="1203" bestFit="1" customWidth="1"/>
    <col min="11280" max="11520" width="9" style="1203"/>
    <col min="11521" max="11521" width="2.625" style="1203" customWidth="1"/>
    <col min="11522" max="11522" width="1.25" style="1203" customWidth="1"/>
    <col min="11523" max="11523" width="14.125" style="1203" customWidth="1"/>
    <col min="11524" max="11525" width="13" style="1203" customWidth="1"/>
    <col min="11526" max="11526" width="10.25" style="1203" customWidth="1"/>
    <col min="11527" max="11527" width="11.375" style="1203" customWidth="1"/>
    <col min="11528" max="11528" width="12.875" style="1203" customWidth="1"/>
    <col min="11529" max="11529" width="12" style="1203" customWidth="1"/>
    <col min="11530" max="11530" width="12.75" style="1203" customWidth="1"/>
    <col min="11531" max="11531" width="13" style="1203" customWidth="1"/>
    <col min="11532" max="11532" width="13.75" style="1203" bestFit="1" customWidth="1"/>
    <col min="11533" max="11533" width="11.375" style="1203" customWidth="1"/>
    <col min="11534" max="11534" width="11.875" style="1203" customWidth="1"/>
    <col min="11535" max="11535" width="16" style="1203" bestFit="1" customWidth="1"/>
    <col min="11536" max="11776" width="9" style="1203"/>
    <col min="11777" max="11777" width="2.625" style="1203" customWidth="1"/>
    <col min="11778" max="11778" width="1.25" style="1203" customWidth="1"/>
    <col min="11779" max="11779" width="14.125" style="1203" customWidth="1"/>
    <col min="11780" max="11781" width="13" style="1203" customWidth="1"/>
    <col min="11782" max="11782" width="10.25" style="1203" customWidth="1"/>
    <col min="11783" max="11783" width="11.375" style="1203" customWidth="1"/>
    <col min="11784" max="11784" width="12.875" style="1203" customWidth="1"/>
    <col min="11785" max="11785" width="12" style="1203" customWidth="1"/>
    <col min="11786" max="11786" width="12.75" style="1203" customWidth="1"/>
    <col min="11787" max="11787" width="13" style="1203" customWidth="1"/>
    <col min="11788" max="11788" width="13.75" style="1203" bestFit="1" customWidth="1"/>
    <col min="11789" max="11789" width="11.375" style="1203" customWidth="1"/>
    <col min="11790" max="11790" width="11.875" style="1203" customWidth="1"/>
    <col min="11791" max="11791" width="16" style="1203" bestFit="1" customWidth="1"/>
    <col min="11792" max="12032" width="9" style="1203"/>
    <col min="12033" max="12033" width="2.625" style="1203" customWidth="1"/>
    <col min="12034" max="12034" width="1.25" style="1203" customWidth="1"/>
    <col min="12035" max="12035" width="14.125" style="1203" customWidth="1"/>
    <col min="12036" max="12037" width="13" style="1203" customWidth="1"/>
    <col min="12038" max="12038" width="10.25" style="1203" customWidth="1"/>
    <col min="12039" max="12039" width="11.375" style="1203" customWidth="1"/>
    <col min="12040" max="12040" width="12.875" style="1203" customWidth="1"/>
    <col min="12041" max="12041" width="12" style="1203" customWidth="1"/>
    <col min="12042" max="12042" width="12.75" style="1203" customWidth="1"/>
    <col min="12043" max="12043" width="13" style="1203" customWidth="1"/>
    <col min="12044" max="12044" width="13.75" style="1203" bestFit="1" customWidth="1"/>
    <col min="12045" max="12045" width="11.375" style="1203" customWidth="1"/>
    <col min="12046" max="12046" width="11.875" style="1203" customWidth="1"/>
    <col min="12047" max="12047" width="16" style="1203" bestFit="1" customWidth="1"/>
    <col min="12048" max="12288" width="9" style="1203"/>
    <col min="12289" max="12289" width="2.625" style="1203" customWidth="1"/>
    <col min="12290" max="12290" width="1.25" style="1203" customWidth="1"/>
    <col min="12291" max="12291" width="14.125" style="1203" customWidth="1"/>
    <col min="12292" max="12293" width="13" style="1203" customWidth="1"/>
    <col min="12294" max="12294" width="10.25" style="1203" customWidth="1"/>
    <col min="12295" max="12295" width="11.375" style="1203" customWidth="1"/>
    <col min="12296" max="12296" width="12.875" style="1203" customWidth="1"/>
    <col min="12297" max="12297" width="12" style="1203" customWidth="1"/>
    <col min="12298" max="12298" width="12.75" style="1203" customWidth="1"/>
    <col min="12299" max="12299" width="13" style="1203" customWidth="1"/>
    <col min="12300" max="12300" width="13.75" style="1203" bestFit="1" customWidth="1"/>
    <col min="12301" max="12301" width="11.375" style="1203" customWidth="1"/>
    <col min="12302" max="12302" width="11.875" style="1203" customWidth="1"/>
    <col min="12303" max="12303" width="16" style="1203" bestFit="1" customWidth="1"/>
    <col min="12304" max="12544" width="9" style="1203"/>
    <col min="12545" max="12545" width="2.625" style="1203" customWidth="1"/>
    <col min="12546" max="12546" width="1.25" style="1203" customWidth="1"/>
    <col min="12547" max="12547" width="14.125" style="1203" customWidth="1"/>
    <col min="12548" max="12549" width="13" style="1203" customWidth="1"/>
    <col min="12550" max="12550" width="10.25" style="1203" customWidth="1"/>
    <col min="12551" max="12551" width="11.375" style="1203" customWidth="1"/>
    <col min="12552" max="12552" width="12.875" style="1203" customWidth="1"/>
    <col min="12553" max="12553" width="12" style="1203" customWidth="1"/>
    <col min="12554" max="12554" width="12.75" style="1203" customWidth="1"/>
    <col min="12555" max="12555" width="13" style="1203" customWidth="1"/>
    <col min="12556" max="12556" width="13.75" style="1203" bestFit="1" customWidth="1"/>
    <col min="12557" max="12557" width="11.375" style="1203" customWidth="1"/>
    <col min="12558" max="12558" width="11.875" style="1203" customWidth="1"/>
    <col min="12559" max="12559" width="16" style="1203" bestFit="1" customWidth="1"/>
    <col min="12560" max="12800" width="9" style="1203"/>
    <col min="12801" max="12801" width="2.625" style="1203" customWidth="1"/>
    <col min="12802" max="12802" width="1.25" style="1203" customWidth="1"/>
    <col min="12803" max="12803" width="14.125" style="1203" customWidth="1"/>
    <col min="12804" max="12805" width="13" style="1203" customWidth="1"/>
    <col min="12806" max="12806" width="10.25" style="1203" customWidth="1"/>
    <col min="12807" max="12807" width="11.375" style="1203" customWidth="1"/>
    <col min="12808" max="12808" width="12.875" style="1203" customWidth="1"/>
    <col min="12809" max="12809" width="12" style="1203" customWidth="1"/>
    <col min="12810" max="12810" width="12.75" style="1203" customWidth="1"/>
    <col min="12811" max="12811" width="13" style="1203" customWidth="1"/>
    <col min="12812" max="12812" width="13.75" style="1203" bestFit="1" customWidth="1"/>
    <col min="12813" max="12813" width="11.375" style="1203" customWidth="1"/>
    <col min="12814" max="12814" width="11.875" style="1203" customWidth="1"/>
    <col min="12815" max="12815" width="16" style="1203" bestFit="1" customWidth="1"/>
    <col min="12816" max="13056" width="9" style="1203"/>
    <col min="13057" max="13057" width="2.625" style="1203" customWidth="1"/>
    <col min="13058" max="13058" width="1.25" style="1203" customWidth="1"/>
    <col min="13059" max="13059" width="14.125" style="1203" customWidth="1"/>
    <col min="13060" max="13061" width="13" style="1203" customWidth="1"/>
    <col min="13062" max="13062" width="10.25" style="1203" customWidth="1"/>
    <col min="13063" max="13063" width="11.375" style="1203" customWidth="1"/>
    <col min="13064" max="13064" width="12.875" style="1203" customWidth="1"/>
    <col min="13065" max="13065" width="12" style="1203" customWidth="1"/>
    <col min="13066" max="13066" width="12.75" style="1203" customWidth="1"/>
    <col min="13067" max="13067" width="13" style="1203" customWidth="1"/>
    <col min="13068" max="13068" width="13.75" style="1203" bestFit="1" customWidth="1"/>
    <col min="13069" max="13069" width="11.375" style="1203" customWidth="1"/>
    <col min="13070" max="13070" width="11.875" style="1203" customWidth="1"/>
    <col min="13071" max="13071" width="16" style="1203" bestFit="1" customWidth="1"/>
    <col min="13072" max="13312" width="9" style="1203"/>
    <col min="13313" max="13313" width="2.625" style="1203" customWidth="1"/>
    <col min="13314" max="13314" width="1.25" style="1203" customWidth="1"/>
    <col min="13315" max="13315" width="14.125" style="1203" customWidth="1"/>
    <col min="13316" max="13317" width="13" style="1203" customWidth="1"/>
    <col min="13318" max="13318" width="10.25" style="1203" customWidth="1"/>
    <col min="13319" max="13319" width="11.375" style="1203" customWidth="1"/>
    <col min="13320" max="13320" width="12.875" style="1203" customWidth="1"/>
    <col min="13321" max="13321" width="12" style="1203" customWidth="1"/>
    <col min="13322" max="13322" width="12.75" style="1203" customWidth="1"/>
    <col min="13323" max="13323" width="13" style="1203" customWidth="1"/>
    <col min="13324" max="13324" width="13.75" style="1203" bestFit="1" customWidth="1"/>
    <col min="13325" max="13325" width="11.375" style="1203" customWidth="1"/>
    <col min="13326" max="13326" width="11.875" style="1203" customWidth="1"/>
    <col min="13327" max="13327" width="16" style="1203" bestFit="1" customWidth="1"/>
    <col min="13328" max="13568" width="9" style="1203"/>
    <col min="13569" max="13569" width="2.625" style="1203" customWidth="1"/>
    <col min="13570" max="13570" width="1.25" style="1203" customWidth="1"/>
    <col min="13571" max="13571" width="14.125" style="1203" customWidth="1"/>
    <col min="13572" max="13573" width="13" style="1203" customWidth="1"/>
    <col min="13574" max="13574" width="10.25" style="1203" customWidth="1"/>
    <col min="13575" max="13575" width="11.375" style="1203" customWidth="1"/>
    <col min="13576" max="13576" width="12.875" style="1203" customWidth="1"/>
    <col min="13577" max="13577" width="12" style="1203" customWidth="1"/>
    <col min="13578" max="13578" width="12.75" style="1203" customWidth="1"/>
    <col min="13579" max="13579" width="13" style="1203" customWidth="1"/>
    <col min="13580" max="13580" width="13.75" style="1203" bestFit="1" customWidth="1"/>
    <col min="13581" max="13581" width="11.375" style="1203" customWidth="1"/>
    <col min="13582" max="13582" width="11.875" style="1203" customWidth="1"/>
    <col min="13583" max="13583" width="16" style="1203" bestFit="1" customWidth="1"/>
    <col min="13584" max="13824" width="9" style="1203"/>
    <col min="13825" max="13825" width="2.625" style="1203" customWidth="1"/>
    <col min="13826" max="13826" width="1.25" style="1203" customWidth="1"/>
    <col min="13827" max="13827" width="14.125" style="1203" customWidth="1"/>
    <col min="13828" max="13829" width="13" style="1203" customWidth="1"/>
    <col min="13830" max="13830" width="10.25" style="1203" customWidth="1"/>
    <col min="13831" max="13831" width="11.375" style="1203" customWidth="1"/>
    <col min="13832" max="13832" width="12.875" style="1203" customWidth="1"/>
    <col min="13833" max="13833" width="12" style="1203" customWidth="1"/>
    <col min="13834" max="13834" width="12.75" style="1203" customWidth="1"/>
    <col min="13835" max="13835" width="13" style="1203" customWidth="1"/>
    <col min="13836" max="13836" width="13.75" style="1203" bestFit="1" customWidth="1"/>
    <col min="13837" max="13837" width="11.375" style="1203" customWidth="1"/>
    <col min="13838" max="13838" width="11.875" style="1203" customWidth="1"/>
    <col min="13839" max="13839" width="16" style="1203" bestFit="1" customWidth="1"/>
    <col min="13840" max="14080" width="9" style="1203"/>
    <col min="14081" max="14081" width="2.625" style="1203" customWidth="1"/>
    <col min="14082" max="14082" width="1.25" style="1203" customWidth="1"/>
    <col min="14083" max="14083" width="14.125" style="1203" customWidth="1"/>
    <col min="14084" max="14085" width="13" style="1203" customWidth="1"/>
    <col min="14086" max="14086" width="10.25" style="1203" customWidth="1"/>
    <col min="14087" max="14087" width="11.375" style="1203" customWidth="1"/>
    <col min="14088" max="14088" width="12.875" style="1203" customWidth="1"/>
    <col min="14089" max="14089" width="12" style="1203" customWidth="1"/>
    <col min="14090" max="14090" width="12.75" style="1203" customWidth="1"/>
    <col min="14091" max="14091" width="13" style="1203" customWidth="1"/>
    <col min="14092" max="14092" width="13.75" style="1203" bestFit="1" customWidth="1"/>
    <col min="14093" max="14093" width="11.375" style="1203" customWidth="1"/>
    <col min="14094" max="14094" width="11.875" style="1203" customWidth="1"/>
    <col min="14095" max="14095" width="16" style="1203" bestFit="1" customWidth="1"/>
    <col min="14096" max="14336" width="9" style="1203"/>
    <col min="14337" max="14337" width="2.625" style="1203" customWidth="1"/>
    <col min="14338" max="14338" width="1.25" style="1203" customWidth="1"/>
    <col min="14339" max="14339" width="14.125" style="1203" customWidth="1"/>
    <col min="14340" max="14341" width="13" style="1203" customWidth="1"/>
    <col min="14342" max="14342" width="10.25" style="1203" customWidth="1"/>
    <col min="14343" max="14343" width="11.375" style="1203" customWidth="1"/>
    <col min="14344" max="14344" width="12.875" style="1203" customWidth="1"/>
    <col min="14345" max="14345" width="12" style="1203" customWidth="1"/>
    <col min="14346" max="14346" width="12.75" style="1203" customWidth="1"/>
    <col min="14347" max="14347" width="13" style="1203" customWidth="1"/>
    <col min="14348" max="14348" width="13.75" style="1203" bestFit="1" customWidth="1"/>
    <col min="14349" max="14349" width="11.375" style="1203" customWidth="1"/>
    <col min="14350" max="14350" width="11.875" style="1203" customWidth="1"/>
    <col min="14351" max="14351" width="16" style="1203" bestFit="1" customWidth="1"/>
    <col min="14352" max="14592" width="9" style="1203"/>
    <col min="14593" max="14593" width="2.625" style="1203" customWidth="1"/>
    <col min="14594" max="14594" width="1.25" style="1203" customWidth="1"/>
    <col min="14595" max="14595" width="14.125" style="1203" customWidth="1"/>
    <col min="14596" max="14597" width="13" style="1203" customWidth="1"/>
    <col min="14598" max="14598" width="10.25" style="1203" customWidth="1"/>
    <col min="14599" max="14599" width="11.375" style="1203" customWidth="1"/>
    <col min="14600" max="14600" width="12.875" style="1203" customWidth="1"/>
    <col min="14601" max="14601" width="12" style="1203" customWidth="1"/>
    <col min="14602" max="14602" width="12.75" style="1203" customWidth="1"/>
    <col min="14603" max="14603" width="13" style="1203" customWidth="1"/>
    <col min="14604" max="14604" width="13.75" style="1203" bestFit="1" customWidth="1"/>
    <col min="14605" max="14605" width="11.375" style="1203" customWidth="1"/>
    <col min="14606" max="14606" width="11.875" style="1203" customWidth="1"/>
    <col min="14607" max="14607" width="16" style="1203" bestFit="1" customWidth="1"/>
    <col min="14608" max="14848" width="9" style="1203"/>
    <col min="14849" max="14849" width="2.625" style="1203" customWidth="1"/>
    <col min="14850" max="14850" width="1.25" style="1203" customWidth="1"/>
    <col min="14851" max="14851" width="14.125" style="1203" customWidth="1"/>
    <col min="14852" max="14853" width="13" style="1203" customWidth="1"/>
    <col min="14854" max="14854" width="10.25" style="1203" customWidth="1"/>
    <col min="14855" max="14855" width="11.375" style="1203" customWidth="1"/>
    <col min="14856" max="14856" width="12.875" style="1203" customWidth="1"/>
    <col min="14857" max="14857" width="12" style="1203" customWidth="1"/>
    <col min="14858" max="14858" width="12.75" style="1203" customWidth="1"/>
    <col min="14859" max="14859" width="13" style="1203" customWidth="1"/>
    <col min="14860" max="14860" width="13.75" style="1203" bestFit="1" customWidth="1"/>
    <col min="14861" max="14861" width="11.375" style="1203" customWidth="1"/>
    <col min="14862" max="14862" width="11.875" style="1203" customWidth="1"/>
    <col min="14863" max="14863" width="16" style="1203" bestFit="1" customWidth="1"/>
    <col min="14864" max="15104" width="9" style="1203"/>
    <col min="15105" max="15105" width="2.625" style="1203" customWidth="1"/>
    <col min="15106" max="15106" width="1.25" style="1203" customWidth="1"/>
    <col min="15107" max="15107" width="14.125" style="1203" customWidth="1"/>
    <col min="15108" max="15109" width="13" style="1203" customWidth="1"/>
    <col min="15110" max="15110" width="10.25" style="1203" customWidth="1"/>
    <col min="15111" max="15111" width="11.375" style="1203" customWidth="1"/>
    <col min="15112" max="15112" width="12.875" style="1203" customWidth="1"/>
    <col min="15113" max="15113" width="12" style="1203" customWidth="1"/>
    <col min="15114" max="15114" width="12.75" style="1203" customWidth="1"/>
    <col min="15115" max="15115" width="13" style="1203" customWidth="1"/>
    <col min="15116" max="15116" width="13.75" style="1203" bestFit="1" customWidth="1"/>
    <col min="15117" max="15117" width="11.375" style="1203" customWidth="1"/>
    <col min="15118" max="15118" width="11.875" style="1203" customWidth="1"/>
    <col min="15119" max="15119" width="16" style="1203" bestFit="1" customWidth="1"/>
    <col min="15120" max="15360" width="9" style="1203"/>
    <col min="15361" max="15361" width="2.625" style="1203" customWidth="1"/>
    <col min="15362" max="15362" width="1.25" style="1203" customWidth="1"/>
    <col min="15363" max="15363" width="14.125" style="1203" customWidth="1"/>
    <col min="15364" max="15365" width="13" style="1203" customWidth="1"/>
    <col min="15366" max="15366" width="10.25" style="1203" customWidth="1"/>
    <col min="15367" max="15367" width="11.375" style="1203" customWidth="1"/>
    <col min="15368" max="15368" width="12.875" style="1203" customWidth="1"/>
    <col min="15369" max="15369" width="12" style="1203" customWidth="1"/>
    <col min="15370" max="15370" width="12.75" style="1203" customWidth="1"/>
    <col min="15371" max="15371" width="13" style="1203" customWidth="1"/>
    <col min="15372" max="15372" width="13.75" style="1203" bestFit="1" customWidth="1"/>
    <col min="15373" max="15373" width="11.375" style="1203" customWidth="1"/>
    <col min="15374" max="15374" width="11.875" style="1203" customWidth="1"/>
    <col min="15375" max="15375" width="16" style="1203" bestFit="1" customWidth="1"/>
    <col min="15376" max="15616" width="9" style="1203"/>
    <col min="15617" max="15617" width="2.625" style="1203" customWidth="1"/>
    <col min="15618" max="15618" width="1.25" style="1203" customWidth="1"/>
    <col min="15619" max="15619" width="14.125" style="1203" customWidth="1"/>
    <col min="15620" max="15621" width="13" style="1203" customWidth="1"/>
    <col min="15622" max="15622" width="10.25" style="1203" customWidth="1"/>
    <col min="15623" max="15623" width="11.375" style="1203" customWidth="1"/>
    <col min="15624" max="15624" width="12.875" style="1203" customWidth="1"/>
    <col min="15625" max="15625" width="12" style="1203" customWidth="1"/>
    <col min="15626" max="15626" width="12.75" style="1203" customWidth="1"/>
    <col min="15627" max="15627" width="13" style="1203" customWidth="1"/>
    <col min="15628" max="15628" width="13.75" style="1203" bestFit="1" customWidth="1"/>
    <col min="15629" max="15629" width="11.375" style="1203" customWidth="1"/>
    <col min="15630" max="15630" width="11.875" style="1203" customWidth="1"/>
    <col min="15631" max="15631" width="16" style="1203" bestFit="1" customWidth="1"/>
    <col min="15632" max="15872" width="9" style="1203"/>
    <col min="15873" max="15873" width="2.625" style="1203" customWidth="1"/>
    <col min="15874" max="15874" width="1.25" style="1203" customWidth="1"/>
    <col min="15875" max="15875" width="14.125" style="1203" customWidth="1"/>
    <col min="15876" max="15877" width="13" style="1203" customWidth="1"/>
    <col min="15878" max="15878" width="10.25" style="1203" customWidth="1"/>
    <col min="15879" max="15879" width="11.375" style="1203" customWidth="1"/>
    <col min="15880" max="15880" width="12.875" style="1203" customWidth="1"/>
    <col min="15881" max="15881" width="12" style="1203" customWidth="1"/>
    <col min="15882" max="15882" width="12.75" style="1203" customWidth="1"/>
    <col min="15883" max="15883" width="13" style="1203" customWidth="1"/>
    <col min="15884" max="15884" width="13.75" style="1203" bestFit="1" customWidth="1"/>
    <col min="15885" max="15885" width="11.375" style="1203" customWidth="1"/>
    <col min="15886" max="15886" width="11.875" style="1203" customWidth="1"/>
    <col min="15887" max="15887" width="16" style="1203" bestFit="1" customWidth="1"/>
    <col min="15888" max="16128" width="9" style="1203"/>
    <col min="16129" max="16129" width="2.625" style="1203" customWidth="1"/>
    <col min="16130" max="16130" width="1.25" style="1203" customWidth="1"/>
    <col min="16131" max="16131" width="14.125" style="1203" customWidth="1"/>
    <col min="16132" max="16133" width="13" style="1203" customWidth="1"/>
    <col min="16134" max="16134" width="10.25" style="1203" customWidth="1"/>
    <col min="16135" max="16135" width="11.375" style="1203" customWidth="1"/>
    <col min="16136" max="16136" width="12.875" style="1203" customWidth="1"/>
    <col min="16137" max="16137" width="12" style="1203" customWidth="1"/>
    <col min="16138" max="16138" width="12.75" style="1203" customWidth="1"/>
    <col min="16139" max="16139" width="13" style="1203" customWidth="1"/>
    <col min="16140" max="16140" width="13.75" style="1203" bestFit="1" customWidth="1"/>
    <col min="16141" max="16141" width="11.375" style="1203" customWidth="1"/>
    <col min="16142" max="16142" width="11.875" style="1203" customWidth="1"/>
    <col min="16143" max="16143" width="16" style="1203" bestFit="1" customWidth="1"/>
    <col min="16144" max="16384" width="9" style="1203"/>
  </cols>
  <sheetData>
    <row r="1" spans="1:15" ht="24.75" customHeight="1">
      <c r="A1" s="1287" t="str">
        <f>+LEFT('3条税込み(共通按分後)'!A1,2)&amp;"年度経費（雨水・汚水）区分調 (決算・税抜き・消費税分雑支出加算後)"</f>
        <v>3年年度経費（雨水・汚水）区分調 (決算・税抜き・消費税分雑支出加算後)</v>
      </c>
    </row>
    <row r="2" spans="1:15" ht="24.75" customHeight="1" thickBot="1">
      <c r="A2" s="1203" t="s">
        <v>1718</v>
      </c>
      <c r="K2" s="1248" t="s">
        <v>1717</v>
      </c>
    </row>
    <row r="3" spans="1:15" ht="24.75" customHeight="1">
      <c r="A3" s="1222" t="s">
        <v>1716</v>
      </c>
      <c r="B3" s="1221"/>
      <c r="C3" s="1221"/>
      <c r="D3" s="1286" t="s">
        <v>1715</v>
      </c>
      <c r="E3" s="1285" t="s">
        <v>1714</v>
      </c>
      <c r="F3" s="1283"/>
      <c r="G3" s="1283"/>
      <c r="H3" s="1282"/>
      <c r="I3" s="1284" t="s">
        <v>1713</v>
      </c>
      <c r="J3" s="1283"/>
      <c r="K3" s="1282"/>
    </row>
    <row r="4" spans="1:15" s="1262" customFormat="1" ht="24.75" customHeight="1">
      <c r="A4" s="1281"/>
      <c r="B4" s="1280"/>
      <c r="C4" s="1280"/>
      <c r="D4" s="1279"/>
      <c r="E4" s="1278" t="s">
        <v>1712</v>
      </c>
      <c r="F4" s="1277"/>
      <c r="G4" s="1276" t="s">
        <v>1711</v>
      </c>
      <c r="H4" s="1273" t="s">
        <v>1710</v>
      </c>
      <c r="I4" s="1275" t="s">
        <v>1712</v>
      </c>
      <c r="J4" s="1274" t="s">
        <v>1711</v>
      </c>
      <c r="K4" s="1273" t="s">
        <v>1710</v>
      </c>
    </row>
    <row r="5" spans="1:15" s="1264" customFormat="1" ht="24.75" customHeight="1">
      <c r="A5" s="1272"/>
      <c r="B5" s="1271"/>
      <c r="C5" s="1271"/>
      <c r="D5" s="1270"/>
      <c r="E5" s="1269" t="s">
        <v>1707</v>
      </c>
      <c r="F5" s="1266" t="s">
        <v>1709</v>
      </c>
      <c r="G5" s="1268" t="s">
        <v>1708</v>
      </c>
      <c r="H5" s="1265"/>
      <c r="I5" s="1267" t="s">
        <v>1707</v>
      </c>
      <c r="J5" s="1266" t="s">
        <v>1707</v>
      </c>
      <c r="K5" s="1265"/>
      <c r="M5" s="1303" t="s">
        <v>1720</v>
      </c>
    </row>
    <row r="6" spans="1:15" ht="24.75" customHeight="1">
      <c r="A6" s="1254"/>
      <c r="B6" s="1244" t="s">
        <v>1669</v>
      </c>
      <c r="C6" s="1247"/>
      <c r="D6" s="1235">
        <f>SUM(D7:D20)</f>
        <v>10791324537</v>
      </c>
      <c r="E6" s="1234">
        <f>SUM(E7:E20)</f>
        <v>2202011928</v>
      </c>
      <c r="F6" s="1231">
        <f>SUM(F7:F20)</f>
        <v>200060435</v>
      </c>
      <c r="G6" s="1231">
        <f>SUM(G7:G20)</f>
        <v>352481640</v>
      </c>
      <c r="H6" s="1230">
        <f t="shared" ref="H6:H29" si="0">SUM(E6:G6)</f>
        <v>2754554003</v>
      </c>
      <c r="I6" s="1232">
        <f>SUM(I7:I20)</f>
        <v>86618048</v>
      </c>
      <c r="J6" s="1231">
        <f>SUM(J7:J20)</f>
        <v>7950152486</v>
      </c>
      <c r="K6" s="1230">
        <f t="shared" ref="K6:K29" si="1">SUM(I6:J6)</f>
        <v>8036770534</v>
      </c>
      <c r="M6" s="1203">
        <f>SUM(M7:M20)</f>
        <v>820944511</v>
      </c>
      <c r="N6" s="1203">
        <f t="shared" ref="N6:N24" si="2">D6-H6-K6</f>
        <v>0</v>
      </c>
    </row>
    <row r="7" spans="1:15" ht="24.75" customHeight="1">
      <c r="A7" s="1241"/>
      <c r="B7" s="1244"/>
      <c r="C7" s="1244" t="s">
        <v>1502</v>
      </c>
      <c r="D7" s="1235">
        <f>+'3条税抜き(共通按分後)'!D7</f>
        <v>564664608</v>
      </c>
      <c r="E7" s="1234">
        <f>+'3条税抜き(共通按分後)'!E7</f>
        <v>212477244</v>
      </c>
      <c r="F7" s="1231">
        <f>+'3条税抜き(共通按分後)'!F7</f>
        <v>48359111</v>
      </c>
      <c r="G7" s="1231">
        <f>+'3条税抜き(共通按分後)'!G7</f>
        <v>8428779</v>
      </c>
      <c r="H7" s="1230">
        <f t="shared" si="0"/>
        <v>269265134</v>
      </c>
      <c r="I7" s="1232">
        <f>+'3条税抜き(共通按分後)'!I7</f>
        <v>0</v>
      </c>
      <c r="J7" s="1231">
        <f>+'3条税抜き(共通按分後)'!J7</f>
        <v>295399474</v>
      </c>
      <c r="K7" s="1230">
        <f t="shared" si="1"/>
        <v>295399474</v>
      </c>
      <c r="M7" s="1203">
        <f>'3条税込み(共通按分後)'!D7-'3条税抜き (消費税雑支出加算)(共通按分後)'!D7</f>
        <v>47155349</v>
      </c>
      <c r="N7" s="1203">
        <f t="shared" si="2"/>
        <v>0</v>
      </c>
    </row>
    <row r="8" spans="1:15" ht="24.75" customHeight="1">
      <c r="A8" s="1241"/>
      <c r="B8" s="1245"/>
      <c r="C8" s="1244" t="s">
        <v>1499</v>
      </c>
      <c r="D8" s="1235">
        <f>+'3条税抜き(共通按分後)'!D8</f>
        <v>51313295</v>
      </c>
      <c r="E8" s="1234">
        <f>+'3条税抜き(共通按分後)'!E8</f>
        <v>0</v>
      </c>
      <c r="F8" s="1231">
        <f>+'3条税抜き(共通按分後)'!F8</f>
        <v>0</v>
      </c>
      <c r="G8" s="1231">
        <f>+'3条税抜き(共通按分後)'!G8</f>
        <v>0</v>
      </c>
      <c r="H8" s="1230">
        <f t="shared" si="0"/>
        <v>0</v>
      </c>
      <c r="I8" s="1232">
        <f>+'3条税抜き(共通按分後)'!I8</f>
        <v>51313295</v>
      </c>
      <c r="J8" s="1231">
        <f>+'3条税抜き(共通按分後)'!J8</f>
        <v>0</v>
      </c>
      <c r="K8" s="1230">
        <f t="shared" si="1"/>
        <v>51313295</v>
      </c>
      <c r="M8" s="1203">
        <f>'3条税込み(共通按分後)'!D8-'3条税抜き (消費税雑支出加算)(共通按分後)'!D8</f>
        <v>1130574</v>
      </c>
      <c r="N8" s="1203">
        <f t="shared" si="2"/>
        <v>0</v>
      </c>
    </row>
    <row r="9" spans="1:15" ht="24.75" customHeight="1">
      <c r="A9" s="1241"/>
      <c r="B9" s="1245"/>
      <c r="C9" s="1244" t="s">
        <v>1496</v>
      </c>
      <c r="D9" s="1235">
        <f>+'3条税抜き(共通按分後)'!D9</f>
        <v>2251657967</v>
      </c>
      <c r="E9" s="1234">
        <f>+'3条税抜き(共通按分後)'!E9</f>
        <v>1459731624</v>
      </c>
      <c r="F9" s="1231">
        <f>+'3条税抜き(共通按分後)'!F9</f>
        <v>45938202</v>
      </c>
      <c r="G9" s="1231">
        <f>+'3条税抜き(共通按分後)'!G9</f>
        <v>0</v>
      </c>
      <c r="H9" s="1230">
        <f t="shared" si="0"/>
        <v>1505669826</v>
      </c>
      <c r="I9" s="1232">
        <f>+'3条税抜き(共通按分後)'!I9</f>
        <v>0</v>
      </c>
      <c r="J9" s="1231">
        <f>+'3条税抜き(共通按分後)'!J9</f>
        <v>745988141</v>
      </c>
      <c r="K9" s="1230">
        <f t="shared" si="1"/>
        <v>745988141</v>
      </c>
      <c r="M9" s="1203">
        <f>'3条税込み(共通按分後)'!D9-'3条税抜き (消費税雑支出加算)(共通按分後)'!D9</f>
        <v>104382258</v>
      </c>
      <c r="N9" s="1203">
        <f t="shared" si="2"/>
        <v>0</v>
      </c>
    </row>
    <row r="10" spans="1:15" ht="24.75" customHeight="1">
      <c r="A10" s="1241"/>
      <c r="B10" s="1245"/>
      <c r="C10" s="1244" t="s">
        <v>1494</v>
      </c>
      <c r="D10" s="1235">
        <f>+'3条税抜き(共通按分後)'!D10</f>
        <v>6037810078</v>
      </c>
      <c r="E10" s="1234">
        <f>+'3条税抜き(共通按分後)'!E10</f>
        <v>531471491</v>
      </c>
      <c r="F10" s="1231">
        <f>+'3条税抜き(共通按分後)'!F10</f>
        <v>105914705</v>
      </c>
      <c r="G10" s="1231">
        <f>+'3条税抜き(共通按分後)'!G10</f>
        <v>317116718</v>
      </c>
      <c r="H10" s="1230">
        <f t="shared" si="0"/>
        <v>954502914</v>
      </c>
      <c r="I10" s="1263">
        <f>+'3条税抜き(共通按分後)'!I10</f>
        <v>1375005</v>
      </c>
      <c r="J10" s="1231">
        <f>+'3条税抜き(共通按分後)'!J10</f>
        <v>5081932159</v>
      </c>
      <c r="K10" s="1230">
        <f t="shared" si="1"/>
        <v>5083307164</v>
      </c>
      <c r="M10" s="1203">
        <f>'3条税込み(共通按分後)'!D10-'3条税抜き (消費税雑支出加算)(共通按分後)'!D10</f>
        <v>519893786</v>
      </c>
      <c r="N10" s="1203">
        <f t="shared" si="2"/>
        <v>0</v>
      </c>
    </row>
    <row r="11" spans="1:15" ht="24.75" customHeight="1">
      <c r="A11" s="1241"/>
      <c r="B11" s="1245"/>
      <c r="C11" s="1244" t="s">
        <v>1492</v>
      </c>
      <c r="D11" s="1235">
        <f>+'3条税抜き(共通按分後)'!D11</f>
        <v>0</v>
      </c>
      <c r="E11" s="1234">
        <f>+'3条税抜き(共通按分後)'!E11</f>
        <v>0</v>
      </c>
      <c r="F11" s="1231">
        <f>+'3条税抜き(共通按分後)'!F11</f>
        <v>0</v>
      </c>
      <c r="G11" s="1231">
        <f>+'3条税抜き(共通按分後)'!G11</f>
        <v>0</v>
      </c>
      <c r="H11" s="1230">
        <f t="shared" si="0"/>
        <v>0</v>
      </c>
      <c r="I11" s="1232">
        <f>+'3条税抜き(共通按分後)'!I11</f>
        <v>0</v>
      </c>
      <c r="J11" s="1231">
        <f>+'3条税抜き(共通按分後)'!J11</f>
        <v>0</v>
      </c>
      <c r="K11" s="1230">
        <f t="shared" si="1"/>
        <v>0</v>
      </c>
      <c r="L11" s="1262" t="s">
        <v>1706</v>
      </c>
      <c r="M11" s="1203">
        <f>'3条税込み(共通按分後)'!D11-'3条税抜き (消費税雑支出加算)(共通按分後)'!D11</f>
        <v>0</v>
      </c>
      <c r="N11" s="1203">
        <f t="shared" si="2"/>
        <v>0</v>
      </c>
    </row>
    <row r="12" spans="1:15" ht="24.75" customHeight="1">
      <c r="A12" s="1241"/>
      <c r="B12" s="1245"/>
      <c r="C12" s="1244" t="s">
        <v>1490</v>
      </c>
      <c r="D12" s="1235">
        <f>+'3条税抜き(共通按分後)'!D12</f>
        <v>87134052</v>
      </c>
      <c r="E12" s="1234">
        <f>+'3条税抜き(共通按分後)'!E12</f>
        <v>0</v>
      </c>
      <c r="F12" s="1231">
        <f>+'3条税抜き(共通按分後)'!F12</f>
        <v>0</v>
      </c>
      <c r="G12" s="1231">
        <f>+'3条税抜き(共通按分後)'!G12</f>
        <v>19274556</v>
      </c>
      <c r="H12" s="1230">
        <f t="shared" si="0"/>
        <v>19274556</v>
      </c>
      <c r="I12" s="1232">
        <f>+'3条税抜き(共通按分後)'!I12</f>
        <v>33929748</v>
      </c>
      <c r="J12" s="1231">
        <f>+'3条税抜き(共通按分後)'!J12</f>
        <v>33929748</v>
      </c>
      <c r="K12" s="1230">
        <f t="shared" si="1"/>
        <v>67859496</v>
      </c>
      <c r="L12" s="1203">
        <f>G12+I12</f>
        <v>53204304</v>
      </c>
      <c r="M12" s="1203">
        <f>'3条税込み(共通按分後)'!D12-'3条税抜き (消費税雑支出加算)(共通按分後)'!D12</f>
        <v>1715497</v>
      </c>
      <c r="N12" s="1203">
        <f t="shared" si="2"/>
        <v>0</v>
      </c>
    </row>
    <row r="13" spans="1:15" ht="24.75" customHeight="1">
      <c r="A13" s="1241"/>
      <c r="B13" s="1245"/>
      <c r="C13" s="1259" t="s">
        <v>1487</v>
      </c>
      <c r="D13" s="1235">
        <f>+'3条税抜き(共通按分後)'!D13</f>
        <v>10396270</v>
      </c>
      <c r="E13" s="1234">
        <f>+'3条税抜き(共通按分後)'!E13</f>
        <v>0</v>
      </c>
      <c r="F13" s="1231">
        <f>+'3条税抜き(共通按分後)'!F13</f>
        <v>0</v>
      </c>
      <c r="G13" s="1231">
        <f>+'3条税抜き(共通按分後)'!G13</f>
        <v>10396270</v>
      </c>
      <c r="H13" s="1230">
        <f t="shared" si="0"/>
        <v>10396270</v>
      </c>
      <c r="I13" s="1232">
        <f>+'3条税抜き(共通按分後)'!I13</f>
        <v>0</v>
      </c>
      <c r="J13" s="1231">
        <f>+'3条税抜き(共通按分後)'!J13</f>
        <v>0</v>
      </c>
      <c r="K13" s="1230">
        <f t="shared" si="1"/>
        <v>0</v>
      </c>
      <c r="M13" s="1203">
        <f>'3条税込み(共通按分後)'!D13-'3条税抜き (消費税雑支出加算)(共通按分後)'!D13</f>
        <v>87589</v>
      </c>
      <c r="N13" s="1203">
        <f t="shared" si="2"/>
        <v>0</v>
      </c>
    </row>
    <row r="14" spans="1:15" ht="24.75" customHeight="1">
      <c r="A14" s="1241"/>
      <c r="B14" s="1245"/>
      <c r="C14" s="1244" t="s">
        <v>1485</v>
      </c>
      <c r="D14" s="1235">
        <f>+'3条税抜き(共通按分後)'!D14</f>
        <v>929691714</v>
      </c>
      <c r="E14" s="1234">
        <f>+'3条税抜き(共通按分後)'!E14</f>
        <v>0</v>
      </c>
      <c r="F14" s="1231">
        <f>+'3条税抜き(共通按分後)'!F14</f>
        <v>0</v>
      </c>
      <c r="G14" s="1231">
        <f>+'3条税抜き(共通按分後)'!G14</f>
        <v>4513095</v>
      </c>
      <c r="H14" s="1230">
        <f t="shared" si="0"/>
        <v>4513095</v>
      </c>
      <c r="I14" s="1232">
        <f>+'3条税抜き(共通按分後)'!I14</f>
        <v>0</v>
      </c>
      <c r="J14" s="1231">
        <f>+'3条税抜き(共通按分後)'!J14</f>
        <v>925178619</v>
      </c>
      <c r="K14" s="1230">
        <f t="shared" si="1"/>
        <v>925178619</v>
      </c>
      <c r="M14" s="1203">
        <f>'3条税込み(共通按分後)'!D14-'3条税抜き (消費税雑支出加算)(共通按分後)'!D14</f>
        <v>90253429</v>
      </c>
      <c r="N14" s="1203">
        <f t="shared" si="2"/>
        <v>0</v>
      </c>
      <c r="O14" s="1261" t="s">
        <v>1704</v>
      </c>
    </row>
    <row r="15" spans="1:15" ht="24.75" customHeight="1">
      <c r="A15" s="1241"/>
      <c r="B15" s="1245"/>
      <c r="C15" s="1244" t="s">
        <v>1483</v>
      </c>
      <c r="D15" s="1235">
        <f>+'3条税抜き(共通按分後)'!D15</f>
        <v>858656553</v>
      </c>
      <c r="E15" s="1234">
        <f>+'3条税抜き(共通按分後)'!E15</f>
        <v>-1668431</v>
      </c>
      <c r="F15" s="1231">
        <f>+'3条税抜き(共通按分後)'!F15</f>
        <v>-151583</v>
      </c>
      <c r="G15" s="1231">
        <f>+'3条税抜き(共通按分後)'!G15</f>
        <v>-7247778</v>
      </c>
      <c r="H15" s="1230">
        <f t="shared" si="0"/>
        <v>-9067792</v>
      </c>
      <c r="I15" s="1232">
        <f>+'3条税抜き(共通按分後)'!I15</f>
        <v>0</v>
      </c>
      <c r="J15" s="1231">
        <f>+'3条税抜き(共通按分後)'!J15</f>
        <v>867724345</v>
      </c>
      <c r="K15" s="1230">
        <f t="shared" si="1"/>
        <v>867724345</v>
      </c>
      <c r="M15" s="1203">
        <f>'3条税込み(共通按分後)'!D15-'3条税抜き (消費税雑支出加算)(共通按分後)'!D15</f>
        <v>56326029</v>
      </c>
      <c r="N15" s="1203">
        <f t="shared" si="2"/>
        <v>0</v>
      </c>
      <c r="O15" s="1260">
        <f>+'3条税抜き(共通按分後)'!O15</f>
        <v>464609964</v>
      </c>
    </row>
    <row r="16" spans="1:15" ht="24.75" customHeight="1">
      <c r="A16" s="1241"/>
      <c r="B16" s="1245"/>
      <c r="C16" s="1259" t="s">
        <v>1703</v>
      </c>
      <c r="D16" s="1235">
        <f>+'3条税抜き(共通按分後)'!D16</f>
        <v>0</v>
      </c>
      <c r="E16" s="1234">
        <f>+'3条税抜き(共通按分後)'!E16</f>
        <v>0</v>
      </c>
      <c r="F16" s="1231">
        <f>+'3条税抜き(共通按分後)'!F16</f>
        <v>0</v>
      </c>
      <c r="G16" s="1231">
        <f>+'3条税抜き(共通按分後)'!G16</f>
        <v>0</v>
      </c>
      <c r="H16" s="1230">
        <f t="shared" si="0"/>
        <v>0</v>
      </c>
      <c r="I16" s="1232">
        <f>+'3条税抜き(共通按分後)'!I16</f>
        <v>0</v>
      </c>
      <c r="J16" s="1231">
        <f>+'3条税抜き(共通按分後)'!J16</f>
        <v>0</v>
      </c>
      <c r="K16" s="1230">
        <f t="shared" si="1"/>
        <v>0</v>
      </c>
      <c r="M16" s="1203">
        <f>'3条税込み(共通按分後)'!D16-'3条税抜き (消費税雑支出加算)(共通按分後)'!D16</f>
        <v>0</v>
      </c>
      <c r="N16" s="1203">
        <f t="shared" si="2"/>
        <v>0</v>
      </c>
    </row>
    <row r="17" spans="1:14" ht="24.75" customHeight="1">
      <c r="A17" s="1241"/>
      <c r="B17" s="1245"/>
      <c r="C17" s="1244" t="s">
        <v>1702</v>
      </c>
      <c r="D17" s="1235">
        <f>+'3条税抜き(共通按分後)'!D17</f>
        <v>0</v>
      </c>
      <c r="E17" s="1234">
        <f>+'3条税抜き(共通按分後)'!E17</f>
        <v>0</v>
      </c>
      <c r="F17" s="1231">
        <f>+'3条税抜き(共通按分後)'!F17</f>
        <v>0</v>
      </c>
      <c r="G17" s="1231">
        <f>+'3条税抜き(共通按分後)'!G17</f>
        <v>0</v>
      </c>
      <c r="H17" s="1230">
        <f t="shared" si="0"/>
        <v>0</v>
      </c>
      <c r="I17" s="1232">
        <f>+'3条税抜き(共通按分後)'!I17</f>
        <v>0</v>
      </c>
      <c r="J17" s="1231">
        <f>+'3条税抜き(共通按分後)'!J17</f>
        <v>0</v>
      </c>
      <c r="K17" s="1230">
        <f t="shared" si="1"/>
        <v>0</v>
      </c>
      <c r="M17" s="1203">
        <f>'3条税込み(共通按分後)'!D17-'3条税抜き (消費税雑支出加算)(共通按分後)'!D17</f>
        <v>0</v>
      </c>
      <c r="N17" s="1203">
        <f t="shared" si="2"/>
        <v>0</v>
      </c>
    </row>
    <row r="18" spans="1:14" ht="24.75" customHeight="1">
      <c r="A18" s="1241"/>
      <c r="B18" s="1245"/>
      <c r="C18" s="1244" t="s">
        <v>1701</v>
      </c>
      <c r="D18" s="1235">
        <f>+'3条税抜き(共通按分後)'!D18</f>
        <v>0</v>
      </c>
      <c r="E18" s="1234">
        <f>+'3条税抜き(共通按分後)'!E18</f>
        <v>0</v>
      </c>
      <c r="F18" s="1231">
        <f>+'3条税抜き(共通按分後)'!F18</f>
        <v>0</v>
      </c>
      <c r="G18" s="1231">
        <f>+'3条税抜き(共通按分後)'!G18</f>
        <v>0</v>
      </c>
      <c r="H18" s="1230">
        <f t="shared" si="0"/>
        <v>0</v>
      </c>
      <c r="I18" s="1232">
        <f>+'3条税抜き(共通按分後)'!I18</f>
        <v>0</v>
      </c>
      <c r="J18" s="1231">
        <f>+'3条税抜き(共通按分後)'!J18</f>
        <v>0</v>
      </c>
      <c r="K18" s="1230">
        <f t="shared" si="1"/>
        <v>0</v>
      </c>
      <c r="M18" s="1203">
        <f>'3条税込み(共通按分後)'!D18-'3条税抜き (消費税雑支出加算)(共通按分後)'!D18</f>
        <v>0</v>
      </c>
      <c r="N18" s="1203">
        <f t="shared" si="2"/>
        <v>0</v>
      </c>
    </row>
    <row r="19" spans="1:14" ht="24.75" customHeight="1">
      <c r="A19" s="1241"/>
      <c r="B19" s="1245"/>
      <c r="C19" s="1244" t="s">
        <v>1700</v>
      </c>
      <c r="D19" s="1235">
        <f>+'3条税抜き(共通按分後)'!D19</f>
        <v>0</v>
      </c>
      <c r="E19" s="1234">
        <f>+'3条税抜き(共通按分後)'!E19</f>
        <v>0</v>
      </c>
      <c r="F19" s="1231">
        <f>+'3条税抜き(共通按分後)'!F19</f>
        <v>0</v>
      </c>
      <c r="G19" s="1231">
        <f>+'3条税抜き(共通按分後)'!G19</f>
        <v>0</v>
      </c>
      <c r="H19" s="1230">
        <f t="shared" si="0"/>
        <v>0</v>
      </c>
      <c r="I19" s="1232">
        <f>+'3条税抜き(共通按分後)'!I19</f>
        <v>0</v>
      </c>
      <c r="J19" s="1231">
        <f>+'3条税抜き(共通按分後)'!J19</f>
        <v>0</v>
      </c>
      <c r="K19" s="1230">
        <f t="shared" si="1"/>
        <v>0</v>
      </c>
      <c r="M19" s="1203">
        <f>'3条税込み(共通按分後)'!D19-'3条税抜き (消費税雑支出加算)(共通按分後)'!D19</f>
        <v>0</v>
      </c>
      <c r="N19" s="1203">
        <f t="shared" si="2"/>
        <v>0</v>
      </c>
    </row>
    <row r="20" spans="1:14" ht="24.75" customHeight="1">
      <c r="A20" s="1241"/>
      <c r="B20" s="1245"/>
      <c r="C20" s="1244" t="s">
        <v>1699</v>
      </c>
      <c r="D20" s="1235">
        <f>+'3条税抜き(共通按分後)'!D20</f>
        <v>0</v>
      </c>
      <c r="E20" s="1234">
        <f>+'3条税抜き(共通按分後)'!E20</f>
        <v>0</v>
      </c>
      <c r="F20" s="1231">
        <f>+'3条税抜き(共通按分後)'!F20</f>
        <v>0</v>
      </c>
      <c r="G20" s="1231">
        <f>+'3条税抜き(共通按分後)'!G20</f>
        <v>0</v>
      </c>
      <c r="H20" s="1230">
        <f t="shared" si="0"/>
        <v>0</v>
      </c>
      <c r="I20" s="1232">
        <f>+'3条税抜き(共通按分後)'!I20</f>
        <v>0</v>
      </c>
      <c r="J20" s="1231">
        <f>+'3条税抜き(共通按分後)'!J20</f>
        <v>0</v>
      </c>
      <c r="K20" s="1230">
        <f t="shared" si="1"/>
        <v>0</v>
      </c>
      <c r="M20" s="1203">
        <f>'3条税込み(共通按分後)'!D20-'3条税抜き (消費税雑支出加算)(共通按分後)'!D20</f>
        <v>0</v>
      </c>
      <c r="N20" s="1203">
        <f t="shared" si="2"/>
        <v>0</v>
      </c>
    </row>
    <row r="21" spans="1:14" ht="24.75" customHeight="1">
      <c r="A21" s="1241"/>
      <c r="B21" s="1244" t="s">
        <v>1657</v>
      </c>
      <c r="C21" s="1244"/>
      <c r="D21" s="1235">
        <f>SUM(D22:D25)</f>
        <v>4802164091</v>
      </c>
      <c r="E21" s="1234">
        <f>SUM(E22:E25)</f>
        <v>3921344187</v>
      </c>
      <c r="F21" s="1231">
        <f>SUM(F22:F25)</f>
        <v>362943053</v>
      </c>
      <c r="G21" s="1231">
        <f>SUM(G22:G25)</f>
        <v>505492698</v>
      </c>
      <c r="H21" s="1230">
        <f t="shared" si="0"/>
        <v>4789779938</v>
      </c>
      <c r="I21" s="1232">
        <f>SUM(I22:I25)</f>
        <v>3634583</v>
      </c>
      <c r="J21" s="1231">
        <f>SUM(J22:J25)</f>
        <v>8749570</v>
      </c>
      <c r="K21" s="1230">
        <f t="shared" si="1"/>
        <v>12384153</v>
      </c>
      <c r="M21" s="1203">
        <f>SUM(M22:M24)</f>
        <v>489822</v>
      </c>
      <c r="N21" s="1203">
        <f t="shared" si="2"/>
        <v>0</v>
      </c>
    </row>
    <row r="22" spans="1:14" ht="24.75" customHeight="1">
      <c r="A22" s="1241"/>
      <c r="B22" s="1244"/>
      <c r="C22" s="1244" t="s">
        <v>1698</v>
      </c>
      <c r="D22" s="1235">
        <f>+'3条税抜き(共通按分後)'!D22</f>
        <v>2483</v>
      </c>
      <c r="E22" s="1234">
        <f>+'3条税抜き(共通按分後)'!E22</f>
        <v>0</v>
      </c>
      <c r="F22" s="1231">
        <f>+'3条税抜き(共通按分後)'!F22</f>
        <v>0</v>
      </c>
      <c r="G22" s="1231">
        <f>+'3条税抜き(共通按分後)'!G22</f>
        <v>0</v>
      </c>
      <c r="H22" s="1230">
        <f t="shared" si="0"/>
        <v>0</v>
      </c>
      <c r="I22" s="1232">
        <f>+'3条税抜き(共通按分後)'!I22</f>
        <v>0</v>
      </c>
      <c r="J22" s="1231">
        <f>+'3条税抜き(共通按分後)'!J22</f>
        <v>2483</v>
      </c>
      <c r="K22" s="1230">
        <f t="shared" si="1"/>
        <v>2483</v>
      </c>
      <c r="M22" s="1203">
        <f>'3条税込み(共通按分後)'!D22-'3条税抜き (消費税雑支出加算)(共通按分後)'!D22</f>
        <v>0</v>
      </c>
      <c r="N22" s="1203">
        <f t="shared" si="2"/>
        <v>0</v>
      </c>
    </row>
    <row r="23" spans="1:14" ht="24.75" customHeight="1">
      <c r="A23" s="1241"/>
      <c r="B23" s="1245"/>
      <c r="C23" s="1244" t="s">
        <v>1656</v>
      </c>
      <c r="D23" s="1235">
        <f>+'3条税抜き(共通按分後)'!D23</f>
        <v>24123</v>
      </c>
      <c r="E23" s="1234">
        <f>+'3条税抜き(共通按分後)'!E23</f>
        <v>0</v>
      </c>
      <c r="F23" s="1231">
        <f>+'3条税抜き(共通按分後)'!F23</f>
        <v>0</v>
      </c>
      <c r="G23" s="1231">
        <f>+'3条税抜き(共通按分後)'!G23</f>
        <v>-8710224</v>
      </c>
      <c r="H23" s="1230">
        <f t="shared" si="0"/>
        <v>-8710224</v>
      </c>
      <c r="I23" s="1232">
        <f>+'3条税抜き(共通按分後)'!I23</f>
        <v>0</v>
      </c>
      <c r="J23" s="1231">
        <f>+'3条税抜き(共通按分後)'!J23</f>
        <v>8734347</v>
      </c>
      <c r="K23" s="1230">
        <f t="shared" si="1"/>
        <v>8734347</v>
      </c>
      <c r="M23" s="1203">
        <f>'3条税込み(共通按分後)'!D23-'3条税抜き (消費税雑支出加算)(共通按分後)'!D23</f>
        <v>1773</v>
      </c>
      <c r="N23" s="1203">
        <f t="shared" si="2"/>
        <v>0</v>
      </c>
    </row>
    <row r="24" spans="1:14" ht="24.75" customHeight="1">
      <c r="A24" s="1241"/>
      <c r="B24" s="1245"/>
      <c r="C24" s="1259" t="s">
        <v>1697</v>
      </c>
      <c r="D24" s="1235">
        <f>+'3条税抜き(共通按分後)'!D24</f>
        <v>8710224</v>
      </c>
      <c r="E24" s="1234">
        <f>+'3条税抜き(共通按分後)'!E24</f>
        <v>0</v>
      </c>
      <c r="F24" s="1231">
        <f>+'3条税抜き(共通按分後)'!F24</f>
        <v>0</v>
      </c>
      <c r="G24" s="1231">
        <f>+'3条税抜き(共通按分後)'!G24</f>
        <v>8710224</v>
      </c>
      <c r="H24" s="1230">
        <f t="shared" si="0"/>
        <v>8710224</v>
      </c>
      <c r="I24" s="1232">
        <f>+'3条税抜き(共通按分後)'!I24</f>
        <v>0</v>
      </c>
      <c r="J24" s="1231">
        <f>+'3条税抜き(共通按分後)'!J24</f>
        <v>0</v>
      </c>
      <c r="K24" s="1230">
        <f t="shared" si="1"/>
        <v>0</v>
      </c>
      <c r="M24" s="1203">
        <f>'3条税込み(共通按分後)'!D24-'3条税抜き (消費税雑支出加算)(共通按分後)'!D24</f>
        <v>488049</v>
      </c>
      <c r="N24" s="1203">
        <f t="shared" si="2"/>
        <v>0</v>
      </c>
    </row>
    <row r="25" spans="1:14" ht="24.75" customHeight="1">
      <c r="A25" s="1241"/>
      <c r="B25" s="1245"/>
      <c r="C25" s="1259" t="s">
        <v>1689</v>
      </c>
      <c r="D25" s="1312">
        <f>+SUM('雨汚水(共通按分後)'!AD25:AD26)</f>
        <v>4793427261</v>
      </c>
      <c r="E25" s="1320">
        <f>+SUM('雨汚水(共通按分後)'!AE25:AE26)</f>
        <v>3921344187</v>
      </c>
      <c r="F25" s="1319">
        <f>+SUM('雨汚水(共通按分後)'!AF25:AF26)</f>
        <v>362943053</v>
      </c>
      <c r="G25" s="1319">
        <f>+SUM('雨汚水(共通按分後)'!AG25:AG26)</f>
        <v>505492698</v>
      </c>
      <c r="H25" s="1316">
        <f t="shared" si="0"/>
        <v>4789779938</v>
      </c>
      <c r="I25" s="1318">
        <f>+SUM('雨汚水(共通按分後)'!AI25:AI26)</f>
        <v>3634583</v>
      </c>
      <c r="J25" s="1317">
        <f>+SUM('雨汚水(共通按分後)'!AJ25:AJ26)</f>
        <v>12740</v>
      </c>
      <c r="K25" s="1316">
        <f t="shared" si="1"/>
        <v>3647323</v>
      </c>
    </row>
    <row r="26" spans="1:14" ht="24.75" customHeight="1">
      <c r="A26" s="1241"/>
      <c r="B26" s="1244" t="s">
        <v>1653</v>
      </c>
      <c r="C26" s="1244"/>
      <c r="D26" s="1235">
        <f>SUM(D27:D28)</f>
        <v>20026854</v>
      </c>
      <c r="E26" s="1234">
        <f>SUM(E27:E28)</f>
        <v>6733</v>
      </c>
      <c r="F26" s="1231">
        <f>SUM(F27:F28)</f>
        <v>0</v>
      </c>
      <c r="G26" s="1231">
        <f>SUM(G27:G28)</f>
        <v>0</v>
      </c>
      <c r="H26" s="1230">
        <f t="shared" si="0"/>
        <v>6733</v>
      </c>
      <c r="I26" s="1231">
        <f>SUM(I27:I28)</f>
        <v>0</v>
      </c>
      <c r="J26" s="1231">
        <f>SUM(J27:J28)</f>
        <v>20020121</v>
      </c>
      <c r="K26" s="1230">
        <f t="shared" si="1"/>
        <v>20020121</v>
      </c>
      <c r="M26" s="1203">
        <f>SUM(M27:M28)</f>
        <v>968444</v>
      </c>
      <c r="N26" s="1203">
        <f t="shared" ref="N26:N37" si="3">D26-H26-K26</f>
        <v>0</v>
      </c>
    </row>
    <row r="27" spans="1:14" ht="24.75" customHeight="1">
      <c r="A27" s="1241"/>
      <c r="B27" s="1244"/>
      <c r="C27" s="1257" t="s">
        <v>1696</v>
      </c>
      <c r="D27" s="1235">
        <f>+'3条税抜き(共通按分後)'!D27</f>
        <v>20026854</v>
      </c>
      <c r="E27" s="1234">
        <f>+'3条税抜き(共通按分後)'!E27</f>
        <v>6733</v>
      </c>
      <c r="F27" s="1231">
        <f>+'3条税抜き(共通按分後)'!F27</f>
        <v>0</v>
      </c>
      <c r="G27" s="1231">
        <f>+'3条税抜き(共通按分後)'!G27</f>
        <v>0</v>
      </c>
      <c r="H27" s="1230">
        <f t="shared" si="0"/>
        <v>6733</v>
      </c>
      <c r="I27" s="1232">
        <f>+'3条税抜き(共通按分後)'!I27</f>
        <v>0</v>
      </c>
      <c r="J27" s="1231">
        <f>+'3条税抜き(共通按分後)'!J27</f>
        <v>20020121</v>
      </c>
      <c r="K27" s="1230">
        <f t="shared" si="1"/>
        <v>20020121</v>
      </c>
      <c r="M27" s="1203">
        <f>'3条税込み(共通按分後)'!D27-'3条税抜き (消費税雑支出加算)(共通按分後)'!D27</f>
        <v>968444</v>
      </c>
      <c r="N27" s="1203">
        <f t="shared" si="3"/>
        <v>0</v>
      </c>
    </row>
    <row r="28" spans="1:14" ht="24.75" customHeight="1">
      <c r="A28" s="1241"/>
      <c r="B28" s="1245"/>
      <c r="C28" s="1244" t="s">
        <v>1435</v>
      </c>
      <c r="D28" s="1235">
        <f>+'3条税抜き(共通按分後)'!D28</f>
        <v>0</v>
      </c>
      <c r="E28" s="1234">
        <f>+'3条税抜き(共通按分後)'!E28</f>
        <v>0</v>
      </c>
      <c r="F28" s="1231">
        <f>+'3条税抜き(共通按分後)'!F28</f>
        <v>0</v>
      </c>
      <c r="G28" s="1231">
        <f>+'3条税抜き(共通按分後)'!G28</f>
        <v>0</v>
      </c>
      <c r="H28" s="1230">
        <f t="shared" si="0"/>
        <v>0</v>
      </c>
      <c r="I28" s="1232">
        <f>+'3条税抜き(共通按分後)'!I28</f>
        <v>0</v>
      </c>
      <c r="J28" s="1231">
        <f>+'3条税抜き(共通按分後)'!J28</f>
        <v>0</v>
      </c>
      <c r="K28" s="1230">
        <f t="shared" si="1"/>
        <v>0</v>
      </c>
      <c r="M28" s="1203">
        <f>'3条税込み(共通按分後)'!D28-'3条税抜き (消費税雑支出加算)(共通按分後)'!D28</f>
        <v>0</v>
      </c>
      <c r="N28" s="1203">
        <f t="shared" si="3"/>
        <v>0</v>
      </c>
    </row>
    <row r="29" spans="1:14" ht="24.75" customHeight="1">
      <c r="A29" s="1241"/>
      <c r="B29" s="1242" t="s">
        <v>1695</v>
      </c>
      <c r="C29" s="1231"/>
      <c r="D29" s="1235">
        <f>+'3条税抜き(共通按分後)'!D29</f>
        <v>0</v>
      </c>
      <c r="E29" s="1234">
        <f>+'3条税抜き(共通按分後)'!E29</f>
        <v>0</v>
      </c>
      <c r="F29" s="1231">
        <f>+'3条税抜き(共通按分後)'!F29</f>
        <v>0</v>
      </c>
      <c r="G29" s="1231">
        <f>+'3条税抜き(共通按分後)'!G29</f>
        <v>0</v>
      </c>
      <c r="H29" s="1230">
        <f t="shared" si="0"/>
        <v>0</v>
      </c>
      <c r="I29" s="1232">
        <f>+'3条税抜き(共通按分後)'!I29</f>
        <v>0</v>
      </c>
      <c r="J29" s="1231">
        <f>+'3条税抜き(共通按分後)'!J29</f>
        <v>0</v>
      </c>
      <c r="K29" s="1230">
        <f t="shared" si="1"/>
        <v>0</v>
      </c>
      <c r="M29" s="1203">
        <f>'3条税込み(共通按分後)'!D29-'3条税抜き (消費税雑支出加算)(共通按分後)'!D29</f>
        <v>0</v>
      </c>
      <c r="N29" s="1203">
        <f t="shared" si="3"/>
        <v>0</v>
      </c>
    </row>
    <row r="30" spans="1:14" ht="24.75" customHeight="1">
      <c r="A30" s="1228"/>
      <c r="B30" s="1205"/>
      <c r="C30" s="1205"/>
      <c r="D30" s="1235"/>
      <c r="E30" s="1234"/>
      <c r="F30" s="1231"/>
      <c r="G30" s="1231"/>
      <c r="H30" s="1230"/>
      <c r="I30" s="1232"/>
      <c r="J30" s="1231"/>
      <c r="K30" s="1230"/>
      <c r="L30" s="1248" t="s">
        <v>1694</v>
      </c>
      <c r="N30" s="1203">
        <f t="shared" si="3"/>
        <v>0</v>
      </c>
    </row>
    <row r="31" spans="1:14" ht="24.75" customHeight="1">
      <c r="A31" s="1256"/>
      <c r="B31" s="1213" t="s">
        <v>1676</v>
      </c>
      <c r="C31" s="1255"/>
      <c r="D31" s="1227">
        <f t="shared" ref="D31:K31" si="4">D6+D21+D26+D29</f>
        <v>15613515482</v>
      </c>
      <c r="E31" s="1226">
        <f t="shared" si="4"/>
        <v>6123362848</v>
      </c>
      <c r="F31" s="1224">
        <f t="shared" si="4"/>
        <v>563003488</v>
      </c>
      <c r="G31" s="1224">
        <f t="shared" si="4"/>
        <v>857974338</v>
      </c>
      <c r="H31" s="1223">
        <f t="shared" si="4"/>
        <v>7544340674</v>
      </c>
      <c r="I31" s="1225">
        <f t="shared" si="4"/>
        <v>90252631</v>
      </c>
      <c r="J31" s="1224">
        <f t="shared" si="4"/>
        <v>7978922177</v>
      </c>
      <c r="K31" s="1223">
        <f t="shared" si="4"/>
        <v>8069174808</v>
      </c>
      <c r="L31" s="1203">
        <f>H31+I31-I8-L12-G13</f>
        <v>7519679436</v>
      </c>
      <c r="M31" s="1203">
        <f>M6+M21+M26+M29</f>
        <v>822402777</v>
      </c>
      <c r="N31" s="1203">
        <f t="shared" si="3"/>
        <v>0</v>
      </c>
    </row>
    <row r="32" spans="1:14" ht="24.75" customHeight="1">
      <c r="A32" s="1254"/>
      <c r="B32" s="1244" t="s">
        <v>1669</v>
      </c>
      <c r="C32" s="1253"/>
      <c r="D32" s="1252">
        <f t="shared" ref="D32:K32" si="5">D33+D34</f>
        <v>27055204101</v>
      </c>
      <c r="E32" s="1315">
        <f t="shared" si="5"/>
        <v>12429750358</v>
      </c>
      <c r="F32" s="1237">
        <f t="shared" si="5"/>
        <v>134284305</v>
      </c>
      <c r="G32" s="1313">
        <f t="shared" si="5"/>
        <v>0</v>
      </c>
      <c r="H32" s="1314">
        <f t="shared" si="5"/>
        <v>12564034663</v>
      </c>
      <c r="I32" s="1250">
        <f t="shared" si="5"/>
        <v>497819716</v>
      </c>
      <c r="J32" s="1313">
        <f t="shared" si="5"/>
        <v>13722216640</v>
      </c>
      <c r="K32" s="1313">
        <f t="shared" si="5"/>
        <v>14220036356</v>
      </c>
      <c r="L32" s="1248" t="s">
        <v>1719</v>
      </c>
      <c r="M32" s="1203">
        <f>SUM(M33:M34)</f>
        <v>0</v>
      </c>
      <c r="N32" s="1203">
        <f t="shared" si="3"/>
        <v>271133082</v>
      </c>
    </row>
    <row r="33" spans="1:14" ht="24.75" customHeight="1">
      <c r="A33" s="1241"/>
      <c r="B33" s="1244"/>
      <c r="C33" s="1244" t="s">
        <v>1448</v>
      </c>
      <c r="D33" s="1235">
        <f>+'3条税抜き(共通按分後)'!D33</f>
        <v>26551442230</v>
      </c>
      <c r="E33" s="1234">
        <f>+'3条税抜き(共通按分後)'!E33</f>
        <v>12077971252</v>
      </c>
      <c r="F33" s="1231">
        <f>+'3条税抜き(共通按分後)'!F33</f>
        <v>130483874</v>
      </c>
      <c r="G33" s="1231">
        <f>+'3条税抜き(共通按分後)'!G33</f>
        <v>0</v>
      </c>
      <c r="H33" s="1230">
        <f>SUM(E33:G33)</f>
        <v>12208455126</v>
      </c>
      <c r="I33" s="1232">
        <f>+'3条税抜き(共通按分後)'!I33</f>
        <v>490154021</v>
      </c>
      <c r="J33" s="1231">
        <f>+'3条税抜き(共通按分後)'!J33</f>
        <v>13581700001</v>
      </c>
      <c r="K33" s="1230">
        <f>SUM(I33:J33)</f>
        <v>14071854022</v>
      </c>
      <c r="L33" s="1203">
        <f>E32+F32</f>
        <v>12564034663</v>
      </c>
      <c r="M33" s="1203">
        <f>'3条税込み(共通按分後)'!D33-'3条税抜き (消費税雑支出加算)(共通按分後)'!D33</f>
        <v>0</v>
      </c>
      <c r="N33" s="1203">
        <f t="shared" si="3"/>
        <v>271133082</v>
      </c>
    </row>
    <row r="34" spans="1:14" ht="24.75" customHeight="1">
      <c r="A34" s="1241"/>
      <c r="B34" s="1245"/>
      <c r="C34" s="1244" t="s">
        <v>1692</v>
      </c>
      <c r="D34" s="1235">
        <f>+'3条税抜き(共通按分後)'!D34</f>
        <v>503761871</v>
      </c>
      <c r="E34" s="1234">
        <f>+'3条税抜き(共通按分後)'!E34</f>
        <v>351779106</v>
      </c>
      <c r="F34" s="1231">
        <f>+'3条税抜き(共通按分後)'!F34</f>
        <v>3800431</v>
      </c>
      <c r="G34" s="1231">
        <f>+'3条税抜き(共通按分後)'!G34</f>
        <v>0</v>
      </c>
      <c r="H34" s="1230">
        <f>SUM(E34:G34)</f>
        <v>355579537</v>
      </c>
      <c r="I34" s="1232">
        <f>+'3条税抜き(共通按分後)'!I34</f>
        <v>7665695</v>
      </c>
      <c r="J34" s="1231">
        <f>+'3条税抜き(共通按分後)'!J34</f>
        <v>140516639</v>
      </c>
      <c r="K34" s="1230">
        <f>SUM(I34:J34)</f>
        <v>148182334</v>
      </c>
      <c r="M34" s="1203">
        <f>'3条税込み(共通按分後)'!D34-'3条税抜き (消費税雑支出加算)(共通按分後)'!D34</f>
        <v>0</v>
      </c>
      <c r="N34" s="1203">
        <f t="shared" si="3"/>
        <v>0</v>
      </c>
    </row>
    <row r="35" spans="1:14" ht="24.75" customHeight="1">
      <c r="A35" s="1241"/>
      <c r="B35" s="1247" t="s">
        <v>1657</v>
      </c>
      <c r="C35" s="1246"/>
      <c r="D35" s="1235">
        <f t="shared" ref="D35:K35" si="6">D36+D37</f>
        <v>-640601179</v>
      </c>
      <c r="E35" s="1234">
        <f t="shared" si="6"/>
        <v>-266615367</v>
      </c>
      <c r="F35" s="1231">
        <f t="shared" si="6"/>
        <v>0</v>
      </c>
      <c r="G35" s="1231">
        <f t="shared" si="6"/>
        <v>-8254816</v>
      </c>
      <c r="H35" s="1230">
        <f t="shared" si="6"/>
        <v>-274870183</v>
      </c>
      <c r="I35" s="1232">
        <f t="shared" si="6"/>
        <v>-77557916</v>
      </c>
      <c r="J35" s="1231">
        <f t="shared" si="6"/>
        <v>-288173080</v>
      </c>
      <c r="K35" s="1230">
        <f t="shared" si="6"/>
        <v>-365730996</v>
      </c>
      <c r="M35" s="1203">
        <f>SUM(M36:M37)</f>
        <v>5619432</v>
      </c>
      <c r="N35" s="1203">
        <f t="shared" si="3"/>
        <v>0</v>
      </c>
    </row>
    <row r="36" spans="1:14" ht="24.75" customHeight="1">
      <c r="A36" s="1241"/>
      <c r="B36" s="1244"/>
      <c r="C36" s="1244" t="s">
        <v>1691</v>
      </c>
      <c r="D36" s="1235">
        <f>'3条税抜き(共通按分後)'!D36</f>
        <v>3940339234</v>
      </c>
      <c r="E36" s="1234">
        <f>+'3条税抜き(共通按分後)'!E36</f>
        <v>3259340024</v>
      </c>
      <c r="F36" s="1231">
        <f>+'3条税抜き(共通按分後)'!F36</f>
        <v>0</v>
      </c>
      <c r="G36" s="1231">
        <f>+'3条税抜き(共通按分後)'!G36</f>
        <v>93230210</v>
      </c>
      <c r="H36" s="1230">
        <f>SUM(E36:G36)</f>
        <v>3352570234</v>
      </c>
      <c r="I36" s="1232">
        <f>+'3条税抜き(共通按分後)'!I36</f>
        <v>875942080</v>
      </c>
      <c r="J36" s="1231">
        <f>+'3条税抜き(共通按分後)'!J36</f>
        <v>-288173080</v>
      </c>
      <c r="K36" s="1230">
        <f>SUM(I36:J36)</f>
        <v>587769000</v>
      </c>
      <c r="M36" s="1203">
        <f>'3条税込み(共通按分後)'!D36-'3条税抜き (消費税雑支出加算)(共通按分後)'!D36</f>
        <v>5619432</v>
      </c>
      <c r="N36" s="1203">
        <f t="shared" si="3"/>
        <v>0</v>
      </c>
    </row>
    <row r="37" spans="1:14" ht="24.75" customHeight="1">
      <c r="A37" s="1241"/>
      <c r="B37" s="1245"/>
      <c r="C37" s="1244" t="s">
        <v>1689</v>
      </c>
      <c r="D37" s="1312">
        <f>+'雨汚水(共通按分後)'!AD39</f>
        <v>-4580940413</v>
      </c>
      <c r="E37" s="1311">
        <f>+'雨汚水(共通按分後)'!AE39</f>
        <v>-3525955391</v>
      </c>
      <c r="F37" s="1308">
        <f>+'雨汚水(共通按分後)'!AF39</f>
        <v>0</v>
      </c>
      <c r="G37" s="1308">
        <f>+'雨汚水(共通按分後)'!AG39</f>
        <v>-101485026</v>
      </c>
      <c r="H37" s="1310">
        <f>SUM(E37:G37)</f>
        <v>-3627440417</v>
      </c>
      <c r="I37" s="1309">
        <f>+'雨汚水(共通按分後)'!AI39</f>
        <v>-953499996</v>
      </c>
      <c r="J37" s="1308">
        <f>+'雨汚水(共通按分後)'!AJ39</f>
        <v>0</v>
      </c>
      <c r="K37" s="1230">
        <f>SUM(I37:J37)</f>
        <v>-953499996</v>
      </c>
      <c r="N37" s="1203">
        <f t="shared" si="3"/>
        <v>0</v>
      </c>
    </row>
    <row r="38" spans="1:14" ht="24.75" customHeight="1">
      <c r="A38" s="1241"/>
      <c r="B38" s="1244" t="s">
        <v>1653</v>
      </c>
      <c r="C38" s="1244"/>
      <c r="D38" s="1235">
        <f t="shared" ref="D38:K38" si="7">D39</f>
        <v>0</v>
      </c>
      <c r="E38" s="1234">
        <f t="shared" si="7"/>
        <v>0</v>
      </c>
      <c r="F38" s="1231">
        <f t="shared" si="7"/>
        <v>0</v>
      </c>
      <c r="G38" s="1231">
        <f t="shared" si="7"/>
        <v>0</v>
      </c>
      <c r="H38" s="1230">
        <f t="shared" si="7"/>
        <v>0</v>
      </c>
      <c r="I38" s="1232">
        <f t="shared" si="7"/>
        <v>0</v>
      </c>
      <c r="J38" s="1231">
        <f t="shared" si="7"/>
        <v>0</v>
      </c>
      <c r="K38" s="1230">
        <f t="shared" si="7"/>
        <v>0</v>
      </c>
    </row>
    <row r="39" spans="1:14" ht="24.75" customHeight="1">
      <c r="A39" s="1241"/>
      <c r="B39" s="1244"/>
      <c r="C39" s="1243" t="s">
        <v>1687</v>
      </c>
      <c r="D39" s="1235">
        <f>'3条税抜き(共通按分後)'!D39</f>
        <v>0</v>
      </c>
      <c r="E39" s="1234">
        <f>+'3条税抜き(共通按分後)'!E39</f>
        <v>0</v>
      </c>
      <c r="F39" s="1231">
        <f>+'3条税抜き(共通按分後)'!F39</f>
        <v>0</v>
      </c>
      <c r="G39" s="1231">
        <f>+'3条税抜き(共通按分後)'!G39</f>
        <v>0</v>
      </c>
      <c r="H39" s="1230">
        <f>SUM(E39:G39)</f>
        <v>0</v>
      </c>
      <c r="I39" s="1232">
        <f>+'3条税抜き(共通按分後)'!I39</f>
        <v>0</v>
      </c>
      <c r="J39" s="1231">
        <f>+'3条税抜き(共通按分後)'!J39</f>
        <v>0</v>
      </c>
      <c r="K39" s="1230">
        <f>SUM(I39:J39)</f>
        <v>0</v>
      </c>
      <c r="M39" s="1203">
        <f>D39-H39-K39</f>
        <v>0</v>
      </c>
    </row>
    <row r="40" spans="1:14" ht="24.75" customHeight="1">
      <c r="A40" s="1241"/>
      <c r="B40" s="1240"/>
      <c r="C40" s="1239"/>
      <c r="D40" s="1235"/>
      <c r="E40" s="1234"/>
      <c r="F40" s="1233" t="s">
        <v>1682</v>
      </c>
      <c r="G40" s="1231">
        <f>'3条税込み(共通按分後)'!G40</f>
        <v>0</v>
      </c>
      <c r="H40" s="1230">
        <f>SUM(E40:G40)</f>
        <v>0</v>
      </c>
      <c r="I40" s="1232"/>
      <c r="J40" s="1231"/>
      <c r="K40" s="1230">
        <f>SUM(I40:J40)</f>
        <v>0</v>
      </c>
      <c r="L40" s="1203" t="s">
        <v>1681</v>
      </c>
      <c r="N40" s="1301">
        <f>D40-H40-K40</f>
        <v>0</v>
      </c>
    </row>
    <row r="41" spans="1:14" ht="24.75" customHeight="1">
      <c r="A41" s="1228"/>
      <c r="B41" s="1237"/>
      <c r="C41" s="1236"/>
      <c r="D41" s="1235"/>
      <c r="E41" s="1234"/>
      <c r="F41" s="1233" t="s">
        <v>1679</v>
      </c>
      <c r="G41" s="1231">
        <f>G36-G40</f>
        <v>93230210</v>
      </c>
      <c r="H41" s="1230"/>
      <c r="I41" s="1232"/>
      <c r="J41" s="1231"/>
      <c r="K41" s="1230"/>
      <c r="L41" s="1203">
        <f>E36+F36+G41+I36</f>
        <v>4228512314</v>
      </c>
      <c r="N41" s="1203">
        <f>D41-H41-K41</f>
        <v>0</v>
      </c>
    </row>
    <row r="42" spans="1:14" ht="24.75" customHeight="1">
      <c r="A42" s="1228"/>
      <c r="B42" s="1205" t="s">
        <v>1676</v>
      </c>
      <c r="C42" s="1205"/>
      <c r="D42" s="1235">
        <f t="shared" ref="D42:K42" si="8">D32+D35+D38</f>
        <v>26414602922</v>
      </c>
      <c r="E42" s="1234">
        <f t="shared" si="8"/>
        <v>12163134991</v>
      </c>
      <c r="F42" s="1231">
        <f t="shared" si="8"/>
        <v>134284305</v>
      </c>
      <c r="G42" s="1231">
        <f t="shared" si="8"/>
        <v>-8254816</v>
      </c>
      <c r="H42" s="1230">
        <f t="shared" si="8"/>
        <v>12289164480</v>
      </c>
      <c r="I42" s="1232">
        <f t="shared" si="8"/>
        <v>420261800</v>
      </c>
      <c r="J42" s="1231">
        <f t="shared" si="8"/>
        <v>13434043560</v>
      </c>
      <c r="K42" s="1230">
        <f t="shared" si="8"/>
        <v>13854305360</v>
      </c>
      <c r="M42" s="1203">
        <f>M32+M35</f>
        <v>5619432</v>
      </c>
      <c r="N42" s="1203">
        <f>D42-H42-K42</f>
        <v>271133082</v>
      </c>
    </row>
    <row r="43" spans="1:14" ht="24.75" customHeight="1">
      <c r="A43" s="1222"/>
      <c r="B43" s="1221"/>
      <c r="C43" s="1221"/>
      <c r="D43" s="1235"/>
      <c r="E43" s="1234"/>
      <c r="F43" s="1231"/>
      <c r="G43" s="1231"/>
      <c r="H43" s="1230"/>
      <c r="I43" s="1232"/>
      <c r="J43" s="1231"/>
      <c r="K43" s="1230"/>
      <c r="N43" s="1203">
        <f>D43-H43-K43</f>
        <v>0</v>
      </c>
    </row>
    <row r="44" spans="1:14" ht="24.75" customHeight="1" thickBot="1">
      <c r="A44" s="1215" t="s">
        <v>1674</v>
      </c>
      <c r="B44" s="1214"/>
      <c r="C44" s="1213"/>
      <c r="D44" s="1307">
        <f t="shared" ref="D44:K44" si="9">D31+D42</f>
        <v>42028118404</v>
      </c>
      <c r="E44" s="1306">
        <f t="shared" si="9"/>
        <v>18286497839</v>
      </c>
      <c r="F44" s="1224">
        <f t="shared" si="9"/>
        <v>697287793</v>
      </c>
      <c r="G44" s="1306">
        <f t="shared" si="9"/>
        <v>849719522</v>
      </c>
      <c r="H44" s="1223">
        <f t="shared" si="9"/>
        <v>19833505154</v>
      </c>
      <c r="I44" s="1305">
        <f t="shared" si="9"/>
        <v>510514431</v>
      </c>
      <c r="J44" s="1224">
        <f t="shared" si="9"/>
        <v>21412965737</v>
      </c>
      <c r="K44" s="1304">
        <f t="shared" si="9"/>
        <v>21923480168</v>
      </c>
      <c r="M44" s="1203">
        <f>M31+M42</f>
        <v>828022209</v>
      </c>
      <c r="N44" s="1203">
        <f>D44-H44-K44</f>
        <v>271133082</v>
      </c>
    </row>
    <row r="45" spans="1:14" ht="21" customHeight="1">
      <c r="A45" s="1205"/>
      <c r="B45" s="1205"/>
      <c r="C45" s="1205"/>
      <c r="D45" s="1204">
        <f>D44-'3条支出'!T41</f>
        <v>-16531</v>
      </c>
      <c r="E45" s="1204"/>
      <c r="F45" s="1204"/>
      <c r="G45" s="1204"/>
      <c r="H45" s="1204"/>
      <c r="I45" s="1204"/>
      <c r="J45" s="1204"/>
      <c r="K45" s="1204"/>
    </row>
    <row r="46" spans="1:14" ht="21" customHeight="1"/>
    <row r="47" spans="1:14" ht="21" customHeight="1">
      <c r="G47" s="1204"/>
    </row>
    <row r="48" spans="1:14" ht="21" customHeight="1"/>
    <row r="49" ht="21" customHeight="1"/>
    <row r="50" ht="21" customHeight="1"/>
    <row r="51" ht="21" customHeight="1"/>
    <row r="52" ht="21" customHeight="1"/>
    <row r="53" ht="21" customHeight="1"/>
    <row r="54" ht="21" customHeight="1"/>
    <row r="55" ht="21" customHeight="1"/>
    <row r="56" ht="21" customHeight="1"/>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w5_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L141"/>
  <sheetViews>
    <sheetView zoomScale="80" zoomScaleNormal="80" zoomScaleSheetLayoutView="80" workbookViewId="0"/>
  </sheetViews>
  <sheetFormatPr defaultColWidth="9" defaultRowHeight="13.5" outlineLevelCol="1"/>
  <cols>
    <col min="1" max="1" width="4" style="1476" customWidth="1"/>
    <col min="2" max="3" width="4" style="991" customWidth="1"/>
    <col min="4" max="4" width="30.625" style="991" customWidth="1"/>
    <col min="5" max="13" width="14.125" style="991" customWidth="1"/>
    <col min="14" max="14" width="30.625" style="991" customWidth="1"/>
    <col min="15" max="23" width="14.125" style="991" customWidth="1"/>
    <col min="24" max="24" width="30.625" style="991" customWidth="1"/>
    <col min="25" max="29" width="14.125" style="991" hidden="1" customWidth="1" outlineLevel="1"/>
    <col min="30" max="30" width="14.125" style="991" customWidth="1" collapsed="1"/>
    <col min="31" max="38" width="14.125" style="991" customWidth="1"/>
    <col min="39" max="16384" width="9" style="991"/>
  </cols>
  <sheetData>
    <row r="1" spans="1:38">
      <c r="D1" s="991" t="str">
        <f>+'3条支出'!$D$1</f>
        <v>令和５年度決算　消費税算出資料</v>
      </c>
      <c r="N1" s="991" t="str">
        <f>+$D$1</f>
        <v>令和５年度決算　消費税算出資料</v>
      </c>
      <c r="X1" s="991" t="str">
        <f>+$D$1</f>
        <v>令和５年度決算　消費税算出資料</v>
      </c>
    </row>
    <row r="2" spans="1:38">
      <c r="D2" s="991" t="s">
        <v>1550</v>
      </c>
      <c r="M2" s="1042" t="str">
        <f>+IF(COUNTIF(M7:M45,0)=COUNT(M7:M45),"","↓エラーあり")</f>
        <v>↓エラーあり</v>
      </c>
      <c r="N2" s="991" t="s">
        <v>1550</v>
      </c>
      <c r="W2" s="1042" t="str">
        <f>+IF(COUNTIF(W7:W45,0)=COUNT(W7:W45),"","↓エラーあり")</f>
        <v>↓エラーあり</v>
      </c>
      <c r="X2" s="991" t="s">
        <v>1526</v>
      </c>
      <c r="AL2" s="1042" t="str">
        <f>+IF(COUNTIF(AL7:AL45,0)=COUNT(AL7:AL45),"","↓エラーあり")</f>
        <v>↓エラーあり</v>
      </c>
    </row>
    <row r="3" spans="1:38">
      <c r="B3" s="1638" t="s">
        <v>1524</v>
      </c>
      <c r="C3" s="1639"/>
      <c r="D3" s="1568" t="s">
        <v>1520</v>
      </c>
      <c r="E3" s="1623" t="s">
        <v>1523</v>
      </c>
      <c r="F3" s="1624"/>
      <c r="G3" s="1624"/>
      <c r="H3" s="1624"/>
      <c r="I3" s="1624"/>
      <c r="J3" s="1624"/>
      <c r="K3" s="1624"/>
      <c r="L3" s="1624"/>
      <c r="M3" s="1625"/>
      <c r="N3" s="1568" t="s">
        <v>1520</v>
      </c>
      <c r="O3" s="1623" t="s">
        <v>1522</v>
      </c>
      <c r="P3" s="1624"/>
      <c r="Q3" s="1624"/>
      <c r="R3" s="1624"/>
      <c r="S3" s="1624"/>
      <c r="T3" s="1624"/>
      <c r="U3" s="1624"/>
      <c r="V3" s="1624"/>
      <c r="W3" s="1625"/>
      <c r="X3" s="1568" t="s">
        <v>1520</v>
      </c>
      <c r="Y3" s="1477"/>
      <c r="Z3" s="1477"/>
      <c r="AA3" s="1477"/>
      <c r="AB3" s="1477"/>
      <c r="AC3" s="1477"/>
      <c r="AD3" s="1623" t="s">
        <v>1522</v>
      </c>
      <c r="AE3" s="1624"/>
      <c r="AF3" s="1624"/>
      <c r="AG3" s="1624"/>
      <c r="AH3" s="1624"/>
      <c r="AI3" s="1624"/>
      <c r="AJ3" s="1624"/>
      <c r="AK3" s="1624"/>
      <c r="AL3" s="1625"/>
    </row>
    <row r="4" spans="1:38">
      <c r="B4" s="1640"/>
      <c r="C4" s="1637"/>
      <c r="D4" s="1569"/>
      <c r="E4" s="1568" t="s">
        <v>1515</v>
      </c>
      <c r="F4" s="1623" t="s">
        <v>1511</v>
      </c>
      <c r="G4" s="1624"/>
      <c r="H4" s="1624"/>
      <c r="I4" s="1625"/>
      <c r="J4" s="1623" t="s">
        <v>1510</v>
      </c>
      <c r="K4" s="1624"/>
      <c r="L4" s="1625"/>
      <c r="M4" s="1568" t="s">
        <v>1508</v>
      </c>
      <c r="N4" s="1569"/>
      <c r="O4" s="1568" t="s">
        <v>1516</v>
      </c>
      <c r="P4" s="1623" t="s">
        <v>1511</v>
      </c>
      <c r="Q4" s="1624"/>
      <c r="R4" s="1624"/>
      <c r="S4" s="1625"/>
      <c r="T4" s="1624" t="s">
        <v>1510</v>
      </c>
      <c r="U4" s="1624"/>
      <c r="V4" s="1625"/>
      <c r="W4" s="1568" t="s">
        <v>1508</v>
      </c>
      <c r="X4" s="1569"/>
      <c r="Y4" s="1467"/>
      <c r="Z4" s="1467"/>
      <c r="AA4" s="1467"/>
      <c r="AB4" s="1467"/>
      <c r="AC4" s="1467"/>
      <c r="AD4" s="1568" t="s">
        <v>1516</v>
      </c>
      <c r="AE4" s="1623" t="s">
        <v>1511</v>
      </c>
      <c r="AF4" s="1624"/>
      <c r="AG4" s="1624"/>
      <c r="AH4" s="1625"/>
      <c r="AI4" s="1624" t="s">
        <v>1510</v>
      </c>
      <c r="AJ4" s="1624"/>
      <c r="AK4" s="1625"/>
      <c r="AL4" s="1568" t="s">
        <v>1508</v>
      </c>
    </row>
    <row r="5" spans="1:38">
      <c r="A5" s="1637"/>
      <c r="B5" s="1640"/>
      <c r="C5" s="1637"/>
      <c r="D5" s="1569"/>
      <c r="E5" s="1569"/>
      <c r="F5" s="1478" t="s">
        <v>1507</v>
      </c>
      <c r="G5" s="1479" t="s">
        <v>1507</v>
      </c>
      <c r="H5" s="1480" t="s">
        <v>1505</v>
      </c>
      <c r="I5" s="1471" t="s">
        <v>1506</v>
      </c>
      <c r="J5" s="1478" t="s">
        <v>1507</v>
      </c>
      <c r="K5" s="1480" t="s">
        <v>1505</v>
      </c>
      <c r="L5" s="1100" t="s">
        <v>1506</v>
      </c>
      <c r="M5" s="1569"/>
      <c r="N5" s="1569"/>
      <c r="O5" s="1569"/>
      <c r="P5" s="1478" t="s">
        <v>1507</v>
      </c>
      <c r="Q5" s="1479" t="s">
        <v>1507</v>
      </c>
      <c r="R5" s="1480" t="s">
        <v>1505</v>
      </c>
      <c r="S5" s="1471" t="s">
        <v>1506</v>
      </c>
      <c r="T5" s="1481" t="s">
        <v>1507</v>
      </c>
      <c r="U5" s="1480" t="s">
        <v>1505</v>
      </c>
      <c r="V5" s="1100" t="s">
        <v>1506</v>
      </c>
      <c r="W5" s="1569"/>
      <c r="X5" s="1569"/>
      <c r="Y5" s="1467"/>
      <c r="Z5" s="1467"/>
      <c r="AA5" s="1467"/>
      <c r="AB5" s="1467"/>
      <c r="AC5" s="1467"/>
      <c r="AD5" s="1569"/>
      <c r="AE5" s="1478" t="s">
        <v>1507</v>
      </c>
      <c r="AF5" s="1479" t="s">
        <v>1507</v>
      </c>
      <c r="AG5" s="1480" t="s">
        <v>1505</v>
      </c>
      <c r="AH5" s="1471" t="s">
        <v>1506</v>
      </c>
      <c r="AI5" s="1481" t="s">
        <v>1507</v>
      </c>
      <c r="AJ5" s="1480" t="s">
        <v>1505</v>
      </c>
      <c r="AK5" s="1100" t="s">
        <v>1506</v>
      </c>
      <c r="AL5" s="1569"/>
    </row>
    <row r="6" spans="1:38" s="1487" customFormat="1">
      <c r="A6" s="1637"/>
      <c r="B6" s="1640"/>
      <c r="C6" s="1637"/>
      <c r="D6" s="1569"/>
      <c r="E6" s="1570"/>
      <c r="F6" s="1482" t="s">
        <v>1503</v>
      </c>
      <c r="G6" s="1483" t="s">
        <v>1504</v>
      </c>
      <c r="H6" s="1484" t="s">
        <v>1509</v>
      </c>
      <c r="I6" s="1390"/>
      <c r="J6" s="1482" t="s">
        <v>1503</v>
      </c>
      <c r="K6" s="1485" t="s">
        <v>1503</v>
      </c>
      <c r="L6" s="1096"/>
      <c r="M6" s="1569"/>
      <c r="N6" s="1569"/>
      <c r="O6" s="1570"/>
      <c r="P6" s="1482" t="s">
        <v>1503</v>
      </c>
      <c r="Q6" s="1483" t="s">
        <v>1504</v>
      </c>
      <c r="R6" s="1484" t="s">
        <v>1509</v>
      </c>
      <c r="S6" s="1390"/>
      <c r="T6" s="1486" t="s">
        <v>1503</v>
      </c>
      <c r="U6" s="1485" t="s">
        <v>1503</v>
      </c>
      <c r="V6" s="1096"/>
      <c r="W6" s="1569"/>
      <c r="X6" s="1570"/>
      <c r="Y6" s="1468"/>
      <c r="Z6" s="1468"/>
      <c r="AA6" s="1468"/>
      <c r="AB6" s="1468"/>
      <c r="AC6" s="1468"/>
      <c r="AD6" s="1570"/>
      <c r="AE6" s="1482" t="s">
        <v>1503</v>
      </c>
      <c r="AF6" s="1483" t="s">
        <v>1504</v>
      </c>
      <c r="AG6" s="1484" t="s">
        <v>1509</v>
      </c>
      <c r="AH6" s="1390"/>
      <c r="AI6" s="1486" t="s">
        <v>1503</v>
      </c>
      <c r="AJ6" s="1485" t="s">
        <v>1503</v>
      </c>
      <c r="AK6" s="1096"/>
      <c r="AL6" s="1570"/>
    </row>
    <row r="7" spans="1:38">
      <c r="A7" s="1024"/>
      <c r="B7" s="1094" t="s">
        <v>1429</v>
      </c>
      <c r="C7" s="1093" t="s">
        <v>1446</v>
      </c>
      <c r="D7" s="1091" t="s">
        <v>1502</v>
      </c>
      <c r="E7" s="1089">
        <f>+'雨汚水(共通按分後)'!E7-雨汚水!E7</f>
        <v>0</v>
      </c>
      <c r="F7" s="1086">
        <f>+'雨汚水(共通按分後)'!F7-雨汚水!F7</f>
        <v>-55505760</v>
      </c>
      <c r="G7" s="1123">
        <f>+'雨汚水(共通按分後)'!G7-雨汚水!G7</f>
        <v>-7657067</v>
      </c>
      <c r="H7" s="1087">
        <f>+'雨汚水(共通按分後)'!H7-雨汚水!H7</f>
        <v>9132669</v>
      </c>
      <c r="I7" s="1090">
        <f>+'雨汚水(共通按分後)'!I7-雨汚水!I7</f>
        <v>-54030158</v>
      </c>
      <c r="J7" s="1086">
        <f>+'雨汚水(共通按分後)'!J7-雨汚水!J7</f>
        <v>0</v>
      </c>
      <c r="K7" s="1087">
        <f>+'雨汚水(共通按分後)'!K7-雨汚水!K7</f>
        <v>-44728425</v>
      </c>
      <c r="L7" s="1084">
        <f>+'雨汚水(共通按分後)'!L7-雨汚水!L7</f>
        <v>-44728425</v>
      </c>
      <c r="M7" s="1083">
        <f>+'雨汚水(共通按分後)'!M7-雨汚水!M7</f>
        <v>98758583</v>
      </c>
      <c r="N7" s="1091" t="s">
        <v>1502</v>
      </c>
      <c r="O7" s="1089">
        <f>+'雨汚水(共通按分後)'!O7-雨汚水!O7</f>
        <v>0</v>
      </c>
      <c r="P7" s="1086">
        <f>+'雨汚水(共通按分後)'!P7-雨汚水!P7</f>
        <v>-51227715</v>
      </c>
      <c r="Q7" s="1123">
        <f>+'雨汚水(共通按分後)'!Q7-雨汚水!Q7</f>
        <v>-7066907</v>
      </c>
      <c r="R7" s="1087">
        <f>+'雨汚水(共通按分後)'!R7-雨汚水!R7</f>
        <v>8428779</v>
      </c>
      <c r="S7" s="1090">
        <f>+'雨汚水(共通按分後)'!S7-雨汚水!S7</f>
        <v>-49865843</v>
      </c>
      <c r="T7" s="1086">
        <f>+'雨汚水(共通按分後)'!T7-雨汚水!T7</f>
        <v>0</v>
      </c>
      <c r="U7" s="1087">
        <f>+'雨汚水(共通按分後)'!U7-雨汚水!U7</f>
        <v>49865843</v>
      </c>
      <c r="V7" s="1084">
        <f>+'雨汚水(共通按分後)'!V7-雨汚水!V7</f>
        <v>49865843</v>
      </c>
      <c r="W7" s="1083">
        <f>+'雨汚水(共通按分後)'!W7-雨汚水!W7</f>
        <v>0</v>
      </c>
      <c r="X7" s="1091" t="s">
        <v>1502</v>
      </c>
      <c r="Y7" s="1441"/>
      <c r="Z7" s="1441"/>
      <c r="AA7" s="1441"/>
      <c r="AB7" s="1441"/>
      <c r="AC7" s="1441"/>
      <c r="AD7" s="1089">
        <f>+'雨汚水(共通按分後)'!AD7-雨汚水!AD7</f>
        <v>0</v>
      </c>
      <c r="AE7" s="1086">
        <f>+'雨汚水(共通按分後)'!AE7-雨汚水!AE7</f>
        <v>-51227715</v>
      </c>
      <c r="AF7" s="1123">
        <f>+'雨汚水(共通按分後)'!AF7-雨汚水!AF7</f>
        <v>-7066907</v>
      </c>
      <c r="AG7" s="1087">
        <f>+'雨汚水(共通按分後)'!AG7-雨汚水!AG7</f>
        <v>8428779</v>
      </c>
      <c r="AH7" s="1090">
        <f>+'雨汚水(共通按分後)'!AH7-雨汚水!AH7</f>
        <v>-49865843</v>
      </c>
      <c r="AI7" s="1086">
        <f>+'雨汚水(共通按分後)'!AI7-雨汚水!AI7</f>
        <v>0</v>
      </c>
      <c r="AJ7" s="1087">
        <f>+'雨汚水(共通按分後)'!AJ7-雨汚水!AJ7</f>
        <v>49865843</v>
      </c>
      <c r="AK7" s="1084">
        <f>+'雨汚水(共通按分後)'!AK7-雨汚水!AK7</f>
        <v>49865843</v>
      </c>
      <c r="AL7" s="1083">
        <f>+'雨汚水(共通按分後)'!AL7-雨汚水!AL7</f>
        <v>0</v>
      </c>
    </row>
    <row r="8" spans="1:38">
      <c r="A8" s="1024"/>
      <c r="B8" s="1034" t="s">
        <v>1429</v>
      </c>
      <c r="C8" s="1033" t="s">
        <v>1446</v>
      </c>
      <c r="D8" s="1031" t="s">
        <v>1499</v>
      </c>
      <c r="E8" s="1040">
        <f>+'雨汚水(共通按分後)'!E8-雨汚水!E8</f>
        <v>0</v>
      </c>
      <c r="F8" s="1028">
        <f>+'雨汚水(共通按分後)'!F8-雨汚水!F8</f>
        <v>0</v>
      </c>
      <c r="G8" s="1379">
        <f>+'雨汚水(共通按分後)'!G8-雨汚水!G8</f>
        <v>0</v>
      </c>
      <c r="H8" s="1027">
        <f>+'雨汚水(共通按分後)'!H8-雨汚水!H8</f>
        <v>0</v>
      </c>
      <c r="I8" s="1029">
        <f>+'雨汚水(共通按分後)'!I8-雨汚水!I8</f>
        <v>0</v>
      </c>
      <c r="J8" s="1028">
        <f>+'雨汚水(共通按分後)'!J8-雨汚水!J8</f>
        <v>0</v>
      </c>
      <c r="K8" s="1027">
        <f>+'雨汚水(共通按分後)'!K8-雨汚水!K8</f>
        <v>0</v>
      </c>
      <c r="L8" s="1026">
        <f>+'雨汚水(共通按分後)'!L8-雨汚水!L8</f>
        <v>0</v>
      </c>
      <c r="M8" s="1025">
        <f>+'雨汚水(共通按分後)'!M8-雨汚水!M8</f>
        <v>0</v>
      </c>
      <c r="N8" s="1031" t="s">
        <v>1499</v>
      </c>
      <c r="O8" s="1040">
        <f>+'雨汚水(共通按分後)'!O8-雨汚水!O8</f>
        <v>0</v>
      </c>
      <c r="P8" s="1028">
        <f>+'雨汚水(共通按分後)'!P8-雨汚水!P8</f>
        <v>0</v>
      </c>
      <c r="Q8" s="1379">
        <f>+'雨汚水(共通按分後)'!Q8-雨汚水!Q8</f>
        <v>0</v>
      </c>
      <c r="R8" s="1027">
        <f>+'雨汚水(共通按分後)'!R8-雨汚水!R8</f>
        <v>0</v>
      </c>
      <c r="S8" s="1029">
        <f>+'雨汚水(共通按分後)'!S8-雨汚水!S8</f>
        <v>0</v>
      </c>
      <c r="T8" s="1028">
        <f>+'雨汚水(共通按分後)'!T8-雨汚水!T8</f>
        <v>0</v>
      </c>
      <c r="U8" s="1027">
        <f>+'雨汚水(共通按分後)'!U8-雨汚水!U8</f>
        <v>0</v>
      </c>
      <c r="V8" s="1026">
        <f>+'雨汚水(共通按分後)'!V8-雨汚水!V8</f>
        <v>0</v>
      </c>
      <c r="W8" s="1025">
        <f>+'雨汚水(共通按分後)'!W8-雨汚水!W8</f>
        <v>0</v>
      </c>
      <c r="X8" s="1031" t="s">
        <v>1499</v>
      </c>
      <c r="Y8" s="1442"/>
      <c r="Z8" s="1442"/>
      <c r="AA8" s="1442"/>
      <c r="AB8" s="1442"/>
      <c r="AC8" s="1442"/>
      <c r="AD8" s="1040">
        <f>+'雨汚水(共通按分後)'!AD8-雨汚水!AD8</f>
        <v>0</v>
      </c>
      <c r="AE8" s="1028">
        <f>+'雨汚水(共通按分後)'!AE8-雨汚水!AE8</f>
        <v>0</v>
      </c>
      <c r="AF8" s="1379">
        <f>+'雨汚水(共通按分後)'!AF8-雨汚水!AF8</f>
        <v>0</v>
      </c>
      <c r="AG8" s="1027">
        <f>+'雨汚水(共通按分後)'!AG8-雨汚水!AG8</f>
        <v>0</v>
      </c>
      <c r="AH8" s="1029">
        <f>+'雨汚水(共通按分後)'!AH8-雨汚水!AH8</f>
        <v>0</v>
      </c>
      <c r="AI8" s="1028">
        <f>+'雨汚水(共通按分後)'!AI8-雨汚水!AI8</f>
        <v>0</v>
      </c>
      <c r="AJ8" s="1027">
        <f>+'雨汚水(共通按分後)'!AJ8-雨汚水!AJ8</f>
        <v>0</v>
      </c>
      <c r="AK8" s="1026">
        <f>+'雨汚水(共通按分後)'!AK8-雨汚水!AK8</f>
        <v>0</v>
      </c>
      <c r="AL8" s="1025">
        <f>+'雨汚水(共通按分後)'!AL8-雨汚水!AL8</f>
        <v>0</v>
      </c>
    </row>
    <row r="9" spans="1:38">
      <c r="A9" s="1024"/>
      <c r="B9" s="1034" t="s">
        <v>1429</v>
      </c>
      <c r="C9" s="1033" t="s">
        <v>1446</v>
      </c>
      <c r="D9" s="1031" t="s">
        <v>1496</v>
      </c>
      <c r="E9" s="1040">
        <f>+'雨汚水(共通按分後)'!E9-雨汚水!E9</f>
        <v>0</v>
      </c>
      <c r="F9" s="1028">
        <f>+'雨汚水(共通按分後)'!F9-雨汚水!F9</f>
        <v>-197523542</v>
      </c>
      <c r="G9" s="1379">
        <f>+'雨汚水(共通按分後)'!G9-雨汚水!G9</f>
        <v>-6984008</v>
      </c>
      <c r="H9" s="1027">
        <f>+'雨汚水(共通按分後)'!H9-雨汚水!H9</f>
        <v>0</v>
      </c>
      <c r="I9" s="1029">
        <f>+'雨汚水(共通按分後)'!I9-雨汚水!I9</f>
        <v>-204507550</v>
      </c>
      <c r="J9" s="1028">
        <f>+'雨汚水(共通按分後)'!J9-雨汚水!J9</f>
        <v>0</v>
      </c>
      <c r="K9" s="1027">
        <f>+'雨汚水(共通按分後)'!K9-雨汚水!K9</f>
        <v>-42742486</v>
      </c>
      <c r="L9" s="1026">
        <f>+'雨汚水(共通按分後)'!L9-雨汚水!L9</f>
        <v>-42742486</v>
      </c>
      <c r="M9" s="1025">
        <f>+'雨汚水(共通按分後)'!M9-雨汚水!M9</f>
        <v>247250036</v>
      </c>
      <c r="N9" s="1031" t="s">
        <v>1496</v>
      </c>
      <c r="O9" s="1040">
        <f>+'雨汚水(共通按分後)'!O9-雨汚水!O9</f>
        <v>0</v>
      </c>
      <c r="P9" s="1028">
        <f>+'雨汚水(共通按分後)'!P9-雨汚水!P9</f>
        <v>-188772437</v>
      </c>
      <c r="Q9" s="1379">
        <f>+'雨汚水(共通按分後)'!Q9-雨汚水!Q9</f>
        <v>-6674588</v>
      </c>
      <c r="R9" s="1027">
        <f>+'雨汚水(共通按分後)'!R9-雨汚水!R9</f>
        <v>0</v>
      </c>
      <c r="S9" s="1029">
        <f>+'雨汚水(共通按分後)'!S9-雨汚水!S9</f>
        <v>-195447025</v>
      </c>
      <c r="T9" s="1028">
        <f>+'雨汚水(共通按分後)'!T9-雨汚水!T9</f>
        <v>0</v>
      </c>
      <c r="U9" s="1027">
        <f>+'雨汚水(共通按分後)'!U9-雨汚水!U9</f>
        <v>195447025</v>
      </c>
      <c r="V9" s="1026">
        <f>+'雨汚水(共通按分後)'!V9-雨汚水!V9</f>
        <v>195447025</v>
      </c>
      <c r="W9" s="1025">
        <f>+'雨汚水(共通按分後)'!W9-雨汚水!W9</f>
        <v>0</v>
      </c>
      <c r="X9" s="1031" t="s">
        <v>1496</v>
      </c>
      <c r="Y9" s="1442"/>
      <c r="Z9" s="1442"/>
      <c r="AA9" s="1442"/>
      <c r="AB9" s="1442"/>
      <c r="AC9" s="1442"/>
      <c r="AD9" s="1040">
        <f>+'雨汚水(共通按分後)'!AD9-雨汚水!AD9</f>
        <v>0</v>
      </c>
      <c r="AE9" s="1028">
        <f>+'雨汚水(共通按分後)'!AE9-雨汚水!AE9</f>
        <v>-188772437</v>
      </c>
      <c r="AF9" s="1379">
        <f>+'雨汚水(共通按分後)'!AF9-雨汚水!AF9</f>
        <v>-6674588</v>
      </c>
      <c r="AG9" s="1027">
        <f>+'雨汚水(共通按分後)'!AG9-雨汚水!AG9</f>
        <v>0</v>
      </c>
      <c r="AH9" s="1029">
        <f>+'雨汚水(共通按分後)'!AH9-雨汚水!AH9</f>
        <v>-195447025</v>
      </c>
      <c r="AI9" s="1028">
        <f>+'雨汚水(共通按分後)'!AI9-雨汚水!AI9</f>
        <v>0</v>
      </c>
      <c r="AJ9" s="1027">
        <f>+'雨汚水(共通按分後)'!AJ9-雨汚水!AJ9</f>
        <v>195447025</v>
      </c>
      <c r="AK9" s="1026">
        <f>+'雨汚水(共通按分後)'!AK9-雨汚水!AK9</f>
        <v>195447025</v>
      </c>
      <c r="AL9" s="1025">
        <f>+'雨汚水(共通按分後)'!AL9-雨汚水!AL9</f>
        <v>0</v>
      </c>
    </row>
    <row r="10" spans="1:38">
      <c r="A10" s="1024"/>
      <c r="B10" s="1034" t="s">
        <v>1429</v>
      </c>
      <c r="C10" s="1033" t="s">
        <v>1446</v>
      </c>
      <c r="D10" s="1031" t="s">
        <v>1494</v>
      </c>
      <c r="E10" s="1040">
        <f>+'雨汚水(共通按分後)'!E10-雨汚水!E10</f>
        <v>0</v>
      </c>
      <c r="F10" s="1028">
        <f>+'雨汚水(共通按分後)'!F10-雨汚水!F10</f>
        <v>-126540806</v>
      </c>
      <c r="G10" s="1379">
        <f>+'雨汚水(共通按分後)'!G10-雨汚水!G10</f>
        <v>-29076260</v>
      </c>
      <c r="H10" s="1027">
        <f>+'雨汚水(共通按分後)'!H10-雨汚水!H10</f>
        <v>-101394297</v>
      </c>
      <c r="I10" s="1029">
        <f>+'雨汚水(共通按分後)'!I10-雨汚水!I10</f>
        <v>-257011363</v>
      </c>
      <c r="J10" s="1028">
        <f>+'雨汚水(共通按分後)'!J10-雨汚水!J10</f>
        <v>-133001422</v>
      </c>
      <c r="K10" s="1027">
        <f>+'雨汚水(共通按分後)'!K10-雨汚水!K10</f>
        <v>-844411179</v>
      </c>
      <c r="L10" s="1026">
        <f>+'雨汚水(共通按分後)'!L10-雨汚水!L10</f>
        <v>-977412601</v>
      </c>
      <c r="M10" s="1025">
        <f>+'雨汚水(共通按分後)'!M10-雨汚水!M10</f>
        <v>1234423964</v>
      </c>
      <c r="N10" s="1031" t="s">
        <v>1494</v>
      </c>
      <c r="O10" s="1040">
        <f>+'雨汚水(共通按分後)'!O10-雨汚水!O10</f>
        <v>0</v>
      </c>
      <c r="P10" s="1028">
        <f>+'雨汚水(共通按分後)'!P10-雨汚水!P10</f>
        <v>-116508670</v>
      </c>
      <c r="Q10" s="1379">
        <f>+'雨汚水(共通按分後)'!Q10-雨汚水!Q10</f>
        <v>-26771099</v>
      </c>
      <c r="R10" s="1027">
        <f>+'雨汚水(共通按分後)'!R10-雨汚水!R10</f>
        <v>-93355772</v>
      </c>
      <c r="S10" s="1029">
        <f>+'雨汚水(共通按分後)'!S10-雨汚水!S10</f>
        <v>-236635541</v>
      </c>
      <c r="T10" s="1028">
        <f>+'雨汚水(共通按分後)'!T10-雨汚水!T10</f>
        <v>-122457089</v>
      </c>
      <c r="U10" s="1027">
        <f>+'雨汚水(共通按分後)'!U10-雨汚水!U10</f>
        <v>359092630</v>
      </c>
      <c r="V10" s="1026">
        <f>+'雨汚水(共通按分後)'!V10-雨汚水!V10</f>
        <v>236635541</v>
      </c>
      <c r="W10" s="1025">
        <f>+'雨汚水(共通按分後)'!W10-雨汚水!W10</f>
        <v>0</v>
      </c>
      <c r="X10" s="1031" t="s">
        <v>1494</v>
      </c>
      <c r="Y10" s="1442"/>
      <c r="Z10" s="1442"/>
      <c r="AA10" s="1442"/>
      <c r="AB10" s="1442"/>
      <c r="AC10" s="1442"/>
      <c r="AD10" s="1040">
        <f>+'雨汚水(共通按分後)'!AD10-雨汚水!AD10</f>
        <v>0</v>
      </c>
      <c r="AE10" s="1028">
        <f>+'雨汚水(共通按分後)'!AE10-雨汚水!AE10</f>
        <v>-116508670</v>
      </c>
      <c r="AF10" s="1379">
        <f>+'雨汚水(共通按分後)'!AF10-雨汚水!AF10</f>
        <v>-26771099</v>
      </c>
      <c r="AG10" s="1027">
        <f>+'雨汚水(共通按分後)'!AG10-雨汚水!AG10</f>
        <v>-93355772</v>
      </c>
      <c r="AH10" s="1029">
        <f>+'雨汚水(共通按分後)'!AH10-雨汚水!AH10</f>
        <v>-236635541</v>
      </c>
      <c r="AI10" s="1028">
        <f>+'雨汚水(共通按分後)'!AI10-雨汚水!AI10</f>
        <v>-122457089</v>
      </c>
      <c r="AJ10" s="1027">
        <f>+'雨汚水(共通按分後)'!AJ10-雨汚水!AJ10</f>
        <v>359092630</v>
      </c>
      <c r="AK10" s="1026">
        <f>+'雨汚水(共通按分後)'!AK10-雨汚水!AK10</f>
        <v>236635541</v>
      </c>
      <c r="AL10" s="1025">
        <f>+'雨汚水(共通按分後)'!AL10-雨汚水!AL10</f>
        <v>0</v>
      </c>
    </row>
    <row r="11" spans="1:38">
      <c r="A11" s="1024"/>
      <c r="B11" s="1034" t="s">
        <v>1429</v>
      </c>
      <c r="C11" s="1033" t="s">
        <v>1446</v>
      </c>
      <c r="D11" s="1031" t="s">
        <v>1492</v>
      </c>
      <c r="E11" s="1040">
        <f>+'雨汚水(共通按分後)'!E11-雨汚水!E11</f>
        <v>0</v>
      </c>
      <c r="F11" s="1028">
        <f>+'雨汚水(共通按分後)'!F11-雨汚水!F11</f>
        <v>0</v>
      </c>
      <c r="G11" s="1379">
        <f>+'雨汚水(共通按分後)'!G11-雨汚水!G11</f>
        <v>0</v>
      </c>
      <c r="H11" s="1027">
        <f>+'雨汚水(共通按分後)'!H11-雨汚水!H11</f>
        <v>0</v>
      </c>
      <c r="I11" s="1029">
        <f>+'雨汚水(共通按分後)'!I11-雨汚水!I11</f>
        <v>0</v>
      </c>
      <c r="J11" s="1028">
        <f>+'雨汚水(共通按分後)'!J11-雨汚水!J11</f>
        <v>0</v>
      </c>
      <c r="K11" s="1027">
        <f>+'雨汚水(共通按分後)'!K11-雨汚水!K11</f>
        <v>0</v>
      </c>
      <c r="L11" s="1026">
        <f>+'雨汚水(共通按分後)'!L11-雨汚水!L11</f>
        <v>0</v>
      </c>
      <c r="M11" s="1025">
        <f>+'雨汚水(共通按分後)'!M11-雨汚水!M11</f>
        <v>0</v>
      </c>
      <c r="N11" s="1031" t="s">
        <v>1492</v>
      </c>
      <c r="O11" s="1040">
        <f>+'雨汚水(共通按分後)'!O11-雨汚水!O11</f>
        <v>0</v>
      </c>
      <c r="P11" s="1028">
        <f>+'雨汚水(共通按分後)'!P11-雨汚水!P11</f>
        <v>0</v>
      </c>
      <c r="Q11" s="1379">
        <f>+'雨汚水(共通按分後)'!Q11-雨汚水!Q11</f>
        <v>0</v>
      </c>
      <c r="R11" s="1027">
        <f>+'雨汚水(共通按分後)'!R11-雨汚水!R11</f>
        <v>0</v>
      </c>
      <c r="S11" s="1029">
        <f>+'雨汚水(共通按分後)'!S11-雨汚水!S11</f>
        <v>0</v>
      </c>
      <c r="T11" s="1028">
        <f>+'雨汚水(共通按分後)'!T11-雨汚水!T11</f>
        <v>0</v>
      </c>
      <c r="U11" s="1027">
        <f>+'雨汚水(共通按分後)'!U11-雨汚水!U11</f>
        <v>0</v>
      </c>
      <c r="V11" s="1026">
        <f>+'雨汚水(共通按分後)'!V11-雨汚水!V11</f>
        <v>0</v>
      </c>
      <c r="W11" s="1025">
        <f>+'雨汚水(共通按分後)'!W11-雨汚水!W11</f>
        <v>0</v>
      </c>
      <c r="X11" s="1031" t="s">
        <v>1492</v>
      </c>
      <c r="Y11" s="1442"/>
      <c r="Z11" s="1442"/>
      <c r="AA11" s="1442"/>
      <c r="AB11" s="1442"/>
      <c r="AC11" s="1442"/>
      <c r="AD11" s="1040">
        <f>+'雨汚水(共通按分後)'!AD11-雨汚水!AD11</f>
        <v>0</v>
      </c>
      <c r="AE11" s="1028">
        <f>+'雨汚水(共通按分後)'!AE11-雨汚水!AE11</f>
        <v>0</v>
      </c>
      <c r="AF11" s="1379">
        <f>+'雨汚水(共通按分後)'!AF11-雨汚水!AF11</f>
        <v>0</v>
      </c>
      <c r="AG11" s="1027">
        <f>+'雨汚水(共通按分後)'!AG11-雨汚水!AG11</f>
        <v>0</v>
      </c>
      <c r="AH11" s="1029">
        <f>+'雨汚水(共通按分後)'!AH11-雨汚水!AH11</f>
        <v>0</v>
      </c>
      <c r="AI11" s="1028">
        <f>+'雨汚水(共通按分後)'!AI11-雨汚水!AI11</f>
        <v>0</v>
      </c>
      <c r="AJ11" s="1027">
        <f>+'雨汚水(共通按分後)'!AJ11-雨汚水!AJ11</f>
        <v>0</v>
      </c>
      <c r="AK11" s="1026">
        <f>+'雨汚水(共通按分後)'!AK11-雨汚水!AK11</f>
        <v>0</v>
      </c>
      <c r="AL11" s="1025">
        <f>+'雨汚水(共通按分後)'!AL11-雨汚水!AL11</f>
        <v>0</v>
      </c>
    </row>
    <row r="12" spans="1:38">
      <c r="A12" s="1024"/>
      <c r="B12" s="1034" t="s">
        <v>1429</v>
      </c>
      <c r="C12" s="1033" t="s">
        <v>1446</v>
      </c>
      <c r="D12" s="1031" t="s">
        <v>1490</v>
      </c>
      <c r="E12" s="1040">
        <f>+'雨汚水(共通按分後)'!E12-雨汚水!E12</f>
        <v>0</v>
      </c>
      <c r="F12" s="1028">
        <f>+'雨汚水(共通按分後)'!F12-雨汚水!F12</f>
        <v>0</v>
      </c>
      <c r="G12" s="1379">
        <f>+'雨汚水(共通按分後)'!G12-雨汚水!G12</f>
        <v>0</v>
      </c>
      <c r="H12" s="1027">
        <f>+'雨汚水(共通按分後)'!H12-雨汚水!H12</f>
        <v>19274556</v>
      </c>
      <c r="I12" s="1029">
        <f>+'雨汚水(共通按分後)'!I12-雨汚水!I12</f>
        <v>19274556</v>
      </c>
      <c r="J12" s="1028">
        <f>+'雨汚水(共通按分後)'!J12-雨汚水!J12</f>
        <v>-9637278</v>
      </c>
      <c r="K12" s="1027">
        <f>+'雨汚水(共通按分後)'!K12-雨汚水!K12</f>
        <v>-9637278</v>
      </c>
      <c r="L12" s="1026">
        <f>+'雨汚水(共通按分後)'!L12-雨汚水!L12</f>
        <v>-19274556</v>
      </c>
      <c r="M12" s="1025">
        <f>+'雨汚水(共通按分後)'!M12-雨汚水!M12</f>
        <v>0</v>
      </c>
      <c r="N12" s="1031" t="s">
        <v>1490</v>
      </c>
      <c r="O12" s="1040">
        <f>+'雨汚水(共通按分後)'!O12-雨汚水!O12</f>
        <v>0</v>
      </c>
      <c r="P12" s="1028">
        <f>+'雨汚水(共通按分後)'!P12-雨汚水!P12</f>
        <v>0</v>
      </c>
      <c r="Q12" s="1379">
        <f>+'雨汚水(共通按分後)'!Q12-雨汚水!Q12</f>
        <v>0</v>
      </c>
      <c r="R12" s="1027">
        <f>+'雨汚水(共通按分後)'!R12-雨汚水!R12</f>
        <v>19274556</v>
      </c>
      <c r="S12" s="1029">
        <f>+'雨汚水(共通按分後)'!S12-雨汚水!S12</f>
        <v>19274556</v>
      </c>
      <c r="T12" s="1028">
        <f>+'雨汚水(共通按分後)'!T12-雨汚水!T12</f>
        <v>-9637278</v>
      </c>
      <c r="U12" s="1027">
        <f>+'雨汚水(共通按分後)'!U12-雨汚水!U12</f>
        <v>-9637278</v>
      </c>
      <c r="V12" s="1026">
        <f>+'雨汚水(共通按分後)'!V12-雨汚水!V12</f>
        <v>-19274556</v>
      </c>
      <c r="W12" s="1025">
        <f>+'雨汚水(共通按分後)'!W12-雨汚水!W12</f>
        <v>0</v>
      </c>
      <c r="X12" s="1031" t="s">
        <v>1490</v>
      </c>
      <c r="Y12" s="1442"/>
      <c r="Z12" s="1442"/>
      <c r="AA12" s="1442"/>
      <c r="AB12" s="1442"/>
      <c r="AC12" s="1442"/>
      <c r="AD12" s="1040">
        <f>+'雨汚水(共通按分後)'!AD12-雨汚水!AD12</f>
        <v>0</v>
      </c>
      <c r="AE12" s="1028">
        <f>+'雨汚水(共通按分後)'!AE12-雨汚水!AE12</f>
        <v>0</v>
      </c>
      <c r="AF12" s="1379">
        <f>+'雨汚水(共通按分後)'!AF12-雨汚水!AF12</f>
        <v>0</v>
      </c>
      <c r="AG12" s="1027">
        <f>+'雨汚水(共通按分後)'!AG12-雨汚水!AG12</f>
        <v>19274556</v>
      </c>
      <c r="AH12" s="1029">
        <f>+'雨汚水(共通按分後)'!AH12-雨汚水!AH12</f>
        <v>19274556</v>
      </c>
      <c r="AI12" s="1028">
        <f>+'雨汚水(共通按分後)'!AI12-雨汚水!AI12</f>
        <v>-9637278</v>
      </c>
      <c r="AJ12" s="1027">
        <f>+'雨汚水(共通按分後)'!AJ12-雨汚水!AJ12</f>
        <v>-9637278</v>
      </c>
      <c r="AK12" s="1026">
        <f>+'雨汚水(共通按分後)'!AK12-雨汚水!AK12</f>
        <v>-19274556</v>
      </c>
      <c r="AL12" s="1025">
        <f>+'雨汚水(共通按分後)'!AL12-雨汚水!AL12</f>
        <v>0</v>
      </c>
    </row>
    <row r="13" spans="1:38">
      <c r="A13" s="1024"/>
      <c r="B13" s="1034" t="s">
        <v>1429</v>
      </c>
      <c r="C13" s="1033" t="s">
        <v>1446</v>
      </c>
      <c r="D13" s="1031" t="s">
        <v>1487</v>
      </c>
      <c r="E13" s="1040">
        <f>+'雨汚水(共通按分後)'!E13-雨汚水!E13</f>
        <v>0</v>
      </c>
      <c r="F13" s="1028">
        <f>+'雨汚水(共通按分後)'!F13-雨汚水!F13</f>
        <v>0</v>
      </c>
      <c r="G13" s="1379">
        <f>+'雨汚水(共通按分後)'!G13-雨汚水!G13</f>
        <v>0</v>
      </c>
      <c r="H13" s="1027">
        <f>+'雨汚水(共通按分後)'!H13-雨汚水!H13</f>
        <v>0</v>
      </c>
      <c r="I13" s="1029">
        <f>+'雨汚水(共通按分後)'!I13-雨汚水!I13</f>
        <v>0</v>
      </c>
      <c r="J13" s="1028">
        <f>+'雨汚水(共通按分後)'!J13-雨汚水!J13</f>
        <v>0</v>
      </c>
      <c r="K13" s="1027">
        <f>+'雨汚水(共通按分後)'!K13-雨汚水!K13</f>
        <v>0</v>
      </c>
      <c r="L13" s="1026">
        <f>+'雨汚水(共通按分後)'!L13-雨汚水!L13</f>
        <v>0</v>
      </c>
      <c r="M13" s="1025">
        <f>+'雨汚水(共通按分後)'!M13-雨汚水!M13</f>
        <v>0</v>
      </c>
      <c r="N13" s="1031" t="s">
        <v>1487</v>
      </c>
      <c r="O13" s="1040">
        <f>+'雨汚水(共通按分後)'!O13-雨汚水!O13</f>
        <v>0</v>
      </c>
      <c r="P13" s="1028">
        <f>+'雨汚水(共通按分後)'!P13-雨汚水!P13</f>
        <v>0</v>
      </c>
      <c r="Q13" s="1379">
        <f>+'雨汚水(共通按分後)'!Q13-雨汚水!Q13</f>
        <v>0</v>
      </c>
      <c r="R13" s="1027">
        <f>+'雨汚水(共通按分後)'!R13-雨汚水!R13</f>
        <v>0</v>
      </c>
      <c r="S13" s="1029">
        <f>+'雨汚水(共通按分後)'!S13-雨汚水!S13</f>
        <v>0</v>
      </c>
      <c r="T13" s="1028">
        <f>+'雨汚水(共通按分後)'!T13-雨汚水!T13</f>
        <v>0</v>
      </c>
      <c r="U13" s="1027">
        <f>+'雨汚水(共通按分後)'!U13-雨汚水!U13</f>
        <v>0</v>
      </c>
      <c r="V13" s="1026">
        <f>+'雨汚水(共通按分後)'!V13-雨汚水!V13</f>
        <v>0</v>
      </c>
      <c r="W13" s="1025">
        <f>+'雨汚水(共通按分後)'!W13-雨汚水!W13</f>
        <v>0</v>
      </c>
      <c r="X13" s="1031" t="s">
        <v>1487</v>
      </c>
      <c r="Y13" s="1442"/>
      <c r="Z13" s="1442"/>
      <c r="AA13" s="1442"/>
      <c r="AB13" s="1442"/>
      <c r="AC13" s="1442"/>
      <c r="AD13" s="1040">
        <f>+'雨汚水(共通按分後)'!AD13-雨汚水!AD13</f>
        <v>0</v>
      </c>
      <c r="AE13" s="1028">
        <f>+'雨汚水(共通按分後)'!AE13-雨汚水!AE13</f>
        <v>0</v>
      </c>
      <c r="AF13" s="1379">
        <f>+'雨汚水(共通按分後)'!AF13-雨汚水!AF13</f>
        <v>0</v>
      </c>
      <c r="AG13" s="1027">
        <f>+'雨汚水(共通按分後)'!AG13-雨汚水!AG13</f>
        <v>0</v>
      </c>
      <c r="AH13" s="1029">
        <f>+'雨汚水(共通按分後)'!AH13-雨汚水!AH13</f>
        <v>0</v>
      </c>
      <c r="AI13" s="1028">
        <f>+'雨汚水(共通按分後)'!AI13-雨汚水!AI13</f>
        <v>0</v>
      </c>
      <c r="AJ13" s="1027">
        <f>+'雨汚水(共通按分後)'!AJ13-雨汚水!AJ13</f>
        <v>0</v>
      </c>
      <c r="AK13" s="1026">
        <f>+'雨汚水(共通按分後)'!AK13-雨汚水!AK13</f>
        <v>0</v>
      </c>
      <c r="AL13" s="1025">
        <f>+'雨汚水(共通按分後)'!AL13-雨汚水!AL13</f>
        <v>0</v>
      </c>
    </row>
    <row r="14" spans="1:38">
      <c r="A14" s="1024"/>
      <c r="B14" s="1034" t="s">
        <v>1429</v>
      </c>
      <c r="C14" s="1033" t="s">
        <v>1446</v>
      </c>
      <c r="D14" s="1031" t="s">
        <v>1485</v>
      </c>
      <c r="E14" s="1040">
        <f>+'雨汚水(共通按分後)'!E14-雨汚水!E14</f>
        <v>0</v>
      </c>
      <c r="F14" s="1028">
        <f>+'雨汚水(共通按分後)'!F14-雨汚水!F14</f>
        <v>0</v>
      </c>
      <c r="G14" s="1379">
        <f>+'雨汚水(共通按分後)'!G14-雨汚水!G14</f>
        <v>0</v>
      </c>
      <c r="H14" s="1027">
        <f>+'雨汚水(共通按分後)'!H14-雨汚水!H14</f>
        <v>4521799</v>
      </c>
      <c r="I14" s="1029">
        <f>+'雨汚水(共通按分後)'!I14-雨汚水!I14</f>
        <v>4521799</v>
      </c>
      <c r="J14" s="1028">
        <f>+'雨汚水(共通按分後)'!J14-雨汚水!J14</f>
        <v>0</v>
      </c>
      <c r="K14" s="1027">
        <f>+'雨汚水(共通按分後)'!K14-雨汚水!K14</f>
        <v>-4521799</v>
      </c>
      <c r="L14" s="1026">
        <f>+'雨汚水(共通按分後)'!L14-雨汚水!L14</f>
        <v>-4521799</v>
      </c>
      <c r="M14" s="1025">
        <f>+'雨汚水(共通按分後)'!M14-雨汚水!M14</f>
        <v>0</v>
      </c>
      <c r="N14" s="1031" t="s">
        <v>1485</v>
      </c>
      <c r="O14" s="1040">
        <f>+'雨汚水(共通按分後)'!O14-雨汚水!O14</f>
        <v>0</v>
      </c>
      <c r="P14" s="1028">
        <f>+'雨汚水(共通按分後)'!P14-雨汚水!P14</f>
        <v>0</v>
      </c>
      <c r="Q14" s="1379">
        <f>+'雨汚水(共通按分後)'!Q14-雨汚水!Q14</f>
        <v>0</v>
      </c>
      <c r="R14" s="1027">
        <f>+'雨汚水(共通按分後)'!R14-雨汚水!R14</f>
        <v>4513095</v>
      </c>
      <c r="S14" s="1029">
        <f>+'雨汚水(共通按分後)'!S14-雨汚水!S14</f>
        <v>4513095</v>
      </c>
      <c r="T14" s="1028">
        <f>+'雨汚水(共通按分後)'!T14-雨汚水!T14</f>
        <v>0</v>
      </c>
      <c r="U14" s="1027">
        <f>+'雨汚水(共通按分後)'!U14-雨汚水!U14</f>
        <v>-4513095</v>
      </c>
      <c r="V14" s="1026">
        <f>+'雨汚水(共通按分後)'!V14-雨汚水!V14</f>
        <v>-4513095</v>
      </c>
      <c r="W14" s="1025">
        <f>+'雨汚水(共通按分後)'!W14-雨汚水!W14</f>
        <v>0</v>
      </c>
      <c r="X14" s="1031" t="s">
        <v>1485</v>
      </c>
      <c r="Y14" s="1442"/>
      <c r="Z14" s="1442"/>
      <c r="AA14" s="1442"/>
      <c r="AB14" s="1442"/>
      <c r="AC14" s="1442"/>
      <c r="AD14" s="1040">
        <f>+'雨汚水(共通按分後)'!AD14-雨汚水!AD14</f>
        <v>0</v>
      </c>
      <c r="AE14" s="1028">
        <f>+'雨汚水(共通按分後)'!AE14-雨汚水!AE14</f>
        <v>0</v>
      </c>
      <c r="AF14" s="1379">
        <f>+'雨汚水(共通按分後)'!AF14-雨汚水!AF14</f>
        <v>0</v>
      </c>
      <c r="AG14" s="1027">
        <f>+'雨汚水(共通按分後)'!AG14-雨汚水!AG14</f>
        <v>4513095</v>
      </c>
      <c r="AH14" s="1029">
        <f>+'雨汚水(共通按分後)'!AH14-雨汚水!AH14</f>
        <v>4513095</v>
      </c>
      <c r="AI14" s="1028">
        <f>+'雨汚水(共通按分後)'!AI14-雨汚水!AI14</f>
        <v>0</v>
      </c>
      <c r="AJ14" s="1027">
        <f>+'雨汚水(共通按分後)'!AJ14-雨汚水!AJ14</f>
        <v>-4513095</v>
      </c>
      <c r="AK14" s="1026">
        <f>+'雨汚水(共通按分後)'!AK14-雨汚水!AK14</f>
        <v>-4513095</v>
      </c>
      <c r="AL14" s="1025">
        <f>+'雨汚水(共通按分後)'!AL14-雨汚水!AL14</f>
        <v>0</v>
      </c>
    </row>
    <row r="15" spans="1:38">
      <c r="A15" s="1024"/>
      <c r="B15" s="1034" t="s">
        <v>1429</v>
      </c>
      <c r="C15" s="1033" t="s">
        <v>1446</v>
      </c>
      <c r="D15" s="1031" t="s">
        <v>1483</v>
      </c>
      <c r="E15" s="1040">
        <f>+'雨汚水(共通按分後)'!E15-雨汚水!E15</f>
        <v>431017368</v>
      </c>
      <c r="F15" s="1040">
        <f>+'雨汚水(共通按分後)'!F15-雨汚水!F15</f>
        <v>-124319036</v>
      </c>
      <c r="G15" s="1379">
        <f>+'雨汚水(共通按分後)'!G15-雨汚水!G15</f>
        <v>-11865785</v>
      </c>
      <c r="H15" s="1027">
        <f>+'雨汚水(共通按分後)'!H15-雨汚水!H15</f>
        <v>-7247778</v>
      </c>
      <c r="I15" s="1062">
        <f>+'雨汚水(共通按分後)'!I15-雨汚水!I15</f>
        <v>-143432599</v>
      </c>
      <c r="J15" s="1028">
        <f>+'雨汚水(共通按分後)'!J15-雨汚水!J15</f>
        <v>0</v>
      </c>
      <c r="K15" s="1027">
        <f>+'雨汚水(共通按分後)'!K15-雨汚水!K15</f>
        <v>574449967</v>
      </c>
      <c r="L15" s="1026">
        <f>+'雨汚水(共通按分後)'!L15-雨汚水!L15</f>
        <v>574449967</v>
      </c>
      <c r="M15" s="1025">
        <f>+'雨汚水(共通按分後)'!M15-雨汚水!M15</f>
        <v>0</v>
      </c>
      <c r="N15" s="1031" t="s">
        <v>1483</v>
      </c>
      <c r="O15" s="1040">
        <f>+'雨汚水(共通按分後)'!O15-雨汚水!O15</f>
        <v>392370144</v>
      </c>
      <c r="P15" s="1040">
        <f>+'雨汚水(共通按分後)'!P15-雨汚水!P15</f>
        <v>-121423708</v>
      </c>
      <c r="Q15" s="1379">
        <f>+'雨汚水(共通按分後)'!Q15-雨汚水!Q15</f>
        <v>-11411705</v>
      </c>
      <c r="R15" s="1027">
        <f>+'雨汚水(共通按分後)'!R15-雨汚水!R15</f>
        <v>-7247778</v>
      </c>
      <c r="S15" s="1062">
        <f>+'雨汚水(共通按分後)'!S15-雨汚水!S15</f>
        <v>-140083191</v>
      </c>
      <c r="T15" s="1028">
        <f>+'雨汚水(共通按分後)'!T15-雨汚水!T15</f>
        <v>0</v>
      </c>
      <c r="U15" s="1027">
        <f>+'雨汚水(共通按分後)'!U15-雨汚水!U15</f>
        <v>532453335</v>
      </c>
      <c r="V15" s="1026">
        <f>+'雨汚水(共通按分後)'!V15-雨汚水!V15</f>
        <v>532453335</v>
      </c>
      <c r="W15" s="1025">
        <f>+'雨汚水(共通按分後)'!W15-雨汚水!W15</f>
        <v>0</v>
      </c>
      <c r="X15" s="1031" t="s">
        <v>1483</v>
      </c>
      <c r="Y15" s="1442"/>
      <c r="Z15" s="1442"/>
      <c r="AA15" s="1442"/>
      <c r="AB15" s="1442"/>
      <c r="AC15" s="1442"/>
      <c r="AD15" s="1040">
        <f>+'雨汚水(共通按分後)'!AD15-雨汚水!AD15</f>
        <v>392370144</v>
      </c>
      <c r="AE15" s="1040">
        <f>+'雨汚水(共通按分後)'!AE15-雨汚水!AE15</f>
        <v>-121423708</v>
      </c>
      <c r="AF15" s="1379">
        <f>+'雨汚水(共通按分後)'!AF15-雨汚水!AF15</f>
        <v>-11411705</v>
      </c>
      <c r="AG15" s="1027">
        <f>+'雨汚水(共通按分後)'!AG15-雨汚水!AG15</f>
        <v>-7247778</v>
      </c>
      <c r="AH15" s="1062">
        <f>+'雨汚水(共通按分後)'!AH15-雨汚水!AH15</f>
        <v>-140083191</v>
      </c>
      <c r="AI15" s="1028">
        <f>+'雨汚水(共通按分後)'!AI15-雨汚水!AI15</f>
        <v>0</v>
      </c>
      <c r="AJ15" s="1027">
        <f>+'雨汚水(共通按分後)'!AJ15-雨汚水!AJ15</f>
        <v>532453335</v>
      </c>
      <c r="AK15" s="1026">
        <f>+'雨汚水(共通按分後)'!AK15-雨汚水!AK15</f>
        <v>532453335</v>
      </c>
      <c r="AL15" s="1025">
        <f>+'雨汚水(共通按分後)'!AL15-雨汚水!AL15</f>
        <v>0</v>
      </c>
    </row>
    <row r="16" spans="1:38">
      <c r="A16" s="1024"/>
      <c r="B16" s="1034" t="s">
        <v>1429</v>
      </c>
      <c r="C16" s="1033" t="s">
        <v>1446</v>
      </c>
      <c r="D16" s="1039" t="s">
        <v>1544</v>
      </c>
      <c r="E16" s="1040">
        <f>+'雨汚水(共通按分後)'!E16-雨汚水!E16</f>
        <v>-106990906</v>
      </c>
      <c r="F16" s="1028">
        <f>+'雨汚水(共通按分後)'!F16-雨汚水!F16</f>
        <v>0</v>
      </c>
      <c r="G16" s="1379">
        <f>+'雨汚水(共通按分後)'!G16-雨汚水!G16</f>
        <v>0</v>
      </c>
      <c r="H16" s="1027">
        <f>+'雨汚水(共通按分後)'!H16-雨汚水!H16</f>
        <v>0</v>
      </c>
      <c r="I16" s="1062">
        <f>+'雨汚水(共通按分後)'!I16-雨汚水!I16</f>
        <v>0</v>
      </c>
      <c r="J16" s="1028">
        <f>+'雨汚水(共通按分後)'!J16-雨汚水!J16</f>
        <v>0</v>
      </c>
      <c r="K16" s="1027">
        <f>+'雨汚水(共通按分後)'!K16-雨汚水!K16</f>
        <v>-106990906</v>
      </c>
      <c r="L16" s="1026">
        <f>+'雨汚水(共通按分後)'!L16-雨汚水!L16</f>
        <v>-106990906</v>
      </c>
      <c r="M16" s="1025">
        <f>+'雨汚水(共通按分後)'!M16-雨汚水!M16</f>
        <v>0</v>
      </c>
      <c r="N16" s="1039" t="s">
        <v>1544</v>
      </c>
      <c r="O16" s="1040">
        <f>+'雨汚水(共通按分後)'!O16-雨汚水!O16</f>
        <v>-97276922</v>
      </c>
      <c r="P16" s="1028">
        <f>+'雨汚水(共通按分後)'!P16-雨汚水!P16</f>
        <v>0</v>
      </c>
      <c r="Q16" s="1379">
        <f>+'雨汚水(共通按分後)'!Q16-雨汚水!Q16</f>
        <v>0</v>
      </c>
      <c r="R16" s="1027">
        <f>+'雨汚水(共通按分後)'!R16-雨汚水!R16</f>
        <v>0</v>
      </c>
      <c r="S16" s="1062">
        <f>+'雨汚水(共通按分後)'!S16-雨汚水!S16</f>
        <v>0</v>
      </c>
      <c r="T16" s="1028">
        <f>+'雨汚水(共通按分後)'!T16-雨汚水!T16</f>
        <v>0</v>
      </c>
      <c r="U16" s="1027">
        <f>+'雨汚水(共通按分後)'!U16-雨汚水!U16</f>
        <v>-97276922</v>
      </c>
      <c r="V16" s="1026">
        <f>+'雨汚水(共通按分後)'!V16-雨汚水!V16</f>
        <v>-97276922</v>
      </c>
      <c r="W16" s="1025">
        <f>+'雨汚水(共通按分後)'!W16-雨汚水!W16</f>
        <v>0</v>
      </c>
      <c r="X16" s="1031" t="s">
        <v>1480</v>
      </c>
      <c r="Y16" s="1442"/>
      <c r="Z16" s="1442"/>
      <c r="AA16" s="1442"/>
      <c r="AB16" s="1442"/>
      <c r="AC16" s="1442"/>
      <c r="AD16" s="1040">
        <f>+'雨汚水(共通按分後)'!AD16-雨汚水!AD16</f>
        <v>-97276922</v>
      </c>
      <c r="AE16" s="1028">
        <f>+'雨汚水(共通按分後)'!AE16-雨汚水!AE16</f>
        <v>0</v>
      </c>
      <c r="AF16" s="1379">
        <f>+'雨汚水(共通按分後)'!AF16-雨汚水!AF16</f>
        <v>0</v>
      </c>
      <c r="AG16" s="1027">
        <f>+'雨汚水(共通按分後)'!AG16-雨汚水!AG16</f>
        <v>0</v>
      </c>
      <c r="AH16" s="1062">
        <f>+'雨汚水(共通按分後)'!AH16-雨汚水!AH16</f>
        <v>0</v>
      </c>
      <c r="AI16" s="1028">
        <f>+'雨汚水(共通按分後)'!AI16-雨汚水!AI16</f>
        <v>0</v>
      </c>
      <c r="AJ16" s="1027">
        <f>+'雨汚水(共通按分後)'!AJ16-雨汚水!AJ16</f>
        <v>-97276922</v>
      </c>
      <c r="AK16" s="1026">
        <f>+'雨汚水(共通按分後)'!AK16-雨汚水!AK16</f>
        <v>-97276922</v>
      </c>
      <c r="AL16" s="1025">
        <f>+'雨汚水(共通按分後)'!AL16-雨汚水!AL16</f>
        <v>0</v>
      </c>
    </row>
    <row r="17" spans="1:38">
      <c r="A17" s="1024"/>
      <c r="B17" s="1034" t="s">
        <v>1429</v>
      </c>
      <c r="C17" s="1033" t="s">
        <v>1446</v>
      </c>
      <c r="D17" s="1039" t="s">
        <v>1543</v>
      </c>
      <c r="E17" s="1040">
        <f>+'雨汚水(共通按分後)'!E17-雨汚水!E17</f>
        <v>-247654024</v>
      </c>
      <c r="F17" s="1028">
        <f>+'雨汚水(共通按分後)'!F17-雨汚水!F17</f>
        <v>0</v>
      </c>
      <c r="G17" s="1379">
        <f>+'雨汚水(共通按分後)'!G17-雨汚水!G17</f>
        <v>0</v>
      </c>
      <c r="H17" s="1027">
        <f>+'雨汚水(共通按分後)'!H17-雨汚水!H17</f>
        <v>0</v>
      </c>
      <c r="I17" s="1062">
        <f>+'雨汚水(共通按分後)'!I17-雨汚水!I17</f>
        <v>0</v>
      </c>
      <c r="J17" s="1028">
        <f>+'雨汚水(共通按分後)'!J17-雨汚水!J17</f>
        <v>0</v>
      </c>
      <c r="K17" s="1027">
        <f>+'雨汚水(共通按分後)'!K17-雨汚水!K17</f>
        <v>-247654024</v>
      </c>
      <c r="L17" s="1026">
        <f>+'雨汚水(共通按分後)'!L17-雨汚水!L17</f>
        <v>-247654024</v>
      </c>
      <c r="M17" s="1025">
        <f>+'雨汚水(共通按分後)'!M17-雨汚水!M17</f>
        <v>0</v>
      </c>
      <c r="N17" s="1039" t="s">
        <v>1543</v>
      </c>
      <c r="O17" s="1040">
        <f>+'雨汚水(共通按分後)'!O17-雨汚水!O17</f>
        <v>-225167795</v>
      </c>
      <c r="P17" s="1028">
        <f>+'雨汚水(共通按分後)'!P17-雨汚水!P17</f>
        <v>0</v>
      </c>
      <c r="Q17" s="1379">
        <f>+'雨汚水(共通按分後)'!Q17-雨汚水!Q17</f>
        <v>0</v>
      </c>
      <c r="R17" s="1027">
        <f>+'雨汚水(共通按分後)'!R17-雨汚水!R17</f>
        <v>0</v>
      </c>
      <c r="S17" s="1062">
        <f>+'雨汚水(共通按分後)'!S17-雨汚水!S17</f>
        <v>0</v>
      </c>
      <c r="T17" s="1028">
        <f>+'雨汚水(共通按分後)'!T17-雨汚水!T17</f>
        <v>0</v>
      </c>
      <c r="U17" s="1027">
        <f>+'雨汚水(共通按分後)'!U17-雨汚水!U17</f>
        <v>-225167795</v>
      </c>
      <c r="V17" s="1026">
        <f>+'雨汚水(共通按分後)'!V17-雨汚水!V17</f>
        <v>-225167795</v>
      </c>
      <c r="W17" s="1025">
        <f>+'雨汚水(共通按分後)'!W17-雨汚水!W17</f>
        <v>0</v>
      </c>
      <c r="X17" s="1031" t="s">
        <v>1478</v>
      </c>
      <c r="Y17" s="1442"/>
      <c r="Z17" s="1442"/>
      <c r="AA17" s="1442"/>
      <c r="AB17" s="1442"/>
      <c r="AC17" s="1442"/>
      <c r="AD17" s="1040">
        <f>+'雨汚水(共通按分後)'!AD17-雨汚水!AD17</f>
        <v>-225167795</v>
      </c>
      <c r="AE17" s="1028">
        <f>+'雨汚水(共通按分後)'!AE17-雨汚水!AE17</f>
        <v>0</v>
      </c>
      <c r="AF17" s="1379">
        <f>+'雨汚水(共通按分後)'!AF17-雨汚水!AF17</f>
        <v>0</v>
      </c>
      <c r="AG17" s="1027">
        <f>+'雨汚水(共通按分後)'!AG17-雨汚水!AG17</f>
        <v>0</v>
      </c>
      <c r="AH17" s="1062">
        <f>+'雨汚水(共通按分後)'!AH17-雨汚水!AH17</f>
        <v>0</v>
      </c>
      <c r="AI17" s="1028">
        <f>+'雨汚水(共通按分後)'!AI17-雨汚水!AI17</f>
        <v>0</v>
      </c>
      <c r="AJ17" s="1027">
        <f>+'雨汚水(共通按分後)'!AJ17-雨汚水!AJ17</f>
        <v>-225167795</v>
      </c>
      <c r="AK17" s="1026">
        <f>+'雨汚水(共通按分後)'!AK17-雨汚水!AK17</f>
        <v>-225167795</v>
      </c>
      <c r="AL17" s="1025">
        <f>+'雨汚水(共通按分後)'!AL17-雨汚水!AL17</f>
        <v>0</v>
      </c>
    </row>
    <row r="18" spans="1:38">
      <c r="A18" s="1024"/>
      <c r="B18" s="1034" t="s">
        <v>1429</v>
      </c>
      <c r="C18" s="1033" t="s">
        <v>1446</v>
      </c>
      <c r="D18" s="1031" t="s">
        <v>1476</v>
      </c>
      <c r="E18" s="1040">
        <f>+'雨汚水(共通按分後)'!E18-雨汚水!E18</f>
        <v>-76388330</v>
      </c>
      <c r="F18" s="1028">
        <f>+'雨汚水(共通按分後)'!F18-雨汚水!F18</f>
        <v>0</v>
      </c>
      <c r="G18" s="1379">
        <f>+'雨汚水(共通按分後)'!G18-雨汚水!G18</f>
        <v>0</v>
      </c>
      <c r="H18" s="1027">
        <f>+'雨汚水(共通按分後)'!H18-雨汚水!H18</f>
        <v>0</v>
      </c>
      <c r="I18" s="1029">
        <f>+'雨汚水(共通按分後)'!I18-雨汚水!I18</f>
        <v>0</v>
      </c>
      <c r="J18" s="1028">
        <f>+'雨汚水(共通按分後)'!J18-雨汚水!J18</f>
        <v>0</v>
      </c>
      <c r="K18" s="1027">
        <f>+'雨汚水(共通按分後)'!K18-雨汚水!K18</f>
        <v>-76388330</v>
      </c>
      <c r="L18" s="1026">
        <f>+'雨汚水(共通按分後)'!L18-雨汚水!L18</f>
        <v>-76388330</v>
      </c>
      <c r="M18" s="1025">
        <f>+'雨汚水(共通按分後)'!M18-雨汚水!M18</f>
        <v>0</v>
      </c>
      <c r="N18" s="1031" t="s">
        <v>1476</v>
      </c>
      <c r="O18" s="1040">
        <f>+'雨汚水(共通按分後)'!O18-雨汚水!O18</f>
        <v>-69941329</v>
      </c>
      <c r="P18" s="1028">
        <f>+'雨汚水(共通按分後)'!P18-雨汚水!P18</f>
        <v>0</v>
      </c>
      <c r="Q18" s="1379">
        <f>+'雨汚水(共通按分後)'!Q18-雨汚水!Q18</f>
        <v>0</v>
      </c>
      <c r="R18" s="1027">
        <f>+'雨汚水(共通按分後)'!R18-雨汚水!R18</f>
        <v>0</v>
      </c>
      <c r="S18" s="1029">
        <f>+'雨汚水(共通按分後)'!S18-雨汚水!S18</f>
        <v>0</v>
      </c>
      <c r="T18" s="1028">
        <f>+'雨汚水(共通按分後)'!T18-雨汚水!T18</f>
        <v>0</v>
      </c>
      <c r="U18" s="1027">
        <f>+'雨汚水(共通按分後)'!U18-雨汚水!U18</f>
        <v>-69941329</v>
      </c>
      <c r="V18" s="1026">
        <f>+'雨汚水(共通按分後)'!V18-雨汚水!V18</f>
        <v>-69941329</v>
      </c>
      <c r="W18" s="1025">
        <f>+'雨汚水(共通按分後)'!W18-雨汚水!W18</f>
        <v>0</v>
      </c>
      <c r="X18" s="1031" t="s">
        <v>1476</v>
      </c>
      <c r="Y18" s="1442"/>
      <c r="Z18" s="1442"/>
      <c r="AA18" s="1442"/>
      <c r="AB18" s="1442"/>
      <c r="AC18" s="1442"/>
      <c r="AD18" s="1040">
        <f>+'雨汚水(共通按分後)'!AD18-雨汚水!AD18</f>
        <v>-69941329</v>
      </c>
      <c r="AE18" s="1028">
        <f>+'雨汚水(共通按分後)'!AE18-雨汚水!AE18</f>
        <v>0</v>
      </c>
      <c r="AF18" s="1379">
        <f>+'雨汚水(共通按分後)'!AF18-雨汚水!AF18</f>
        <v>0</v>
      </c>
      <c r="AG18" s="1027">
        <f>+'雨汚水(共通按分後)'!AG18-雨汚水!AG18</f>
        <v>0</v>
      </c>
      <c r="AH18" s="1029">
        <f>+'雨汚水(共通按分後)'!AH18-雨汚水!AH18</f>
        <v>0</v>
      </c>
      <c r="AI18" s="1028">
        <f>+'雨汚水(共通按分後)'!AI18-雨汚水!AI18</f>
        <v>0</v>
      </c>
      <c r="AJ18" s="1027">
        <f>+'雨汚水(共通按分後)'!AJ18-雨汚水!AJ18</f>
        <v>-69941329</v>
      </c>
      <c r="AK18" s="1026">
        <f>+'雨汚水(共通按分後)'!AK18-雨汚水!AK18</f>
        <v>-69941329</v>
      </c>
      <c r="AL18" s="1025">
        <f>+'雨汚水(共通按分後)'!AL18-雨汚水!AL18</f>
        <v>0</v>
      </c>
    </row>
    <row r="19" spans="1:38">
      <c r="A19" s="1024"/>
      <c r="B19" s="1034" t="s">
        <v>1429</v>
      </c>
      <c r="C19" s="1033" t="s">
        <v>1446</v>
      </c>
      <c r="D19" s="1031" t="s">
        <v>1474</v>
      </c>
      <c r="E19" s="1040">
        <f>+'雨汚水(共通按分後)'!E19-雨汚水!E19</f>
        <v>0</v>
      </c>
      <c r="F19" s="1028">
        <f>+'雨汚水(共通按分後)'!F19-雨汚水!F19</f>
        <v>0</v>
      </c>
      <c r="G19" s="1379">
        <f>+'雨汚水(共通按分後)'!G19-雨汚水!G19</f>
        <v>0</v>
      </c>
      <c r="H19" s="1027">
        <f>+'雨汚水(共通按分後)'!H19-雨汚水!H19</f>
        <v>0</v>
      </c>
      <c r="I19" s="1029">
        <f>+'雨汚水(共通按分後)'!I19-雨汚水!I19</f>
        <v>0</v>
      </c>
      <c r="J19" s="1028">
        <f>+'雨汚水(共通按分後)'!J19-雨汚水!J19</f>
        <v>0</v>
      </c>
      <c r="K19" s="1027">
        <f>+'雨汚水(共通按分後)'!K19-雨汚水!K19</f>
        <v>0</v>
      </c>
      <c r="L19" s="1026">
        <f>+'雨汚水(共通按分後)'!L19-雨汚水!L19</f>
        <v>0</v>
      </c>
      <c r="M19" s="1025">
        <f>+'雨汚水(共通按分後)'!M19-雨汚水!M19</f>
        <v>0</v>
      </c>
      <c r="N19" s="1031" t="s">
        <v>1474</v>
      </c>
      <c r="O19" s="1040">
        <f>+'雨汚水(共通按分後)'!O19-雨汚水!O19</f>
        <v>0</v>
      </c>
      <c r="P19" s="1028">
        <f>+'雨汚水(共通按分後)'!P19-雨汚水!P19</f>
        <v>0</v>
      </c>
      <c r="Q19" s="1379">
        <f>+'雨汚水(共通按分後)'!Q19-雨汚水!Q19</f>
        <v>0</v>
      </c>
      <c r="R19" s="1027">
        <f>+'雨汚水(共通按分後)'!R19-雨汚水!R19</f>
        <v>0</v>
      </c>
      <c r="S19" s="1029">
        <f>+'雨汚水(共通按分後)'!S19-雨汚水!S19</f>
        <v>0</v>
      </c>
      <c r="T19" s="1028">
        <f>+'雨汚水(共通按分後)'!T19-雨汚水!T19</f>
        <v>0</v>
      </c>
      <c r="U19" s="1027">
        <f>+'雨汚水(共通按分後)'!U19-雨汚水!U19</f>
        <v>0</v>
      </c>
      <c r="V19" s="1026">
        <f>+'雨汚水(共通按分後)'!V19-雨汚水!V19</f>
        <v>0</v>
      </c>
      <c r="W19" s="1025">
        <f>+'雨汚水(共通按分後)'!W19-雨汚水!W19</f>
        <v>0</v>
      </c>
      <c r="X19" s="1031" t="s">
        <v>1474</v>
      </c>
      <c r="Y19" s="1442"/>
      <c r="Z19" s="1442"/>
      <c r="AA19" s="1442"/>
      <c r="AB19" s="1442"/>
      <c r="AC19" s="1442"/>
      <c r="AD19" s="1040">
        <f>+'雨汚水(共通按分後)'!AD19-雨汚水!AD19</f>
        <v>0</v>
      </c>
      <c r="AE19" s="1028">
        <f>+'雨汚水(共通按分後)'!AE19-雨汚水!AE19</f>
        <v>0</v>
      </c>
      <c r="AF19" s="1379">
        <f>+'雨汚水(共通按分後)'!AF19-雨汚水!AF19</f>
        <v>0</v>
      </c>
      <c r="AG19" s="1027">
        <f>+'雨汚水(共通按分後)'!AG19-雨汚水!AG19</f>
        <v>0</v>
      </c>
      <c r="AH19" s="1029">
        <f>+'雨汚水(共通按分後)'!AH19-雨汚水!AH19</f>
        <v>0</v>
      </c>
      <c r="AI19" s="1028">
        <f>+'雨汚水(共通按分後)'!AI19-雨汚水!AI19</f>
        <v>0</v>
      </c>
      <c r="AJ19" s="1027">
        <f>+'雨汚水(共通按分後)'!AJ19-雨汚水!AJ19</f>
        <v>0</v>
      </c>
      <c r="AK19" s="1026">
        <f>+'雨汚水(共通按分後)'!AK19-雨汚水!AK19</f>
        <v>0</v>
      </c>
      <c r="AL19" s="1025">
        <f>+'雨汚水(共通按分後)'!AL19-雨汚水!AL19</f>
        <v>0</v>
      </c>
    </row>
    <row r="20" spans="1:38">
      <c r="A20" s="1024"/>
      <c r="B20" s="1034" t="s">
        <v>1429</v>
      </c>
      <c r="C20" s="1033" t="s">
        <v>1446</v>
      </c>
      <c r="D20" s="1039" t="s">
        <v>1471</v>
      </c>
      <c r="E20" s="1040">
        <f>+'雨汚水(共通按分後)'!E20-雨汚水!E20</f>
        <v>0</v>
      </c>
      <c r="F20" s="1028">
        <f>+'雨汚水(共通按分後)'!F20-雨汚水!F20</f>
        <v>14904000</v>
      </c>
      <c r="G20" s="1379">
        <f>+'雨汚水(共通按分後)'!G20-雨汚水!G20</f>
        <v>0</v>
      </c>
      <c r="H20" s="1027">
        <f>+'雨汚水(共通按分後)'!H20-雨汚水!H20</f>
        <v>0</v>
      </c>
      <c r="I20" s="1062">
        <f>+'雨汚水(共通按分後)'!I20-雨汚水!I20</f>
        <v>14904000</v>
      </c>
      <c r="J20" s="1028">
        <f>+'雨汚水(共通按分後)'!J20-雨汚水!J20</f>
        <v>0</v>
      </c>
      <c r="K20" s="1027">
        <f>+'雨汚水(共通按分後)'!K20-雨汚水!K20</f>
        <v>0</v>
      </c>
      <c r="L20" s="1026">
        <f>+'雨汚水(共通按分後)'!L20-雨汚水!L20</f>
        <v>0</v>
      </c>
      <c r="M20" s="1025">
        <f>+'雨汚水(共通按分後)'!M20-雨汚水!M20</f>
        <v>-14904000</v>
      </c>
      <c r="N20" s="1039" t="s">
        <v>1471</v>
      </c>
      <c r="O20" s="1040">
        <f>+'雨汚水(共通按分後)'!O20-雨汚水!O20</f>
        <v>0</v>
      </c>
      <c r="P20" s="1028">
        <f>+'雨汚水(共通按分後)'!P20-雨汚水!P20</f>
        <v>0</v>
      </c>
      <c r="Q20" s="1379">
        <f>+'雨汚水(共通按分後)'!Q20-雨汚水!Q20</f>
        <v>0</v>
      </c>
      <c r="R20" s="1027">
        <f>+'雨汚水(共通按分後)'!R20-雨汚水!R20</f>
        <v>0</v>
      </c>
      <c r="S20" s="1062">
        <f>+'雨汚水(共通按分後)'!S20-雨汚水!S20</f>
        <v>0</v>
      </c>
      <c r="T20" s="1028">
        <f>+'雨汚水(共通按分後)'!T20-雨汚水!T20</f>
        <v>0</v>
      </c>
      <c r="U20" s="1027">
        <f>+'雨汚水(共通按分後)'!U20-雨汚水!U20</f>
        <v>0</v>
      </c>
      <c r="V20" s="1026">
        <f>+'雨汚水(共通按分後)'!V20-雨汚水!V20</f>
        <v>0</v>
      </c>
      <c r="W20" s="1025">
        <f>+'雨汚水(共通按分後)'!W20-雨汚水!W20</f>
        <v>0</v>
      </c>
      <c r="X20" s="1039" t="s">
        <v>1471</v>
      </c>
      <c r="Y20" s="1443"/>
      <c r="Z20" s="1443"/>
      <c r="AA20" s="1443"/>
      <c r="AB20" s="1443"/>
      <c r="AC20" s="1443"/>
      <c r="AD20" s="1040">
        <f>+'雨汚水(共通按分後)'!AD20-雨汚水!AD20</f>
        <v>0</v>
      </c>
      <c r="AE20" s="1028">
        <f>+'雨汚水(共通按分後)'!AE20-雨汚水!AE20</f>
        <v>0</v>
      </c>
      <c r="AF20" s="1379">
        <f>+'雨汚水(共通按分後)'!AF20-雨汚水!AF20</f>
        <v>0</v>
      </c>
      <c r="AG20" s="1027">
        <f>+'雨汚水(共通按分後)'!AG20-雨汚水!AG20</f>
        <v>0</v>
      </c>
      <c r="AH20" s="1062">
        <f>+'雨汚水(共通按分後)'!AH20-雨汚水!AH20</f>
        <v>0</v>
      </c>
      <c r="AI20" s="1028">
        <f>+'雨汚水(共通按分後)'!AI20-雨汚水!AI20</f>
        <v>0</v>
      </c>
      <c r="AJ20" s="1027">
        <f>+'雨汚水(共通按分後)'!AJ20-雨汚水!AJ20</f>
        <v>0</v>
      </c>
      <c r="AK20" s="1026">
        <f>+'雨汚水(共通按分後)'!AK20-雨汚水!AK20</f>
        <v>0</v>
      </c>
      <c r="AL20" s="1025">
        <f>+'雨汚水(共通按分後)'!AL20-雨汚水!AL20</f>
        <v>0</v>
      </c>
    </row>
    <row r="21" spans="1:38">
      <c r="A21" s="1024"/>
      <c r="B21" s="1034"/>
      <c r="C21" s="1033"/>
      <c r="D21" s="1031"/>
      <c r="E21" s="1040">
        <f>+'雨汚水(共通按分後)'!E21-雨汚水!E21</f>
        <v>0</v>
      </c>
      <c r="F21" s="1028">
        <f>+'雨汚水(共通按分後)'!F21-雨汚水!F21</f>
        <v>0</v>
      </c>
      <c r="G21" s="1379">
        <f>+'雨汚水(共通按分後)'!G21-雨汚水!G21</f>
        <v>0</v>
      </c>
      <c r="H21" s="1027">
        <f>+'雨汚水(共通按分後)'!H21-雨汚水!H21</f>
        <v>0</v>
      </c>
      <c r="I21" s="1029">
        <f>+'雨汚水(共通按分後)'!I21-雨汚水!I21</f>
        <v>0</v>
      </c>
      <c r="J21" s="1028">
        <f>+'雨汚水(共通按分後)'!J21-雨汚水!J21</f>
        <v>0</v>
      </c>
      <c r="K21" s="1027">
        <f>+'雨汚水(共通按分後)'!K21-雨汚水!K21</f>
        <v>0</v>
      </c>
      <c r="L21" s="1026">
        <f>+'雨汚水(共通按分後)'!L21-雨汚水!L21</f>
        <v>0</v>
      </c>
      <c r="M21" s="1025">
        <f>+'雨汚水(共通按分後)'!M21-雨汚水!M21</f>
        <v>0</v>
      </c>
      <c r="N21" s="1031"/>
      <c r="O21" s="1040">
        <f>+'雨汚水(共通按分後)'!O21-雨汚水!O21</f>
        <v>0</v>
      </c>
      <c r="P21" s="1028">
        <f>+'雨汚水(共通按分後)'!P21-雨汚水!P21</f>
        <v>0</v>
      </c>
      <c r="Q21" s="1379">
        <f>+'雨汚水(共通按分後)'!Q21-雨汚水!Q21</f>
        <v>0</v>
      </c>
      <c r="R21" s="1027">
        <f>+'雨汚水(共通按分後)'!R21-雨汚水!R21</f>
        <v>0</v>
      </c>
      <c r="S21" s="1029">
        <f>+'雨汚水(共通按分後)'!S21-雨汚水!S21</f>
        <v>0</v>
      </c>
      <c r="T21" s="1028">
        <f>+'雨汚水(共通按分後)'!T21-雨汚水!T21</f>
        <v>0</v>
      </c>
      <c r="U21" s="1027">
        <f>+'雨汚水(共通按分後)'!U21-雨汚水!U21</f>
        <v>0</v>
      </c>
      <c r="V21" s="1026">
        <f>+'雨汚水(共通按分後)'!V21-雨汚水!V21</f>
        <v>0</v>
      </c>
      <c r="W21" s="1025">
        <f>+'雨汚水(共通按分後)'!W21-雨汚水!W21</f>
        <v>0</v>
      </c>
      <c r="X21" s="1031"/>
      <c r="Y21" s="1442"/>
      <c r="Z21" s="1442"/>
      <c r="AA21" s="1442"/>
      <c r="AB21" s="1442"/>
      <c r="AC21" s="1442"/>
      <c r="AD21" s="1040">
        <f>+'雨汚水(共通按分後)'!AD21-雨汚水!AD21</f>
        <v>0</v>
      </c>
      <c r="AE21" s="1028">
        <f>+'雨汚水(共通按分後)'!AE21-雨汚水!AE21</f>
        <v>0</v>
      </c>
      <c r="AF21" s="1379">
        <f>+'雨汚水(共通按分後)'!AF21-雨汚水!AF21</f>
        <v>0</v>
      </c>
      <c r="AG21" s="1027">
        <f>+'雨汚水(共通按分後)'!AG21-雨汚水!AG21</f>
        <v>0</v>
      </c>
      <c r="AH21" s="1029">
        <f>+'雨汚水(共通按分後)'!AH21-雨汚水!AH21</f>
        <v>0</v>
      </c>
      <c r="AI21" s="1028">
        <f>+'雨汚水(共通按分後)'!AI21-雨汚水!AI21</f>
        <v>0</v>
      </c>
      <c r="AJ21" s="1027">
        <f>+'雨汚水(共通按分後)'!AJ21-雨汚水!AJ21</f>
        <v>0</v>
      </c>
      <c r="AK21" s="1026">
        <f>+'雨汚水(共通按分後)'!AK21-雨汚水!AK21</f>
        <v>0</v>
      </c>
      <c r="AL21" s="1025">
        <f>+'雨汚水(共通按分後)'!AL21-雨汚水!AL21</f>
        <v>0</v>
      </c>
    </row>
    <row r="22" spans="1:38">
      <c r="A22" s="1024"/>
      <c r="B22" s="1034" t="s">
        <v>1429</v>
      </c>
      <c r="C22" s="1033" t="s">
        <v>1439</v>
      </c>
      <c r="D22" s="1031" t="s">
        <v>1468</v>
      </c>
      <c r="E22" s="1040">
        <f>+'雨汚水(共通按分後)'!E22-雨汚水!E22</f>
        <v>0</v>
      </c>
      <c r="F22" s="1028">
        <f>+'雨汚水(共通按分後)'!F22-雨汚水!F22</f>
        <v>0</v>
      </c>
      <c r="G22" s="1379">
        <f>+'雨汚水(共通按分後)'!G22-雨汚水!G22</f>
        <v>0</v>
      </c>
      <c r="H22" s="1027">
        <f>+'雨汚水(共通按分後)'!H22-雨汚水!H22</f>
        <v>0</v>
      </c>
      <c r="I22" s="1029">
        <f>+'雨汚水(共通按分後)'!I22-雨汚水!I22</f>
        <v>0</v>
      </c>
      <c r="J22" s="1028">
        <f>+'雨汚水(共通按分後)'!J22-雨汚水!J22</f>
        <v>0</v>
      </c>
      <c r="K22" s="1027">
        <f>+'雨汚水(共通按分後)'!K22-雨汚水!K22</f>
        <v>0</v>
      </c>
      <c r="L22" s="1026">
        <f>+'雨汚水(共通按分後)'!L22-雨汚水!L22</f>
        <v>0</v>
      </c>
      <c r="M22" s="1025">
        <f>+'雨汚水(共通按分後)'!M22-雨汚水!M22</f>
        <v>0</v>
      </c>
      <c r="N22" s="1031" t="s">
        <v>1468</v>
      </c>
      <c r="O22" s="1040">
        <f>+'雨汚水(共通按分後)'!O22-雨汚水!O22</f>
        <v>0</v>
      </c>
      <c r="P22" s="1028">
        <f>+'雨汚水(共通按分後)'!P22-雨汚水!P22</f>
        <v>0</v>
      </c>
      <c r="Q22" s="1379">
        <f>+'雨汚水(共通按分後)'!Q22-雨汚水!Q22</f>
        <v>0</v>
      </c>
      <c r="R22" s="1027">
        <f>+'雨汚水(共通按分後)'!R22-雨汚水!R22</f>
        <v>0</v>
      </c>
      <c r="S22" s="1029">
        <f>+'雨汚水(共通按分後)'!S22-雨汚水!S22</f>
        <v>0</v>
      </c>
      <c r="T22" s="1028">
        <f>+'雨汚水(共通按分後)'!T22-雨汚水!T22</f>
        <v>0</v>
      </c>
      <c r="U22" s="1027">
        <f>+'雨汚水(共通按分後)'!U22-雨汚水!U22</f>
        <v>0</v>
      </c>
      <c r="V22" s="1026">
        <f>+'雨汚水(共通按分後)'!V22-雨汚水!V22</f>
        <v>0</v>
      </c>
      <c r="W22" s="1025">
        <f>+'雨汚水(共通按分後)'!W22-雨汚水!W22</f>
        <v>0</v>
      </c>
      <c r="X22" s="1031" t="s">
        <v>1468</v>
      </c>
      <c r="Y22" s="1442"/>
      <c r="Z22" s="1442"/>
      <c r="AA22" s="1442"/>
      <c r="AB22" s="1442"/>
      <c r="AC22" s="1442"/>
      <c r="AD22" s="1040">
        <f>+'雨汚水(共通按分後)'!AD22-雨汚水!AD22</f>
        <v>0</v>
      </c>
      <c r="AE22" s="1028">
        <f>+'雨汚水(共通按分後)'!AE22-雨汚水!AE22</f>
        <v>0</v>
      </c>
      <c r="AF22" s="1379">
        <f>+'雨汚水(共通按分後)'!AF22-雨汚水!AF22</f>
        <v>0</v>
      </c>
      <c r="AG22" s="1027">
        <f>+'雨汚水(共通按分後)'!AG22-雨汚水!AG22</f>
        <v>0</v>
      </c>
      <c r="AH22" s="1029">
        <f>+'雨汚水(共通按分後)'!AH22-雨汚水!AH22</f>
        <v>0</v>
      </c>
      <c r="AI22" s="1028">
        <f>+'雨汚水(共通按分後)'!AI22-雨汚水!AI22</f>
        <v>0</v>
      </c>
      <c r="AJ22" s="1027">
        <f>+'雨汚水(共通按分後)'!AJ22-雨汚水!AJ22</f>
        <v>0</v>
      </c>
      <c r="AK22" s="1026">
        <f>+'雨汚水(共通按分後)'!AK22-雨汚水!AK22</f>
        <v>0</v>
      </c>
      <c r="AL22" s="1025">
        <f>+'雨汚水(共通按分後)'!AL22-雨汚水!AL22</f>
        <v>0</v>
      </c>
    </row>
    <row r="23" spans="1:38">
      <c r="A23" s="1024"/>
      <c r="B23" s="1034" t="s">
        <v>1429</v>
      </c>
      <c r="C23" s="1033" t="s">
        <v>1439</v>
      </c>
      <c r="D23" s="1031" t="s">
        <v>1465</v>
      </c>
      <c r="E23" s="1040">
        <f>+'雨汚水(共通按分後)'!E23-雨汚水!E23</f>
        <v>0</v>
      </c>
      <c r="F23" s="1028">
        <f>+'雨汚水(共通按分後)'!F23-雨汚水!F23</f>
        <v>0</v>
      </c>
      <c r="G23" s="1379">
        <f>+'雨汚水(共通按分後)'!G23-雨汚水!G23</f>
        <v>0</v>
      </c>
      <c r="H23" s="1027">
        <f>+'雨汚水(共通按分後)'!H23-雨汚水!H23</f>
        <v>-9198273</v>
      </c>
      <c r="I23" s="1029">
        <f>+'雨汚水(共通按分後)'!I23-雨汚水!I23</f>
        <v>-9198273</v>
      </c>
      <c r="J23" s="1028">
        <f>+'雨汚水(共通按分後)'!J23-雨汚水!J23</f>
        <v>0</v>
      </c>
      <c r="K23" s="1027">
        <f>+'雨汚水(共通按分後)'!K23-雨汚水!K23</f>
        <v>9198273</v>
      </c>
      <c r="L23" s="1026">
        <f>+'雨汚水(共通按分後)'!L23-雨汚水!L23</f>
        <v>9198273</v>
      </c>
      <c r="M23" s="1025">
        <f>+'雨汚水(共通按分後)'!M23-雨汚水!M23</f>
        <v>0</v>
      </c>
      <c r="N23" s="1031" t="s">
        <v>1465</v>
      </c>
      <c r="O23" s="1040">
        <f>+'雨汚水(共通按分後)'!O23-雨汚水!O23</f>
        <v>0</v>
      </c>
      <c r="P23" s="1028">
        <f>+'雨汚水(共通按分後)'!P23-雨汚水!P23</f>
        <v>0</v>
      </c>
      <c r="Q23" s="1379">
        <f>+'雨汚水(共通按分後)'!Q23-雨汚水!Q23</f>
        <v>0</v>
      </c>
      <c r="R23" s="1027">
        <f>+'雨汚水(共通按分後)'!R23-雨汚水!R23</f>
        <v>-8710224</v>
      </c>
      <c r="S23" s="1029">
        <f>+'雨汚水(共通按分後)'!S23-雨汚水!S23</f>
        <v>-8710224</v>
      </c>
      <c r="T23" s="1028">
        <f>+'雨汚水(共通按分後)'!T23-雨汚水!T23</f>
        <v>0</v>
      </c>
      <c r="U23" s="1027">
        <f>+'雨汚水(共通按分後)'!U23-雨汚水!U23</f>
        <v>8710224</v>
      </c>
      <c r="V23" s="1026">
        <f>+'雨汚水(共通按分後)'!V23-雨汚水!V23</f>
        <v>8710224</v>
      </c>
      <c r="W23" s="1025">
        <f>+'雨汚水(共通按分後)'!W23-雨汚水!W23</f>
        <v>0</v>
      </c>
      <c r="X23" s="1031" t="s">
        <v>1465</v>
      </c>
      <c r="Y23" s="1445"/>
      <c r="Z23" s="1445"/>
      <c r="AA23" s="1445"/>
      <c r="AB23" s="1445"/>
      <c r="AC23" s="1445"/>
      <c r="AD23" s="1040">
        <f>+'雨汚水(共通按分後)'!AD23-雨汚水!AD23</f>
        <v>0</v>
      </c>
      <c r="AE23" s="1028">
        <f>+'雨汚水(共通按分後)'!AE23-雨汚水!AE23</f>
        <v>0</v>
      </c>
      <c r="AF23" s="1379">
        <f>+'雨汚水(共通按分後)'!AF23-雨汚水!AF23</f>
        <v>0</v>
      </c>
      <c r="AG23" s="1027">
        <f>+'雨汚水(共通按分後)'!AG23-雨汚水!AG23</f>
        <v>-8710224</v>
      </c>
      <c r="AH23" s="1029">
        <f>+'雨汚水(共通按分後)'!AH23-雨汚水!AH23</f>
        <v>-8710224</v>
      </c>
      <c r="AI23" s="1028">
        <f>+'雨汚水(共通按分後)'!AI23-雨汚水!AI23</f>
        <v>0</v>
      </c>
      <c r="AJ23" s="1027">
        <f>+'雨汚水(共通按分後)'!AJ23-雨汚水!AJ23</f>
        <v>8710224</v>
      </c>
      <c r="AK23" s="1026">
        <f>+'雨汚水(共通按分後)'!AK23-雨汚水!AK23</f>
        <v>8710224</v>
      </c>
      <c r="AL23" s="1025">
        <f>+'雨汚水(共通按分後)'!AL23-雨汚水!AL23</f>
        <v>0</v>
      </c>
    </row>
    <row r="24" spans="1:38">
      <c r="A24" s="1024"/>
      <c r="B24" s="1034" t="s">
        <v>1542</v>
      </c>
      <c r="C24" s="1033" t="s">
        <v>1541</v>
      </c>
      <c r="D24" s="1031" t="s">
        <v>1463</v>
      </c>
      <c r="E24" s="1040">
        <f>+'雨汚水(共通按分後)'!E24-雨汚水!E24</f>
        <v>0</v>
      </c>
      <c r="F24" s="1028">
        <f>+'雨汚水(共通按分後)'!F24-雨汚水!F24</f>
        <v>0</v>
      </c>
      <c r="G24" s="1379">
        <f>+'雨汚水(共通按分後)'!G24-雨汚水!G24</f>
        <v>0</v>
      </c>
      <c r="H24" s="1027">
        <f>+'雨汚水(共通按分後)'!H24-雨汚水!H24</f>
        <v>9198273</v>
      </c>
      <c r="I24" s="1029">
        <f>+'雨汚水(共通按分後)'!I24-雨汚水!I24</f>
        <v>9198273</v>
      </c>
      <c r="J24" s="1028">
        <f>+'雨汚水(共通按分後)'!J24-雨汚水!J24</f>
        <v>0</v>
      </c>
      <c r="K24" s="1027">
        <f>+'雨汚水(共通按分後)'!K24-雨汚水!K24</f>
        <v>-9198273</v>
      </c>
      <c r="L24" s="1026">
        <f>+'雨汚水(共通按分後)'!L24-雨汚水!L24</f>
        <v>-9198273</v>
      </c>
      <c r="M24" s="1025">
        <f>+'雨汚水(共通按分後)'!M24-雨汚水!M24</f>
        <v>0</v>
      </c>
      <c r="N24" s="1031" t="s">
        <v>1463</v>
      </c>
      <c r="O24" s="1040">
        <f>+'雨汚水(共通按分後)'!O24-雨汚水!O24</f>
        <v>0</v>
      </c>
      <c r="P24" s="1028">
        <f>+'雨汚水(共通按分後)'!P24-雨汚水!P24</f>
        <v>0</v>
      </c>
      <c r="Q24" s="1379">
        <f>+'雨汚水(共通按分後)'!Q24-雨汚水!Q24</f>
        <v>0</v>
      </c>
      <c r="R24" s="1027">
        <f>+'雨汚水(共通按分後)'!R24-雨汚水!R24</f>
        <v>8710224</v>
      </c>
      <c r="S24" s="1029">
        <f>+'雨汚水(共通按分後)'!S24-雨汚水!S24</f>
        <v>8710224</v>
      </c>
      <c r="T24" s="1028">
        <f>+'雨汚水(共通按分後)'!T24-雨汚水!T24</f>
        <v>0</v>
      </c>
      <c r="U24" s="1027">
        <f>+'雨汚水(共通按分後)'!U24-雨汚水!U24</f>
        <v>-8710224</v>
      </c>
      <c r="V24" s="1026">
        <f>+'雨汚水(共通按分後)'!V24-雨汚水!V24</f>
        <v>-8710224</v>
      </c>
      <c r="W24" s="1025">
        <f>+'雨汚水(共通按分後)'!W24-雨汚水!W24</f>
        <v>0</v>
      </c>
      <c r="X24" s="1031" t="s">
        <v>1463</v>
      </c>
      <c r="Y24" s="1445"/>
      <c r="Z24" s="1445"/>
      <c r="AA24" s="1445"/>
      <c r="AB24" s="1445"/>
      <c r="AC24" s="1445"/>
      <c r="AD24" s="1040">
        <f>+'雨汚水(共通按分後)'!AD24-雨汚水!AD24</f>
        <v>0</v>
      </c>
      <c r="AE24" s="1028">
        <f>+'雨汚水(共通按分後)'!AE24-雨汚水!AE24</f>
        <v>0</v>
      </c>
      <c r="AF24" s="1379">
        <f>+'雨汚水(共通按分後)'!AF24-雨汚水!AF24</f>
        <v>0</v>
      </c>
      <c r="AG24" s="1027">
        <f>+'雨汚水(共通按分後)'!AG24-雨汚水!AG24</f>
        <v>8710224</v>
      </c>
      <c r="AH24" s="1029">
        <f>+'雨汚水(共通按分後)'!AH24-雨汚水!AH24</f>
        <v>8710224</v>
      </c>
      <c r="AI24" s="1028">
        <f>+'雨汚水(共通按分後)'!AI24-雨汚水!AI24</f>
        <v>0</v>
      </c>
      <c r="AJ24" s="1027">
        <f>+'雨汚水(共通按分後)'!AJ24-雨汚水!AJ24</f>
        <v>-8710224</v>
      </c>
      <c r="AK24" s="1026">
        <f>+'雨汚水(共通按分後)'!AK24-雨汚水!AK24</f>
        <v>-8710224</v>
      </c>
      <c r="AL24" s="1025">
        <f>+'雨汚水(共通按分後)'!AL24-雨汚水!AL24</f>
        <v>0</v>
      </c>
    </row>
    <row r="25" spans="1:38">
      <c r="A25" s="1024"/>
      <c r="B25" s="1034" t="s">
        <v>1429</v>
      </c>
      <c r="C25" s="1033" t="s">
        <v>1439</v>
      </c>
      <c r="D25" s="1039" t="s">
        <v>1460</v>
      </c>
      <c r="E25" s="1040">
        <f>+'雨汚水(共通按分後)'!E25-雨汚水!E25</f>
        <v>0</v>
      </c>
      <c r="F25" s="1028">
        <f>+'雨汚水(共通按分後)'!F25-雨汚水!F25</f>
        <v>0</v>
      </c>
      <c r="G25" s="1379">
        <f>+'雨汚水(共通按分後)'!G25-雨汚水!G25</f>
        <v>0</v>
      </c>
      <c r="H25" s="1027">
        <f>+'雨汚水(共通按分後)'!H25-雨汚水!H25</f>
        <v>0</v>
      </c>
      <c r="I25" s="1029">
        <f>+'雨汚水(共通按分後)'!I25-雨汚水!I25</f>
        <v>0</v>
      </c>
      <c r="J25" s="1028">
        <f>+'雨汚水(共通按分後)'!J25-雨汚水!J25</f>
        <v>0</v>
      </c>
      <c r="K25" s="1027">
        <f>+'雨汚水(共通按分後)'!K25-雨汚水!K25</f>
        <v>0</v>
      </c>
      <c r="L25" s="1026">
        <f>+'雨汚水(共通按分後)'!L25-雨汚水!L25</f>
        <v>0</v>
      </c>
      <c r="M25" s="1025">
        <f>+'雨汚水(共通按分後)'!M25-雨汚水!M25</f>
        <v>0</v>
      </c>
      <c r="N25" s="1039" t="s">
        <v>1460</v>
      </c>
      <c r="O25" s="1040">
        <f>+'雨汚水(共通按分後)'!O25-雨汚水!O25</f>
        <v>0</v>
      </c>
      <c r="P25" s="1028">
        <f>+'雨汚水(共通按分後)'!P25-雨汚水!P25</f>
        <v>0</v>
      </c>
      <c r="Q25" s="1379">
        <f>+'雨汚水(共通按分後)'!Q25-雨汚水!Q25</f>
        <v>0</v>
      </c>
      <c r="R25" s="1027">
        <f>+'雨汚水(共通按分後)'!R25-雨汚水!R25</f>
        <v>0</v>
      </c>
      <c r="S25" s="1029">
        <f>+'雨汚水(共通按分後)'!S25-雨汚水!S25</f>
        <v>0</v>
      </c>
      <c r="T25" s="1028">
        <f>+'雨汚水(共通按分後)'!T25-雨汚水!T25</f>
        <v>0</v>
      </c>
      <c r="U25" s="1027">
        <f>+'雨汚水(共通按分後)'!U25-雨汚水!U25</f>
        <v>0</v>
      </c>
      <c r="V25" s="1026">
        <f>+'雨汚水(共通按分後)'!V25-雨汚水!V25</f>
        <v>0</v>
      </c>
      <c r="W25" s="1025">
        <f>+'雨汚水(共通按分後)'!W25-雨汚水!W25</f>
        <v>0</v>
      </c>
      <c r="X25" s="1039" t="s">
        <v>1460</v>
      </c>
      <c r="Y25" s="1446"/>
      <c r="Z25" s="1446"/>
      <c r="AA25" s="1446"/>
      <c r="AB25" s="1446"/>
      <c r="AC25" s="1446"/>
      <c r="AD25" s="1040">
        <f>+'雨汚水(共通按分後)'!AD25-雨汚水!AD25</f>
        <v>4583494052</v>
      </c>
      <c r="AE25" s="1028">
        <f>+'雨汚水(共通按分後)'!AE25-雨汚水!AE25</f>
        <v>3759503445</v>
      </c>
      <c r="AF25" s="1379">
        <f>+'雨汚水(共通按分後)'!AF25-雨汚水!AF25</f>
        <v>347493062</v>
      </c>
      <c r="AG25" s="1027">
        <f>+'雨汚水(共通按分後)'!AG25-雨汚水!AG25</f>
        <v>482439397</v>
      </c>
      <c r="AH25" s="1029">
        <f>+'雨汚水(共通按分後)'!AH25-雨汚水!AH25</f>
        <v>4589435904</v>
      </c>
      <c r="AI25" s="1028">
        <f>+'雨汚水(共通按分後)'!AI25-雨汚水!AI25</f>
        <v>-5941852</v>
      </c>
      <c r="AJ25" s="1027">
        <f>+'雨汚水(共通按分後)'!AJ25-雨汚水!AJ25</f>
        <v>0</v>
      </c>
      <c r="AK25" s="1026">
        <f>+'雨汚水(共通按分後)'!AK25-雨汚水!AK25</f>
        <v>-5941852</v>
      </c>
      <c r="AL25" s="1025">
        <f>+'雨汚水(共通按分後)'!AL25-雨汚水!AL25</f>
        <v>0</v>
      </c>
    </row>
    <row r="26" spans="1:38">
      <c r="A26" s="1024"/>
      <c r="B26" s="1034"/>
      <c r="C26" s="1033"/>
      <c r="D26" s="1031"/>
      <c r="E26" s="1040">
        <f>+'雨汚水(共通按分後)'!E26-雨汚水!E26</f>
        <v>0</v>
      </c>
      <c r="F26" s="1028">
        <f>+'雨汚水(共通按分後)'!F26-雨汚水!F26</f>
        <v>0</v>
      </c>
      <c r="G26" s="1379">
        <f>+'雨汚水(共通按分後)'!G26-雨汚水!G26</f>
        <v>0</v>
      </c>
      <c r="H26" s="1027">
        <f>+'雨汚水(共通按分後)'!H26-雨汚水!H26</f>
        <v>0</v>
      </c>
      <c r="I26" s="1029">
        <f>+'雨汚水(共通按分後)'!I26-雨汚水!I26</f>
        <v>0</v>
      </c>
      <c r="J26" s="1028">
        <f>+'雨汚水(共通按分後)'!J26-雨汚水!J26</f>
        <v>0</v>
      </c>
      <c r="K26" s="1027">
        <f>+'雨汚水(共通按分後)'!K26-雨汚水!K26</f>
        <v>0</v>
      </c>
      <c r="L26" s="1026">
        <f>+'雨汚水(共通按分後)'!L26-雨汚水!L26</f>
        <v>0</v>
      </c>
      <c r="M26" s="1025">
        <f>+'雨汚水(共通按分後)'!M26-雨汚水!M26</f>
        <v>0</v>
      </c>
      <c r="N26" s="1031"/>
      <c r="O26" s="1040">
        <f>+'雨汚水(共通按分後)'!O26-雨汚水!O26</f>
        <v>0</v>
      </c>
      <c r="P26" s="1028">
        <f>+'雨汚水(共通按分後)'!P26-雨汚水!P26</f>
        <v>0</v>
      </c>
      <c r="Q26" s="1379">
        <f>+'雨汚水(共通按分後)'!Q26-雨汚水!Q26</f>
        <v>0</v>
      </c>
      <c r="R26" s="1027">
        <f>+'雨汚水(共通按分後)'!R26-雨汚水!R26</f>
        <v>0</v>
      </c>
      <c r="S26" s="1029">
        <f>+'雨汚水(共通按分後)'!S26-雨汚水!S26</f>
        <v>0</v>
      </c>
      <c r="T26" s="1028">
        <f>+'雨汚水(共通按分後)'!T26-雨汚水!T26</f>
        <v>0</v>
      </c>
      <c r="U26" s="1027">
        <f>+'雨汚水(共通按分後)'!U26-雨汚水!U26</f>
        <v>0</v>
      </c>
      <c r="V26" s="1026">
        <f>+'雨汚水(共通按分後)'!V26-雨汚水!V26</f>
        <v>0</v>
      </c>
      <c r="W26" s="1025">
        <f>+'雨汚水(共通按分後)'!W26-雨汚水!W26</f>
        <v>0</v>
      </c>
      <c r="X26" s="1031"/>
      <c r="Y26" s="1442"/>
      <c r="Z26" s="1442"/>
      <c r="AA26" s="1442"/>
      <c r="AB26" s="1442"/>
      <c r="AC26" s="1442"/>
      <c r="AD26" s="1040">
        <f>+'雨汚水(共通按分後)'!AD26-雨汚水!AD26</f>
        <v>-629</v>
      </c>
      <c r="AE26" s="1028">
        <f>+'雨汚水(共通按分後)'!AE26-雨汚水!AE26</f>
        <v>0</v>
      </c>
      <c r="AF26" s="1379">
        <f>+'雨汚水(共通按分後)'!AF26-雨汚水!AF26</f>
        <v>0</v>
      </c>
      <c r="AG26" s="1027">
        <f>+'雨汚水(共通按分後)'!AG26-雨汚水!AG26</f>
        <v>0</v>
      </c>
      <c r="AH26" s="1029">
        <f>+'雨汚水(共通按分後)'!AH26-雨汚水!AH26</f>
        <v>0</v>
      </c>
      <c r="AI26" s="1028">
        <f>+'雨汚水(共通按分後)'!AI26-雨汚水!AI26</f>
        <v>0</v>
      </c>
      <c r="AJ26" s="1027">
        <f>+'雨汚水(共通按分後)'!AJ26-雨汚水!AJ26</f>
        <v>-629</v>
      </c>
      <c r="AK26" s="1026">
        <f>+'雨汚水(共通按分後)'!AK26-雨汚水!AK26</f>
        <v>-629</v>
      </c>
      <c r="AL26" s="1025">
        <f>+'雨汚水(共通按分後)'!AL26-雨汚水!AL26</f>
        <v>0</v>
      </c>
    </row>
    <row r="27" spans="1:38">
      <c r="A27" s="1024"/>
      <c r="B27" s="1034"/>
      <c r="C27" s="1033"/>
      <c r="D27" s="1031"/>
      <c r="E27" s="1040">
        <f>+'雨汚水(共通按分後)'!E27-雨汚水!E27</f>
        <v>0</v>
      </c>
      <c r="F27" s="1028">
        <f>+'雨汚水(共通按分後)'!F27-雨汚水!F27</f>
        <v>0</v>
      </c>
      <c r="G27" s="1379">
        <f>+'雨汚水(共通按分後)'!G27-雨汚水!G27</f>
        <v>0</v>
      </c>
      <c r="H27" s="1027">
        <f>+'雨汚水(共通按分後)'!H27-雨汚水!H27</f>
        <v>0</v>
      </c>
      <c r="I27" s="1029">
        <f>+'雨汚水(共通按分後)'!I27-雨汚水!I27</f>
        <v>0</v>
      </c>
      <c r="J27" s="1028">
        <f>+'雨汚水(共通按分後)'!J27-雨汚水!J27</f>
        <v>0</v>
      </c>
      <c r="K27" s="1027">
        <f>+'雨汚水(共通按分後)'!K27-雨汚水!K27</f>
        <v>0</v>
      </c>
      <c r="L27" s="1026">
        <f>+'雨汚水(共通按分後)'!L27-雨汚水!L27</f>
        <v>0</v>
      </c>
      <c r="M27" s="1025">
        <f>+'雨汚水(共通按分後)'!M27-雨汚水!M27</f>
        <v>0</v>
      </c>
      <c r="N27" s="1031"/>
      <c r="O27" s="1040">
        <f>+'雨汚水(共通按分後)'!O27-雨汚水!O27</f>
        <v>0</v>
      </c>
      <c r="P27" s="1028">
        <f>+'雨汚水(共通按分後)'!P27-雨汚水!P27</f>
        <v>0</v>
      </c>
      <c r="Q27" s="1379">
        <f>+'雨汚水(共通按分後)'!Q27-雨汚水!Q27</f>
        <v>0</v>
      </c>
      <c r="R27" s="1027">
        <f>+'雨汚水(共通按分後)'!R27-雨汚水!R27</f>
        <v>0</v>
      </c>
      <c r="S27" s="1029">
        <f>+'雨汚水(共通按分後)'!S27-雨汚水!S27</f>
        <v>0</v>
      </c>
      <c r="T27" s="1028">
        <f>+'雨汚水(共通按分後)'!T27-雨汚水!T27</f>
        <v>0</v>
      </c>
      <c r="U27" s="1027">
        <f>+'雨汚水(共通按分後)'!U27-雨汚水!U27</f>
        <v>0</v>
      </c>
      <c r="V27" s="1026">
        <f>+'雨汚水(共通按分後)'!V27-雨汚水!V27</f>
        <v>0</v>
      </c>
      <c r="W27" s="1025">
        <f>+'雨汚水(共通按分後)'!W27-雨汚水!W27</f>
        <v>0</v>
      </c>
      <c r="X27" s="1031"/>
      <c r="Y27" s="1442"/>
      <c r="Z27" s="1442"/>
      <c r="AA27" s="1442"/>
      <c r="AB27" s="1442"/>
      <c r="AC27" s="1442"/>
      <c r="AD27" s="1040">
        <f>+'雨汚水(共通按分後)'!AD27-雨汚水!AD27</f>
        <v>0</v>
      </c>
      <c r="AE27" s="1028">
        <f>+'雨汚水(共通按分後)'!AE27-雨汚水!AE27</f>
        <v>0</v>
      </c>
      <c r="AF27" s="1379">
        <f>+'雨汚水(共通按分後)'!AF27-雨汚水!AF27</f>
        <v>0</v>
      </c>
      <c r="AG27" s="1027">
        <f>+'雨汚水(共通按分後)'!AG27-雨汚水!AG27</f>
        <v>0</v>
      </c>
      <c r="AH27" s="1029">
        <f>+'雨汚水(共通按分後)'!AH27-雨汚水!AH27</f>
        <v>0</v>
      </c>
      <c r="AI27" s="1028">
        <f>+'雨汚水(共通按分後)'!AI27-雨汚水!AI27</f>
        <v>0</v>
      </c>
      <c r="AJ27" s="1027">
        <f>+'雨汚水(共通按分後)'!AJ27-雨汚水!AJ27</f>
        <v>0</v>
      </c>
      <c r="AK27" s="1026">
        <f>+'雨汚水(共通按分後)'!AK27-雨汚水!AK27</f>
        <v>0</v>
      </c>
      <c r="AL27" s="1025">
        <f>+'雨汚水(共通按分後)'!AL27-雨汚水!AL27</f>
        <v>0</v>
      </c>
    </row>
    <row r="28" spans="1:38">
      <c r="A28" s="1024"/>
      <c r="B28" s="1034" t="s">
        <v>1429</v>
      </c>
      <c r="C28" s="1033" t="s">
        <v>1433</v>
      </c>
      <c r="D28" s="1031" t="s">
        <v>1455</v>
      </c>
      <c r="E28" s="1040">
        <f>+'雨汚水(共通按分後)'!E28-雨汚水!E28</f>
        <v>0</v>
      </c>
      <c r="F28" s="1028">
        <f>+'雨汚水(共通按分後)'!F28-雨汚水!F28</f>
        <v>0</v>
      </c>
      <c r="G28" s="1379">
        <f>+'雨汚水(共通按分後)'!G28-雨汚水!G28</f>
        <v>0</v>
      </c>
      <c r="H28" s="1027">
        <f>+'雨汚水(共通按分後)'!H28-雨汚水!H28</f>
        <v>0</v>
      </c>
      <c r="I28" s="1029">
        <f>+'雨汚水(共通按分後)'!I28-雨汚水!I28</f>
        <v>0</v>
      </c>
      <c r="J28" s="1028">
        <f>+'雨汚水(共通按分後)'!J28-雨汚水!J28</f>
        <v>0</v>
      </c>
      <c r="K28" s="1027">
        <f>+'雨汚水(共通按分後)'!K28-雨汚水!K28</f>
        <v>0</v>
      </c>
      <c r="L28" s="1026">
        <f>+'雨汚水(共通按分後)'!L28-雨汚水!L28</f>
        <v>0</v>
      </c>
      <c r="M28" s="1025">
        <f>+'雨汚水(共通按分後)'!M28-雨汚水!M28</f>
        <v>0</v>
      </c>
      <c r="N28" s="1031" t="s">
        <v>1455</v>
      </c>
      <c r="O28" s="1040">
        <f>+'雨汚水(共通按分後)'!O28-雨汚水!O28</f>
        <v>0</v>
      </c>
      <c r="P28" s="1028">
        <f>+'雨汚水(共通按分後)'!P28-雨汚水!P28</f>
        <v>0</v>
      </c>
      <c r="Q28" s="1379">
        <f>+'雨汚水(共通按分後)'!Q28-雨汚水!Q28</f>
        <v>0</v>
      </c>
      <c r="R28" s="1027">
        <f>+'雨汚水(共通按分後)'!R28-雨汚水!R28</f>
        <v>0</v>
      </c>
      <c r="S28" s="1029">
        <f>+'雨汚水(共通按分後)'!S28-雨汚水!S28</f>
        <v>0</v>
      </c>
      <c r="T28" s="1028">
        <f>+'雨汚水(共通按分後)'!T28-雨汚水!T28</f>
        <v>0</v>
      </c>
      <c r="U28" s="1027">
        <f>+'雨汚水(共通按分後)'!U28-雨汚水!U28</f>
        <v>0</v>
      </c>
      <c r="V28" s="1026">
        <f>+'雨汚水(共通按分後)'!V28-雨汚水!V28</f>
        <v>0</v>
      </c>
      <c r="W28" s="1025">
        <f>+'雨汚水(共通按分後)'!W28-雨汚水!W28</f>
        <v>0</v>
      </c>
      <c r="X28" s="1031" t="s">
        <v>1455</v>
      </c>
      <c r="Y28" s="1442"/>
      <c r="Z28" s="1442"/>
      <c r="AA28" s="1442"/>
      <c r="AB28" s="1442"/>
      <c r="AC28" s="1442"/>
      <c r="AD28" s="1040">
        <f>+'雨汚水(共通按分後)'!AD28-雨汚水!AD28</f>
        <v>0</v>
      </c>
      <c r="AE28" s="1028">
        <f>+'雨汚水(共通按分後)'!AE28-雨汚水!AE28</f>
        <v>0</v>
      </c>
      <c r="AF28" s="1379">
        <f>+'雨汚水(共通按分後)'!AF28-雨汚水!AF28</f>
        <v>0</v>
      </c>
      <c r="AG28" s="1027">
        <f>+'雨汚水(共通按分後)'!AG28-雨汚水!AG28</f>
        <v>0</v>
      </c>
      <c r="AH28" s="1029">
        <f>+'雨汚水(共通按分後)'!AH28-雨汚水!AH28</f>
        <v>0</v>
      </c>
      <c r="AI28" s="1028">
        <f>+'雨汚水(共通按分後)'!AI28-雨汚水!AI28</f>
        <v>0</v>
      </c>
      <c r="AJ28" s="1027">
        <f>+'雨汚水(共通按分後)'!AJ28-雨汚水!AJ28</f>
        <v>0</v>
      </c>
      <c r="AK28" s="1026">
        <f>+'雨汚水(共通按分後)'!AK28-雨汚水!AK28</f>
        <v>0</v>
      </c>
      <c r="AL28" s="1025">
        <f>+'雨汚水(共通按分後)'!AL28-雨汚水!AL28</f>
        <v>0</v>
      </c>
    </row>
    <row r="29" spans="1:38">
      <c r="A29" s="1024"/>
      <c r="B29" s="1034" t="s">
        <v>1429</v>
      </c>
      <c r="C29" s="1033" t="s">
        <v>1433</v>
      </c>
      <c r="D29" s="1031" t="s">
        <v>1452</v>
      </c>
      <c r="E29" s="1040">
        <f>+'雨汚水(共通按分後)'!E29-雨汚水!E29</f>
        <v>0</v>
      </c>
      <c r="F29" s="1028">
        <f>+'雨汚水(共通按分後)'!F29-雨汚水!F29</f>
        <v>0</v>
      </c>
      <c r="G29" s="1379">
        <f>+'雨汚水(共通按分後)'!G29-雨汚水!G29</f>
        <v>0</v>
      </c>
      <c r="H29" s="1027">
        <f>+'雨汚水(共通按分後)'!H29-雨汚水!H29</f>
        <v>0</v>
      </c>
      <c r="I29" s="1029">
        <f>+'雨汚水(共通按分後)'!I29-雨汚水!I29</f>
        <v>0</v>
      </c>
      <c r="J29" s="1028">
        <f>+'雨汚水(共通按分後)'!J29-雨汚水!J29</f>
        <v>0</v>
      </c>
      <c r="K29" s="1027">
        <f>+'雨汚水(共通按分後)'!K29-雨汚水!K29</f>
        <v>0</v>
      </c>
      <c r="L29" s="1026">
        <f>+'雨汚水(共通按分後)'!L29-雨汚水!L29</f>
        <v>0</v>
      </c>
      <c r="M29" s="1025">
        <f>+'雨汚水(共通按分後)'!M29-雨汚水!M29</f>
        <v>0</v>
      </c>
      <c r="N29" s="1031" t="s">
        <v>1452</v>
      </c>
      <c r="O29" s="1040">
        <f>+'雨汚水(共通按分後)'!O29-雨汚水!O29</f>
        <v>0</v>
      </c>
      <c r="P29" s="1028">
        <f>+'雨汚水(共通按分後)'!P29-雨汚水!P29</f>
        <v>0</v>
      </c>
      <c r="Q29" s="1379">
        <f>+'雨汚水(共通按分後)'!Q29-雨汚水!Q29</f>
        <v>0</v>
      </c>
      <c r="R29" s="1027">
        <f>+'雨汚水(共通按分後)'!R29-雨汚水!R29</f>
        <v>0</v>
      </c>
      <c r="S29" s="1029">
        <f>+'雨汚水(共通按分後)'!S29-雨汚水!S29</f>
        <v>0</v>
      </c>
      <c r="T29" s="1028">
        <f>+'雨汚水(共通按分後)'!T29-雨汚水!T29</f>
        <v>0</v>
      </c>
      <c r="U29" s="1027">
        <f>+'雨汚水(共通按分後)'!U29-雨汚水!U29</f>
        <v>0</v>
      </c>
      <c r="V29" s="1026">
        <f>+'雨汚水(共通按分後)'!V29-雨汚水!V29</f>
        <v>0</v>
      </c>
      <c r="W29" s="1025">
        <f>+'雨汚水(共通按分後)'!W29-雨汚水!W29</f>
        <v>0</v>
      </c>
      <c r="X29" s="1031" t="s">
        <v>1452</v>
      </c>
      <c r="Y29" s="1442"/>
      <c r="Z29" s="1442"/>
      <c r="AA29" s="1442"/>
      <c r="AB29" s="1442"/>
      <c r="AC29" s="1442"/>
      <c r="AD29" s="1040">
        <f>+'雨汚水(共通按分後)'!AD29-雨汚水!AD29</f>
        <v>0</v>
      </c>
      <c r="AE29" s="1028">
        <f>+'雨汚水(共通按分後)'!AE29-雨汚水!AE29</f>
        <v>0</v>
      </c>
      <c r="AF29" s="1379">
        <f>+'雨汚水(共通按分後)'!AF29-雨汚水!AF29</f>
        <v>0</v>
      </c>
      <c r="AG29" s="1027">
        <f>+'雨汚水(共通按分後)'!AG29-雨汚水!AG29</f>
        <v>0</v>
      </c>
      <c r="AH29" s="1029">
        <f>+'雨汚水(共通按分後)'!AH29-雨汚水!AH29</f>
        <v>0</v>
      </c>
      <c r="AI29" s="1028">
        <f>+'雨汚水(共通按分後)'!AI29-雨汚水!AI29</f>
        <v>0</v>
      </c>
      <c r="AJ29" s="1027">
        <f>+'雨汚水(共通按分後)'!AJ29-雨汚水!AJ29</f>
        <v>0</v>
      </c>
      <c r="AK29" s="1026">
        <f>+'雨汚水(共通按分後)'!AK29-雨汚水!AK29</f>
        <v>0</v>
      </c>
      <c r="AL29" s="1025">
        <f>+'雨汚水(共通按分後)'!AL29-雨汚水!AL29</f>
        <v>0</v>
      </c>
    </row>
    <row r="30" spans="1:38">
      <c r="A30" s="1024"/>
      <c r="B30" s="1034" t="s">
        <v>1429</v>
      </c>
      <c r="C30" s="1033" t="s">
        <v>1433</v>
      </c>
      <c r="D30" s="1031" t="s">
        <v>1435</v>
      </c>
      <c r="E30" s="1040">
        <f>+'雨汚水(共通按分後)'!E30-雨汚水!E30</f>
        <v>0</v>
      </c>
      <c r="F30" s="1028">
        <f>+'雨汚水(共通按分後)'!F30-雨汚水!F30</f>
        <v>0</v>
      </c>
      <c r="G30" s="1379">
        <f>+'雨汚水(共通按分後)'!G30-雨汚水!G30</f>
        <v>0</v>
      </c>
      <c r="H30" s="1027">
        <f>+'雨汚水(共通按分後)'!H30-雨汚水!H30</f>
        <v>0</v>
      </c>
      <c r="I30" s="1029">
        <f>+'雨汚水(共通按分後)'!I30-雨汚水!I30</f>
        <v>0</v>
      </c>
      <c r="J30" s="1028">
        <f>+'雨汚水(共通按分後)'!J30-雨汚水!J30</f>
        <v>0</v>
      </c>
      <c r="K30" s="1027">
        <f>+'雨汚水(共通按分後)'!K30-雨汚水!K30</f>
        <v>0</v>
      </c>
      <c r="L30" s="1026">
        <f>+'雨汚水(共通按分後)'!L30-雨汚水!L30</f>
        <v>0</v>
      </c>
      <c r="M30" s="1025">
        <f>+'雨汚水(共通按分後)'!M30-雨汚水!M30</f>
        <v>0</v>
      </c>
      <c r="N30" s="1031" t="s">
        <v>1435</v>
      </c>
      <c r="O30" s="1040">
        <f>+'雨汚水(共通按分後)'!O30-雨汚水!O30</f>
        <v>0</v>
      </c>
      <c r="P30" s="1028">
        <f>+'雨汚水(共通按分後)'!P30-雨汚水!P30</f>
        <v>0</v>
      </c>
      <c r="Q30" s="1379">
        <f>+'雨汚水(共通按分後)'!Q30-雨汚水!Q30</f>
        <v>0</v>
      </c>
      <c r="R30" s="1027">
        <f>+'雨汚水(共通按分後)'!R30-雨汚水!R30</f>
        <v>0</v>
      </c>
      <c r="S30" s="1029">
        <f>+'雨汚水(共通按分後)'!S30-雨汚水!S30</f>
        <v>0</v>
      </c>
      <c r="T30" s="1028">
        <f>+'雨汚水(共通按分後)'!T30-雨汚水!T30</f>
        <v>0</v>
      </c>
      <c r="U30" s="1027">
        <f>+'雨汚水(共通按分後)'!U30-雨汚水!U30</f>
        <v>0</v>
      </c>
      <c r="V30" s="1026">
        <f>+'雨汚水(共通按分後)'!V30-雨汚水!V30</f>
        <v>0</v>
      </c>
      <c r="W30" s="1025">
        <f>+'雨汚水(共通按分後)'!W30-雨汚水!W30</f>
        <v>0</v>
      </c>
      <c r="X30" s="1031" t="s">
        <v>1435</v>
      </c>
      <c r="Y30" s="1442"/>
      <c r="Z30" s="1442"/>
      <c r="AA30" s="1442"/>
      <c r="AB30" s="1442"/>
      <c r="AC30" s="1442"/>
      <c r="AD30" s="1040">
        <f>+'雨汚水(共通按分後)'!AD30-雨汚水!AD30</f>
        <v>0</v>
      </c>
      <c r="AE30" s="1028">
        <f>+'雨汚水(共通按分後)'!AE30-雨汚水!AE30</f>
        <v>0</v>
      </c>
      <c r="AF30" s="1379">
        <f>+'雨汚水(共通按分後)'!AF30-雨汚水!AF30</f>
        <v>0</v>
      </c>
      <c r="AG30" s="1027">
        <f>+'雨汚水(共通按分後)'!AG30-雨汚水!AG30</f>
        <v>0</v>
      </c>
      <c r="AH30" s="1029">
        <f>+'雨汚水(共通按分後)'!AH30-雨汚水!AH30</f>
        <v>0</v>
      </c>
      <c r="AI30" s="1028">
        <f>+'雨汚水(共通按分後)'!AI30-雨汚水!AI30</f>
        <v>0</v>
      </c>
      <c r="AJ30" s="1027">
        <f>+'雨汚水(共通按分後)'!AJ30-雨汚水!AJ30</f>
        <v>0</v>
      </c>
      <c r="AK30" s="1026">
        <f>+'雨汚水(共通按分後)'!AK30-雨汚水!AK30</f>
        <v>0</v>
      </c>
      <c r="AL30" s="1025">
        <f>+'雨汚水(共通按分後)'!AL30-雨汚水!AL30</f>
        <v>0</v>
      </c>
    </row>
    <row r="31" spans="1:38">
      <c r="A31" s="1024"/>
      <c r="B31" s="1034" t="s">
        <v>1429</v>
      </c>
      <c r="C31" s="1033" t="s">
        <v>1433</v>
      </c>
      <c r="D31" s="1031"/>
      <c r="E31" s="1040">
        <f>+'雨汚水(共通按分後)'!E31-雨汚水!E31</f>
        <v>0</v>
      </c>
      <c r="F31" s="1028">
        <f>+'雨汚水(共通按分後)'!F31-雨汚水!F31</f>
        <v>0</v>
      </c>
      <c r="G31" s="1379">
        <f>+'雨汚水(共通按分後)'!G31-雨汚水!G31</f>
        <v>0</v>
      </c>
      <c r="H31" s="1027">
        <f>+'雨汚水(共通按分後)'!H31-雨汚水!H31</f>
        <v>0</v>
      </c>
      <c r="I31" s="1029">
        <f>+'雨汚水(共通按分後)'!I31-雨汚水!I31</f>
        <v>0</v>
      </c>
      <c r="J31" s="1028">
        <f>+'雨汚水(共通按分後)'!J31-雨汚水!J31</f>
        <v>0</v>
      </c>
      <c r="K31" s="1027">
        <f>+'雨汚水(共通按分後)'!K31-雨汚水!K31</f>
        <v>0</v>
      </c>
      <c r="L31" s="1026">
        <f>+'雨汚水(共通按分後)'!L31-雨汚水!L31</f>
        <v>0</v>
      </c>
      <c r="M31" s="1025">
        <f>+'雨汚水(共通按分後)'!M31-雨汚水!M31</f>
        <v>0</v>
      </c>
      <c r="N31" s="1031"/>
      <c r="O31" s="1040">
        <f>+'雨汚水(共通按分後)'!O31-雨汚水!O31</f>
        <v>0</v>
      </c>
      <c r="P31" s="1028">
        <f>+'雨汚水(共通按分後)'!P31-雨汚水!P31</f>
        <v>0</v>
      </c>
      <c r="Q31" s="1379">
        <f>+'雨汚水(共通按分後)'!Q31-雨汚水!Q31</f>
        <v>0</v>
      </c>
      <c r="R31" s="1027">
        <f>+'雨汚水(共通按分後)'!R31-雨汚水!R31</f>
        <v>0</v>
      </c>
      <c r="S31" s="1029">
        <f>+'雨汚水(共通按分後)'!S31-雨汚水!S31</f>
        <v>0</v>
      </c>
      <c r="T31" s="1028">
        <f>+'雨汚水(共通按分後)'!T31-雨汚水!T31</f>
        <v>0</v>
      </c>
      <c r="U31" s="1027">
        <f>+'雨汚水(共通按分後)'!U31-雨汚水!U31</f>
        <v>0</v>
      </c>
      <c r="V31" s="1026">
        <f>+'雨汚水(共通按分後)'!V31-雨汚水!V31</f>
        <v>0</v>
      </c>
      <c r="W31" s="1025">
        <f>+'雨汚水(共通按分後)'!W31-雨汚水!W31</f>
        <v>0</v>
      </c>
      <c r="X31" s="1031"/>
      <c r="Y31" s="1442"/>
      <c r="Z31" s="1442"/>
      <c r="AA31" s="1442"/>
      <c r="AB31" s="1442"/>
      <c r="AC31" s="1442"/>
      <c r="AD31" s="1040">
        <f>+'雨汚水(共通按分後)'!AD31-雨汚水!AD31</f>
        <v>0</v>
      </c>
      <c r="AE31" s="1028">
        <f>+'雨汚水(共通按分後)'!AE31-雨汚水!AE31</f>
        <v>0</v>
      </c>
      <c r="AF31" s="1379">
        <f>+'雨汚水(共通按分後)'!AF31-雨汚水!AF31</f>
        <v>0</v>
      </c>
      <c r="AG31" s="1027">
        <f>+'雨汚水(共通按分後)'!AG31-雨汚水!AG31</f>
        <v>0</v>
      </c>
      <c r="AH31" s="1029">
        <f>+'雨汚水(共通按分後)'!AH31-雨汚水!AH31</f>
        <v>0</v>
      </c>
      <c r="AI31" s="1028">
        <f>+'雨汚水(共通按分後)'!AI31-雨汚水!AI31</f>
        <v>0</v>
      </c>
      <c r="AJ31" s="1027">
        <f>+'雨汚水(共通按分後)'!AJ31-雨汚水!AJ31</f>
        <v>0</v>
      </c>
      <c r="AK31" s="1026">
        <f>+'雨汚水(共通按分後)'!AK31-雨汚水!AK31</f>
        <v>0</v>
      </c>
      <c r="AL31" s="1025">
        <f>+'雨汚水(共通按分後)'!AL31-雨汚水!AL31</f>
        <v>0</v>
      </c>
    </row>
    <row r="32" spans="1:38">
      <c r="A32" s="1024"/>
      <c r="B32" s="1034" t="s">
        <v>1429</v>
      </c>
      <c r="C32" s="1033" t="s">
        <v>1433</v>
      </c>
      <c r="D32" s="1031"/>
      <c r="E32" s="1040">
        <f>+'雨汚水(共通按分後)'!E32-雨汚水!E32</f>
        <v>0</v>
      </c>
      <c r="F32" s="1028">
        <f>+'雨汚水(共通按分後)'!F32-雨汚水!F32</f>
        <v>0</v>
      </c>
      <c r="G32" s="1379">
        <f>+'雨汚水(共通按分後)'!G32-雨汚水!G32</f>
        <v>0</v>
      </c>
      <c r="H32" s="1027">
        <f>+'雨汚水(共通按分後)'!H32-雨汚水!H32</f>
        <v>0</v>
      </c>
      <c r="I32" s="1029">
        <f>+'雨汚水(共通按分後)'!I32-雨汚水!I32</f>
        <v>0</v>
      </c>
      <c r="J32" s="1028">
        <f>+'雨汚水(共通按分後)'!J32-雨汚水!J32</f>
        <v>0</v>
      </c>
      <c r="K32" s="1027">
        <f>+'雨汚水(共通按分後)'!K32-雨汚水!K32</f>
        <v>0</v>
      </c>
      <c r="L32" s="1026">
        <f>+'雨汚水(共通按分後)'!L32-雨汚水!L32</f>
        <v>0</v>
      </c>
      <c r="M32" s="1025">
        <f>+'雨汚水(共通按分後)'!M32-雨汚水!M32</f>
        <v>0</v>
      </c>
      <c r="N32" s="1031"/>
      <c r="O32" s="1040">
        <f>+'雨汚水(共通按分後)'!O32-雨汚水!O32</f>
        <v>0</v>
      </c>
      <c r="P32" s="1028">
        <f>+'雨汚水(共通按分後)'!P32-雨汚水!P32</f>
        <v>0</v>
      </c>
      <c r="Q32" s="1379">
        <f>+'雨汚水(共通按分後)'!Q32-雨汚水!Q32</f>
        <v>0</v>
      </c>
      <c r="R32" s="1027">
        <f>+'雨汚水(共通按分後)'!R32-雨汚水!R32</f>
        <v>0</v>
      </c>
      <c r="S32" s="1029">
        <f>+'雨汚水(共通按分後)'!S32-雨汚水!S32</f>
        <v>0</v>
      </c>
      <c r="T32" s="1028">
        <f>+'雨汚水(共通按分後)'!T32-雨汚水!T32</f>
        <v>0</v>
      </c>
      <c r="U32" s="1027">
        <f>+'雨汚水(共通按分後)'!U32-雨汚水!U32</f>
        <v>0</v>
      </c>
      <c r="V32" s="1026">
        <f>+'雨汚水(共通按分後)'!V32-雨汚水!V32</f>
        <v>0</v>
      </c>
      <c r="W32" s="1025">
        <f>+'雨汚水(共通按分後)'!W32-雨汚水!W32</f>
        <v>0</v>
      </c>
      <c r="X32" s="1031"/>
      <c r="Y32" s="1442"/>
      <c r="Z32" s="1442"/>
      <c r="AA32" s="1442"/>
      <c r="AB32" s="1442"/>
      <c r="AC32" s="1442"/>
      <c r="AD32" s="1040">
        <f>+'雨汚水(共通按分後)'!AD32-雨汚水!AD32</f>
        <v>0</v>
      </c>
      <c r="AE32" s="1028">
        <f>+'雨汚水(共通按分後)'!AE32-雨汚水!AE32</f>
        <v>0</v>
      </c>
      <c r="AF32" s="1379">
        <f>+'雨汚水(共通按分後)'!AF32-雨汚水!AF32</f>
        <v>0</v>
      </c>
      <c r="AG32" s="1027">
        <f>+'雨汚水(共通按分後)'!AG32-雨汚水!AG32</f>
        <v>0</v>
      </c>
      <c r="AH32" s="1029">
        <f>+'雨汚水(共通按分後)'!AH32-雨汚水!AH32</f>
        <v>0</v>
      </c>
      <c r="AI32" s="1028">
        <f>+'雨汚水(共通按分後)'!AI32-雨汚水!AI32</f>
        <v>0</v>
      </c>
      <c r="AJ32" s="1027">
        <f>+'雨汚水(共通按分後)'!AJ32-雨汚水!AJ32</f>
        <v>0</v>
      </c>
      <c r="AK32" s="1026">
        <f>+'雨汚水(共通按分後)'!AK32-雨汚水!AK32</f>
        <v>0</v>
      </c>
      <c r="AL32" s="1025">
        <f>+'雨汚水(共通按分後)'!AL32-雨汚水!AL32</f>
        <v>0</v>
      </c>
    </row>
    <row r="33" spans="1:38">
      <c r="A33" s="1024"/>
      <c r="B33" s="1034"/>
      <c r="C33" s="1033"/>
      <c r="D33" s="1031"/>
      <c r="E33" s="1040">
        <f>+'雨汚水(共通按分後)'!E33-雨汚水!E33</f>
        <v>0</v>
      </c>
      <c r="F33" s="1028">
        <f>+'雨汚水(共通按分後)'!F33-雨汚水!F33</f>
        <v>0</v>
      </c>
      <c r="G33" s="1379">
        <f>+'雨汚水(共通按分後)'!G33-雨汚水!G33</f>
        <v>0</v>
      </c>
      <c r="H33" s="1027">
        <f>+'雨汚水(共通按分後)'!H33-雨汚水!H33</f>
        <v>0</v>
      </c>
      <c r="I33" s="1029">
        <f>+'雨汚水(共通按分後)'!I33-雨汚水!I33</f>
        <v>0</v>
      </c>
      <c r="J33" s="1028">
        <f>+'雨汚水(共通按分後)'!J33-雨汚水!J33</f>
        <v>0</v>
      </c>
      <c r="K33" s="1027">
        <f>+'雨汚水(共通按分後)'!K33-雨汚水!K33</f>
        <v>0</v>
      </c>
      <c r="L33" s="1026">
        <f>+'雨汚水(共通按分後)'!L33-雨汚水!L33</f>
        <v>0</v>
      </c>
      <c r="M33" s="1025">
        <f>+'雨汚水(共通按分後)'!M33-雨汚水!M33</f>
        <v>0</v>
      </c>
      <c r="N33" s="1031"/>
      <c r="O33" s="1040">
        <f>+'雨汚水(共通按分後)'!O33-雨汚水!O33</f>
        <v>0</v>
      </c>
      <c r="P33" s="1028">
        <f>+'雨汚水(共通按分後)'!P33-雨汚水!P33</f>
        <v>0</v>
      </c>
      <c r="Q33" s="1379">
        <f>+'雨汚水(共通按分後)'!Q33-雨汚水!Q33</f>
        <v>0</v>
      </c>
      <c r="R33" s="1027">
        <f>+'雨汚水(共通按分後)'!R33-雨汚水!R33</f>
        <v>0</v>
      </c>
      <c r="S33" s="1029">
        <f>+'雨汚水(共通按分後)'!S33-雨汚水!S33</f>
        <v>0</v>
      </c>
      <c r="T33" s="1028">
        <f>+'雨汚水(共通按分後)'!T33-雨汚水!T33</f>
        <v>0</v>
      </c>
      <c r="U33" s="1027">
        <f>+'雨汚水(共通按分後)'!U33-雨汚水!U33</f>
        <v>0</v>
      </c>
      <c r="V33" s="1026">
        <f>+'雨汚水(共通按分後)'!V33-雨汚水!V33</f>
        <v>0</v>
      </c>
      <c r="W33" s="1025">
        <f>+'雨汚水(共通按分後)'!W33-雨汚水!W33</f>
        <v>0</v>
      </c>
      <c r="X33" s="1031"/>
      <c r="Y33" s="1442"/>
      <c r="Z33" s="1442"/>
      <c r="AA33" s="1442"/>
      <c r="AB33" s="1442"/>
      <c r="AC33" s="1442"/>
      <c r="AD33" s="1040">
        <f>+'雨汚水(共通按分後)'!AD33-雨汚水!AD33</f>
        <v>0</v>
      </c>
      <c r="AE33" s="1028">
        <f>+'雨汚水(共通按分後)'!AE33-雨汚水!AE33</f>
        <v>0</v>
      </c>
      <c r="AF33" s="1379">
        <f>+'雨汚水(共通按分後)'!AF33-雨汚水!AF33</f>
        <v>0</v>
      </c>
      <c r="AG33" s="1027">
        <f>+'雨汚水(共通按分後)'!AG33-雨汚水!AG33</f>
        <v>0</v>
      </c>
      <c r="AH33" s="1029">
        <f>+'雨汚水(共通按分後)'!AH33-雨汚水!AH33</f>
        <v>0</v>
      </c>
      <c r="AI33" s="1028">
        <f>+'雨汚水(共通按分後)'!AI33-雨汚水!AI33</f>
        <v>0</v>
      </c>
      <c r="AJ33" s="1027">
        <f>+'雨汚水(共通按分後)'!AJ33-雨汚水!AJ33</f>
        <v>0</v>
      </c>
      <c r="AK33" s="1026">
        <f>+'雨汚水(共通按分後)'!AK33-雨汚水!AK33</f>
        <v>0</v>
      </c>
      <c r="AL33" s="1025">
        <f>+'雨汚水(共通按分後)'!AL33-雨汚水!AL33</f>
        <v>0</v>
      </c>
    </row>
    <row r="34" spans="1:38">
      <c r="A34" s="1024"/>
      <c r="B34" s="1034" t="s">
        <v>1427</v>
      </c>
      <c r="C34" s="1033" t="s">
        <v>1446</v>
      </c>
      <c r="D34" s="1031" t="s">
        <v>1448</v>
      </c>
      <c r="E34" s="1040">
        <f>+'雨汚水(共通按分後)'!E34-雨汚水!E34</f>
        <v>0</v>
      </c>
      <c r="F34" s="1028">
        <f>+'雨汚水(共通按分後)'!F34-雨汚水!F34</f>
        <v>-493129738</v>
      </c>
      <c r="G34" s="1379">
        <f>+'雨汚水(共通按分後)'!G34-雨汚水!G34</f>
        <v>8079588</v>
      </c>
      <c r="H34" s="1027">
        <f>+'雨汚水(共通按分後)'!H34-雨汚水!H34</f>
        <v>0</v>
      </c>
      <c r="I34" s="1029">
        <f>+'雨汚水(共通按分後)'!I34-雨汚水!I34</f>
        <v>-485050150</v>
      </c>
      <c r="J34" s="1028">
        <f>+'雨汚水(共通按分後)'!J34-雨汚水!J34</f>
        <v>472947545</v>
      </c>
      <c r="K34" s="1027">
        <f>+'雨汚水(共通按分後)'!K34-雨汚水!K34</f>
        <v>-259030477</v>
      </c>
      <c r="L34" s="1026">
        <f>+'雨汚水(共通按分後)'!L34-雨汚水!L34</f>
        <v>213917068</v>
      </c>
      <c r="M34" s="1025">
        <f>+'雨汚水(共通按分後)'!M34-雨汚水!M34</f>
        <v>271133082</v>
      </c>
      <c r="N34" s="1031" t="s">
        <v>1448</v>
      </c>
      <c r="O34" s="1040">
        <f>+'雨汚水(共通按分後)'!O34-雨汚水!O34</f>
        <v>0</v>
      </c>
      <c r="P34" s="1028">
        <f>+'雨汚水(共通按分後)'!P34-雨汚水!P34</f>
        <v>-493129738</v>
      </c>
      <c r="Q34" s="1379">
        <f>+'雨汚水(共通按分後)'!Q34-雨汚水!Q34</f>
        <v>8079588</v>
      </c>
      <c r="R34" s="1027">
        <f>+'雨汚水(共通按分後)'!R34-雨汚水!R34</f>
        <v>0</v>
      </c>
      <c r="S34" s="1029">
        <f>+'雨汚水(共通按分後)'!S34-雨汚水!S34</f>
        <v>-485050150</v>
      </c>
      <c r="T34" s="1028">
        <f>+'雨汚水(共通按分後)'!T34-雨汚水!T34</f>
        <v>472947545</v>
      </c>
      <c r="U34" s="1027">
        <f>+'雨汚水(共通按分後)'!U34-雨汚水!U34</f>
        <v>-259030477</v>
      </c>
      <c r="V34" s="1026">
        <f>+'雨汚水(共通按分後)'!V34-雨汚水!V34</f>
        <v>213917068</v>
      </c>
      <c r="W34" s="1025">
        <f>+'雨汚水(共通按分後)'!W34-雨汚水!W34</f>
        <v>271133082</v>
      </c>
      <c r="X34" s="1031" t="s">
        <v>1448</v>
      </c>
      <c r="Y34" s="1442"/>
      <c r="Z34" s="1442"/>
      <c r="AA34" s="1442"/>
      <c r="AB34" s="1442"/>
      <c r="AC34" s="1442"/>
      <c r="AD34" s="1040">
        <f>+'雨汚水(共通按分後)'!AD34-雨汚水!AD34</f>
        <v>0</v>
      </c>
      <c r="AE34" s="1028">
        <f>+'雨汚水(共通按分後)'!AE34-雨汚水!AE34</f>
        <v>-493129738</v>
      </c>
      <c r="AF34" s="1379">
        <f>+'雨汚水(共通按分後)'!AF34-雨汚水!AF34</f>
        <v>8079588</v>
      </c>
      <c r="AG34" s="1027">
        <f>+'雨汚水(共通按分後)'!AG34-雨汚水!AG34</f>
        <v>0</v>
      </c>
      <c r="AH34" s="1029">
        <f>+'雨汚水(共通按分後)'!AH34-雨汚水!AH34</f>
        <v>-485050150</v>
      </c>
      <c r="AI34" s="1028">
        <f>+'雨汚水(共通按分後)'!AI34-雨汚水!AI34</f>
        <v>472947545</v>
      </c>
      <c r="AJ34" s="1027">
        <f>+'雨汚水(共通按分後)'!AJ34-雨汚水!AJ34</f>
        <v>-259030477</v>
      </c>
      <c r="AK34" s="1026">
        <f>+'雨汚水(共通按分後)'!AK34-雨汚水!AK34</f>
        <v>213917068</v>
      </c>
      <c r="AL34" s="1025">
        <f>+'雨汚水(共通按分後)'!AL34-雨汚水!AL34</f>
        <v>271133082</v>
      </c>
    </row>
    <row r="35" spans="1:38">
      <c r="A35" s="1024"/>
      <c r="B35" s="1034" t="s">
        <v>1427</v>
      </c>
      <c r="C35" s="1033" t="s">
        <v>1446</v>
      </c>
      <c r="D35" s="1039" t="s">
        <v>1445</v>
      </c>
      <c r="E35" s="1040">
        <f>+'雨汚水(共通按分後)'!E35-雨汚水!E35</f>
        <v>0</v>
      </c>
      <c r="F35" s="1028">
        <f>+'雨汚水(共通按分後)'!F35-雨汚水!F35</f>
        <v>47624770</v>
      </c>
      <c r="G35" s="1379">
        <f>+'雨汚水(共通按分後)'!G35-雨汚水!G35</f>
        <v>838893</v>
      </c>
      <c r="H35" s="1027">
        <f>+'雨汚水(共通按分後)'!H35-雨汚水!H35</f>
        <v>0</v>
      </c>
      <c r="I35" s="1029">
        <f>+'雨汚水(共通按分後)'!I35-雨汚水!I35</f>
        <v>48463663</v>
      </c>
      <c r="J35" s="1028">
        <f>+'雨汚水(共通按分後)'!J35-雨汚水!J35</f>
        <v>7665695</v>
      </c>
      <c r="K35" s="1027">
        <f>+'雨汚水(共通按分後)'!K35-雨汚水!K35</f>
        <v>-56129358</v>
      </c>
      <c r="L35" s="1026">
        <f>+'雨汚水(共通按分後)'!L35-雨汚水!L35</f>
        <v>-48463663</v>
      </c>
      <c r="M35" s="1025">
        <f>+'雨汚水(共通按分後)'!M35-雨汚水!M35</f>
        <v>0</v>
      </c>
      <c r="N35" s="1039" t="s">
        <v>1445</v>
      </c>
      <c r="O35" s="1040">
        <f>+'雨汚水(共通按分後)'!O35-雨汚水!O35</f>
        <v>0</v>
      </c>
      <c r="P35" s="1028">
        <f>+'雨汚水(共通按分後)'!P35-雨汚水!P35</f>
        <v>47624770</v>
      </c>
      <c r="Q35" s="1379">
        <f>+'雨汚水(共通按分後)'!Q35-雨汚水!Q35</f>
        <v>838893</v>
      </c>
      <c r="R35" s="1027">
        <f>+'雨汚水(共通按分後)'!R35-雨汚水!R35</f>
        <v>0</v>
      </c>
      <c r="S35" s="1029">
        <f>+'雨汚水(共通按分後)'!S35-雨汚水!S35</f>
        <v>48463663</v>
      </c>
      <c r="T35" s="1028">
        <f>+'雨汚水(共通按分後)'!T35-雨汚水!T35</f>
        <v>7665695</v>
      </c>
      <c r="U35" s="1027">
        <f>+'雨汚水(共通按分後)'!U35-雨汚水!U35</f>
        <v>-56129358</v>
      </c>
      <c r="V35" s="1026">
        <f>+'雨汚水(共通按分後)'!V35-雨汚水!V35</f>
        <v>-48463663</v>
      </c>
      <c r="W35" s="1025">
        <f>+'雨汚水(共通按分後)'!W35-雨汚水!W35</f>
        <v>0</v>
      </c>
      <c r="X35" s="1039" t="s">
        <v>1445</v>
      </c>
      <c r="Y35" s="1443"/>
      <c r="Z35" s="1443"/>
      <c r="AA35" s="1443"/>
      <c r="AB35" s="1443"/>
      <c r="AC35" s="1443"/>
      <c r="AD35" s="1040">
        <f>+'雨汚水(共通按分後)'!AD35-雨汚水!AD35</f>
        <v>0</v>
      </c>
      <c r="AE35" s="1028">
        <f>+'雨汚水(共通按分後)'!AE35-雨汚水!AE35</f>
        <v>47624770</v>
      </c>
      <c r="AF35" s="1379">
        <f>+'雨汚水(共通按分後)'!AF35-雨汚水!AF35</f>
        <v>838893</v>
      </c>
      <c r="AG35" s="1027">
        <f>+'雨汚水(共通按分後)'!AG35-雨汚水!AG35</f>
        <v>0</v>
      </c>
      <c r="AH35" s="1029">
        <f>+'雨汚水(共通按分後)'!AH35-雨汚水!AH35</f>
        <v>48463663</v>
      </c>
      <c r="AI35" s="1028">
        <f>+'雨汚水(共通按分後)'!AI35-雨汚水!AI35</f>
        <v>7665695</v>
      </c>
      <c r="AJ35" s="1027">
        <f>+'雨汚水(共通按分後)'!AJ35-雨汚水!AJ35</f>
        <v>-56129358</v>
      </c>
      <c r="AK35" s="1026">
        <f>+'雨汚水(共通按分後)'!AK35-雨汚水!AK35</f>
        <v>-48463663</v>
      </c>
      <c r="AL35" s="1025">
        <f>+'雨汚水(共通按分後)'!AL35-雨汚水!AL35</f>
        <v>0</v>
      </c>
    </row>
    <row r="36" spans="1:38">
      <c r="A36" s="1024"/>
      <c r="B36" s="1034"/>
      <c r="C36" s="1033"/>
      <c r="D36" s="1031"/>
      <c r="E36" s="1040">
        <f>+'雨汚水(共通按分後)'!E36-雨汚水!E36</f>
        <v>0</v>
      </c>
      <c r="F36" s="1028">
        <f>+'雨汚水(共通按分後)'!F36-雨汚水!F36</f>
        <v>0</v>
      </c>
      <c r="G36" s="1379">
        <f>+'雨汚水(共通按分後)'!G36-雨汚水!G36</f>
        <v>0</v>
      </c>
      <c r="H36" s="1027">
        <f>+'雨汚水(共通按分後)'!H36-雨汚水!H36</f>
        <v>0</v>
      </c>
      <c r="I36" s="1029">
        <f>+'雨汚水(共通按分後)'!I36-雨汚水!I36</f>
        <v>0</v>
      </c>
      <c r="J36" s="1028">
        <f>+'雨汚水(共通按分後)'!J36-雨汚水!J36</f>
        <v>0</v>
      </c>
      <c r="K36" s="1027">
        <f>+'雨汚水(共通按分後)'!K36-雨汚水!K36</f>
        <v>0</v>
      </c>
      <c r="L36" s="1026">
        <f>+'雨汚水(共通按分後)'!L36-雨汚水!L36</f>
        <v>0</v>
      </c>
      <c r="M36" s="1025">
        <f>+'雨汚水(共通按分後)'!M36-雨汚水!M36</f>
        <v>0</v>
      </c>
      <c r="N36" s="1031"/>
      <c r="O36" s="1040">
        <f>+'雨汚水(共通按分後)'!O36-雨汚水!O36</f>
        <v>0</v>
      </c>
      <c r="P36" s="1028">
        <f>+'雨汚水(共通按分後)'!P36-雨汚水!P36</f>
        <v>0</v>
      </c>
      <c r="Q36" s="1379">
        <f>+'雨汚水(共通按分後)'!Q36-雨汚水!Q36</f>
        <v>0</v>
      </c>
      <c r="R36" s="1027">
        <f>+'雨汚水(共通按分後)'!R36-雨汚水!R36</f>
        <v>0</v>
      </c>
      <c r="S36" s="1029">
        <f>+'雨汚水(共通按分後)'!S36-雨汚水!S36</f>
        <v>0</v>
      </c>
      <c r="T36" s="1028">
        <f>+'雨汚水(共通按分後)'!T36-雨汚水!T36</f>
        <v>0</v>
      </c>
      <c r="U36" s="1027">
        <f>+'雨汚水(共通按分後)'!U36-雨汚水!U36</f>
        <v>0</v>
      </c>
      <c r="V36" s="1026">
        <f>+'雨汚水(共通按分後)'!V36-雨汚水!V36</f>
        <v>0</v>
      </c>
      <c r="W36" s="1025">
        <f>+'雨汚水(共通按分後)'!W36-雨汚水!W36</f>
        <v>0</v>
      </c>
      <c r="X36" s="1031"/>
      <c r="Y36" s="1442"/>
      <c r="Z36" s="1442"/>
      <c r="AA36" s="1442"/>
      <c r="AB36" s="1442"/>
      <c r="AC36" s="1442"/>
      <c r="AD36" s="1040">
        <f>+'雨汚水(共通按分後)'!AD36-雨汚水!AD36</f>
        <v>0</v>
      </c>
      <c r="AE36" s="1028">
        <f>+'雨汚水(共通按分後)'!AE36-雨汚水!AE36</f>
        <v>0</v>
      </c>
      <c r="AF36" s="1379">
        <f>+'雨汚水(共通按分後)'!AF36-雨汚水!AF36</f>
        <v>0</v>
      </c>
      <c r="AG36" s="1027">
        <f>+'雨汚水(共通按分後)'!AG36-雨汚水!AG36</f>
        <v>0</v>
      </c>
      <c r="AH36" s="1029">
        <f>+'雨汚水(共通按分後)'!AH36-雨汚水!AH36</f>
        <v>0</v>
      </c>
      <c r="AI36" s="1028">
        <f>+'雨汚水(共通按分後)'!AI36-雨汚水!AI36</f>
        <v>0</v>
      </c>
      <c r="AJ36" s="1027">
        <f>+'雨汚水(共通按分後)'!AJ36-雨汚水!AJ36</f>
        <v>0</v>
      </c>
      <c r="AK36" s="1026">
        <f>+'雨汚水(共通按分後)'!AK36-雨汚水!AK36</f>
        <v>0</v>
      </c>
      <c r="AL36" s="1025">
        <f>+'雨汚水(共通按分後)'!AL36-雨汚水!AL36</f>
        <v>0</v>
      </c>
    </row>
    <row r="37" spans="1:38">
      <c r="A37" s="1024"/>
      <c r="B37" s="1034" t="s">
        <v>1427</v>
      </c>
      <c r="C37" s="1033" t="s">
        <v>1439</v>
      </c>
      <c r="D37" s="1031" t="s">
        <v>1531</v>
      </c>
      <c r="E37" s="1040">
        <f>+'雨汚水(共通按分後)'!E37-雨汚水!E37</f>
        <v>0</v>
      </c>
      <c r="F37" s="1028">
        <f>+'雨汚水(共通按分後)'!F37-雨汚水!F37</f>
        <v>1601838872</v>
      </c>
      <c r="G37" s="1379">
        <f>+'雨汚水(共通按分後)'!G37-雨汚水!G37</f>
        <v>0</v>
      </c>
      <c r="H37" s="1027">
        <f>+'雨汚水(共通按分後)'!H37-雨汚水!H37</f>
        <v>56855052</v>
      </c>
      <c r="I37" s="1029">
        <f>+'雨汚水(共通按分後)'!I37-雨汚水!I37</f>
        <v>1658693924</v>
      </c>
      <c r="J37" s="1028">
        <f>+'雨汚水(共通按分後)'!J37-雨汚水!J37</f>
        <v>560619842</v>
      </c>
      <c r="K37" s="1027">
        <f>+'雨汚水(共通按分後)'!K37-雨汚水!K37</f>
        <v>2364180286</v>
      </c>
      <c r="L37" s="1026">
        <f>+'雨汚水(共通按分後)'!L37-雨汚水!L37</f>
        <v>2924800128</v>
      </c>
      <c r="M37" s="1025">
        <f>+'雨汚水(共通按分後)'!M37-雨汚水!M37</f>
        <v>-4583494052</v>
      </c>
      <c r="N37" s="1031" t="s">
        <v>1531</v>
      </c>
      <c r="O37" s="1040">
        <f>+'雨汚水(共通按分後)'!O37-雨汚水!O37</f>
        <v>0</v>
      </c>
      <c r="P37" s="1028">
        <f>+'雨汚水(共通按分後)'!P37-雨汚水!P37</f>
        <v>1601838872</v>
      </c>
      <c r="Q37" s="1379">
        <f>+'雨汚水(共通按分後)'!Q37-雨汚水!Q37</f>
        <v>0</v>
      </c>
      <c r="R37" s="1027">
        <f>+'雨汚水(共通按分後)'!R37-雨汚水!R37</f>
        <v>56855052</v>
      </c>
      <c r="S37" s="1029">
        <f>+'雨汚水(共通按分後)'!S37-雨汚水!S37</f>
        <v>1658693924</v>
      </c>
      <c r="T37" s="1028">
        <f>+'雨汚水(共通按分後)'!T37-雨汚水!T37</f>
        <v>560619842</v>
      </c>
      <c r="U37" s="1027">
        <f>+'雨汚水(共通按分後)'!U37-雨汚水!U37</f>
        <v>-2219313766</v>
      </c>
      <c r="V37" s="1026">
        <f>+'雨汚水(共通按分後)'!V37-雨汚水!V37</f>
        <v>-1658693924</v>
      </c>
      <c r="W37" s="1025">
        <f>+'雨汚水(共通按分後)'!W37-雨汚水!W37</f>
        <v>0</v>
      </c>
      <c r="X37" s="1039" t="s">
        <v>1443</v>
      </c>
      <c r="Y37" s="1443"/>
      <c r="Z37" s="1443"/>
      <c r="AA37" s="1443"/>
      <c r="AB37" s="1443"/>
      <c r="AC37" s="1443"/>
      <c r="AD37" s="1040">
        <f>+'雨汚水(共通按分後)'!AD37-雨汚水!AD37</f>
        <v>0</v>
      </c>
      <c r="AE37" s="1028">
        <f>+'雨汚水(共通按分後)'!AE37-雨汚水!AE37</f>
        <v>1601838872</v>
      </c>
      <c r="AF37" s="1379">
        <f>+'雨汚水(共通按分後)'!AF37-雨汚水!AF37</f>
        <v>0</v>
      </c>
      <c r="AG37" s="1027">
        <f>+'雨汚水(共通按分後)'!AG37-雨汚水!AG37</f>
        <v>56855052</v>
      </c>
      <c r="AH37" s="1029">
        <f>+'雨汚水(共通按分後)'!AH37-雨汚水!AH37</f>
        <v>1658693924</v>
      </c>
      <c r="AI37" s="1028">
        <f>+'雨汚水(共通按分後)'!AI37-雨汚水!AI37</f>
        <v>560619842</v>
      </c>
      <c r="AJ37" s="1027">
        <f>+'雨汚水(共通按分後)'!AJ37-雨汚水!AJ37</f>
        <v>-2219313766</v>
      </c>
      <c r="AK37" s="1026">
        <f>+'雨汚水(共通按分後)'!AK37-雨汚水!AK37</f>
        <v>-1658693924</v>
      </c>
      <c r="AL37" s="1025">
        <f>+'雨汚水(共通按分後)'!AL37-雨汚水!AL37</f>
        <v>0</v>
      </c>
    </row>
    <row r="38" spans="1:38">
      <c r="A38" s="1024"/>
      <c r="B38" s="1034" t="s">
        <v>1427</v>
      </c>
      <c r="C38" s="1033" t="s">
        <v>1439</v>
      </c>
      <c r="D38" s="1031" t="s">
        <v>1441</v>
      </c>
      <c r="E38" s="1040">
        <f>+'雨汚水(共通按分後)'!E38-雨汚水!E38</f>
        <v>0</v>
      </c>
      <c r="F38" s="1028">
        <f>+'雨汚水(共通按分後)'!F38-雨汚水!F38</f>
        <v>-9202296</v>
      </c>
      <c r="G38" s="1379">
        <f>+'雨汚水(共通按分後)'!G38-雨汚水!G38</f>
        <v>0</v>
      </c>
      <c r="H38" s="1027">
        <f>+'雨汚水(共通按分後)'!H38-雨汚水!H38</f>
        <v>0</v>
      </c>
      <c r="I38" s="1029">
        <f>+'雨汚水(共通按分後)'!I38-雨汚水!I38</f>
        <v>-9202296</v>
      </c>
      <c r="J38" s="1028">
        <f>+'雨汚水(共通按分後)'!J38-雨汚水!J38</f>
        <v>0</v>
      </c>
      <c r="K38" s="1027">
        <f>+'雨汚水(共通按分後)'!K38-雨汚水!K38</f>
        <v>-5650548</v>
      </c>
      <c r="L38" s="1026">
        <f>+'雨汚水(共通按分後)'!L38-雨汚水!L38</f>
        <v>-5650548</v>
      </c>
      <c r="M38" s="1025">
        <f>+'雨汚水(共通按分後)'!M38-雨汚水!M38</f>
        <v>14852844</v>
      </c>
      <c r="N38" s="1031" t="s">
        <v>1441</v>
      </c>
      <c r="O38" s="1040">
        <f>+'雨汚水(共通按分後)'!O38-雨汚水!O38</f>
        <v>0</v>
      </c>
      <c r="P38" s="1028">
        <f>+'雨汚水(共通按分後)'!P38-雨汚水!P38</f>
        <v>-8365724</v>
      </c>
      <c r="Q38" s="1379">
        <f>+'雨汚水(共通按分後)'!Q38-雨汚水!Q38</f>
        <v>0</v>
      </c>
      <c r="R38" s="1027">
        <f>+'雨汚水(共通按分後)'!R38-雨汚水!R38</f>
        <v>0</v>
      </c>
      <c r="S38" s="1029">
        <f>+'雨汚水(共通按分後)'!S38-雨汚水!S38</f>
        <v>-8365724</v>
      </c>
      <c r="T38" s="1028">
        <f>+'雨汚水(共通按分後)'!T38-雨汚水!T38</f>
        <v>0</v>
      </c>
      <c r="U38" s="1027">
        <f>+'雨汚水(共通按分後)'!U38-雨汚水!U38</f>
        <v>8365724</v>
      </c>
      <c r="V38" s="1026">
        <f>+'雨汚水(共通按分後)'!V38-雨汚水!V38</f>
        <v>8365724</v>
      </c>
      <c r="W38" s="1025">
        <f>+'雨汚水(共通按分後)'!W38-雨汚水!W38</f>
        <v>0</v>
      </c>
      <c r="X38" s="1031" t="s">
        <v>1441</v>
      </c>
      <c r="Y38" s="1442"/>
      <c r="Z38" s="1442"/>
      <c r="AA38" s="1442"/>
      <c r="AB38" s="1442"/>
      <c r="AC38" s="1442"/>
      <c r="AD38" s="1040">
        <f>+'雨汚水(共通按分後)'!AD38-雨汚水!AD38</f>
        <v>0</v>
      </c>
      <c r="AE38" s="1028">
        <f>+'雨汚水(共通按分後)'!AE38-雨汚水!AE38</f>
        <v>-8365724</v>
      </c>
      <c r="AF38" s="1379">
        <f>+'雨汚水(共通按分後)'!AF38-雨汚水!AF38</f>
        <v>0</v>
      </c>
      <c r="AG38" s="1027">
        <f>+'雨汚水(共通按分後)'!AG38-雨汚水!AG38</f>
        <v>0</v>
      </c>
      <c r="AH38" s="1029">
        <f>+'雨汚水(共通按分後)'!AH38-雨汚水!AH38</f>
        <v>-8365724</v>
      </c>
      <c r="AI38" s="1028">
        <f>+'雨汚水(共通按分後)'!AI38-雨汚水!AI38</f>
        <v>0</v>
      </c>
      <c r="AJ38" s="1027">
        <f>+'雨汚水(共通按分後)'!AJ38-雨汚水!AJ38</f>
        <v>8365724</v>
      </c>
      <c r="AK38" s="1026">
        <f>+'雨汚水(共通按分後)'!AK38-雨汚水!AK38</f>
        <v>8365724</v>
      </c>
      <c r="AL38" s="1025">
        <f>+'雨汚水(共通按分後)'!AL38-雨汚水!AL38</f>
        <v>0</v>
      </c>
    </row>
    <row r="39" spans="1:38">
      <c r="A39" s="1024"/>
      <c r="B39" s="1034" t="s">
        <v>1427</v>
      </c>
      <c r="C39" s="1033" t="s">
        <v>1439</v>
      </c>
      <c r="D39" s="1039" t="s">
        <v>1438</v>
      </c>
      <c r="E39" s="1040">
        <f>+'雨汚水(共通按分後)'!E39-雨汚水!E39</f>
        <v>0</v>
      </c>
      <c r="F39" s="1028">
        <f>+'雨汚水(共通按分後)'!F39-雨汚水!F39</f>
        <v>0</v>
      </c>
      <c r="G39" s="1379">
        <f>+'雨汚水(共通按分後)'!G39-雨汚水!G39</f>
        <v>0</v>
      </c>
      <c r="H39" s="1027">
        <f>+'雨汚水(共通按分後)'!H39-雨汚水!H39</f>
        <v>0</v>
      </c>
      <c r="I39" s="1029">
        <f>+'雨汚水(共通按分後)'!I39-雨汚水!I39</f>
        <v>0</v>
      </c>
      <c r="J39" s="1028">
        <f>+'雨汚水(共通按分後)'!J39-雨汚水!J39</f>
        <v>0</v>
      </c>
      <c r="K39" s="1027">
        <f>+'雨汚水(共通按分後)'!K39-雨汚水!K39</f>
        <v>0</v>
      </c>
      <c r="L39" s="1026">
        <f>+'雨汚水(共通按分後)'!L39-雨汚水!L39</f>
        <v>0</v>
      </c>
      <c r="M39" s="1025">
        <f>+'雨汚水(共通按分後)'!M39-雨汚水!M39</f>
        <v>0</v>
      </c>
      <c r="N39" s="1039" t="s">
        <v>1438</v>
      </c>
      <c r="O39" s="1040">
        <f>+'雨汚水(共通按分後)'!O39-雨汚水!O39</f>
        <v>0</v>
      </c>
      <c r="P39" s="1028">
        <f>+'雨汚水(共通按分後)'!P39-雨汚水!P39</f>
        <v>0</v>
      </c>
      <c r="Q39" s="1379">
        <f>+'雨汚水(共通按分後)'!Q39-雨汚水!Q39</f>
        <v>0</v>
      </c>
      <c r="R39" s="1027">
        <f>+'雨汚水(共通按分後)'!R39-雨汚水!R39</f>
        <v>0</v>
      </c>
      <c r="S39" s="1029">
        <f>+'雨汚水(共通按分後)'!S39-雨汚水!S39</f>
        <v>0</v>
      </c>
      <c r="T39" s="1028">
        <f>+'雨汚水(共通按分後)'!T39-雨汚水!T39</f>
        <v>0</v>
      </c>
      <c r="U39" s="1027">
        <f>+'雨汚水(共通按分後)'!U39-雨汚水!U39</f>
        <v>0</v>
      </c>
      <c r="V39" s="1026">
        <f>+'雨汚水(共通按分後)'!V39-雨汚水!V39</f>
        <v>0</v>
      </c>
      <c r="W39" s="1025">
        <f>+'雨汚水(共通按分後)'!W39-雨汚水!W39</f>
        <v>0</v>
      </c>
      <c r="X39" s="1031" t="s">
        <v>1438</v>
      </c>
      <c r="Y39" s="1442"/>
      <c r="Z39" s="1442"/>
      <c r="AA39" s="1442"/>
      <c r="AB39" s="1442"/>
      <c r="AC39" s="1442"/>
      <c r="AD39" s="1040">
        <f>+'雨汚水(共通按分後)'!AD39-雨汚水!AD39</f>
        <v>-4583494052</v>
      </c>
      <c r="AE39" s="1028">
        <f>+'雨汚水(共通按分後)'!AE39-雨汚水!AE39</f>
        <v>-3528509030</v>
      </c>
      <c r="AF39" s="1379">
        <f>+'雨汚水(共通按分後)'!AF39-雨汚水!AF39</f>
        <v>0</v>
      </c>
      <c r="AG39" s="1027">
        <f>+'雨汚水(共通按分後)'!AG39-雨汚水!AG39</f>
        <v>-101485026</v>
      </c>
      <c r="AH39" s="1029">
        <f>+'雨汚水(共通按分後)'!AH39-雨汚水!AH39</f>
        <v>-3629994056</v>
      </c>
      <c r="AI39" s="1028">
        <f>+'雨汚水(共通按分後)'!AI39-雨汚水!AI39</f>
        <v>-953499996</v>
      </c>
      <c r="AJ39" s="1027">
        <f>+'雨汚水(共通按分後)'!AJ39-雨汚水!AJ39</f>
        <v>0</v>
      </c>
      <c r="AK39" s="1026">
        <f>+'雨汚水(共通按分後)'!AK39-雨汚水!AK39</f>
        <v>-953499996</v>
      </c>
      <c r="AL39" s="1025">
        <f>+'雨汚水(共通按分後)'!AL39-雨汚水!AL39</f>
        <v>0</v>
      </c>
    </row>
    <row r="40" spans="1:38">
      <c r="A40" s="1024"/>
      <c r="B40" s="1034"/>
      <c r="C40" s="1033"/>
      <c r="D40" s="1031"/>
      <c r="E40" s="1040">
        <f>+'雨汚水(共通按分後)'!E40-雨汚水!E40</f>
        <v>0</v>
      </c>
      <c r="F40" s="1028">
        <f>+'雨汚水(共通按分後)'!F40-雨汚水!F40</f>
        <v>0</v>
      </c>
      <c r="G40" s="1379">
        <f>+'雨汚水(共通按分後)'!G40-雨汚水!G40</f>
        <v>0</v>
      </c>
      <c r="H40" s="1027">
        <f>+'雨汚水(共通按分後)'!H40-雨汚水!H40</f>
        <v>0</v>
      </c>
      <c r="I40" s="1029">
        <f>+'雨汚水(共通按分後)'!I40-雨汚水!I40</f>
        <v>0</v>
      </c>
      <c r="J40" s="1028">
        <f>+'雨汚水(共通按分後)'!J40-雨汚水!J40</f>
        <v>0</v>
      </c>
      <c r="K40" s="1027">
        <f>+'雨汚水(共通按分後)'!K40-雨汚水!K40</f>
        <v>0</v>
      </c>
      <c r="L40" s="1026">
        <f>+'雨汚水(共通按分後)'!L40-雨汚水!L40</f>
        <v>0</v>
      </c>
      <c r="M40" s="1025">
        <f>+'雨汚水(共通按分後)'!M40-雨汚水!M40</f>
        <v>0</v>
      </c>
      <c r="N40" s="1031"/>
      <c r="O40" s="1040">
        <f>+'雨汚水(共通按分後)'!O40-雨汚水!O40</f>
        <v>0</v>
      </c>
      <c r="P40" s="1028">
        <f>+'雨汚水(共通按分後)'!P40-雨汚水!P40</f>
        <v>0</v>
      </c>
      <c r="Q40" s="1379">
        <f>+'雨汚水(共通按分後)'!Q40-雨汚水!Q40</f>
        <v>0</v>
      </c>
      <c r="R40" s="1027">
        <f>+'雨汚水(共通按分後)'!R40-雨汚水!R40</f>
        <v>0</v>
      </c>
      <c r="S40" s="1029">
        <f>+'雨汚水(共通按分後)'!S40-雨汚水!S40</f>
        <v>0</v>
      </c>
      <c r="T40" s="1028">
        <f>+'雨汚水(共通按分後)'!T40-雨汚水!T40</f>
        <v>0</v>
      </c>
      <c r="U40" s="1027">
        <f>+'雨汚水(共通按分後)'!U40-雨汚水!U40</f>
        <v>0</v>
      </c>
      <c r="V40" s="1026">
        <f>+'雨汚水(共通按分後)'!V40-雨汚水!V40</f>
        <v>0</v>
      </c>
      <c r="W40" s="1025">
        <f>+'雨汚水(共通按分後)'!W40-雨汚水!W40</f>
        <v>0</v>
      </c>
      <c r="X40" s="1031"/>
      <c r="Y40" s="1442"/>
      <c r="Z40" s="1442"/>
      <c r="AA40" s="1442"/>
      <c r="AB40" s="1442"/>
      <c r="AC40" s="1442"/>
      <c r="AD40" s="1040">
        <f>+'雨汚水(共通按分後)'!AD40-雨汚水!AD40</f>
        <v>0</v>
      </c>
      <c r="AE40" s="1028">
        <f>+'雨汚水(共通按分後)'!AE40-雨汚水!AE40</f>
        <v>0</v>
      </c>
      <c r="AF40" s="1379">
        <f>+'雨汚水(共通按分後)'!AF40-雨汚水!AF40</f>
        <v>0</v>
      </c>
      <c r="AG40" s="1027">
        <f>+'雨汚水(共通按分後)'!AG40-雨汚水!AG40</f>
        <v>0</v>
      </c>
      <c r="AH40" s="1029">
        <f>+'雨汚水(共通按分後)'!AH40-雨汚水!AH40</f>
        <v>0</v>
      </c>
      <c r="AI40" s="1028">
        <f>+'雨汚水(共通按分後)'!AI40-雨汚水!AI40</f>
        <v>0</v>
      </c>
      <c r="AJ40" s="1027">
        <f>+'雨汚水(共通按分後)'!AJ40-雨汚水!AJ40</f>
        <v>0</v>
      </c>
      <c r="AK40" s="1026">
        <f>+'雨汚水(共通按分後)'!AK40-雨汚水!AK40</f>
        <v>0</v>
      </c>
      <c r="AL40" s="1025">
        <f>+'雨汚水(共通按分後)'!AL40-雨汚水!AL40</f>
        <v>0</v>
      </c>
    </row>
    <row r="41" spans="1:38">
      <c r="A41" s="1024"/>
      <c r="B41" s="1034" t="s">
        <v>1427</v>
      </c>
      <c r="C41" s="1033" t="s">
        <v>1433</v>
      </c>
      <c r="D41" s="1031"/>
      <c r="E41" s="1040">
        <f>+'雨汚水(共通按分後)'!E41-雨汚水!E41</f>
        <v>0</v>
      </c>
      <c r="F41" s="1028">
        <f>+'雨汚水(共通按分後)'!F41-雨汚水!F41</f>
        <v>0</v>
      </c>
      <c r="G41" s="1379">
        <f>+'雨汚水(共通按分後)'!G41-雨汚水!G41</f>
        <v>0</v>
      </c>
      <c r="H41" s="1027">
        <f>+'雨汚水(共通按分後)'!H41-雨汚水!H41</f>
        <v>0</v>
      </c>
      <c r="I41" s="1029">
        <f>+'雨汚水(共通按分後)'!I41-雨汚水!I41</f>
        <v>0</v>
      </c>
      <c r="J41" s="1028">
        <f>+'雨汚水(共通按分後)'!J41-雨汚水!J41</f>
        <v>0</v>
      </c>
      <c r="K41" s="1027">
        <f>+'雨汚水(共通按分後)'!K41-雨汚水!K41</f>
        <v>0</v>
      </c>
      <c r="L41" s="1026">
        <f>+'雨汚水(共通按分後)'!L41-雨汚水!L41</f>
        <v>0</v>
      </c>
      <c r="M41" s="1025">
        <f>+'雨汚水(共通按分後)'!M41-雨汚水!M41</f>
        <v>0</v>
      </c>
      <c r="N41" s="1031"/>
      <c r="O41" s="1040">
        <f>+'雨汚水(共通按分後)'!O41-雨汚水!O41</f>
        <v>0</v>
      </c>
      <c r="P41" s="1028">
        <f>+'雨汚水(共通按分後)'!P41-雨汚水!P41</f>
        <v>0</v>
      </c>
      <c r="Q41" s="1379">
        <f>+'雨汚水(共通按分後)'!Q41-雨汚水!Q41</f>
        <v>0</v>
      </c>
      <c r="R41" s="1027">
        <f>+'雨汚水(共通按分後)'!R41-雨汚水!R41</f>
        <v>0</v>
      </c>
      <c r="S41" s="1029">
        <f>+'雨汚水(共通按分後)'!S41-雨汚水!S41</f>
        <v>0</v>
      </c>
      <c r="T41" s="1028">
        <f>+'雨汚水(共通按分後)'!T41-雨汚水!T41</f>
        <v>0</v>
      </c>
      <c r="U41" s="1027">
        <f>+'雨汚水(共通按分後)'!U41-雨汚水!U41</f>
        <v>0</v>
      </c>
      <c r="V41" s="1026">
        <f>+'雨汚水(共通按分後)'!V41-雨汚水!V41</f>
        <v>0</v>
      </c>
      <c r="W41" s="1025">
        <f>+'雨汚水(共通按分後)'!W41-雨汚水!W41</f>
        <v>0</v>
      </c>
      <c r="X41" s="1031"/>
      <c r="Y41" s="1442"/>
      <c r="Z41" s="1442"/>
      <c r="AA41" s="1442"/>
      <c r="AB41" s="1442"/>
      <c r="AC41" s="1442"/>
      <c r="AD41" s="1040">
        <f>+'雨汚水(共通按分後)'!AD41-雨汚水!AD41</f>
        <v>0</v>
      </c>
      <c r="AE41" s="1028">
        <f>+'雨汚水(共通按分後)'!AE41-雨汚水!AE41</f>
        <v>0</v>
      </c>
      <c r="AF41" s="1379">
        <f>+'雨汚水(共通按分後)'!AF41-雨汚水!AF41</f>
        <v>0</v>
      </c>
      <c r="AG41" s="1027">
        <f>+'雨汚水(共通按分後)'!AG41-雨汚水!AG41</f>
        <v>0</v>
      </c>
      <c r="AH41" s="1029">
        <f>+'雨汚水(共通按分後)'!AH41-雨汚水!AH41</f>
        <v>0</v>
      </c>
      <c r="AI41" s="1028">
        <f>+'雨汚水(共通按分後)'!AI41-雨汚水!AI41</f>
        <v>0</v>
      </c>
      <c r="AJ41" s="1027">
        <f>+'雨汚水(共通按分後)'!AJ41-雨汚水!AJ41</f>
        <v>0</v>
      </c>
      <c r="AK41" s="1026">
        <f>+'雨汚水(共通按分後)'!AK41-雨汚水!AK41</f>
        <v>0</v>
      </c>
      <c r="AL41" s="1025">
        <f>+'雨汚水(共通按分後)'!AL41-雨汚水!AL41</f>
        <v>0</v>
      </c>
    </row>
    <row r="42" spans="1:38">
      <c r="A42" s="1024"/>
      <c r="B42" s="1034" t="s">
        <v>1427</v>
      </c>
      <c r="C42" s="1033" t="s">
        <v>1433</v>
      </c>
      <c r="D42" s="1031" t="s">
        <v>1437</v>
      </c>
      <c r="E42" s="1040">
        <f>+'雨汚水(共通按分後)'!E42-雨汚水!E42</f>
        <v>0</v>
      </c>
      <c r="F42" s="1028">
        <f>+'雨汚水(共通按分後)'!F42-雨汚水!F42</f>
        <v>0</v>
      </c>
      <c r="G42" s="1379">
        <f>+'雨汚水(共通按分後)'!G42-雨汚水!G42</f>
        <v>0</v>
      </c>
      <c r="H42" s="1027">
        <f>+'雨汚水(共通按分後)'!H42-雨汚水!H42</f>
        <v>0</v>
      </c>
      <c r="I42" s="1029">
        <f>+'雨汚水(共通按分後)'!I42-雨汚水!I42</f>
        <v>0</v>
      </c>
      <c r="J42" s="1028">
        <f>+'雨汚水(共通按分後)'!J42-雨汚水!J42</f>
        <v>0</v>
      </c>
      <c r="K42" s="1027">
        <f>+'雨汚水(共通按分後)'!K42-雨汚水!K42</f>
        <v>0</v>
      </c>
      <c r="L42" s="1026">
        <f>+'雨汚水(共通按分後)'!L42-雨汚水!L42</f>
        <v>0</v>
      </c>
      <c r="M42" s="1025">
        <f>+'雨汚水(共通按分後)'!M42-雨汚水!M42</f>
        <v>0</v>
      </c>
      <c r="N42" s="1031" t="s">
        <v>1437</v>
      </c>
      <c r="O42" s="1040">
        <f>+'雨汚水(共通按分後)'!O42-雨汚水!O42</f>
        <v>0</v>
      </c>
      <c r="P42" s="1028">
        <f>+'雨汚水(共通按分後)'!P42-雨汚水!P42</f>
        <v>0</v>
      </c>
      <c r="Q42" s="1379">
        <f>+'雨汚水(共通按分後)'!Q42-雨汚水!Q42</f>
        <v>0</v>
      </c>
      <c r="R42" s="1027">
        <f>+'雨汚水(共通按分後)'!R42-雨汚水!R42</f>
        <v>0</v>
      </c>
      <c r="S42" s="1029">
        <f>+'雨汚水(共通按分後)'!S42-雨汚水!S42</f>
        <v>0</v>
      </c>
      <c r="T42" s="1028">
        <f>+'雨汚水(共通按分後)'!T42-雨汚水!T42</f>
        <v>0</v>
      </c>
      <c r="U42" s="1027">
        <f>+'雨汚水(共通按分後)'!U42-雨汚水!U42</f>
        <v>0</v>
      </c>
      <c r="V42" s="1026">
        <f>+'雨汚水(共通按分後)'!V42-雨汚水!V42</f>
        <v>0</v>
      </c>
      <c r="W42" s="1025">
        <f>+'雨汚水(共通按分後)'!W42-雨汚水!W42</f>
        <v>0</v>
      </c>
      <c r="X42" s="1031" t="s">
        <v>1437</v>
      </c>
      <c r="Y42" s="1442"/>
      <c r="Z42" s="1442"/>
      <c r="AA42" s="1442"/>
      <c r="AB42" s="1442"/>
      <c r="AC42" s="1442"/>
      <c r="AD42" s="1040">
        <f>+'雨汚水(共通按分後)'!AD42-雨汚水!AD42</f>
        <v>0</v>
      </c>
      <c r="AE42" s="1028">
        <f>+'雨汚水(共通按分後)'!AE42-雨汚水!AE42</f>
        <v>0</v>
      </c>
      <c r="AF42" s="1379">
        <f>+'雨汚水(共通按分後)'!AF42-雨汚水!AF42</f>
        <v>0</v>
      </c>
      <c r="AG42" s="1027">
        <f>+'雨汚水(共通按分後)'!AG42-雨汚水!AG42</f>
        <v>0</v>
      </c>
      <c r="AH42" s="1029">
        <f>+'雨汚水(共通按分後)'!AH42-雨汚水!AH42</f>
        <v>0</v>
      </c>
      <c r="AI42" s="1028">
        <f>+'雨汚水(共通按分後)'!AI42-雨汚水!AI42</f>
        <v>0</v>
      </c>
      <c r="AJ42" s="1027">
        <f>+'雨汚水(共通按分後)'!AJ42-雨汚水!AJ42</f>
        <v>0</v>
      </c>
      <c r="AK42" s="1026">
        <f>+'雨汚水(共通按分後)'!AK42-雨汚水!AK42</f>
        <v>0</v>
      </c>
      <c r="AL42" s="1025">
        <f>+'雨汚水(共通按分後)'!AL42-雨汚水!AL42</f>
        <v>0</v>
      </c>
    </row>
    <row r="43" spans="1:38">
      <c r="A43" s="1024"/>
      <c r="B43" s="1034" t="s">
        <v>1427</v>
      </c>
      <c r="C43" s="1033" t="s">
        <v>1433</v>
      </c>
      <c r="D43" s="1031" t="s">
        <v>1435</v>
      </c>
      <c r="E43" s="1040">
        <f>+'雨汚水(共通按分後)'!E43-雨汚水!E43</f>
        <v>0</v>
      </c>
      <c r="F43" s="1028">
        <f>+'雨汚水(共通按分後)'!F43-雨汚水!F43</f>
        <v>0</v>
      </c>
      <c r="G43" s="1379">
        <f>+'雨汚水(共通按分後)'!G43-雨汚水!G43</f>
        <v>0</v>
      </c>
      <c r="H43" s="1027">
        <f>+'雨汚水(共通按分後)'!H43-雨汚水!H43</f>
        <v>0</v>
      </c>
      <c r="I43" s="1029">
        <f>+'雨汚水(共通按分後)'!I43-雨汚水!I43</f>
        <v>0</v>
      </c>
      <c r="J43" s="1028">
        <f>+'雨汚水(共通按分後)'!J43-雨汚水!J43</f>
        <v>0</v>
      </c>
      <c r="K43" s="1027">
        <f>+'雨汚水(共通按分後)'!K43-雨汚水!K43</f>
        <v>0</v>
      </c>
      <c r="L43" s="1026">
        <f>+'雨汚水(共通按分後)'!L43-雨汚水!L43</f>
        <v>0</v>
      </c>
      <c r="M43" s="1025">
        <f>+'雨汚水(共通按分後)'!M43-雨汚水!M43</f>
        <v>0</v>
      </c>
      <c r="N43" s="1031" t="s">
        <v>1435</v>
      </c>
      <c r="O43" s="1040">
        <f>+'雨汚水(共通按分後)'!O43-雨汚水!O43</f>
        <v>0</v>
      </c>
      <c r="P43" s="1028">
        <f>+'雨汚水(共通按分後)'!P43-雨汚水!P43</f>
        <v>0</v>
      </c>
      <c r="Q43" s="1379">
        <f>+'雨汚水(共通按分後)'!Q43-雨汚水!Q43</f>
        <v>0</v>
      </c>
      <c r="R43" s="1027">
        <f>+'雨汚水(共通按分後)'!R43-雨汚水!R43</f>
        <v>0</v>
      </c>
      <c r="S43" s="1029">
        <f>+'雨汚水(共通按分後)'!S43-雨汚水!S43</f>
        <v>0</v>
      </c>
      <c r="T43" s="1028">
        <f>+'雨汚水(共通按分後)'!T43-雨汚水!T43</f>
        <v>0</v>
      </c>
      <c r="U43" s="1027">
        <f>+'雨汚水(共通按分後)'!U43-雨汚水!U43</f>
        <v>0</v>
      </c>
      <c r="V43" s="1026">
        <f>+'雨汚水(共通按分後)'!V43-雨汚水!V43</f>
        <v>0</v>
      </c>
      <c r="W43" s="1025">
        <f>+'雨汚水(共通按分後)'!W43-雨汚水!W43</f>
        <v>0</v>
      </c>
      <c r="X43" s="1031" t="s">
        <v>1435</v>
      </c>
      <c r="Y43" s="1442"/>
      <c r="Z43" s="1442"/>
      <c r="AA43" s="1442"/>
      <c r="AB43" s="1442"/>
      <c r="AC43" s="1442"/>
      <c r="AD43" s="1040">
        <f>+'雨汚水(共通按分後)'!AD43-雨汚水!AD43</f>
        <v>0</v>
      </c>
      <c r="AE43" s="1028">
        <f>+'雨汚水(共通按分後)'!AE43-雨汚水!AE43</f>
        <v>0</v>
      </c>
      <c r="AF43" s="1379">
        <f>+'雨汚水(共通按分後)'!AF43-雨汚水!AF43</f>
        <v>0</v>
      </c>
      <c r="AG43" s="1027">
        <f>+'雨汚水(共通按分後)'!AG43-雨汚水!AG43</f>
        <v>0</v>
      </c>
      <c r="AH43" s="1029">
        <f>+'雨汚水(共通按分後)'!AH43-雨汚水!AH43</f>
        <v>0</v>
      </c>
      <c r="AI43" s="1028">
        <f>+'雨汚水(共通按分後)'!AI43-雨汚水!AI43</f>
        <v>0</v>
      </c>
      <c r="AJ43" s="1027">
        <f>+'雨汚水(共通按分後)'!AJ43-雨汚水!AJ43</f>
        <v>0</v>
      </c>
      <c r="AK43" s="1026">
        <f>+'雨汚水(共通按分後)'!AK43-雨汚水!AK43</f>
        <v>0</v>
      </c>
      <c r="AL43" s="1025">
        <f>+'雨汚水(共通按分後)'!AL43-雨汚水!AL43</f>
        <v>0</v>
      </c>
    </row>
    <row r="44" spans="1:38">
      <c r="A44" s="1024"/>
      <c r="B44" s="1034" t="s">
        <v>1427</v>
      </c>
      <c r="C44" s="1033" t="s">
        <v>1433</v>
      </c>
      <c r="D44" s="1031" t="s">
        <v>1432</v>
      </c>
      <c r="E44" s="1040">
        <f>+'雨汚水(共通按分後)'!E44-雨汚水!E44</f>
        <v>0</v>
      </c>
      <c r="F44" s="1028">
        <f>+'雨汚水(共通按分後)'!F44-雨汚水!F44</f>
        <v>0</v>
      </c>
      <c r="G44" s="1379">
        <f>+'雨汚水(共通按分後)'!G44-雨汚水!G44</f>
        <v>0</v>
      </c>
      <c r="H44" s="1027">
        <f>+'雨汚水(共通按分後)'!H44-雨汚水!H44</f>
        <v>0</v>
      </c>
      <c r="I44" s="1029">
        <f>+'雨汚水(共通按分後)'!I44-雨汚水!I44</f>
        <v>0</v>
      </c>
      <c r="J44" s="1028">
        <f>+'雨汚水(共通按分後)'!J44-雨汚水!J44</f>
        <v>0</v>
      </c>
      <c r="K44" s="1027">
        <f>+'雨汚水(共通按分後)'!K44-雨汚水!K44</f>
        <v>0</v>
      </c>
      <c r="L44" s="1026">
        <f>+'雨汚水(共通按分後)'!L44-雨汚水!L44</f>
        <v>0</v>
      </c>
      <c r="M44" s="1025">
        <f>+'雨汚水(共通按分後)'!M44-雨汚水!M44</f>
        <v>0</v>
      </c>
      <c r="N44" s="1031" t="s">
        <v>1432</v>
      </c>
      <c r="O44" s="1040">
        <f>+'雨汚水(共通按分後)'!O44-雨汚水!O44</f>
        <v>0</v>
      </c>
      <c r="P44" s="1028">
        <f>+'雨汚水(共通按分後)'!P44-雨汚水!P44</f>
        <v>0</v>
      </c>
      <c r="Q44" s="1379">
        <f>+'雨汚水(共通按分後)'!Q44-雨汚水!Q44</f>
        <v>0</v>
      </c>
      <c r="R44" s="1027">
        <f>+'雨汚水(共通按分後)'!R44-雨汚水!R44</f>
        <v>0</v>
      </c>
      <c r="S44" s="1029">
        <f>+'雨汚水(共通按分後)'!S44-雨汚水!S44</f>
        <v>0</v>
      </c>
      <c r="T44" s="1028">
        <f>+'雨汚水(共通按分後)'!T44-雨汚水!T44</f>
        <v>0</v>
      </c>
      <c r="U44" s="1027">
        <f>+'雨汚水(共通按分後)'!U44-雨汚水!U44</f>
        <v>0</v>
      </c>
      <c r="V44" s="1026">
        <f>+'雨汚水(共通按分後)'!V44-雨汚水!V44</f>
        <v>0</v>
      </c>
      <c r="W44" s="1025">
        <f>+'雨汚水(共通按分後)'!W44-雨汚水!W44</f>
        <v>0</v>
      </c>
      <c r="X44" s="1031" t="s">
        <v>1432</v>
      </c>
      <c r="Y44" s="1442"/>
      <c r="Z44" s="1442"/>
      <c r="AA44" s="1442"/>
      <c r="AB44" s="1442"/>
      <c r="AC44" s="1442"/>
      <c r="AD44" s="1040">
        <f>+'雨汚水(共通按分後)'!AD44-雨汚水!AD44</f>
        <v>0</v>
      </c>
      <c r="AE44" s="1028">
        <f>+'雨汚水(共通按分後)'!AE44-雨汚水!AE44</f>
        <v>0</v>
      </c>
      <c r="AF44" s="1379">
        <f>+'雨汚水(共通按分後)'!AF44-雨汚水!AF44</f>
        <v>0</v>
      </c>
      <c r="AG44" s="1027">
        <f>+'雨汚水(共通按分後)'!AG44-雨汚水!AG44</f>
        <v>0</v>
      </c>
      <c r="AH44" s="1029">
        <f>+'雨汚水(共通按分後)'!AH44-雨汚水!AH44</f>
        <v>0</v>
      </c>
      <c r="AI44" s="1028">
        <f>+'雨汚水(共通按分後)'!AI44-雨汚水!AI44</f>
        <v>0</v>
      </c>
      <c r="AJ44" s="1027">
        <f>+'雨汚水(共通按分後)'!AJ44-雨汚水!AJ44</f>
        <v>0</v>
      </c>
      <c r="AK44" s="1026">
        <f>+'雨汚水(共通按分後)'!AK44-雨汚水!AK44</f>
        <v>0</v>
      </c>
      <c r="AL44" s="1025">
        <f>+'雨汚水(共通按分後)'!AL44-雨汚水!AL44</f>
        <v>0</v>
      </c>
    </row>
    <row r="45" spans="1:38" ht="14.25" thickBot="1">
      <c r="A45" s="1024"/>
      <c r="B45" s="1023"/>
      <c r="C45" s="1022"/>
      <c r="D45" s="1021"/>
      <c r="E45" s="1475">
        <f>+'雨汚水(共通按分後)'!E45-雨汚水!E45</f>
        <v>0</v>
      </c>
      <c r="F45" s="1018">
        <f>+'雨汚水(共通按分後)'!F45-雨汚水!F45</f>
        <v>0</v>
      </c>
      <c r="G45" s="1403">
        <f>+'雨汚水(共通按分後)'!G45-雨汚水!G45</f>
        <v>0</v>
      </c>
      <c r="H45" s="1017">
        <f>+'雨汚水(共通按分後)'!H45-雨汚水!H45</f>
        <v>0</v>
      </c>
      <c r="I45" s="1019">
        <f>+'雨汚水(共通按分後)'!I45-雨汚水!I45</f>
        <v>0</v>
      </c>
      <c r="J45" s="1018">
        <f>+'雨汚水(共通按分後)'!J45-雨汚水!J45</f>
        <v>0</v>
      </c>
      <c r="K45" s="1017">
        <f>+'雨汚水(共通按分後)'!K45-雨汚水!K45</f>
        <v>0</v>
      </c>
      <c r="L45" s="1131">
        <f>+'雨汚水(共通按分後)'!L45-雨汚水!L45</f>
        <v>0</v>
      </c>
      <c r="M45" s="1015">
        <f>+'雨汚水(共通按分後)'!M45-雨汚水!M45</f>
        <v>0</v>
      </c>
      <c r="N45" s="1021"/>
      <c r="O45" s="1475">
        <f>+'雨汚水(共通按分後)'!O45-雨汚水!O45</f>
        <v>0</v>
      </c>
      <c r="P45" s="1018">
        <f>+'雨汚水(共通按分後)'!P45-雨汚水!P45</f>
        <v>0</v>
      </c>
      <c r="Q45" s="1403">
        <f>+'雨汚水(共通按分後)'!Q45-雨汚水!Q45</f>
        <v>0</v>
      </c>
      <c r="R45" s="1017">
        <f>+'雨汚水(共通按分後)'!R45-雨汚水!R45</f>
        <v>0</v>
      </c>
      <c r="S45" s="1019">
        <f>+'雨汚水(共通按分後)'!S45-雨汚水!S45</f>
        <v>0</v>
      </c>
      <c r="T45" s="1018">
        <f>+'雨汚水(共通按分後)'!T45-雨汚水!T45</f>
        <v>0</v>
      </c>
      <c r="U45" s="1017">
        <f>+'雨汚水(共通按分後)'!U45-雨汚水!U45</f>
        <v>0</v>
      </c>
      <c r="V45" s="1131">
        <f>+'雨汚水(共通按分後)'!V45-雨汚水!V45</f>
        <v>0</v>
      </c>
      <c r="W45" s="1015">
        <f>+'雨汚水(共通按分後)'!W45-雨汚水!W45</f>
        <v>0</v>
      </c>
      <c r="X45" s="1021"/>
      <c r="Y45" s="1447"/>
      <c r="Z45" s="1447"/>
      <c r="AA45" s="1447"/>
      <c r="AB45" s="1447"/>
      <c r="AC45" s="1447"/>
      <c r="AD45" s="1475">
        <f>+'雨汚水(共通按分後)'!AD45-雨汚水!AD45</f>
        <v>0</v>
      </c>
      <c r="AE45" s="1018">
        <f>+'雨汚水(共通按分後)'!AE45-雨汚水!AE45</f>
        <v>0</v>
      </c>
      <c r="AF45" s="1403">
        <f>+'雨汚水(共通按分後)'!AF45-雨汚水!AF45</f>
        <v>0</v>
      </c>
      <c r="AG45" s="1017">
        <f>+'雨汚水(共通按分後)'!AG45-雨汚水!AG45</f>
        <v>0</v>
      </c>
      <c r="AH45" s="1019">
        <f>+'雨汚水(共通按分後)'!AH45-雨汚水!AH45</f>
        <v>0</v>
      </c>
      <c r="AI45" s="1018">
        <f>+'雨汚水(共通按分後)'!AI45-雨汚水!AI45</f>
        <v>0</v>
      </c>
      <c r="AJ45" s="1017">
        <f>+'雨汚水(共通按分後)'!AJ45-雨汚水!AJ45</f>
        <v>0</v>
      </c>
      <c r="AK45" s="1131">
        <f>+'雨汚水(共通按分後)'!AK45-雨汚水!AK45</f>
        <v>0</v>
      </c>
      <c r="AL45" s="1015">
        <f>+'雨汚水(共通按分後)'!AL45-雨汚水!AL45</f>
        <v>0</v>
      </c>
    </row>
    <row r="46" spans="1:38" ht="14.25" thickTop="1">
      <c r="B46" s="1488"/>
      <c r="C46" s="1489"/>
      <c r="D46" s="1490" t="s">
        <v>1430</v>
      </c>
      <c r="E46" s="1491">
        <f t="shared" ref="E46:L46" si="0">+SUM(E7:E45)</f>
        <v>-15892</v>
      </c>
      <c r="F46" s="1492">
        <f t="shared" si="0"/>
        <v>658146464</v>
      </c>
      <c r="G46" s="1493">
        <f t="shared" si="0"/>
        <v>-46664639</v>
      </c>
      <c r="H46" s="1494">
        <f>+SUM(H7:H45)</f>
        <v>-18857999</v>
      </c>
      <c r="I46" s="1391">
        <f t="shared" ref="I46" si="1">+SUM(I7:I45)</f>
        <v>592623826</v>
      </c>
      <c r="J46" s="1492">
        <f t="shared" si="0"/>
        <v>898594382</v>
      </c>
      <c r="K46" s="1494">
        <f t="shared" si="0"/>
        <v>1240745443</v>
      </c>
      <c r="L46" s="1008">
        <f t="shared" si="0"/>
        <v>2139339825</v>
      </c>
      <c r="M46" s="1006">
        <f t="shared" ref="M46" si="2">+SUM(M7:M45)</f>
        <v>-2731979543</v>
      </c>
      <c r="N46" s="1490" t="s">
        <v>1430</v>
      </c>
      <c r="O46" s="1491">
        <f t="shared" ref="O46:Q46" si="3">+SUM(O7:O45)</f>
        <v>-15902</v>
      </c>
      <c r="P46" s="1492">
        <f t="shared" si="3"/>
        <v>670035650</v>
      </c>
      <c r="Q46" s="1493">
        <f t="shared" si="3"/>
        <v>-43005818</v>
      </c>
      <c r="R46" s="1494">
        <f>+SUM(R7:R45)</f>
        <v>-11532068</v>
      </c>
      <c r="S46" s="1391">
        <f t="shared" ref="S46" si="4">+SUM(S7:S45)</f>
        <v>615497764</v>
      </c>
      <c r="T46" s="1492">
        <f t="shared" ref="T46:V46" si="5">+SUM(T7:T45)</f>
        <v>909138715</v>
      </c>
      <c r="U46" s="1494">
        <f t="shared" si="5"/>
        <v>-1795785463</v>
      </c>
      <c r="V46" s="1008">
        <f t="shared" si="5"/>
        <v>-886646748</v>
      </c>
      <c r="W46" s="1006">
        <f t="shared" ref="W46" si="6">+SUM(W7:W45)</f>
        <v>271133082</v>
      </c>
      <c r="X46" s="1490" t="s">
        <v>1430</v>
      </c>
      <c r="Y46" s="1496"/>
      <c r="Z46" s="1496"/>
      <c r="AA46" s="1496"/>
      <c r="AB46" s="1496"/>
      <c r="AC46" s="1496"/>
      <c r="AD46" s="1491">
        <f t="shared" ref="AD46:AF46" si="7">+SUM(AD7:AD45)</f>
        <v>-16531</v>
      </c>
      <c r="AE46" s="1492">
        <f t="shared" si="7"/>
        <v>901030065</v>
      </c>
      <c r="AF46" s="1493">
        <f t="shared" si="7"/>
        <v>304487244</v>
      </c>
      <c r="AG46" s="1494">
        <f>+SUM(AG7:AG45)</f>
        <v>369422303</v>
      </c>
      <c r="AH46" s="1391">
        <f t="shared" ref="AH46" si="8">+SUM(AH7:AH45)</f>
        <v>1574939612</v>
      </c>
      <c r="AI46" s="1492">
        <f t="shared" ref="AI46:AK46" si="9">+SUM(AI7:AI45)</f>
        <v>-50303133</v>
      </c>
      <c r="AJ46" s="1494">
        <f t="shared" si="9"/>
        <v>-1795786092</v>
      </c>
      <c r="AK46" s="1008">
        <f t="shared" si="9"/>
        <v>-1846089225</v>
      </c>
      <c r="AL46" s="1006">
        <f t="shared" ref="AL46" si="10">+SUM(AL7:AL45)</f>
        <v>271133082</v>
      </c>
    </row>
    <row r="47" spans="1:38">
      <c r="B47" s="1497" t="s">
        <v>1429</v>
      </c>
      <c r="C47" s="1440"/>
      <c r="D47" s="1498" t="s">
        <v>1428</v>
      </c>
      <c r="E47" s="1499">
        <f t="shared" ref="E47:T48" si="11">+SUMIFS(E$7:E$45,$B$7:$B$45,$B47)</f>
        <v>-15892</v>
      </c>
      <c r="F47" s="1500">
        <f t="shared" si="11"/>
        <v>-488985144</v>
      </c>
      <c r="G47" s="1501">
        <f t="shared" si="11"/>
        <v>-55583120</v>
      </c>
      <c r="H47" s="1111">
        <f t="shared" si="11"/>
        <v>-75713051</v>
      </c>
      <c r="I47" s="1411">
        <f t="shared" si="11"/>
        <v>-620281315</v>
      </c>
      <c r="J47" s="1500">
        <f t="shared" si="11"/>
        <v>-142638700</v>
      </c>
      <c r="K47" s="1111">
        <f t="shared" si="11"/>
        <v>-802624460</v>
      </c>
      <c r="L47" s="997">
        <f t="shared" si="11"/>
        <v>-945263160</v>
      </c>
      <c r="M47" s="995">
        <f t="shared" si="11"/>
        <v>1565528583</v>
      </c>
      <c r="N47" s="1498" t="s">
        <v>1428</v>
      </c>
      <c r="O47" s="1499">
        <f t="shared" si="11"/>
        <v>-15902</v>
      </c>
      <c r="P47" s="1500">
        <f t="shared" si="11"/>
        <v>-477932530</v>
      </c>
      <c r="Q47" s="1501">
        <f t="shared" si="11"/>
        <v>-51924299</v>
      </c>
      <c r="R47" s="1111">
        <f t="shared" si="11"/>
        <v>-68387120</v>
      </c>
      <c r="S47" s="1411">
        <f t="shared" si="11"/>
        <v>-598243949</v>
      </c>
      <c r="T47" s="1500">
        <f t="shared" si="11"/>
        <v>-132094367</v>
      </c>
      <c r="U47" s="1111">
        <f t="shared" ref="O47:W48" si="12">+SUMIFS(U$7:U$45,$B$7:$B$45,$B47)</f>
        <v>730322414</v>
      </c>
      <c r="V47" s="997">
        <f t="shared" si="12"/>
        <v>598228047</v>
      </c>
      <c r="W47" s="995">
        <f t="shared" si="12"/>
        <v>0</v>
      </c>
      <c r="X47" s="1498" t="s">
        <v>1428</v>
      </c>
      <c r="Y47" s="1503"/>
      <c r="Z47" s="1503"/>
      <c r="AA47" s="1503"/>
      <c r="AB47" s="1503"/>
      <c r="AC47" s="1503"/>
      <c r="AD47" s="1499">
        <f t="shared" ref="AD47:AL48" si="13">+SUMIFS(AD$7:AD$45,$B$7:$B$45,$B47)</f>
        <v>4583478150</v>
      </c>
      <c r="AE47" s="1500">
        <f t="shared" si="13"/>
        <v>3281570915</v>
      </c>
      <c r="AF47" s="1501">
        <f t="shared" si="13"/>
        <v>295568763</v>
      </c>
      <c r="AG47" s="1111">
        <f t="shared" si="13"/>
        <v>414052277</v>
      </c>
      <c r="AH47" s="1411">
        <f t="shared" si="13"/>
        <v>3991191955</v>
      </c>
      <c r="AI47" s="1500">
        <f t="shared" si="13"/>
        <v>-138036219</v>
      </c>
      <c r="AJ47" s="1111">
        <f t="shared" si="13"/>
        <v>730322414</v>
      </c>
      <c r="AK47" s="997">
        <f t="shared" si="13"/>
        <v>592286195</v>
      </c>
      <c r="AL47" s="995">
        <f t="shared" si="13"/>
        <v>0</v>
      </c>
    </row>
    <row r="48" spans="1:38">
      <c r="B48" s="1497" t="s">
        <v>1427</v>
      </c>
      <c r="C48" s="1440"/>
      <c r="D48" s="1498" t="s">
        <v>1426</v>
      </c>
      <c r="E48" s="1499">
        <f t="shared" si="11"/>
        <v>0</v>
      </c>
      <c r="F48" s="1500">
        <f t="shared" si="11"/>
        <v>1147131608</v>
      </c>
      <c r="G48" s="1501">
        <f t="shared" si="11"/>
        <v>8918481</v>
      </c>
      <c r="H48" s="1111">
        <f t="shared" si="11"/>
        <v>56855052</v>
      </c>
      <c r="I48" s="1411">
        <f t="shared" si="11"/>
        <v>1212905141</v>
      </c>
      <c r="J48" s="1500">
        <f t="shared" si="11"/>
        <v>1041233082</v>
      </c>
      <c r="K48" s="1111">
        <f t="shared" si="11"/>
        <v>2043369903</v>
      </c>
      <c r="L48" s="997">
        <f t="shared" si="11"/>
        <v>3084602985</v>
      </c>
      <c r="M48" s="995">
        <f t="shared" si="11"/>
        <v>-4297508126</v>
      </c>
      <c r="N48" s="1498" t="s">
        <v>1426</v>
      </c>
      <c r="O48" s="1499">
        <f t="shared" si="12"/>
        <v>0</v>
      </c>
      <c r="P48" s="1500">
        <f t="shared" si="12"/>
        <v>1147968180</v>
      </c>
      <c r="Q48" s="1501">
        <f t="shared" si="12"/>
        <v>8918481</v>
      </c>
      <c r="R48" s="1111">
        <f t="shared" si="12"/>
        <v>56855052</v>
      </c>
      <c r="S48" s="1411">
        <f t="shared" si="12"/>
        <v>1213741713</v>
      </c>
      <c r="T48" s="1500">
        <f t="shared" si="12"/>
        <v>1041233082</v>
      </c>
      <c r="U48" s="1111">
        <f t="shared" si="12"/>
        <v>-2526107877</v>
      </c>
      <c r="V48" s="997">
        <f t="shared" si="12"/>
        <v>-1484874795</v>
      </c>
      <c r="W48" s="995">
        <f t="shared" si="12"/>
        <v>271133082</v>
      </c>
      <c r="X48" s="1498" t="s">
        <v>1426</v>
      </c>
      <c r="Y48" s="1503"/>
      <c r="Z48" s="1503"/>
      <c r="AA48" s="1503"/>
      <c r="AB48" s="1503"/>
      <c r="AC48" s="1503"/>
      <c r="AD48" s="1499">
        <f t="shared" si="13"/>
        <v>-4583494052</v>
      </c>
      <c r="AE48" s="1500">
        <f t="shared" si="13"/>
        <v>-2380540850</v>
      </c>
      <c r="AF48" s="1501">
        <f t="shared" si="13"/>
        <v>8918481</v>
      </c>
      <c r="AG48" s="1111">
        <f t="shared" si="13"/>
        <v>-44629974</v>
      </c>
      <c r="AH48" s="1411">
        <f t="shared" si="13"/>
        <v>-2416252343</v>
      </c>
      <c r="AI48" s="1500">
        <f t="shared" si="13"/>
        <v>87733086</v>
      </c>
      <c r="AJ48" s="1111">
        <f t="shared" si="13"/>
        <v>-2526107877</v>
      </c>
      <c r="AK48" s="997">
        <f t="shared" si="13"/>
        <v>-2438374791</v>
      </c>
      <c r="AL48" s="995">
        <f t="shared" si="13"/>
        <v>271133082</v>
      </c>
    </row>
    <row r="49" spans="1:38">
      <c r="B49" s="1497"/>
      <c r="C49" s="1504"/>
      <c r="D49" s="1505" t="s">
        <v>1425</v>
      </c>
      <c r="E49" s="1499">
        <f>+SUM(E7:E45)</f>
        <v>-15892</v>
      </c>
      <c r="F49" s="1500">
        <f t="shared" ref="F49:M49" si="14">+SUM(F7:F45)</f>
        <v>658146464</v>
      </c>
      <c r="G49" s="1501">
        <f t="shared" si="14"/>
        <v>-46664639</v>
      </c>
      <c r="H49" s="1111">
        <f t="shared" si="14"/>
        <v>-18857999</v>
      </c>
      <c r="I49" s="1411">
        <f t="shared" si="14"/>
        <v>592623826</v>
      </c>
      <c r="J49" s="1500">
        <f t="shared" si="14"/>
        <v>898594382</v>
      </c>
      <c r="K49" s="1111">
        <f t="shared" si="14"/>
        <v>1240745443</v>
      </c>
      <c r="L49" s="997">
        <f t="shared" si="14"/>
        <v>2139339825</v>
      </c>
      <c r="M49" s="995">
        <f t="shared" si="14"/>
        <v>-2731979543</v>
      </c>
      <c r="N49" s="1505" t="s">
        <v>1425</v>
      </c>
      <c r="O49" s="1499">
        <f>+SUM(O7:O45)</f>
        <v>-15902</v>
      </c>
      <c r="P49" s="1500">
        <f t="shared" ref="P49:W49" si="15">+SUM(P7:P45)</f>
        <v>670035650</v>
      </c>
      <c r="Q49" s="1501">
        <f t="shared" si="15"/>
        <v>-43005818</v>
      </c>
      <c r="R49" s="1111">
        <f t="shared" si="15"/>
        <v>-11532068</v>
      </c>
      <c r="S49" s="1411">
        <f t="shared" si="15"/>
        <v>615497764</v>
      </c>
      <c r="T49" s="1500">
        <f t="shared" si="15"/>
        <v>909138715</v>
      </c>
      <c r="U49" s="1111">
        <f t="shared" si="15"/>
        <v>-1795785463</v>
      </c>
      <c r="V49" s="997">
        <f t="shared" si="15"/>
        <v>-886646748</v>
      </c>
      <c r="W49" s="995">
        <f t="shared" si="15"/>
        <v>271133082</v>
      </c>
      <c r="X49" s="1505" t="s">
        <v>1425</v>
      </c>
      <c r="Y49" s="1506"/>
      <c r="Z49" s="1506"/>
      <c r="AA49" s="1506"/>
      <c r="AB49" s="1506"/>
      <c r="AC49" s="1506"/>
      <c r="AD49" s="1499">
        <f>+SUM(AD7:AD45)</f>
        <v>-16531</v>
      </c>
      <c r="AE49" s="1500">
        <f t="shared" ref="AE49:AL49" si="16">+SUM(AE7:AE45)</f>
        <v>901030065</v>
      </c>
      <c r="AF49" s="1501">
        <f t="shared" si="16"/>
        <v>304487244</v>
      </c>
      <c r="AG49" s="1111">
        <f t="shared" si="16"/>
        <v>369422303</v>
      </c>
      <c r="AH49" s="1411">
        <f t="shared" si="16"/>
        <v>1574939612</v>
      </c>
      <c r="AI49" s="1500">
        <f t="shared" si="16"/>
        <v>-50303133</v>
      </c>
      <c r="AJ49" s="1111">
        <f t="shared" si="16"/>
        <v>-1795786092</v>
      </c>
      <c r="AK49" s="997">
        <f t="shared" si="16"/>
        <v>-1846089225</v>
      </c>
      <c r="AL49" s="995">
        <f t="shared" si="16"/>
        <v>271133082</v>
      </c>
    </row>
    <row r="50" spans="1:38" ht="13.5" customHeight="1">
      <c r="D50" s="1507"/>
      <c r="E50" s="993">
        <f>E49-'3条支出'!$E$42</f>
        <v>-42643685549</v>
      </c>
      <c r="F50" s="993"/>
      <c r="G50" s="993"/>
      <c r="H50" s="993"/>
      <c r="I50" s="993"/>
      <c r="J50" s="993"/>
      <c r="K50" s="993"/>
      <c r="L50" s="993"/>
      <c r="M50" s="993"/>
      <c r="O50" s="993">
        <f>+O49-'3条支出'!$T$42</f>
        <v>-41815663360</v>
      </c>
      <c r="P50" s="993"/>
      <c r="Q50" s="993"/>
      <c r="R50" s="993"/>
      <c r="S50" s="993"/>
      <c r="T50" s="993"/>
      <c r="U50" s="993"/>
      <c r="V50" s="993"/>
      <c r="W50" s="993"/>
      <c r="AD50" s="993">
        <f>+AD49-'3条支出'!$T$41</f>
        <v>-42028151466</v>
      </c>
      <c r="AE50" s="993"/>
      <c r="AF50" s="993"/>
      <c r="AG50" s="993"/>
      <c r="AH50" s="993"/>
      <c r="AI50" s="993"/>
      <c r="AJ50" s="993"/>
      <c r="AK50" s="993"/>
      <c r="AL50" s="993"/>
    </row>
    <row r="51" spans="1:38">
      <c r="D51" s="1476"/>
      <c r="E51" s="993"/>
      <c r="F51" s="993"/>
      <c r="G51" s="993"/>
      <c r="H51" s="993"/>
      <c r="I51" s="993"/>
      <c r="J51" s="993"/>
      <c r="K51" s="993"/>
      <c r="L51" s="993"/>
      <c r="M51" s="993"/>
      <c r="O51" s="993"/>
      <c r="P51" s="993"/>
      <c r="Q51" s="993"/>
      <c r="R51" s="993"/>
      <c r="S51" s="993"/>
      <c r="T51" s="993"/>
      <c r="U51" s="993"/>
      <c r="V51" s="993"/>
      <c r="W51" s="993"/>
      <c r="X51" s="993"/>
      <c r="Y51" s="993"/>
      <c r="Z51" s="993"/>
      <c r="AA51" s="993"/>
      <c r="AB51" s="993"/>
      <c r="AC51" s="993"/>
      <c r="AD51" s="993"/>
      <c r="AE51" s="993"/>
      <c r="AF51" s="993"/>
      <c r="AG51" s="993"/>
      <c r="AH51" s="993"/>
      <c r="AI51" s="993"/>
      <c r="AJ51" s="993"/>
      <c r="AK51" s="993"/>
      <c r="AL51" s="993"/>
    </row>
    <row r="52" spans="1:38">
      <c r="D52" s="991" t="str">
        <f>+$D$1</f>
        <v>令和５年度決算　消費税算出資料</v>
      </c>
      <c r="N52" s="991" t="str">
        <f>+$D$1</f>
        <v>令和５年度決算　消費税算出資料</v>
      </c>
      <c r="X52" s="991" t="str">
        <f>+$D$1</f>
        <v>令和５年度決算　消費税算出資料</v>
      </c>
    </row>
    <row r="53" spans="1:38">
      <c r="D53" s="991" t="s">
        <v>1525</v>
      </c>
      <c r="M53" s="1042" t="str">
        <f>+IF(COUNTIF(M58:M96,0)=COUNT(M58:M96),"","↓エラーあり")</f>
        <v>↓エラーあり</v>
      </c>
      <c r="N53" s="991" t="s">
        <v>1525</v>
      </c>
      <c r="W53" s="1042" t="str">
        <f>+IF(COUNTIF(W58:W96,0)=COUNT(W58:W96),"","↓エラーあり")</f>
        <v/>
      </c>
      <c r="X53" s="991" t="s">
        <v>1780</v>
      </c>
      <c r="AL53" s="1042" t="str">
        <f>+IF(COUNTIF(AL58:AL96,0)=COUNT(AL58:AL96),"","↓エラーあり")</f>
        <v/>
      </c>
    </row>
    <row r="54" spans="1:38">
      <c r="B54" s="1638"/>
      <c r="C54" s="1639"/>
      <c r="D54" s="1568" t="s">
        <v>1520</v>
      </c>
      <c r="E54" s="1623" t="s">
        <v>1521</v>
      </c>
      <c r="F54" s="1624"/>
      <c r="G54" s="1624"/>
      <c r="H54" s="1624"/>
      <c r="I54" s="1624"/>
      <c r="J54" s="1624"/>
      <c r="K54" s="1624"/>
      <c r="L54" s="1624"/>
      <c r="M54" s="1625"/>
      <c r="N54" s="1568" t="s">
        <v>1520</v>
      </c>
      <c r="O54" s="1623" t="s">
        <v>1519</v>
      </c>
      <c r="P54" s="1624"/>
      <c r="Q54" s="1624"/>
      <c r="R54" s="1624"/>
      <c r="S54" s="1624"/>
      <c r="T54" s="1624"/>
      <c r="U54" s="1624"/>
      <c r="V54" s="1624"/>
      <c r="W54" s="1625"/>
      <c r="X54" s="1568" t="s">
        <v>1520</v>
      </c>
      <c r="Y54" s="1477"/>
      <c r="Z54" s="1477"/>
      <c r="AA54" s="1477"/>
      <c r="AB54" s="1477"/>
      <c r="AC54" s="1477"/>
      <c r="AD54" s="1623" t="s">
        <v>1519</v>
      </c>
      <c r="AE54" s="1624"/>
      <c r="AF54" s="1624"/>
      <c r="AG54" s="1624"/>
      <c r="AH54" s="1624"/>
      <c r="AI54" s="1624"/>
      <c r="AJ54" s="1624"/>
      <c r="AK54" s="1624"/>
      <c r="AL54" s="1625"/>
    </row>
    <row r="55" spans="1:38">
      <c r="B55" s="1640"/>
      <c r="C55" s="1637"/>
      <c r="D55" s="1569"/>
      <c r="E55" s="1568" t="s">
        <v>1515</v>
      </c>
      <c r="F55" s="1623" t="s">
        <v>1511</v>
      </c>
      <c r="G55" s="1624"/>
      <c r="H55" s="1624"/>
      <c r="I55" s="1625"/>
      <c r="J55" s="1623" t="s">
        <v>1510</v>
      </c>
      <c r="K55" s="1624"/>
      <c r="L55" s="1625"/>
      <c r="M55" s="1568" t="s">
        <v>1508</v>
      </c>
      <c r="N55" s="1569"/>
      <c r="O55" s="1568" t="s">
        <v>1514</v>
      </c>
      <c r="P55" s="1623" t="s">
        <v>1511</v>
      </c>
      <c r="Q55" s="1624"/>
      <c r="R55" s="1624"/>
      <c r="S55" s="1625"/>
      <c r="T55" s="1623" t="s">
        <v>1510</v>
      </c>
      <c r="U55" s="1624"/>
      <c r="V55" s="1625"/>
      <c r="W55" s="1568" t="s">
        <v>1508</v>
      </c>
      <c r="X55" s="1569"/>
      <c r="Y55" s="1467"/>
      <c r="Z55" s="1467"/>
      <c r="AA55" s="1467"/>
      <c r="AB55" s="1467"/>
      <c r="AC55" s="1467"/>
      <c r="AD55" s="1568" t="s">
        <v>1514</v>
      </c>
      <c r="AE55" s="1623" t="s">
        <v>1511</v>
      </c>
      <c r="AF55" s="1624"/>
      <c r="AG55" s="1624"/>
      <c r="AH55" s="1625"/>
      <c r="AI55" s="1623" t="s">
        <v>1510</v>
      </c>
      <c r="AJ55" s="1624"/>
      <c r="AK55" s="1625"/>
      <c r="AL55" s="1568" t="s">
        <v>1508</v>
      </c>
    </row>
    <row r="56" spans="1:38">
      <c r="A56" s="1629"/>
      <c r="B56" s="1640"/>
      <c r="C56" s="1637"/>
      <c r="D56" s="1569"/>
      <c r="E56" s="1569"/>
      <c r="F56" s="1478" t="s">
        <v>1507</v>
      </c>
      <c r="G56" s="1479" t="s">
        <v>1507</v>
      </c>
      <c r="H56" s="1480" t="s">
        <v>1505</v>
      </c>
      <c r="I56" s="1471" t="s">
        <v>1506</v>
      </c>
      <c r="J56" s="1478" t="s">
        <v>1507</v>
      </c>
      <c r="K56" s="1480" t="s">
        <v>1505</v>
      </c>
      <c r="L56" s="1100" t="s">
        <v>1506</v>
      </c>
      <c r="M56" s="1569"/>
      <c r="N56" s="1569"/>
      <c r="O56" s="1569"/>
      <c r="P56" s="1478" t="s">
        <v>1507</v>
      </c>
      <c r="Q56" s="1479" t="s">
        <v>1507</v>
      </c>
      <c r="R56" s="1480" t="s">
        <v>1505</v>
      </c>
      <c r="S56" s="1471" t="s">
        <v>1506</v>
      </c>
      <c r="T56" s="1478" t="s">
        <v>1507</v>
      </c>
      <c r="U56" s="1480" t="s">
        <v>1505</v>
      </c>
      <c r="V56" s="1100" t="s">
        <v>1506</v>
      </c>
      <c r="W56" s="1569"/>
      <c r="X56" s="1569"/>
      <c r="Y56" s="1467"/>
      <c r="Z56" s="1467"/>
      <c r="AA56" s="1467"/>
      <c r="AB56" s="1467"/>
      <c r="AC56" s="1467"/>
      <c r="AD56" s="1569"/>
      <c r="AE56" s="1478" t="s">
        <v>1507</v>
      </c>
      <c r="AF56" s="1479" t="s">
        <v>1507</v>
      </c>
      <c r="AG56" s="1480" t="s">
        <v>1505</v>
      </c>
      <c r="AH56" s="1471" t="s">
        <v>1506</v>
      </c>
      <c r="AI56" s="1478" t="s">
        <v>1507</v>
      </c>
      <c r="AJ56" s="1480" t="s">
        <v>1505</v>
      </c>
      <c r="AK56" s="1100" t="s">
        <v>1506</v>
      </c>
      <c r="AL56" s="1569"/>
    </row>
    <row r="57" spans="1:38" s="1487" customFormat="1">
      <c r="A57" s="1629"/>
      <c r="B57" s="1641"/>
      <c r="C57" s="1642"/>
      <c r="D57" s="1569"/>
      <c r="E57" s="1569"/>
      <c r="F57" s="1482" t="s">
        <v>1503</v>
      </c>
      <c r="G57" s="1483" t="s">
        <v>1504</v>
      </c>
      <c r="H57" s="1484" t="s">
        <v>1509</v>
      </c>
      <c r="I57" s="1390"/>
      <c r="J57" s="1482" t="s">
        <v>1503</v>
      </c>
      <c r="K57" s="1485" t="s">
        <v>1503</v>
      </c>
      <c r="L57" s="1096"/>
      <c r="M57" s="1569"/>
      <c r="N57" s="1569"/>
      <c r="O57" s="1569"/>
      <c r="P57" s="1482" t="s">
        <v>1503</v>
      </c>
      <c r="Q57" s="1483" t="s">
        <v>1504</v>
      </c>
      <c r="R57" s="1484" t="s">
        <v>1509</v>
      </c>
      <c r="S57" s="1390"/>
      <c r="T57" s="1482" t="s">
        <v>1503</v>
      </c>
      <c r="U57" s="1485" t="s">
        <v>1503</v>
      </c>
      <c r="V57" s="1096"/>
      <c r="W57" s="1569"/>
      <c r="X57" s="1570"/>
      <c r="Y57" s="1468"/>
      <c r="Z57" s="1468"/>
      <c r="AA57" s="1468"/>
      <c r="AB57" s="1468"/>
      <c r="AC57" s="1468"/>
      <c r="AD57" s="1570"/>
      <c r="AE57" s="1482" t="s">
        <v>1503</v>
      </c>
      <c r="AF57" s="1483" t="s">
        <v>1504</v>
      </c>
      <c r="AG57" s="1484" t="s">
        <v>1509</v>
      </c>
      <c r="AH57" s="1390"/>
      <c r="AI57" s="1482" t="s">
        <v>1503</v>
      </c>
      <c r="AJ57" s="1485" t="s">
        <v>1503</v>
      </c>
      <c r="AK57" s="1096"/>
      <c r="AL57" s="1570"/>
    </row>
    <row r="58" spans="1:38">
      <c r="A58" s="1024"/>
      <c r="B58" s="1094" t="s">
        <v>1429</v>
      </c>
      <c r="C58" s="1093" t="s">
        <v>1446</v>
      </c>
      <c r="D58" s="1088" t="s">
        <v>1482</v>
      </c>
      <c r="E58" s="1089">
        <f>+'雨汚水(共通按分後)'!E58-雨汚水!E58</f>
        <v>0</v>
      </c>
      <c r="F58" s="1086">
        <f>+'雨汚水(共通按分後)'!F58-雨汚水!F58</f>
        <v>0</v>
      </c>
      <c r="G58" s="1123">
        <f>+'雨汚水(共通按分後)'!G58-雨汚水!G58</f>
        <v>0</v>
      </c>
      <c r="H58" s="1087">
        <f>+'雨汚水(共通按分後)'!H58-雨汚水!H58</f>
        <v>0</v>
      </c>
      <c r="I58" s="1090">
        <f>+'雨汚水(共通按分後)'!I58-雨汚水!I58</f>
        <v>0</v>
      </c>
      <c r="J58" s="1086">
        <f>+'雨汚水(共通按分後)'!J58-雨汚水!J58</f>
        <v>0</v>
      </c>
      <c r="K58" s="1087">
        <f>+'雨汚水(共通按分後)'!K58-雨汚水!K58</f>
        <v>0</v>
      </c>
      <c r="L58" s="1084">
        <f>+'雨汚水(共通按分後)'!L58-雨汚水!L58</f>
        <v>0</v>
      </c>
      <c r="M58" s="1083">
        <f>+'雨汚水(共通按分後)'!M58-雨汚水!M58</f>
        <v>0</v>
      </c>
      <c r="N58" s="1088" t="s">
        <v>1482</v>
      </c>
      <c r="O58" s="1089">
        <f>+'雨汚水(共通按分後)'!O58-雨汚水!O58</f>
        <v>0</v>
      </c>
      <c r="P58" s="1086">
        <f>+'雨汚水(共通按分後)'!P58-雨汚水!P58</f>
        <v>0</v>
      </c>
      <c r="Q58" s="1123">
        <f>+'雨汚水(共通按分後)'!Q58-雨汚水!Q58</f>
        <v>0</v>
      </c>
      <c r="R58" s="1087">
        <f>+'雨汚水(共通按分後)'!R58-雨汚水!R58</f>
        <v>0</v>
      </c>
      <c r="S58" s="1090">
        <f>+'雨汚水(共通按分後)'!S58-雨汚水!S58</f>
        <v>0</v>
      </c>
      <c r="T58" s="1086">
        <f>+'雨汚水(共通按分後)'!T58-雨汚水!T58</f>
        <v>0</v>
      </c>
      <c r="U58" s="1087">
        <f>+'雨汚水(共通按分後)'!U58-雨汚水!U58</f>
        <v>0</v>
      </c>
      <c r="V58" s="1084">
        <f>+'雨汚水(共通按分後)'!V58-雨汚水!V58</f>
        <v>0</v>
      </c>
      <c r="W58" s="1083">
        <f>+'雨汚水(共通按分後)'!W58-雨汚水!W58</f>
        <v>0</v>
      </c>
      <c r="X58" s="1088" t="s">
        <v>1482</v>
      </c>
      <c r="Y58" s="1088"/>
      <c r="Z58" s="1088"/>
      <c r="AA58" s="1088"/>
      <c r="AB58" s="1088"/>
      <c r="AC58" s="1088"/>
      <c r="AD58" s="1089">
        <f>+'雨汚水(共通按分後)'!AD58-雨汚水!AD58</f>
        <v>0</v>
      </c>
      <c r="AE58" s="1086">
        <f>+'雨汚水(共通按分後)'!AE58-雨汚水!AE58</f>
        <v>0</v>
      </c>
      <c r="AF58" s="1123">
        <f>+'雨汚水(共通按分後)'!AF58-雨汚水!AF58</f>
        <v>0</v>
      </c>
      <c r="AG58" s="1087">
        <f>+'雨汚水(共通按分後)'!AG58-雨汚水!AG58</f>
        <v>0</v>
      </c>
      <c r="AH58" s="1090">
        <f>+'雨汚水(共通按分後)'!AH58-雨汚水!AH58</f>
        <v>0</v>
      </c>
      <c r="AI58" s="1086">
        <f>+'雨汚水(共通按分後)'!AI58-雨汚水!AI58</f>
        <v>0</v>
      </c>
      <c r="AJ58" s="1087">
        <f>+'雨汚水(共通按分後)'!AJ58-雨汚水!AJ58</f>
        <v>0</v>
      </c>
      <c r="AK58" s="1084">
        <f>+'雨汚水(共通按分後)'!AK58-雨汚水!AK58</f>
        <v>0</v>
      </c>
      <c r="AL58" s="1083">
        <f>+'雨汚水(共通按分後)'!AL58-雨汚水!AL58</f>
        <v>0</v>
      </c>
    </row>
    <row r="59" spans="1:38">
      <c r="A59" s="1024"/>
      <c r="B59" s="1034"/>
      <c r="C59" s="1033"/>
      <c r="D59" s="1030"/>
      <c r="E59" s="1040">
        <f>+'雨汚水(共通按分後)'!E59-雨汚水!E59</f>
        <v>0</v>
      </c>
      <c r="F59" s="1028">
        <f>+'雨汚水(共通按分後)'!F59-雨汚水!F59</f>
        <v>0</v>
      </c>
      <c r="G59" s="1379">
        <f>+'雨汚水(共通按分後)'!G59-雨汚水!G59</f>
        <v>0</v>
      </c>
      <c r="H59" s="1027">
        <f>+'雨汚水(共通按分後)'!H59-雨汚水!H59</f>
        <v>0</v>
      </c>
      <c r="I59" s="1029">
        <f>+'雨汚水(共通按分後)'!I59-雨汚水!I59</f>
        <v>0</v>
      </c>
      <c r="J59" s="1028">
        <f>+'雨汚水(共通按分後)'!J59-雨汚水!J59</f>
        <v>0</v>
      </c>
      <c r="K59" s="1027">
        <f>+'雨汚水(共通按分後)'!K59-雨汚水!K59</f>
        <v>0</v>
      </c>
      <c r="L59" s="1026">
        <f>+'雨汚水(共通按分後)'!L59-雨汚水!L59</f>
        <v>0</v>
      </c>
      <c r="M59" s="1025">
        <f>+'雨汚水(共通按分後)'!M59-雨汚水!M59</f>
        <v>0</v>
      </c>
      <c r="N59" s="1030"/>
      <c r="O59" s="1040">
        <f>+'雨汚水(共通按分後)'!O59-雨汚水!O59</f>
        <v>0</v>
      </c>
      <c r="P59" s="1028">
        <f>+'雨汚水(共通按分後)'!P59-雨汚水!P59</f>
        <v>0</v>
      </c>
      <c r="Q59" s="1379">
        <f>+'雨汚水(共通按分後)'!Q59-雨汚水!Q59</f>
        <v>0</v>
      </c>
      <c r="R59" s="1027">
        <f>+'雨汚水(共通按分後)'!R59-雨汚水!R59</f>
        <v>0</v>
      </c>
      <c r="S59" s="1029">
        <f>+'雨汚水(共通按分後)'!S59-雨汚水!S59</f>
        <v>0</v>
      </c>
      <c r="T59" s="1028">
        <f>+'雨汚水(共通按分後)'!T59-雨汚水!T59</f>
        <v>0</v>
      </c>
      <c r="U59" s="1027">
        <f>+'雨汚水(共通按分後)'!U59-雨汚水!U59</f>
        <v>0</v>
      </c>
      <c r="V59" s="1026">
        <f>+'雨汚水(共通按分後)'!V59-雨汚水!V59</f>
        <v>0</v>
      </c>
      <c r="W59" s="1025">
        <f>+'雨汚水(共通按分後)'!W59-雨汚水!W59</f>
        <v>0</v>
      </c>
      <c r="X59" s="1030"/>
      <c r="Y59" s="1030"/>
      <c r="Z59" s="1030"/>
      <c r="AA59" s="1030"/>
      <c r="AB59" s="1030"/>
      <c r="AC59" s="1030"/>
      <c r="AD59" s="1040">
        <f>+'雨汚水(共通按分後)'!AD59-雨汚水!AD59</f>
        <v>0</v>
      </c>
      <c r="AE59" s="1028">
        <f>+'雨汚水(共通按分後)'!AE59-雨汚水!AE59</f>
        <v>0</v>
      </c>
      <c r="AF59" s="1379">
        <f>+'雨汚水(共通按分後)'!AF59-雨汚水!AF59</f>
        <v>0</v>
      </c>
      <c r="AG59" s="1027">
        <f>+'雨汚水(共通按分後)'!AG59-雨汚水!AG59</f>
        <v>0</v>
      </c>
      <c r="AH59" s="1029">
        <f>+'雨汚水(共通按分後)'!AH59-雨汚水!AH59</f>
        <v>0</v>
      </c>
      <c r="AI59" s="1028">
        <f>+'雨汚水(共通按分後)'!AI59-雨汚水!AI59</f>
        <v>0</v>
      </c>
      <c r="AJ59" s="1027">
        <f>+'雨汚水(共通按分後)'!AJ59-雨汚水!AJ59</f>
        <v>0</v>
      </c>
      <c r="AK59" s="1026">
        <f>+'雨汚水(共通按分後)'!AK59-雨汚水!AK59</f>
        <v>0</v>
      </c>
      <c r="AL59" s="1025">
        <f>+'雨汚水(共通按分後)'!AL59-雨汚水!AL59</f>
        <v>0</v>
      </c>
    </row>
    <row r="60" spans="1:38">
      <c r="A60" s="1024"/>
      <c r="B60" s="1034" t="s">
        <v>1429</v>
      </c>
      <c r="C60" s="1033" t="s">
        <v>1446</v>
      </c>
      <c r="D60" s="1030" t="s">
        <v>1491</v>
      </c>
      <c r="E60" s="1040">
        <f>+'雨汚水(共通按分後)'!E60-雨汚水!E60</f>
        <v>0</v>
      </c>
      <c r="F60" s="1028">
        <f>+'雨汚水(共通按分後)'!F60-雨汚水!F60</f>
        <v>0</v>
      </c>
      <c r="G60" s="1379">
        <f>+'雨汚水(共通按分後)'!G60-雨汚水!G60</f>
        <v>0</v>
      </c>
      <c r="H60" s="1027">
        <f>+'雨汚水(共通按分後)'!H60-雨汚水!H60</f>
        <v>0</v>
      </c>
      <c r="I60" s="1029">
        <f>+'雨汚水(共通按分後)'!I60-雨汚水!I60</f>
        <v>0</v>
      </c>
      <c r="J60" s="1028">
        <f>+'雨汚水(共通按分後)'!J60-雨汚水!J60</f>
        <v>0</v>
      </c>
      <c r="K60" s="1027">
        <f>+'雨汚水(共通按分後)'!K60-雨汚水!K60</f>
        <v>0</v>
      </c>
      <c r="L60" s="1026">
        <f>+'雨汚水(共通按分後)'!L60-雨汚水!L60</f>
        <v>0</v>
      </c>
      <c r="M60" s="1025">
        <f>+'雨汚水(共通按分後)'!M60-雨汚水!M60</f>
        <v>0</v>
      </c>
      <c r="N60" s="1030" t="s">
        <v>1491</v>
      </c>
      <c r="O60" s="1040">
        <f>+'雨汚水(共通按分後)'!O60-雨汚水!O60</f>
        <v>0</v>
      </c>
      <c r="P60" s="1028">
        <f>+'雨汚水(共通按分後)'!P60-雨汚水!P60</f>
        <v>0</v>
      </c>
      <c r="Q60" s="1379">
        <f>+'雨汚水(共通按分後)'!Q60-雨汚水!Q60</f>
        <v>0</v>
      </c>
      <c r="R60" s="1027">
        <f>+'雨汚水(共通按分後)'!R60-雨汚水!R60</f>
        <v>0</v>
      </c>
      <c r="S60" s="1029">
        <f>+'雨汚水(共通按分後)'!S60-雨汚水!S60</f>
        <v>0</v>
      </c>
      <c r="T60" s="1028">
        <f>+'雨汚水(共通按分後)'!T60-雨汚水!T60</f>
        <v>0</v>
      </c>
      <c r="U60" s="1027">
        <f>+'雨汚水(共通按分後)'!U60-雨汚水!U60</f>
        <v>0</v>
      </c>
      <c r="V60" s="1026">
        <f>+'雨汚水(共通按分後)'!V60-雨汚水!V60</f>
        <v>0</v>
      </c>
      <c r="W60" s="1025">
        <f>+'雨汚水(共通按分後)'!W60-雨汚水!W60</f>
        <v>0</v>
      </c>
      <c r="X60" s="1030" t="s">
        <v>1491</v>
      </c>
      <c r="Y60" s="1030"/>
      <c r="Z60" s="1030"/>
      <c r="AA60" s="1030"/>
      <c r="AB60" s="1030"/>
      <c r="AC60" s="1030"/>
      <c r="AD60" s="1040">
        <f>+'雨汚水(共通按分後)'!AD60-雨汚水!AD60</f>
        <v>0</v>
      </c>
      <c r="AE60" s="1028">
        <f>+'雨汚水(共通按分後)'!AE60-雨汚水!AE60</f>
        <v>0</v>
      </c>
      <c r="AF60" s="1379">
        <f>+'雨汚水(共通按分後)'!AF60-雨汚水!AF60</f>
        <v>0</v>
      </c>
      <c r="AG60" s="1027">
        <f>+'雨汚水(共通按分後)'!AG60-雨汚水!AG60</f>
        <v>0</v>
      </c>
      <c r="AH60" s="1029">
        <f>+'雨汚水(共通按分後)'!AH60-雨汚水!AH60</f>
        <v>0</v>
      </c>
      <c r="AI60" s="1028">
        <f>+'雨汚水(共通按分後)'!AI60-雨汚水!AI60</f>
        <v>0</v>
      </c>
      <c r="AJ60" s="1027">
        <f>+'雨汚水(共通按分後)'!AJ60-雨汚水!AJ60</f>
        <v>0</v>
      </c>
      <c r="AK60" s="1026">
        <f>+'雨汚水(共通按分後)'!AK60-雨汚水!AK60</f>
        <v>0</v>
      </c>
      <c r="AL60" s="1025">
        <f>+'雨汚水(共通按分後)'!AL60-雨汚水!AL60</f>
        <v>0</v>
      </c>
    </row>
    <row r="61" spans="1:38">
      <c r="A61" s="1024"/>
      <c r="B61" s="1034" t="s">
        <v>1429</v>
      </c>
      <c r="C61" s="1033" t="s">
        <v>1446</v>
      </c>
      <c r="D61" s="1030" t="s">
        <v>1493</v>
      </c>
      <c r="E61" s="1040">
        <f>+'雨汚水(共通按分後)'!E61-雨汚水!E61</f>
        <v>0</v>
      </c>
      <c r="F61" s="1028">
        <f>+'雨汚水(共通按分後)'!F61-雨汚水!F61</f>
        <v>0</v>
      </c>
      <c r="G61" s="1379">
        <f>+'雨汚水(共通按分後)'!G61-雨汚水!G61</f>
        <v>0</v>
      </c>
      <c r="H61" s="1027">
        <f>+'雨汚水(共通按分後)'!H61-雨汚水!H61</f>
        <v>0</v>
      </c>
      <c r="I61" s="1029">
        <f>+'雨汚水(共通按分後)'!I61-雨汚水!I61</f>
        <v>0</v>
      </c>
      <c r="J61" s="1028">
        <f>+'雨汚水(共通按分後)'!J61-雨汚水!J61</f>
        <v>0</v>
      </c>
      <c r="K61" s="1027">
        <f>+'雨汚水(共通按分後)'!K61-雨汚水!K61</f>
        <v>0</v>
      </c>
      <c r="L61" s="1026">
        <f>+'雨汚水(共通按分後)'!L61-雨汚水!L61</f>
        <v>0</v>
      </c>
      <c r="M61" s="1025">
        <f>+'雨汚水(共通按分後)'!M61-雨汚水!M61</f>
        <v>0</v>
      </c>
      <c r="N61" s="1030" t="s">
        <v>1493</v>
      </c>
      <c r="O61" s="1040">
        <f>+'雨汚水(共通按分後)'!O61-雨汚水!O61</f>
        <v>0</v>
      </c>
      <c r="P61" s="1028">
        <f>+'雨汚水(共通按分後)'!P61-雨汚水!P61</f>
        <v>0</v>
      </c>
      <c r="Q61" s="1379">
        <f>+'雨汚水(共通按分後)'!Q61-雨汚水!Q61</f>
        <v>0</v>
      </c>
      <c r="R61" s="1027">
        <f>+'雨汚水(共通按分後)'!R61-雨汚水!R61</f>
        <v>0</v>
      </c>
      <c r="S61" s="1029">
        <f>+'雨汚水(共通按分後)'!S61-雨汚水!S61</f>
        <v>0</v>
      </c>
      <c r="T61" s="1028">
        <f>+'雨汚水(共通按分後)'!T61-雨汚水!T61</f>
        <v>0</v>
      </c>
      <c r="U61" s="1027">
        <f>+'雨汚水(共通按分後)'!U61-雨汚水!U61</f>
        <v>0</v>
      </c>
      <c r="V61" s="1026">
        <f>+'雨汚水(共通按分後)'!V61-雨汚水!V61</f>
        <v>0</v>
      </c>
      <c r="W61" s="1025">
        <f>+'雨汚水(共通按分後)'!W61-雨汚水!W61</f>
        <v>0</v>
      </c>
      <c r="X61" s="1030" t="s">
        <v>1493</v>
      </c>
      <c r="Y61" s="1030"/>
      <c r="Z61" s="1030"/>
      <c r="AA61" s="1030"/>
      <c r="AB61" s="1030"/>
      <c r="AC61" s="1030"/>
      <c r="AD61" s="1040">
        <f>+'雨汚水(共通按分後)'!AD61-雨汚水!AD61</f>
        <v>0</v>
      </c>
      <c r="AE61" s="1028">
        <f>+'雨汚水(共通按分後)'!AE61-雨汚水!AE61</f>
        <v>0</v>
      </c>
      <c r="AF61" s="1379">
        <f>+'雨汚水(共通按分後)'!AF61-雨汚水!AF61</f>
        <v>0</v>
      </c>
      <c r="AG61" s="1027">
        <f>+'雨汚水(共通按分後)'!AG61-雨汚水!AG61</f>
        <v>0</v>
      </c>
      <c r="AH61" s="1029">
        <f>+'雨汚水(共通按分後)'!AH61-雨汚水!AH61</f>
        <v>0</v>
      </c>
      <c r="AI61" s="1028">
        <f>+'雨汚水(共通按分後)'!AI61-雨汚水!AI61</f>
        <v>0</v>
      </c>
      <c r="AJ61" s="1027">
        <f>+'雨汚水(共通按分後)'!AJ61-雨汚水!AJ61</f>
        <v>0</v>
      </c>
      <c r="AK61" s="1026">
        <f>+'雨汚水(共通按分後)'!AK61-雨汚水!AK61</f>
        <v>0</v>
      </c>
      <c r="AL61" s="1025">
        <f>+'雨汚水(共通按分後)'!AL61-雨汚水!AL61</f>
        <v>0</v>
      </c>
    </row>
    <row r="62" spans="1:38">
      <c r="A62" s="1024"/>
      <c r="B62" s="1034" t="s">
        <v>1429</v>
      </c>
      <c r="C62" s="1033" t="s">
        <v>1446</v>
      </c>
      <c r="D62" s="1030" t="s">
        <v>1498</v>
      </c>
      <c r="E62" s="1040">
        <f>+'雨汚水(共通按分後)'!E62-雨汚水!E62</f>
        <v>0</v>
      </c>
      <c r="F62" s="1028">
        <f>+'雨汚水(共通按分後)'!F62-雨汚水!F62</f>
        <v>0</v>
      </c>
      <c r="G62" s="1379">
        <f>+'雨汚水(共通按分後)'!G62-雨汚水!G62</f>
        <v>0</v>
      </c>
      <c r="H62" s="1027">
        <f>+'雨汚水(共通按分後)'!H62-雨汚水!H62</f>
        <v>0</v>
      </c>
      <c r="I62" s="1029">
        <f>+'雨汚水(共通按分後)'!I62-雨汚水!I62</f>
        <v>0</v>
      </c>
      <c r="J62" s="1028">
        <f>+'雨汚水(共通按分後)'!J62-雨汚水!J62</f>
        <v>0</v>
      </c>
      <c r="K62" s="1027">
        <f>+'雨汚水(共通按分後)'!K62-雨汚水!K62</f>
        <v>0</v>
      </c>
      <c r="L62" s="1026">
        <f>+'雨汚水(共通按分後)'!L62-雨汚水!L62</f>
        <v>0</v>
      </c>
      <c r="M62" s="1025">
        <f>+'雨汚水(共通按分後)'!M62-雨汚水!M62</f>
        <v>0</v>
      </c>
      <c r="N62" s="1030" t="s">
        <v>1498</v>
      </c>
      <c r="O62" s="1040">
        <f>+'雨汚水(共通按分後)'!O62-雨汚水!O62</f>
        <v>0</v>
      </c>
      <c r="P62" s="1028">
        <f>+'雨汚水(共通按分後)'!P62-雨汚水!P62</f>
        <v>0</v>
      </c>
      <c r="Q62" s="1379">
        <f>+'雨汚水(共通按分後)'!Q62-雨汚水!Q62</f>
        <v>0</v>
      </c>
      <c r="R62" s="1027">
        <f>+'雨汚水(共通按分後)'!R62-雨汚水!R62</f>
        <v>0</v>
      </c>
      <c r="S62" s="1029">
        <f>+'雨汚水(共通按分後)'!S62-雨汚水!S62</f>
        <v>0</v>
      </c>
      <c r="T62" s="1028">
        <f>+'雨汚水(共通按分後)'!T62-雨汚水!T62</f>
        <v>0</v>
      </c>
      <c r="U62" s="1027">
        <f>+'雨汚水(共通按分後)'!U62-雨汚水!U62</f>
        <v>0</v>
      </c>
      <c r="V62" s="1026">
        <f>+'雨汚水(共通按分後)'!V62-雨汚水!V62</f>
        <v>0</v>
      </c>
      <c r="W62" s="1025">
        <f>+'雨汚水(共通按分後)'!W62-雨汚水!W62</f>
        <v>0</v>
      </c>
      <c r="X62" s="1030" t="s">
        <v>1498</v>
      </c>
      <c r="Y62" s="1030"/>
      <c r="Z62" s="1030"/>
      <c r="AA62" s="1030"/>
      <c r="AB62" s="1030"/>
      <c r="AC62" s="1030"/>
      <c r="AD62" s="1040">
        <f>+'雨汚水(共通按分後)'!AD62-雨汚水!AD62</f>
        <v>0</v>
      </c>
      <c r="AE62" s="1028">
        <f>+'雨汚水(共通按分後)'!AE62-雨汚水!AE62</f>
        <v>0</v>
      </c>
      <c r="AF62" s="1379">
        <f>+'雨汚水(共通按分後)'!AF62-雨汚水!AF62</f>
        <v>0</v>
      </c>
      <c r="AG62" s="1027">
        <f>+'雨汚水(共通按分後)'!AG62-雨汚水!AG62</f>
        <v>0</v>
      </c>
      <c r="AH62" s="1029">
        <f>+'雨汚水(共通按分後)'!AH62-雨汚水!AH62</f>
        <v>0</v>
      </c>
      <c r="AI62" s="1028">
        <f>+'雨汚水(共通按分後)'!AI62-雨汚水!AI62</f>
        <v>0</v>
      </c>
      <c r="AJ62" s="1027">
        <f>+'雨汚水(共通按分後)'!AJ62-雨汚水!AJ62</f>
        <v>0</v>
      </c>
      <c r="AK62" s="1026">
        <f>+'雨汚水(共通按分後)'!AK62-雨汚水!AK62</f>
        <v>0</v>
      </c>
      <c r="AL62" s="1025">
        <f>+'雨汚水(共通按分後)'!AL62-雨汚水!AL62</f>
        <v>0</v>
      </c>
    </row>
    <row r="63" spans="1:38">
      <c r="A63" s="1024"/>
      <c r="B63" s="1034" t="s">
        <v>1429</v>
      </c>
      <c r="C63" s="1033" t="s">
        <v>1446</v>
      </c>
      <c r="D63" s="1074" t="s">
        <v>1501</v>
      </c>
      <c r="E63" s="1040">
        <f>+'雨汚水(共通按分後)'!E63-雨汚水!E63</f>
        <v>0</v>
      </c>
      <c r="F63" s="1028">
        <f>+'雨汚水(共通按分後)'!F63-雨汚水!F63</f>
        <v>0</v>
      </c>
      <c r="G63" s="1379">
        <f>+'雨汚水(共通按分後)'!G63-雨汚水!G63</f>
        <v>0</v>
      </c>
      <c r="H63" s="1027">
        <f>+'雨汚水(共通按分後)'!H63-雨汚水!H63</f>
        <v>0</v>
      </c>
      <c r="I63" s="1029">
        <f>+'雨汚水(共通按分後)'!I63-雨汚水!I63</f>
        <v>0</v>
      </c>
      <c r="J63" s="1028">
        <f>+'雨汚水(共通按分後)'!J63-雨汚水!J63</f>
        <v>0</v>
      </c>
      <c r="K63" s="1027">
        <f>+'雨汚水(共通按分後)'!K63-雨汚水!K63</f>
        <v>0</v>
      </c>
      <c r="L63" s="1026">
        <f>+'雨汚水(共通按分後)'!L63-雨汚水!L63</f>
        <v>0</v>
      </c>
      <c r="M63" s="1025">
        <f>+'雨汚水(共通按分後)'!M63-雨汚水!M63</f>
        <v>0</v>
      </c>
      <c r="N63" s="1074" t="s">
        <v>1501</v>
      </c>
      <c r="O63" s="1040">
        <f>+'雨汚水(共通按分後)'!O63-雨汚水!O63</f>
        <v>0</v>
      </c>
      <c r="P63" s="1028">
        <f>+'雨汚水(共通按分後)'!P63-雨汚水!P63</f>
        <v>0</v>
      </c>
      <c r="Q63" s="1379">
        <f>+'雨汚水(共通按分後)'!Q63-雨汚水!Q63</f>
        <v>0</v>
      </c>
      <c r="R63" s="1027">
        <f>+'雨汚水(共通按分後)'!R63-雨汚水!R63</f>
        <v>0</v>
      </c>
      <c r="S63" s="1029">
        <f>+'雨汚水(共通按分後)'!S63-雨汚水!S63</f>
        <v>0</v>
      </c>
      <c r="T63" s="1028">
        <f>+'雨汚水(共通按分後)'!T63-雨汚水!T63</f>
        <v>0</v>
      </c>
      <c r="U63" s="1027">
        <f>+'雨汚水(共通按分後)'!U63-雨汚水!U63</f>
        <v>0</v>
      </c>
      <c r="V63" s="1026">
        <f>+'雨汚水(共通按分後)'!V63-雨汚水!V63</f>
        <v>0</v>
      </c>
      <c r="W63" s="1025">
        <f>+'雨汚水(共通按分後)'!W63-雨汚水!W63</f>
        <v>0</v>
      </c>
      <c r="X63" s="1030" t="s">
        <v>1501</v>
      </c>
      <c r="Y63" s="1030"/>
      <c r="Z63" s="1030"/>
      <c r="AA63" s="1030"/>
      <c r="AB63" s="1030"/>
      <c r="AC63" s="1030"/>
      <c r="AD63" s="1040">
        <f>+'雨汚水(共通按分後)'!AD63-雨汚水!AD63</f>
        <v>0</v>
      </c>
      <c r="AE63" s="1028">
        <f>+'雨汚水(共通按分後)'!AE63-雨汚水!AE63</f>
        <v>0</v>
      </c>
      <c r="AF63" s="1379">
        <f>+'雨汚水(共通按分後)'!AF63-雨汚水!AF63</f>
        <v>0</v>
      </c>
      <c r="AG63" s="1027">
        <f>+'雨汚水(共通按分後)'!AG63-雨汚水!AG63</f>
        <v>0</v>
      </c>
      <c r="AH63" s="1029">
        <f>+'雨汚水(共通按分後)'!AH63-雨汚水!AH63</f>
        <v>0</v>
      </c>
      <c r="AI63" s="1028">
        <f>+'雨汚水(共通按分後)'!AI63-雨汚水!AI63</f>
        <v>0</v>
      </c>
      <c r="AJ63" s="1027">
        <f>+'雨汚水(共通按分後)'!AJ63-雨汚水!AJ63</f>
        <v>0</v>
      </c>
      <c r="AK63" s="1026">
        <f>+'雨汚水(共通按分後)'!AK63-雨汚水!AK63</f>
        <v>0</v>
      </c>
      <c r="AL63" s="1025">
        <f>+'雨汚水(共通按分後)'!AL63-雨汚水!AL63</f>
        <v>0</v>
      </c>
    </row>
    <row r="64" spans="1:38">
      <c r="A64" s="1024"/>
      <c r="B64" s="1034" t="s">
        <v>1429</v>
      </c>
      <c r="C64" s="1033" t="s">
        <v>1446</v>
      </c>
      <c r="D64" s="1030" t="s">
        <v>1489</v>
      </c>
      <c r="E64" s="1040">
        <f>+'雨汚水(共通按分後)'!E64-雨汚水!E64</f>
        <v>0</v>
      </c>
      <c r="F64" s="1028">
        <f>+'雨汚水(共通按分後)'!F64-雨汚水!F64</f>
        <v>0</v>
      </c>
      <c r="G64" s="1379">
        <f>+'雨汚水(共通按分後)'!G64-雨汚水!G64</f>
        <v>0</v>
      </c>
      <c r="H64" s="1027">
        <f>+'雨汚水(共通按分後)'!H64-雨汚水!H64</f>
        <v>0</v>
      </c>
      <c r="I64" s="1029">
        <f>+'雨汚水(共通按分後)'!I64-雨汚水!I64</f>
        <v>0</v>
      </c>
      <c r="J64" s="1028">
        <f>+'雨汚水(共通按分後)'!J64-雨汚水!J64</f>
        <v>0</v>
      </c>
      <c r="K64" s="1027">
        <f>+'雨汚水(共通按分後)'!K64-雨汚水!K64</f>
        <v>0</v>
      </c>
      <c r="L64" s="1026">
        <f>+'雨汚水(共通按分後)'!L64-雨汚水!L64</f>
        <v>0</v>
      </c>
      <c r="M64" s="1025">
        <f>+'雨汚水(共通按分後)'!M64-雨汚水!M64</f>
        <v>0</v>
      </c>
      <c r="N64" s="1030" t="s">
        <v>1489</v>
      </c>
      <c r="O64" s="1040">
        <f>+'雨汚水(共通按分後)'!O64-雨汚水!O64</f>
        <v>0</v>
      </c>
      <c r="P64" s="1028">
        <f>+'雨汚水(共通按分後)'!P64-雨汚水!P64</f>
        <v>0</v>
      </c>
      <c r="Q64" s="1379">
        <f>+'雨汚水(共通按分後)'!Q64-雨汚水!Q64</f>
        <v>0</v>
      </c>
      <c r="R64" s="1027">
        <f>+'雨汚水(共通按分後)'!R64-雨汚水!R64</f>
        <v>0</v>
      </c>
      <c r="S64" s="1029">
        <f>+'雨汚水(共通按分後)'!S64-雨汚水!S64</f>
        <v>0</v>
      </c>
      <c r="T64" s="1028">
        <f>+'雨汚水(共通按分後)'!T64-雨汚水!T64</f>
        <v>0</v>
      </c>
      <c r="U64" s="1027">
        <f>+'雨汚水(共通按分後)'!U64-雨汚水!U64</f>
        <v>0</v>
      </c>
      <c r="V64" s="1026">
        <f>+'雨汚水(共通按分後)'!V64-雨汚水!V64</f>
        <v>0</v>
      </c>
      <c r="W64" s="1025">
        <f>+'雨汚水(共通按分後)'!W64-雨汚水!W64</f>
        <v>0</v>
      </c>
      <c r="X64" s="1030" t="s">
        <v>1489</v>
      </c>
      <c r="Y64" s="1030"/>
      <c r="Z64" s="1030"/>
      <c r="AA64" s="1030"/>
      <c r="AB64" s="1030"/>
      <c r="AC64" s="1030"/>
      <c r="AD64" s="1040">
        <f>+'雨汚水(共通按分後)'!AD64-雨汚水!AD64</f>
        <v>0</v>
      </c>
      <c r="AE64" s="1028">
        <f>+'雨汚水(共通按分後)'!AE64-雨汚水!AE64</f>
        <v>0</v>
      </c>
      <c r="AF64" s="1379">
        <f>+'雨汚水(共通按分後)'!AF64-雨汚水!AF64</f>
        <v>0</v>
      </c>
      <c r="AG64" s="1027">
        <f>+'雨汚水(共通按分後)'!AG64-雨汚水!AG64</f>
        <v>0</v>
      </c>
      <c r="AH64" s="1029">
        <f>+'雨汚水(共通按分後)'!AH64-雨汚水!AH64</f>
        <v>0</v>
      </c>
      <c r="AI64" s="1028">
        <f>+'雨汚水(共通按分後)'!AI64-雨汚水!AI64</f>
        <v>0</v>
      </c>
      <c r="AJ64" s="1027">
        <f>+'雨汚水(共通按分後)'!AJ64-雨汚水!AJ64</f>
        <v>0</v>
      </c>
      <c r="AK64" s="1026">
        <f>+'雨汚水(共通按分後)'!AK64-雨汚水!AK64</f>
        <v>0</v>
      </c>
      <c r="AL64" s="1025">
        <f>+'雨汚水(共通按分後)'!AL64-雨汚水!AL64</f>
        <v>0</v>
      </c>
    </row>
    <row r="65" spans="1:38">
      <c r="A65" s="1024"/>
      <c r="B65" s="1034" t="s">
        <v>1429</v>
      </c>
      <c r="C65" s="1033" t="s">
        <v>1446</v>
      </c>
      <c r="D65" s="1030" t="s">
        <v>1462</v>
      </c>
      <c r="E65" s="1040">
        <f>+'雨汚水(共通按分後)'!E65-雨汚水!E65</f>
        <v>0</v>
      </c>
      <c r="F65" s="1028">
        <f>+'雨汚水(共通按分後)'!F65-雨汚水!F65</f>
        <v>0</v>
      </c>
      <c r="G65" s="1379">
        <f>+'雨汚水(共通按分後)'!G65-雨汚水!G65</f>
        <v>0</v>
      </c>
      <c r="H65" s="1027">
        <f>+'雨汚水(共通按分後)'!H65-雨汚水!H65</f>
        <v>0</v>
      </c>
      <c r="I65" s="1029">
        <f>+'雨汚水(共通按分後)'!I65-雨汚水!I65</f>
        <v>0</v>
      </c>
      <c r="J65" s="1028">
        <f>+'雨汚水(共通按分後)'!J65-雨汚水!J65</f>
        <v>0</v>
      </c>
      <c r="K65" s="1027">
        <f>+'雨汚水(共通按分後)'!K65-雨汚水!K65</f>
        <v>0</v>
      </c>
      <c r="L65" s="1026">
        <f>+'雨汚水(共通按分後)'!L65-雨汚水!L65</f>
        <v>0</v>
      </c>
      <c r="M65" s="1025">
        <f>+'雨汚水(共通按分後)'!M65-雨汚水!M65</f>
        <v>0</v>
      </c>
      <c r="N65" s="1030" t="s">
        <v>1462</v>
      </c>
      <c r="O65" s="1040">
        <f>+'雨汚水(共通按分後)'!O65-雨汚水!O65</f>
        <v>0</v>
      </c>
      <c r="P65" s="1028">
        <f>+'雨汚水(共通按分後)'!P65-雨汚水!P65</f>
        <v>0</v>
      </c>
      <c r="Q65" s="1379">
        <f>+'雨汚水(共通按分後)'!Q65-雨汚水!Q65</f>
        <v>0</v>
      </c>
      <c r="R65" s="1027">
        <f>+'雨汚水(共通按分後)'!R65-雨汚水!R65</f>
        <v>0</v>
      </c>
      <c r="S65" s="1029">
        <f>+'雨汚水(共通按分後)'!S65-雨汚水!S65</f>
        <v>0</v>
      </c>
      <c r="T65" s="1028">
        <f>+'雨汚水(共通按分後)'!T65-雨汚水!T65</f>
        <v>0</v>
      </c>
      <c r="U65" s="1027">
        <f>+'雨汚水(共通按分後)'!U65-雨汚水!U65</f>
        <v>0</v>
      </c>
      <c r="V65" s="1026">
        <f>+'雨汚水(共通按分後)'!V65-雨汚水!V65</f>
        <v>0</v>
      </c>
      <c r="W65" s="1025">
        <f>+'雨汚水(共通按分後)'!W65-雨汚水!W65</f>
        <v>0</v>
      </c>
      <c r="X65" s="1030" t="s">
        <v>1462</v>
      </c>
      <c r="Y65" s="1030"/>
      <c r="Z65" s="1030"/>
      <c r="AA65" s="1030"/>
      <c r="AB65" s="1030"/>
      <c r="AC65" s="1030"/>
      <c r="AD65" s="1040">
        <f>+'雨汚水(共通按分後)'!AD65-雨汚水!AD65</f>
        <v>0</v>
      </c>
      <c r="AE65" s="1028">
        <f>+'雨汚水(共通按分後)'!AE65-雨汚水!AE65</f>
        <v>0</v>
      </c>
      <c r="AF65" s="1379">
        <f>+'雨汚水(共通按分後)'!AF65-雨汚水!AF65</f>
        <v>0</v>
      </c>
      <c r="AG65" s="1027">
        <f>+'雨汚水(共通按分後)'!AG65-雨汚水!AG65</f>
        <v>0</v>
      </c>
      <c r="AH65" s="1029">
        <f>+'雨汚水(共通按分後)'!AH65-雨汚水!AH65</f>
        <v>0</v>
      </c>
      <c r="AI65" s="1028">
        <f>+'雨汚水(共通按分後)'!AI65-雨汚水!AI65</f>
        <v>0</v>
      </c>
      <c r="AJ65" s="1027">
        <f>+'雨汚水(共通按分後)'!AJ65-雨汚水!AJ65</f>
        <v>0</v>
      </c>
      <c r="AK65" s="1026">
        <f>+'雨汚水(共通按分後)'!AK65-雨汚水!AK65</f>
        <v>0</v>
      </c>
      <c r="AL65" s="1025">
        <f>+'雨汚水(共通按分後)'!AL65-雨汚水!AL65</f>
        <v>0</v>
      </c>
    </row>
    <row r="66" spans="1:38">
      <c r="A66" s="1024"/>
      <c r="B66" s="1034"/>
      <c r="C66" s="1033"/>
      <c r="D66" s="1056"/>
      <c r="E66" s="1040">
        <f>+'雨汚水(共通按分後)'!E66-雨汚水!E66</f>
        <v>0</v>
      </c>
      <c r="F66" s="1040">
        <f>+'雨汚水(共通按分後)'!F66-雨汚水!F66</f>
        <v>0</v>
      </c>
      <c r="G66" s="1379">
        <f>+'雨汚水(共通按分後)'!G66-雨汚水!G66</f>
        <v>0</v>
      </c>
      <c r="H66" s="1027">
        <f>+'雨汚水(共通按分後)'!H66-雨汚水!H66</f>
        <v>0</v>
      </c>
      <c r="I66" s="1062">
        <f>+'雨汚水(共通按分後)'!I66-雨汚水!I66</f>
        <v>0</v>
      </c>
      <c r="J66" s="1028">
        <f>+'雨汚水(共通按分後)'!J66-雨汚水!J66</f>
        <v>0</v>
      </c>
      <c r="K66" s="1027">
        <f>+'雨汚水(共通按分後)'!K66-雨汚水!K66</f>
        <v>0</v>
      </c>
      <c r="L66" s="1026">
        <f>+'雨汚水(共通按分後)'!L66-雨汚水!L66</f>
        <v>0</v>
      </c>
      <c r="M66" s="1025">
        <f>+'雨汚水(共通按分後)'!M66-雨汚水!M66</f>
        <v>0</v>
      </c>
      <c r="N66" s="1056"/>
      <c r="O66" s="1040">
        <f>+'雨汚水(共通按分後)'!O66-雨汚水!O66</f>
        <v>0</v>
      </c>
      <c r="P66" s="1040">
        <f>+'雨汚水(共通按分後)'!P66-雨汚水!P66</f>
        <v>0</v>
      </c>
      <c r="Q66" s="1379">
        <f>+'雨汚水(共通按分後)'!Q66-雨汚水!Q66</f>
        <v>0</v>
      </c>
      <c r="R66" s="1027">
        <f>+'雨汚水(共通按分後)'!R66-雨汚水!R66</f>
        <v>0</v>
      </c>
      <c r="S66" s="1062">
        <f>+'雨汚水(共通按分後)'!S66-雨汚水!S66</f>
        <v>0</v>
      </c>
      <c r="T66" s="1028">
        <f>+'雨汚水(共通按分後)'!T66-雨汚水!T66</f>
        <v>0</v>
      </c>
      <c r="U66" s="1027">
        <f>+'雨汚水(共通按分後)'!U66-雨汚水!U66</f>
        <v>0</v>
      </c>
      <c r="V66" s="1026">
        <f>+'雨汚水(共通按分後)'!V66-雨汚水!V66</f>
        <v>0</v>
      </c>
      <c r="W66" s="1025">
        <f>+'雨汚水(共通按分後)'!W66-雨汚水!W66</f>
        <v>0</v>
      </c>
      <c r="X66" s="1056"/>
      <c r="Y66" s="1056"/>
      <c r="Z66" s="1056"/>
      <c r="AA66" s="1056"/>
      <c r="AB66" s="1056"/>
      <c r="AC66" s="1056"/>
      <c r="AD66" s="1040">
        <f>+'雨汚水(共通按分後)'!AD66-雨汚水!AD66</f>
        <v>0</v>
      </c>
      <c r="AE66" s="1040">
        <f>+'雨汚水(共通按分後)'!AE66-雨汚水!AE66</f>
        <v>0</v>
      </c>
      <c r="AF66" s="1379">
        <f>+'雨汚水(共通按分後)'!AF66-雨汚水!AF66</f>
        <v>0</v>
      </c>
      <c r="AG66" s="1027">
        <f>+'雨汚水(共通按分後)'!AG66-雨汚水!AG66</f>
        <v>0</v>
      </c>
      <c r="AH66" s="1062">
        <f>+'雨汚水(共通按分後)'!AH66-雨汚水!AH66</f>
        <v>0</v>
      </c>
      <c r="AI66" s="1028">
        <f>+'雨汚水(共通按分後)'!AI66-雨汚水!AI66</f>
        <v>0</v>
      </c>
      <c r="AJ66" s="1027">
        <f>+'雨汚水(共通按分後)'!AJ66-雨汚水!AJ66</f>
        <v>0</v>
      </c>
      <c r="AK66" s="1026">
        <f>+'雨汚水(共通按分後)'!AK66-雨汚水!AK66</f>
        <v>0</v>
      </c>
      <c r="AL66" s="1025">
        <f>+'雨汚水(共通按分後)'!AL66-雨汚水!AL66</f>
        <v>0</v>
      </c>
    </row>
    <row r="67" spans="1:38">
      <c r="A67" s="1024"/>
      <c r="B67" s="1034"/>
      <c r="C67" s="1033"/>
      <c r="D67" s="1056"/>
      <c r="E67" s="1040">
        <f>+'雨汚水(共通按分後)'!E67-雨汚水!E67</f>
        <v>0</v>
      </c>
      <c r="F67" s="1028">
        <f>+'雨汚水(共通按分後)'!F67-雨汚水!F67</f>
        <v>0</v>
      </c>
      <c r="G67" s="1379">
        <f>+'雨汚水(共通按分後)'!G67-雨汚水!G67</f>
        <v>0</v>
      </c>
      <c r="H67" s="1027">
        <f>+'雨汚水(共通按分後)'!H67-雨汚水!H67</f>
        <v>0</v>
      </c>
      <c r="I67" s="1062">
        <f>+'雨汚水(共通按分後)'!I67-雨汚水!I67</f>
        <v>0</v>
      </c>
      <c r="J67" s="1028">
        <f>+'雨汚水(共通按分後)'!J67-雨汚水!J67</f>
        <v>0</v>
      </c>
      <c r="K67" s="1027">
        <f>+'雨汚水(共通按分後)'!K67-雨汚水!K67</f>
        <v>0</v>
      </c>
      <c r="L67" s="1026">
        <f>+'雨汚水(共通按分後)'!L67-雨汚水!L67</f>
        <v>0</v>
      </c>
      <c r="M67" s="1025">
        <f>+'雨汚水(共通按分後)'!M67-雨汚水!M67</f>
        <v>0</v>
      </c>
      <c r="N67" s="1056"/>
      <c r="O67" s="1040">
        <f>+'雨汚水(共通按分後)'!O67-雨汚水!O67</f>
        <v>0</v>
      </c>
      <c r="P67" s="1028">
        <f>+'雨汚水(共通按分後)'!P67-雨汚水!P67</f>
        <v>0</v>
      </c>
      <c r="Q67" s="1379">
        <f>+'雨汚水(共通按分後)'!Q67-雨汚水!Q67</f>
        <v>0</v>
      </c>
      <c r="R67" s="1027">
        <f>+'雨汚水(共通按分後)'!R67-雨汚水!R67</f>
        <v>0</v>
      </c>
      <c r="S67" s="1062">
        <f>+'雨汚水(共通按分後)'!S67-雨汚水!S67</f>
        <v>0</v>
      </c>
      <c r="T67" s="1028">
        <f>+'雨汚水(共通按分後)'!T67-雨汚水!T67</f>
        <v>0</v>
      </c>
      <c r="U67" s="1027">
        <f>+'雨汚水(共通按分後)'!U67-雨汚水!U67</f>
        <v>0</v>
      </c>
      <c r="V67" s="1026">
        <f>+'雨汚水(共通按分後)'!V67-雨汚水!V67</f>
        <v>0</v>
      </c>
      <c r="W67" s="1025">
        <f>+'雨汚水(共通按分後)'!W67-雨汚水!W67</f>
        <v>0</v>
      </c>
      <c r="X67" s="1056"/>
      <c r="Y67" s="1056"/>
      <c r="Z67" s="1056"/>
      <c r="AA67" s="1056"/>
      <c r="AB67" s="1056"/>
      <c r="AC67" s="1056"/>
      <c r="AD67" s="1040">
        <f>+'雨汚水(共通按分後)'!AD67-雨汚水!AD67</f>
        <v>0</v>
      </c>
      <c r="AE67" s="1028">
        <f>+'雨汚水(共通按分後)'!AE67-雨汚水!AE67</f>
        <v>0</v>
      </c>
      <c r="AF67" s="1379">
        <f>+'雨汚水(共通按分後)'!AF67-雨汚水!AF67</f>
        <v>0</v>
      </c>
      <c r="AG67" s="1027">
        <f>+'雨汚水(共通按分後)'!AG67-雨汚水!AG67</f>
        <v>0</v>
      </c>
      <c r="AH67" s="1062">
        <f>+'雨汚水(共通按分後)'!AH67-雨汚水!AH67</f>
        <v>0</v>
      </c>
      <c r="AI67" s="1028">
        <f>+'雨汚水(共通按分後)'!AI67-雨汚水!AI67</f>
        <v>0</v>
      </c>
      <c r="AJ67" s="1027">
        <f>+'雨汚水(共通按分後)'!AJ67-雨汚水!AJ67</f>
        <v>0</v>
      </c>
      <c r="AK67" s="1026">
        <f>+'雨汚水(共通按分後)'!AK67-雨汚水!AK67</f>
        <v>0</v>
      </c>
      <c r="AL67" s="1025">
        <f>+'雨汚水(共通按分後)'!AL67-雨汚水!AL67</f>
        <v>0</v>
      </c>
    </row>
    <row r="68" spans="1:38">
      <c r="A68" s="1024"/>
      <c r="B68" s="1034" t="s">
        <v>1429</v>
      </c>
      <c r="C68" s="1033" t="s">
        <v>1439</v>
      </c>
      <c r="D68" s="1030" t="s">
        <v>1467</v>
      </c>
      <c r="E68" s="1040">
        <f>+'雨汚水(共通按分後)'!E68-雨汚水!E68</f>
        <v>0</v>
      </c>
      <c r="F68" s="1028">
        <f>+'雨汚水(共通按分後)'!F68-雨汚水!F68</f>
        <v>0</v>
      </c>
      <c r="G68" s="1379">
        <f>+'雨汚水(共通按分後)'!G68-雨汚水!G68</f>
        <v>0</v>
      </c>
      <c r="H68" s="1027">
        <f>+'雨汚水(共通按分後)'!H68-雨汚水!H68</f>
        <v>0</v>
      </c>
      <c r="I68" s="1062">
        <f>+'雨汚水(共通按分後)'!I68-雨汚水!I68</f>
        <v>0</v>
      </c>
      <c r="J68" s="1028">
        <f>+'雨汚水(共通按分後)'!J68-雨汚水!J68</f>
        <v>0</v>
      </c>
      <c r="K68" s="1027">
        <f>+'雨汚水(共通按分後)'!K68-雨汚水!K68</f>
        <v>0</v>
      </c>
      <c r="L68" s="1026">
        <f>+'雨汚水(共通按分後)'!L68-雨汚水!L68</f>
        <v>0</v>
      </c>
      <c r="M68" s="1025">
        <f>+'雨汚水(共通按分後)'!M68-雨汚水!M68</f>
        <v>0</v>
      </c>
      <c r="N68" s="1030" t="s">
        <v>1467</v>
      </c>
      <c r="O68" s="1040">
        <f>+'雨汚水(共通按分後)'!O68-雨汚水!O68</f>
        <v>0</v>
      </c>
      <c r="P68" s="1028">
        <f>+'雨汚水(共通按分後)'!P68-雨汚水!P68</f>
        <v>0</v>
      </c>
      <c r="Q68" s="1379">
        <f>+'雨汚水(共通按分後)'!Q68-雨汚水!Q68</f>
        <v>0</v>
      </c>
      <c r="R68" s="1027">
        <f>+'雨汚水(共通按分後)'!R68-雨汚水!R68</f>
        <v>0</v>
      </c>
      <c r="S68" s="1062">
        <f>+'雨汚水(共通按分後)'!S68-雨汚水!S68</f>
        <v>0</v>
      </c>
      <c r="T68" s="1028">
        <f>+'雨汚水(共通按分後)'!T68-雨汚水!T68</f>
        <v>0</v>
      </c>
      <c r="U68" s="1027">
        <f>+'雨汚水(共通按分後)'!U68-雨汚水!U68</f>
        <v>0</v>
      </c>
      <c r="V68" s="1026">
        <f>+'雨汚水(共通按分後)'!V68-雨汚水!V68</f>
        <v>0</v>
      </c>
      <c r="W68" s="1025">
        <f>+'雨汚水(共通按分後)'!W68-雨汚水!W68</f>
        <v>0</v>
      </c>
      <c r="X68" s="1056" t="s">
        <v>1467</v>
      </c>
      <c r="Y68" s="1056"/>
      <c r="Z68" s="1056"/>
      <c r="AA68" s="1056"/>
      <c r="AB68" s="1056"/>
      <c r="AC68" s="1056"/>
      <c r="AD68" s="1040">
        <f>+'雨汚水(共通按分後)'!AD68-雨汚水!AD68</f>
        <v>0</v>
      </c>
      <c r="AE68" s="1028">
        <f>+'雨汚水(共通按分後)'!AE68-雨汚水!AE68</f>
        <v>0</v>
      </c>
      <c r="AF68" s="1379">
        <f>+'雨汚水(共通按分後)'!AF68-雨汚水!AF68</f>
        <v>0</v>
      </c>
      <c r="AG68" s="1027">
        <f>+'雨汚水(共通按分後)'!AG68-雨汚水!AG68</f>
        <v>0</v>
      </c>
      <c r="AH68" s="1062">
        <f>+'雨汚水(共通按分後)'!AH68-雨汚水!AH68</f>
        <v>0</v>
      </c>
      <c r="AI68" s="1028">
        <f>+'雨汚水(共通按分後)'!AI68-雨汚水!AI68</f>
        <v>0</v>
      </c>
      <c r="AJ68" s="1027">
        <f>+'雨汚水(共通按分後)'!AJ68-雨汚水!AJ68</f>
        <v>0</v>
      </c>
      <c r="AK68" s="1026">
        <f>+'雨汚水(共通按分後)'!AK68-雨汚水!AK68</f>
        <v>0</v>
      </c>
      <c r="AL68" s="1025">
        <f>+'雨汚水(共通按分後)'!AL68-雨汚水!AL68</f>
        <v>0</v>
      </c>
    </row>
    <row r="69" spans="1:38">
      <c r="A69" s="1024"/>
      <c r="B69" s="1034" t="s">
        <v>1429</v>
      </c>
      <c r="C69" s="1033" t="s">
        <v>1439</v>
      </c>
      <c r="D69" s="1030" t="s">
        <v>1473</v>
      </c>
      <c r="E69" s="1040">
        <f>+'雨汚水(共通按分後)'!E69-雨汚水!E69</f>
        <v>0</v>
      </c>
      <c r="F69" s="1028">
        <f>+'雨汚水(共通按分後)'!F69-雨汚水!F69</f>
        <v>0</v>
      </c>
      <c r="G69" s="1379">
        <f>+'雨汚水(共通按分後)'!G69-雨汚水!G69</f>
        <v>0</v>
      </c>
      <c r="H69" s="1027">
        <f>+'雨汚水(共通按分後)'!H69-雨汚水!H69</f>
        <v>0</v>
      </c>
      <c r="I69" s="1029">
        <f>+'雨汚水(共通按分後)'!I69-雨汚水!I69</f>
        <v>0</v>
      </c>
      <c r="J69" s="1028">
        <f>+'雨汚水(共通按分後)'!J69-雨汚水!J69</f>
        <v>0</v>
      </c>
      <c r="K69" s="1027">
        <f>+'雨汚水(共通按分後)'!K69-雨汚水!K69</f>
        <v>0</v>
      </c>
      <c r="L69" s="1026">
        <f>+'雨汚水(共通按分後)'!L69-雨汚水!L69</f>
        <v>0</v>
      </c>
      <c r="M69" s="1025">
        <f>+'雨汚水(共通按分後)'!M69-雨汚水!M69</f>
        <v>0</v>
      </c>
      <c r="N69" s="1030" t="s">
        <v>1473</v>
      </c>
      <c r="O69" s="1040">
        <f>+'雨汚水(共通按分後)'!O69-雨汚水!O69</f>
        <v>0</v>
      </c>
      <c r="P69" s="1028">
        <f>+'雨汚水(共通按分後)'!P69-雨汚水!P69</f>
        <v>0</v>
      </c>
      <c r="Q69" s="1379">
        <f>+'雨汚水(共通按分後)'!Q69-雨汚水!Q69</f>
        <v>0</v>
      </c>
      <c r="R69" s="1027">
        <f>+'雨汚水(共通按分後)'!R69-雨汚水!R69</f>
        <v>0</v>
      </c>
      <c r="S69" s="1029">
        <f>+'雨汚水(共通按分後)'!S69-雨汚水!S69</f>
        <v>0</v>
      </c>
      <c r="T69" s="1028">
        <f>+'雨汚水(共通按分後)'!T69-雨汚水!T69</f>
        <v>0</v>
      </c>
      <c r="U69" s="1027">
        <f>+'雨汚水(共通按分後)'!U69-雨汚水!U69</f>
        <v>0</v>
      </c>
      <c r="V69" s="1026">
        <f>+'雨汚水(共通按分後)'!V69-雨汚水!V69</f>
        <v>0</v>
      </c>
      <c r="W69" s="1025">
        <f>+'雨汚水(共通按分後)'!W69-雨汚水!W69</f>
        <v>0</v>
      </c>
      <c r="X69" s="1030" t="s">
        <v>1473</v>
      </c>
      <c r="Y69" s="1030"/>
      <c r="Z69" s="1030"/>
      <c r="AA69" s="1030"/>
      <c r="AB69" s="1030"/>
      <c r="AC69" s="1030"/>
      <c r="AD69" s="1040">
        <f>+'雨汚水(共通按分後)'!AD69-雨汚水!AD69</f>
        <v>0</v>
      </c>
      <c r="AE69" s="1028">
        <f>+'雨汚水(共通按分後)'!AE69-雨汚水!AE69</f>
        <v>0</v>
      </c>
      <c r="AF69" s="1379">
        <f>+'雨汚水(共通按分後)'!AF69-雨汚水!AF69</f>
        <v>0</v>
      </c>
      <c r="AG69" s="1027">
        <f>+'雨汚水(共通按分後)'!AG69-雨汚水!AG69</f>
        <v>0</v>
      </c>
      <c r="AH69" s="1029">
        <f>+'雨汚水(共通按分後)'!AH69-雨汚水!AH69</f>
        <v>0</v>
      </c>
      <c r="AI69" s="1028">
        <f>+'雨汚水(共通按分後)'!AI69-雨汚水!AI69</f>
        <v>0</v>
      </c>
      <c r="AJ69" s="1027">
        <f>+'雨汚水(共通按分後)'!AJ69-雨汚水!AJ69</f>
        <v>0</v>
      </c>
      <c r="AK69" s="1026">
        <f>+'雨汚水(共通按分後)'!AK69-雨汚水!AK69</f>
        <v>0</v>
      </c>
      <c r="AL69" s="1025">
        <f>+'雨汚水(共通按分後)'!AL69-雨汚水!AL69</f>
        <v>0</v>
      </c>
    </row>
    <row r="70" spans="1:38">
      <c r="A70" s="1024"/>
      <c r="B70" s="1034" t="s">
        <v>1429</v>
      </c>
      <c r="C70" s="1033" t="s">
        <v>1439</v>
      </c>
      <c r="D70" s="1030" t="s">
        <v>1495</v>
      </c>
      <c r="E70" s="1040">
        <f>+'雨汚水(共通按分後)'!E70-雨汚水!E70</f>
        <v>0</v>
      </c>
      <c r="F70" s="1028">
        <f>+'雨汚水(共通按分後)'!F70-雨汚水!F70</f>
        <v>0</v>
      </c>
      <c r="G70" s="1379">
        <f>+'雨汚水(共通按分後)'!G70-雨汚水!G70</f>
        <v>0</v>
      </c>
      <c r="H70" s="1027">
        <f>+'雨汚水(共通按分後)'!H70-雨汚水!H70</f>
        <v>0</v>
      </c>
      <c r="I70" s="1029">
        <f>+'雨汚水(共通按分後)'!I70-雨汚水!I70</f>
        <v>0</v>
      </c>
      <c r="J70" s="1028">
        <f>+'雨汚水(共通按分後)'!J70-雨汚水!J70</f>
        <v>0</v>
      </c>
      <c r="K70" s="1027">
        <f>+'雨汚水(共通按分後)'!K70-雨汚水!K70</f>
        <v>0</v>
      </c>
      <c r="L70" s="1026">
        <f>+'雨汚水(共通按分後)'!L70-雨汚水!L70</f>
        <v>0</v>
      </c>
      <c r="M70" s="1025">
        <f>+'雨汚水(共通按分後)'!M70-雨汚水!M70</f>
        <v>0</v>
      </c>
      <c r="N70" s="1030" t="s">
        <v>1495</v>
      </c>
      <c r="O70" s="1040">
        <f>+'雨汚水(共通按分後)'!O70-雨汚水!O70</f>
        <v>0</v>
      </c>
      <c r="P70" s="1028">
        <f>+'雨汚水(共通按分後)'!P70-雨汚水!P70</f>
        <v>0</v>
      </c>
      <c r="Q70" s="1379">
        <f>+'雨汚水(共通按分後)'!Q70-雨汚水!Q70</f>
        <v>0</v>
      </c>
      <c r="R70" s="1027">
        <f>+'雨汚水(共通按分後)'!R70-雨汚水!R70</f>
        <v>0</v>
      </c>
      <c r="S70" s="1029">
        <f>+'雨汚水(共通按分後)'!S70-雨汚水!S70</f>
        <v>0</v>
      </c>
      <c r="T70" s="1028">
        <f>+'雨汚水(共通按分後)'!T70-雨汚水!T70</f>
        <v>0</v>
      </c>
      <c r="U70" s="1027">
        <f>+'雨汚水(共通按分後)'!U70-雨汚水!U70</f>
        <v>0</v>
      </c>
      <c r="V70" s="1026">
        <f>+'雨汚水(共通按分後)'!V70-雨汚水!V70</f>
        <v>0</v>
      </c>
      <c r="W70" s="1025">
        <f>+'雨汚水(共通按分後)'!W70-雨汚水!W70</f>
        <v>0</v>
      </c>
      <c r="X70" s="1030" t="s">
        <v>1495</v>
      </c>
      <c r="Y70" s="1030"/>
      <c r="Z70" s="1030"/>
      <c r="AA70" s="1030"/>
      <c r="AB70" s="1030"/>
      <c r="AC70" s="1030"/>
      <c r="AD70" s="1040">
        <f>+'雨汚水(共通按分後)'!AD70-雨汚水!AD70</f>
        <v>0</v>
      </c>
      <c r="AE70" s="1028">
        <f>+'雨汚水(共通按分後)'!AE70-雨汚水!AE70</f>
        <v>0</v>
      </c>
      <c r="AF70" s="1379">
        <f>+'雨汚水(共通按分後)'!AF70-雨汚水!AF70</f>
        <v>0</v>
      </c>
      <c r="AG70" s="1027">
        <f>+'雨汚水(共通按分後)'!AG70-雨汚水!AG70</f>
        <v>0</v>
      </c>
      <c r="AH70" s="1029">
        <f>+'雨汚水(共通按分後)'!AH70-雨汚水!AH70</f>
        <v>0</v>
      </c>
      <c r="AI70" s="1028">
        <f>+'雨汚水(共通按分後)'!AI70-雨汚水!AI70</f>
        <v>0</v>
      </c>
      <c r="AJ70" s="1027">
        <f>+'雨汚水(共通按分後)'!AJ70-雨汚水!AJ70</f>
        <v>0</v>
      </c>
      <c r="AK70" s="1026">
        <f>+'雨汚水(共通按分後)'!AK70-雨汚水!AK70</f>
        <v>0</v>
      </c>
      <c r="AL70" s="1025">
        <f>+'雨汚水(共通按分後)'!AL70-雨汚水!AL70</f>
        <v>0</v>
      </c>
    </row>
    <row r="71" spans="1:38">
      <c r="A71" s="1024"/>
      <c r="B71" s="1034" t="s">
        <v>1429</v>
      </c>
      <c r="C71" s="1033"/>
      <c r="D71" s="1030"/>
      <c r="E71" s="1040">
        <f>+'雨汚水(共通按分後)'!E71-雨汚水!E71</f>
        <v>0</v>
      </c>
      <c r="F71" s="1028">
        <f>+'雨汚水(共通按分後)'!F71-雨汚水!F71</f>
        <v>0</v>
      </c>
      <c r="G71" s="1379">
        <f>+'雨汚水(共通按分後)'!G71-雨汚水!G71</f>
        <v>0</v>
      </c>
      <c r="H71" s="1027">
        <f>+'雨汚水(共通按分後)'!H71-雨汚水!H71</f>
        <v>0</v>
      </c>
      <c r="I71" s="1062">
        <f>+'雨汚水(共通按分後)'!I71-雨汚水!I71</f>
        <v>0</v>
      </c>
      <c r="J71" s="1028">
        <f>+'雨汚水(共通按分後)'!J71-雨汚水!J71</f>
        <v>0</v>
      </c>
      <c r="K71" s="1027">
        <f>+'雨汚水(共通按分後)'!K71-雨汚水!K71</f>
        <v>0</v>
      </c>
      <c r="L71" s="1026">
        <f>+'雨汚水(共通按分後)'!L71-雨汚水!L71</f>
        <v>0</v>
      </c>
      <c r="M71" s="1025">
        <f>+'雨汚水(共通按分後)'!M71-雨汚水!M71</f>
        <v>0</v>
      </c>
      <c r="N71" s="1030"/>
      <c r="O71" s="1040">
        <f>+'雨汚水(共通按分後)'!O71-雨汚水!O71</f>
        <v>0</v>
      </c>
      <c r="P71" s="1028">
        <f>+'雨汚水(共通按分後)'!P71-雨汚水!P71</f>
        <v>0</v>
      </c>
      <c r="Q71" s="1379">
        <f>+'雨汚水(共通按分後)'!Q71-雨汚水!Q71</f>
        <v>0</v>
      </c>
      <c r="R71" s="1027">
        <f>+'雨汚水(共通按分後)'!R71-雨汚水!R71</f>
        <v>0</v>
      </c>
      <c r="S71" s="1062">
        <f>+'雨汚水(共通按分後)'!S71-雨汚水!S71</f>
        <v>0</v>
      </c>
      <c r="T71" s="1028">
        <f>+'雨汚水(共通按分後)'!T71-雨汚水!T71</f>
        <v>0</v>
      </c>
      <c r="U71" s="1027">
        <f>+'雨汚水(共通按分後)'!U71-雨汚水!U71</f>
        <v>0</v>
      </c>
      <c r="V71" s="1026">
        <f>+'雨汚水(共通按分後)'!V71-雨汚水!V71</f>
        <v>0</v>
      </c>
      <c r="W71" s="1025">
        <f>+'雨汚水(共通按分後)'!W71-雨汚水!W71</f>
        <v>0</v>
      </c>
      <c r="X71" s="1030"/>
      <c r="Y71" s="1030"/>
      <c r="Z71" s="1030"/>
      <c r="AA71" s="1030"/>
      <c r="AB71" s="1030"/>
      <c r="AC71" s="1030"/>
      <c r="AD71" s="1040">
        <f>+'雨汚水(共通按分後)'!AD71-雨汚水!AD71</f>
        <v>0</v>
      </c>
      <c r="AE71" s="1028">
        <f>+'雨汚水(共通按分後)'!AE71-雨汚水!AE71</f>
        <v>0</v>
      </c>
      <c r="AF71" s="1379">
        <f>+'雨汚水(共通按分後)'!AF71-雨汚水!AF71</f>
        <v>0</v>
      </c>
      <c r="AG71" s="1027">
        <f>+'雨汚水(共通按分後)'!AG71-雨汚水!AG71</f>
        <v>0</v>
      </c>
      <c r="AH71" s="1062">
        <f>+'雨汚水(共通按分後)'!AH71-雨汚水!AH71</f>
        <v>0</v>
      </c>
      <c r="AI71" s="1028">
        <f>+'雨汚水(共通按分後)'!AI71-雨汚水!AI71</f>
        <v>0</v>
      </c>
      <c r="AJ71" s="1027">
        <f>+'雨汚水(共通按分後)'!AJ71-雨汚水!AJ71</f>
        <v>0</v>
      </c>
      <c r="AK71" s="1026">
        <f>+'雨汚水(共通按分後)'!AK71-雨汚水!AK71</f>
        <v>0</v>
      </c>
      <c r="AL71" s="1025">
        <f>+'雨汚水(共通按分後)'!AL71-雨汚水!AL71</f>
        <v>0</v>
      </c>
    </row>
    <row r="72" spans="1:38">
      <c r="A72" s="1024"/>
      <c r="B72" s="1034" t="s">
        <v>1429</v>
      </c>
      <c r="C72" s="1033"/>
      <c r="D72" s="1056"/>
      <c r="E72" s="1040">
        <f>+'雨汚水(共通按分後)'!E72-雨汚水!E72</f>
        <v>0</v>
      </c>
      <c r="F72" s="1028">
        <f>+'雨汚水(共通按分後)'!F72-雨汚水!F72</f>
        <v>0</v>
      </c>
      <c r="G72" s="1379">
        <f>+'雨汚水(共通按分後)'!G72-雨汚水!G72</f>
        <v>0</v>
      </c>
      <c r="H72" s="1027">
        <f>+'雨汚水(共通按分後)'!H72-雨汚水!H72</f>
        <v>0</v>
      </c>
      <c r="I72" s="1029">
        <f>+'雨汚水(共通按分後)'!I72-雨汚水!I72</f>
        <v>0</v>
      </c>
      <c r="J72" s="1028">
        <f>+'雨汚水(共通按分後)'!J72-雨汚水!J72</f>
        <v>0</v>
      </c>
      <c r="K72" s="1027">
        <f>+'雨汚水(共通按分後)'!K72-雨汚水!K72</f>
        <v>0</v>
      </c>
      <c r="L72" s="1026">
        <f>+'雨汚水(共通按分後)'!L72-雨汚水!L72</f>
        <v>0</v>
      </c>
      <c r="M72" s="1025">
        <f>+'雨汚水(共通按分後)'!M72-雨汚水!M72</f>
        <v>0</v>
      </c>
      <c r="N72" s="1056"/>
      <c r="O72" s="1040">
        <f>+'雨汚水(共通按分後)'!O72-雨汚水!O72</f>
        <v>0</v>
      </c>
      <c r="P72" s="1028">
        <f>+'雨汚水(共通按分後)'!P72-雨汚水!P72</f>
        <v>0</v>
      </c>
      <c r="Q72" s="1379">
        <f>+'雨汚水(共通按分後)'!Q72-雨汚水!Q72</f>
        <v>0</v>
      </c>
      <c r="R72" s="1027">
        <f>+'雨汚水(共通按分後)'!R72-雨汚水!R72</f>
        <v>0</v>
      </c>
      <c r="S72" s="1029">
        <f>+'雨汚水(共通按分後)'!S72-雨汚水!S72</f>
        <v>0</v>
      </c>
      <c r="T72" s="1028">
        <f>+'雨汚水(共通按分後)'!T72-雨汚水!T72</f>
        <v>0</v>
      </c>
      <c r="U72" s="1027">
        <f>+'雨汚水(共通按分後)'!U72-雨汚水!U72</f>
        <v>0</v>
      </c>
      <c r="V72" s="1026">
        <f>+'雨汚水(共通按分後)'!V72-雨汚水!V72</f>
        <v>0</v>
      </c>
      <c r="W72" s="1025">
        <f>+'雨汚水(共通按分後)'!W72-雨汚水!W72</f>
        <v>0</v>
      </c>
      <c r="X72" s="1030"/>
      <c r="Y72" s="1030"/>
      <c r="Z72" s="1030"/>
      <c r="AA72" s="1030"/>
      <c r="AB72" s="1030"/>
      <c r="AC72" s="1030"/>
      <c r="AD72" s="1040">
        <f>+'雨汚水(共通按分後)'!AD72-雨汚水!AD72</f>
        <v>0</v>
      </c>
      <c r="AE72" s="1028">
        <f>+'雨汚水(共通按分後)'!AE72-雨汚水!AE72</f>
        <v>0</v>
      </c>
      <c r="AF72" s="1379">
        <f>+'雨汚水(共通按分後)'!AF72-雨汚水!AF72</f>
        <v>0</v>
      </c>
      <c r="AG72" s="1027">
        <f>+'雨汚水(共通按分後)'!AG72-雨汚水!AG72</f>
        <v>0</v>
      </c>
      <c r="AH72" s="1029">
        <f>+'雨汚水(共通按分後)'!AH72-雨汚水!AH72</f>
        <v>0</v>
      </c>
      <c r="AI72" s="1028">
        <f>+'雨汚水(共通按分後)'!AI72-雨汚水!AI72</f>
        <v>0</v>
      </c>
      <c r="AJ72" s="1027">
        <f>+'雨汚水(共通按分後)'!AJ72-雨汚水!AJ72</f>
        <v>0</v>
      </c>
      <c r="AK72" s="1026">
        <f>+'雨汚水(共通按分後)'!AK72-雨汚水!AK72</f>
        <v>0</v>
      </c>
      <c r="AL72" s="1025">
        <f>+'雨汚水(共通按分後)'!AL72-雨汚水!AL72</f>
        <v>0</v>
      </c>
    </row>
    <row r="73" spans="1:38">
      <c r="A73" s="1024"/>
      <c r="B73" s="1034" t="s">
        <v>1429</v>
      </c>
      <c r="C73" s="1033" t="s">
        <v>1439</v>
      </c>
      <c r="D73" s="1030" t="s">
        <v>1461</v>
      </c>
      <c r="E73" s="1040">
        <f>+'雨汚水(共通按分後)'!E73-雨汚水!E73</f>
        <v>0</v>
      </c>
      <c r="F73" s="1028">
        <f>+'雨汚水(共通按分後)'!F73-雨汚水!F73</f>
        <v>0</v>
      </c>
      <c r="G73" s="1379">
        <f>+'雨汚水(共通按分後)'!G73-雨汚水!G73</f>
        <v>0</v>
      </c>
      <c r="H73" s="1027">
        <f>+'雨汚水(共通按分後)'!H73-雨汚水!H73</f>
        <v>0</v>
      </c>
      <c r="I73" s="1029">
        <f>+'雨汚水(共通按分後)'!I73-雨汚水!I73</f>
        <v>0</v>
      </c>
      <c r="J73" s="1028">
        <f>+'雨汚水(共通按分後)'!J73-雨汚水!J73</f>
        <v>0</v>
      </c>
      <c r="K73" s="1027">
        <f>+'雨汚水(共通按分後)'!K73-雨汚水!K73</f>
        <v>0</v>
      </c>
      <c r="L73" s="1026">
        <f>+'雨汚水(共通按分後)'!L73-雨汚水!L73</f>
        <v>0</v>
      </c>
      <c r="M73" s="1025">
        <f>+'雨汚水(共通按分後)'!M73-雨汚水!M73</f>
        <v>0</v>
      </c>
      <c r="N73" s="1030" t="s">
        <v>1461</v>
      </c>
      <c r="O73" s="1040">
        <f>+'雨汚水(共通按分後)'!O73-雨汚水!O73</f>
        <v>0</v>
      </c>
      <c r="P73" s="1028">
        <f>+'雨汚水(共通按分後)'!P73-雨汚水!P73</f>
        <v>0</v>
      </c>
      <c r="Q73" s="1379">
        <f>+'雨汚水(共通按分後)'!Q73-雨汚水!Q73</f>
        <v>0</v>
      </c>
      <c r="R73" s="1027">
        <f>+'雨汚水(共通按分後)'!R73-雨汚水!R73</f>
        <v>0</v>
      </c>
      <c r="S73" s="1029">
        <f>+'雨汚水(共通按分後)'!S73-雨汚水!S73</f>
        <v>0</v>
      </c>
      <c r="T73" s="1028">
        <f>+'雨汚水(共通按分後)'!T73-雨汚水!T73</f>
        <v>0</v>
      </c>
      <c r="U73" s="1027">
        <f>+'雨汚水(共通按分後)'!U73-雨汚水!U73</f>
        <v>0</v>
      </c>
      <c r="V73" s="1026">
        <f>+'雨汚水(共通按分後)'!V73-雨汚水!V73</f>
        <v>0</v>
      </c>
      <c r="W73" s="1025">
        <f>+'雨汚水(共通按分後)'!W73-雨汚水!W73</f>
        <v>0</v>
      </c>
      <c r="X73" s="1030" t="s">
        <v>1461</v>
      </c>
      <c r="Y73" s="1030"/>
      <c r="Z73" s="1030"/>
      <c r="AA73" s="1030"/>
      <c r="AB73" s="1030"/>
      <c r="AC73" s="1030"/>
      <c r="AD73" s="1040">
        <f>+'雨汚水(共通按分後)'!AD73-雨汚水!AD73</f>
        <v>0</v>
      </c>
      <c r="AE73" s="1028">
        <f>+'雨汚水(共通按分後)'!AE73-雨汚水!AE73</f>
        <v>0</v>
      </c>
      <c r="AF73" s="1379">
        <f>+'雨汚水(共通按分後)'!AF73-雨汚水!AF73</f>
        <v>0</v>
      </c>
      <c r="AG73" s="1027">
        <f>+'雨汚水(共通按分後)'!AG73-雨汚水!AG73</f>
        <v>0</v>
      </c>
      <c r="AH73" s="1029">
        <f>+'雨汚水(共通按分後)'!AH73-雨汚水!AH73</f>
        <v>0</v>
      </c>
      <c r="AI73" s="1028">
        <f>+'雨汚水(共通按分後)'!AI73-雨汚水!AI73</f>
        <v>0</v>
      </c>
      <c r="AJ73" s="1027">
        <f>+'雨汚水(共通按分後)'!AJ73-雨汚水!AJ73</f>
        <v>0</v>
      </c>
      <c r="AK73" s="1026">
        <f>+'雨汚水(共通按分後)'!AK73-雨汚水!AK73</f>
        <v>0</v>
      </c>
      <c r="AL73" s="1025">
        <f>+'雨汚水(共通按分後)'!AL73-雨汚水!AL73</f>
        <v>0</v>
      </c>
    </row>
    <row r="74" spans="1:38">
      <c r="A74" s="1024"/>
      <c r="B74" s="1034" t="s">
        <v>1429</v>
      </c>
      <c r="C74" s="1033" t="s">
        <v>1439</v>
      </c>
      <c r="D74" s="1030"/>
      <c r="E74" s="1040">
        <f>+'雨汚水(共通按分後)'!E74-雨汚水!E74</f>
        <v>0</v>
      </c>
      <c r="F74" s="1028">
        <f>+'雨汚水(共通按分後)'!F74-雨汚水!F74</f>
        <v>0</v>
      </c>
      <c r="G74" s="1379">
        <f>+'雨汚水(共通按分後)'!G74-雨汚水!G74</f>
        <v>0</v>
      </c>
      <c r="H74" s="1027">
        <f>+'雨汚水(共通按分後)'!H74-雨汚水!H74</f>
        <v>0</v>
      </c>
      <c r="I74" s="1029">
        <f>+'雨汚水(共通按分後)'!I74-雨汚水!I74</f>
        <v>0</v>
      </c>
      <c r="J74" s="1028">
        <f>+'雨汚水(共通按分後)'!J74-雨汚水!J74</f>
        <v>0</v>
      </c>
      <c r="K74" s="1027">
        <f>+'雨汚水(共通按分後)'!K74-雨汚水!K74</f>
        <v>0</v>
      </c>
      <c r="L74" s="1026">
        <f>+'雨汚水(共通按分後)'!L74-雨汚水!L74</f>
        <v>0</v>
      </c>
      <c r="M74" s="1025">
        <f>+'雨汚水(共通按分後)'!M74-雨汚水!M74</f>
        <v>0</v>
      </c>
      <c r="N74" s="1030"/>
      <c r="O74" s="1040">
        <f>+'雨汚水(共通按分後)'!O74-雨汚水!O74</f>
        <v>0</v>
      </c>
      <c r="P74" s="1028">
        <f>+'雨汚水(共通按分後)'!P74-雨汚水!P74</f>
        <v>0</v>
      </c>
      <c r="Q74" s="1379">
        <f>+'雨汚水(共通按分後)'!Q74-雨汚水!Q74</f>
        <v>0</v>
      </c>
      <c r="R74" s="1027">
        <f>+'雨汚水(共通按分後)'!R74-雨汚水!R74</f>
        <v>0</v>
      </c>
      <c r="S74" s="1029">
        <f>+'雨汚水(共通按分後)'!S74-雨汚水!S74</f>
        <v>0</v>
      </c>
      <c r="T74" s="1028">
        <f>+'雨汚水(共通按分後)'!T74-雨汚水!T74</f>
        <v>0</v>
      </c>
      <c r="U74" s="1027">
        <f>+'雨汚水(共通按分後)'!U74-雨汚水!U74</f>
        <v>0</v>
      </c>
      <c r="V74" s="1026">
        <f>+'雨汚水(共通按分後)'!V74-雨汚水!V74</f>
        <v>0</v>
      </c>
      <c r="W74" s="1025">
        <f>+'雨汚水(共通按分後)'!W74-雨汚水!W74</f>
        <v>0</v>
      </c>
      <c r="X74" s="1030"/>
      <c r="Y74" s="1030"/>
      <c r="Z74" s="1030"/>
      <c r="AA74" s="1030"/>
      <c r="AB74" s="1030"/>
      <c r="AC74" s="1030"/>
      <c r="AD74" s="1040">
        <f>+'雨汚水(共通按分後)'!AD74-雨汚水!AD74</f>
        <v>0</v>
      </c>
      <c r="AE74" s="1028">
        <f>+'雨汚水(共通按分後)'!AE74-雨汚水!AE74</f>
        <v>0</v>
      </c>
      <c r="AF74" s="1379">
        <f>+'雨汚水(共通按分後)'!AF74-雨汚水!AF74</f>
        <v>0</v>
      </c>
      <c r="AG74" s="1027">
        <f>+'雨汚水(共通按分後)'!AG74-雨汚水!AG74</f>
        <v>0</v>
      </c>
      <c r="AH74" s="1029">
        <f>+'雨汚水(共通按分後)'!AH74-雨汚水!AH74</f>
        <v>0</v>
      </c>
      <c r="AI74" s="1028">
        <f>+'雨汚水(共通按分後)'!AI74-雨汚水!AI74</f>
        <v>0</v>
      </c>
      <c r="AJ74" s="1027">
        <f>+'雨汚水(共通按分後)'!AJ74-雨汚水!AJ74</f>
        <v>0</v>
      </c>
      <c r="AK74" s="1026">
        <f>+'雨汚水(共通按分後)'!AK74-雨汚水!AK74</f>
        <v>0</v>
      </c>
      <c r="AL74" s="1025">
        <f>+'雨汚水(共通按分後)'!AL74-雨汚水!AL74</f>
        <v>0</v>
      </c>
    </row>
    <row r="75" spans="1:38">
      <c r="A75" s="1024"/>
      <c r="B75" s="1034" t="s">
        <v>1542</v>
      </c>
      <c r="C75" s="1033" t="s">
        <v>1541</v>
      </c>
      <c r="D75" s="1030" t="s">
        <v>1781</v>
      </c>
      <c r="E75" s="1040">
        <f>+'雨汚水(共通按分後)'!E75-雨汚水!E75</f>
        <v>0</v>
      </c>
      <c r="F75" s="1028">
        <f>+'雨汚水(共通按分後)'!F75-雨汚水!F75</f>
        <v>0</v>
      </c>
      <c r="G75" s="1379">
        <f>+'雨汚水(共通按分後)'!G75-雨汚水!G75</f>
        <v>0</v>
      </c>
      <c r="H75" s="1027">
        <f>+'雨汚水(共通按分後)'!H75-雨汚水!H75</f>
        <v>0</v>
      </c>
      <c r="I75" s="1029">
        <f>+'雨汚水(共通按分後)'!I75-雨汚水!I75</f>
        <v>0</v>
      </c>
      <c r="J75" s="1028">
        <f>+'雨汚水(共通按分後)'!J75-雨汚水!J75</f>
        <v>0</v>
      </c>
      <c r="K75" s="1027">
        <f>+'雨汚水(共通按分後)'!K75-雨汚水!K75</f>
        <v>0</v>
      </c>
      <c r="L75" s="1026">
        <f>+'雨汚水(共通按分後)'!L75-雨汚水!L75</f>
        <v>0</v>
      </c>
      <c r="M75" s="1025">
        <f>+'雨汚水(共通按分後)'!M75-雨汚水!M75</f>
        <v>0</v>
      </c>
      <c r="N75" s="1030" t="s">
        <v>1781</v>
      </c>
      <c r="O75" s="1040">
        <f>+'雨汚水(共通按分後)'!O75-雨汚水!O75</f>
        <v>0</v>
      </c>
      <c r="P75" s="1028">
        <f>+'雨汚水(共通按分後)'!P75-雨汚水!P75</f>
        <v>0</v>
      </c>
      <c r="Q75" s="1379">
        <f>+'雨汚水(共通按分後)'!Q75-雨汚水!Q75</f>
        <v>0</v>
      </c>
      <c r="R75" s="1027">
        <f>+'雨汚水(共通按分後)'!R75-雨汚水!R75</f>
        <v>0</v>
      </c>
      <c r="S75" s="1029">
        <f>+'雨汚水(共通按分後)'!S75-雨汚水!S75</f>
        <v>0</v>
      </c>
      <c r="T75" s="1028">
        <f>+'雨汚水(共通按分後)'!T75-雨汚水!T75</f>
        <v>0</v>
      </c>
      <c r="U75" s="1027">
        <f>+'雨汚水(共通按分後)'!U75-雨汚水!U75</f>
        <v>0</v>
      </c>
      <c r="V75" s="1026">
        <f>+'雨汚水(共通按分後)'!V75-雨汚水!V75</f>
        <v>0</v>
      </c>
      <c r="W75" s="1025">
        <f>+'雨汚水(共通按分後)'!W75-雨汚水!W75</f>
        <v>0</v>
      </c>
      <c r="X75" s="1030" t="s">
        <v>1781</v>
      </c>
      <c r="Y75" s="1030"/>
      <c r="Z75" s="1030"/>
      <c r="AA75" s="1030"/>
      <c r="AB75" s="1030"/>
      <c r="AC75" s="1030"/>
      <c r="AD75" s="1040">
        <f>+'雨汚水(共通按分後)'!AD75-雨汚水!AD75</f>
        <v>0</v>
      </c>
      <c r="AE75" s="1028">
        <f>+'雨汚水(共通按分後)'!AE75-雨汚水!AE75</f>
        <v>0</v>
      </c>
      <c r="AF75" s="1379">
        <f>+'雨汚水(共通按分後)'!AF75-雨汚水!AF75</f>
        <v>0</v>
      </c>
      <c r="AG75" s="1027">
        <f>+'雨汚水(共通按分後)'!AG75-雨汚水!AG75</f>
        <v>0</v>
      </c>
      <c r="AH75" s="1029">
        <f>+'雨汚水(共通按分後)'!AH75-雨汚水!AH75</f>
        <v>0</v>
      </c>
      <c r="AI75" s="1028">
        <f>+'雨汚水(共通按分後)'!AI75-雨汚水!AI75</f>
        <v>0</v>
      </c>
      <c r="AJ75" s="1027">
        <f>+'雨汚水(共通按分後)'!AJ75-雨汚水!AJ75</f>
        <v>0</v>
      </c>
      <c r="AK75" s="1026">
        <f>+'雨汚水(共通按分後)'!AK75-雨汚水!AK75</f>
        <v>0</v>
      </c>
      <c r="AL75" s="1025">
        <f>+'雨汚水(共通按分後)'!AL75-雨汚水!AL75</f>
        <v>0</v>
      </c>
    </row>
    <row r="76" spans="1:38">
      <c r="A76" s="1024"/>
      <c r="B76" s="1034" t="s">
        <v>1429</v>
      </c>
      <c r="C76" s="1033" t="s">
        <v>1439</v>
      </c>
      <c r="D76" s="1030" t="s">
        <v>1782</v>
      </c>
      <c r="E76" s="1040">
        <f>+'雨汚水(共通按分後)'!E76-雨汚水!E76</f>
        <v>0</v>
      </c>
      <c r="F76" s="1028">
        <f>+'雨汚水(共通按分後)'!F76-雨汚水!F76</f>
        <v>0</v>
      </c>
      <c r="G76" s="1379">
        <f>+'雨汚水(共通按分後)'!G76-雨汚水!G76</f>
        <v>0</v>
      </c>
      <c r="H76" s="1027">
        <f>+'雨汚水(共通按分後)'!H76-雨汚水!H76</f>
        <v>0</v>
      </c>
      <c r="I76" s="1029">
        <f>+'雨汚水(共通按分後)'!I76-雨汚水!I76</f>
        <v>0</v>
      </c>
      <c r="J76" s="1028">
        <f>+'雨汚水(共通按分後)'!J76-雨汚水!J76</f>
        <v>0</v>
      </c>
      <c r="K76" s="1027">
        <f>+'雨汚水(共通按分後)'!K76-雨汚水!K76</f>
        <v>0</v>
      </c>
      <c r="L76" s="1026">
        <f>+'雨汚水(共通按分後)'!L76-雨汚水!L76</f>
        <v>0</v>
      </c>
      <c r="M76" s="1025">
        <f>+'雨汚水(共通按分後)'!M76-雨汚水!M76</f>
        <v>0</v>
      </c>
      <c r="N76" s="1030" t="s">
        <v>1782</v>
      </c>
      <c r="O76" s="1040">
        <f>+'雨汚水(共通按分後)'!O76-雨汚水!O76</f>
        <v>0</v>
      </c>
      <c r="P76" s="1028">
        <f>+'雨汚水(共通按分後)'!P76-雨汚水!P76</f>
        <v>0</v>
      </c>
      <c r="Q76" s="1379">
        <f>+'雨汚水(共通按分後)'!Q76-雨汚水!Q76</f>
        <v>0</v>
      </c>
      <c r="R76" s="1027">
        <f>+'雨汚水(共通按分後)'!R76-雨汚水!R76</f>
        <v>0</v>
      </c>
      <c r="S76" s="1029">
        <f>+'雨汚水(共通按分後)'!S76-雨汚水!S76</f>
        <v>0</v>
      </c>
      <c r="T76" s="1028">
        <f>+'雨汚水(共通按分後)'!T76-雨汚水!T76</f>
        <v>0</v>
      </c>
      <c r="U76" s="1027">
        <f>+'雨汚水(共通按分後)'!U76-雨汚水!U76</f>
        <v>0</v>
      </c>
      <c r="V76" s="1026">
        <f>+'雨汚水(共通按分後)'!V76-雨汚水!V76</f>
        <v>0</v>
      </c>
      <c r="W76" s="1025">
        <f>+'雨汚水(共通按分後)'!W76-雨汚水!W76</f>
        <v>0</v>
      </c>
      <c r="X76" s="1030" t="s">
        <v>1795</v>
      </c>
      <c r="Y76" s="1030"/>
      <c r="Z76" s="1030"/>
      <c r="AA76" s="1030"/>
      <c r="AB76" s="1030"/>
      <c r="AC76" s="1030"/>
      <c r="AD76" s="1040">
        <f>+'雨汚水(共通按分後)'!AD76-雨汚水!AD76</f>
        <v>0</v>
      </c>
      <c r="AE76" s="1028">
        <f>+'雨汚水(共通按分後)'!AE76-雨汚水!AE76</f>
        <v>0</v>
      </c>
      <c r="AF76" s="1379">
        <f>+'雨汚水(共通按分後)'!AF76-雨汚水!AF76</f>
        <v>0</v>
      </c>
      <c r="AG76" s="1027">
        <f>+'雨汚水(共通按分後)'!AG76-雨汚水!AG76</f>
        <v>0</v>
      </c>
      <c r="AH76" s="1029">
        <f>+'雨汚水(共通按分後)'!AH76-雨汚水!AH76</f>
        <v>0</v>
      </c>
      <c r="AI76" s="1028">
        <f>+'雨汚水(共通按分後)'!AI76-雨汚水!AI76</f>
        <v>0</v>
      </c>
      <c r="AJ76" s="1027">
        <f>+'雨汚水(共通按分後)'!AJ76-雨汚水!AJ76</f>
        <v>0</v>
      </c>
      <c r="AK76" s="1026">
        <f>+'雨汚水(共通按分後)'!AK76-雨汚水!AK76</f>
        <v>0</v>
      </c>
      <c r="AL76" s="1025">
        <f>+'雨汚水(共通按分後)'!AL76-雨汚水!AL76</f>
        <v>0</v>
      </c>
    </row>
    <row r="77" spans="1:38">
      <c r="A77" s="1024"/>
      <c r="B77" s="1034" t="s">
        <v>1429</v>
      </c>
      <c r="C77" s="1033" t="s">
        <v>1439</v>
      </c>
      <c r="D77" s="1049" t="s">
        <v>1783</v>
      </c>
      <c r="E77" s="1040">
        <f>+'雨汚水(共通按分後)'!E77-雨汚水!E77</f>
        <v>0</v>
      </c>
      <c r="F77" s="1028">
        <f>+'雨汚水(共通按分後)'!F77-雨汚水!F77</f>
        <v>0</v>
      </c>
      <c r="G77" s="1379">
        <f>+'雨汚水(共通按分後)'!G77-雨汚水!G77</f>
        <v>0</v>
      </c>
      <c r="H77" s="1027">
        <f>+'雨汚水(共通按分後)'!H77-雨汚水!H77</f>
        <v>0</v>
      </c>
      <c r="I77" s="1029">
        <f>+'雨汚水(共通按分後)'!I77-雨汚水!I77</f>
        <v>0</v>
      </c>
      <c r="J77" s="1028">
        <f>+'雨汚水(共通按分後)'!J77-雨汚水!J77</f>
        <v>0</v>
      </c>
      <c r="K77" s="1027">
        <f>+'雨汚水(共通按分後)'!K77-雨汚水!K77</f>
        <v>0</v>
      </c>
      <c r="L77" s="1026">
        <f>+'雨汚水(共通按分後)'!L77-雨汚水!L77</f>
        <v>0</v>
      </c>
      <c r="M77" s="1025">
        <f>+'雨汚水(共通按分後)'!M77-雨汚水!M77</f>
        <v>0</v>
      </c>
      <c r="N77" s="1049" t="s">
        <v>1783</v>
      </c>
      <c r="O77" s="1040">
        <f>+'雨汚水(共通按分後)'!O77-雨汚水!O77</f>
        <v>0</v>
      </c>
      <c r="P77" s="1028">
        <f>+'雨汚水(共通按分後)'!P77-雨汚水!P77</f>
        <v>0</v>
      </c>
      <c r="Q77" s="1379">
        <f>+'雨汚水(共通按分後)'!Q77-雨汚水!Q77</f>
        <v>0</v>
      </c>
      <c r="R77" s="1027">
        <f>+'雨汚水(共通按分後)'!R77-雨汚水!R77</f>
        <v>0</v>
      </c>
      <c r="S77" s="1029">
        <f>+'雨汚水(共通按分後)'!S77-雨汚水!S77</f>
        <v>0</v>
      </c>
      <c r="T77" s="1028">
        <f>+'雨汚水(共通按分後)'!T77-雨汚水!T77</f>
        <v>0</v>
      </c>
      <c r="U77" s="1027">
        <f>+'雨汚水(共通按分後)'!U77-雨汚水!U77</f>
        <v>0</v>
      </c>
      <c r="V77" s="1026">
        <f>+'雨汚水(共通按分後)'!V77-雨汚水!V77</f>
        <v>0</v>
      </c>
      <c r="W77" s="1025">
        <f>+'雨汚水(共通按分後)'!W77-雨汚水!W77</f>
        <v>0</v>
      </c>
      <c r="X77" s="1049" t="s">
        <v>1796</v>
      </c>
      <c r="Y77" s="1049"/>
      <c r="Z77" s="1049"/>
      <c r="AA77" s="1049"/>
      <c r="AB77" s="1049"/>
      <c r="AC77" s="1049"/>
      <c r="AD77" s="1040">
        <f>+'雨汚水(共通按分後)'!AD77-雨汚水!AD77</f>
        <v>0</v>
      </c>
      <c r="AE77" s="1028">
        <f>+'雨汚水(共通按分後)'!AE77-雨汚水!AE77</f>
        <v>0</v>
      </c>
      <c r="AF77" s="1379">
        <f>+'雨汚水(共通按分後)'!AF77-雨汚水!AF77</f>
        <v>0</v>
      </c>
      <c r="AG77" s="1027">
        <f>+'雨汚水(共通按分後)'!AG77-雨汚水!AG77</f>
        <v>0</v>
      </c>
      <c r="AH77" s="1029">
        <f>+'雨汚水(共通按分後)'!AH77-雨汚水!AH77</f>
        <v>0</v>
      </c>
      <c r="AI77" s="1028">
        <f>+'雨汚水(共通按分後)'!AI77-雨汚水!AI77</f>
        <v>0</v>
      </c>
      <c r="AJ77" s="1027">
        <f>+'雨汚水(共通按分後)'!AJ77-雨汚水!AJ77</f>
        <v>0</v>
      </c>
      <c r="AK77" s="1026">
        <f>+'雨汚水(共通按分後)'!AK77-雨汚水!AK77</f>
        <v>0</v>
      </c>
      <c r="AL77" s="1025">
        <f>+'雨汚水(共通按分後)'!AL77-雨汚水!AL77</f>
        <v>0</v>
      </c>
    </row>
    <row r="78" spans="1:38">
      <c r="A78" s="1024"/>
      <c r="B78" s="1034"/>
      <c r="C78" s="1033"/>
      <c r="D78" s="1030"/>
      <c r="E78" s="1040">
        <f>+'雨汚水(共通按分後)'!E78-雨汚水!E78</f>
        <v>0</v>
      </c>
      <c r="F78" s="1028">
        <f>+'雨汚水(共通按分後)'!F78-雨汚水!F78</f>
        <v>0</v>
      </c>
      <c r="G78" s="1379">
        <f>+'雨汚水(共通按分後)'!G78-雨汚水!G78</f>
        <v>0</v>
      </c>
      <c r="H78" s="1027">
        <f>+'雨汚水(共通按分後)'!H78-雨汚水!H78</f>
        <v>0</v>
      </c>
      <c r="I78" s="1029">
        <f>+'雨汚水(共通按分後)'!I78-雨汚水!I78</f>
        <v>0</v>
      </c>
      <c r="J78" s="1028">
        <f>+'雨汚水(共通按分後)'!J78-雨汚水!J78</f>
        <v>0</v>
      </c>
      <c r="K78" s="1027">
        <f>+'雨汚水(共通按分後)'!K78-雨汚水!K78</f>
        <v>0</v>
      </c>
      <c r="L78" s="1026">
        <f>+'雨汚水(共通按分後)'!L78-雨汚水!L78</f>
        <v>0</v>
      </c>
      <c r="M78" s="1025">
        <f>+'雨汚水(共通按分後)'!M78-雨汚水!M78</f>
        <v>0</v>
      </c>
      <c r="N78" s="1030"/>
      <c r="O78" s="1040">
        <f>+'雨汚水(共通按分後)'!O78-雨汚水!O78</f>
        <v>0</v>
      </c>
      <c r="P78" s="1028">
        <f>+'雨汚水(共通按分後)'!P78-雨汚水!P78</f>
        <v>0</v>
      </c>
      <c r="Q78" s="1379">
        <f>+'雨汚水(共通按分後)'!Q78-雨汚水!Q78</f>
        <v>0</v>
      </c>
      <c r="R78" s="1027">
        <f>+'雨汚水(共通按分後)'!R78-雨汚水!R78</f>
        <v>0</v>
      </c>
      <c r="S78" s="1029">
        <f>+'雨汚水(共通按分後)'!S78-雨汚水!S78</f>
        <v>0</v>
      </c>
      <c r="T78" s="1028">
        <f>+'雨汚水(共通按分後)'!T78-雨汚水!T78</f>
        <v>0</v>
      </c>
      <c r="U78" s="1027">
        <f>+'雨汚水(共通按分後)'!U78-雨汚水!U78</f>
        <v>0</v>
      </c>
      <c r="V78" s="1026">
        <f>+'雨汚水(共通按分後)'!V78-雨汚水!V78</f>
        <v>0</v>
      </c>
      <c r="W78" s="1025">
        <f>+'雨汚水(共通按分後)'!W78-雨汚水!W78</f>
        <v>0</v>
      </c>
      <c r="X78" s="1030"/>
      <c r="Y78" s="1030"/>
      <c r="Z78" s="1030"/>
      <c r="AA78" s="1030"/>
      <c r="AB78" s="1030"/>
      <c r="AC78" s="1030"/>
      <c r="AD78" s="1040">
        <f>+'雨汚水(共通按分後)'!AD78-雨汚水!AD78</f>
        <v>0</v>
      </c>
      <c r="AE78" s="1028">
        <f>+'雨汚水(共通按分後)'!AE78-雨汚水!AE78</f>
        <v>0</v>
      </c>
      <c r="AF78" s="1379">
        <f>+'雨汚水(共通按分後)'!AF78-雨汚水!AF78</f>
        <v>0</v>
      </c>
      <c r="AG78" s="1027">
        <f>+'雨汚水(共通按分後)'!AG78-雨汚水!AG78</f>
        <v>0</v>
      </c>
      <c r="AH78" s="1029">
        <f>+'雨汚水(共通按分後)'!AH78-雨汚水!AH78</f>
        <v>0</v>
      </c>
      <c r="AI78" s="1028">
        <f>+'雨汚水(共通按分後)'!AI78-雨汚水!AI78</f>
        <v>0</v>
      </c>
      <c r="AJ78" s="1027">
        <f>+'雨汚水(共通按分後)'!AJ78-雨汚水!AJ78</f>
        <v>0</v>
      </c>
      <c r="AK78" s="1026">
        <f>+'雨汚水(共通按分後)'!AK78-雨汚水!AK78</f>
        <v>0</v>
      </c>
      <c r="AL78" s="1025">
        <f>+'雨汚水(共通按分後)'!AL78-雨汚水!AL78</f>
        <v>0</v>
      </c>
    </row>
    <row r="79" spans="1:38">
      <c r="A79" s="1024"/>
      <c r="B79" s="1034" t="s">
        <v>1429</v>
      </c>
      <c r="C79" s="1033" t="s">
        <v>1433</v>
      </c>
      <c r="D79" s="1030" t="s">
        <v>1454</v>
      </c>
      <c r="E79" s="1040">
        <f>+'雨汚水(共通按分後)'!E79-雨汚水!E79</f>
        <v>0</v>
      </c>
      <c r="F79" s="1028">
        <f>+'雨汚水(共通按分後)'!F79-雨汚水!F79</f>
        <v>0</v>
      </c>
      <c r="G79" s="1379">
        <f>+'雨汚水(共通按分後)'!G79-雨汚水!G79</f>
        <v>0</v>
      </c>
      <c r="H79" s="1027">
        <f>+'雨汚水(共通按分後)'!H79-雨汚水!H79</f>
        <v>0</v>
      </c>
      <c r="I79" s="1029">
        <f>+'雨汚水(共通按分後)'!I79-雨汚水!I79</f>
        <v>0</v>
      </c>
      <c r="J79" s="1028">
        <f>+'雨汚水(共通按分後)'!J79-雨汚水!J79</f>
        <v>0</v>
      </c>
      <c r="K79" s="1027">
        <f>+'雨汚水(共通按分後)'!K79-雨汚水!K79</f>
        <v>0</v>
      </c>
      <c r="L79" s="1026">
        <f>+'雨汚水(共通按分後)'!L79-雨汚水!L79</f>
        <v>0</v>
      </c>
      <c r="M79" s="1025">
        <f>+'雨汚水(共通按分後)'!M79-雨汚水!M79</f>
        <v>0</v>
      </c>
      <c r="N79" s="1030" t="s">
        <v>1454</v>
      </c>
      <c r="O79" s="1040">
        <f>+'雨汚水(共通按分後)'!O79-雨汚水!O79</f>
        <v>0</v>
      </c>
      <c r="P79" s="1028">
        <f>+'雨汚水(共通按分後)'!P79-雨汚水!P79</f>
        <v>0</v>
      </c>
      <c r="Q79" s="1379">
        <f>+'雨汚水(共通按分後)'!Q79-雨汚水!Q79</f>
        <v>0</v>
      </c>
      <c r="R79" s="1027">
        <f>+'雨汚水(共通按分後)'!R79-雨汚水!R79</f>
        <v>0</v>
      </c>
      <c r="S79" s="1029">
        <f>+'雨汚水(共通按分後)'!S79-雨汚水!S79</f>
        <v>0</v>
      </c>
      <c r="T79" s="1028">
        <f>+'雨汚水(共通按分後)'!T79-雨汚水!T79</f>
        <v>0</v>
      </c>
      <c r="U79" s="1027">
        <f>+'雨汚水(共通按分後)'!U79-雨汚水!U79</f>
        <v>0</v>
      </c>
      <c r="V79" s="1026">
        <f>+'雨汚水(共通按分後)'!V79-雨汚水!V79</f>
        <v>0</v>
      </c>
      <c r="W79" s="1025">
        <f>+'雨汚水(共通按分後)'!W79-雨汚水!W79</f>
        <v>0</v>
      </c>
      <c r="X79" s="1030" t="s">
        <v>1454</v>
      </c>
      <c r="Y79" s="1450"/>
      <c r="Z79" s="1450"/>
      <c r="AA79" s="1450"/>
      <c r="AB79" s="1450"/>
      <c r="AC79" s="1450"/>
      <c r="AD79" s="1040">
        <f>+'雨汚水(共通按分後)'!AD79-雨汚水!AD79</f>
        <v>0</v>
      </c>
      <c r="AE79" s="1028">
        <f>+'雨汚水(共通按分後)'!AE79-雨汚水!AE79</f>
        <v>0</v>
      </c>
      <c r="AF79" s="1379">
        <f>+'雨汚水(共通按分後)'!AF79-雨汚水!AF79</f>
        <v>0</v>
      </c>
      <c r="AG79" s="1027">
        <f>+'雨汚水(共通按分後)'!AG79-雨汚水!AG79</f>
        <v>0</v>
      </c>
      <c r="AH79" s="1029">
        <f>+'雨汚水(共通按分後)'!AH79-雨汚水!AH79</f>
        <v>0</v>
      </c>
      <c r="AI79" s="1028">
        <f>+'雨汚水(共通按分後)'!AI79-雨汚水!AI79</f>
        <v>0</v>
      </c>
      <c r="AJ79" s="1027">
        <f>+'雨汚水(共通按分後)'!AJ79-雨汚水!AJ79</f>
        <v>0</v>
      </c>
      <c r="AK79" s="1026">
        <f>+'雨汚水(共通按分後)'!AK79-雨汚水!AK79</f>
        <v>0</v>
      </c>
      <c r="AL79" s="1025">
        <f>+'雨汚水(共通按分後)'!AL79-雨汚水!AL79</f>
        <v>0</v>
      </c>
    </row>
    <row r="80" spans="1:38">
      <c r="A80" s="1024"/>
      <c r="B80" s="1034" t="s">
        <v>1429</v>
      </c>
      <c r="C80" s="1033" t="s">
        <v>1433</v>
      </c>
      <c r="D80" s="1030" t="s">
        <v>1436</v>
      </c>
      <c r="E80" s="1040">
        <f>+'雨汚水(共通按分後)'!E80-雨汚水!E80</f>
        <v>334220</v>
      </c>
      <c r="F80" s="1028">
        <f>+'雨汚水(共通按分後)'!F80-雨汚水!F80</f>
        <v>281270</v>
      </c>
      <c r="G80" s="1379">
        <f>+'雨汚水(共通按分後)'!G80-雨汚水!G80</f>
        <v>0</v>
      </c>
      <c r="H80" s="1027">
        <f>+'雨汚水(共通按分後)'!H80-雨汚水!H80</f>
        <v>0</v>
      </c>
      <c r="I80" s="1029">
        <f>+'雨汚水(共通按分後)'!I80-雨汚水!I80</f>
        <v>281270</v>
      </c>
      <c r="J80" s="1028">
        <f>+'雨汚水(共通按分後)'!J80-雨汚水!J80</f>
        <v>0</v>
      </c>
      <c r="K80" s="1027">
        <f>+'雨汚水(共通按分後)'!K80-雨汚水!K80</f>
        <v>52950</v>
      </c>
      <c r="L80" s="1026">
        <f>+'雨汚水(共通按分後)'!L80-雨汚水!L80</f>
        <v>52950</v>
      </c>
      <c r="M80" s="1025">
        <f>+'雨汚水(共通按分後)'!M80-雨汚水!M80</f>
        <v>0</v>
      </c>
      <c r="N80" s="1030" t="s">
        <v>1436</v>
      </c>
      <c r="O80" s="1040">
        <f>+'雨汚水(共通按分後)'!O80-雨汚水!O80</f>
        <v>334220</v>
      </c>
      <c r="P80" s="1028">
        <f>+'雨汚水(共通按分後)'!P80-雨汚水!P80</f>
        <v>281270</v>
      </c>
      <c r="Q80" s="1379">
        <f>+'雨汚水(共通按分後)'!Q80-雨汚水!Q80</f>
        <v>0</v>
      </c>
      <c r="R80" s="1027">
        <f>+'雨汚水(共通按分後)'!R80-雨汚水!R80</f>
        <v>0</v>
      </c>
      <c r="S80" s="1029">
        <f>+'雨汚水(共通按分後)'!S80-雨汚水!S80</f>
        <v>281270</v>
      </c>
      <c r="T80" s="1028">
        <f>+'雨汚水(共通按分後)'!T80-雨汚水!T80</f>
        <v>0</v>
      </c>
      <c r="U80" s="1027">
        <f>+'雨汚水(共通按分後)'!U80-雨汚水!U80</f>
        <v>52950</v>
      </c>
      <c r="V80" s="1026">
        <f>+'雨汚水(共通按分後)'!V80-雨汚水!V80</f>
        <v>52950</v>
      </c>
      <c r="W80" s="1025">
        <f>+'雨汚水(共通按分後)'!W80-雨汚水!W80</f>
        <v>0</v>
      </c>
      <c r="X80" s="1030" t="s">
        <v>1436</v>
      </c>
      <c r="Y80" s="1450"/>
      <c r="Z80" s="1450"/>
      <c r="AA80" s="1450"/>
      <c r="AB80" s="1450"/>
      <c r="AC80" s="1450"/>
      <c r="AD80" s="1040">
        <f>+'雨汚水(共通按分後)'!AD80-雨汚水!AD80</f>
        <v>334220</v>
      </c>
      <c r="AE80" s="1028">
        <f>+'雨汚水(共通按分後)'!AE80-雨汚水!AE80</f>
        <v>281270</v>
      </c>
      <c r="AF80" s="1379">
        <f>+'雨汚水(共通按分後)'!AF80-雨汚水!AF80</f>
        <v>0</v>
      </c>
      <c r="AG80" s="1027">
        <f>+'雨汚水(共通按分後)'!AG80-雨汚水!AG80</f>
        <v>0</v>
      </c>
      <c r="AH80" s="1029">
        <f>+'雨汚水(共通按分後)'!AH80-雨汚水!AH80</f>
        <v>281270</v>
      </c>
      <c r="AI80" s="1028">
        <f>+'雨汚水(共通按分後)'!AI80-雨汚水!AI80</f>
        <v>0</v>
      </c>
      <c r="AJ80" s="1027">
        <f>+'雨汚水(共通按分後)'!AJ80-雨汚水!AJ80</f>
        <v>52950</v>
      </c>
      <c r="AK80" s="1026">
        <f>+'雨汚水(共通按分後)'!AK80-雨汚水!AK80</f>
        <v>52950</v>
      </c>
      <c r="AL80" s="1025">
        <f>+'雨汚水(共通按分後)'!AL80-雨汚水!AL80</f>
        <v>0</v>
      </c>
    </row>
    <row r="81" spans="1:38">
      <c r="A81" s="1024"/>
      <c r="B81" s="1034" t="s">
        <v>1429</v>
      </c>
      <c r="C81" s="1033" t="s">
        <v>1433</v>
      </c>
      <c r="D81" s="1030" t="s">
        <v>1451</v>
      </c>
      <c r="E81" s="1040">
        <f>+'雨汚水(共通按分後)'!E81-雨汚水!E81</f>
        <v>0</v>
      </c>
      <c r="F81" s="1028">
        <f>+'雨汚水(共通按分後)'!F81-雨汚水!F81</f>
        <v>0</v>
      </c>
      <c r="G81" s="1379">
        <f>+'雨汚水(共通按分後)'!G81-雨汚水!G81</f>
        <v>0</v>
      </c>
      <c r="H81" s="1027">
        <f>+'雨汚水(共通按分後)'!H81-雨汚水!H81</f>
        <v>0</v>
      </c>
      <c r="I81" s="1029">
        <f>+'雨汚水(共通按分後)'!I81-雨汚水!I81</f>
        <v>0</v>
      </c>
      <c r="J81" s="1028">
        <f>+'雨汚水(共通按分後)'!J81-雨汚水!J81</f>
        <v>0</v>
      </c>
      <c r="K81" s="1027">
        <f>+'雨汚水(共通按分後)'!K81-雨汚水!K81</f>
        <v>0</v>
      </c>
      <c r="L81" s="1026">
        <f>+'雨汚水(共通按分後)'!L81-雨汚水!L81</f>
        <v>0</v>
      </c>
      <c r="M81" s="1025">
        <f>+'雨汚水(共通按分後)'!M81-雨汚水!M81</f>
        <v>0</v>
      </c>
      <c r="N81" s="1030" t="s">
        <v>1451</v>
      </c>
      <c r="O81" s="1040">
        <f>+'雨汚水(共通按分後)'!O81-雨汚水!O81</f>
        <v>0</v>
      </c>
      <c r="P81" s="1028">
        <f>+'雨汚水(共通按分後)'!P81-雨汚水!P81</f>
        <v>0</v>
      </c>
      <c r="Q81" s="1379">
        <f>+'雨汚水(共通按分後)'!Q81-雨汚水!Q81</f>
        <v>0</v>
      </c>
      <c r="R81" s="1027">
        <f>+'雨汚水(共通按分後)'!R81-雨汚水!R81</f>
        <v>0</v>
      </c>
      <c r="S81" s="1029">
        <f>+'雨汚水(共通按分後)'!S81-雨汚水!S81</f>
        <v>0</v>
      </c>
      <c r="T81" s="1028">
        <f>+'雨汚水(共通按分後)'!T81-雨汚水!T81</f>
        <v>0</v>
      </c>
      <c r="U81" s="1027">
        <f>+'雨汚水(共通按分後)'!U81-雨汚水!U81</f>
        <v>0</v>
      </c>
      <c r="V81" s="1026">
        <f>+'雨汚水(共通按分後)'!V81-雨汚水!V81</f>
        <v>0</v>
      </c>
      <c r="W81" s="1025">
        <f>+'雨汚水(共通按分後)'!W81-雨汚水!W81</f>
        <v>0</v>
      </c>
      <c r="X81" s="1030" t="s">
        <v>1451</v>
      </c>
      <c r="Y81" s="1450"/>
      <c r="Z81" s="1450"/>
      <c r="AA81" s="1450"/>
      <c r="AB81" s="1450"/>
      <c r="AC81" s="1450"/>
      <c r="AD81" s="1040">
        <f>+'雨汚水(共通按分後)'!AD81-雨汚水!AD81</f>
        <v>0</v>
      </c>
      <c r="AE81" s="1028">
        <f>+'雨汚水(共通按分後)'!AE81-雨汚水!AE81</f>
        <v>0</v>
      </c>
      <c r="AF81" s="1379">
        <f>+'雨汚水(共通按分後)'!AF81-雨汚水!AF81</f>
        <v>0</v>
      </c>
      <c r="AG81" s="1027">
        <f>+'雨汚水(共通按分後)'!AG81-雨汚水!AG81</f>
        <v>0</v>
      </c>
      <c r="AH81" s="1029">
        <f>+'雨汚水(共通按分後)'!AH81-雨汚水!AH81</f>
        <v>0</v>
      </c>
      <c r="AI81" s="1028">
        <f>+'雨汚水(共通按分後)'!AI81-雨汚水!AI81</f>
        <v>0</v>
      </c>
      <c r="AJ81" s="1027">
        <f>+'雨汚水(共通按分後)'!AJ81-雨汚水!AJ81</f>
        <v>0</v>
      </c>
      <c r="AK81" s="1026">
        <f>+'雨汚水(共通按分後)'!AK81-雨汚水!AK81</f>
        <v>0</v>
      </c>
      <c r="AL81" s="1025">
        <f>+'雨汚水(共通按分後)'!AL81-雨汚水!AL81</f>
        <v>0</v>
      </c>
    </row>
    <row r="82" spans="1:38">
      <c r="A82" s="1024"/>
      <c r="B82" s="1034" t="s">
        <v>1429</v>
      </c>
      <c r="C82" s="1033" t="s">
        <v>1433</v>
      </c>
      <c r="D82" s="1030" t="s">
        <v>1450</v>
      </c>
      <c r="E82" s="1040">
        <f>+'雨汚水(共通按分後)'!E82-雨汚水!E82</f>
        <v>0</v>
      </c>
      <c r="F82" s="1028">
        <f>+'雨汚水(共通按分後)'!F82-雨汚水!F82</f>
        <v>0</v>
      </c>
      <c r="G82" s="1379">
        <f>+'雨汚水(共通按分後)'!G82-雨汚水!G82</f>
        <v>0</v>
      </c>
      <c r="H82" s="1027">
        <f>+'雨汚水(共通按分後)'!H82-雨汚水!H82</f>
        <v>0</v>
      </c>
      <c r="I82" s="1029">
        <f>+'雨汚水(共通按分後)'!I82-雨汚水!I82</f>
        <v>0</v>
      </c>
      <c r="J82" s="1028">
        <f>+'雨汚水(共通按分後)'!J82-雨汚水!J82</f>
        <v>0</v>
      </c>
      <c r="K82" s="1027">
        <f>+'雨汚水(共通按分後)'!K82-雨汚水!K82</f>
        <v>0</v>
      </c>
      <c r="L82" s="1026">
        <f>+'雨汚水(共通按分後)'!L82-雨汚水!L82</f>
        <v>0</v>
      </c>
      <c r="M82" s="1025">
        <f>+'雨汚水(共通按分後)'!M82-雨汚水!M82</f>
        <v>0</v>
      </c>
      <c r="N82" s="1030" t="s">
        <v>1450</v>
      </c>
      <c r="O82" s="1040">
        <f>+'雨汚水(共通按分後)'!O82-雨汚水!O82</f>
        <v>0</v>
      </c>
      <c r="P82" s="1028">
        <f>+'雨汚水(共通按分後)'!P82-雨汚水!P82</f>
        <v>0</v>
      </c>
      <c r="Q82" s="1379">
        <f>+'雨汚水(共通按分後)'!Q82-雨汚水!Q82</f>
        <v>0</v>
      </c>
      <c r="R82" s="1027">
        <f>+'雨汚水(共通按分後)'!R82-雨汚水!R82</f>
        <v>0</v>
      </c>
      <c r="S82" s="1029">
        <f>+'雨汚水(共通按分後)'!S82-雨汚水!S82</f>
        <v>0</v>
      </c>
      <c r="T82" s="1028">
        <f>+'雨汚水(共通按分後)'!T82-雨汚水!T82</f>
        <v>0</v>
      </c>
      <c r="U82" s="1027">
        <f>+'雨汚水(共通按分後)'!U82-雨汚水!U82</f>
        <v>0</v>
      </c>
      <c r="V82" s="1026">
        <f>+'雨汚水(共通按分後)'!V82-雨汚水!V82</f>
        <v>0</v>
      </c>
      <c r="W82" s="1025">
        <f>+'雨汚水(共通按分後)'!W82-雨汚水!W82</f>
        <v>0</v>
      </c>
      <c r="X82" s="1030" t="s">
        <v>1450</v>
      </c>
      <c r="Y82" s="1450"/>
      <c r="Z82" s="1450"/>
      <c r="AA82" s="1450"/>
      <c r="AB82" s="1450"/>
      <c r="AC82" s="1450"/>
      <c r="AD82" s="1040">
        <f>+'雨汚水(共通按分後)'!AD82-雨汚水!AD82</f>
        <v>0</v>
      </c>
      <c r="AE82" s="1028">
        <f>+'雨汚水(共通按分後)'!AE82-雨汚水!AE82</f>
        <v>0</v>
      </c>
      <c r="AF82" s="1379">
        <f>+'雨汚水(共通按分後)'!AF82-雨汚水!AF82</f>
        <v>0</v>
      </c>
      <c r="AG82" s="1027">
        <f>+'雨汚水(共通按分後)'!AG82-雨汚水!AG82</f>
        <v>0</v>
      </c>
      <c r="AH82" s="1029">
        <f>+'雨汚水(共通按分後)'!AH82-雨汚水!AH82</f>
        <v>0</v>
      </c>
      <c r="AI82" s="1028">
        <f>+'雨汚水(共通按分後)'!AI82-雨汚水!AI82</f>
        <v>0</v>
      </c>
      <c r="AJ82" s="1027">
        <f>+'雨汚水(共通按分後)'!AJ82-雨汚水!AJ82</f>
        <v>0</v>
      </c>
      <c r="AK82" s="1026">
        <f>+'雨汚水(共通按分後)'!AK82-雨汚水!AK82</f>
        <v>0</v>
      </c>
      <c r="AL82" s="1025">
        <f>+'雨汚水(共通按分後)'!AL82-雨汚水!AL82</f>
        <v>0</v>
      </c>
    </row>
    <row r="83" spans="1:38">
      <c r="A83" s="1024"/>
      <c r="B83" s="1034" t="s">
        <v>1429</v>
      </c>
      <c r="C83" s="1033" t="s">
        <v>1433</v>
      </c>
      <c r="D83" s="1030" t="s">
        <v>1449</v>
      </c>
      <c r="E83" s="1040">
        <f>+'雨汚水(共通按分後)'!E83-雨汚水!E83</f>
        <v>0</v>
      </c>
      <c r="F83" s="1028">
        <f>+'雨汚水(共通按分後)'!F83-雨汚水!F83</f>
        <v>0</v>
      </c>
      <c r="G83" s="1379">
        <f>+'雨汚水(共通按分後)'!G83-雨汚水!G83</f>
        <v>0</v>
      </c>
      <c r="H83" s="1027">
        <f>+'雨汚水(共通按分後)'!H83-雨汚水!H83</f>
        <v>0</v>
      </c>
      <c r="I83" s="1029">
        <f>+'雨汚水(共通按分後)'!I83-雨汚水!I83</f>
        <v>0</v>
      </c>
      <c r="J83" s="1028">
        <f>+'雨汚水(共通按分後)'!J83-雨汚水!J83</f>
        <v>0</v>
      </c>
      <c r="K83" s="1027">
        <f>+'雨汚水(共通按分後)'!K83-雨汚水!K83</f>
        <v>0</v>
      </c>
      <c r="L83" s="1026">
        <f>+'雨汚水(共通按分後)'!L83-雨汚水!L83</f>
        <v>0</v>
      </c>
      <c r="M83" s="1025">
        <f>+'雨汚水(共通按分後)'!M83-雨汚水!M83</f>
        <v>0</v>
      </c>
      <c r="N83" s="1030" t="s">
        <v>1449</v>
      </c>
      <c r="O83" s="1040">
        <f>+'雨汚水(共通按分後)'!O83-雨汚水!O83</f>
        <v>0</v>
      </c>
      <c r="P83" s="1028">
        <f>+'雨汚水(共通按分後)'!P83-雨汚水!P83</f>
        <v>0</v>
      </c>
      <c r="Q83" s="1379">
        <f>+'雨汚水(共通按分後)'!Q83-雨汚水!Q83</f>
        <v>0</v>
      </c>
      <c r="R83" s="1027">
        <f>+'雨汚水(共通按分後)'!R83-雨汚水!R83</f>
        <v>0</v>
      </c>
      <c r="S83" s="1029">
        <f>+'雨汚水(共通按分後)'!S83-雨汚水!S83</f>
        <v>0</v>
      </c>
      <c r="T83" s="1028">
        <f>+'雨汚水(共通按分後)'!T83-雨汚水!T83</f>
        <v>0</v>
      </c>
      <c r="U83" s="1027">
        <f>+'雨汚水(共通按分後)'!U83-雨汚水!U83</f>
        <v>0</v>
      </c>
      <c r="V83" s="1026">
        <f>+'雨汚水(共通按分後)'!V83-雨汚水!V83</f>
        <v>0</v>
      </c>
      <c r="W83" s="1025">
        <f>+'雨汚水(共通按分後)'!W83-雨汚水!W83</f>
        <v>0</v>
      </c>
      <c r="X83" s="1030" t="s">
        <v>1449</v>
      </c>
      <c r="Y83" s="1450"/>
      <c r="Z83" s="1450"/>
      <c r="AA83" s="1450"/>
      <c r="AB83" s="1450"/>
      <c r="AC83" s="1450"/>
      <c r="AD83" s="1040">
        <f>+'雨汚水(共通按分後)'!AD83-雨汚水!AD83</f>
        <v>0</v>
      </c>
      <c r="AE83" s="1028">
        <f>+'雨汚水(共通按分後)'!AE83-雨汚水!AE83</f>
        <v>0</v>
      </c>
      <c r="AF83" s="1379">
        <f>+'雨汚水(共通按分後)'!AF83-雨汚水!AF83</f>
        <v>0</v>
      </c>
      <c r="AG83" s="1027">
        <f>+'雨汚水(共通按分後)'!AG83-雨汚水!AG83</f>
        <v>0</v>
      </c>
      <c r="AH83" s="1029">
        <f>+'雨汚水(共通按分後)'!AH83-雨汚水!AH83</f>
        <v>0</v>
      </c>
      <c r="AI83" s="1028">
        <f>+'雨汚水(共通按分後)'!AI83-雨汚水!AI83</f>
        <v>0</v>
      </c>
      <c r="AJ83" s="1027">
        <f>+'雨汚水(共通按分後)'!AJ83-雨汚水!AJ83</f>
        <v>0</v>
      </c>
      <c r="AK83" s="1026">
        <f>+'雨汚水(共通按分後)'!AK83-雨汚水!AK83</f>
        <v>0</v>
      </c>
      <c r="AL83" s="1025">
        <f>+'雨汚水(共通按分後)'!AL83-雨汚水!AL83</f>
        <v>0</v>
      </c>
    </row>
    <row r="84" spans="1:38">
      <c r="A84" s="1024"/>
      <c r="B84" s="1034"/>
      <c r="C84" s="1033"/>
      <c r="D84" s="1030"/>
      <c r="E84" s="1040">
        <f>+'雨汚水(共通按分後)'!E84-雨汚水!E84</f>
        <v>0</v>
      </c>
      <c r="F84" s="1028">
        <f>+'雨汚水(共通按分後)'!F84-雨汚水!F84</f>
        <v>0</v>
      </c>
      <c r="G84" s="1379">
        <f>+'雨汚水(共通按分後)'!G84-雨汚水!G84</f>
        <v>0</v>
      </c>
      <c r="H84" s="1027">
        <f>+'雨汚水(共通按分後)'!H84-雨汚水!H84</f>
        <v>0</v>
      </c>
      <c r="I84" s="1029">
        <f>+'雨汚水(共通按分後)'!I84-雨汚水!I84</f>
        <v>0</v>
      </c>
      <c r="J84" s="1028">
        <f>+'雨汚水(共通按分後)'!J84-雨汚水!J84</f>
        <v>0</v>
      </c>
      <c r="K84" s="1027">
        <f>+'雨汚水(共通按分後)'!K84-雨汚水!K84</f>
        <v>0</v>
      </c>
      <c r="L84" s="1026">
        <f>+'雨汚水(共通按分後)'!L84-雨汚水!L84</f>
        <v>0</v>
      </c>
      <c r="M84" s="1025">
        <f>+'雨汚水(共通按分後)'!M84-雨汚水!M84</f>
        <v>0</v>
      </c>
      <c r="N84" s="1030"/>
      <c r="O84" s="1040">
        <f>+'雨汚水(共通按分後)'!O84-雨汚水!O84</f>
        <v>0</v>
      </c>
      <c r="P84" s="1028">
        <f>+'雨汚水(共通按分後)'!P84-雨汚水!P84</f>
        <v>0</v>
      </c>
      <c r="Q84" s="1379">
        <f>+'雨汚水(共通按分後)'!Q84-雨汚水!Q84</f>
        <v>0</v>
      </c>
      <c r="R84" s="1027">
        <f>+'雨汚水(共通按分後)'!R84-雨汚水!R84</f>
        <v>0</v>
      </c>
      <c r="S84" s="1029">
        <f>+'雨汚水(共通按分後)'!S84-雨汚水!S84</f>
        <v>0</v>
      </c>
      <c r="T84" s="1028">
        <f>+'雨汚水(共通按分後)'!T84-雨汚水!T84</f>
        <v>0</v>
      </c>
      <c r="U84" s="1027">
        <f>+'雨汚水(共通按分後)'!U84-雨汚水!U84</f>
        <v>0</v>
      </c>
      <c r="V84" s="1026">
        <f>+'雨汚水(共通按分後)'!V84-雨汚水!V84</f>
        <v>0</v>
      </c>
      <c r="W84" s="1025">
        <f>+'雨汚水(共通按分後)'!W84-雨汚水!W84</f>
        <v>0</v>
      </c>
      <c r="X84" s="1030"/>
      <c r="Y84" s="1450"/>
      <c r="Z84" s="1450"/>
      <c r="AA84" s="1450"/>
      <c r="AB84" s="1450"/>
      <c r="AC84" s="1450"/>
      <c r="AD84" s="1040">
        <f>+'雨汚水(共通按分後)'!AD84-雨汚水!AD84</f>
        <v>0</v>
      </c>
      <c r="AE84" s="1028">
        <f>+'雨汚水(共通按分後)'!AE84-雨汚水!AE84</f>
        <v>0</v>
      </c>
      <c r="AF84" s="1379">
        <f>+'雨汚水(共通按分後)'!AF84-雨汚水!AF84</f>
        <v>0</v>
      </c>
      <c r="AG84" s="1027">
        <f>+'雨汚水(共通按分後)'!AG84-雨汚水!AG84</f>
        <v>0</v>
      </c>
      <c r="AH84" s="1029">
        <f>+'雨汚水(共通按分後)'!AH84-雨汚水!AH84</f>
        <v>0</v>
      </c>
      <c r="AI84" s="1028">
        <f>+'雨汚水(共通按分後)'!AI84-雨汚水!AI84</f>
        <v>0</v>
      </c>
      <c r="AJ84" s="1027">
        <f>+'雨汚水(共通按分後)'!AJ84-雨汚水!AJ84</f>
        <v>0</v>
      </c>
      <c r="AK84" s="1026">
        <f>+'雨汚水(共通按分後)'!AK84-雨汚水!AK84</f>
        <v>0</v>
      </c>
      <c r="AL84" s="1025">
        <f>+'雨汚水(共通按分後)'!AL84-雨汚水!AL84</f>
        <v>0</v>
      </c>
    </row>
    <row r="85" spans="1:38">
      <c r="A85" s="1024"/>
      <c r="B85" s="1034" t="s">
        <v>1427</v>
      </c>
      <c r="C85" s="1033" t="s">
        <v>1446</v>
      </c>
      <c r="D85" s="1030" t="s">
        <v>1447</v>
      </c>
      <c r="E85" s="1040">
        <f>+'雨汚水(共通按分後)'!E85-雨汚水!E85</f>
        <v>-14322236</v>
      </c>
      <c r="F85" s="1028">
        <f>+'雨汚水(共通按分後)'!F85-雨汚水!F85</f>
        <v>-355003196</v>
      </c>
      <c r="G85" s="1379">
        <f>+'雨汚水(共通按分後)'!G85-雨汚水!G85</f>
        <v>1049037</v>
      </c>
      <c r="H85" s="1027">
        <f>+'雨汚水(共通按分後)'!H85-雨汚水!H85</f>
        <v>0</v>
      </c>
      <c r="I85" s="1029">
        <f>+'雨汚水(共通按分後)'!I85-雨汚水!I85</f>
        <v>-353954159</v>
      </c>
      <c r="J85" s="1028">
        <f>+'雨汚水(共通按分後)'!J85-雨汚水!J85</f>
        <v>182719991</v>
      </c>
      <c r="K85" s="1027">
        <f>+'雨汚水(共通按分後)'!K85-雨汚水!K85</f>
        <v>-120512936</v>
      </c>
      <c r="L85" s="1026">
        <f>+'雨汚水(共通按分後)'!L85-雨汚水!L85</f>
        <v>62207055</v>
      </c>
      <c r="M85" s="1025">
        <f>+'雨汚水(共通按分後)'!M85-雨汚水!M85</f>
        <v>0</v>
      </c>
      <c r="N85" s="1030" t="s">
        <v>1447</v>
      </c>
      <c r="O85" s="1040">
        <f>+'雨汚水(共通按分後)'!O85-雨汚水!O85</f>
        <v>-14322236</v>
      </c>
      <c r="P85" s="1028">
        <f>+'雨汚水(共通按分後)'!P85-雨汚水!P85</f>
        <v>-355003196</v>
      </c>
      <c r="Q85" s="1379">
        <f>+'雨汚水(共通按分後)'!Q85-雨汚水!Q85</f>
        <v>1049037</v>
      </c>
      <c r="R85" s="1027">
        <f>+'雨汚水(共通按分後)'!R85-雨汚水!R85</f>
        <v>0</v>
      </c>
      <c r="S85" s="1029">
        <f>+'雨汚水(共通按分後)'!S85-雨汚水!S85</f>
        <v>-353954159</v>
      </c>
      <c r="T85" s="1028">
        <f>+'雨汚水(共通按分後)'!T85-雨汚水!T85</f>
        <v>182719991</v>
      </c>
      <c r="U85" s="1027">
        <f>+'雨汚水(共通按分後)'!U85-雨汚水!U85</f>
        <v>156911932</v>
      </c>
      <c r="V85" s="1026">
        <f>+'雨汚水(共通按分後)'!V85-雨汚水!V85</f>
        <v>339631923</v>
      </c>
      <c r="W85" s="1025">
        <f>+'雨汚水(共通按分後)'!W85-雨汚水!W85</f>
        <v>0</v>
      </c>
      <c r="X85" s="1030" t="s">
        <v>1447</v>
      </c>
      <c r="Y85" s="1451"/>
      <c r="Z85" s="1451"/>
      <c r="AA85" s="1451"/>
      <c r="AB85" s="1451"/>
      <c r="AC85" s="1451"/>
      <c r="AD85" s="1040">
        <f>+'雨汚水(共通按分後)'!AD85-雨汚水!AD85</f>
        <v>-14322236</v>
      </c>
      <c r="AE85" s="1028">
        <f>+'雨汚水(共通按分後)'!AE85-雨汚水!AE85</f>
        <v>-355003196</v>
      </c>
      <c r="AF85" s="1379">
        <f>+'雨汚水(共通按分後)'!AF85-雨汚水!AF85</f>
        <v>1049037</v>
      </c>
      <c r="AG85" s="1027">
        <f>+'雨汚水(共通按分後)'!AG85-雨汚水!AG85</f>
        <v>0</v>
      </c>
      <c r="AH85" s="1029">
        <f>+'雨汚水(共通按分後)'!AH85-雨汚水!AH85</f>
        <v>-353954159</v>
      </c>
      <c r="AI85" s="1028">
        <f>+'雨汚水(共通按分後)'!AI85-雨汚水!AI85</f>
        <v>182719991</v>
      </c>
      <c r="AJ85" s="1027">
        <f>+'雨汚水(共通按分後)'!AJ85-雨汚水!AJ85</f>
        <v>156911932</v>
      </c>
      <c r="AK85" s="1026">
        <f>+'雨汚水(共通按分後)'!AK85-雨汚水!AK85</f>
        <v>339631923</v>
      </c>
      <c r="AL85" s="1025">
        <f>+'雨汚水(共通按分後)'!AL85-雨汚水!AL85</f>
        <v>0</v>
      </c>
    </row>
    <row r="86" spans="1:38">
      <c r="A86" s="1024"/>
      <c r="B86" s="1034" t="s">
        <v>1427</v>
      </c>
      <c r="C86" s="1033" t="s">
        <v>1446</v>
      </c>
      <c r="D86" s="1030" t="s">
        <v>1444</v>
      </c>
      <c r="E86" s="1040">
        <f>+'雨汚水(共通按分後)'!E86-雨汚水!E86</f>
        <v>14322236</v>
      </c>
      <c r="F86" s="1028">
        <f>+'雨汚水(共通按分後)'!F86-雨汚水!F86</f>
        <v>-7384417</v>
      </c>
      <c r="G86" s="1379">
        <f>+'雨汚水(共通按分後)'!G86-雨汚水!G86</f>
        <v>-26529</v>
      </c>
      <c r="H86" s="1027">
        <f>+'雨汚水(共通按分後)'!H86-雨汚水!H86</f>
        <v>0</v>
      </c>
      <c r="I86" s="1029">
        <f>+'雨汚水(共通按分後)'!I86-雨汚水!I86</f>
        <v>-7410946</v>
      </c>
      <c r="J86" s="1028">
        <f>+'雨汚水(共通按分後)'!J86-雨汚水!J86</f>
        <v>6851654</v>
      </c>
      <c r="K86" s="1027">
        <f>+'雨汚水(共通按分後)'!K86-雨汚水!K86</f>
        <v>14881528</v>
      </c>
      <c r="L86" s="1026">
        <f>+'雨汚水(共通按分後)'!L86-雨汚水!L86</f>
        <v>21733182</v>
      </c>
      <c r="M86" s="1025">
        <f>+'雨汚水(共通按分後)'!M86-雨汚水!M86</f>
        <v>0</v>
      </c>
      <c r="N86" s="1030" t="s">
        <v>1444</v>
      </c>
      <c r="O86" s="1040">
        <f>+'雨汚水(共通按分後)'!O86-雨汚水!O86</f>
        <v>14322236</v>
      </c>
      <c r="P86" s="1028">
        <f>+'雨汚水(共通按分後)'!P86-雨汚水!P86</f>
        <v>-7384417</v>
      </c>
      <c r="Q86" s="1379">
        <f>+'雨汚水(共通按分後)'!Q86-雨汚水!Q86</f>
        <v>-26529</v>
      </c>
      <c r="R86" s="1027">
        <f>+'雨汚水(共通按分後)'!R86-雨汚水!R86</f>
        <v>0</v>
      </c>
      <c r="S86" s="1029">
        <f>+'雨汚水(共通按分後)'!S86-雨汚水!S86</f>
        <v>-7410946</v>
      </c>
      <c r="T86" s="1028">
        <f>+'雨汚水(共通按分後)'!T86-雨汚水!T86</f>
        <v>6851654</v>
      </c>
      <c r="U86" s="1027">
        <f>+'雨汚水(共通按分後)'!U86-雨汚水!U86</f>
        <v>14881528</v>
      </c>
      <c r="V86" s="1026">
        <f>+'雨汚水(共通按分後)'!V86-雨汚水!V86</f>
        <v>21733182</v>
      </c>
      <c r="W86" s="1025">
        <f>+'雨汚水(共通按分後)'!W86-雨汚水!W86</f>
        <v>0</v>
      </c>
      <c r="X86" s="1030" t="s">
        <v>1444</v>
      </c>
      <c r="Y86" s="1451"/>
      <c r="Z86" s="1451"/>
      <c r="AA86" s="1451"/>
      <c r="AB86" s="1451"/>
      <c r="AC86" s="1451"/>
      <c r="AD86" s="1040">
        <f>+'雨汚水(共通按分後)'!AD86-雨汚水!AD86</f>
        <v>14322236</v>
      </c>
      <c r="AE86" s="1028">
        <f>+'雨汚水(共通按分後)'!AE86-雨汚水!AE86</f>
        <v>-7384417</v>
      </c>
      <c r="AF86" s="1379">
        <f>+'雨汚水(共通按分後)'!AF86-雨汚水!AF86</f>
        <v>-26529</v>
      </c>
      <c r="AG86" s="1027">
        <f>+'雨汚水(共通按分後)'!AG86-雨汚水!AG86</f>
        <v>0</v>
      </c>
      <c r="AH86" s="1029">
        <f>+'雨汚水(共通按分後)'!AH86-雨汚水!AH86</f>
        <v>-7410946</v>
      </c>
      <c r="AI86" s="1028">
        <f>+'雨汚水(共通按分後)'!AI86-雨汚水!AI86</f>
        <v>6851654</v>
      </c>
      <c r="AJ86" s="1027">
        <f>+'雨汚水(共通按分後)'!AJ86-雨汚水!AJ86</f>
        <v>14881528</v>
      </c>
      <c r="AK86" s="1026">
        <f>+'雨汚水(共通按分後)'!AK86-雨汚水!AK86</f>
        <v>21733182</v>
      </c>
      <c r="AL86" s="1025">
        <f>+'雨汚水(共通按分後)'!AL86-雨汚水!AL86</f>
        <v>0</v>
      </c>
    </row>
    <row r="87" spans="1:38">
      <c r="A87" s="1024"/>
      <c r="B87" s="1034" t="s">
        <v>1427</v>
      </c>
      <c r="C87" s="1033"/>
      <c r="D87" s="1030"/>
      <c r="E87" s="1040">
        <f>+'雨汚水(共通按分後)'!E87-雨汚水!E87</f>
        <v>0</v>
      </c>
      <c r="F87" s="1028">
        <f>+'雨汚水(共通按分後)'!F87-雨汚水!F87</f>
        <v>0</v>
      </c>
      <c r="G87" s="1379">
        <f>+'雨汚水(共通按分後)'!G87-雨汚水!G87</f>
        <v>0</v>
      </c>
      <c r="H87" s="1027">
        <f>+'雨汚水(共通按分後)'!H87-雨汚水!H87</f>
        <v>0</v>
      </c>
      <c r="I87" s="1029">
        <f>+'雨汚水(共通按分後)'!I87-雨汚水!I87</f>
        <v>0</v>
      </c>
      <c r="J87" s="1028">
        <f>+'雨汚水(共通按分後)'!J87-雨汚水!J87</f>
        <v>0</v>
      </c>
      <c r="K87" s="1027">
        <f>+'雨汚水(共通按分後)'!K87-雨汚水!K87</f>
        <v>0</v>
      </c>
      <c r="L87" s="1026">
        <f>+'雨汚水(共通按分後)'!L87-雨汚水!L87</f>
        <v>0</v>
      </c>
      <c r="M87" s="1025">
        <f>+'雨汚水(共通按分後)'!M87-雨汚水!M87</f>
        <v>0</v>
      </c>
      <c r="N87" s="1030"/>
      <c r="O87" s="1040">
        <f>+'雨汚水(共通按分後)'!O87-雨汚水!O87</f>
        <v>0</v>
      </c>
      <c r="P87" s="1028">
        <f>+'雨汚水(共通按分後)'!P87-雨汚水!P87</f>
        <v>0</v>
      </c>
      <c r="Q87" s="1379">
        <f>+'雨汚水(共通按分後)'!Q87-雨汚水!Q87</f>
        <v>0</v>
      </c>
      <c r="R87" s="1027">
        <f>+'雨汚水(共通按分後)'!R87-雨汚水!R87</f>
        <v>0</v>
      </c>
      <c r="S87" s="1029">
        <f>+'雨汚水(共通按分後)'!S87-雨汚水!S87</f>
        <v>0</v>
      </c>
      <c r="T87" s="1028">
        <f>+'雨汚水(共通按分後)'!T87-雨汚水!T87</f>
        <v>0</v>
      </c>
      <c r="U87" s="1027">
        <f>+'雨汚水(共通按分後)'!U87-雨汚水!U87</f>
        <v>0</v>
      </c>
      <c r="V87" s="1026">
        <f>+'雨汚水(共通按分後)'!V87-雨汚水!V87</f>
        <v>0</v>
      </c>
      <c r="W87" s="1025">
        <f>+'雨汚水(共通按分後)'!W87-雨汚水!W87</f>
        <v>0</v>
      </c>
      <c r="X87" s="1030"/>
      <c r="Y87" s="1450"/>
      <c r="Z87" s="1450"/>
      <c r="AA87" s="1450"/>
      <c r="AB87" s="1450"/>
      <c r="AC87" s="1450"/>
      <c r="AD87" s="1040">
        <f>+'雨汚水(共通按分後)'!AD87-雨汚水!AD87</f>
        <v>0</v>
      </c>
      <c r="AE87" s="1028">
        <f>+'雨汚水(共通按分後)'!AE87-雨汚水!AE87</f>
        <v>0</v>
      </c>
      <c r="AF87" s="1379">
        <f>+'雨汚水(共通按分後)'!AF87-雨汚水!AF87</f>
        <v>0</v>
      </c>
      <c r="AG87" s="1027">
        <f>+'雨汚水(共通按分後)'!AG87-雨汚水!AG87</f>
        <v>0</v>
      </c>
      <c r="AH87" s="1029">
        <f>+'雨汚水(共通按分後)'!AH87-雨汚水!AH87</f>
        <v>0</v>
      </c>
      <c r="AI87" s="1028">
        <f>+'雨汚水(共通按分後)'!AI87-雨汚水!AI87</f>
        <v>0</v>
      </c>
      <c r="AJ87" s="1027">
        <f>+'雨汚水(共通按分後)'!AJ87-雨汚水!AJ87</f>
        <v>0</v>
      </c>
      <c r="AK87" s="1026">
        <f>+'雨汚水(共通按分後)'!AK87-雨汚水!AK87</f>
        <v>0</v>
      </c>
      <c r="AL87" s="1025">
        <f>+'雨汚水(共通按分後)'!AL87-雨汚水!AL87</f>
        <v>0</v>
      </c>
    </row>
    <row r="88" spans="1:38">
      <c r="A88" s="1024"/>
      <c r="B88" s="1034" t="s">
        <v>1427</v>
      </c>
      <c r="C88" s="1033" t="s">
        <v>1439</v>
      </c>
      <c r="D88" s="1030" t="s">
        <v>1442</v>
      </c>
      <c r="E88" s="1040">
        <f>+'雨汚水(共通按分後)'!E88-雨汚水!E88</f>
        <v>0</v>
      </c>
      <c r="F88" s="1028">
        <f>+'雨汚水(共通按分後)'!F88-雨汚水!F88</f>
        <v>-10028883</v>
      </c>
      <c r="G88" s="1379">
        <f>+'雨汚水(共通按分後)'!G88-雨汚水!G88</f>
        <v>0</v>
      </c>
      <c r="H88" s="1027">
        <f>+'雨汚水(共通按分後)'!H88-雨汚水!H88</f>
        <v>0</v>
      </c>
      <c r="I88" s="1029">
        <f>+'雨汚水(共通按分後)'!I88-雨汚水!I88</f>
        <v>-10028883</v>
      </c>
      <c r="J88" s="1028">
        <f>+'雨汚水(共通按分後)'!J88-雨汚水!J88</f>
        <v>0</v>
      </c>
      <c r="K88" s="1027">
        <f>+'雨汚水(共通按分後)'!K88-雨汚水!K88</f>
        <v>10028883</v>
      </c>
      <c r="L88" s="1026">
        <f>+'雨汚水(共通按分後)'!L88-雨汚水!L88</f>
        <v>10028883</v>
      </c>
      <c r="M88" s="1025">
        <f>+'雨汚水(共通按分後)'!M88-雨汚水!M88</f>
        <v>0</v>
      </c>
      <c r="N88" s="1030" t="s">
        <v>1442</v>
      </c>
      <c r="O88" s="1040">
        <f>+'雨汚水(共通按分後)'!O88-雨汚水!O88</f>
        <v>0</v>
      </c>
      <c r="P88" s="1028">
        <f>+'雨汚水(共通按分後)'!P88-雨汚水!P88</f>
        <v>-10028883</v>
      </c>
      <c r="Q88" s="1379">
        <f>+'雨汚水(共通按分後)'!Q88-雨汚水!Q88</f>
        <v>0</v>
      </c>
      <c r="R88" s="1027">
        <f>+'雨汚水(共通按分後)'!R88-雨汚水!R88</f>
        <v>0</v>
      </c>
      <c r="S88" s="1029">
        <f>+'雨汚水(共通按分後)'!S88-雨汚水!S88</f>
        <v>-10028883</v>
      </c>
      <c r="T88" s="1028">
        <f>+'雨汚水(共通按分後)'!T88-雨汚水!T88</f>
        <v>0</v>
      </c>
      <c r="U88" s="1027">
        <f>+'雨汚水(共通按分後)'!U88-雨汚水!U88</f>
        <v>10028883</v>
      </c>
      <c r="V88" s="1026">
        <f>+'雨汚水(共通按分後)'!V88-雨汚水!V88</f>
        <v>10028883</v>
      </c>
      <c r="W88" s="1025">
        <f>+'雨汚水(共通按分後)'!W88-雨汚水!W88</f>
        <v>0</v>
      </c>
      <c r="X88" s="1030" t="s">
        <v>1442</v>
      </c>
      <c r="Y88" s="1450"/>
      <c r="Z88" s="1450"/>
      <c r="AA88" s="1450"/>
      <c r="AB88" s="1450"/>
      <c r="AC88" s="1450"/>
      <c r="AD88" s="1040">
        <f>+'雨汚水(共通按分後)'!AD88-雨汚水!AD88</f>
        <v>0</v>
      </c>
      <c r="AE88" s="1028">
        <f>+'雨汚水(共通按分後)'!AE88-雨汚水!AE88</f>
        <v>-10028883</v>
      </c>
      <c r="AF88" s="1379">
        <f>+'雨汚水(共通按分後)'!AF88-雨汚水!AF88</f>
        <v>0</v>
      </c>
      <c r="AG88" s="1027">
        <f>+'雨汚水(共通按分後)'!AG88-雨汚水!AG88</f>
        <v>0</v>
      </c>
      <c r="AH88" s="1029">
        <f>+'雨汚水(共通按分後)'!AH88-雨汚水!AH88</f>
        <v>-10028883</v>
      </c>
      <c r="AI88" s="1028">
        <f>+'雨汚水(共通按分後)'!AI88-雨汚水!AI88</f>
        <v>0</v>
      </c>
      <c r="AJ88" s="1027">
        <f>+'雨汚水(共通按分後)'!AJ88-雨汚水!AJ88</f>
        <v>10028883</v>
      </c>
      <c r="AK88" s="1026">
        <f>+'雨汚水(共通按分後)'!AK88-雨汚水!AK88</f>
        <v>10028883</v>
      </c>
      <c r="AL88" s="1025">
        <f>+'雨汚水(共通按分後)'!AL88-雨汚水!AL88</f>
        <v>0</v>
      </c>
    </row>
    <row r="89" spans="1:38">
      <c r="A89" s="1024"/>
      <c r="B89" s="1034" t="s">
        <v>1427</v>
      </c>
      <c r="C89" s="1033" t="s">
        <v>1439</v>
      </c>
      <c r="D89" s="1030" t="s">
        <v>1440</v>
      </c>
      <c r="E89" s="1040">
        <f>+'雨汚水(共通按分後)'!E89-雨汚水!E89</f>
        <v>0</v>
      </c>
      <c r="F89" s="1028">
        <f>+'雨汚水(共通按分後)'!F89-雨汚水!F89</f>
        <v>0</v>
      </c>
      <c r="G89" s="1379">
        <f>+'雨汚水(共通按分後)'!G89-雨汚水!G89</f>
        <v>0</v>
      </c>
      <c r="H89" s="1027">
        <f>+'雨汚水(共通按分後)'!H89-雨汚水!H89</f>
        <v>0</v>
      </c>
      <c r="I89" s="1029">
        <f>+'雨汚水(共通按分後)'!I89-雨汚水!I89</f>
        <v>0</v>
      </c>
      <c r="J89" s="1028">
        <f>+'雨汚水(共通按分後)'!J89-雨汚水!J89</f>
        <v>0</v>
      </c>
      <c r="K89" s="1027">
        <f>+'雨汚水(共通按分後)'!K89-雨汚水!K89</f>
        <v>0</v>
      </c>
      <c r="L89" s="1026">
        <f>+'雨汚水(共通按分後)'!L89-雨汚水!L89</f>
        <v>0</v>
      </c>
      <c r="M89" s="1025">
        <f>+'雨汚水(共通按分後)'!M89-雨汚水!M89</f>
        <v>0</v>
      </c>
      <c r="N89" s="1030" t="s">
        <v>1440</v>
      </c>
      <c r="O89" s="1040">
        <f>+'雨汚水(共通按分後)'!O89-雨汚水!O89</f>
        <v>0</v>
      </c>
      <c r="P89" s="1028">
        <f>+'雨汚水(共通按分後)'!P89-雨汚水!P89</f>
        <v>0</v>
      </c>
      <c r="Q89" s="1379">
        <f>+'雨汚水(共通按分後)'!Q89-雨汚水!Q89</f>
        <v>0</v>
      </c>
      <c r="R89" s="1027">
        <f>+'雨汚水(共通按分後)'!R89-雨汚水!R89</f>
        <v>0</v>
      </c>
      <c r="S89" s="1029">
        <f>+'雨汚水(共通按分後)'!S89-雨汚水!S89</f>
        <v>0</v>
      </c>
      <c r="T89" s="1028">
        <f>+'雨汚水(共通按分後)'!T89-雨汚水!T89</f>
        <v>0</v>
      </c>
      <c r="U89" s="1027">
        <f>+'雨汚水(共通按分後)'!U89-雨汚水!U89</f>
        <v>0</v>
      </c>
      <c r="V89" s="1026">
        <f>+'雨汚水(共通按分後)'!V89-雨汚水!V89</f>
        <v>0</v>
      </c>
      <c r="W89" s="1025">
        <f>+'雨汚水(共通按分後)'!W89-雨汚水!W89</f>
        <v>0</v>
      </c>
      <c r="X89" s="1030" t="s">
        <v>1440</v>
      </c>
      <c r="Y89" s="1450"/>
      <c r="Z89" s="1450"/>
      <c r="AA89" s="1450"/>
      <c r="AB89" s="1450"/>
      <c r="AC89" s="1450"/>
      <c r="AD89" s="1040">
        <f>+'雨汚水(共通按分後)'!AD89-雨汚水!AD89</f>
        <v>0</v>
      </c>
      <c r="AE89" s="1028">
        <f>+'雨汚水(共通按分後)'!AE89-雨汚水!AE89</f>
        <v>0</v>
      </c>
      <c r="AF89" s="1379">
        <f>+'雨汚水(共通按分後)'!AF89-雨汚水!AF89</f>
        <v>0</v>
      </c>
      <c r="AG89" s="1027">
        <f>+'雨汚水(共通按分後)'!AG89-雨汚水!AG89</f>
        <v>0</v>
      </c>
      <c r="AH89" s="1029">
        <f>+'雨汚水(共通按分後)'!AH89-雨汚水!AH89</f>
        <v>0</v>
      </c>
      <c r="AI89" s="1028">
        <f>+'雨汚水(共通按分後)'!AI89-雨汚水!AI89</f>
        <v>0</v>
      </c>
      <c r="AJ89" s="1027">
        <f>+'雨汚水(共通按分後)'!AJ89-雨汚水!AJ89</f>
        <v>0</v>
      </c>
      <c r="AK89" s="1026">
        <f>+'雨汚水(共通按分後)'!AK89-雨汚水!AK89</f>
        <v>0</v>
      </c>
      <c r="AL89" s="1025">
        <f>+'雨汚水(共通按分後)'!AL89-雨汚水!AL89</f>
        <v>0</v>
      </c>
    </row>
    <row r="90" spans="1:38">
      <c r="A90" s="1024"/>
      <c r="B90" s="1034" t="s">
        <v>1427</v>
      </c>
      <c r="C90" s="1033" t="s">
        <v>1439</v>
      </c>
      <c r="D90" s="1030"/>
      <c r="E90" s="1040">
        <f>+'雨汚水(共通按分後)'!E90-雨汚水!E90</f>
        <v>0</v>
      </c>
      <c r="F90" s="1028">
        <f>+'雨汚水(共通按分後)'!F90-雨汚水!F90</f>
        <v>0</v>
      </c>
      <c r="G90" s="1379">
        <f>+'雨汚水(共通按分後)'!G90-雨汚水!G90</f>
        <v>0</v>
      </c>
      <c r="H90" s="1027">
        <f>+'雨汚水(共通按分後)'!H90-雨汚水!H90</f>
        <v>0</v>
      </c>
      <c r="I90" s="1029">
        <f>+'雨汚水(共通按分後)'!I90-雨汚水!I90</f>
        <v>0</v>
      </c>
      <c r="J90" s="1028">
        <f>+'雨汚水(共通按分後)'!J90-雨汚水!J90</f>
        <v>0</v>
      </c>
      <c r="K90" s="1027">
        <f>+'雨汚水(共通按分後)'!K90-雨汚水!K90</f>
        <v>0</v>
      </c>
      <c r="L90" s="1026">
        <f>+'雨汚水(共通按分後)'!L90-雨汚水!L90</f>
        <v>0</v>
      </c>
      <c r="M90" s="1025">
        <f>+'雨汚水(共通按分後)'!M90-雨汚水!M90</f>
        <v>0</v>
      </c>
      <c r="N90" s="1030"/>
      <c r="O90" s="1040">
        <f>+'雨汚水(共通按分後)'!O90-雨汚水!O90</f>
        <v>0</v>
      </c>
      <c r="P90" s="1028">
        <f>+'雨汚水(共通按分後)'!P90-雨汚水!P90</f>
        <v>0</v>
      </c>
      <c r="Q90" s="1379">
        <f>+'雨汚水(共通按分後)'!Q90-雨汚水!Q90</f>
        <v>0</v>
      </c>
      <c r="R90" s="1027">
        <f>+'雨汚水(共通按分後)'!R90-雨汚水!R90</f>
        <v>0</v>
      </c>
      <c r="S90" s="1029">
        <f>+'雨汚水(共通按分後)'!S90-雨汚水!S90</f>
        <v>0</v>
      </c>
      <c r="T90" s="1028">
        <f>+'雨汚水(共通按分後)'!T90-雨汚水!T90</f>
        <v>0</v>
      </c>
      <c r="U90" s="1027">
        <f>+'雨汚水(共通按分後)'!U90-雨汚水!U90</f>
        <v>0</v>
      </c>
      <c r="V90" s="1026">
        <f>+'雨汚水(共通按分後)'!V90-雨汚水!V90</f>
        <v>0</v>
      </c>
      <c r="W90" s="1025">
        <f>+'雨汚水(共通按分後)'!W90-雨汚水!W90</f>
        <v>0</v>
      </c>
      <c r="X90" s="1030"/>
      <c r="Y90" s="1450"/>
      <c r="Z90" s="1450"/>
      <c r="AA90" s="1450"/>
      <c r="AB90" s="1450"/>
      <c r="AC90" s="1450"/>
      <c r="AD90" s="1040">
        <f>+'雨汚水(共通按分後)'!AD90-雨汚水!AD90</f>
        <v>0</v>
      </c>
      <c r="AE90" s="1028">
        <f>+'雨汚水(共通按分後)'!AE90-雨汚水!AE90</f>
        <v>0</v>
      </c>
      <c r="AF90" s="1379">
        <f>+'雨汚水(共通按分後)'!AF90-雨汚水!AF90</f>
        <v>0</v>
      </c>
      <c r="AG90" s="1027">
        <f>+'雨汚水(共通按分後)'!AG90-雨汚水!AG90</f>
        <v>0</v>
      </c>
      <c r="AH90" s="1029">
        <f>+'雨汚水(共通按分後)'!AH90-雨汚水!AH90</f>
        <v>0</v>
      </c>
      <c r="AI90" s="1028">
        <f>+'雨汚水(共通按分後)'!AI90-雨汚水!AI90</f>
        <v>0</v>
      </c>
      <c r="AJ90" s="1027">
        <f>+'雨汚水(共通按分後)'!AJ90-雨汚水!AJ90</f>
        <v>0</v>
      </c>
      <c r="AK90" s="1026">
        <f>+'雨汚水(共通按分後)'!AK90-雨汚水!AK90</f>
        <v>0</v>
      </c>
      <c r="AL90" s="1025">
        <f>+'雨汚水(共通按分後)'!AL90-雨汚水!AL90</f>
        <v>0</v>
      </c>
    </row>
    <row r="91" spans="1:38">
      <c r="A91" s="1024"/>
      <c r="B91" s="1034"/>
      <c r="C91" s="1033"/>
      <c r="D91" s="1030"/>
      <c r="E91" s="1040">
        <f>+'雨汚水(共通按分後)'!E91-雨汚水!E91</f>
        <v>0</v>
      </c>
      <c r="F91" s="1028">
        <f>+'雨汚水(共通按分後)'!F91-雨汚水!F91</f>
        <v>0</v>
      </c>
      <c r="G91" s="1379">
        <f>+'雨汚水(共通按分後)'!G91-雨汚水!G91</f>
        <v>0</v>
      </c>
      <c r="H91" s="1027">
        <f>+'雨汚水(共通按分後)'!H91-雨汚水!H91</f>
        <v>0</v>
      </c>
      <c r="I91" s="1029">
        <f>+'雨汚水(共通按分後)'!I91-雨汚水!I91</f>
        <v>0</v>
      </c>
      <c r="J91" s="1028">
        <f>+'雨汚水(共通按分後)'!J91-雨汚水!J91</f>
        <v>0</v>
      </c>
      <c r="K91" s="1027">
        <f>+'雨汚水(共通按分後)'!K91-雨汚水!K91</f>
        <v>0</v>
      </c>
      <c r="L91" s="1026">
        <f>+'雨汚水(共通按分後)'!L91-雨汚水!L91</f>
        <v>0</v>
      </c>
      <c r="M91" s="1025">
        <f>+'雨汚水(共通按分後)'!M91-雨汚水!M91</f>
        <v>0</v>
      </c>
      <c r="N91" s="1030"/>
      <c r="O91" s="1040">
        <f>+'雨汚水(共通按分後)'!O91-雨汚水!O91</f>
        <v>0</v>
      </c>
      <c r="P91" s="1028">
        <f>+'雨汚水(共通按分後)'!P91-雨汚水!P91</f>
        <v>0</v>
      </c>
      <c r="Q91" s="1379">
        <f>+'雨汚水(共通按分後)'!Q91-雨汚水!Q91</f>
        <v>0</v>
      </c>
      <c r="R91" s="1027">
        <f>+'雨汚水(共通按分後)'!R91-雨汚水!R91</f>
        <v>0</v>
      </c>
      <c r="S91" s="1029">
        <f>+'雨汚水(共通按分後)'!S91-雨汚水!S91</f>
        <v>0</v>
      </c>
      <c r="T91" s="1028">
        <f>+'雨汚水(共通按分後)'!T91-雨汚水!T91</f>
        <v>0</v>
      </c>
      <c r="U91" s="1027">
        <f>+'雨汚水(共通按分後)'!U91-雨汚水!U91</f>
        <v>0</v>
      </c>
      <c r="V91" s="1026">
        <f>+'雨汚水(共通按分後)'!V91-雨汚水!V91</f>
        <v>0</v>
      </c>
      <c r="W91" s="1025">
        <f>+'雨汚水(共通按分後)'!W91-雨汚水!W91</f>
        <v>0</v>
      </c>
      <c r="X91" s="1030"/>
      <c r="Y91" s="1450"/>
      <c r="Z91" s="1450"/>
      <c r="AA91" s="1450"/>
      <c r="AB91" s="1450"/>
      <c r="AC91" s="1450"/>
      <c r="AD91" s="1040">
        <f>+'雨汚水(共通按分後)'!AD91-雨汚水!AD91</f>
        <v>0</v>
      </c>
      <c r="AE91" s="1028">
        <f>+'雨汚水(共通按分後)'!AE91-雨汚水!AE91</f>
        <v>0</v>
      </c>
      <c r="AF91" s="1379">
        <f>+'雨汚水(共通按分後)'!AF91-雨汚水!AF91</f>
        <v>0</v>
      </c>
      <c r="AG91" s="1027">
        <f>+'雨汚水(共通按分後)'!AG91-雨汚水!AG91</f>
        <v>0</v>
      </c>
      <c r="AH91" s="1029">
        <f>+'雨汚水(共通按分後)'!AH91-雨汚水!AH91</f>
        <v>0</v>
      </c>
      <c r="AI91" s="1028">
        <f>+'雨汚水(共通按分後)'!AI91-雨汚水!AI91</f>
        <v>0</v>
      </c>
      <c r="AJ91" s="1027">
        <f>+'雨汚水(共通按分後)'!AJ91-雨汚水!AJ91</f>
        <v>0</v>
      </c>
      <c r="AK91" s="1026">
        <f>+'雨汚水(共通按分後)'!AK91-雨汚水!AK91</f>
        <v>0</v>
      </c>
      <c r="AL91" s="1025">
        <f>+'雨汚水(共通按分後)'!AL91-雨汚水!AL91</f>
        <v>0</v>
      </c>
    </row>
    <row r="92" spans="1:38">
      <c r="A92" s="1024"/>
      <c r="B92" s="1034" t="s">
        <v>1427</v>
      </c>
      <c r="C92" s="1033" t="s">
        <v>1433</v>
      </c>
      <c r="D92" s="1030"/>
      <c r="E92" s="1040">
        <f>+'雨汚水(共通按分後)'!E92-雨汚水!E92</f>
        <v>0</v>
      </c>
      <c r="F92" s="1028">
        <f>+'雨汚水(共通按分後)'!F92-雨汚水!F92</f>
        <v>0</v>
      </c>
      <c r="G92" s="1379">
        <f>+'雨汚水(共通按分後)'!G92-雨汚水!G92</f>
        <v>0</v>
      </c>
      <c r="H92" s="1027">
        <f>+'雨汚水(共通按分後)'!H92-雨汚水!H92</f>
        <v>0</v>
      </c>
      <c r="I92" s="1029">
        <f>+'雨汚水(共通按分後)'!I92-雨汚水!I92</f>
        <v>0</v>
      </c>
      <c r="J92" s="1028">
        <f>+'雨汚水(共通按分後)'!J92-雨汚水!J92</f>
        <v>0</v>
      </c>
      <c r="K92" s="1027">
        <f>+'雨汚水(共通按分後)'!K92-雨汚水!K92</f>
        <v>0</v>
      </c>
      <c r="L92" s="1026">
        <f>+'雨汚水(共通按分後)'!L92-雨汚水!L92</f>
        <v>0</v>
      </c>
      <c r="M92" s="1025">
        <f>+'雨汚水(共通按分後)'!M92-雨汚水!M92</f>
        <v>0</v>
      </c>
      <c r="N92" s="1030"/>
      <c r="O92" s="1040">
        <f>+'雨汚水(共通按分後)'!O92-雨汚水!O92</f>
        <v>0</v>
      </c>
      <c r="P92" s="1028">
        <f>+'雨汚水(共通按分後)'!P92-雨汚水!P92</f>
        <v>0</v>
      </c>
      <c r="Q92" s="1379">
        <f>+'雨汚水(共通按分後)'!Q92-雨汚水!Q92</f>
        <v>0</v>
      </c>
      <c r="R92" s="1027">
        <f>+'雨汚水(共通按分後)'!R92-雨汚水!R92</f>
        <v>0</v>
      </c>
      <c r="S92" s="1029">
        <f>+'雨汚水(共通按分後)'!S92-雨汚水!S92</f>
        <v>0</v>
      </c>
      <c r="T92" s="1028">
        <f>+'雨汚水(共通按分後)'!T92-雨汚水!T92</f>
        <v>0</v>
      </c>
      <c r="U92" s="1027">
        <f>+'雨汚水(共通按分後)'!U92-雨汚水!U92</f>
        <v>0</v>
      </c>
      <c r="V92" s="1026">
        <f>+'雨汚水(共通按分後)'!V92-雨汚水!V92</f>
        <v>0</v>
      </c>
      <c r="W92" s="1025">
        <f>+'雨汚水(共通按分後)'!W92-雨汚水!W92</f>
        <v>0</v>
      </c>
      <c r="X92" s="1030"/>
      <c r="Y92" s="1450"/>
      <c r="Z92" s="1450"/>
      <c r="AA92" s="1450"/>
      <c r="AB92" s="1450"/>
      <c r="AC92" s="1450"/>
      <c r="AD92" s="1040">
        <f>+'雨汚水(共通按分後)'!AD92-雨汚水!AD92</f>
        <v>0</v>
      </c>
      <c r="AE92" s="1028">
        <f>+'雨汚水(共通按分後)'!AE92-雨汚水!AE92</f>
        <v>0</v>
      </c>
      <c r="AF92" s="1379">
        <f>+'雨汚水(共通按分後)'!AF92-雨汚水!AF92</f>
        <v>0</v>
      </c>
      <c r="AG92" s="1027">
        <f>+'雨汚水(共通按分後)'!AG92-雨汚水!AG92</f>
        <v>0</v>
      </c>
      <c r="AH92" s="1029">
        <f>+'雨汚水(共通按分後)'!AH92-雨汚水!AH92</f>
        <v>0</v>
      </c>
      <c r="AI92" s="1028">
        <f>+'雨汚水(共通按分後)'!AI92-雨汚水!AI92</f>
        <v>0</v>
      </c>
      <c r="AJ92" s="1027">
        <f>+'雨汚水(共通按分後)'!AJ92-雨汚水!AJ92</f>
        <v>0</v>
      </c>
      <c r="AK92" s="1026">
        <f>+'雨汚水(共通按分後)'!AK92-雨汚水!AK92</f>
        <v>0</v>
      </c>
      <c r="AL92" s="1025">
        <f>+'雨汚水(共通按分後)'!AL92-雨汚水!AL92</f>
        <v>0</v>
      </c>
    </row>
    <row r="93" spans="1:38">
      <c r="A93" s="1024"/>
      <c r="B93" s="1034" t="s">
        <v>1427</v>
      </c>
      <c r="C93" s="1033" t="s">
        <v>1433</v>
      </c>
      <c r="D93" s="1030" t="s">
        <v>1436</v>
      </c>
      <c r="E93" s="1040">
        <f>+'雨汚水(共通按分後)'!E93-雨汚水!E93</f>
        <v>-334220</v>
      </c>
      <c r="F93" s="1028">
        <f>+'雨汚水(共通按分後)'!F93-雨汚水!F93</f>
        <v>-281270</v>
      </c>
      <c r="G93" s="1379">
        <f>+'雨汚水(共通按分後)'!G93-雨汚水!G93</f>
        <v>0</v>
      </c>
      <c r="H93" s="1027">
        <f>+'雨汚水(共通按分後)'!H93-雨汚水!H93</f>
        <v>0</v>
      </c>
      <c r="I93" s="1029">
        <f>+'雨汚水(共通按分後)'!I93-雨汚水!I93</f>
        <v>-281270</v>
      </c>
      <c r="J93" s="1028">
        <f>+'雨汚水(共通按分後)'!J93-雨汚水!J93</f>
        <v>0</v>
      </c>
      <c r="K93" s="1027">
        <f>+'雨汚水(共通按分後)'!K93-雨汚水!K93</f>
        <v>-52950</v>
      </c>
      <c r="L93" s="1026">
        <f>+'雨汚水(共通按分後)'!L93-雨汚水!L93</f>
        <v>-52950</v>
      </c>
      <c r="M93" s="1025">
        <f>+'雨汚水(共通按分後)'!M93-雨汚水!M93</f>
        <v>0</v>
      </c>
      <c r="N93" s="1030" t="s">
        <v>1436</v>
      </c>
      <c r="O93" s="1040">
        <f>+'雨汚水(共通按分後)'!O93-雨汚水!O93</f>
        <v>-334220</v>
      </c>
      <c r="P93" s="1028">
        <f>+'雨汚水(共通按分後)'!P93-雨汚水!P93</f>
        <v>-281270</v>
      </c>
      <c r="Q93" s="1379">
        <f>+'雨汚水(共通按分後)'!Q93-雨汚水!Q93</f>
        <v>0</v>
      </c>
      <c r="R93" s="1027">
        <f>+'雨汚水(共通按分後)'!R93-雨汚水!R93</f>
        <v>0</v>
      </c>
      <c r="S93" s="1029">
        <f>+'雨汚水(共通按分後)'!S93-雨汚水!S93</f>
        <v>-281270</v>
      </c>
      <c r="T93" s="1028">
        <f>+'雨汚水(共通按分後)'!T93-雨汚水!T93</f>
        <v>0</v>
      </c>
      <c r="U93" s="1027">
        <f>+'雨汚水(共通按分後)'!U93-雨汚水!U93</f>
        <v>-52950</v>
      </c>
      <c r="V93" s="1026">
        <f>+'雨汚水(共通按分後)'!V93-雨汚水!V93</f>
        <v>-52950</v>
      </c>
      <c r="W93" s="1025">
        <f>+'雨汚水(共通按分後)'!W93-雨汚水!W93</f>
        <v>0</v>
      </c>
      <c r="X93" s="1030" t="s">
        <v>1436</v>
      </c>
      <c r="Y93" s="1450"/>
      <c r="Z93" s="1450"/>
      <c r="AA93" s="1450"/>
      <c r="AB93" s="1450"/>
      <c r="AC93" s="1450"/>
      <c r="AD93" s="1040">
        <f>+'雨汚水(共通按分後)'!AD93-雨汚水!AD93</f>
        <v>-334220</v>
      </c>
      <c r="AE93" s="1028">
        <f>+'雨汚水(共通按分後)'!AE93-雨汚水!AE93</f>
        <v>-281270</v>
      </c>
      <c r="AF93" s="1379">
        <f>+'雨汚水(共通按分後)'!AF93-雨汚水!AF93</f>
        <v>0</v>
      </c>
      <c r="AG93" s="1027">
        <f>+'雨汚水(共通按分後)'!AG93-雨汚水!AG93</f>
        <v>0</v>
      </c>
      <c r="AH93" s="1029">
        <f>+'雨汚水(共通按分後)'!AH93-雨汚水!AH93</f>
        <v>-281270</v>
      </c>
      <c r="AI93" s="1028">
        <f>+'雨汚水(共通按分後)'!AI93-雨汚水!AI93</f>
        <v>0</v>
      </c>
      <c r="AJ93" s="1027">
        <f>+'雨汚水(共通按分後)'!AJ93-雨汚水!AJ93</f>
        <v>-52950</v>
      </c>
      <c r="AK93" s="1026">
        <f>+'雨汚水(共通按分後)'!AK93-雨汚水!AK93</f>
        <v>-52950</v>
      </c>
      <c r="AL93" s="1025">
        <f>+'雨汚水(共通按分後)'!AL93-雨汚水!AL93</f>
        <v>0</v>
      </c>
    </row>
    <row r="94" spans="1:38">
      <c r="A94" s="1024"/>
      <c r="B94" s="1034" t="s">
        <v>1427</v>
      </c>
      <c r="C94" s="1033" t="s">
        <v>1433</v>
      </c>
      <c r="D94" s="1030" t="s">
        <v>1434</v>
      </c>
      <c r="E94" s="1040">
        <f>+'雨汚水(共通按分後)'!E94-雨汚水!E94</f>
        <v>0</v>
      </c>
      <c r="F94" s="1028">
        <f>+'雨汚水(共通按分後)'!F94-雨汚水!F94</f>
        <v>0</v>
      </c>
      <c r="G94" s="1379">
        <f>+'雨汚水(共通按分後)'!G94-雨汚水!G94</f>
        <v>0</v>
      </c>
      <c r="H94" s="1027">
        <f>+'雨汚水(共通按分後)'!H94-雨汚水!H94</f>
        <v>0</v>
      </c>
      <c r="I94" s="1029">
        <f>+'雨汚水(共通按分後)'!I94-雨汚水!I94</f>
        <v>0</v>
      </c>
      <c r="J94" s="1028">
        <f>+'雨汚水(共通按分後)'!J94-雨汚水!J94</f>
        <v>0</v>
      </c>
      <c r="K94" s="1027">
        <f>+'雨汚水(共通按分後)'!K94-雨汚水!K94</f>
        <v>0</v>
      </c>
      <c r="L94" s="1026">
        <f>+'雨汚水(共通按分後)'!L94-雨汚水!L94</f>
        <v>0</v>
      </c>
      <c r="M94" s="1025">
        <f>+'雨汚水(共通按分後)'!M94-雨汚水!M94</f>
        <v>0</v>
      </c>
      <c r="N94" s="1030" t="s">
        <v>1434</v>
      </c>
      <c r="O94" s="1040">
        <f>+'雨汚水(共通按分後)'!O94-雨汚水!O94</f>
        <v>0</v>
      </c>
      <c r="P94" s="1028">
        <f>+'雨汚水(共通按分後)'!P94-雨汚水!P94</f>
        <v>0</v>
      </c>
      <c r="Q94" s="1379">
        <f>+'雨汚水(共通按分後)'!Q94-雨汚水!Q94</f>
        <v>0</v>
      </c>
      <c r="R94" s="1027">
        <f>+'雨汚水(共通按分後)'!R94-雨汚水!R94</f>
        <v>0</v>
      </c>
      <c r="S94" s="1029">
        <f>+'雨汚水(共通按分後)'!S94-雨汚水!S94</f>
        <v>0</v>
      </c>
      <c r="T94" s="1028">
        <f>+'雨汚水(共通按分後)'!T94-雨汚水!T94</f>
        <v>0</v>
      </c>
      <c r="U94" s="1027">
        <f>+'雨汚水(共通按分後)'!U94-雨汚水!U94</f>
        <v>0</v>
      </c>
      <c r="V94" s="1026">
        <f>+'雨汚水(共通按分後)'!V94-雨汚水!V94</f>
        <v>0</v>
      </c>
      <c r="W94" s="1025">
        <f>+'雨汚水(共通按分後)'!W94-雨汚水!W94</f>
        <v>0</v>
      </c>
      <c r="X94" s="1030" t="s">
        <v>1434</v>
      </c>
      <c r="Y94" s="1450"/>
      <c r="Z94" s="1450"/>
      <c r="AA94" s="1450"/>
      <c r="AB94" s="1450"/>
      <c r="AC94" s="1450"/>
      <c r="AD94" s="1040">
        <f>+'雨汚水(共通按分後)'!AD94-雨汚水!AD94</f>
        <v>0</v>
      </c>
      <c r="AE94" s="1028">
        <f>+'雨汚水(共通按分後)'!AE94-雨汚水!AE94</f>
        <v>0</v>
      </c>
      <c r="AF94" s="1379">
        <f>+'雨汚水(共通按分後)'!AF94-雨汚水!AF94</f>
        <v>0</v>
      </c>
      <c r="AG94" s="1027">
        <f>+'雨汚水(共通按分後)'!AG94-雨汚水!AG94</f>
        <v>0</v>
      </c>
      <c r="AH94" s="1029">
        <f>+'雨汚水(共通按分後)'!AH94-雨汚水!AH94</f>
        <v>0</v>
      </c>
      <c r="AI94" s="1028">
        <f>+'雨汚水(共通按分後)'!AI94-雨汚水!AI94</f>
        <v>0</v>
      </c>
      <c r="AJ94" s="1027">
        <f>+'雨汚水(共通按分後)'!AJ94-雨汚水!AJ94</f>
        <v>0</v>
      </c>
      <c r="AK94" s="1026">
        <f>+'雨汚水(共通按分後)'!AK94-雨汚水!AK94</f>
        <v>0</v>
      </c>
      <c r="AL94" s="1025">
        <f>+'雨汚水(共通按分後)'!AL94-雨汚水!AL94</f>
        <v>0</v>
      </c>
    </row>
    <row r="95" spans="1:38">
      <c r="A95" s="1024"/>
      <c r="B95" s="1034" t="s">
        <v>1427</v>
      </c>
      <c r="C95" s="1033" t="s">
        <v>1433</v>
      </c>
      <c r="D95" s="1030" t="s">
        <v>1431</v>
      </c>
      <c r="E95" s="1040">
        <f>+'雨汚水(共通按分後)'!E95-雨汚水!E95</f>
        <v>0</v>
      </c>
      <c r="F95" s="1028">
        <f>+'雨汚水(共通按分後)'!F95-雨汚水!F95</f>
        <v>0</v>
      </c>
      <c r="G95" s="1379">
        <f>+'雨汚水(共通按分後)'!G95-雨汚水!G95</f>
        <v>0</v>
      </c>
      <c r="H95" s="1027">
        <f>+'雨汚水(共通按分後)'!H95-雨汚水!H95</f>
        <v>0</v>
      </c>
      <c r="I95" s="1029">
        <f>+'雨汚水(共通按分後)'!I95-雨汚水!I95</f>
        <v>0</v>
      </c>
      <c r="J95" s="1028">
        <f>+'雨汚水(共通按分後)'!J95-雨汚水!J95</f>
        <v>0</v>
      </c>
      <c r="K95" s="1027">
        <f>+'雨汚水(共通按分後)'!K95-雨汚水!K95</f>
        <v>107592046</v>
      </c>
      <c r="L95" s="1026">
        <f>+'雨汚水(共通按分後)'!L95-雨汚水!L95</f>
        <v>107592046</v>
      </c>
      <c r="M95" s="1025">
        <f>+'雨汚水(共通按分後)'!M95-雨汚水!M95</f>
        <v>-107592046</v>
      </c>
      <c r="N95" s="1030" t="s">
        <v>1431</v>
      </c>
      <c r="O95" s="1040">
        <f>+'雨汚水(共通按分後)'!O95-雨汚水!O95</f>
        <v>0</v>
      </c>
      <c r="P95" s="1028">
        <f>+'雨汚水(共通按分後)'!P95-雨汚水!P95</f>
        <v>0</v>
      </c>
      <c r="Q95" s="1379">
        <f>+'雨汚水(共通按分後)'!Q95-雨汚水!Q95</f>
        <v>0</v>
      </c>
      <c r="R95" s="1027">
        <f>+'雨汚水(共通按分後)'!R95-雨汚水!R95</f>
        <v>0</v>
      </c>
      <c r="S95" s="1029">
        <f>+'雨汚水(共通按分後)'!S95-雨汚水!S95</f>
        <v>0</v>
      </c>
      <c r="T95" s="1028">
        <f>+'雨汚水(共通按分後)'!T95-雨汚水!T95</f>
        <v>0</v>
      </c>
      <c r="U95" s="1027">
        <f>+'雨汚水(共通按分後)'!U95-雨汚水!U95</f>
        <v>0</v>
      </c>
      <c r="V95" s="1026">
        <f>+'雨汚水(共通按分後)'!V95-雨汚水!V95</f>
        <v>0</v>
      </c>
      <c r="W95" s="1025">
        <f>+'雨汚水(共通按分後)'!W95-雨汚水!W95</f>
        <v>0</v>
      </c>
      <c r="X95" s="1030" t="s">
        <v>1431</v>
      </c>
      <c r="Y95" s="1450"/>
      <c r="Z95" s="1450"/>
      <c r="AA95" s="1450"/>
      <c r="AB95" s="1450"/>
      <c r="AC95" s="1450"/>
      <c r="AD95" s="1040">
        <f>+'雨汚水(共通按分後)'!AD95-雨汚水!AD95</f>
        <v>0</v>
      </c>
      <c r="AE95" s="1028">
        <f>+'雨汚水(共通按分後)'!AE95-雨汚水!AE95</f>
        <v>0</v>
      </c>
      <c r="AF95" s="1379">
        <f>+'雨汚水(共通按分後)'!AF95-雨汚水!AF95</f>
        <v>0</v>
      </c>
      <c r="AG95" s="1027">
        <f>+'雨汚水(共通按分後)'!AG95-雨汚水!AG95</f>
        <v>0</v>
      </c>
      <c r="AH95" s="1029">
        <f>+'雨汚水(共通按分後)'!AH95-雨汚水!AH95</f>
        <v>0</v>
      </c>
      <c r="AI95" s="1028">
        <f>+'雨汚水(共通按分後)'!AI95-雨汚水!AI95</f>
        <v>0</v>
      </c>
      <c r="AJ95" s="1027">
        <f>+'雨汚水(共通按分後)'!AJ95-雨汚水!AJ95</f>
        <v>0</v>
      </c>
      <c r="AK95" s="1026">
        <f>+'雨汚水(共通按分後)'!AK95-雨汚水!AK95</f>
        <v>0</v>
      </c>
      <c r="AL95" s="1025">
        <f>+'雨汚水(共通按分後)'!AL95-雨汚水!AL95</f>
        <v>0</v>
      </c>
    </row>
    <row r="96" spans="1:38" ht="14.25" thickBot="1">
      <c r="A96" s="1024"/>
      <c r="B96" s="1023"/>
      <c r="C96" s="1022"/>
      <c r="D96" s="1020"/>
      <c r="E96" s="1475">
        <f>+'雨汚水(共通按分後)'!E96-雨汚水!E96</f>
        <v>0</v>
      </c>
      <c r="F96" s="1018">
        <f>+'雨汚水(共通按分後)'!F96-雨汚水!F96</f>
        <v>0</v>
      </c>
      <c r="G96" s="1403">
        <f>+'雨汚水(共通按分後)'!G96-雨汚水!G96</f>
        <v>0</v>
      </c>
      <c r="H96" s="1017">
        <f>+'雨汚水(共通按分後)'!H96-雨汚水!H96</f>
        <v>0</v>
      </c>
      <c r="I96" s="1019">
        <f>+'雨汚水(共通按分後)'!I96-雨汚水!I96</f>
        <v>0</v>
      </c>
      <c r="J96" s="1018">
        <f>+'雨汚水(共通按分後)'!J96-雨汚水!J96</f>
        <v>0</v>
      </c>
      <c r="K96" s="1017">
        <f>+'雨汚水(共通按分後)'!K96-雨汚水!K96</f>
        <v>0</v>
      </c>
      <c r="L96" s="1131">
        <f>+'雨汚水(共通按分後)'!L96-雨汚水!L96</f>
        <v>0</v>
      </c>
      <c r="M96" s="1015">
        <f>+'雨汚水(共通按分後)'!M96-雨汚水!M96</f>
        <v>0</v>
      </c>
      <c r="N96" s="1020"/>
      <c r="O96" s="1475">
        <f>+'雨汚水(共通按分後)'!O96-雨汚水!O96</f>
        <v>0</v>
      </c>
      <c r="P96" s="1018">
        <f>+'雨汚水(共通按分後)'!P96-雨汚水!P96</f>
        <v>0</v>
      </c>
      <c r="Q96" s="1403">
        <f>+'雨汚水(共通按分後)'!Q96-雨汚水!Q96</f>
        <v>0</v>
      </c>
      <c r="R96" s="1017">
        <f>+'雨汚水(共通按分後)'!R96-雨汚水!R96</f>
        <v>0</v>
      </c>
      <c r="S96" s="1019">
        <f>+'雨汚水(共通按分後)'!S96-雨汚水!S96</f>
        <v>0</v>
      </c>
      <c r="T96" s="1018">
        <f>+'雨汚水(共通按分後)'!T96-雨汚水!T96</f>
        <v>0</v>
      </c>
      <c r="U96" s="1017">
        <f>+'雨汚水(共通按分後)'!U96-雨汚水!U96</f>
        <v>0</v>
      </c>
      <c r="V96" s="1131">
        <f>+'雨汚水(共通按分後)'!V96-雨汚水!V96</f>
        <v>0</v>
      </c>
      <c r="W96" s="1015">
        <f>+'雨汚水(共通按分後)'!W96-雨汚水!W96</f>
        <v>0</v>
      </c>
      <c r="X96" s="1020"/>
      <c r="Y96" s="1452"/>
      <c r="Z96" s="1452"/>
      <c r="AA96" s="1452"/>
      <c r="AB96" s="1452"/>
      <c r="AC96" s="1452"/>
      <c r="AD96" s="1475">
        <f>+'雨汚水(共通按分後)'!AD96-雨汚水!AD96</f>
        <v>0</v>
      </c>
      <c r="AE96" s="1018">
        <f>+'雨汚水(共通按分後)'!AE96-雨汚水!AE96</f>
        <v>0</v>
      </c>
      <c r="AF96" s="1403">
        <f>+'雨汚水(共通按分後)'!AF96-雨汚水!AF96</f>
        <v>0</v>
      </c>
      <c r="AG96" s="1017">
        <f>+'雨汚水(共通按分後)'!AG96-雨汚水!AG96</f>
        <v>0</v>
      </c>
      <c r="AH96" s="1019">
        <f>+'雨汚水(共通按分後)'!AH96-雨汚水!AH96</f>
        <v>0</v>
      </c>
      <c r="AI96" s="1018">
        <f>+'雨汚水(共通按分後)'!AI96-雨汚水!AI96</f>
        <v>0</v>
      </c>
      <c r="AJ96" s="1017">
        <f>+'雨汚水(共通按分後)'!AJ96-雨汚水!AJ96</f>
        <v>0</v>
      </c>
      <c r="AK96" s="1131">
        <f>+'雨汚水(共通按分後)'!AK96-雨汚水!AK96</f>
        <v>0</v>
      </c>
      <c r="AL96" s="1015">
        <f>+'雨汚水(共通按分後)'!AL96-雨汚水!AL96</f>
        <v>0</v>
      </c>
    </row>
    <row r="97" spans="2:38" ht="14.25" thickTop="1">
      <c r="B97" s="1488"/>
      <c r="C97" s="1489"/>
      <c r="D97" s="1490" t="s">
        <v>1430</v>
      </c>
      <c r="E97" s="1491">
        <f t="shared" ref="E97:G97" si="17">+SUM(E58:E96)</f>
        <v>0</v>
      </c>
      <c r="F97" s="1492">
        <f t="shared" si="17"/>
        <v>-372416496</v>
      </c>
      <c r="G97" s="1493">
        <f t="shared" si="17"/>
        <v>1022508</v>
      </c>
      <c r="H97" s="1494">
        <f>+SUM(H58:H96)</f>
        <v>0</v>
      </c>
      <c r="I97" s="1391">
        <f t="shared" ref="I97" si="18">+SUM(I58:I96)</f>
        <v>-371393988</v>
      </c>
      <c r="J97" s="1492">
        <f t="shared" ref="J97:L97" si="19">+SUM(J58:J96)</f>
        <v>189571645</v>
      </c>
      <c r="K97" s="1494">
        <f t="shared" si="19"/>
        <v>11989521</v>
      </c>
      <c r="L97" s="1008">
        <f t="shared" si="19"/>
        <v>201561166</v>
      </c>
      <c r="M97" s="1006">
        <f t="shared" ref="M97" si="20">+SUM(M58:M96)</f>
        <v>-107592046</v>
      </c>
      <c r="N97" s="1490" t="s">
        <v>1430</v>
      </c>
      <c r="O97" s="1491">
        <f t="shared" ref="O97:Q97" si="21">+SUM(O58:O96)</f>
        <v>0</v>
      </c>
      <c r="P97" s="1492">
        <f t="shared" si="21"/>
        <v>-372416496</v>
      </c>
      <c r="Q97" s="1493">
        <f t="shared" si="21"/>
        <v>1022508</v>
      </c>
      <c r="R97" s="1494">
        <f>+SUM(R58:R96)</f>
        <v>0</v>
      </c>
      <c r="S97" s="1391">
        <f t="shared" ref="S97" si="22">+SUM(S58:S96)</f>
        <v>-371393988</v>
      </c>
      <c r="T97" s="1492">
        <f t="shared" ref="T97:V97" si="23">+SUM(T58:T96)</f>
        <v>189571645</v>
      </c>
      <c r="U97" s="1494">
        <f t="shared" si="23"/>
        <v>181822343</v>
      </c>
      <c r="V97" s="1008">
        <f t="shared" si="23"/>
        <v>371393988</v>
      </c>
      <c r="W97" s="1006">
        <f t="shared" ref="W97" si="24">+SUM(W58:W96)</f>
        <v>0</v>
      </c>
      <c r="X97" s="1490" t="s">
        <v>1430</v>
      </c>
      <c r="Y97" s="1496"/>
      <c r="Z97" s="1496"/>
      <c r="AA97" s="1496"/>
      <c r="AB97" s="1496"/>
      <c r="AC97" s="1496"/>
      <c r="AD97" s="1491">
        <f t="shared" ref="AD97:AF97" si="25">+SUM(AD58:AD96)</f>
        <v>0</v>
      </c>
      <c r="AE97" s="1492">
        <f t="shared" si="25"/>
        <v>-372416496</v>
      </c>
      <c r="AF97" s="1493">
        <f t="shared" si="25"/>
        <v>1022508</v>
      </c>
      <c r="AG97" s="1494">
        <f>+SUM(AG58:AG96)</f>
        <v>0</v>
      </c>
      <c r="AH97" s="1391">
        <f t="shared" ref="AH97" si="26">+SUM(AH58:AH96)</f>
        <v>-371393988</v>
      </c>
      <c r="AI97" s="1492">
        <f t="shared" ref="AI97:AK97" si="27">+SUM(AI58:AI96)</f>
        <v>189571645</v>
      </c>
      <c r="AJ97" s="1494">
        <f t="shared" si="27"/>
        <v>181822343</v>
      </c>
      <c r="AK97" s="1008">
        <f t="shared" si="27"/>
        <v>371393988</v>
      </c>
      <c r="AL97" s="1006">
        <f t="shared" ref="AL97" si="28">+SUM(AL58:AL96)</f>
        <v>0</v>
      </c>
    </row>
    <row r="98" spans="2:38">
      <c r="B98" s="1497" t="s">
        <v>1429</v>
      </c>
      <c r="C98" s="1440"/>
      <c r="D98" s="1498" t="s">
        <v>1428</v>
      </c>
      <c r="E98" s="1499">
        <f t="shared" ref="E98:M99" si="29">+SUMIFS(E$7:E$45,$B$7:$B$45,$B98)</f>
        <v>-15892</v>
      </c>
      <c r="F98" s="1500">
        <f t="shared" si="29"/>
        <v>-488985144</v>
      </c>
      <c r="G98" s="1501">
        <f t="shared" si="29"/>
        <v>-55583120</v>
      </c>
      <c r="H98" s="1111">
        <f t="shared" si="29"/>
        <v>-75713051</v>
      </c>
      <c r="I98" s="1411">
        <f t="shared" si="29"/>
        <v>-620281315</v>
      </c>
      <c r="J98" s="1500">
        <f t="shared" si="29"/>
        <v>-142638700</v>
      </c>
      <c r="K98" s="1111">
        <f t="shared" si="29"/>
        <v>-802624460</v>
      </c>
      <c r="L98" s="997">
        <f t="shared" si="29"/>
        <v>-945263160</v>
      </c>
      <c r="M98" s="995">
        <f t="shared" si="29"/>
        <v>1565528583</v>
      </c>
      <c r="N98" s="1498" t="s">
        <v>1428</v>
      </c>
      <c r="O98" s="1499">
        <f t="shared" ref="O98:W99" si="30">+SUMIFS(O$7:O$45,$B$7:$B$45,$B98)</f>
        <v>-15902</v>
      </c>
      <c r="P98" s="1500">
        <f t="shared" si="30"/>
        <v>-477932530</v>
      </c>
      <c r="Q98" s="1501">
        <f t="shared" si="30"/>
        <v>-51924299</v>
      </c>
      <c r="R98" s="1111">
        <f t="shared" si="30"/>
        <v>-68387120</v>
      </c>
      <c r="S98" s="1411">
        <f t="shared" si="30"/>
        <v>-598243949</v>
      </c>
      <c r="T98" s="1500">
        <f t="shared" si="30"/>
        <v>-132094367</v>
      </c>
      <c r="U98" s="1111">
        <f t="shared" si="30"/>
        <v>730322414</v>
      </c>
      <c r="V98" s="997">
        <f t="shared" si="30"/>
        <v>598228047</v>
      </c>
      <c r="W98" s="995">
        <f t="shared" si="30"/>
        <v>0</v>
      </c>
      <c r="X98" s="1498" t="s">
        <v>1428</v>
      </c>
      <c r="Y98" s="1508"/>
      <c r="Z98" s="1508"/>
      <c r="AA98" s="1508"/>
      <c r="AB98" s="1508"/>
      <c r="AC98" s="1508"/>
      <c r="AD98" s="1499">
        <f t="shared" ref="AD98:AL99" si="31">+SUMIFS(AD$7:AD$45,$B$7:$B$45,$B98)</f>
        <v>4583478150</v>
      </c>
      <c r="AE98" s="1500">
        <f t="shared" si="31"/>
        <v>3281570915</v>
      </c>
      <c r="AF98" s="1501">
        <f t="shared" si="31"/>
        <v>295568763</v>
      </c>
      <c r="AG98" s="1111">
        <f t="shared" si="31"/>
        <v>414052277</v>
      </c>
      <c r="AH98" s="1411">
        <f t="shared" si="31"/>
        <v>3991191955</v>
      </c>
      <c r="AI98" s="1500">
        <f t="shared" si="31"/>
        <v>-138036219</v>
      </c>
      <c r="AJ98" s="1111">
        <f t="shared" si="31"/>
        <v>730322414</v>
      </c>
      <c r="AK98" s="997">
        <f t="shared" si="31"/>
        <v>592286195</v>
      </c>
      <c r="AL98" s="995">
        <f t="shared" si="31"/>
        <v>0</v>
      </c>
    </row>
    <row r="99" spans="2:38">
      <c r="B99" s="1497" t="s">
        <v>1427</v>
      </c>
      <c r="C99" s="1440"/>
      <c r="D99" s="1498" t="s">
        <v>1426</v>
      </c>
      <c r="E99" s="1499">
        <f t="shared" si="29"/>
        <v>0</v>
      </c>
      <c r="F99" s="1500">
        <f t="shared" si="29"/>
        <v>1147131608</v>
      </c>
      <c r="G99" s="1501">
        <f t="shared" si="29"/>
        <v>8918481</v>
      </c>
      <c r="H99" s="1111">
        <f t="shared" si="29"/>
        <v>56855052</v>
      </c>
      <c r="I99" s="1411">
        <f t="shared" si="29"/>
        <v>1212905141</v>
      </c>
      <c r="J99" s="1500">
        <f t="shared" si="29"/>
        <v>1041233082</v>
      </c>
      <c r="K99" s="1111">
        <f t="shared" si="29"/>
        <v>2043369903</v>
      </c>
      <c r="L99" s="997">
        <f t="shared" si="29"/>
        <v>3084602985</v>
      </c>
      <c r="M99" s="995">
        <f t="shared" si="29"/>
        <v>-4297508126</v>
      </c>
      <c r="N99" s="1498" t="s">
        <v>1426</v>
      </c>
      <c r="O99" s="1499">
        <f t="shared" si="30"/>
        <v>0</v>
      </c>
      <c r="P99" s="1500">
        <f t="shared" si="30"/>
        <v>1147968180</v>
      </c>
      <c r="Q99" s="1501">
        <f t="shared" si="30"/>
        <v>8918481</v>
      </c>
      <c r="R99" s="1111">
        <f t="shared" si="30"/>
        <v>56855052</v>
      </c>
      <c r="S99" s="1411">
        <f t="shared" si="30"/>
        <v>1213741713</v>
      </c>
      <c r="T99" s="1500">
        <f t="shared" si="30"/>
        <v>1041233082</v>
      </c>
      <c r="U99" s="1111">
        <f t="shared" si="30"/>
        <v>-2526107877</v>
      </c>
      <c r="V99" s="997">
        <f t="shared" si="30"/>
        <v>-1484874795</v>
      </c>
      <c r="W99" s="995">
        <f t="shared" si="30"/>
        <v>271133082</v>
      </c>
      <c r="X99" s="1498" t="s">
        <v>1426</v>
      </c>
      <c r="Y99" s="1508"/>
      <c r="Z99" s="1508"/>
      <c r="AA99" s="1508"/>
      <c r="AB99" s="1508"/>
      <c r="AC99" s="1508"/>
      <c r="AD99" s="1499">
        <f t="shared" si="31"/>
        <v>-4583494052</v>
      </c>
      <c r="AE99" s="1500">
        <f t="shared" si="31"/>
        <v>-2380540850</v>
      </c>
      <c r="AF99" s="1501">
        <f t="shared" si="31"/>
        <v>8918481</v>
      </c>
      <c r="AG99" s="1111">
        <f t="shared" si="31"/>
        <v>-44629974</v>
      </c>
      <c r="AH99" s="1411">
        <f t="shared" si="31"/>
        <v>-2416252343</v>
      </c>
      <c r="AI99" s="1500">
        <f t="shared" si="31"/>
        <v>87733086</v>
      </c>
      <c r="AJ99" s="1111">
        <f t="shared" si="31"/>
        <v>-2526107877</v>
      </c>
      <c r="AK99" s="997">
        <f t="shared" si="31"/>
        <v>-2438374791</v>
      </c>
      <c r="AL99" s="995">
        <f t="shared" si="31"/>
        <v>271133082</v>
      </c>
    </row>
    <row r="100" spans="2:38">
      <c r="B100" s="1497"/>
      <c r="C100" s="1504"/>
      <c r="D100" s="1505" t="s">
        <v>1425</v>
      </c>
      <c r="E100" s="1499">
        <f>+SUM(E58:E96)</f>
        <v>0</v>
      </c>
      <c r="F100" s="1500">
        <f t="shared" ref="F100:M100" si="32">+SUM(F58:F96)</f>
        <v>-372416496</v>
      </c>
      <c r="G100" s="1501">
        <f t="shared" si="32"/>
        <v>1022508</v>
      </c>
      <c r="H100" s="1111">
        <f t="shared" si="32"/>
        <v>0</v>
      </c>
      <c r="I100" s="1411">
        <f t="shared" si="32"/>
        <v>-371393988</v>
      </c>
      <c r="J100" s="1500">
        <f t="shared" si="32"/>
        <v>189571645</v>
      </c>
      <c r="K100" s="1111">
        <f t="shared" si="32"/>
        <v>11989521</v>
      </c>
      <c r="L100" s="997">
        <f t="shared" si="32"/>
        <v>201561166</v>
      </c>
      <c r="M100" s="995">
        <f t="shared" si="32"/>
        <v>-107592046</v>
      </c>
      <c r="N100" s="1505" t="s">
        <v>1425</v>
      </c>
      <c r="O100" s="1499">
        <f>+SUM(O58:O96)</f>
        <v>0</v>
      </c>
      <c r="P100" s="1500">
        <f t="shared" ref="P100:W100" si="33">+SUM(P58:P96)</f>
        <v>-372416496</v>
      </c>
      <c r="Q100" s="1501">
        <f t="shared" si="33"/>
        <v>1022508</v>
      </c>
      <c r="R100" s="1111">
        <f t="shared" si="33"/>
        <v>0</v>
      </c>
      <c r="S100" s="1411">
        <f t="shared" si="33"/>
        <v>-371393988</v>
      </c>
      <c r="T100" s="1500">
        <f t="shared" si="33"/>
        <v>189571645</v>
      </c>
      <c r="U100" s="1111">
        <f t="shared" si="33"/>
        <v>181822343</v>
      </c>
      <c r="V100" s="997">
        <f t="shared" si="33"/>
        <v>371393988</v>
      </c>
      <c r="W100" s="995">
        <f t="shared" si="33"/>
        <v>0</v>
      </c>
      <c r="X100" s="1505" t="s">
        <v>1425</v>
      </c>
      <c r="Y100" s="1506"/>
      <c r="Z100" s="1506"/>
      <c r="AA100" s="1506"/>
      <c r="AB100" s="1506"/>
      <c r="AC100" s="1506"/>
      <c r="AD100" s="1499">
        <f>+SUM(AD58:AD96)</f>
        <v>0</v>
      </c>
      <c r="AE100" s="1500">
        <f t="shared" ref="AE100:AL100" si="34">+SUM(AE58:AE96)</f>
        <v>-372416496</v>
      </c>
      <c r="AF100" s="1501">
        <f t="shared" si="34"/>
        <v>1022508</v>
      </c>
      <c r="AG100" s="1111">
        <f t="shared" si="34"/>
        <v>0</v>
      </c>
      <c r="AH100" s="1411">
        <f t="shared" si="34"/>
        <v>-371393988</v>
      </c>
      <c r="AI100" s="1500">
        <f t="shared" si="34"/>
        <v>189571645</v>
      </c>
      <c r="AJ100" s="1111">
        <f t="shared" si="34"/>
        <v>181822343</v>
      </c>
      <c r="AK100" s="997">
        <f t="shared" si="34"/>
        <v>371393988</v>
      </c>
      <c r="AL100" s="995">
        <f t="shared" si="34"/>
        <v>0</v>
      </c>
    </row>
    <row r="101" spans="2:38">
      <c r="D101" s="993"/>
      <c r="E101" s="993">
        <f>+E100-('3条収入'!$E$70-'3条収入'!$E$9-'3条収入'!$E$42)</f>
        <v>-30258405695</v>
      </c>
      <c r="F101" s="993"/>
      <c r="G101" s="993"/>
      <c r="H101" s="993"/>
      <c r="I101" s="993"/>
      <c r="J101" s="993"/>
      <c r="K101" s="993"/>
      <c r="L101" s="993"/>
      <c r="M101" s="993"/>
      <c r="N101" s="993"/>
      <c r="O101" s="993">
        <f>+O100-('3条収入'!$AI$70-'3条収入'!$AI$9-'3条収入'!$AI$42)</f>
        <v>-28373855981</v>
      </c>
      <c r="P101" s="993"/>
      <c r="Q101" s="993"/>
      <c r="R101" s="993"/>
      <c r="S101" s="993"/>
      <c r="T101" s="993"/>
      <c r="U101" s="993"/>
      <c r="V101" s="993"/>
      <c r="W101" s="993"/>
      <c r="X101" s="993"/>
      <c r="Y101" s="993"/>
      <c r="Z101" s="993"/>
      <c r="AA101" s="993"/>
      <c r="AB101" s="993"/>
      <c r="AC101" s="993"/>
      <c r="AD101" s="993">
        <f>+AD100-('3条収入'!$AI$69-'3条収入'!$AI$9-'3条収入'!$AI$42)</f>
        <v>-28375736546</v>
      </c>
      <c r="AE101" s="993"/>
      <c r="AF101" s="993"/>
      <c r="AG101" s="993"/>
      <c r="AH101" s="993"/>
      <c r="AI101" s="993"/>
      <c r="AJ101" s="993"/>
      <c r="AK101" s="993"/>
      <c r="AL101" s="993"/>
    </row>
    <row r="103" spans="2:38">
      <c r="D103" s="991" t="str">
        <f>+$D$1</f>
        <v>令和５年度決算　消費税算出資料</v>
      </c>
      <c r="E103" s="993"/>
      <c r="F103" s="993"/>
      <c r="G103" s="993"/>
      <c r="H103" s="993"/>
      <c r="I103" s="993"/>
      <c r="J103" s="993"/>
      <c r="K103" s="993"/>
      <c r="L103" s="993"/>
      <c r="M103" s="993"/>
      <c r="N103" s="991" t="str">
        <f>+$D$1</f>
        <v>令和５年度決算　消費税算出資料</v>
      </c>
      <c r="X103" s="991" t="str">
        <f>+$D$1</f>
        <v>令和５年度決算　消費税算出資料</v>
      </c>
    </row>
    <row r="104" spans="2:38">
      <c r="D104" s="1509" t="s">
        <v>1797</v>
      </c>
      <c r="E104" s="993"/>
      <c r="F104" s="993"/>
      <c r="G104" s="993"/>
      <c r="H104" s="993"/>
      <c r="I104" s="993"/>
      <c r="J104" s="993"/>
      <c r="K104" s="993"/>
      <c r="L104" s="993"/>
      <c r="M104" s="1042" t="str">
        <f>+IF(COUNTIF(M109:M130,0)=COUNT(M109:M130),"","↓エラーあり")</f>
        <v/>
      </c>
      <c r="N104" s="991" t="s">
        <v>1798</v>
      </c>
      <c r="W104" s="1042" t="str">
        <f>+IF(COUNTIF(W109:W130,0)=COUNT(W109:W130),"","↓エラーあり")</f>
        <v/>
      </c>
      <c r="X104" s="991" t="s">
        <v>1549</v>
      </c>
      <c r="AL104" s="1042" t="str">
        <f>+IF(COUNTIF(AL109:AL137,0)=COUNT(AL109:AL137),"","↓エラーあり")</f>
        <v/>
      </c>
    </row>
    <row r="105" spans="2:38">
      <c r="D105" s="1568" t="s">
        <v>1518</v>
      </c>
      <c r="E105" s="1623" t="s">
        <v>1517</v>
      </c>
      <c r="F105" s="1624"/>
      <c r="G105" s="1624"/>
      <c r="H105" s="1624"/>
      <c r="I105" s="1624"/>
      <c r="J105" s="1624"/>
      <c r="K105" s="1624"/>
      <c r="L105" s="1624"/>
      <c r="M105" s="1625"/>
      <c r="N105" s="1568" t="s">
        <v>1518</v>
      </c>
      <c r="O105" s="1623" t="s">
        <v>1548</v>
      </c>
      <c r="P105" s="1624"/>
      <c r="Q105" s="1624"/>
      <c r="R105" s="1624"/>
      <c r="S105" s="1624"/>
      <c r="T105" s="1624"/>
      <c r="U105" s="1624"/>
      <c r="V105" s="1624"/>
      <c r="W105" s="1625"/>
      <c r="X105" s="1568" t="s">
        <v>1518</v>
      </c>
      <c r="Y105" s="1623" t="s">
        <v>1539</v>
      </c>
      <c r="Z105" s="1624"/>
      <c r="AA105" s="1624"/>
      <c r="AB105" s="1624"/>
      <c r="AC105" s="1624"/>
      <c r="AD105" s="1624"/>
      <c r="AE105" s="1624"/>
      <c r="AF105" s="1624"/>
      <c r="AG105" s="1624"/>
      <c r="AH105" s="1624"/>
      <c r="AI105" s="1624"/>
      <c r="AJ105" s="1624"/>
      <c r="AK105" s="1624"/>
      <c r="AL105" s="1625"/>
    </row>
    <row r="106" spans="2:38">
      <c r="D106" s="1569"/>
      <c r="E106" s="1630" t="s">
        <v>1512</v>
      </c>
      <c r="F106" s="1623" t="s">
        <v>1511</v>
      </c>
      <c r="G106" s="1624"/>
      <c r="H106" s="1624"/>
      <c r="I106" s="1625"/>
      <c r="J106" s="1623" t="s">
        <v>1510</v>
      </c>
      <c r="K106" s="1624"/>
      <c r="L106" s="1625"/>
      <c r="M106" s="1583" t="s">
        <v>1508</v>
      </c>
      <c r="N106" s="1569"/>
      <c r="O106" s="1583" t="s">
        <v>1546</v>
      </c>
      <c r="P106" s="1623" t="s">
        <v>1511</v>
      </c>
      <c r="Q106" s="1624"/>
      <c r="R106" s="1624"/>
      <c r="S106" s="1625"/>
      <c r="T106" s="1623" t="s">
        <v>1510</v>
      </c>
      <c r="U106" s="1624"/>
      <c r="V106" s="1625"/>
      <c r="W106" s="1568" t="s">
        <v>1508</v>
      </c>
      <c r="X106" s="1569"/>
      <c r="Y106" s="1632" t="s">
        <v>1547</v>
      </c>
      <c r="Z106" s="1632" t="s">
        <v>1538</v>
      </c>
      <c r="AA106" s="1634" t="s">
        <v>1537</v>
      </c>
      <c r="AB106" s="1626" t="s">
        <v>1536</v>
      </c>
      <c r="AC106" s="1510" t="s">
        <v>1535</v>
      </c>
      <c r="AD106" s="1630" t="s">
        <v>1534</v>
      </c>
      <c r="AE106" s="1623" t="s">
        <v>1511</v>
      </c>
      <c r="AF106" s="1624"/>
      <c r="AG106" s="1624"/>
      <c r="AH106" s="1625"/>
      <c r="AI106" s="1623" t="s">
        <v>1510</v>
      </c>
      <c r="AJ106" s="1624"/>
      <c r="AK106" s="1625"/>
      <c r="AL106" s="1568" t="s">
        <v>1508</v>
      </c>
    </row>
    <row r="107" spans="2:38">
      <c r="D107" s="1569"/>
      <c r="E107" s="1631"/>
      <c r="F107" s="1478" t="s">
        <v>1507</v>
      </c>
      <c r="G107" s="1479" t="s">
        <v>1507</v>
      </c>
      <c r="H107" s="1480" t="s">
        <v>1505</v>
      </c>
      <c r="I107" s="1471" t="s">
        <v>1506</v>
      </c>
      <c r="J107" s="1478" t="s">
        <v>1507</v>
      </c>
      <c r="K107" s="1480" t="s">
        <v>1505</v>
      </c>
      <c r="L107" s="1100" t="s">
        <v>1506</v>
      </c>
      <c r="M107" s="1569"/>
      <c r="N107" s="1569"/>
      <c r="O107" s="1629"/>
      <c r="P107" s="1478" t="s">
        <v>1507</v>
      </c>
      <c r="Q107" s="1479" t="s">
        <v>1507</v>
      </c>
      <c r="R107" s="1480" t="s">
        <v>1505</v>
      </c>
      <c r="S107" s="1471" t="s">
        <v>1506</v>
      </c>
      <c r="T107" s="1478" t="s">
        <v>1507</v>
      </c>
      <c r="U107" s="1480" t="s">
        <v>1505</v>
      </c>
      <c r="V107" s="1100" t="s">
        <v>1506</v>
      </c>
      <c r="W107" s="1569"/>
      <c r="X107" s="1569"/>
      <c r="Y107" s="1569"/>
      <c r="Z107" s="1633"/>
      <c r="AA107" s="1635"/>
      <c r="AB107" s="1627"/>
      <c r="AC107" s="1511" t="s">
        <v>1532</v>
      </c>
      <c r="AD107" s="1631"/>
      <c r="AE107" s="1478" t="s">
        <v>1507</v>
      </c>
      <c r="AF107" s="1479" t="s">
        <v>1507</v>
      </c>
      <c r="AG107" s="1480" t="s">
        <v>1505</v>
      </c>
      <c r="AH107" s="1471" t="s">
        <v>1506</v>
      </c>
      <c r="AI107" s="1478" t="s">
        <v>1507</v>
      </c>
      <c r="AJ107" s="1480" t="s">
        <v>1505</v>
      </c>
      <c r="AK107" s="1100" t="s">
        <v>1506</v>
      </c>
      <c r="AL107" s="1569"/>
    </row>
    <row r="108" spans="2:38">
      <c r="D108" s="1569"/>
      <c r="E108" s="1631"/>
      <c r="F108" s="1482" t="s">
        <v>1503</v>
      </c>
      <c r="G108" s="1483" t="s">
        <v>1504</v>
      </c>
      <c r="H108" s="1484" t="s">
        <v>1509</v>
      </c>
      <c r="I108" s="1390"/>
      <c r="J108" s="1482" t="s">
        <v>1503</v>
      </c>
      <c r="K108" s="1485" t="s">
        <v>1503</v>
      </c>
      <c r="L108" s="1096"/>
      <c r="M108" s="1569"/>
      <c r="N108" s="1569"/>
      <c r="O108" s="1629"/>
      <c r="P108" s="1482" t="s">
        <v>1503</v>
      </c>
      <c r="Q108" s="1483" t="s">
        <v>1504</v>
      </c>
      <c r="R108" s="1484" t="s">
        <v>1509</v>
      </c>
      <c r="S108" s="1390"/>
      <c r="T108" s="1482" t="s">
        <v>1503</v>
      </c>
      <c r="U108" s="1485" t="s">
        <v>1503</v>
      </c>
      <c r="V108" s="1096"/>
      <c r="W108" s="1569"/>
      <c r="X108" s="1569"/>
      <c r="Y108" s="1569"/>
      <c r="Z108" s="1633"/>
      <c r="AA108" s="1636"/>
      <c r="AB108" s="1628"/>
      <c r="AC108" s="1511"/>
      <c r="AD108" s="1631"/>
      <c r="AE108" s="1482" t="s">
        <v>1503</v>
      </c>
      <c r="AF108" s="1483" t="s">
        <v>1504</v>
      </c>
      <c r="AG108" s="1484" t="s">
        <v>1509</v>
      </c>
      <c r="AH108" s="1390"/>
      <c r="AI108" s="1482" t="s">
        <v>1503</v>
      </c>
      <c r="AJ108" s="1485" t="s">
        <v>1503</v>
      </c>
      <c r="AK108" s="1096"/>
      <c r="AL108" s="1569"/>
    </row>
    <row r="109" spans="2:38">
      <c r="D109" s="1088" t="s">
        <v>1500</v>
      </c>
      <c r="E109" s="1512">
        <f>+'雨汚水(共通按分後)'!E109-雨汚水!E109</f>
        <v>1697260549</v>
      </c>
      <c r="F109" s="1513">
        <f>+'雨汚水(共通按分後)'!F109-雨汚水!F109</f>
        <v>1273446561</v>
      </c>
      <c r="G109" s="1514">
        <f>+'雨汚水(共通按分後)'!G109-雨汚水!G109</f>
        <v>303464736</v>
      </c>
      <c r="H109" s="1085">
        <f>+'雨汚水(共通按分後)'!H109-雨汚水!H109</f>
        <v>360224030</v>
      </c>
      <c r="I109" s="1392">
        <f>+'雨汚水(共通按分後)'!I109-雨汚水!I109</f>
        <v>1937135327</v>
      </c>
      <c r="J109" s="1513">
        <f>+'雨汚水(共通按分後)'!J109-雨汚水!J109</f>
        <v>-239874778</v>
      </c>
      <c r="K109" s="1085">
        <f>+'雨汚水(共通按分後)'!K109-雨汚水!K109</f>
        <v>0</v>
      </c>
      <c r="L109" s="1077">
        <f>+'雨汚水(共通按分後)'!L109-雨汚水!L109</f>
        <v>-239874778</v>
      </c>
      <c r="M109" s="1075">
        <f>+'雨汚水(共通按分後)'!M109-雨汚水!M109</f>
        <v>0</v>
      </c>
      <c r="N109" s="1088" t="s">
        <v>1500</v>
      </c>
      <c r="O109" s="1090">
        <f>+'雨汚水(共通按分後)'!O109-雨汚水!O109</f>
        <v>1697748598</v>
      </c>
      <c r="P109" s="1086">
        <f>+'雨汚水(共通按分後)'!P109-雨汚水!P109</f>
        <v>1042452146</v>
      </c>
      <c r="Q109" s="1123">
        <f>+'雨汚水(共通按分後)'!Q109-雨汚水!Q109</f>
        <v>-44028326</v>
      </c>
      <c r="R109" s="1087">
        <f>+'雨汚水(共通按分後)'!R109-雨汚水!R109</f>
        <v>-20242292</v>
      </c>
      <c r="S109" s="1090">
        <f>+'雨汚水(共通按分後)'!S109-雨汚水!S109</f>
        <v>978181528</v>
      </c>
      <c r="T109" s="1086">
        <f>+'雨汚水(共通按分後)'!T109-雨汚水!T109</f>
        <v>719567070</v>
      </c>
      <c r="U109" s="1087">
        <f>+'雨汚水(共通按分後)'!U109-雨汚水!U109</f>
        <v>0</v>
      </c>
      <c r="V109" s="1084">
        <f>+'雨汚水(共通按分後)'!V109-雨汚水!V109</f>
        <v>719567070</v>
      </c>
      <c r="W109" s="1083">
        <f>+'雨汚水(共通按分後)'!W109-雨汚水!W109</f>
        <v>0</v>
      </c>
      <c r="X109" s="1088" t="s">
        <v>1500</v>
      </c>
      <c r="Y109" s="1083">
        <f>+'雨汚水(共通按分後)'!Y109-雨汚水!Y109</f>
        <v>-1228771814</v>
      </c>
      <c r="Z109" s="1515">
        <f>+'雨汚水(共通按分後)'!Z109-雨汚水!Z109</f>
        <v>0</v>
      </c>
      <c r="AA109" s="1515">
        <f>+'雨汚水(共通按分後)'!AA109-雨汚水!AA109</f>
        <v>0</v>
      </c>
      <c r="AB109" s="1515">
        <f>+'雨汚水(共通按分後)'!AB109-雨汚水!AB109</f>
        <v>1697748598</v>
      </c>
      <c r="AC109" s="1515">
        <f>+'雨汚水(共通按分後)'!AC109-雨汚水!AC109</f>
        <v>-488049</v>
      </c>
      <c r="AD109" s="1512">
        <f>+'雨汚水(共通按分後)'!AD109-雨汚水!AD109</f>
        <v>-488049</v>
      </c>
      <c r="AE109" s="1513">
        <f>+'雨汚水(共通按分後)'!AE109-雨汚水!AE109</f>
        <v>230994415</v>
      </c>
      <c r="AF109" s="1514">
        <f>+'雨汚水(共通按分後)'!AF109-雨汚水!AF109</f>
        <v>347493062</v>
      </c>
      <c r="AG109" s="1085">
        <f>+'雨汚水(共通按分後)'!AG109-雨汚水!AG109</f>
        <v>380466322</v>
      </c>
      <c r="AH109" s="1392">
        <f>+'雨汚水(共通按分後)'!AH109-雨汚水!AH109</f>
        <v>958953799</v>
      </c>
      <c r="AI109" s="1513">
        <f>+'雨汚水(共通按分後)'!AI109-雨汚水!AI109</f>
        <v>-959441848</v>
      </c>
      <c r="AJ109" s="1085">
        <f>+'雨汚水(共通按分後)'!AJ109-雨汚水!AJ109</f>
        <v>0</v>
      </c>
      <c r="AK109" s="1077">
        <f>+'雨汚水(共通按分後)'!AK109-雨汚水!AK109</f>
        <v>-959441848</v>
      </c>
      <c r="AL109" s="1075">
        <f>+'雨汚水(共通按分後)'!AL109-雨汚水!AL109</f>
        <v>0</v>
      </c>
    </row>
    <row r="110" spans="2:38">
      <c r="D110" s="1074" t="s">
        <v>1497</v>
      </c>
      <c r="E110" s="1072">
        <f>+'雨汚水(共通按分後)'!E110-雨汚水!E110</f>
        <v>1687623271</v>
      </c>
      <c r="F110" s="1071">
        <f>+'雨汚水(共通按分後)'!F110-雨汚水!F110</f>
        <v>1273446561</v>
      </c>
      <c r="G110" s="1383">
        <f>+'雨汚水(共通按分後)'!G110-雨汚水!G110</f>
        <v>303464736</v>
      </c>
      <c r="H110" s="1070">
        <f>+'雨汚水(共通按分後)'!H110-雨汚水!H110</f>
        <v>340638734</v>
      </c>
      <c r="I110" s="1393">
        <f>+'雨汚水(共通按分後)'!I110-雨汚水!I110</f>
        <v>1917550031</v>
      </c>
      <c r="J110" s="1071">
        <f>+'雨汚水(共通按分後)'!J110-雨汚水!J110</f>
        <v>-229926760</v>
      </c>
      <c r="K110" s="1070">
        <f>+'雨汚水(共通按分後)'!K110-雨汚水!K110</f>
        <v>0</v>
      </c>
      <c r="L110" s="1069">
        <f>+'雨汚水(共通按分後)'!L110-雨汚水!L110</f>
        <v>-229926760</v>
      </c>
      <c r="M110" s="1068">
        <f>+'雨汚水(共通按分後)'!M110-雨汚水!M110</f>
        <v>0</v>
      </c>
      <c r="N110" s="1074" t="s">
        <v>1497</v>
      </c>
      <c r="O110" s="1172">
        <f>+'雨汚水(共通按分後)'!O110-雨汚水!O110</f>
        <v>1688111320</v>
      </c>
      <c r="P110" s="1171">
        <f>+'雨汚水(共通按分後)'!P110-雨汚水!P110</f>
        <v>1042452146</v>
      </c>
      <c r="Q110" s="1377">
        <f>+'雨汚水(共通按分後)'!Q110-雨汚水!Q110</f>
        <v>-44028326</v>
      </c>
      <c r="R110" s="1170">
        <f>+'雨汚水(共通按分後)'!R110-雨汚水!R110</f>
        <v>-39516848</v>
      </c>
      <c r="S110" s="1172">
        <f>+'雨汚水(共通按分後)'!S110-雨汚水!S110</f>
        <v>958906972</v>
      </c>
      <c r="T110" s="1171">
        <f>+'雨汚水(共通按分後)'!T110-雨汚水!T110</f>
        <v>729204348</v>
      </c>
      <c r="U110" s="1170">
        <f>+'雨汚水(共通按分後)'!U110-雨汚水!U110</f>
        <v>0</v>
      </c>
      <c r="V110" s="1169">
        <f>+'雨汚水(共通按分後)'!V110-雨汚水!V110</f>
        <v>729204348</v>
      </c>
      <c r="W110" s="1073">
        <f>+'雨汚水(共通按分後)'!W110-雨汚水!W110</f>
        <v>0</v>
      </c>
      <c r="X110" s="1074" t="s">
        <v>1497</v>
      </c>
      <c r="Y110" s="1073">
        <f>+'雨汚水(共通按分後)'!Y110-雨汚水!Y110</f>
        <v>-1238409092</v>
      </c>
      <c r="Z110" s="1068">
        <f>+'雨汚水(共通按分後)'!Z110-雨汚水!Z110</f>
        <v>0</v>
      </c>
      <c r="AA110" s="1068">
        <f>+'雨汚水(共通按分後)'!AA110-雨汚水!AA110</f>
        <v>0</v>
      </c>
      <c r="AB110" s="1068">
        <f>+'雨汚水(共通按分後)'!AB110-雨汚水!AB110</f>
        <v>1688111320</v>
      </c>
      <c r="AC110" s="1068">
        <f>+'雨汚水(共通按分後)'!AC110-雨汚水!AC110</f>
        <v>-488049</v>
      </c>
      <c r="AD110" s="1072">
        <f>+'雨汚水(共通按分後)'!AD110-雨汚水!AD110</f>
        <v>-488049</v>
      </c>
      <c r="AE110" s="1071">
        <f>+'雨汚水(共通按分後)'!AE110-雨汚水!AE110</f>
        <v>230994415</v>
      </c>
      <c r="AF110" s="1383">
        <f>+'雨汚水(共通按分後)'!AF110-雨汚水!AF110</f>
        <v>347493062</v>
      </c>
      <c r="AG110" s="1070">
        <f>+'雨汚水(共通按分後)'!AG110-雨汚水!AG110</f>
        <v>380155582</v>
      </c>
      <c r="AH110" s="1393">
        <f>+'雨汚水(共通按分後)'!AH110-雨汚水!AH110</f>
        <v>958643059</v>
      </c>
      <c r="AI110" s="1071">
        <f>+'雨汚水(共通按分後)'!AI110-雨汚水!AI110</f>
        <v>-959131108</v>
      </c>
      <c r="AJ110" s="1070">
        <f>+'雨汚水(共通按分後)'!AJ110-雨汚水!AJ110</f>
        <v>0</v>
      </c>
      <c r="AK110" s="1069">
        <f>+'雨汚水(共通按分後)'!AK110-雨汚水!AK110</f>
        <v>-959131108</v>
      </c>
      <c r="AL110" s="1068">
        <f>+'雨汚水(共通按分後)'!AL110-雨汚水!AL110</f>
        <v>0</v>
      </c>
    </row>
    <row r="111" spans="2:38">
      <c r="D111" s="1030" t="s">
        <v>1472</v>
      </c>
      <c r="E111" s="1062">
        <f>+'雨汚水(共通按分後)'!E111-雨汚水!E111</f>
        <v>3834038915</v>
      </c>
      <c r="F111" s="1061">
        <f>+'雨汚水(共通按分後)'!F111-雨汚水!F111</f>
        <v>3281289645</v>
      </c>
      <c r="G111" s="1380">
        <f>+'雨汚水(共通按分後)'!G111-雨汚水!G111</f>
        <v>295568763</v>
      </c>
      <c r="H111" s="1043">
        <f>+'雨汚水(共通按分後)'!H111-雨汚水!H111</f>
        <v>385268708</v>
      </c>
      <c r="I111" s="1062">
        <f>+'雨汚水(共通按分後)'!I111-雨汚水!I111</f>
        <v>3962127116</v>
      </c>
      <c r="J111" s="1058">
        <f>+'雨汚水(共通按分後)'!J111-雨汚水!J111</f>
        <v>-128088201</v>
      </c>
      <c r="K111" s="1043">
        <f>+'雨汚水(共通按分後)'!K111-雨汚水!K111</f>
        <v>0</v>
      </c>
      <c r="L111" s="1057">
        <f>+'雨汚水(共通按分後)'!L111-雨汚水!L111</f>
        <v>-128088201</v>
      </c>
      <c r="M111" s="1056">
        <f>+'雨汚水(共通按分後)'!M111-雨汚水!M111</f>
        <v>0</v>
      </c>
      <c r="N111" s="1030" t="s">
        <v>1472</v>
      </c>
      <c r="O111" s="1029">
        <f>+'雨汚水(共通按分後)'!O111-雨汚水!O111</f>
        <v>-748967088</v>
      </c>
      <c r="P111" s="1028">
        <f>+'雨汚水(共通按分後)'!P111-雨汚水!P111</f>
        <v>-478213800</v>
      </c>
      <c r="Q111" s="1379">
        <f>+'雨汚水(共通按分後)'!Q111-雨汚水!Q111</f>
        <v>-51924299</v>
      </c>
      <c r="R111" s="1027">
        <f>+'雨汚水(共通按分後)'!R111-雨汚水!R111</f>
        <v>-96371900</v>
      </c>
      <c r="S111" s="1029">
        <f>+'雨汚水(共通按分後)'!S111-雨汚水!S111</f>
        <v>-626509999</v>
      </c>
      <c r="T111" s="1028">
        <f>+'雨汚水(共通按分後)'!T111-雨汚水!T111</f>
        <v>-122457089</v>
      </c>
      <c r="U111" s="1027">
        <f>+'雨汚水(共通按分後)'!U111-雨汚水!U111</f>
        <v>0</v>
      </c>
      <c r="V111" s="1026">
        <f>+'雨汚水(共通按分後)'!V111-雨汚水!V111</f>
        <v>-122457089</v>
      </c>
      <c r="W111" s="1025">
        <f>+'雨汚水(共通按分後)'!W111-雨汚水!W111</f>
        <v>0</v>
      </c>
      <c r="X111" s="1030" t="s">
        <v>1472</v>
      </c>
      <c r="Y111" s="1025">
        <f>+'雨汚水(共通按分後)'!Y111-雨汚水!Y111</f>
        <v>792690020</v>
      </c>
      <c r="Z111" s="1056">
        <f>+'雨汚水(共通按分後)'!Z111-雨汚水!Z111</f>
        <v>0</v>
      </c>
      <c r="AA111" s="1056">
        <f>+'雨汚水(共通按分後)'!AA111-雨汚水!AA111</f>
        <v>0</v>
      </c>
      <c r="AB111" s="1056">
        <f>+'雨汚水(共通按分後)'!AB111-雨汚水!AB111</f>
        <v>-748967088</v>
      </c>
      <c r="AC111" s="1056">
        <f>+'雨汚水(共通按分後)'!AC111-雨汚水!AC111</f>
        <v>4583006003</v>
      </c>
      <c r="AD111" s="1062">
        <f>+'雨汚水(共通按分後)'!AD111-雨汚水!AD111</f>
        <v>4583006003</v>
      </c>
      <c r="AE111" s="1061">
        <f>+'雨汚水(共通按分後)'!AE111-雨汚水!AE111</f>
        <v>3759503445</v>
      </c>
      <c r="AF111" s="1380">
        <f>+'雨汚水(共通按分後)'!AF111-雨汚水!AF111</f>
        <v>347493062</v>
      </c>
      <c r="AG111" s="1043">
        <f>+'雨汚水(共通按分後)'!AG111-雨汚水!AG111</f>
        <v>481640608</v>
      </c>
      <c r="AH111" s="1062">
        <f>+'雨汚水(共通按分後)'!AH111-雨汚水!AH111</f>
        <v>4588637115</v>
      </c>
      <c r="AI111" s="1058">
        <f>+'雨汚水(共通按分後)'!AI111-雨汚水!AI111</f>
        <v>-5631112</v>
      </c>
      <c r="AJ111" s="1043">
        <f>+'雨汚水(共通按分後)'!AJ111-雨汚水!AJ111</f>
        <v>0</v>
      </c>
      <c r="AK111" s="1057">
        <f>+'雨汚水(共通按分後)'!AK111-雨汚水!AK111</f>
        <v>-5631112</v>
      </c>
      <c r="AL111" s="1056">
        <f>+'雨汚水(共通按分後)'!AL111-雨汚水!AL111</f>
        <v>0</v>
      </c>
    </row>
    <row r="112" spans="2:38">
      <c r="D112" s="1030" t="s">
        <v>1470</v>
      </c>
      <c r="E112" s="1062">
        <f>+'雨汚水(共通按分後)'!E112-雨汚水!E112</f>
        <v>216101483</v>
      </c>
      <c r="F112" s="1061">
        <f>+'雨汚水(共通按分後)'!F112-雨汚水!F112</f>
        <v>-82836085</v>
      </c>
      <c r="G112" s="1380">
        <f>+'雨汚水(共通按分後)'!G112-雨汚水!G112</f>
        <v>7895973</v>
      </c>
      <c r="H112" s="1043">
        <f>+'雨汚水(共通按分後)'!H112-雨汚水!H112</f>
        <v>0</v>
      </c>
      <c r="I112" s="1062">
        <f>+'雨汚水(共通按分後)'!I112-雨汚水!I112</f>
        <v>-74940112</v>
      </c>
      <c r="J112" s="1058">
        <f>+'雨汚水(共通按分後)'!J112-雨汚水!J112</f>
        <v>291041595</v>
      </c>
      <c r="K112" s="1043">
        <f>+'雨汚水(共通按分後)'!K112-雨汚水!K112</f>
        <v>0</v>
      </c>
      <c r="L112" s="1057">
        <f>+'雨汚水(共通按分後)'!L112-雨汚水!L112</f>
        <v>291041595</v>
      </c>
      <c r="M112" s="1056">
        <f>+'雨汚水(共通按分後)'!M112-雨汚水!M112</f>
        <v>0</v>
      </c>
      <c r="N112" s="1030" t="s">
        <v>1470</v>
      </c>
      <c r="O112" s="1029">
        <f>+'雨汚水(共通按分後)'!O112-雨汚水!O112</f>
        <v>216101483</v>
      </c>
      <c r="P112" s="1028">
        <f>+'雨汚水(共通按分後)'!P112-雨汚水!P112</f>
        <v>-82836085</v>
      </c>
      <c r="Q112" s="1379">
        <f>+'雨汚水(共通按分後)'!Q112-雨汚水!Q112</f>
        <v>7895973</v>
      </c>
      <c r="R112" s="1027">
        <f>+'雨汚水(共通按分後)'!R112-雨汚水!R112</f>
        <v>0</v>
      </c>
      <c r="S112" s="1029">
        <f>+'雨汚水(共通按分後)'!S112-雨汚水!S112</f>
        <v>-74940112</v>
      </c>
      <c r="T112" s="1028">
        <f>+'雨汚水(共通按分後)'!T112-雨汚水!T112</f>
        <v>291041595</v>
      </c>
      <c r="U112" s="1027">
        <f>+'雨汚水(共通按分後)'!U112-雨汚水!U112</f>
        <v>0</v>
      </c>
      <c r="V112" s="1026">
        <f>+'雨汚水(共通按分後)'!V112-雨汚水!V112</f>
        <v>291041595</v>
      </c>
      <c r="W112" s="1025">
        <f>+'雨汚水(共通按分後)'!W112-雨汚水!W112</f>
        <v>0</v>
      </c>
      <c r="X112" s="1030" t="s">
        <v>1470</v>
      </c>
      <c r="Y112" s="1025">
        <f>+'雨汚水(共通按分後)'!Y112-雨汚水!Y112</f>
        <v>317401743</v>
      </c>
      <c r="Z112" s="1056">
        <f>+'雨汚水(共通按分後)'!Z112-雨汚水!Z112</f>
        <v>0</v>
      </c>
      <c r="AA112" s="1056">
        <f>+'雨汚水(共通按分後)'!AA112-雨汚水!AA112</f>
        <v>0</v>
      </c>
      <c r="AB112" s="1056">
        <f>+'雨汚水(共通按分後)'!AB112-雨汚水!AB112</f>
        <v>216101483</v>
      </c>
      <c r="AC112" s="1056">
        <f>+'雨汚水(共通按分後)'!AC112-雨汚水!AC112</f>
        <v>0</v>
      </c>
      <c r="AD112" s="1059">
        <f>+'雨汚水(共通按分後)'!AD112-雨汚水!AD112</f>
        <v>0</v>
      </c>
      <c r="AE112" s="1061">
        <f>+'雨汚水(共通按分後)'!AE112-雨汚水!AE112</f>
        <v>0</v>
      </c>
      <c r="AF112" s="1380">
        <f>+'雨汚水(共通按分後)'!AF112-雨汚水!AF112</f>
        <v>0</v>
      </c>
      <c r="AG112" s="1043">
        <f>+'雨汚水(共通按分後)'!AG112-雨汚水!AG112</f>
        <v>0</v>
      </c>
      <c r="AH112" s="1062">
        <f>+'雨汚水(共通按分後)'!AH112-雨汚水!AH112</f>
        <v>0</v>
      </c>
      <c r="AI112" s="1058">
        <f>+'雨汚水(共通按分後)'!AI112-雨汚水!AI112</f>
        <v>0</v>
      </c>
      <c r="AJ112" s="1043">
        <f>+'雨汚水(共通按分後)'!AJ112-雨汚水!AJ112</f>
        <v>0</v>
      </c>
      <c r="AK112" s="1057">
        <f>+'雨汚水(共通按分後)'!AK112-雨汚水!AK112</f>
        <v>0</v>
      </c>
      <c r="AL112" s="1056">
        <f>+'雨汚水(共通按分後)'!AL112-雨汚水!AL112</f>
        <v>0</v>
      </c>
    </row>
    <row r="113" spans="4:38">
      <c r="D113" s="1030" t="s">
        <v>1469</v>
      </c>
      <c r="E113" s="1025">
        <f>+'雨汚水(共通按分後)'!E113-雨汚水!E113</f>
        <v>-2362517127</v>
      </c>
      <c r="F113" s="1040">
        <f>+'雨汚水(共通按分後)'!F113-雨汚水!F113</f>
        <v>-1925006999</v>
      </c>
      <c r="G113" s="1379">
        <f>+'雨汚水(共通按分後)'!G113-雨汚水!G113</f>
        <v>0</v>
      </c>
      <c r="H113" s="1043">
        <f>+'雨汚水(共通按分後)'!H113-雨汚水!H113</f>
        <v>-44629974</v>
      </c>
      <c r="I113" s="1062">
        <f>+'雨汚水(共通按分後)'!I113-雨汚水!I113</f>
        <v>-1969636973</v>
      </c>
      <c r="J113" s="1058">
        <f>+'雨汚水(共通按分後)'!J113-雨汚水!J113</f>
        <v>-392880154</v>
      </c>
      <c r="K113" s="1043">
        <f>+'雨汚水(共通按分後)'!K113-雨汚水!K113</f>
        <v>0</v>
      </c>
      <c r="L113" s="1057">
        <f>+'雨汚水(共通按分後)'!L113-雨汚水!L113</f>
        <v>-392880154</v>
      </c>
      <c r="M113" s="1056">
        <f>+'雨汚水(共通按分後)'!M113-雨汚水!M113</f>
        <v>0</v>
      </c>
      <c r="N113" s="1030" t="s">
        <v>1469</v>
      </c>
      <c r="O113" s="1029">
        <f>+'雨汚水(共通按分後)'!O113-雨汚水!O113</f>
        <v>2220976925</v>
      </c>
      <c r="P113" s="1028">
        <f>+'雨汚水(共通按分後)'!P113-雨汚水!P113</f>
        <v>1603502031</v>
      </c>
      <c r="Q113" s="1379">
        <f>+'雨汚水(共通按分後)'!Q113-雨汚水!Q113</f>
        <v>0</v>
      </c>
      <c r="R113" s="1043">
        <f>+'雨汚水(共通按分後)'!R113-雨汚水!R113</f>
        <v>56855052</v>
      </c>
      <c r="S113" s="1029">
        <f>+'雨汚水(共通按分後)'!S113-雨汚水!S113</f>
        <v>1660357083</v>
      </c>
      <c r="T113" s="1028">
        <f>+'雨汚水(共通按分後)'!T113-雨汚水!T113</f>
        <v>560619842</v>
      </c>
      <c r="U113" s="1027">
        <f>+'雨汚水(共通按分後)'!U113-雨汚水!U113</f>
        <v>0</v>
      </c>
      <c r="V113" s="1026">
        <f>+'雨汚水(共通按分後)'!V113-雨汚水!V113</f>
        <v>560619842</v>
      </c>
      <c r="W113" s="1025">
        <f>+'雨汚水(共通按分後)'!W113-雨汚水!W113</f>
        <v>0</v>
      </c>
      <c r="X113" s="1030" t="s">
        <v>1469</v>
      </c>
      <c r="Y113" s="1025">
        <f>+'雨汚水(共通按分後)'!Y113-雨汚水!Y113</f>
        <v>-2348500855</v>
      </c>
      <c r="Z113" s="1025">
        <f>+'雨汚水(共通按分後)'!Z113-雨汚水!Z113</f>
        <v>0</v>
      </c>
      <c r="AA113" s="1056">
        <f>+'雨汚水(共通按分後)'!AA113-雨汚水!AA113</f>
        <v>0</v>
      </c>
      <c r="AB113" s="1025">
        <f>+'雨汚水(共通按分後)'!AB113-雨汚水!AB113</f>
        <v>2220976925</v>
      </c>
      <c r="AC113" s="1025">
        <f>+'雨汚水(共通按分後)'!AC113-雨汚水!AC113</f>
        <v>-4583494052</v>
      </c>
      <c r="AD113" s="1025">
        <f>+'雨汚水(共通按分後)'!AD113-雨汚水!AD113</f>
        <v>-4583494052</v>
      </c>
      <c r="AE113" s="1040">
        <f>+'雨汚水(共通按分後)'!AE113-雨汚水!AE113</f>
        <v>-3528509030</v>
      </c>
      <c r="AF113" s="1379">
        <f>+'雨汚水(共通按分後)'!AF113-雨汚水!AF113</f>
        <v>0</v>
      </c>
      <c r="AG113" s="1043">
        <f>+'雨汚水(共通按分後)'!AG113-雨汚水!AG113</f>
        <v>-101485026</v>
      </c>
      <c r="AH113" s="1062">
        <f>+'雨汚水(共通按分後)'!AH113-雨汚水!AH113</f>
        <v>-3629994056</v>
      </c>
      <c r="AI113" s="1058">
        <f>+'雨汚水(共通按分後)'!AI113-雨汚水!AI113</f>
        <v>-953499996</v>
      </c>
      <c r="AJ113" s="1043">
        <f>+'雨汚水(共通按分後)'!AJ113-雨汚水!AJ113</f>
        <v>0</v>
      </c>
      <c r="AK113" s="1057">
        <f>+'雨汚水(共通按分後)'!AK113-雨汚水!AK113</f>
        <v>-953499996</v>
      </c>
      <c r="AL113" s="1056">
        <f>+'雨汚水(共通按分後)'!AL113-雨汚水!AL113</f>
        <v>0</v>
      </c>
    </row>
    <row r="114" spans="4:38">
      <c r="D114" s="1030" t="s">
        <v>1488</v>
      </c>
      <c r="E114" s="1062">
        <f>+'雨汚水(共通按分後)'!E114-雨汚水!E114</f>
        <v>-2354151403</v>
      </c>
      <c r="F114" s="1061">
        <f>+'雨汚水(共通按分後)'!F114-雨汚水!F114</f>
        <v>-1916641275</v>
      </c>
      <c r="G114" s="1380">
        <f>+'雨汚水(共通按分後)'!G114-雨汚水!G114</f>
        <v>0</v>
      </c>
      <c r="H114" s="1043">
        <f>+'雨汚水(共通按分後)'!H114-雨汚水!H114</f>
        <v>-44629974</v>
      </c>
      <c r="I114" s="1062">
        <f>+'雨汚水(共通按分後)'!I114-雨汚水!I114</f>
        <v>-1961271249</v>
      </c>
      <c r="J114" s="1058">
        <f>+'雨汚水(共通按分後)'!J114-雨汚水!J114</f>
        <v>-392880154</v>
      </c>
      <c r="K114" s="1043">
        <f>+'雨汚水(共通按分後)'!K114-雨汚水!K114</f>
        <v>0</v>
      </c>
      <c r="L114" s="1057">
        <f>+'雨汚水(共通按分後)'!L114-雨汚水!L114</f>
        <v>-392880154</v>
      </c>
      <c r="M114" s="1056">
        <f>+'雨汚水(共通按分後)'!M114-雨汚水!M114</f>
        <v>0</v>
      </c>
      <c r="N114" s="1030" t="s">
        <v>1488</v>
      </c>
      <c r="O114" s="1029">
        <f>+'雨汚水(共通按分後)'!O114-雨汚水!O114</f>
        <v>2229342649</v>
      </c>
      <c r="P114" s="1028">
        <f>+'雨汚水(共通按分後)'!P114-雨汚水!P114</f>
        <v>1611867755</v>
      </c>
      <c r="Q114" s="1379">
        <f>+'雨汚水(共通按分後)'!Q114-雨汚水!Q114</f>
        <v>0</v>
      </c>
      <c r="R114" s="1043">
        <f>+'雨汚水(共通按分後)'!R114-雨汚水!R114</f>
        <v>56855052</v>
      </c>
      <c r="S114" s="1029">
        <f>+'雨汚水(共通按分後)'!S114-雨汚水!S114</f>
        <v>1668722807</v>
      </c>
      <c r="T114" s="1028">
        <f>+'雨汚水(共通按分後)'!T114-雨汚水!T114</f>
        <v>560619842</v>
      </c>
      <c r="U114" s="1027">
        <f>+'雨汚水(共通按分後)'!U114-雨汚水!U114</f>
        <v>0</v>
      </c>
      <c r="V114" s="1026">
        <f>+'雨汚水(共通按分後)'!V114-雨汚水!V114</f>
        <v>560619842</v>
      </c>
      <c r="W114" s="1025">
        <f>+'雨汚水(共通按分後)'!W114-雨汚水!W114</f>
        <v>0</v>
      </c>
      <c r="X114" s="1030" t="s">
        <v>1488</v>
      </c>
      <c r="Y114" s="1025">
        <f>+'雨汚水(共通按分後)'!Y114-雨汚水!Y114</f>
        <v>-2354151403</v>
      </c>
      <c r="Z114" s="1056">
        <f>+'雨汚水(共通按分後)'!Z114-雨汚水!Z114</f>
        <v>0</v>
      </c>
      <c r="AA114" s="1056">
        <f>+'雨汚水(共通按分後)'!AA114-雨汚水!AA114</f>
        <v>0</v>
      </c>
      <c r="AB114" s="1056">
        <f>+'雨汚水(共通按分後)'!AB114-雨汚水!AB114</f>
        <v>2229342649</v>
      </c>
      <c r="AC114" s="1056">
        <f>+'雨汚水(共通按分後)'!AC114-雨汚水!AC114</f>
        <v>-4583494052</v>
      </c>
      <c r="AD114" s="1059">
        <f>+'雨汚水(共通按分後)'!AD114-雨汚水!AD114</f>
        <v>-4583494052</v>
      </c>
      <c r="AE114" s="1061">
        <f>+'雨汚水(共通按分後)'!AE114-雨汚水!AE114</f>
        <v>-3528509030</v>
      </c>
      <c r="AF114" s="1380">
        <f>+'雨汚水(共通按分後)'!AF114-雨汚水!AF114</f>
        <v>0</v>
      </c>
      <c r="AG114" s="1043">
        <f>+'雨汚水(共通按分後)'!AG114-雨汚水!AG114</f>
        <v>-101485026</v>
      </c>
      <c r="AH114" s="1062">
        <f>+'雨汚水(共通按分後)'!AH114-雨汚水!AH114</f>
        <v>-3629994056</v>
      </c>
      <c r="AI114" s="1058">
        <f>+'雨汚水(共通按分後)'!AI114-雨汚水!AI114</f>
        <v>-953499996</v>
      </c>
      <c r="AJ114" s="1043">
        <f>+'雨汚水(共通按分後)'!AJ114-雨汚水!AJ114</f>
        <v>0</v>
      </c>
      <c r="AK114" s="1057">
        <f>+'雨汚水(共通按分後)'!AK114-雨汚水!AK114</f>
        <v>-953499996</v>
      </c>
      <c r="AL114" s="1056">
        <f>+'雨汚水(共通按分後)'!AL114-雨汚水!AL114</f>
        <v>0</v>
      </c>
    </row>
    <row r="115" spans="4:38">
      <c r="D115" s="1063" t="s">
        <v>1486</v>
      </c>
      <c r="E115" s="1062">
        <f>+'雨汚水(共通按分後)'!E115-雨汚水!E115</f>
        <v>-8365724</v>
      </c>
      <c r="F115" s="1061">
        <f>+'雨汚水(共通按分後)'!F115-雨汚水!F115</f>
        <v>-8365724</v>
      </c>
      <c r="G115" s="1380">
        <f>+'雨汚水(共通按分後)'!G115-雨汚水!G115</f>
        <v>0</v>
      </c>
      <c r="H115" s="1043">
        <f>+'雨汚水(共通按分後)'!H115-雨汚水!H115</f>
        <v>0</v>
      </c>
      <c r="I115" s="1062">
        <f>+'雨汚水(共通按分後)'!I115-雨汚水!I115</f>
        <v>-8365724</v>
      </c>
      <c r="J115" s="1058">
        <f>+'雨汚水(共通按分後)'!J115-雨汚水!J115</f>
        <v>0</v>
      </c>
      <c r="K115" s="1043">
        <f>+'雨汚水(共通按分後)'!K115-雨汚水!K115</f>
        <v>0</v>
      </c>
      <c r="L115" s="1057">
        <f>+'雨汚水(共通按分後)'!L115-雨汚水!L115</f>
        <v>0</v>
      </c>
      <c r="M115" s="1056">
        <f>+'雨汚水(共通按分後)'!M115-雨汚水!M115</f>
        <v>0</v>
      </c>
      <c r="N115" s="1063" t="s">
        <v>1486</v>
      </c>
      <c r="O115" s="1029">
        <f>+'雨汚水(共通按分後)'!O115-雨汚水!O115</f>
        <v>-8365724</v>
      </c>
      <c r="P115" s="1028">
        <f>+'雨汚水(共通按分後)'!P115-雨汚水!P115</f>
        <v>-8365724</v>
      </c>
      <c r="Q115" s="1379">
        <f>+'雨汚水(共通按分後)'!Q115-雨汚水!Q115</f>
        <v>0</v>
      </c>
      <c r="R115" s="1043">
        <f>+'雨汚水(共通按分後)'!R115-雨汚水!R115</f>
        <v>0</v>
      </c>
      <c r="S115" s="1029">
        <f>+'雨汚水(共通按分後)'!S115-雨汚水!S115</f>
        <v>-8365724</v>
      </c>
      <c r="T115" s="1028">
        <f>+'雨汚水(共通按分後)'!T115-雨汚水!T115</f>
        <v>0</v>
      </c>
      <c r="U115" s="1027">
        <f>+'雨汚水(共通按分後)'!U115-雨汚水!U115</f>
        <v>0</v>
      </c>
      <c r="V115" s="1026">
        <f>+'雨汚水(共通按分後)'!V115-雨汚水!V115</f>
        <v>0</v>
      </c>
      <c r="W115" s="1025">
        <f>+'雨汚水(共通按分後)'!W115-雨汚水!W115</f>
        <v>0</v>
      </c>
      <c r="X115" s="1063" t="s">
        <v>1486</v>
      </c>
      <c r="Y115" s="1025">
        <f>+'雨汚水(共通按分後)'!Y115-雨汚水!Y115</f>
        <v>5650548</v>
      </c>
      <c r="Z115" s="1056">
        <f>+'雨汚水(共通按分後)'!Z115-雨汚水!Z115</f>
        <v>0</v>
      </c>
      <c r="AA115" s="1056">
        <f>+'雨汚水(共通按分後)'!AA115-雨汚水!AA115</f>
        <v>0</v>
      </c>
      <c r="AB115" s="1056">
        <f>+'雨汚水(共通按分後)'!AB115-雨汚水!AB115</f>
        <v>-8365724</v>
      </c>
      <c r="AC115" s="1056">
        <f>+'雨汚水(共通按分後)'!AC115-雨汚水!AC115</f>
        <v>0</v>
      </c>
      <c r="AD115" s="1059">
        <f>+'雨汚水(共通按分後)'!AD115-雨汚水!AD115</f>
        <v>0</v>
      </c>
      <c r="AE115" s="1061">
        <f>+'雨汚水(共通按分後)'!AE115-雨汚水!AE115</f>
        <v>0</v>
      </c>
      <c r="AF115" s="1380">
        <f>+'雨汚水(共通按分後)'!AF115-雨汚水!AF115</f>
        <v>0</v>
      </c>
      <c r="AG115" s="1043">
        <f>+'雨汚水(共通按分後)'!AG115-雨汚水!AG115</f>
        <v>0</v>
      </c>
      <c r="AH115" s="1062">
        <f>+'雨汚水(共通按分後)'!AH115-雨汚水!AH115</f>
        <v>0</v>
      </c>
      <c r="AI115" s="1058">
        <f>+'雨汚水(共通按分後)'!AI115-雨汚水!AI115</f>
        <v>0</v>
      </c>
      <c r="AJ115" s="1043">
        <f>+'雨汚水(共通按分後)'!AJ115-雨汚水!AJ115</f>
        <v>0</v>
      </c>
      <c r="AK115" s="1057">
        <f>+'雨汚水(共通按分後)'!AK115-雨汚水!AK115</f>
        <v>0</v>
      </c>
      <c r="AL115" s="1056">
        <f>+'雨汚水(共通按分後)'!AL115-雨汚水!AL115</f>
        <v>0</v>
      </c>
    </row>
    <row r="116" spans="4:38">
      <c r="D116" s="1030" t="s">
        <v>1484</v>
      </c>
      <c r="E116" s="1062">
        <f>+'雨汚水(共通按分後)'!E116-雨汚水!E116</f>
        <v>0</v>
      </c>
      <c r="F116" s="1061">
        <f>+'雨汚水(共通按分後)'!F116-雨汚水!F116</f>
        <v>0</v>
      </c>
      <c r="G116" s="1380">
        <f>+'雨汚水(共通按分後)'!G116-雨汚水!G116</f>
        <v>0</v>
      </c>
      <c r="H116" s="1043">
        <f>+'雨汚水(共通按分後)'!H116-雨汚水!H116</f>
        <v>0</v>
      </c>
      <c r="I116" s="1062">
        <f>+'雨汚水(共通按分後)'!I116-雨汚水!I116</f>
        <v>0</v>
      </c>
      <c r="J116" s="1058">
        <f>+'雨汚水(共通按分後)'!J116-雨汚水!J116</f>
        <v>0</v>
      </c>
      <c r="K116" s="1043">
        <f>+'雨汚水(共通按分後)'!K116-雨汚水!K116</f>
        <v>0</v>
      </c>
      <c r="L116" s="1057">
        <f>+'雨汚水(共通按分後)'!L116-雨汚水!L116</f>
        <v>0</v>
      </c>
      <c r="M116" s="1056">
        <f>+'雨汚水(共通按分後)'!M116-雨汚水!M116</f>
        <v>0</v>
      </c>
      <c r="N116" s="1030" t="s">
        <v>1484</v>
      </c>
      <c r="O116" s="1029">
        <f>+'雨汚水(共通按分後)'!O116-雨汚水!O116</f>
        <v>0</v>
      </c>
      <c r="P116" s="1028">
        <f>+'雨汚水(共通按分後)'!P116-雨汚水!P116</f>
        <v>0</v>
      </c>
      <c r="Q116" s="1379">
        <f>+'雨汚水(共通按分後)'!Q116-雨汚水!Q116</f>
        <v>0</v>
      </c>
      <c r="R116" s="1027">
        <f>+'雨汚水(共通按分後)'!R116-雨汚水!R116</f>
        <v>0</v>
      </c>
      <c r="S116" s="1029">
        <f>+'雨汚水(共通按分後)'!S116-雨汚水!S116</f>
        <v>0</v>
      </c>
      <c r="T116" s="1028">
        <f>+'雨汚水(共通按分後)'!T116-雨汚水!T116</f>
        <v>0</v>
      </c>
      <c r="U116" s="1027">
        <f>+'雨汚水(共通按分後)'!U116-雨汚水!U116</f>
        <v>0</v>
      </c>
      <c r="V116" s="1026">
        <f>+'雨汚水(共通按分後)'!V116-雨汚水!V116</f>
        <v>0</v>
      </c>
      <c r="W116" s="1025">
        <f>+'雨汚水(共通按分後)'!W116-雨汚水!W116</f>
        <v>0</v>
      </c>
      <c r="X116" s="1030" t="s">
        <v>1484</v>
      </c>
      <c r="Y116" s="1025">
        <f>+'雨汚水(共通按分後)'!Y116-雨汚水!Y116</f>
        <v>0</v>
      </c>
      <c r="Z116" s="1056">
        <f>+'雨汚水(共通按分後)'!Z116-雨汚水!Z116</f>
        <v>0</v>
      </c>
      <c r="AA116" s="1056">
        <f>+'雨汚水(共通按分後)'!AA116-雨汚水!AA116</f>
        <v>0</v>
      </c>
      <c r="AB116" s="1056">
        <f>+'雨汚水(共通按分後)'!AB116-雨汚水!AB116</f>
        <v>0</v>
      </c>
      <c r="AC116" s="1056">
        <f>+'雨汚水(共通按分後)'!AC116-雨汚水!AC116</f>
        <v>0</v>
      </c>
      <c r="AD116" s="1059">
        <f>+'雨汚水(共通按分後)'!AD116-雨汚水!AD116</f>
        <v>0</v>
      </c>
      <c r="AE116" s="1061">
        <f>+'雨汚水(共通按分後)'!AE116-雨汚水!AE116</f>
        <v>0</v>
      </c>
      <c r="AF116" s="1380">
        <f>+'雨汚水(共通按分後)'!AF116-雨汚水!AF116</f>
        <v>0</v>
      </c>
      <c r="AG116" s="1043">
        <f>+'雨汚水(共通按分後)'!AG116-雨汚水!AG116</f>
        <v>0</v>
      </c>
      <c r="AH116" s="1062">
        <f>+'雨汚水(共通按分後)'!AH116-雨汚水!AH116</f>
        <v>0</v>
      </c>
      <c r="AI116" s="1058">
        <f>+'雨汚水(共通按分後)'!AI116-雨汚水!AI116</f>
        <v>0</v>
      </c>
      <c r="AJ116" s="1043">
        <f>+'雨汚水(共通按分後)'!AJ116-雨汚水!AJ116</f>
        <v>0</v>
      </c>
      <c r="AK116" s="1057">
        <f>+'雨汚水(共通按分後)'!AK116-雨汚水!AK116</f>
        <v>0</v>
      </c>
      <c r="AL116" s="1056">
        <f>+'雨汚水(共通按分後)'!AL116-雨汚水!AL116</f>
        <v>0</v>
      </c>
    </row>
    <row r="117" spans="4:38">
      <c r="D117" s="1030" t="s">
        <v>1481</v>
      </c>
      <c r="E117" s="1062">
        <f>+'雨汚水(共通按分後)'!E117-雨汚水!E117</f>
        <v>9637278</v>
      </c>
      <c r="F117" s="1061">
        <f>+'雨汚水(共通按分後)'!F117-雨汚水!F117</f>
        <v>0</v>
      </c>
      <c r="G117" s="1380">
        <f>+'雨汚水(共通按分後)'!G117-雨汚水!G117</f>
        <v>0</v>
      </c>
      <c r="H117" s="1043">
        <f>+'雨汚水(共通按分後)'!H117-雨汚水!H117</f>
        <v>19585296</v>
      </c>
      <c r="I117" s="1062">
        <f>+'雨汚水(共通按分後)'!I117-雨汚水!I117</f>
        <v>19585296</v>
      </c>
      <c r="J117" s="1058">
        <f>+'雨汚水(共通按分後)'!J117-雨汚水!J117</f>
        <v>-9948018</v>
      </c>
      <c r="K117" s="1043">
        <f>+'雨汚水(共通按分後)'!K117-雨汚水!K117</f>
        <v>0</v>
      </c>
      <c r="L117" s="1057">
        <f>+'雨汚水(共通按分後)'!L117-雨汚水!L117</f>
        <v>-9948018</v>
      </c>
      <c r="M117" s="1056">
        <f>+'雨汚水(共通按分後)'!M117-雨汚水!M117</f>
        <v>0</v>
      </c>
      <c r="N117" s="1030" t="s">
        <v>1481</v>
      </c>
      <c r="O117" s="1029">
        <f>+'雨汚水(共通按分後)'!O117-雨汚水!O117</f>
        <v>9637278</v>
      </c>
      <c r="P117" s="1028">
        <f>+'雨汚水(共通按分後)'!P117-雨汚水!P117</f>
        <v>0</v>
      </c>
      <c r="Q117" s="1379">
        <f>+'雨汚水(共通按分後)'!Q117-雨汚水!Q117</f>
        <v>0</v>
      </c>
      <c r="R117" s="1027">
        <f>+'雨汚水(共通按分後)'!R117-雨汚水!R117</f>
        <v>19274556</v>
      </c>
      <c r="S117" s="1029">
        <f>+'雨汚水(共通按分後)'!S117-雨汚水!S117</f>
        <v>19274556</v>
      </c>
      <c r="T117" s="1028">
        <f>+'雨汚水(共通按分後)'!T117-雨汚水!T117</f>
        <v>-9637278</v>
      </c>
      <c r="U117" s="1027">
        <f>+'雨汚水(共通按分後)'!U117-雨汚水!U117</f>
        <v>0</v>
      </c>
      <c r="V117" s="1026">
        <f>+'雨汚水(共通按分後)'!V117-雨汚水!V117</f>
        <v>-9637278</v>
      </c>
      <c r="W117" s="1025">
        <f>+'雨汚水(共通按分後)'!W117-雨汚水!W117</f>
        <v>0</v>
      </c>
      <c r="X117" s="1030" t="s">
        <v>1481</v>
      </c>
      <c r="Y117" s="1025">
        <f>+'雨汚水(共通按分後)'!Y117-雨汚水!Y117</f>
        <v>9637278</v>
      </c>
      <c r="Z117" s="1056">
        <f>+'雨汚水(共通按分後)'!Z117-雨汚水!Z117</f>
        <v>0</v>
      </c>
      <c r="AA117" s="1056">
        <f>+'雨汚水(共通按分後)'!AA117-雨汚水!AA117</f>
        <v>0</v>
      </c>
      <c r="AB117" s="1056">
        <f>+'雨汚水(共通按分後)'!AB117-雨汚水!AB117</f>
        <v>9637278</v>
      </c>
      <c r="AC117" s="1056">
        <f>+'雨汚水(共通按分後)'!AC117-雨汚水!AC117</f>
        <v>0</v>
      </c>
      <c r="AD117" s="1059">
        <f>+'雨汚水(共通按分後)'!AD117-雨汚水!AD117</f>
        <v>0</v>
      </c>
      <c r="AE117" s="1061">
        <f>+'雨汚水(共通按分後)'!AE117-雨汚水!AE117</f>
        <v>0</v>
      </c>
      <c r="AF117" s="1380">
        <f>+'雨汚水(共通按分後)'!AF117-雨汚水!AF117</f>
        <v>0</v>
      </c>
      <c r="AG117" s="1043">
        <f>+'雨汚水(共通按分後)'!AG117-雨汚水!AG117</f>
        <v>310740</v>
      </c>
      <c r="AH117" s="1062">
        <f>+'雨汚水(共通按分後)'!AH117-雨汚水!AH117</f>
        <v>310740</v>
      </c>
      <c r="AI117" s="1058">
        <f>+'雨汚水(共通按分後)'!AI117-雨汚水!AI117</f>
        <v>-310740</v>
      </c>
      <c r="AJ117" s="1043">
        <f>+'雨汚水(共通按分後)'!AJ117-雨汚水!AJ117</f>
        <v>0</v>
      </c>
      <c r="AK117" s="1057">
        <f>+'雨汚水(共通按分後)'!AK117-雨汚水!AK117</f>
        <v>-310740</v>
      </c>
      <c r="AL117" s="1056">
        <f>+'雨汚水(共通按分後)'!AL117-雨汚水!AL117</f>
        <v>0</v>
      </c>
    </row>
    <row r="118" spans="4:38">
      <c r="D118" s="1056" t="s">
        <v>1479</v>
      </c>
      <c r="E118" s="1062">
        <f>+'雨汚水(共通按分後)'!E118-雨汚水!E118</f>
        <v>0</v>
      </c>
      <c r="F118" s="1061">
        <f>+'雨汚水(共通按分後)'!F118-雨汚水!F118</f>
        <v>0</v>
      </c>
      <c r="G118" s="1380">
        <f>+'雨汚水(共通按分後)'!G118-雨汚水!G118</f>
        <v>0</v>
      </c>
      <c r="H118" s="1043">
        <f>+'雨汚水(共通按分後)'!H118-雨汚水!H118</f>
        <v>0</v>
      </c>
      <c r="I118" s="1062">
        <f>+'雨汚水(共通按分後)'!I118-雨汚水!I118</f>
        <v>0</v>
      </c>
      <c r="J118" s="1058">
        <f>+'雨汚水(共通按分後)'!J118-雨汚水!J118</f>
        <v>0</v>
      </c>
      <c r="K118" s="1043">
        <f>+'雨汚水(共通按分後)'!K118-雨汚水!K118</f>
        <v>0</v>
      </c>
      <c r="L118" s="1057">
        <f>+'雨汚水(共通按分後)'!L118-雨汚水!L118</f>
        <v>0</v>
      </c>
      <c r="M118" s="1056">
        <f>+'雨汚水(共通按分後)'!M118-雨汚水!M118</f>
        <v>0</v>
      </c>
      <c r="N118" s="1056" t="s">
        <v>1479</v>
      </c>
      <c r="O118" s="1029">
        <f>+'雨汚水(共通按分後)'!O118-雨汚水!O118</f>
        <v>0</v>
      </c>
      <c r="P118" s="1028">
        <f>+'雨汚水(共通按分後)'!P118-雨汚水!P118</f>
        <v>0</v>
      </c>
      <c r="Q118" s="1380">
        <f>+'雨汚水(共通按分後)'!Q118-雨汚水!Q118</f>
        <v>0</v>
      </c>
      <c r="R118" s="1043">
        <f>+'雨汚水(共通按分後)'!R118-雨汚水!R118</f>
        <v>0</v>
      </c>
      <c r="S118" s="1062">
        <f>+'雨汚水(共通按分後)'!S118-雨汚水!S118</f>
        <v>0</v>
      </c>
      <c r="T118" s="1058">
        <f>+'雨汚水(共通按分後)'!T118-雨汚水!T118</f>
        <v>0</v>
      </c>
      <c r="U118" s="1043">
        <f>+'雨汚水(共通按分後)'!U118-雨汚水!U118</f>
        <v>0</v>
      </c>
      <c r="V118" s="1057">
        <f>+'雨汚水(共通按分後)'!V118-雨汚水!V118</f>
        <v>0</v>
      </c>
      <c r="W118" s="1025">
        <f>+'雨汚水(共通按分後)'!W118-雨汚水!W118</f>
        <v>0</v>
      </c>
      <c r="X118" s="1056" t="s">
        <v>1479</v>
      </c>
      <c r="Y118" s="1025">
        <f>+'雨汚水(共通按分後)'!Y118-雨汚水!Y118</f>
        <v>0</v>
      </c>
      <c r="Z118" s="1056">
        <f>+'雨汚水(共通按分後)'!Z118-雨汚水!Z118</f>
        <v>0</v>
      </c>
      <c r="AA118" s="1056">
        <f>+'雨汚水(共通按分後)'!AA118-雨汚水!AA118</f>
        <v>0</v>
      </c>
      <c r="AB118" s="1056">
        <f>+'雨汚水(共通按分後)'!AB118-雨汚水!AB118</f>
        <v>0</v>
      </c>
      <c r="AC118" s="1056">
        <f>+'雨汚水(共通按分後)'!AC118-雨汚水!AC118</f>
        <v>0</v>
      </c>
      <c r="AD118" s="1059">
        <f>+'雨汚水(共通按分後)'!AD118-雨汚水!AD118</f>
        <v>0</v>
      </c>
      <c r="AE118" s="1061">
        <f>+'雨汚水(共通按分後)'!AE118-雨汚水!AE118</f>
        <v>0</v>
      </c>
      <c r="AF118" s="1380">
        <f>+'雨汚水(共通按分後)'!AF118-雨汚水!AF118</f>
        <v>0</v>
      </c>
      <c r="AG118" s="1043">
        <f>+'雨汚水(共通按分後)'!AG118-雨汚水!AG118</f>
        <v>0</v>
      </c>
      <c r="AH118" s="1062">
        <f>+'雨汚水(共通按分後)'!AH118-雨汚水!AH118</f>
        <v>0</v>
      </c>
      <c r="AI118" s="1058">
        <f>+'雨汚水(共通按分後)'!AI118-雨汚水!AI118</f>
        <v>0</v>
      </c>
      <c r="AJ118" s="1043">
        <f>+'雨汚水(共通按分後)'!AJ118-雨汚水!AJ118</f>
        <v>0</v>
      </c>
      <c r="AK118" s="1057">
        <f>+'雨汚水(共通按分後)'!AK118-雨汚水!AK118</f>
        <v>0</v>
      </c>
      <c r="AL118" s="1056">
        <f>+'雨汚水(共通按分後)'!AL118-雨汚水!AL118</f>
        <v>0</v>
      </c>
    </row>
    <row r="119" spans="4:38">
      <c r="D119" s="1056"/>
      <c r="E119" s="1059">
        <f>+'雨汚水(共通按分後)'!E119-雨汚水!E119</f>
        <v>0</v>
      </c>
      <c r="F119" s="1061">
        <f>+'雨汚水(共通按分後)'!F119-雨汚水!F119</f>
        <v>0</v>
      </c>
      <c r="G119" s="1380">
        <f>+'雨汚水(共通按分後)'!G119-雨汚水!G119</f>
        <v>0</v>
      </c>
      <c r="H119" s="1043">
        <f>+'雨汚水(共通按分後)'!H119-雨汚水!H119</f>
        <v>0</v>
      </c>
      <c r="I119" s="1062">
        <f>+'雨汚水(共通按分後)'!I119-雨汚水!I119</f>
        <v>0</v>
      </c>
      <c r="J119" s="1058">
        <f>+'雨汚水(共通按分後)'!J119-雨汚水!J119</f>
        <v>0</v>
      </c>
      <c r="K119" s="1043">
        <f>+'雨汚水(共通按分後)'!K119-雨汚水!K119</f>
        <v>0</v>
      </c>
      <c r="L119" s="1057">
        <f>+'雨汚水(共通按分後)'!L119-雨汚水!L119</f>
        <v>0</v>
      </c>
      <c r="M119" s="1056">
        <f>+'雨汚水(共通按分後)'!M119-雨汚水!M119</f>
        <v>0</v>
      </c>
      <c r="N119" s="1056"/>
      <c r="O119" s="1029">
        <f>+'雨汚水(共通按分後)'!O119-雨汚水!O119</f>
        <v>0</v>
      </c>
      <c r="P119" s="1028">
        <f>+'雨汚水(共通按分後)'!P119-雨汚水!P119</f>
        <v>0</v>
      </c>
      <c r="Q119" s="1380">
        <f>+'雨汚水(共通按分後)'!Q119-雨汚水!Q119</f>
        <v>0</v>
      </c>
      <c r="R119" s="1043">
        <f>+'雨汚水(共通按分後)'!R119-雨汚水!R119</f>
        <v>0</v>
      </c>
      <c r="S119" s="1062">
        <f>+'雨汚水(共通按分後)'!S119-雨汚水!S119</f>
        <v>0</v>
      </c>
      <c r="T119" s="1058">
        <f>+'雨汚水(共通按分後)'!T119-雨汚水!T119</f>
        <v>0</v>
      </c>
      <c r="U119" s="1043">
        <f>+'雨汚水(共通按分後)'!U119-雨汚水!U119</f>
        <v>0</v>
      </c>
      <c r="V119" s="1057">
        <f>+'雨汚水(共通按分後)'!V119-雨汚水!V119</f>
        <v>0</v>
      </c>
      <c r="W119" s="1025">
        <f>+'雨汚水(共通按分後)'!W119-雨汚水!W119</f>
        <v>0</v>
      </c>
      <c r="X119" s="1056"/>
      <c r="Y119" s="1025">
        <f>+'雨汚水(共通按分後)'!Y119-雨汚水!Y119</f>
        <v>0</v>
      </c>
      <c r="Z119" s="1056">
        <f>+'雨汚水(共通按分後)'!Z119-雨汚水!Z119</f>
        <v>0</v>
      </c>
      <c r="AA119" s="1056">
        <f>+'雨汚水(共通按分後)'!AA119-雨汚水!AA119</f>
        <v>0</v>
      </c>
      <c r="AB119" s="1056">
        <f>+'雨汚水(共通按分後)'!AB119-雨汚水!AB119</f>
        <v>0</v>
      </c>
      <c r="AC119" s="1056">
        <f>+'雨汚水(共通按分後)'!AC119-雨汚水!AC119</f>
        <v>0</v>
      </c>
      <c r="AD119" s="1059">
        <f>+'雨汚水(共通按分後)'!AD119-雨汚水!AD119</f>
        <v>0</v>
      </c>
      <c r="AE119" s="1061">
        <f>+'雨汚水(共通按分後)'!AE119-雨汚水!AE119</f>
        <v>0</v>
      </c>
      <c r="AF119" s="1380">
        <f>+'雨汚水(共通按分後)'!AF119-雨汚水!AF119</f>
        <v>0</v>
      </c>
      <c r="AG119" s="1043">
        <f>+'雨汚水(共通按分後)'!AG119-雨汚水!AG119</f>
        <v>0</v>
      </c>
      <c r="AH119" s="1062">
        <f>+'雨汚水(共通按分後)'!AH119-雨汚水!AH119</f>
        <v>0</v>
      </c>
      <c r="AI119" s="1058">
        <f>+'雨汚水(共通按分後)'!AI119-雨汚水!AI119</f>
        <v>0</v>
      </c>
      <c r="AJ119" s="1043">
        <f>+'雨汚水(共通按分後)'!AJ119-雨汚水!AJ119</f>
        <v>0</v>
      </c>
      <c r="AK119" s="1057">
        <f>+'雨汚水(共通按分後)'!AK119-雨汚水!AK119</f>
        <v>0</v>
      </c>
      <c r="AL119" s="1056">
        <f>+'雨汚水(共通按分後)'!AL119-雨汚水!AL119</f>
        <v>0</v>
      </c>
    </row>
    <row r="120" spans="4:38">
      <c r="D120" s="1056" t="s">
        <v>1477</v>
      </c>
      <c r="E120" s="1059">
        <f>+'雨汚水(共通按分後)'!E120-雨汚水!E120</f>
        <v>0</v>
      </c>
      <c r="F120" s="1058">
        <f>+'雨汚水(共通按分後)'!F120-雨汚水!F120</f>
        <v>0</v>
      </c>
      <c r="G120" s="1380">
        <f>+'雨汚水(共通按分後)'!G120-雨汚水!G120</f>
        <v>0</v>
      </c>
      <c r="H120" s="1043">
        <f>+'雨汚水(共通按分後)'!H120-雨汚水!H120</f>
        <v>9198273</v>
      </c>
      <c r="I120" s="1062">
        <f>+'雨汚水(共通按分後)'!I120-雨汚水!I120</f>
        <v>9198273</v>
      </c>
      <c r="J120" s="1058">
        <f>+'雨汚水(共通按分後)'!J120-雨汚水!J120</f>
        <v>0</v>
      </c>
      <c r="K120" s="1043">
        <f>+'雨汚水(共通按分後)'!K120-雨汚水!K120</f>
        <v>-9198273</v>
      </c>
      <c r="L120" s="1057">
        <f>+'雨汚水(共通按分後)'!L120-雨汚水!L120</f>
        <v>-9198273</v>
      </c>
      <c r="M120" s="1056">
        <f>+'雨汚水(共通按分後)'!M120-雨汚水!M120</f>
        <v>0</v>
      </c>
      <c r="N120" s="1056" t="s">
        <v>1477</v>
      </c>
      <c r="O120" s="1062">
        <f>+'雨汚水(共通按分後)'!O120-雨汚水!O120</f>
        <v>-488049</v>
      </c>
      <c r="P120" s="1058">
        <f>+'雨汚水(共通按分後)'!P120-雨汚水!P120</f>
        <v>0</v>
      </c>
      <c r="Q120" s="1380">
        <f>+'雨汚水(共通按分後)'!Q120-雨汚水!Q120</f>
        <v>0</v>
      </c>
      <c r="R120" s="1043">
        <f>+'雨汚水(共通按分後)'!R120-雨汚水!R120</f>
        <v>8710224</v>
      </c>
      <c r="S120" s="1062">
        <f>+'雨汚水(共通按分後)'!S120-雨汚水!S120</f>
        <v>8710224</v>
      </c>
      <c r="T120" s="1058">
        <f>+'雨汚水(共通按分後)'!T120-雨汚水!T120</f>
        <v>0</v>
      </c>
      <c r="U120" s="1043">
        <f>+'雨汚水(共通按分後)'!U120-雨汚水!U120</f>
        <v>-9198273</v>
      </c>
      <c r="V120" s="1057">
        <f>+'雨汚水(共通按分後)'!V120-雨汚水!V120</f>
        <v>-9198273</v>
      </c>
      <c r="W120" s="1025">
        <f>+'雨汚水(共通按分後)'!W120-雨汚水!W120</f>
        <v>0</v>
      </c>
      <c r="X120" s="1056" t="s">
        <v>1477</v>
      </c>
      <c r="Y120" s="1056">
        <f>+'雨汚水(共通按分後)'!Y120-雨汚水!Y120</f>
        <v>0</v>
      </c>
      <c r="Z120" s="1056">
        <f>+'雨汚水(共通按分後)'!Z120-雨汚水!Z120</f>
        <v>0</v>
      </c>
      <c r="AA120" s="1056">
        <f>+'雨汚水(共通按分後)'!AA120-雨汚水!AA120</f>
        <v>0</v>
      </c>
      <c r="AB120" s="1056">
        <f>+'雨汚水(共通按分後)'!AB120-雨汚水!AB120</f>
        <v>-488049</v>
      </c>
      <c r="AC120" s="1056">
        <f>+'雨汚水(共通按分後)'!AC120-雨汚水!AC120</f>
        <v>488049</v>
      </c>
      <c r="AD120" s="1059">
        <f>+'雨汚水(共通按分後)'!AD120-雨汚水!AD120</f>
        <v>488049</v>
      </c>
      <c r="AE120" s="1058">
        <f>+'雨汚水(共通按分後)'!AE120-雨汚水!AE120</f>
        <v>0</v>
      </c>
      <c r="AF120" s="1380">
        <f>+'雨汚水(共通按分後)'!AF120-雨汚水!AF120</f>
        <v>0</v>
      </c>
      <c r="AG120" s="1043">
        <f>+'雨汚水(共通按分後)'!AG120-雨汚水!AG120</f>
        <v>488049</v>
      </c>
      <c r="AH120" s="1062">
        <f>+'雨汚水(共通按分後)'!AH120-雨汚水!AH120</f>
        <v>488049</v>
      </c>
      <c r="AI120" s="1058">
        <f>+'雨汚水(共通按分後)'!AI120-雨汚水!AI120</f>
        <v>0</v>
      </c>
      <c r="AJ120" s="1043">
        <f>+'雨汚水(共通按分後)'!AJ120-雨汚水!AJ120</f>
        <v>0</v>
      </c>
      <c r="AK120" s="1057">
        <f>+'雨汚水(共通按分後)'!AK120-雨汚水!AK120</f>
        <v>0</v>
      </c>
      <c r="AL120" s="1056">
        <f>+'雨汚水(共通按分後)'!AL120-雨汚水!AL120</f>
        <v>0</v>
      </c>
    </row>
    <row r="121" spans="4:38">
      <c r="D121" s="1056" t="s">
        <v>1475</v>
      </c>
      <c r="E121" s="1059">
        <f>+'雨汚水(共通按分後)'!E121-雨汚水!E121</f>
        <v>0</v>
      </c>
      <c r="F121" s="1058">
        <f>+'雨汚水(共通按分後)'!F121-雨汚水!F121</f>
        <v>0</v>
      </c>
      <c r="G121" s="1380">
        <f>+'雨汚水(共通按分後)'!G121-雨汚水!G121</f>
        <v>0</v>
      </c>
      <c r="H121" s="1043">
        <f>+'雨汚水(共通按分後)'!H121-雨汚水!H121</f>
        <v>0</v>
      </c>
      <c r="I121" s="1062">
        <f>+'雨汚水(共通按分後)'!I121-雨汚水!I121</f>
        <v>0</v>
      </c>
      <c r="J121" s="1058">
        <f>+'雨汚水(共通按分後)'!J121-雨汚水!J121</f>
        <v>0</v>
      </c>
      <c r="K121" s="1043">
        <f>+'雨汚水(共通按分後)'!K121-雨汚水!K121</f>
        <v>0</v>
      </c>
      <c r="L121" s="1057">
        <f>+'雨汚水(共通按分後)'!L121-雨汚水!L121</f>
        <v>0</v>
      </c>
      <c r="M121" s="1056">
        <f>+'雨汚水(共通按分後)'!M121-雨汚水!M121</f>
        <v>0</v>
      </c>
      <c r="N121" s="1056" t="s">
        <v>1475</v>
      </c>
      <c r="O121" s="1062">
        <f>+'雨汚水(共通按分後)'!O121-雨汚水!O121</f>
        <v>0</v>
      </c>
      <c r="P121" s="1058">
        <f>+'雨汚水(共通按分後)'!P121-雨汚水!P121</f>
        <v>0</v>
      </c>
      <c r="Q121" s="1380">
        <f>+'雨汚水(共通按分後)'!Q121-雨汚水!Q121</f>
        <v>0</v>
      </c>
      <c r="R121" s="1043">
        <f>+'雨汚水(共通按分後)'!R121-雨汚水!R121</f>
        <v>0</v>
      </c>
      <c r="S121" s="1062">
        <f>+'雨汚水(共通按分後)'!S121-雨汚水!S121</f>
        <v>0</v>
      </c>
      <c r="T121" s="1058">
        <f>+'雨汚水(共通按分後)'!T121-雨汚水!T121</f>
        <v>0</v>
      </c>
      <c r="U121" s="1043">
        <f>+'雨汚水(共通按分後)'!U121-雨汚水!U121</f>
        <v>0</v>
      </c>
      <c r="V121" s="1057">
        <f>+'雨汚水(共通按分後)'!V121-雨汚水!V121</f>
        <v>0</v>
      </c>
      <c r="W121" s="1025">
        <f>+'雨汚水(共通按分後)'!W121-雨汚水!W121</f>
        <v>0</v>
      </c>
      <c r="X121" s="1056" t="s">
        <v>1475</v>
      </c>
      <c r="Y121" s="1056">
        <f>+'雨汚水(共通按分後)'!Y121-雨汚水!Y121</f>
        <v>0</v>
      </c>
      <c r="Z121" s="1056">
        <f>+'雨汚水(共通按分後)'!Z121-雨汚水!Z121</f>
        <v>0</v>
      </c>
      <c r="AA121" s="1056">
        <f>+'雨汚水(共通按分後)'!AA121-雨汚水!AA121</f>
        <v>0</v>
      </c>
      <c r="AB121" s="1056">
        <f>+'雨汚水(共通按分後)'!AB121-雨汚水!AB121</f>
        <v>0</v>
      </c>
      <c r="AC121" s="1056">
        <f>+'雨汚水(共通按分後)'!AC121-雨汚水!AC121</f>
        <v>0</v>
      </c>
      <c r="AD121" s="1059">
        <f>+'雨汚水(共通按分後)'!AD121-雨汚水!AD121</f>
        <v>0</v>
      </c>
      <c r="AE121" s="1058">
        <f>+'雨汚水(共通按分後)'!AE121-雨汚水!AE121</f>
        <v>0</v>
      </c>
      <c r="AF121" s="1380">
        <f>+'雨汚水(共通按分後)'!AF121-雨汚水!AF121</f>
        <v>0</v>
      </c>
      <c r="AG121" s="1043">
        <f>+'雨汚水(共通按分後)'!AG121-雨汚水!AG121</f>
        <v>0</v>
      </c>
      <c r="AH121" s="1062">
        <f>+'雨汚水(共通按分後)'!AH121-雨汚水!AH121</f>
        <v>0</v>
      </c>
      <c r="AI121" s="1058">
        <f>+'雨汚水(共通按分後)'!AI121-雨汚水!AI121</f>
        <v>0</v>
      </c>
      <c r="AJ121" s="1043">
        <f>+'雨汚水(共通按分後)'!AJ121-雨汚水!AJ121</f>
        <v>0</v>
      </c>
      <c r="AK121" s="1057">
        <f>+'雨汚水(共通按分後)'!AK121-雨汚水!AK121</f>
        <v>0</v>
      </c>
      <c r="AL121" s="1056">
        <f>+'雨汚水(共通按分後)'!AL121-雨汚水!AL121</f>
        <v>0</v>
      </c>
    </row>
    <row r="122" spans="4:38">
      <c r="D122" s="1030" t="s">
        <v>1472</v>
      </c>
      <c r="E122" s="1062">
        <f>+'雨汚水(共通按分後)'!E122-雨汚水!E122</f>
        <v>0</v>
      </c>
      <c r="F122" s="1058">
        <f>+'雨汚水(共通按分後)'!F122-雨汚水!F122</f>
        <v>0</v>
      </c>
      <c r="G122" s="1380">
        <f>+'雨汚水(共通按分後)'!G122-雨汚水!G122</f>
        <v>0</v>
      </c>
      <c r="H122" s="1043">
        <f>+'雨汚水(共通按分後)'!H122-雨汚水!H122</f>
        <v>0</v>
      </c>
      <c r="I122" s="1062">
        <f>+'雨汚水(共通按分後)'!I122-雨汚水!I122</f>
        <v>0</v>
      </c>
      <c r="J122" s="1058">
        <f>+'雨汚水(共通按分後)'!J122-雨汚水!J122</f>
        <v>0</v>
      </c>
      <c r="K122" s="1043">
        <f>+'雨汚水(共通按分後)'!K122-雨汚水!K122</f>
        <v>0</v>
      </c>
      <c r="L122" s="1057">
        <f>+'雨汚水(共通按分後)'!L122-雨汚水!L122</f>
        <v>0</v>
      </c>
      <c r="M122" s="1056">
        <f>+'雨汚水(共通按分後)'!M122-雨汚水!M122</f>
        <v>0</v>
      </c>
      <c r="N122" s="1030" t="s">
        <v>1472</v>
      </c>
      <c r="O122" s="1029">
        <f>+'雨汚水(共通按分後)'!O122-雨汚水!O122</f>
        <v>0</v>
      </c>
      <c r="P122" s="1028">
        <f>+'雨汚水(共通按分後)'!P122-雨汚水!P122</f>
        <v>0</v>
      </c>
      <c r="Q122" s="1379">
        <f>+'雨汚水(共通按分後)'!Q122-雨汚水!Q122</f>
        <v>0</v>
      </c>
      <c r="R122" s="1027">
        <f>+'雨汚水(共通按分後)'!R122-雨汚水!R122</f>
        <v>0</v>
      </c>
      <c r="S122" s="1029">
        <f>+'雨汚水(共通按分後)'!S122-雨汚水!S122</f>
        <v>0</v>
      </c>
      <c r="T122" s="1028">
        <f>+'雨汚水(共通按分後)'!T122-雨汚水!T122</f>
        <v>0</v>
      </c>
      <c r="U122" s="1043">
        <f>+'雨汚水(共通按分後)'!U122-雨汚水!U122</f>
        <v>0</v>
      </c>
      <c r="V122" s="1026">
        <f>+'雨汚水(共通按分後)'!V122-雨汚水!V122</f>
        <v>0</v>
      </c>
      <c r="W122" s="1025">
        <f>+'雨汚水(共通按分後)'!W122-雨汚水!W122</f>
        <v>0</v>
      </c>
      <c r="X122" s="1030" t="s">
        <v>1472</v>
      </c>
      <c r="Y122" s="1056">
        <f>+'雨汚水(共通按分後)'!Y122-雨汚水!Y122</f>
        <v>0</v>
      </c>
      <c r="Z122" s="1056">
        <f>+'雨汚水(共通按分後)'!Z122-雨汚水!Z122</f>
        <v>0</v>
      </c>
      <c r="AA122" s="1056">
        <f>+'雨汚水(共通按分後)'!AA122-雨汚水!AA122</f>
        <v>0</v>
      </c>
      <c r="AB122" s="1056">
        <f>+'雨汚水(共通按分後)'!AB122-雨汚水!AB122</f>
        <v>0</v>
      </c>
      <c r="AC122" s="1056">
        <f>+'雨汚水(共通按分後)'!AC122-雨汚水!AC122</f>
        <v>0</v>
      </c>
      <c r="AD122" s="1059">
        <f>+'雨汚水(共通按分後)'!AD122-雨汚水!AD122</f>
        <v>0</v>
      </c>
      <c r="AE122" s="1061">
        <f>+'雨汚水(共通按分後)'!AE122-雨汚水!AE122</f>
        <v>0</v>
      </c>
      <c r="AF122" s="1380">
        <f>+'雨汚水(共通按分後)'!AF122-雨汚水!AF122</f>
        <v>0</v>
      </c>
      <c r="AG122" s="1043">
        <f>+'雨汚水(共通按分後)'!AG122-雨汚水!AG122</f>
        <v>0</v>
      </c>
      <c r="AH122" s="1062">
        <f>+'雨汚水(共通按分後)'!AH122-雨汚水!AH122</f>
        <v>0</v>
      </c>
      <c r="AI122" s="1058">
        <f>+'雨汚水(共通按分後)'!AI122-雨汚水!AI122</f>
        <v>0</v>
      </c>
      <c r="AJ122" s="1043">
        <f>+'雨汚水(共通按分後)'!AJ122-雨汚水!AJ122</f>
        <v>0</v>
      </c>
      <c r="AK122" s="1057">
        <f>+'雨汚水(共通按分後)'!AK122-雨汚水!AK122</f>
        <v>0</v>
      </c>
      <c r="AL122" s="1056">
        <f>+'雨汚水(共通按分後)'!AL122-雨汚水!AL122</f>
        <v>0</v>
      </c>
    </row>
    <row r="123" spans="4:38">
      <c r="D123" s="1030" t="s">
        <v>1470</v>
      </c>
      <c r="E123" s="1062">
        <f>+'雨汚水(共通按分後)'!E123-雨汚水!E123</f>
        <v>0</v>
      </c>
      <c r="F123" s="1058">
        <f>+'雨汚水(共通按分後)'!F123-雨汚水!F123</f>
        <v>0</v>
      </c>
      <c r="G123" s="1380">
        <f>+'雨汚水(共通按分後)'!G123-雨汚水!G123</f>
        <v>0</v>
      </c>
      <c r="H123" s="1043">
        <f>+'雨汚水(共通按分後)'!H123-雨汚水!H123</f>
        <v>0</v>
      </c>
      <c r="I123" s="1062">
        <f>+'雨汚水(共通按分後)'!I123-雨汚水!I123</f>
        <v>0</v>
      </c>
      <c r="J123" s="1058">
        <f>+'雨汚水(共通按分後)'!J123-雨汚水!J123</f>
        <v>0</v>
      </c>
      <c r="K123" s="1043">
        <f>+'雨汚水(共通按分後)'!K123-雨汚水!K123</f>
        <v>0</v>
      </c>
      <c r="L123" s="1057">
        <f>+'雨汚水(共通按分後)'!L123-雨汚水!L123</f>
        <v>0</v>
      </c>
      <c r="M123" s="1056">
        <f>+'雨汚水(共通按分後)'!M123-雨汚水!M123</f>
        <v>0</v>
      </c>
      <c r="N123" s="1030" t="s">
        <v>1470</v>
      </c>
      <c r="O123" s="1029">
        <f>+'雨汚水(共通按分後)'!O123-雨汚水!O123</f>
        <v>0</v>
      </c>
      <c r="P123" s="1028">
        <f>+'雨汚水(共通按分後)'!P123-雨汚水!P123</f>
        <v>0</v>
      </c>
      <c r="Q123" s="1379">
        <f>+'雨汚水(共通按分後)'!Q123-雨汚水!Q123</f>
        <v>0</v>
      </c>
      <c r="R123" s="1027">
        <f>+'雨汚水(共通按分後)'!R123-雨汚水!R123</f>
        <v>0</v>
      </c>
      <c r="S123" s="1029">
        <f>+'雨汚水(共通按分後)'!S123-雨汚水!S123</f>
        <v>0</v>
      </c>
      <c r="T123" s="1028">
        <f>+'雨汚水(共通按分後)'!T123-雨汚水!T123</f>
        <v>0</v>
      </c>
      <c r="U123" s="1043">
        <f>+'雨汚水(共通按分後)'!U123-雨汚水!U123</f>
        <v>0</v>
      </c>
      <c r="V123" s="1026">
        <f>+'雨汚水(共通按分後)'!V123-雨汚水!V123</f>
        <v>0</v>
      </c>
      <c r="W123" s="1025">
        <f>+'雨汚水(共通按分後)'!W123-雨汚水!W123</f>
        <v>0</v>
      </c>
      <c r="X123" s="1030" t="s">
        <v>1470</v>
      </c>
      <c r="Y123" s="1056">
        <f>+'雨汚水(共通按分後)'!Y123-雨汚水!Y123</f>
        <v>0</v>
      </c>
      <c r="Z123" s="1056">
        <f>+'雨汚水(共通按分後)'!Z123-雨汚水!Z123</f>
        <v>0</v>
      </c>
      <c r="AA123" s="1056">
        <f>+'雨汚水(共通按分後)'!AA123-雨汚水!AA123</f>
        <v>0</v>
      </c>
      <c r="AB123" s="1056">
        <f>+'雨汚水(共通按分後)'!AB123-雨汚水!AB123</f>
        <v>0</v>
      </c>
      <c r="AC123" s="1056">
        <f>+'雨汚水(共通按分後)'!AC123-雨汚水!AC123</f>
        <v>0</v>
      </c>
      <c r="AD123" s="1059">
        <f>+'雨汚水(共通按分後)'!AD123-雨汚水!AD123</f>
        <v>0</v>
      </c>
      <c r="AE123" s="1061">
        <f>+'雨汚水(共通按分後)'!AE123-雨汚水!AE123</f>
        <v>0</v>
      </c>
      <c r="AF123" s="1380">
        <f>+'雨汚水(共通按分後)'!AF123-雨汚水!AF123</f>
        <v>0</v>
      </c>
      <c r="AG123" s="1043">
        <f>+'雨汚水(共通按分後)'!AG123-雨汚水!AG123</f>
        <v>0</v>
      </c>
      <c r="AH123" s="1062">
        <f>+'雨汚水(共通按分後)'!AH123-雨汚水!AH123</f>
        <v>0</v>
      </c>
      <c r="AI123" s="1058">
        <f>+'雨汚水(共通按分後)'!AI123-雨汚水!AI123</f>
        <v>0</v>
      </c>
      <c r="AJ123" s="1043">
        <f>+'雨汚水(共通按分後)'!AJ123-雨汚水!AJ123</f>
        <v>0</v>
      </c>
      <c r="AK123" s="1057">
        <f>+'雨汚水(共通按分後)'!AK123-雨汚水!AK123</f>
        <v>0</v>
      </c>
      <c r="AL123" s="1056">
        <f>+'雨汚水(共通按分後)'!AL123-雨汚水!AL123</f>
        <v>0</v>
      </c>
    </row>
    <row r="124" spans="4:38">
      <c r="D124" s="1030" t="s">
        <v>1469</v>
      </c>
      <c r="E124" s="1062">
        <f>+'雨汚水(共通按分後)'!E124-雨汚水!E124</f>
        <v>0</v>
      </c>
      <c r="F124" s="1058">
        <f>+'雨汚水(共通按分後)'!F124-雨汚水!F124</f>
        <v>0</v>
      </c>
      <c r="G124" s="1380">
        <f>+'雨汚水(共通按分後)'!G124-雨汚水!G124</f>
        <v>0</v>
      </c>
      <c r="H124" s="1043">
        <f>+'雨汚水(共通按分後)'!H124-雨汚水!H124</f>
        <v>0</v>
      </c>
      <c r="I124" s="1062">
        <f>+'雨汚水(共通按分後)'!I124-雨汚水!I124</f>
        <v>0</v>
      </c>
      <c r="J124" s="1058">
        <f>+'雨汚水(共通按分後)'!J124-雨汚水!J124</f>
        <v>0</v>
      </c>
      <c r="K124" s="1043">
        <f>+'雨汚水(共通按分後)'!K124-雨汚水!K124</f>
        <v>0</v>
      </c>
      <c r="L124" s="1057">
        <f>+'雨汚水(共通按分後)'!L124-雨汚水!L124</f>
        <v>0</v>
      </c>
      <c r="M124" s="1056">
        <f>+'雨汚水(共通按分後)'!M124-雨汚水!M124</f>
        <v>0</v>
      </c>
      <c r="N124" s="1030" t="s">
        <v>1469</v>
      </c>
      <c r="O124" s="1029">
        <f>+'雨汚水(共通按分後)'!O124-雨汚水!O124</f>
        <v>0</v>
      </c>
      <c r="P124" s="1058">
        <f>+'雨汚水(共通按分後)'!P124-雨汚水!P124</f>
        <v>0</v>
      </c>
      <c r="Q124" s="1380">
        <f>+'雨汚水(共通按分後)'!Q124-雨汚水!Q124</f>
        <v>0</v>
      </c>
      <c r="R124" s="1027">
        <f>+'雨汚水(共通按分後)'!R124-雨汚水!R124</f>
        <v>0</v>
      </c>
      <c r="S124" s="1029">
        <f>+'雨汚水(共通按分後)'!S124-雨汚水!S124</f>
        <v>0</v>
      </c>
      <c r="T124" s="1028">
        <f>+'雨汚水(共通按分後)'!T124-雨汚水!T124</f>
        <v>0</v>
      </c>
      <c r="U124" s="1043">
        <f>+'雨汚水(共通按分後)'!U124-雨汚水!U124</f>
        <v>0</v>
      </c>
      <c r="V124" s="1026">
        <f>+'雨汚水(共通按分後)'!V124-雨汚水!V124</f>
        <v>0</v>
      </c>
      <c r="W124" s="1025">
        <f>+'雨汚水(共通按分後)'!W124-雨汚水!W124</f>
        <v>0</v>
      </c>
      <c r="X124" s="1030" t="s">
        <v>1469</v>
      </c>
      <c r="Y124" s="1056">
        <f>+'雨汚水(共通按分後)'!Y124-雨汚水!Y124</f>
        <v>0</v>
      </c>
      <c r="Z124" s="1056">
        <f>+'雨汚水(共通按分後)'!Z124-雨汚水!Z124</f>
        <v>0</v>
      </c>
      <c r="AA124" s="1056">
        <f>+'雨汚水(共通按分後)'!AA124-雨汚水!AA124</f>
        <v>0</v>
      </c>
      <c r="AB124" s="1056">
        <f>+'雨汚水(共通按分後)'!AB124-雨汚水!AB124</f>
        <v>0</v>
      </c>
      <c r="AC124" s="1056">
        <f>+'雨汚水(共通按分後)'!AC124-雨汚水!AC124</f>
        <v>0</v>
      </c>
      <c r="AD124" s="1059">
        <f>+'雨汚水(共通按分後)'!AD124-雨汚水!AD124</f>
        <v>0</v>
      </c>
      <c r="AE124" s="1061">
        <f>+'雨汚水(共通按分後)'!AE124-雨汚水!AE124</f>
        <v>0</v>
      </c>
      <c r="AF124" s="1380">
        <f>+'雨汚水(共通按分後)'!AF124-雨汚水!AF124</f>
        <v>0</v>
      </c>
      <c r="AG124" s="1043">
        <f>+'雨汚水(共通按分後)'!AG124-雨汚水!AG124</f>
        <v>0</v>
      </c>
      <c r="AH124" s="1062">
        <f>+'雨汚水(共通按分後)'!AH124-雨汚水!AH124</f>
        <v>0</v>
      </c>
      <c r="AI124" s="1058">
        <f>+'雨汚水(共通按分後)'!AI124-雨汚水!AI124</f>
        <v>0</v>
      </c>
      <c r="AJ124" s="1043">
        <f>+'雨汚水(共通按分後)'!AJ124-雨汚水!AJ124</f>
        <v>0</v>
      </c>
      <c r="AK124" s="1057">
        <f>+'雨汚水(共通按分後)'!AK124-雨汚水!AK124</f>
        <v>0</v>
      </c>
      <c r="AL124" s="1056">
        <f>+'雨汚水(共通按分後)'!AL124-雨汚水!AL124</f>
        <v>0</v>
      </c>
    </row>
    <row r="125" spans="4:38">
      <c r="D125" s="1030" t="s">
        <v>1466</v>
      </c>
      <c r="E125" s="1062">
        <f>+'雨汚水(共通按分後)'!E125-雨汚水!E125</f>
        <v>0</v>
      </c>
      <c r="F125" s="1058">
        <f>+'雨汚水(共通按分後)'!F125-雨汚水!F125</f>
        <v>0</v>
      </c>
      <c r="G125" s="1380">
        <f>+'雨汚水(共通按分後)'!G125-雨汚水!G125</f>
        <v>0</v>
      </c>
      <c r="H125" s="1043">
        <f>+'雨汚水(共通按分後)'!H125-雨汚水!H125</f>
        <v>0</v>
      </c>
      <c r="I125" s="1062">
        <f>+'雨汚水(共通按分後)'!I125-雨汚水!I125</f>
        <v>0</v>
      </c>
      <c r="J125" s="1058">
        <f>+'雨汚水(共通按分後)'!J125-雨汚水!J125</f>
        <v>0</v>
      </c>
      <c r="K125" s="1043">
        <f>+'雨汚水(共通按分後)'!K125-雨汚水!K125</f>
        <v>0</v>
      </c>
      <c r="L125" s="1057">
        <f>+'雨汚水(共通按分後)'!L125-雨汚水!L125</f>
        <v>0</v>
      </c>
      <c r="M125" s="1056">
        <f>+'雨汚水(共通按分後)'!M125-雨汚水!M125</f>
        <v>0</v>
      </c>
      <c r="N125" s="1030" t="s">
        <v>1466</v>
      </c>
      <c r="O125" s="1029">
        <f>+'雨汚水(共通按分後)'!O125-雨汚水!O125</f>
        <v>0</v>
      </c>
      <c r="P125" s="1028">
        <f>+'雨汚水(共通按分後)'!P125-雨汚水!P125</f>
        <v>0</v>
      </c>
      <c r="Q125" s="1379">
        <f>+'雨汚水(共通按分後)'!Q125-雨汚水!Q125</f>
        <v>0</v>
      </c>
      <c r="R125" s="1027">
        <f>+'雨汚水(共通按分後)'!R125-雨汚水!R125</f>
        <v>0</v>
      </c>
      <c r="S125" s="1029">
        <f>+'雨汚水(共通按分後)'!S125-雨汚水!S125</f>
        <v>0</v>
      </c>
      <c r="T125" s="1028">
        <f>+'雨汚水(共通按分後)'!T125-雨汚水!T125</f>
        <v>0</v>
      </c>
      <c r="U125" s="1027">
        <f>+'雨汚水(共通按分後)'!U125-雨汚水!U125</f>
        <v>0</v>
      </c>
      <c r="V125" s="1026">
        <f>+'雨汚水(共通按分後)'!V125-雨汚水!V125</f>
        <v>0</v>
      </c>
      <c r="W125" s="1025">
        <f>+'雨汚水(共通按分後)'!W125-雨汚水!W125</f>
        <v>0</v>
      </c>
      <c r="X125" s="1030" t="s">
        <v>1466</v>
      </c>
      <c r="Y125" s="1025">
        <f>+'雨汚水(共通按分後)'!Y125-雨汚水!Y125</f>
        <v>0</v>
      </c>
      <c r="Z125" s="1056">
        <f>+'雨汚水(共通按分後)'!Z125-雨汚水!Z125</f>
        <v>0</v>
      </c>
      <c r="AA125" s="1056">
        <f>+'雨汚水(共通按分後)'!AA125-雨汚水!AA125</f>
        <v>0</v>
      </c>
      <c r="AB125" s="1056">
        <f>+'雨汚水(共通按分後)'!AB125-雨汚水!AB125</f>
        <v>0</v>
      </c>
      <c r="AC125" s="1056">
        <f>+'雨汚水(共通按分後)'!AC125-雨汚水!AC125</f>
        <v>0</v>
      </c>
      <c r="AD125" s="1059">
        <f>+'雨汚水(共通按分後)'!AD125-雨汚水!AD125</f>
        <v>0</v>
      </c>
      <c r="AE125" s="1061">
        <f>+'雨汚水(共通按分後)'!AE125-雨汚水!AE125</f>
        <v>0</v>
      </c>
      <c r="AF125" s="1380">
        <f>+'雨汚水(共通按分後)'!AF125-雨汚水!AF125</f>
        <v>0</v>
      </c>
      <c r="AG125" s="1043">
        <f>+'雨汚水(共通按分後)'!AG125-雨汚水!AG125</f>
        <v>0</v>
      </c>
      <c r="AH125" s="1062">
        <f>+'雨汚水(共通按分後)'!AH125-雨汚水!AH125</f>
        <v>0</v>
      </c>
      <c r="AI125" s="1058">
        <f>+'雨汚水(共通按分後)'!AI125-雨汚水!AI125</f>
        <v>0</v>
      </c>
      <c r="AJ125" s="1043">
        <f>+'雨汚水(共通按分後)'!AJ125-雨汚水!AJ125</f>
        <v>0</v>
      </c>
      <c r="AK125" s="1057">
        <f>+'雨汚水(共通按分後)'!AK125-雨汚水!AK125</f>
        <v>0</v>
      </c>
      <c r="AL125" s="1056">
        <f>+'雨汚水(共通按分後)'!AL125-雨汚水!AL125</f>
        <v>0</v>
      </c>
    </row>
    <row r="126" spans="4:38">
      <c r="D126" s="1030" t="s">
        <v>1464</v>
      </c>
      <c r="E126" s="1059">
        <f>+'雨汚水(共通按分後)'!E126-雨汚水!E126</f>
        <v>0</v>
      </c>
      <c r="F126" s="1058">
        <f>+'雨汚水(共通按分後)'!F126-雨汚水!F126</f>
        <v>0</v>
      </c>
      <c r="G126" s="1380">
        <f>+'雨汚水(共通按分後)'!G126-雨汚水!G126</f>
        <v>0</v>
      </c>
      <c r="H126" s="1043">
        <f>+'雨汚水(共通按分後)'!H126-雨汚水!H126</f>
        <v>9198273</v>
      </c>
      <c r="I126" s="1062">
        <f>+'雨汚水(共通按分後)'!I126-雨汚水!I126</f>
        <v>9198273</v>
      </c>
      <c r="J126" s="1058">
        <f>+'雨汚水(共通按分後)'!J126-雨汚水!J126</f>
        <v>0</v>
      </c>
      <c r="K126" s="1043">
        <f>+'雨汚水(共通按分後)'!K126-雨汚水!K126</f>
        <v>-9198273</v>
      </c>
      <c r="L126" s="1057">
        <f>+'雨汚水(共通按分後)'!L126-雨汚水!L126</f>
        <v>-9198273</v>
      </c>
      <c r="M126" s="1056">
        <f>+'雨汚水(共通按分後)'!M126-雨汚水!M126</f>
        <v>0</v>
      </c>
      <c r="N126" s="1030" t="s">
        <v>1464</v>
      </c>
      <c r="O126" s="1029">
        <f>+'雨汚水(共通按分後)'!O126-雨汚水!O126</f>
        <v>-488049</v>
      </c>
      <c r="P126" s="1028">
        <f>+'雨汚水(共通按分後)'!P126-雨汚水!P126</f>
        <v>0</v>
      </c>
      <c r="Q126" s="1379">
        <f>+'雨汚水(共通按分後)'!Q126-雨汚水!Q126</f>
        <v>0</v>
      </c>
      <c r="R126" s="1027">
        <f>+'雨汚水(共通按分後)'!R126-雨汚水!R126</f>
        <v>8710224</v>
      </c>
      <c r="S126" s="1029">
        <f>+'雨汚水(共通按分後)'!S126-雨汚水!S126</f>
        <v>8710224</v>
      </c>
      <c r="T126" s="1028">
        <f>+'雨汚水(共通按分後)'!T126-雨汚水!T126</f>
        <v>0</v>
      </c>
      <c r="U126" s="1027">
        <f>+'雨汚水(共通按分後)'!U126-雨汚水!U126</f>
        <v>-9198273</v>
      </c>
      <c r="V126" s="1026">
        <f>+'雨汚水(共通按分後)'!V126-雨汚水!V126</f>
        <v>-9198273</v>
      </c>
      <c r="W126" s="1025">
        <f>+'雨汚水(共通按分後)'!W126-雨汚水!W126</f>
        <v>0</v>
      </c>
      <c r="X126" s="1030" t="s">
        <v>1464</v>
      </c>
      <c r="Y126" s="1025">
        <f>+'雨汚水(共通按分後)'!Y126-雨汚水!Y126</f>
        <v>0</v>
      </c>
      <c r="Z126" s="1056">
        <f>+'雨汚水(共通按分後)'!Z126-雨汚水!Z126</f>
        <v>0</v>
      </c>
      <c r="AA126" s="1056">
        <f>+'雨汚水(共通按分後)'!AA126-雨汚水!AA126</f>
        <v>0</v>
      </c>
      <c r="AB126" s="1056">
        <f>+'雨汚水(共通按分後)'!AB126-雨汚水!AB126</f>
        <v>-488049</v>
      </c>
      <c r="AC126" s="1056">
        <f>+'雨汚水(共通按分後)'!AC126-雨汚水!AC126</f>
        <v>488049</v>
      </c>
      <c r="AD126" s="1059">
        <f>+'雨汚水(共通按分後)'!AD126-雨汚水!AD126</f>
        <v>488049</v>
      </c>
      <c r="AE126" s="1061">
        <f>+'雨汚水(共通按分後)'!AE126-雨汚水!AE126</f>
        <v>0</v>
      </c>
      <c r="AF126" s="1380">
        <f>+'雨汚水(共通按分後)'!AF126-雨汚水!AF126</f>
        <v>0</v>
      </c>
      <c r="AG126" s="1043">
        <f>+'雨汚水(共通按分後)'!AG126-雨汚水!AG126</f>
        <v>488049</v>
      </c>
      <c r="AH126" s="1062">
        <f>+'雨汚水(共通按分後)'!AH126-雨汚水!AH126</f>
        <v>488049</v>
      </c>
      <c r="AI126" s="1058">
        <f>+'雨汚水(共通按分後)'!AI126-雨汚水!AI126</f>
        <v>0</v>
      </c>
      <c r="AJ126" s="1043">
        <f>+'雨汚水(共通按分後)'!AJ126-雨汚水!AJ126</f>
        <v>0</v>
      </c>
      <c r="AK126" s="1057">
        <f>+'雨汚水(共通按分後)'!AK126-雨汚水!AK126</f>
        <v>0</v>
      </c>
      <c r="AL126" s="1056">
        <f>+'雨汚水(共通按分後)'!AL126-雨汚水!AL126</f>
        <v>0</v>
      </c>
    </row>
    <row r="127" spans="4:38">
      <c r="D127" s="1030"/>
      <c r="E127" s="1059">
        <f>+'雨汚水(共通按分後)'!E127-雨汚水!E127</f>
        <v>0</v>
      </c>
      <c r="F127" s="1058">
        <f>+'雨汚水(共通按分後)'!F127-雨汚水!F127</f>
        <v>0</v>
      </c>
      <c r="G127" s="1380">
        <f>+'雨汚水(共通按分後)'!G127-雨汚水!G127</f>
        <v>0</v>
      </c>
      <c r="H127" s="1043">
        <f>+'雨汚水(共通按分後)'!H127-雨汚水!H127</f>
        <v>0</v>
      </c>
      <c r="I127" s="1062">
        <f>+'雨汚水(共通按分後)'!I127-雨汚水!I127</f>
        <v>0</v>
      </c>
      <c r="J127" s="1058">
        <f>+'雨汚水(共通按分後)'!J127-雨汚水!J127</f>
        <v>0</v>
      </c>
      <c r="K127" s="1043">
        <f>+'雨汚水(共通按分後)'!K127-雨汚水!K127</f>
        <v>0</v>
      </c>
      <c r="L127" s="1057">
        <f>+'雨汚水(共通按分後)'!L127-雨汚水!L127</f>
        <v>0</v>
      </c>
      <c r="M127" s="1056">
        <f>+'雨汚水(共通按分後)'!M127-雨汚水!M127</f>
        <v>0</v>
      </c>
      <c r="N127" s="1030"/>
      <c r="O127" s="1029">
        <f>+'雨汚水(共通按分後)'!O127-雨汚水!O127</f>
        <v>0</v>
      </c>
      <c r="P127" s="1028">
        <f>+'雨汚水(共通按分後)'!P127-雨汚水!P127</f>
        <v>0</v>
      </c>
      <c r="Q127" s="1379">
        <f>+'雨汚水(共通按分後)'!Q127-雨汚水!Q127</f>
        <v>0</v>
      </c>
      <c r="R127" s="1027">
        <f>+'雨汚水(共通按分後)'!R127-雨汚水!R127</f>
        <v>0</v>
      </c>
      <c r="S127" s="1029">
        <f>+'雨汚水(共通按分後)'!S127-雨汚水!S127</f>
        <v>0</v>
      </c>
      <c r="T127" s="1028">
        <f>+'雨汚水(共通按分後)'!T127-雨汚水!T127</f>
        <v>0</v>
      </c>
      <c r="U127" s="1027">
        <f>+'雨汚水(共通按分後)'!U127-雨汚水!U127</f>
        <v>0</v>
      </c>
      <c r="V127" s="1026">
        <f>+'雨汚水(共通按分後)'!V127-雨汚水!V127</f>
        <v>0</v>
      </c>
      <c r="W127" s="1025">
        <f>+'雨汚水(共通按分後)'!W127-雨汚水!W127</f>
        <v>0</v>
      </c>
      <c r="X127" s="1030"/>
      <c r="Y127" s="1032">
        <f>+'雨汚水(共通按分後)'!Y127-雨汚水!Y127</f>
        <v>0</v>
      </c>
      <c r="Z127" s="1056">
        <f>+'雨汚水(共通按分後)'!Z127-雨汚水!Z127</f>
        <v>0</v>
      </c>
      <c r="AA127" s="1056">
        <f>+'雨汚水(共通按分後)'!AA127-雨汚水!AA127</f>
        <v>0</v>
      </c>
      <c r="AB127" s="1056">
        <f>+'雨汚水(共通按分後)'!AB127-雨汚水!AB127</f>
        <v>0</v>
      </c>
      <c r="AC127" s="1056">
        <f>+'雨汚水(共通按分後)'!AC127-雨汚水!AC127</f>
        <v>0</v>
      </c>
      <c r="AD127" s="1059">
        <f>+'雨汚水(共通按分後)'!AD127-雨汚水!AD127</f>
        <v>0</v>
      </c>
      <c r="AE127" s="1061">
        <f>+'雨汚水(共通按分後)'!AE127-雨汚水!AE127</f>
        <v>0</v>
      </c>
      <c r="AF127" s="1380">
        <f>+'雨汚水(共通按分後)'!AF127-雨汚水!AF127</f>
        <v>0</v>
      </c>
      <c r="AG127" s="1043">
        <f>+'雨汚水(共通按分後)'!AG127-雨汚水!AG127</f>
        <v>0</v>
      </c>
      <c r="AH127" s="1062">
        <f>+'雨汚水(共通按分後)'!AH127-雨汚水!AH127</f>
        <v>0</v>
      </c>
      <c r="AI127" s="1058">
        <f>+'雨汚水(共通按分後)'!AI127-雨汚水!AI127</f>
        <v>0</v>
      </c>
      <c r="AJ127" s="1043">
        <f>+'雨汚水(共通按分後)'!AJ127-雨汚水!AJ127</f>
        <v>0</v>
      </c>
      <c r="AK127" s="1057">
        <f>+'雨汚水(共通按分後)'!AK127-雨汚水!AK127</f>
        <v>0</v>
      </c>
      <c r="AL127" s="1056">
        <f>+'雨汚水(共通按分後)'!AL127-雨汚水!AL127</f>
        <v>0</v>
      </c>
    </row>
    <row r="128" spans="4:38">
      <c r="D128" s="1030"/>
      <c r="E128" s="1059">
        <f>+'雨汚水(共通按分後)'!E128-雨汚水!E128</f>
        <v>0</v>
      </c>
      <c r="F128" s="1058">
        <f>+'雨汚水(共通按分後)'!F128-雨汚水!F128</f>
        <v>0</v>
      </c>
      <c r="G128" s="1380">
        <f>+'雨汚水(共通按分後)'!G128-雨汚水!G128</f>
        <v>0</v>
      </c>
      <c r="H128" s="1043">
        <f>+'雨汚水(共通按分後)'!H128-雨汚水!H128</f>
        <v>0</v>
      </c>
      <c r="I128" s="1062">
        <f>+'雨汚水(共通按分後)'!I128-雨汚水!I128</f>
        <v>0</v>
      </c>
      <c r="J128" s="1058">
        <f>+'雨汚水(共通按分後)'!J128-雨汚水!J128</f>
        <v>0</v>
      </c>
      <c r="K128" s="1043">
        <f>+'雨汚水(共通按分後)'!K128-雨汚水!K128</f>
        <v>0</v>
      </c>
      <c r="L128" s="1057">
        <f>+'雨汚水(共通按分後)'!L128-雨汚水!L128</f>
        <v>0</v>
      </c>
      <c r="M128" s="1056">
        <f>+'雨汚水(共通按分後)'!M128-雨汚水!M128</f>
        <v>0</v>
      </c>
      <c r="N128" s="1030"/>
      <c r="O128" s="1029">
        <f>+'雨汚水(共通按分後)'!O128-雨汚水!O128</f>
        <v>0</v>
      </c>
      <c r="P128" s="1028">
        <f>+'雨汚水(共通按分後)'!P128-雨汚水!P128</f>
        <v>0</v>
      </c>
      <c r="Q128" s="1379">
        <f>+'雨汚水(共通按分後)'!Q128-雨汚水!Q128</f>
        <v>0</v>
      </c>
      <c r="R128" s="1027">
        <f>+'雨汚水(共通按分後)'!R128-雨汚水!R128</f>
        <v>0</v>
      </c>
      <c r="S128" s="1029">
        <f>+'雨汚水(共通按分後)'!S128-雨汚水!S128</f>
        <v>0</v>
      </c>
      <c r="T128" s="1028">
        <f>+'雨汚水(共通按分後)'!T128-雨汚水!T128</f>
        <v>0</v>
      </c>
      <c r="U128" s="1027">
        <f>+'雨汚水(共通按分後)'!U128-雨汚水!U128</f>
        <v>0</v>
      </c>
      <c r="V128" s="1026">
        <f>+'雨汚水(共通按分後)'!V128-雨汚水!V128</f>
        <v>0</v>
      </c>
      <c r="W128" s="1025">
        <f>+'雨汚水(共通按分後)'!W128-雨汚水!W128</f>
        <v>0</v>
      </c>
      <c r="X128" s="1453" t="s">
        <v>1528</v>
      </c>
      <c r="Y128" s="1059">
        <f>+'雨汚水(共通按分後)'!Y128-雨汚水!Y128</f>
        <v>0</v>
      </c>
      <c r="Z128" s="1056">
        <f>+'雨汚水(共通按分後)'!Z128-雨汚水!Z128</f>
        <v>0</v>
      </c>
      <c r="AA128" s="1056">
        <f>+'雨汚水(共通按分後)'!AA128-雨汚水!AA128</f>
        <v>0</v>
      </c>
      <c r="AB128" s="1056">
        <f>+'雨汚水(共通按分後)'!AB128-雨汚水!AB128</f>
        <v>0</v>
      </c>
      <c r="AC128" s="1056">
        <f>+'雨汚水(共通按分後)'!AC128-雨汚水!AC128</f>
        <v>0</v>
      </c>
      <c r="AD128" s="1059">
        <f>+'雨汚水(共通按分後)'!AD128-雨汚水!AD128</f>
        <v>0</v>
      </c>
      <c r="AE128" s="1061">
        <f>+'雨汚水(共通按分後)'!AE128-雨汚水!AE128</f>
        <v>0</v>
      </c>
      <c r="AF128" s="1380">
        <f>+'雨汚水(共通按分後)'!AF128-雨汚水!AF128</f>
        <v>0</v>
      </c>
      <c r="AG128" s="1043">
        <f>+'雨汚水(共通按分後)'!AG128-雨汚水!AG128</f>
        <v>0</v>
      </c>
      <c r="AH128" s="1062">
        <f>+'雨汚水(共通按分後)'!AH128-雨汚水!AH128</f>
        <v>0</v>
      </c>
      <c r="AI128" s="1058">
        <f>+'雨汚水(共通按分後)'!AI128-雨汚水!AI128</f>
        <v>0</v>
      </c>
      <c r="AJ128" s="1043">
        <f>+'雨汚水(共通按分後)'!AJ128-雨汚水!AJ128</f>
        <v>0</v>
      </c>
      <c r="AK128" s="1057">
        <f>+'雨汚水(共通按分後)'!AK128-雨汚水!AK128</f>
        <v>0</v>
      </c>
      <c r="AL128" s="1056">
        <f>+'雨汚水(共通按分後)'!AL128-雨汚水!AL128</f>
        <v>0</v>
      </c>
    </row>
    <row r="129" spans="4:38" ht="14.25" thickBot="1">
      <c r="D129" s="1020"/>
      <c r="E129" s="1455">
        <f>+'雨汚水(共通按分後)'!E129-雨汚水!E129</f>
        <v>0</v>
      </c>
      <c r="F129" s="1456">
        <f>+'雨汚水(共通按分後)'!F129-雨汚水!F129</f>
        <v>0</v>
      </c>
      <c r="G129" s="1457">
        <f>+'雨汚水(共通按分後)'!G129-雨汚水!G129</f>
        <v>0</v>
      </c>
      <c r="H129" s="1458">
        <f>+'雨汚水(共通按分後)'!H129-雨汚水!H129</f>
        <v>0</v>
      </c>
      <c r="I129" s="1459">
        <f>+'雨汚水(共通按分後)'!I129-雨汚水!I129</f>
        <v>0</v>
      </c>
      <c r="J129" s="1456">
        <f>+'雨汚水(共通按分後)'!J129-雨汚水!J129</f>
        <v>0</v>
      </c>
      <c r="K129" s="1458">
        <f>+'雨汚水(共通按分後)'!K129-雨汚水!K129</f>
        <v>0</v>
      </c>
      <c r="L129" s="1460">
        <f>+'雨汚水(共通按分後)'!L129-雨汚水!L129</f>
        <v>0</v>
      </c>
      <c r="M129" s="1461">
        <f>+'雨汚水(共通按分後)'!M129-雨汚水!M129</f>
        <v>0</v>
      </c>
      <c r="N129" s="1020"/>
      <c r="O129" s="1019">
        <f>+'雨汚水(共通按分後)'!O129-雨汚水!O129</f>
        <v>0</v>
      </c>
      <c r="P129" s="1018">
        <f>+'雨汚水(共通按分後)'!P129-雨汚水!P129</f>
        <v>0</v>
      </c>
      <c r="Q129" s="1403">
        <f>+'雨汚水(共通按分後)'!Q129-雨汚水!Q129</f>
        <v>0</v>
      </c>
      <c r="R129" s="1017">
        <f>+'雨汚水(共通按分後)'!R129-雨汚水!R129</f>
        <v>0</v>
      </c>
      <c r="S129" s="1019">
        <f>+'雨汚水(共通按分後)'!S129-雨汚水!S129</f>
        <v>0</v>
      </c>
      <c r="T129" s="1018">
        <f>+'雨汚水(共通按分後)'!T129-雨汚水!T129</f>
        <v>0</v>
      </c>
      <c r="U129" s="1017">
        <f>+'雨汚水(共通按分後)'!U129-雨汚水!U129</f>
        <v>0</v>
      </c>
      <c r="V129" s="1131">
        <f>+'雨汚水(共通按分後)'!V129-雨汚水!V129</f>
        <v>0</v>
      </c>
      <c r="W129" s="1015">
        <f>+'雨汚水(共通按分後)'!W129-雨汚水!W129</f>
        <v>0</v>
      </c>
      <c r="X129" s="1462"/>
      <c r="Y129" s="1455">
        <f>+'雨汚水(共通按分後)'!Y129-雨汚水!Y129</f>
        <v>0</v>
      </c>
      <c r="Z129" s="1461">
        <f>+'雨汚水(共通按分後)'!Z129-雨汚水!Z129</f>
        <v>0</v>
      </c>
      <c r="AA129" s="1461">
        <f>+'雨汚水(共通按分後)'!AA129-雨汚水!AA129</f>
        <v>0</v>
      </c>
      <c r="AB129" s="1461">
        <f>+'雨汚水(共通按分後)'!AB129-雨汚水!AB129</f>
        <v>0</v>
      </c>
      <c r="AC129" s="1461">
        <f>+'雨汚水(共通按分後)'!AC129-雨汚水!AC129</f>
        <v>0</v>
      </c>
      <c r="AD129" s="1455">
        <f>+'雨汚水(共通按分後)'!AD129-雨汚水!AD129</f>
        <v>0</v>
      </c>
      <c r="AE129" s="1464">
        <f>+'雨汚水(共通按分後)'!AE129-雨汚水!AE129</f>
        <v>0</v>
      </c>
      <c r="AF129" s="1457">
        <f>+'雨汚水(共通按分後)'!AF129-雨汚水!AF129</f>
        <v>0</v>
      </c>
      <c r="AG129" s="1458">
        <f>+'雨汚水(共通按分後)'!AG129-雨汚水!AG129</f>
        <v>0</v>
      </c>
      <c r="AH129" s="1459">
        <f>+'雨汚水(共通按分後)'!AH129-雨汚水!AH129</f>
        <v>0</v>
      </c>
      <c r="AI129" s="1456">
        <f>+'雨汚水(共通按分後)'!AI129-雨汚水!AI129</f>
        <v>0</v>
      </c>
      <c r="AJ129" s="1458">
        <f>+'雨汚水(共通按分後)'!AJ129-雨汚水!AJ129</f>
        <v>0</v>
      </c>
      <c r="AK129" s="1460">
        <f>+'雨汚水(共通按分後)'!AK129-雨汚水!AK129</f>
        <v>0</v>
      </c>
      <c r="AL129" s="1461">
        <f>+'雨汚水(共通按分後)'!AL129-雨汚水!AL129</f>
        <v>0</v>
      </c>
    </row>
    <row r="130" spans="4:38" ht="14.25" thickTop="1">
      <c r="D130" s="1490" t="s">
        <v>1430</v>
      </c>
      <c r="E130" s="1516">
        <f t="shared" ref="E130:M130" si="35">+SUM(E109,E120)</f>
        <v>1697260549</v>
      </c>
      <c r="F130" s="1517">
        <f t="shared" si="35"/>
        <v>1273446561</v>
      </c>
      <c r="G130" s="1518">
        <f t="shared" si="35"/>
        <v>303464736</v>
      </c>
      <c r="H130" s="1519">
        <f>+SUM(H109,H120)</f>
        <v>369422303</v>
      </c>
      <c r="I130" s="1394">
        <f t="shared" si="35"/>
        <v>1946333600</v>
      </c>
      <c r="J130" s="1517">
        <f t="shared" si="35"/>
        <v>-239874778</v>
      </c>
      <c r="K130" s="1519">
        <f t="shared" si="35"/>
        <v>-9198273</v>
      </c>
      <c r="L130" s="1052">
        <f t="shared" si="35"/>
        <v>-249073051</v>
      </c>
      <c r="M130" s="1051">
        <f t="shared" si="35"/>
        <v>0</v>
      </c>
      <c r="N130" s="1490" t="s">
        <v>1430</v>
      </c>
      <c r="O130" s="1391">
        <f t="shared" ref="O130:W130" si="36">+SUM(O109,O120)</f>
        <v>1697260549</v>
      </c>
      <c r="P130" s="1492">
        <f t="shared" si="36"/>
        <v>1042452146</v>
      </c>
      <c r="Q130" s="1493">
        <f t="shared" si="36"/>
        <v>-44028326</v>
      </c>
      <c r="R130" s="1494">
        <f t="shared" si="36"/>
        <v>-11532068</v>
      </c>
      <c r="S130" s="1391">
        <f t="shared" si="36"/>
        <v>986891752</v>
      </c>
      <c r="T130" s="1492">
        <f t="shared" si="36"/>
        <v>719567070</v>
      </c>
      <c r="U130" s="1494">
        <f t="shared" si="36"/>
        <v>-9198273</v>
      </c>
      <c r="V130" s="1008">
        <f t="shared" si="36"/>
        <v>710368797</v>
      </c>
      <c r="W130" s="1006">
        <f t="shared" si="36"/>
        <v>0</v>
      </c>
      <c r="X130" s="1490" t="s">
        <v>1430</v>
      </c>
      <c r="Y130" s="1006">
        <f>+'雨汚水(共通按分後)'!Y130-雨汚水!Y130</f>
        <v>-1228771814</v>
      </c>
      <c r="Z130" s="1051">
        <f>+'雨汚水(共通按分後)'!Z130-雨汚水!Z130</f>
        <v>0</v>
      </c>
      <c r="AA130" s="1051">
        <f>+'雨汚水(共通按分後)'!AA130-雨汚水!AA130</f>
        <v>0</v>
      </c>
      <c r="AB130" s="1006">
        <f>+'雨汚水(共通按分後)'!AB130-雨汚水!AB130</f>
        <v>1697260549</v>
      </c>
      <c r="AC130" s="1006">
        <f>+'雨汚水(共通按分後)'!AC130-雨汚水!AC130</f>
        <v>0</v>
      </c>
      <c r="AD130" s="1516">
        <f>+'雨汚水(共通按分後)'!AD130-雨汚水!AD130</f>
        <v>0</v>
      </c>
      <c r="AE130" s="1517">
        <f>+'雨汚水(共通按分後)'!AE130-雨汚水!AE130</f>
        <v>230994415</v>
      </c>
      <c r="AF130" s="1518">
        <f>+'雨汚水(共通按分後)'!AF130-雨汚水!AF130</f>
        <v>347493062</v>
      </c>
      <c r="AG130" s="1519">
        <f>+'雨汚水(共通按分後)'!AG130-雨汚水!AG130</f>
        <v>380954371</v>
      </c>
      <c r="AH130" s="1394">
        <f>+'雨汚水(共通按分後)'!AH130-雨汚水!AH130</f>
        <v>959441848</v>
      </c>
      <c r="AI130" s="1517">
        <f>+'雨汚水(共通按分後)'!AI130-雨汚水!AI130</f>
        <v>-959441848</v>
      </c>
      <c r="AJ130" s="1519">
        <f>+'雨汚水(共通按分後)'!AJ130-雨汚水!AJ130</f>
        <v>0</v>
      </c>
      <c r="AK130" s="1052">
        <f>+'雨汚水(共通按分後)'!AK130-雨汚水!AK130</f>
        <v>-959441848</v>
      </c>
      <c r="AL130" s="1051">
        <f>+'雨汚水(共通按分後)'!AL130-雨汚水!AL130</f>
        <v>0</v>
      </c>
    </row>
    <row r="131" spans="4:38">
      <c r="E131" s="993"/>
      <c r="I131" s="993"/>
      <c r="J131" s="993" t="s">
        <v>1459</v>
      </c>
      <c r="K131" s="993">
        <f>AJ97-AJ46-K132-K133+K120+K111</f>
        <v>1968410162</v>
      </c>
      <c r="L131" s="993"/>
      <c r="O131" s="1520"/>
      <c r="P131" s="1520"/>
      <c r="R131" s="993"/>
      <c r="T131" s="993" t="s">
        <v>1459</v>
      </c>
      <c r="U131" s="993">
        <f>U97-U46-U132-U133+U125</f>
        <v>1977607806</v>
      </c>
      <c r="V131" s="993"/>
      <c r="W131" s="993"/>
      <c r="X131" s="1366" t="s">
        <v>1793</v>
      </c>
      <c r="Y131" s="1366">
        <f>+'雨汚水(共通按分後)'!Y131-雨汚水!Y131</f>
        <v>0</v>
      </c>
      <c r="Z131" s="995">
        <f>+'雨汚水(共通按分後)'!Z131-雨汚水!Z131</f>
        <v>0</v>
      </c>
      <c r="AA131" s="995">
        <f>+'雨汚水(共通按分後)'!AA131-雨汚水!AA131</f>
        <v>0</v>
      </c>
      <c r="AB131" s="995">
        <f>+'雨汚水(共通按分後)'!AB131-雨汚水!AB131</f>
        <v>1697260549</v>
      </c>
      <c r="AC131" s="995">
        <f>+'雨汚水(共通按分後)'!AC131-雨汚水!AC131</f>
        <v>0</v>
      </c>
      <c r="AD131" s="995">
        <f>+'雨汚水(共通按分後)'!AD131-雨汚水!AD131</f>
        <v>0</v>
      </c>
      <c r="AE131" s="1502">
        <f>+'雨汚水(共通按分後)'!AE131-雨汚水!AE131</f>
        <v>230994415</v>
      </c>
      <c r="AF131" s="1501">
        <f>+'雨汚水(共通按分後)'!AF131-雨汚水!AF131</f>
        <v>347493062</v>
      </c>
      <c r="AG131" s="1111">
        <f>+'雨汚水(共通按分後)'!AG131-雨汚水!AG131</f>
        <v>380954371</v>
      </c>
      <c r="AH131" s="1397">
        <f>+'雨汚水(共通按分後)'!AH131-雨汚水!AH131</f>
        <v>959441848</v>
      </c>
      <c r="AI131" s="1500">
        <f>+'雨汚水(共通按分後)'!AI131-雨汚水!AI131</f>
        <v>-959441848</v>
      </c>
      <c r="AJ131" s="1111">
        <f>+'雨汚水(共通按分後)'!AJ131-雨汚水!AJ131</f>
        <v>0</v>
      </c>
      <c r="AK131" s="997">
        <f>+'雨汚水(共通按分後)'!AK131-雨汚水!AK131</f>
        <v>-959441848</v>
      </c>
      <c r="AL131" s="995">
        <f>+'雨汚水(共通按分後)'!AL131-雨汚水!AL131</f>
        <v>0</v>
      </c>
    </row>
    <row r="132" spans="4:38">
      <c r="I132" s="993" t="s">
        <v>1458</v>
      </c>
      <c r="J132" s="993" t="s">
        <v>1457</v>
      </c>
      <c r="K132" s="991">
        <f>+AJ99-AJ48-K133+K123</f>
        <v>-2220976925</v>
      </c>
      <c r="L132" s="1521"/>
      <c r="O132" s="1520"/>
      <c r="P132" s="1520"/>
      <c r="R132" s="993"/>
      <c r="T132" s="993" t="s">
        <v>1457</v>
      </c>
      <c r="U132" s="991">
        <f>+U99-U48-U133</f>
        <v>-2220976925</v>
      </c>
      <c r="V132" s="1521"/>
      <c r="W132" s="993"/>
      <c r="X132" s="1439"/>
      <c r="Y132" s="1398">
        <f>+'雨汚水(共通按分後)'!Y132-雨汚水!Y132</f>
        <v>0</v>
      </c>
      <c r="Z132" s="1440">
        <f>+'雨汚水(共通按分後)'!Z132-雨汚水!Z132</f>
        <v>0</v>
      </c>
      <c r="AA132" s="1440">
        <f>+'雨汚水(共通按分後)'!AA132-雨汚水!AA132</f>
        <v>0</v>
      </c>
      <c r="AB132" s="1398">
        <f>+'雨汚水(共通按分後)'!AB132-雨汚水!AB132</f>
        <v>0</v>
      </c>
      <c r="AC132" s="1398">
        <f>+'雨汚水(共通按分後)'!AC132-雨汚水!AC132</f>
        <v>0</v>
      </c>
      <c r="AD132" s="1440">
        <f>+'雨汚水(共通按分後)'!AD132-雨汚水!AD132</f>
        <v>0</v>
      </c>
      <c r="AE132" s="1440">
        <f>+'雨汚水(共通按分後)'!AE132-雨汚水!AE132</f>
        <v>0</v>
      </c>
      <c r="AF132" s="1440">
        <f>+'雨汚水(共通按分後)'!AF132-雨汚水!AF132</f>
        <v>0</v>
      </c>
      <c r="AG132" s="1440">
        <f>+'雨汚水(共通按分後)'!AG132-雨汚水!AG132</f>
        <v>0</v>
      </c>
      <c r="AH132" s="1440">
        <f>+'雨汚水(共通按分後)'!AH132-雨汚水!AH132</f>
        <v>0</v>
      </c>
      <c r="AI132" s="1440">
        <f>+'雨汚水(共通按分後)'!AI132-雨汚水!AI132</f>
        <v>0</v>
      </c>
      <c r="AJ132" s="1440">
        <f>+'雨汚水(共通按分後)'!AJ132-雨汚水!AJ132</f>
        <v>0</v>
      </c>
      <c r="AK132" s="1440">
        <f>+'雨汚水(共通按分後)'!AK132-雨汚水!AK132</f>
        <v>0</v>
      </c>
      <c r="AL132" s="1440">
        <f>+'雨汚水(共通按分後)'!AL132-雨汚水!AL132</f>
        <v>0</v>
      </c>
    </row>
    <row r="133" spans="4:38">
      <c r="J133" s="993" t="s">
        <v>1456</v>
      </c>
      <c r="K133" s="991">
        <f>+(AJ88+AJ89)-(AJ37+AJ38)+K124</f>
        <v>2220976925</v>
      </c>
      <c r="L133" s="1521"/>
      <c r="O133" s="1520"/>
      <c r="P133" s="1520"/>
      <c r="R133" s="993"/>
      <c r="T133" s="993" t="s">
        <v>1456</v>
      </c>
      <c r="U133" s="991">
        <f>+(U88+U89)-(U37+U38)</f>
        <v>2220976925</v>
      </c>
      <c r="V133" s="1521"/>
      <c r="W133" s="993"/>
      <c r="X133" s="1584" t="s">
        <v>1794</v>
      </c>
      <c r="Y133" s="1083">
        <f>+'雨汚水(共通按分後)'!Y133-雨汚水!Y133</f>
        <v>0</v>
      </c>
      <c r="Z133" s="1083">
        <f>+'雨汚水(共通按分後)'!Z133-雨汚水!Z133</f>
        <v>0</v>
      </c>
      <c r="AA133" s="1075">
        <f>+'雨汚水(共通按分後)'!AA133-雨汚水!AA133</f>
        <v>0</v>
      </c>
      <c r="AB133" s="1083">
        <f>+'雨汚水(共通按分後)'!AB133-雨汚水!AB133</f>
        <v>0</v>
      </c>
      <c r="AC133" s="1083">
        <f>+'雨汚水(共通按分後)'!AC133-雨汚水!AC133</f>
        <v>0</v>
      </c>
      <c r="AD133" s="1083">
        <f>+'雨汚水(共通按分後)'!AD133-雨汚水!AD133</f>
        <v>0</v>
      </c>
      <c r="AE133" s="1416">
        <f>+'雨汚水(共通按分後)'!AE133-雨汚水!AE133</f>
        <v>0</v>
      </c>
      <c r="AF133" s="1123">
        <f>+'雨汚水(共通按分後)'!AF133-雨汚水!AF133</f>
        <v>0</v>
      </c>
      <c r="AG133" s="1087">
        <f>+'雨汚水(共通按分後)'!AG133-雨汚水!AG133</f>
        <v>0</v>
      </c>
      <c r="AH133" s="1092">
        <f>+'雨汚水(共通按分後)'!AH133-雨汚水!AH133</f>
        <v>0</v>
      </c>
      <c r="AI133" s="1086">
        <f>+'雨汚水(共通按分後)'!AI133-雨汚水!AI133</f>
        <v>0</v>
      </c>
      <c r="AJ133" s="1087">
        <f>+'雨汚水(共通按分後)'!AJ133-雨汚水!AJ133</f>
        <v>0</v>
      </c>
      <c r="AK133" s="1084">
        <f>+'雨汚水(共通按分後)'!AK133-雨汚水!AK133</f>
        <v>0</v>
      </c>
      <c r="AL133" s="1083">
        <f>+'雨汚水(共通按分後)'!AL133-雨汚水!AL133</f>
        <v>0</v>
      </c>
    </row>
    <row r="134" spans="4:38" ht="14.25" thickBot="1">
      <c r="J134" s="993" t="s">
        <v>1453</v>
      </c>
      <c r="K134" s="991">
        <f>+SUM(K131:K133)</f>
        <v>1968410162</v>
      </c>
      <c r="N134" s="1522"/>
      <c r="O134" s="1520"/>
      <c r="P134" s="1520"/>
      <c r="T134" s="1522" t="s">
        <v>1540</v>
      </c>
      <c r="U134" s="991">
        <f>IF(SUM(U131:U133)&gt;0,0,SUM(U131:U133))</f>
        <v>0</v>
      </c>
      <c r="X134" s="1585"/>
      <c r="Y134" s="1114">
        <f>+'雨汚水(共通按分後)'!Y134-雨汚水!Y134</f>
        <v>0</v>
      </c>
      <c r="Z134" s="1114">
        <f>+'雨汚水(共通按分後)'!Z134-雨汚水!Z134</f>
        <v>0</v>
      </c>
      <c r="AA134" s="1114">
        <f>+'雨汚水(共通按分後)'!AA134-雨汚水!AA134</f>
        <v>0</v>
      </c>
      <c r="AB134" s="1114">
        <f>+'雨汚水(共通按分後)'!AB134-雨汚水!AB134</f>
        <v>0</v>
      </c>
      <c r="AC134" s="1114">
        <f>+'雨汚水(共通按分後)'!AC134-雨汚水!AC134</f>
        <v>0</v>
      </c>
      <c r="AD134" s="1114">
        <f>+'雨汚水(共通按分後)'!AD134-雨汚水!AD134</f>
        <v>0</v>
      </c>
      <c r="AE134" s="1523">
        <f>+'雨汚水(共通按分後)'!AE134-雨汚水!AE134</f>
        <v>0</v>
      </c>
      <c r="AF134" s="1524">
        <f>+'雨汚水(共通按分後)'!AF134-雨汚水!AF134</f>
        <v>0</v>
      </c>
      <c r="AG134" s="1525">
        <f>+'雨汚水(共通按分後)'!AG134-雨汚水!AG134</f>
        <v>0</v>
      </c>
      <c r="AH134" s="1395">
        <f>+'雨汚水(共通按分後)'!AH134-雨汚水!AH134</f>
        <v>0</v>
      </c>
      <c r="AI134" s="1526">
        <f>+'雨汚水(共通按分後)'!AI134-雨汚水!AI134</f>
        <v>0</v>
      </c>
      <c r="AJ134" s="1525">
        <f>+'雨汚水(共通按分後)'!AJ134-雨汚水!AJ134</f>
        <v>0</v>
      </c>
      <c r="AK134" s="1116">
        <f>+'雨汚水(共通按分後)'!AK134-雨汚水!AK134</f>
        <v>0</v>
      </c>
      <c r="AL134" s="1114">
        <f>+'雨汚水(共通按分後)'!AL134-雨汚水!AL134</f>
        <v>0</v>
      </c>
    </row>
    <row r="135" spans="4:38" ht="14.25" thickTop="1">
      <c r="K135" s="1042" t="str">
        <f>+IF(K134='3条収入'!AI74,"↑純利益と一致","純利益と不一致!!")</f>
        <v>純利益と不一致!!</v>
      </c>
      <c r="O135" s="993"/>
      <c r="P135" s="993"/>
      <c r="X135" s="1586"/>
      <c r="Y135" s="1006">
        <f>+'雨汚水(共通按分後)'!Y135-雨汚水!Y135</f>
        <v>0</v>
      </c>
      <c r="Z135" s="1006">
        <f>+'雨汚水(共通按分後)'!Z135-雨汚水!Z135</f>
        <v>0</v>
      </c>
      <c r="AA135" s="1006">
        <f>+'雨汚水(共通按分後)'!AA135-雨汚水!AA135</f>
        <v>0</v>
      </c>
      <c r="AB135" s="1006">
        <f>+'雨汚水(共通按分後)'!AB135-雨汚水!AB135</f>
        <v>0</v>
      </c>
      <c r="AC135" s="1006">
        <f>+'雨汚水(共通按分後)'!AC135-雨汚水!AC135</f>
        <v>0</v>
      </c>
      <c r="AD135" s="1006">
        <f>+'雨汚水(共通按分後)'!AD135-雨汚水!AD135</f>
        <v>0</v>
      </c>
      <c r="AE135" s="1495">
        <f>+'雨汚水(共通按分後)'!AE135-雨汚水!AE135</f>
        <v>0</v>
      </c>
      <c r="AF135" s="1493">
        <f>+'雨汚水(共通按分後)'!AF135-雨汚水!AF135</f>
        <v>0</v>
      </c>
      <c r="AG135" s="1494">
        <f>+'雨汚水(共通按分後)'!AG135-雨汚水!AG135</f>
        <v>0</v>
      </c>
      <c r="AH135" s="1396">
        <f>+'雨汚水(共通按分後)'!AH135-雨汚水!AH135</f>
        <v>0</v>
      </c>
      <c r="AI135" s="1492">
        <f>+'雨汚水(共通按分後)'!AI135-雨汚水!AI135</f>
        <v>0</v>
      </c>
      <c r="AJ135" s="1494">
        <f>+'雨汚水(共通按分後)'!AJ135-雨汚水!AJ135</f>
        <v>0</v>
      </c>
      <c r="AK135" s="1008">
        <f>+'雨汚水(共通按分後)'!AK135-雨汚水!AK135</f>
        <v>0</v>
      </c>
      <c r="AL135" s="1006">
        <f>+'雨汚水(共通按分後)'!AL135-雨汚水!AL135</f>
        <v>0</v>
      </c>
    </row>
    <row r="136" spans="4:38">
      <c r="P136" s="993"/>
      <c r="X136" s="1439"/>
      <c r="Y136" s="1398">
        <f>+'雨汚水(共通按分後)'!Y136-雨汚水!Y136</f>
        <v>0</v>
      </c>
      <c r="Z136" s="1440">
        <f>+'雨汚水(共通按分後)'!Z136-雨汚水!Z136</f>
        <v>0</v>
      </c>
      <c r="AA136" s="1440">
        <f>+'雨汚水(共通按分後)'!AA136-雨汚水!AA136</f>
        <v>0</v>
      </c>
      <c r="AB136" s="1398">
        <f>+'雨汚水(共通按分後)'!AB136-雨汚水!AB136</f>
        <v>0</v>
      </c>
      <c r="AC136" s="1398">
        <f>+'雨汚水(共通按分後)'!AC136-雨汚水!AC136</f>
        <v>0</v>
      </c>
      <c r="AD136" s="1440">
        <f>+'雨汚水(共通按分後)'!AD136-雨汚水!AD136</f>
        <v>0</v>
      </c>
      <c r="AE136" s="1440">
        <f>+'雨汚水(共通按分後)'!AE136-雨汚水!AE136</f>
        <v>0</v>
      </c>
      <c r="AF136" s="1440">
        <f>+'雨汚水(共通按分後)'!AF136-雨汚水!AF136</f>
        <v>0</v>
      </c>
      <c r="AG136" s="1440">
        <f>+'雨汚水(共通按分後)'!AG136-雨汚水!AG136</f>
        <v>0</v>
      </c>
      <c r="AH136" s="1440">
        <f>+'雨汚水(共通按分後)'!AH136-雨汚水!AH136</f>
        <v>0</v>
      </c>
      <c r="AI136" s="1440">
        <f>+'雨汚水(共通按分後)'!AI136-雨汚水!AI136</f>
        <v>0</v>
      </c>
      <c r="AJ136" s="1440">
        <f>+'雨汚水(共通按分後)'!AJ136-雨汚水!AJ136</f>
        <v>0</v>
      </c>
      <c r="AK136" s="1440">
        <f>+'雨汚水(共通按分後)'!AK136-雨汚水!AK136</f>
        <v>0</v>
      </c>
      <c r="AL136" s="1440">
        <f>+'雨汚水(共通按分後)'!AL136-雨汚水!AL136</f>
        <v>0</v>
      </c>
    </row>
    <row r="137" spans="4:38">
      <c r="O137" s="993"/>
      <c r="P137" s="993"/>
      <c r="X137" s="1367" t="s">
        <v>1527</v>
      </c>
      <c r="Y137" s="1367">
        <f>+'雨汚水(共通按分後)'!Y137-雨汚水!Y137</f>
        <v>0</v>
      </c>
      <c r="Z137" s="1104">
        <f>+'雨汚水(共通按分後)'!Z137-雨汚水!Z137</f>
        <v>0</v>
      </c>
      <c r="AA137" s="1527">
        <f>+'雨汚水(共通按分後)'!AA137-雨汚水!AA137</f>
        <v>0</v>
      </c>
      <c r="AB137" s="1104">
        <f>+'雨汚水(共通按分後)'!AB137-雨汚水!AB137</f>
        <v>0</v>
      </c>
      <c r="AC137" s="1104">
        <f>+'雨汚水(共通按分後)'!AC137-雨汚水!AC137</f>
        <v>0</v>
      </c>
      <c r="AD137" s="1104">
        <f>+'雨汚水(共通按分後)'!AD137-雨汚水!AD137</f>
        <v>0</v>
      </c>
      <c r="AE137" s="1528">
        <f>+'雨汚水(共通按分後)'!AE137-雨汚水!AE137</f>
        <v>0</v>
      </c>
      <c r="AF137" s="1529">
        <f>+'雨汚水(共通按分後)'!AF137-雨汚水!AF137</f>
        <v>0</v>
      </c>
      <c r="AG137" s="1530">
        <f>+'雨汚水(共通按分後)'!AG137-雨汚水!AG137</f>
        <v>0</v>
      </c>
      <c r="AH137" s="1398">
        <f>+'雨汚水(共通按分後)'!AH137-雨汚水!AH137</f>
        <v>0</v>
      </c>
      <c r="AI137" s="1531">
        <f>+'雨汚水(共通按分後)'!AI137-雨汚水!AI137</f>
        <v>0</v>
      </c>
      <c r="AJ137" s="1530">
        <f>+'雨汚水(共通按分後)'!AJ137-雨汚水!AJ137</f>
        <v>0</v>
      </c>
      <c r="AK137" s="1106">
        <f>+'雨汚水(共通按分後)'!AK137-雨汚水!AK137</f>
        <v>0</v>
      </c>
      <c r="AL137" s="1104">
        <f>+'雨汚水(共通按分後)'!AL137-雨汚水!AL137</f>
        <v>0</v>
      </c>
    </row>
    <row r="138" spans="4:38">
      <c r="X138" s="993" t="s">
        <v>1459</v>
      </c>
      <c r="Y138" s="993">
        <f>K97-K46-Y139-Y140+Y125</f>
        <v>-1228755922</v>
      </c>
      <c r="Z138" s="993"/>
    </row>
    <row r="139" spans="4:38">
      <c r="X139" s="993" t="s">
        <v>1457</v>
      </c>
      <c r="Y139" s="993">
        <f>K99-K48-Y140</f>
        <v>2348500855</v>
      </c>
      <c r="Z139" s="993"/>
    </row>
    <row r="140" spans="4:38">
      <c r="X140" s="993" t="s">
        <v>1456</v>
      </c>
      <c r="Y140" s="991">
        <f>+(K88+K89)-(K37+K38)</f>
        <v>-2348500855</v>
      </c>
      <c r="Z140" s="993"/>
    </row>
    <row r="141" spans="4:38">
      <c r="Y141" s="991">
        <f>IF(SUM(Y138:Y140)&gt;0,0,SUM(Y138:Y140))</f>
        <v>-1228755922</v>
      </c>
      <c r="Z141" s="1532" t="s">
        <v>1785</v>
      </c>
    </row>
  </sheetData>
  <mergeCells count="63">
    <mergeCell ref="AD3:AL3"/>
    <mergeCell ref="E4:E6"/>
    <mergeCell ref="F4:I4"/>
    <mergeCell ref="J4:L4"/>
    <mergeCell ref="M4:M6"/>
    <mergeCell ref="O4:O6"/>
    <mergeCell ref="P4:S4"/>
    <mergeCell ref="T4:V4"/>
    <mergeCell ref="W4:W6"/>
    <mergeCell ref="AD4:AD6"/>
    <mergeCell ref="E3:M3"/>
    <mergeCell ref="N3:N6"/>
    <mergeCell ref="O3:W3"/>
    <mergeCell ref="X3:X6"/>
    <mergeCell ref="AE4:AH4"/>
    <mergeCell ref="AI4:AK4"/>
    <mergeCell ref="AL4:AL6"/>
    <mergeCell ref="A5:A6"/>
    <mergeCell ref="B54:C57"/>
    <mergeCell ref="D54:D57"/>
    <mergeCell ref="E54:M54"/>
    <mergeCell ref="N54:N57"/>
    <mergeCell ref="O54:W54"/>
    <mergeCell ref="X54:X57"/>
    <mergeCell ref="B3:C6"/>
    <mergeCell ref="D3:D6"/>
    <mergeCell ref="AD54:AL54"/>
    <mergeCell ref="E55:E57"/>
    <mergeCell ref="F55:I55"/>
    <mergeCell ref="J55:L55"/>
    <mergeCell ref="M55:M57"/>
    <mergeCell ref="O55:O57"/>
    <mergeCell ref="P55:S55"/>
    <mergeCell ref="T55:V55"/>
    <mergeCell ref="W55:W57"/>
    <mergeCell ref="AD55:AD57"/>
    <mergeCell ref="P106:S106"/>
    <mergeCell ref="W106:W108"/>
    <mergeCell ref="Y106:Y108"/>
    <mergeCell ref="Z106:Z108"/>
    <mergeCell ref="AA106:AA108"/>
    <mergeCell ref="AD106:AD108"/>
    <mergeCell ref="AE55:AH55"/>
    <mergeCell ref="AI55:AK55"/>
    <mergeCell ref="AL55:AL57"/>
    <mergeCell ref="A56:A57"/>
    <mergeCell ref="D105:D108"/>
    <mergeCell ref="E105:M105"/>
    <mergeCell ref="N105:N108"/>
    <mergeCell ref="O105:W105"/>
    <mergeCell ref="X105:X108"/>
    <mergeCell ref="Y105:AL105"/>
    <mergeCell ref="E106:E108"/>
    <mergeCell ref="F106:I106"/>
    <mergeCell ref="J106:L106"/>
    <mergeCell ref="M106:M108"/>
    <mergeCell ref="O106:O108"/>
    <mergeCell ref="T106:V106"/>
    <mergeCell ref="AE106:AH106"/>
    <mergeCell ref="AI106:AK106"/>
    <mergeCell ref="AL106:AL108"/>
    <mergeCell ref="X133:X135"/>
    <mergeCell ref="AB106:AB108"/>
  </mergeCells>
  <phoneticPr fontId="2"/>
  <conditionalFormatting sqref="W109:W130 M109:M130 AL109:AL135 AL137">
    <cfRule type="cellIs" dxfId="449" priority="20" operator="notEqual">
      <formula>0</formula>
    </cfRule>
  </conditionalFormatting>
  <conditionalFormatting sqref="M7:M49">
    <cfRule type="cellIs" dxfId="448" priority="18" operator="notEqual">
      <formula>0</formula>
    </cfRule>
  </conditionalFormatting>
  <conditionalFormatting sqref="AL136">
    <cfRule type="cellIs" dxfId="447" priority="13" operator="notEqual">
      <formula>0</formula>
    </cfRule>
  </conditionalFormatting>
  <conditionalFormatting sqref="E7:M49">
    <cfRule type="cellIs" dxfId="446" priority="12" operator="notEqual">
      <formula>0</formula>
    </cfRule>
  </conditionalFormatting>
  <conditionalFormatting sqref="W7:W49">
    <cfRule type="cellIs" dxfId="445" priority="11" operator="notEqual">
      <formula>0</formula>
    </cfRule>
  </conditionalFormatting>
  <conditionalFormatting sqref="O7:W49">
    <cfRule type="cellIs" dxfId="444" priority="10" operator="notEqual">
      <formula>0</formula>
    </cfRule>
  </conditionalFormatting>
  <conditionalFormatting sqref="AL7:AL49">
    <cfRule type="cellIs" dxfId="443" priority="9" operator="notEqual">
      <formula>0</formula>
    </cfRule>
  </conditionalFormatting>
  <conditionalFormatting sqref="AD7:AL49">
    <cfRule type="cellIs" dxfId="442" priority="8" operator="notEqual">
      <formula>0</formula>
    </cfRule>
  </conditionalFormatting>
  <conditionalFormatting sqref="AL58:AL100">
    <cfRule type="cellIs" dxfId="441" priority="7" operator="notEqual">
      <formula>0</formula>
    </cfRule>
  </conditionalFormatting>
  <conditionalFormatting sqref="AD58:AL100">
    <cfRule type="cellIs" dxfId="440" priority="6" operator="notEqual">
      <formula>0</formula>
    </cfRule>
  </conditionalFormatting>
  <conditionalFormatting sqref="W58:W100">
    <cfRule type="cellIs" dxfId="439" priority="5" operator="notEqual">
      <formula>0</formula>
    </cfRule>
  </conditionalFormatting>
  <conditionalFormatting sqref="O58:W100">
    <cfRule type="cellIs" dxfId="438" priority="4" operator="notEqual">
      <formula>0</formula>
    </cfRule>
  </conditionalFormatting>
  <conditionalFormatting sqref="M58:M100">
    <cfRule type="cellIs" dxfId="437" priority="3" operator="notEqual">
      <formula>0</formula>
    </cfRule>
  </conditionalFormatting>
  <conditionalFormatting sqref="E58:M100">
    <cfRule type="cellIs" dxfId="436" priority="2" operator="notEqual">
      <formula>0</formula>
    </cfRule>
  </conditionalFormatting>
  <conditionalFormatting sqref="E109:M129 O109:W129 Y109:AL137">
    <cfRule type="cellIs" dxfId="435" priority="1" operator="notEqual">
      <formula>0</formula>
    </cfRule>
  </conditionalFormatting>
  <printOptions horizontalCentered="1"/>
  <pageMargins left="0.39370078740157483" right="0.39370078740157483" top="0.59055118110236227" bottom="0.39370078740157483" header="0.19685039370078741" footer="0.19685039370078741"/>
  <pageSetup paperSize="9" scale="83" fitToWidth="3" fitToHeight="3" orientation="landscape" blackAndWhite="1" r:id="rId1"/>
  <rowBreaks count="2" manualBreakCount="2">
    <brk id="51" max="16383" man="1"/>
    <brk id="102" max="16383" man="1"/>
  </rowBreaks>
  <legacyDrawing r:id="rId2"/>
</worksheet>
</file>

<file path=xl/worksheets/w6_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65"/>
  <sheetViews>
    <sheetView showGridLines="0" zoomScale="90" zoomScaleNormal="90" zoomScaleSheetLayoutView="100" workbookViewId="0">
      <pane xSplit="5" ySplit="5" topLeftCell="F6" activePane="bottomRight" state="frozen"/>
      <selection sqref="A1:XFD1048576"/>
      <selection pane="topRight" sqref="A1:XFD1048576"/>
      <selection pane="bottomLeft" sqref="A1:XFD1048576"/>
      <selection pane="bottomRight" activeCell="F6" sqref="F6"/>
    </sheetView>
  </sheetViews>
  <sheetFormatPr defaultRowHeight="13.5" outlineLevelRow="1"/>
  <cols>
    <col min="1" max="1" width="4.625" customWidth="1" style="1643"/>
    <col min="2" max="2" width="2.125" customWidth="1" style="1643"/>
    <col min="3" max="3" width="3.625" customWidth="1" style="1643"/>
    <col min="4" max="4" width="19.625" customWidth="1" style="1643"/>
    <col min="5" max="5" width="22.625" customWidth="1" style="1643"/>
    <col min="6" max="6" width="23.625" customWidth="1" style="1643"/>
    <col min="7" max="9" width="13.375" customWidth="1" style="1643"/>
    <col min="10" max="10" width="11.125" customWidth="1" style="1643"/>
  </cols>
  <sheetData>
    <row r="1" spans="1:10" ht="8.25" customHeight="1"/>
    <row r="2" spans="1:10" ht="15" customHeight="1">
      <c r="A2" s="2222"/>
      <c r="B2" s="2222"/>
      <c r="C2" s="2222"/>
      <c r="D2" s="2222"/>
      <c r="E2" s="2222"/>
      <c r="F2" s="2222"/>
      <c r="G2" s="2222"/>
      <c r="H2" s="2222"/>
      <c r="I2" s="2222"/>
      <c r="J2" s="1664"/>
    </row>
    <row r="3" spans="1:10" ht="13.5" customHeight="1" thickBot="1">
      <c r="B3" s="1644"/>
      <c r="C3" s="1644"/>
      <c r="D3" s="1644"/>
      <c r="E3" s="1644"/>
      <c r="F3" s="1644"/>
      <c r="G3" s="1644"/>
      <c r="H3" s="1644"/>
      <c r="I3" s="1665" t="s">
        <v>4990</v>
      </c>
      <c r="J3" s="1665"/>
    </row>
    <row r="4" spans="1:10" ht="12" customHeight="1">
      <c r="A4" s="2230" t="s">
        <v>4947</v>
      </c>
      <c r="B4" s="2225"/>
      <c r="C4" s="2225"/>
      <c r="D4" s="2231"/>
      <c r="E4" s="2227" t="s">
        <v>4991</v>
      </c>
      <c r="F4" s="2225" t="s">
        <v>4992</v>
      </c>
      <c r="G4" s="2227" t="s">
        <v>4993</v>
      </c>
      <c r="H4" s="2227" t="s">
        <v>4994</v>
      </c>
      <c r="I4" s="2223" t="s">
        <v>4995</v>
      </c>
      <c r="J4" s="1686"/>
    </row>
    <row r="5" spans="1:10" ht="12.75" customHeight="1">
      <c r="A5" s="2232"/>
      <c r="B5" s="2226"/>
      <c r="C5" s="2226"/>
      <c r="D5" s="2233"/>
      <c r="E5" s="2228"/>
      <c r="F5" s="2226"/>
      <c r="G5" s="2228"/>
      <c r="H5" s="2228"/>
      <c r="I5" s="2224"/>
      <c r="J5" s="1657"/>
    </row>
    <row r="6" spans="1:10" ht="10.5" customHeight="1">
      <c r="A6" s="2213" t="s">
        <v>5001</v>
      </c>
      <c r="B6" s="2236" t="s">
        <v>5002</v>
      </c>
      <c r="C6" s="2236"/>
      <c r="D6" s="2237"/>
      <c r="E6" s="1648"/>
      <c r="F6" s="1658"/>
      <c r="G6" s="2777">
        <f>G8+G16+G18+G20</f>
        <v>13974628227</v>
      </c>
      <c r="H6" s="2777">
        <f>H8+H16+H18+H20</f>
        <v>2307267553</v>
      </c>
      <c r="I6" s="2778">
        <f>I8+I16+I18+I20</f>
        <v>11667360674</v>
      </c>
      <c r="J6" s="1687"/>
    </row>
    <row r="7" spans="1:10" ht="10.5" customHeight="1">
      <c r="A7" s="2186"/>
      <c r="B7" s="2175"/>
      <c r="C7" s="2175"/>
      <c r="D7" s="2176"/>
      <c r="E7" s="1650"/>
      <c r="F7" s="1659"/>
      <c r="G7" s="2779"/>
      <c r="H7" s="2779"/>
      <c r="I7" s="2780"/>
      <c r="J7" s="1687"/>
    </row>
    <row r="8" spans="1:10" ht="10.5" customHeight="1">
      <c r="A8" s="2186"/>
      <c r="B8" s="1645"/>
      <c r="C8" s="2146" t="s">
        <v>5003</v>
      </c>
      <c r="D8" s="2147"/>
      <c r="E8" s="1652"/>
      <c r="F8" s="1655"/>
      <c r="G8" s="2781">
        <f>G10+G12+G14</f>
        <v>13869351636</v>
      </c>
      <c r="H8" s="2781">
        <f>H10+H12+H14</f>
        <v>2284890841</v>
      </c>
      <c r="I8" s="2782">
        <f>I10+I12+I14</f>
        <v>11584460795</v>
      </c>
      <c r="J8" s="1687"/>
    </row>
    <row r="9" spans="1:10" ht="10.5" customHeight="1">
      <c r="A9" s="2186"/>
      <c r="B9" s="1645"/>
      <c r="C9" s="2197"/>
      <c r="D9" s="2176"/>
      <c r="E9" s="1650"/>
      <c r="F9" s="1659"/>
      <c r="G9" s="2779"/>
      <c r="H9" s="2779"/>
      <c r="I9" s="2780"/>
      <c r="J9" s="1687"/>
    </row>
    <row r="10" spans="1:10" ht="10.5" customHeight="1">
      <c r="A10" s="2186"/>
      <c r="B10" s="1645"/>
      <c r="C10" s="1651"/>
      <c r="D10" s="2130" t="s">
        <v>5004</v>
      </c>
      <c r="E10" s="2118" t="s">
        <v>5005</v>
      </c>
      <c r="F10" s="2115" t="s">
        <v>5006</v>
      </c>
      <c r="G10" s="2127">
        <f>'3条一般会計'!G10</f>
        <v>3383678341</v>
      </c>
      <c r="H10" s="2127">
        <f>'3条一般会計'!H10</f>
        <v>2257096108</v>
      </c>
      <c r="I10" s="2782">
        <f>G10-H10</f>
        <v>1126582233</v>
      </c>
      <c r="J10" s="1687"/>
    </row>
    <row r="11" spans="1:10" ht="10.5" customHeight="1">
      <c r="A11" s="2186"/>
      <c r="B11" s="1645"/>
      <c r="C11" s="1651"/>
      <c r="D11" s="2131"/>
      <c r="E11" s="2119"/>
      <c r="F11" s="2116"/>
      <c r="G11" s="2129"/>
      <c r="H11" s="2129"/>
      <c r="I11" s="2780"/>
      <c r="J11" s="1687"/>
    </row>
    <row r="12" spans="1:10" ht="10.5" customHeight="1">
      <c r="A12" s="2186"/>
      <c r="B12" s="1645"/>
      <c r="C12" s="1651"/>
      <c r="D12" s="2130" t="s">
        <v>5007</v>
      </c>
      <c r="E12" s="2109" t="s">
        <v>5008</v>
      </c>
      <c r="F12" s="2115" t="s">
        <v>5009</v>
      </c>
      <c r="G12" s="2127">
        <f>'3条一般会計'!G12</f>
        <v>8476549651</v>
      </c>
      <c r="H12" s="2127">
        <f>'3条一般会計'!H12</f>
        <v>0</v>
      </c>
      <c r="I12" s="2782">
        <f>G12-H12</f>
        <v>8476549651</v>
      </c>
      <c r="J12" s="1687"/>
    </row>
    <row r="13" spans="1:10" ht="10.5" customHeight="1">
      <c r="A13" s="2186"/>
      <c r="B13" s="1645"/>
      <c r="C13" s="1651"/>
      <c r="D13" s="2139"/>
      <c r="E13" s="2164"/>
      <c r="F13" s="2116"/>
      <c r="G13" s="2129"/>
      <c r="H13" s="2129"/>
      <c r="I13" s="2780"/>
      <c r="J13" s="1687"/>
    </row>
    <row r="14" spans="1:10" ht="10.5" customHeight="1">
      <c r="A14" s="2186"/>
      <c r="B14" s="1645"/>
      <c r="C14" s="1651"/>
      <c r="D14" s="2130" t="s">
        <v>5010</v>
      </c>
      <c r="E14" s="2163" t="s">
        <v>5011</v>
      </c>
      <c r="F14" s="2109" t="s">
        <v>4999</v>
      </c>
      <c r="G14" s="2127">
        <f>'3条一般会計'!G18</f>
        <v>2009123644</v>
      </c>
      <c r="H14" s="2783">
        <f>'3条一般会計'!H18</f>
        <v>27794733</v>
      </c>
      <c r="I14" s="2782">
        <f>G14-H14</f>
        <v>1981328911</v>
      </c>
      <c r="J14" s="1687"/>
    </row>
    <row r="15" spans="1:10" ht="10.5" customHeight="1">
      <c r="A15" s="2186"/>
      <c r="B15" s="1645"/>
      <c r="C15" s="1651"/>
      <c r="D15" s="2139"/>
      <c r="E15" s="2133"/>
      <c r="F15" s="2164"/>
      <c r="G15" s="2129"/>
      <c r="H15" s="2784"/>
      <c r="I15" s="2780"/>
      <c r="J15" s="1687"/>
    </row>
    <row r="16" spans="1:10" ht="10.5" customHeight="1">
      <c r="A16" s="2186"/>
      <c r="B16" s="1645"/>
      <c r="C16" s="2144" t="s">
        <v>5012</v>
      </c>
      <c r="D16" s="2145"/>
      <c r="E16" s="2162" t="s">
        <v>5013</v>
      </c>
      <c r="F16" s="2115" t="s">
        <v>5014</v>
      </c>
      <c r="G16" s="2127">
        <f>'3条一般会計'!G20</f>
        <v>51313295</v>
      </c>
      <c r="H16" s="2127">
        <f>'3条一般会計'!H20</f>
        <v>12168217</v>
      </c>
      <c r="I16" s="2782">
        <f>G16-H16</f>
        <v>39145078</v>
      </c>
      <c r="J16" s="1687"/>
    </row>
    <row r="17" spans="1:10" ht="10.5" customHeight="1">
      <c r="A17" s="2186"/>
      <c r="B17" s="1645"/>
      <c r="C17" s="2144"/>
      <c r="D17" s="2145"/>
      <c r="E17" s="2162"/>
      <c r="F17" s="2116"/>
      <c r="G17" s="2129"/>
      <c r="H17" s="2129"/>
      <c r="I17" s="2780"/>
      <c r="J17" s="1687"/>
    </row>
    <row r="18" spans="1:10" ht="10.5" customHeight="1">
      <c r="A18" s="2186"/>
      <c r="B18" s="1645"/>
      <c r="C18" s="2144" t="s">
        <v>5015</v>
      </c>
      <c r="D18" s="2145"/>
      <c r="E18" s="2162" t="s">
        <v>5016</v>
      </c>
      <c r="F18" s="2115" t="s">
        <v>5017</v>
      </c>
      <c r="G18" s="2127">
        <f>'3条一般会計'!G22</f>
        <v>43567026</v>
      </c>
      <c r="H18" s="2127">
        <f>'3条一般会計'!H22</f>
        <v>9253060</v>
      </c>
      <c r="I18" s="2782">
        <f>G18-H18</f>
        <v>34313966</v>
      </c>
      <c r="J18" s="1687"/>
    </row>
    <row r="19" spans="1:10" ht="10.5" customHeight="1">
      <c r="A19" s="2186"/>
      <c r="B19" s="1645"/>
      <c r="C19" s="2144"/>
      <c r="D19" s="2145"/>
      <c r="E19" s="2162"/>
      <c r="F19" s="2116"/>
      <c r="G19" s="2129"/>
      <c r="H19" s="2129"/>
      <c r="I19" s="2780"/>
      <c r="J19" s="1687"/>
    </row>
    <row r="20" spans="1:10" ht="10.5" customHeight="1">
      <c r="A20" s="2186"/>
      <c r="B20" s="1645"/>
      <c r="C20" s="2144" t="s">
        <v>5018</v>
      </c>
      <c r="D20" s="2145"/>
      <c r="E20" s="2162" t="s">
        <v>5019</v>
      </c>
      <c r="F20" s="2115" t="s">
        <v>5020</v>
      </c>
      <c r="G20" s="2127">
        <f>'3条一般会計'!G28</f>
        <v>10396270</v>
      </c>
      <c r="H20" s="2127">
        <f>'3条一般会計'!H28</f>
        <v>955435</v>
      </c>
      <c r="I20" s="2782">
        <f>G20-H20</f>
        <v>9440835</v>
      </c>
      <c r="J20" s="1687"/>
    </row>
    <row r="21" spans="1:10" ht="10.5" customHeight="1">
      <c r="A21" s="2186"/>
      <c r="B21" s="1645"/>
      <c r="C21" s="2146"/>
      <c r="D21" s="2147"/>
      <c r="E21" s="2123"/>
      <c r="F21" s="2117"/>
      <c r="G21" s="2129"/>
      <c r="H21" s="2129"/>
      <c r="I21" s="2780"/>
      <c r="J21" s="1687"/>
    </row>
    <row r="22" spans="1:10" ht="10.5" hidden="1" customHeight="1" outlineLevel="1">
      <c r="A22" s="2186"/>
      <c r="B22" s="2148" t="s">
        <v>5021</v>
      </c>
      <c r="C22" s="2148"/>
      <c r="D22" s="2147"/>
      <c r="E22" s="2120"/>
      <c r="F22" s="1707"/>
      <c r="G22" s="2785">
        <f>G24+G26</f>
        <v>0</v>
      </c>
      <c r="H22" s="2785">
        <f>H24+H26</f>
        <v>0</v>
      </c>
      <c r="I22" s="2782">
        <f>I24+I26</f>
        <v>0</v>
      </c>
      <c r="J22" s="1687"/>
    </row>
    <row r="23" spans="1:10" ht="10.5" hidden="1" customHeight="1" outlineLevel="1">
      <c r="A23" s="2186"/>
      <c r="B23" s="2175"/>
      <c r="C23" s="2175"/>
      <c r="D23" s="2176"/>
      <c r="E23" s="2121"/>
      <c r="F23" s="1709"/>
      <c r="G23" s="2786"/>
      <c r="H23" s="2786"/>
      <c r="I23" s="2780"/>
      <c r="J23" s="1687"/>
    </row>
    <row r="24" spans="1:10" ht="10.5" hidden="1" customHeight="1" outlineLevel="1">
      <c r="A24" s="2186"/>
      <c r="B24" s="1645"/>
      <c r="C24" s="2238" t="s">
        <v>5022</v>
      </c>
      <c r="D24" s="2132"/>
      <c r="E24" s="2118" t="s">
        <v>5023</v>
      </c>
      <c r="F24" s="2115" t="s">
        <v>5024</v>
      </c>
      <c r="G24" s="2787">
        <v>0</v>
      </c>
      <c r="H24" s="2788">
        <v>0</v>
      </c>
      <c r="I24" s="2782">
        <f>G24-H24</f>
        <v>0</v>
      </c>
      <c r="J24" s="1687"/>
    </row>
    <row r="25" spans="1:10" ht="10.5" hidden="1" customHeight="1" outlineLevel="1">
      <c r="A25" s="2186"/>
      <c r="B25" s="1645"/>
      <c r="C25" s="2239"/>
      <c r="D25" s="2133"/>
      <c r="E25" s="2119"/>
      <c r="F25" s="2116"/>
      <c r="G25" s="2789"/>
      <c r="H25" s="2790"/>
      <c r="I25" s="2780"/>
      <c r="J25" s="1687"/>
    </row>
    <row r="26" spans="1:10" ht="10.5" hidden="1" customHeight="1" outlineLevel="1">
      <c r="A26" s="2186"/>
      <c r="B26" s="1726"/>
      <c r="C26" s="2148" t="s">
        <v>5060</v>
      </c>
      <c r="D26" s="2149"/>
      <c r="E26" s="2122" t="s">
        <v>5062</v>
      </c>
      <c r="F26" s="2115" t="s">
        <v>5061</v>
      </c>
      <c r="G26" s="2127">
        <f>SUM(G28:G43)</f>
        <v>0</v>
      </c>
      <c r="H26" s="2127">
        <f t="shared" ref="H26:I26" si="0">SUM(H28:H43)</f>
        <v>0</v>
      </c>
      <c r="I26" s="2782">
        <f t="shared" si="0"/>
        <v>0</v>
      </c>
      <c r="J26" s="1687"/>
    </row>
    <row r="27" spans="1:10" ht="10.5" hidden="1" customHeight="1" outlineLevel="1">
      <c r="A27" s="2186"/>
      <c r="B27" s="1727"/>
      <c r="C27" s="2150"/>
      <c r="D27" s="2151"/>
      <c r="E27" s="2123"/>
      <c r="F27" s="2116"/>
      <c r="G27" s="2129"/>
      <c r="H27" s="2129"/>
      <c r="I27" s="2780"/>
      <c r="J27" s="1687"/>
    </row>
    <row r="28" spans="1:10" ht="15.75" hidden="1" customHeight="1" outlineLevel="1">
      <c r="A28" s="2186"/>
      <c r="B28" s="2034"/>
      <c r="C28" s="2103" t="s">
        <v>5259</v>
      </c>
      <c r="D28" s="2106" t="str">
        <f>'総括表(不課税)'!E28</f>
        <v>公共土木施設災害
復旧事業費国庫負担金</v>
      </c>
      <c r="E28" s="2108" t="str">
        <f>'総括表(不課税)'!F28</f>
        <v>対象事業費×２／３</v>
      </c>
      <c r="F28" s="2109" t="str">
        <f>'総括表(不課税)'!G28</f>
        <v>3年度分
公共土木施設災害復旧事業費(補助事業現年分)の課税支出割合</v>
      </c>
      <c r="G28" s="2111">
        <f>'総括表(不課税)'!H28</f>
        <v>0</v>
      </c>
      <c r="H28" s="2113">
        <f>'総括表(不課税)'!I28</f>
        <v>0</v>
      </c>
      <c r="I28" s="2114">
        <f>'総括表(不課税)'!J28</f>
        <v>0</v>
      </c>
      <c r="J28" s="1687"/>
    </row>
    <row r="29" spans="1:10" ht="15.75" hidden="1" customHeight="1" outlineLevel="1">
      <c r="A29" s="2186"/>
      <c r="B29" s="2034"/>
      <c r="C29" s="2104"/>
      <c r="D29" s="2107"/>
      <c r="E29" s="2108"/>
      <c r="F29" s="2110"/>
      <c r="G29" s="2112"/>
      <c r="H29" s="2113"/>
      <c r="I29" s="2114"/>
      <c r="J29" s="1687"/>
    </row>
    <row r="30" spans="1:10" ht="15.75" hidden="1" customHeight="1" outlineLevel="1">
      <c r="A30" s="2186"/>
      <c r="B30" s="2034"/>
      <c r="C30" s="2104"/>
      <c r="D30" s="2106" t="str">
        <f>'総括表(不課税)'!E30</f>
        <v>公共土木施設災害
復旧事業費国庫負担金</v>
      </c>
      <c r="E30" s="2108" t="str">
        <f>'総括表(不課税)'!F30</f>
        <v>対象事業費×２／３</v>
      </c>
      <c r="F30" s="2109" t="str">
        <f>'総括表(不課税)'!G30</f>
        <v>2年度分
公共土木施設災害復旧事業費(補助事業繰越分)の課税支出割合</v>
      </c>
      <c r="G30" s="2111">
        <f>'総括表(不課税)'!H30</f>
        <v>0</v>
      </c>
      <c r="H30" s="2113">
        <f>'総括表(不課税)'!I30</f>
        <v>0</v>
      </c>
      <c r="I30" s="2114">
        <f>'総括表(不課税)'!J30</f>
        <v>0</v>
      </c>
      <c r="J30" s="1687"/>
    </row>
    <row r="31" spans="1:10" ht="15.75" hidden="1" customHeight="1" outlineLevel="1">
      <c r="A31" s="2186"/>
      <c r="B31" s="2034"/>
      <c r="C31" s="2105"/>
      <c r="D31" s="2107"/>
      <c r="E31" s="2108"/>
      <c r="F31" s="2110"/>
      <c r="G31" s="2112"/>
      <c r="H31" s="2113"/>
      <c r="I31" s="2114"/>
      <c r="J31" s="1687"/>
    </row>
    <row r="32" spans="1:10" ht="15.75" hidden="1" customHeight="1" outlineLevel="1">
      <c r="A32" s="2186"/>
      <c r="B32" s="2034"/>
      <c r="C32" s="2103" t="s">
        <v>5083</v>
      </c>
      <c r="D32" s="2106" t="str">
        <f>'総括表(不課税)'!E32</f>
        <v>公共土木施設災害
復旧事業費国庫負担金</v>
      </c>
      <c r="E32" s="2108" t="str">
        <f>'総括表(不課税)'!F32</f>
        <v>対象事業費×２／３</v>
      </c>
      <c r="F32" s="2109" t="str">
        <f>'総括表(不課税)'!G32</f>
        <v>3年度分
公共土木施設災害復旧事業費(補助事業現年分)の課税支出割合</v>
      </c>
      <c r="G32" s="2111">
        <f>'総括表(不課税)'!H32</f>
        <v>0</v>
      </c>
      <c r="H32" s="2113">
        <f>'総括表(不課税)'!I32</f>
        <v>0</v>
      </c>
      <c r="I32" s="2114">
        <f>'総括表(不課税)'!J32</f>
        <v>0</v>
      </c>
      <c r="J32" s="1687"/>
    </row>
    <row r="33" spans="1:10" ht="15.75" hidden="1" customHeight="1" outlineLevel="1">
      <c r="A33" s="2186"/>
      <c r="B33" s="2034"/>
      <c r="C33" s="2104"/>
      <c r="D33" s="2107"/>
      <c r="E33" s="2108"/>
      <c r="F33" s="2110"/>
      <c r="G33" s="2112"/>
      <c r="H33" s="2113"/>
      <c r="I33" s="2114"/>
      <c r="J33" s="1687"/>
    </row>
    <row r="34" spans="1:10" ht="15.75" hidden="1" customHeight="1" outlineLevel="1">
      <c r="A34" s="2186"/>
      <c r="B34" s="2034"/>
      <c r="C34" s="2104"/>
      <c r="D34" s="2106" t="str">
        <f>'総括表(不課税)'!E34</f>
        <v>公共土木施設災害
復旧事業費国庫負担金</v>
      </c>
      <c r="E34" s="2108" t="str">
        <f>'総括表(不課税)'!F34</f>
        <v>対象事業費×２／３</v>
      </c>
      <c r="F34" s="2109" t="str">
        <f>'総括表(不課税)'!G34</f>
        <v>2年度分
公共土木施設災害復旧事業費(補助事業繰越分)の課税支出割合</v>
      </c>
      <c r="G34" s="2111">
        <f>'総括表(不課税)'!H34</f>
        <v>0</v>
      </c>
      <c r="H34" s="2113">
        <f>'総括表(不課税)'!I34</f>
        <v>0</v>
      </c>
      <c r="I34" s="2114">
        <f>'総括表(不課税)'!J34</f>
        <v>0</v>
      </c>
      <c r="J34" s="1687"/>
    </row>
    <row r="35" spans="1:10" ht="15.75" hidden="1" customHeight="1" outlineLevel="1">
      <c r="A35" s="2186"/>
      <c r="B35" s="2034"/>
      <c r="C35" s="2105"/>
      <c r="D35" s="2107"/>
      <c r="E35" s="2108"/>
      <c r="F35" s="2110"/>
      <c r="G35" s="2112"/>
      <c r="H35" s="2113"/>
      <c r="I35" s="2114"/>
      <c r="J35" s="1687"/>
    </row>
    <row r="36" spans="1:10" ht="15.75" hidden="1" customHeight="1" outlineLevel="1">
      <c r="A36" s="2186"/>
      <c r="B36" s="2034"/>
      <c r="C36" s="2103" t="s">
        <v>5260</v>
      </c>
      <c r="D36" s="2106" t="str">
        <f>'総括表(不課税)'!E36</f>
        <v>災害関連農村生活環境
施設復旧事業国庫補助金</v>
      </c>
      <c r="E36" s="2108">
        <f>'総括表(不課税)'!F36</f>
        <v>0</v>
      </c>
      <c r="F36" s="2109" t="str">
        <f>'総括表(不課税)'!G36</f>
        <v>3年度分
災害関連農村生活環境施設復旧事業(補助事業現年分)の課税支出割合</v>
      </c>
      <c r="G36" s="2111">
        <f>'総括表(不課税)'!H36</f>
        <v>0</v>
      </c>
      <c r="H36" s="2113">
        <f>'総括表(不課税)'!I36</f>
        <v>0</v>
      </c>
      <c r="I36" s="2114">
        <f>'総括表(不課税)'!J36</f>
        <v>0</v>
      </c>
      <c r="J36" s="1687"/>
    </row>
    <row r="37" spans="1:10" ht="15.75" hidden="1" customHeight="1" outlineLevel="1">
      <c r="A37" s="2186"/>
      <c r="B37" s="2034"/>
      <c r="C37" s="2104"/>
      <c r="D37" s="2107"/>
      <c r="E37" s="2108"/>
      <c r="F37" s="2110"/>
      <c r="G37" s="2112"/>
      <c r="H37" s="2113"/>
      <c r="I37" s="2114"/>
      <c r="J37" s="1687"/>
    </row>
    <row r="38" spans="1:10" ht="15.75" hidden="1" customHeight="1" outlineLevel="1">
      <c r="A38" s="2186"/>
      <c r="B38" s="2034"/>
      <c r="C38" s="2104"/>
      <c r="D38" s="2106" t="str">
        <f>'総括表(不課税)'!E38</f>
        <v>災害関連農村生活環境
施設復旧事業国庫補助金</v>
      </c>
      <c r="E38" s="2108" t="str">
        <f>'総括表(不課税)'!F38</f>
        <v>対象事業費×１／２</v>
      </c>
      <c r="F38" s="2109" t="str">
        <f>'総括表(不課税)'!G38</f>
        <v>2年度分
災害関連農村生活環境施設復旧事業(補助事業繰越分)の課税支出割合</v>
      </c>
      <c r="G38" s="2111">
        <f>'総括表(不課税)'!H38</f>
        <v>0</v>
      </c>
      <c r="H38" s="2113">
        <f>'総括表(不課税)'!I38</f>
        <v>0</v>
      </c>
      <c r="I38" s="2114">
        <f>'総括表(不課税)'!J38</f>
        <v>0</v>
      </c>
      <c r="J38" s="1687"/>
    </row>
    <row r="39" spans="1:10" ht="15.75" hidden="1" customHeight="1" outlineLevel="1">
      <c r="A39" s="2186"/>
      <c r="B39" s="2034"/>
      <c r="C39" s="2105"/>
      <c r="D39" s="2107"/>
      <c r="E39" s="2108"/>
      <c r="F39" s="2110"/>
      <c r="G39" s="2112"/>
      <c r="H39" s="2113"/>
      <c r="I39" s="2114"/>
      <c r="J39" s="1687"/>
    </row>
    <row r="40" spans="1:10" ht="15.75" hidden="1" customHeight="1" outlineLevel="1">
      <c r="A40" s="2186"/>
      <c r="B40" s="2034"/>
      <c r="C40" s="2103" t="s">
        <v>5085</v>
      </c>
      <c r="D40" s="2106">
        <f>'総括表(不課税)'!E40</f>
        <v>0</v>
      </c>
      <c r="E40" s="2108">
        <f>'総括表(不課税)'!F40</f>
        <v>0</v>
      </c>
      <c r="F40" s="2109">
        <f>'総括表(不課税)'!G40</f>
        <v>0</v>
      </c>
      <c r="G40" s="2111">
        <f>'総括表(不課税)'!H40</f>
        <v>0</v>
      </c>
      <c r="H40" s="2113">
        <f>'総括表(不課税)'!I40</f>
        <v>0</v>
      </c>
      <c r="I40" s="2114">
        <f>'総括表(不課税)'!J40</f>
        <v>0</v>
      </c>
      <c r="J40" s="1687"/>
    </row>
    <row r="41" spans="1:10" ht="15.75" hidden="1" customHeight="1" outlineLevel="1">
      <c r="A41" s="2186"/>
      <c r="B41" s="2034"/>
      <c r="C41" s="2104"/>
      <c r="D41" s="2107"/>
      <c r="E41" s="2108"/>
      <c r="F41" s="2110"/>
      <c r="G41" s="2112"/>
      <c r="H41" s="2113"/>
      <c r="I41" s="2114"/>
      <c r="J41" s="1687"/>
    </row>
    <row r="42" spans="1:10" ht="15.75" hidden="1" customHeight="1" outlineLevel="1">
      <c r="A42" s="2186"/>
      <c r="B42" s="2034"/>
      <c r="C42" s="2104"/>
      <c r="D42" s="2106">
        <f>'総括表(不課税)'!E42</f>
        <v>0</v>
      </c>
      <c r="E42" s="2108">
        <f>'総括表(不課税)'!F42</f>
        <v>0</v>
      </c>
      <c r="F42" s="2109">
        <f>'総括表(不課税)'!G42</f>
        <v>0</v>
      </c>
      <c r="G42" s="2111">
        <f>'総括表(不課税)'!H42</f>
        <v>0</v>
      </c>
      <c r="H42" s="2113">
        <f>'総括表(不課税)'!I42</f>
        <v>0</v>
      </c>
      <c r="I42" s="2114">
        <f>'総括表(不課税)'!J42</f>
        <v>0</v>
      </c>
      <c r="J42" s="1687"/>
    </row>
    <row r="43" spans="1:10" ht="15.75" hidden="1" customHeight="1" outlineLevel="1">
      <c r="A43" s="2186"/>
      <c r="B43" s="2034"/>
      <c r="C43" s="2105"/>
      <c r="D43" s="2107"/>
      <c r="E43" s="2108"/>
      <c r="F43" s="2110"/>
      <c r="G43" s="2112"/>
      <c r="H43" s="2113"/>
      <c r="I43" s="2114"/>
      <c r="J43" s="1687"/>
    </row>
    <row r="44" spans="1:10" ht="10.5" customHeight="1" collapsed="1">
      <c r="A44" s="2186"/>
      <c r="B44" s="2148" t="s">
        <v>5025</v>
      </c>
      <c r="C44" s="2148"/>
      <c r="D44" s="2147"/>
      <c r="E44" s="1706"/>
      <c r="F44" s="1710"/>
      <c r="G44" s="2781">
        <f>G46</f>
        <v>16476593</v>
      </c>
      <c r="H44" s="2785">
        <f>H46</f>
        <v>0</v>
      </c>
      <c r="I44" s="2782">
        <f>I46</f>
        <v>16476593</v>
      </c>
      <c r="J44" s="1687"/>
    </row>
    <row r="45" spans="1:10" ht="10.5" customHeight="1">
      <c r="A45" s="2186"/>
      <c r="B45" s="2175"/>
      <c r="C45" s="2175"/>
      <c r="D45" s="2176"/>
      <c r="E45" s="1708"/>
      <c r="F45" s="1705"/>
      <c r="G45" s="2779"/>
      <c r="H45" s="2786"/>
      <c r="I45" s="2780"/>
      <c r="J45" s="1687"/>
    </row>
    <row r="46" spans="1:10" ht="10.5" customHeight="1">
      <c r="A46" s="2186"/>
      <c r="B46" s="1645"/>
      <c r="C46" s="2146" t="s">
        <v>5026</v>
      </c>
      <c r="D46" s="2147"/>
      <c r="E46" s="2118" t="s">
        <v>5027</v>
      </c>
      <c r="F46" s="2115" t="s">
        <v>5028</v>
      </c>
      <c r="G46" s="2791">
        <f>+'3条他会計'!G6</f>
        <v>16476593</v>
      </c>
      <c r="H46" s="2788">
        <f>+'3条他会計'!H6</f>
        <v>0</v>
      </c>
      <c r="I46" s="2782">
        <f>G46-H46</f>
        <v>16476593</v>
      </c>
      <c r="J46" s="1687"/>
    </row>
    <row r="47" spans="1:10" ht="10.5" customHeight="1">
      <c r="A47" s="2186"/>
      <c r="B47" s="1645"/>
      <c r="C47" s="2234"/>
      <c r="D47" s="2235"/>
      <c r="E47" s="2119"/>
      <c r="F47" s="2157"/>
      <c r="G47" s="2792"/>
      <c r="H47" s="2790"/>
      <c r="I47" s="2780"/>
      <c r="J47" s="1687"/>
    </row>
    <row r="48" spans="1:10" ht="10.5" customHeight="1">
      <c r="A48" s="2186"/>
      <c r="B48" s="2148" t="s">
        <v>5029</v>
      </c>
      <c r="C48" s="2148"/>
      <c r="D48" s="2147"/>
      <c r="E48" s="1706"/>
      <c r="F48" s="1711"/>
      <c r="G48" s="2781">
        <f>G50+G58</f>
        <v>9203253</v>
      </c>
      <c r="H48" s="2781">
        <f>H50+H58</f>
        <v>5368538</v>
      </c>
      <c r="I48" s="2782">
        <f>I50+I58</f>
        <v>3834715</v>
      </c>
      <c r="J48" s="1687"/>
    </row>
    <row r="49" spans="1:10" ht="10.5" customHeight="1">
      <c r="A49" s="2186"/>
      <c r="B49" s="2175"/>
      <c r="C49" s="2175"/>
      <c r="D49" s="2176"/>
      <c r="E49" s="1708"/>
      <c r="F49" s="1709"/>
      <c r="G49" s="2779"/>
      <c r="H49" s="2779"/>
      <c r="I49" s="2780"/>
      <c r="J49" s="1687"/>
    </row>
    <row r="50" spans="1:10" ht="10.5" customHeight="1">
      <c r="A50" s="2186"/>
      <c r="B50" s="1645"/>
      <c r="C50" s="2146" t="s">
        <v>5030</v>
      </c>
      <c r="D50" s="2147"/>
      <c r="E50" s="1706"/>
      <c r="F50" s="1711"/>
      <c r="G50" s="2781">
        <f>SUM(G52:G57)</f>
        <v>4980</v>
      </c>
      <c r="H50" s="2781">
        <f>SUM(H52:H57)</f>
        <v>0</v>
      </c>
      <c r="I50" s="2782">
        <f>SUM(I52:I57)</f>
        <v>4980</v>
      </c>
      <c r="J50" s="1687"/>
    </row>
    <row r="51" spans="1:10" ht="10.5" customHeight="1">
      <c r="A51" s="2186"/>
      <c r="B51" s="1645"/>
      <c r="C51" s="2197"/>
      <c r="D51" s="2176"/>
      <c r="E51" s="1708"/>
      <c r="F51" s="1709"/>
      <c r="G51" s="2779"/>
      <c r="H51" s="2779"/>
      <c r="I51" s="2780"/>
      <c r="J51" s="1687"/>
    </row>
    <row r="52" spans="1:10" ht="10.5" hidden="1" customHeight="1" outlineLevel="1">
      <c r="A52" s="2186"/>
      <c r="B52" s="1645"/>
      <c r="C52" s="1651"/>
      <c r="D52" s="2130" t="s">
        <v>5007</v>
      </c>
      <c r="E52" s="2118" t="s">
        <v>5031</v>
      </c>
      <c r="F52" s="2115" t="s">
        <v>5009</v>
      </c>
      <c r="G52" s="2127">
        <f>'3条補助金'!G10</f>
        <v>0</v>
      </c>
      <c r="H52" s="2127">
        <f>'3条補助金'!H10</f>
        <v>0</v>
      </c>
      <c r="I52" s="2782">
        <f>G52-H52</f>
        <v>0</v>
      </c>
      <c r="J52" s="1687"/>
    </row>
    <row r="53" spans="1:10" ht="10.5" hidden="1" customHeight="1" outlineLevel="1">
      <c r="A53" s="2186"/>
      <c r="B53" s="1645"/>
      <c r="C53" s="1651"/>
      <c r="D53" s="2131"/>
      <c r="E53" s="2119"/>
      <c r="F53" s="2117"/>
      <c r="G53" s="2128"/>
      <c r="H53" s="2129"/>
      <c r="I53" s="2780"/>
      <c r="J53" s="1687"/>
    </row>
    <row r="54" spans="1:10" ht="10.5" hidden="1" customHeight="1" outlineLevel="1">
      <c r="A54" s="2186"/>
      <c r="B54" s="1645"/>
      <c r="C54" s="1651"/>
      <c r="D54" s="2130" t="s">
        <v>5010</v>
      </c>
      <c r="E54" s="2132" t="s">
        <v>5032</v>
      </c>
      <c r="F54" s="2109" t="s">
        <v>5000</v>
      </c>
      <c r="G54" s="2127">
        <f>'3条補助金'!G16</f>
        <v>0</v>
      </c>
      <c r="H54" s="2783">
        <f>'3条補助金'!H16</f>
        <v>0</v>
      </c>
      <c r="I54" s="2782">
        <f>G54-H54</f>
        <v>0</v>
      </c>
      <c r="J54" s="1687"/>
    </row>
    <row r="55" spans="1:10" ht="10.5" hidden="1" customHeight="1" outlineLevel="1">
      <c r="A55" s="2186"/>
      <c r="B55" s="1645"/>
      <c r="C55" s="1651"/>
      <c r="D55" s="2139"/>
      <c r="E55" s="2133"/>
      <c r="F55" s="2164"/>
      <c r="G55" s="2128"/>
      <c r="H55" s="2784"/>
      <c r="I55" s="2780"/>
      <c r="J55" s="1687"/>
    </row>
    <row r="56" spans="1:10" ht="10.5" customHeight="1" collapsed="1">
      <c r="A56" s="2186"/>
      <c r="B56" s="1645"/>
      <c r="C56" s="1651"/>
      <c r="D56" s="2131" t="s">
        <v>5033</v>
      </c>
      <c r="E56" s="2119" t="s">
        <v>5034</v>
      </c>
      <c r="F56" s="2159" t="s">
        <v>4989</v>
      </c>
      <c r="G56" s="2127">
        <f>'3条補助金'!G18</f>
        <v>4980</v>
      </c>
      <c r="H56" s="2127">
        <f>'3条補助金'!H18</f>
        <v>0</v>
      </c>
      <c r="I56" s="2782">
        <f>G56-H56</f>
        <v>4980</v>
      </c>
      <c r="J56" s="1687"/>
    </row>
    <row r="57" spans="1:10" ht="10.5" customHeight="1">
      <c r="A57" s="2186"/>
      <c r="B57" s="1645"/>
      <c r="C57" s="1651"/>
      <c r="D57" s="2131"/>
      <c r="E57" s="2119"/>
      <c r="F57" s="2117"/>
      <c r="G57" s="2129"/>
      <c r="H57" s="2128"/>
      <c r="I57" s="2780"/>
      <c r="J57" s="1687"/>
    </row>
    <row r="58" spans="1:10" ht="10.5" customHeight="1">
      <c r="A58" s="2186"/>
      <c r="B58" s="1645"/>
      <c r="C58" s="2262" t="s">
        <v>5101</v>
      </c>
      <c r="D58" s="2263"/>
      <c r="E58" s="2266" t="s">
        <v>5104</v>
      </c>
      <c r="F58" s="2268" t="s">
        <v>5103</v>
      </c>
      <c r="G58" s="2793">
        <f>'3条補助金'!G20</f>
        <v>9198273</v>
      </c>
      <c r="H58" s="2793">
        <f>'3条補助金'!H20</f>
        <v>5368538</v>
      </c>
      <c r="I58" s="2794">
        <f>G58-H58</f>
        <v>3829735</v>
      </c>
      <c r="J58" s="1687"/>
    </row>
    <row r="59" spans="1:10" ht="10.5" customHeight="1">
      <c r="A59" s="2186"/>
      <c r="B59" s="1645"/>
      <c r="C59" s="2264"/>
      <c r="D59" s="2265"/>
      <c r="E59" s="2267"/>
      <c r="F59" s="2269"/>
      <c r="G59" s="2795"/>
      <c r="H59" s="2795"/>
      <c r="I59" s="2796"/>
      <c r="J59" s="1687"/>
    </row>
    <row r="60" spans="1:10" ht="10.5" customHeight="1">
      <c r="A60" s="2186"/>
      <c r="B60" s="2254" t="s">
        <v>5035</v>
      </c>
      <c r="C60" s="2255"/>
      <c r="D60" s="2256"/>
      <c r="E60" s="2248"/>
      <c r="F60" s="2109" t="s">
        <v>5063</v>
      </c>
      <c r="G60" s="2217">
        <f>+'総括表(不課税)'!H60</f>
        <v>9701615928</v>
      </c>
      <c r="H60" s="2127">
        <f>+'総括表(不課税)'!I60</f>
        <v>256789</v>
      </c>
      <c r="I60" s="2782">
        <f>G60-H60</f>
        <v>9701359139</v>
      </c>
      <c r="J60" s="1687"/>
    </row>
    <row r="61" spans="1:10" ht="10.5" customHeight="1" thickBot="1">
      <c r="A61" s="2186"/>
      <c r="B61" s="2257"/>
      <c r="C61" s="2258"/>
      <c r="D61" s="2259"/>
      <c r="E61" s="2249"/>
      <c r="F61" s="2270"/>
      <c r="G61" s="2797"/>
      <c r="H61" s="2798"/>
      <c r="I61" s="2799"/>
      <c r="J61" s="1687"/>
    </row>
    <row r="62" spans="1:10" ht="10.5" customHeight="1">
      <c r="A62" s="2187"/>
      <c r="B62" s="2250" t="s">
        <v>4951</v>
      </c>
      <c r="C62" s="2246"/>
      <c r="D62" s="2247"/>
      <c r="E62" s="1654"/>
      <c r="F62" s="1661"/>
      <c r="G62" s="2800">
        <f>G6+G22+G44+G48+G60</f>
        <v>23701924001</v>
      </c>
      <c r="H62" s="2801">
        <f>H6+H22+H44+H48+H60</f>
        <v>2312892880</v>
      </c>
      <c r="I62" s="2802">
        <f>I6+I22+I44+I48+I60</f>
        <v>21389031121</v>
      </c>
      <c r="J62" s="1687"/>
    </row>
    <row r="63" spans="1:10" ht="10.5" customHeight="1" thickBot="1">
      <c r="A63" s="2214"/>
      <c r="B63" s="2251"/>
      <c r="C63" s="2252"/>
      <c r="D63" s="2253"/>
      <c r="E63" s="1647"/>
      <c r="F63" s="1662"/>
      <c r="G63" s="2803"/>
      <c r="H63" s="2804"/>
      <c r="I63" s="2799"/>
      <c r="J63" s="1687"/>
    </row>
    <row r="64" spans="1:10" ht="10.5" customHeight="1">
      <c r="A64" s="2185" t="s">
        <v>5036</v>
      </c>
      <c r="B64" s="2246" t="s">
        <v>5021</v>
      </c>
      <c r="C64" s="2246"/>
      <c r="D64" s="2247"/>
      <c r="E64" s="1654"/>
      <c r="F64" s="1661"/>
      <c r="G64" s="2805">
        <f>G66+G94</f>
        <v>5717788000</v>
      </c>
      <c r="H64" s="2805">
        <f>H66+H94</f>
        <v>5712285006</v>
      </c>
      <c r="I64" s="2806">
        <f>I66+I94</f>
        <v>5502994</v>
      </c>
      <c r="J64" s="1687"/>
    </row>
    <row r="65" spans="1:10" ht="10.5" customHeight="1">
      <c r="A65" s="2186"/>
      <c r="B65" s="2175"/>
      <c r="C65" s="2175"/>
      <c r="D65" s="2176"/>
      <c r="E65" s="1650"/>
      <c r="F65" s="1659"/>
      <c r="G65" s="2786"/>
      <c r="H65" s="2786"/>
      <c r="I65" s="2807"/>
      <c r="J65" s="1687"/>
    </row>
    <row r="66" spans="1:10" ht="10.5" customHeight="1">
      <c r="A66" s="2186"/>
      <c r="B66" s="1645"/>
      <c r="C66" s="2146" t="s">
        <v>5091</v>
      </c>
      <c r="D66" s="2147"/>
      <c r="E66" s="1689"/>
      <c r="F66" s="1734"/>
      <c r="G66" s="2127">
        <f>'4条補助（公）'!G6</f>
        <v>5683800000</v>
      </c>
      <c r="H66" s="2127">
        <f>'4条補助（公）'!H6</f>
        <v>5678297006</v>
      </c>
      <c r="I66" s="2260">
        <f>'4条補助（公）'!I6</f>
        <v>5502994</v>
      </c>
      <c r="J66" s="1687"/>
    </row>
    <row r="67" spans="1:10" ht="10.5" customHeight="1">
      <c r="A67" s="2186"/>
      <c r="B67" s="1645"/>
      <c r="C67" s="2197"/>
      <c r="D67" s="2176"/>
      <c r="E67" s="1650"/>
      <c r="F67" s="1734"/>
      <c r="G67" s="2129"/>
      <c r="H67" s="2129"/>
      <c r="I67" s="2261"/>
      <c r="J67" s="1687"/>
    </row>
    <row r="68" spans="1:10" ht="10.5" customHeight="1">
      <c r="A68" s="2186"/>
      <c r="B68" s="1645"/>
      <c r="C68" s="2152" t="s">
        <v>5037</v>
      </c>
      <c r="D68" s="2130" t="str">
        <f>'4条補助（公）'!C8</f>
        <v>管路等・一般</v>
      </c>
      <c r="E68" s="2156" t="str">
        <f>'4条補助（公）'!D8</f>
        <v>4,762,313.150千円×５／１０</v>
      </c>
      <c r="F68" s="2201" t="str">
        <f>'4条補助（公）'!E8</f>
        <v>5年度分
公共下水道整備事業
(補助事業現年分)の
課税支出割合</v>
      </c>
      <c r="G68" s="2127">
        <f>'4条補助（公）'!G8</f>
        <v>2411526000</v>
      </c>
      <c r="H68" s="2127">
        <f>'4条補助（公）'!H19</f>
        <v>2527700000</v>
      </c>
      <c r="I68" s="2260">
        <f>'4条補助（公）'!I19</f>
        <v>0</v>
      </c>
      <c r="J68" s="1688"/>
    </row>
    <row r="69" spans="1:10" ht="10.5" customHeight="1">
      <c r="A69" s="2186"/>
      <c r="B69" s="1645"/>
      <c r="C69" s="2153"/>
      <c r="D69" s="2139"/>
      <c r="E69" s="2156"/>
      <c r="F69" s="2202"/>
      <c r="G69" s="2129"/>
      <c r="H69" s="2128"/>
      <c r="I69" s="2808"/>
      <c r="J69" s="1688"/>
    </row>
    <row r="70" spans="1:10" ht="10.5" hidden="1" customHeight="1" outlineLevel="1">
      <c r="A70" s="2186"/>
      <c r="B70" s="1645"/>
      <c r="C70" s="2153"/>
      <c r="D70" s="2130" t="str">
        <f>'4条補助（公）'!C10</f>
        <v>管路等・補助裏単市</v>
      </c>
      <c r="E70" s="2140" t="str">
        <f>'4条補助（公）'!D10</f>
        <v>60,375.850千円×５／１０</v>
      </c>
      <c r="F70" s="2202"/>
      <c r="G70" s="2127">
        <f>'4条補助（公）'!G10</f>
        <v>0</v>
      </c>
      <c r="H70" s="2128"/>
      <c r="I70" s="2808"/>
      <c r="J70" s="1688"/>
    </row>
    <row r="71" spans="1:10" ht="10.5" hidden="1" customHeight="1" outlineLevel="1">
      <c r="A71" s="2186"/>
      <c r="B71" s="1645"/>
      <c r="C71" s="2153"/>
      <c r="D71" s="2139"/>
      <c r="E71" s="2140"/>
      <c r="F71" s="2202"/>
      <c r="G71" s="2129"/>
      <c r="H71" s="2128"/>
      <c r="I71" s="2808"/>
      <c r="J71" s="1688"/>
    </row>
    <row r="72" spans="1:10" ht="10.5" hidden="1" customHeight="1" outlineLevel="1">
      <c r="A72" s="2186"/>
      <c r="B72" s="1645"/>
      <c r="C72" s="2153"/>
      <c r="D72" s="2130" t="str">
        <f>'4条補助（公）'!C18</f>
        <v>管路等・促進・工事国債</v>
      </c>
      <c r="E72" s="2140">
        <f>'4条補助（公）'!D18</f>
        <v>0</v>
      </c>
      <c r="F72" s="2202"/>
      <c r="G72" s="2127">
        <f>'4条補助（公）'!G18</f>
        <v>0</v>
      </c>
      <c r="H72" s="2128"/>
      <c r="I72" s="2808"/>
      <c r="J72" s="1688"/>
    </row>
    <row r="73" spans="1:10" ht="10.5" hidden="1" customHeight="1" outlineLevel="1">
      <c r="A73" s="2186"/>
      <c r="B73" s="1645"/>
      <c r="C73" s="2153"/>
      <c r="D73" s="2139"/>
      <c r="E73" s="2140"/>
      <c r="F73" s="2202"/>
      <c r="G73" s="2129"/>
      <c r="H73" s="2128"/>
      <c r="I73" s="2808"/>
      <c r="J73" s="1688"/>
    </row>
    <row r="74" spans="1:10" ht="10.5" customHeight="1" collapsed="1">
      <c r="A74" s="2186"/>
      <c r="B74" s="1645"/>
      <c r="C74" s="2153"/>
      <c r="D74" s="2130" t="str">
        <f>'4条補助（公）'!C20</f>
        <v>処理場・一般・高率</v>
      </c>
      <c r="E74" s="2242" t="str">
        <f>'4条補助（公）'!D20</f>
        <v>191,660千円×５．５／１０</v>
      </c>
      <c r="F74" s="2202"/>
      <c r="G74" s="2127">
        <f>'4条補助（公）'!G20</f>
        <v>105413000</v>
      </c>
      <c r="H74" s="2128"/>
      <c r="I74" s="2808"/>
      <c r="J74" s="1688"/>
    </row>
    <row r="75" spans="1:10" ht="10.5" customHeight="1">
      <c r="A75" s="2186"/>
      <c r="B75" s="1645"/>
      <c r="C75" s="2153"/>
      <c r="D75" s="2139"/>
      <c r="E75" s="2243"/>
      <c r="F75" s="2202"/>
      <c r="G75" s="2129"/>
      <c r="H75" s="2128"/>
      <c r="I75" s="2808"/>
      <c r="J75" s="1688"/>
    </row>
    <row r="76" spans="1:10" ht="10.5" customHeight="1">
      <c r="A76" s="2186"/>
      <c r="B76" s="1645"/>
      <c r="C76" s="2154"/>
      <c r="D76" s="2130" t="str">
        <f>'4条補助（公）'!C22</f>
        <v>処理場・一般・低率</v>
      </c>
      <c r="E76" s="2140" t="str">
        <f>'4条補助（公）'!D22</f>
        <v>21,525千円×５／１０</v>
      </c>
      <c r="F76" s="2202"/>
      <c r="G76" s="2127">
        <f>'4条補助（公）'!G22</f>
        <v>10761000</v>
      </c>
      <c r="H76" s="2128"/>
      <c r="I76" s="2808"/>
      <c r="J76" s="1688"/>
    </row>
    <row r="77" spans="1:10" ht="10.5" customHeight="1">
      <c r="A77" s="2186"/>
      <c r="B77" s="1645"/>
      <c r="C77" s="2154"/>
      <c r="D77" s="2139"/>
      <c r="E77" s="2140"/>
      <c r="F77" s="2202"/>
      <c r="G77" s="2129"/>
      <c r="H77" s="2128"/>
      <c r="I77" s="2808"/>
      <c r="J77" s="1688"/>
    </row>
    <row r="78" spans="1:10" ht="10.5" hidden="1" customHeight="1" outlineLevel="1">
      <c r="A78" s="2186"/>
      <c r="B78" s="1645"/>
      <c r="C78" s="2154"/>
      <c r="D78" s="2130" t="str">
        <f>'4条補助（公）'!C30</f>
        <v>過年度補助金</v>
      </c>
      <c r="E78" s="2140">
        <f>'4条補助（公）'!D30</f>
        <v>0</v>
      </c>
      <c r="F78" s="2202"/>
      <c r="G78" s="2127">
        <f>'4条補助（公）'!G30</f>
        <v>0</v>
      </c>
      <c r="H78" s="2128"/>
      <c r="I78" s="2808"/>
      <c r="J78" s="1688"/>
    </row>
    <row r="79" spans="1:10" ht="10.5" hidden="1" customHeight="1" outlineLevel="1">
      <c r="A79" s="2186"/>
      <c r="B79" s="1645"/>
      <c r="C79" s="2154"/>
      <c r="D79" s="2139"/>
      <c r="E79" s="2140"/>
      <c r="F79" s="2202"/>
      <c r="G79" s="2129"/>
      <c r="H79" s="2128"/>
      <c r="I79" s="2808"/>
      <c r="J79" s="1688"/>
    </row>
    <row r="80" spans="1:10" ht="10.5" customHeight="1" collapsed="1">
      <c r="A80" s="2186"/>
      <c r="B80" s="1645"/>
      <c r="C80" s="2154"/>
      <c r="D80" s="2195" t="str">
        <f>'4条補助（公）'!C32</f>
        <v>管路等・一般(繰越分)</v>
      </c>
      <c r="E80" s="2156" t="str">
        <f>'4条補助（公）'!D32</f>
        <v>4,286,012.1千円×５／１０</v>
      </c>
      <c r="F80" s="2201" t="str">
        <f>+'4条補助（公）'!E32</f>
        <v>4年度分
公共下水道整備事業
(補助事業繰越分)の
課税支出割合</v>
      </c>
      <c r="G80" s="2127">
        <f>'4条補助（公）'!G32</f>
        <v>2201500000</v>
      </c>
      <c r="H80" s="2127">
        <f>'4条補助（公）'!H37</f>
        <v>3150597006</v>
      </c>
      <c r="I80" s="2260">
        <f>'4条補助（公）'!I37</f>
        <v>5502994</v>
      </c>
    </row>
    <row r="81" spans="1:10" ht="10.5" customHeight="1">
      <c r="A81" s="2186"/>
      <c r="B81" s="1645"/>
      <c r="C81" s="2154"/>
      <c r="D81" s="2195"/>
      <c r="E81" s="2156"/>
      <c r="F81" s="2202"/>
      <c r="G81" s="2128"/>
      <c r="H81" s="2128"/>
      <c r="I81" s="2808"/>
    </row>
    <row r="82" spans="1:10" ht="10.5" customHeight="1">
      <c r="A82" s="2186"/>
      <c r="B82" s="1645"/>
      <c r="C82" s="2154"/>
      <c r="D82" s="2195" t="str">
        <f>'4条補助（公）'!C34</f>
        <v>管路等・補助裏単市
（繰越分）</v>
      </c>
      <c r="E82" s="2140" t="str">
        <f>'4条補助（公）'!D34</f>
        <v>13,187.9千円×５／１０</v>
      </c>
      <c r="F82" s="2202"/>
      <c r="G82" s="2128"/>
      <c r="H82" s="2128"/>
      <c r="I82" s="2808"/>
    </row>
    <row r="83" spans="1:10" ht="10.5" customHeight="1">
      <c r="A83" s="2186"/>
      <c r="B83" s="1645"/>
      <c r="C83" s="2154"/>
      <c r="D83" s="2195"/>
      <c r="E83" s="2140"/>
      <c r="F83" s="2202"/>
      <c r="G83" s="2129"/>
      <c r="H83" s="2128"/>
      <c r="I83" s="2808"/>
    </row>
    <row r="84" spans="1:10" ht="10.5" hidden="1" customHeight="1" outlineLevel="1">
      <c r="A84" s="2186"/>
      <c r="B84" s="1645"/>
      <c r="C84" s="2154"/>
      <c r="D84" s="2137" t="str">
        <f>'4条補助（公）'!C36</f>
        <v>管路等・一般(高率分)</v>
      </c>
      <c r="E84" s="2140">
        <f>'4条補助（公）'!D36</f>
        <v>0</v>
      </c>
      <c r="F84" s="2202"/>
      <c r="G84" s="2809">
        <f>'4条補助（公）'!G36</f>
        <v>0</v>
      </c>
      <c r="H84" s="2128"/>
      <c r="I84" s="2808"/>
    </row>
    <row r="85" spans="1:10" ht="10.5" hidden="1" customHeight="1" outlineLevel="1">
      <c r="A85" s="2186"/>
      <c r="B85" s="1645"/>
      <c r="C85" s="2154"/>
      <c r="D85" s="2138"/>
      <c r="E85" s="2140"/>
      <c r="F85" s="2202"/>
      <c r="G85" s="2809"/>
      <c r="H85" s="2128"/>
      <c r="I85" s="2808"/>
    </row>
    <row r="86" spans="1:10" ht="10.5" customHeight="1" collapsed="1">
      <c r="A86" s="2186"/>
      <c r="B86" s="1645"/>
      <c r="C86" s="2154"/>
      <c r="D86" s="2137" t="str">
        <f>'4条補助（公）'!C38</f>
        <v>処理場・一般・高率
(繰越分)</v>
      </c>
      <c r="E86" s="2242" t="str">
        <f>'4条補助（公）'!D38</f>
        <v>1,292,000千円×５．５／１０</v>
      </c>
      <c r="F86" s="2202"/>
      <c r="G86" s="2809">
        <f>'4条補助（公）'!G38</f>
        <v>710600000</v>
      </c>
      <c r="H86" s="2128"/>
      <c r="I86" s="2808"/>
    </row>
    <row r="87" spans="1:10" ht="10.5" customHeight="1">
      <c r="A87" s="2186"/>
      <c r="B87" s="1645"/>
      <c r="C87" s="2154"/>
      <c r="D87" s="2138"/>
      <c r="E87" s="2243"/>
      <c r="F87" s="2202"/>
      <c r="G87" s="2809"/>
      <c r="H87" s="2128"/>
      <c r="I87" s="2808"/>
    </row>
    <row r="88" spans="1:10" ht="10.5" customHeight="1">
      <c r="A88" s="2186"/>
      <c r="B88" s="1645"/>
      <c r="C88" s="2154"/>
      <c r="D88" s="2137" t="str">
        <f>'4条補助（公）'!C40</f>
        <v>処理場・一般・低率
(繰越分)</v>
      </c>
      <c r="E88" s="2141" t="str">
        <f>'4条補助（公）'!D40</f>
        <v>488,000千円×５／１０</v>
      </c>
      <c r="F88" s="2202"/>
      <c r="G88" s="2128">
        <f>'4条補助（公）'!G40</f>
        <v>244000000</v>
      </c>
      <c r="H88" s="2128"/>
      <c r="I88" s="2808"/>
    </row>
    <row r="89" spans="1:10" ht="10.5" customHeight="1">
      <c r="A89" s="2186"/>
      <c r="B89" s="1645"/>
      <c r="C89" s="2155"/>
      <c r="D89" s="2138"/>
      <c r="E89" s="2143"/>
      <c r="F89" s="2203"/>
      <c r="G89" s="2129"/>
      <c r="H89" s="2129"/>
      <c r="I89" s="2261"/>
    </row>
    <row r="90" spans="1:10" ht="10.5" hidden="1" customHeight="1">
      <c r="A90" s="2186"/>
      <c r="B90" s="2189" t="s">
        <v>4996</v>
      </c>
      <c r="C90" s="2148"/>
      <c r="D90" s="2147"/>
      <c r="E90" s="1652"/>
      <c r="F90" s="1655"/>
      <c r="G90" s="2810">
        <f>G92</f>
        <v>0</v>
      </c>
      <c r="H90" s="2810">
        <f>H92</f>
        <v>0</v>
      </c>
      <c r="I90" s="2811">
        <f>I92</f>
        <v>0</v>
      </c>
      <c r="J90" s="1687"/>
    </row>
    <row r="91" spans="1:10" ht="10.5" hidden="1" customHeight="1">
      <c r="A91" s="2186"/>
      <c r="B91" s="2190"/>
      <c r="C91" s="2175"/>
      <c r="D91" s="2176"/>
      <c r="E91" s="1650"/>
      <c r="F91" s="1659"/>
      <c r="G91" s="2812"/>
      <c r="H91" s="2812"/>
      <c r="I91" s="2813"/>
      <c r="J91" s="1687"/>
    </row>
    <row r="92" spans="1:10" ht="10.5" hidden="1" customHeight="1">
      <c r="A92" s="2186"/>
      <c r="B92" s="1645"/>
      <c r="C92" s="2171" t="s">
        <v>5050</v>
      </c>
      <c r="D92" s="2172"/>
      <c r="E92" s="2140"/>
      <c r="F92" s="2115" t="s">
        <v>4997</v>
      </c>
      <c r="G92" s="2810">
        <v>0</v>
      </c>
      <c r="H92" s="2810">
        <v>0</v>
      </c>
      <c r="I92" s="2811">
        <v>0</v>
      </c>
      <c r="J92" s="1687"/>
    </row>
    <row r="93" spans="1:10" ht="10.5" hidden="1" customHeight="1">
      <c r="A93" s="2186"/>
      <c r="B93" s="1645"/>
      <c r="C93" s="2173"/>
      <c r="D93" s="2172"/>
      <c r="E93" s="2140"/>
      <c r="F93" s="2116"/>
      <c r="G93" s="2812"/>
      <c r="H93" s="2812"/>
      <c r="I93" s="2813"/>
      <c r="J93" s="1687"/>
    </row>
    <row r="94" spans="1:10" ht="10.5" customHeight="1">
      <c r="A94" s="2186"/>
      <c r="B94" s="1645"/>
      <c r="C94" s="2146" t="s">
        <v>5082</v>
      </c>
      <c r="D94" s="2147"/>
      <c r="E94" s="1652"/>
      <c r="F94" s="1710"/>
      <c r="G94" s="2785">
        <f>SUM(G96:G115)</f>
        <v>33988000</v>
      </c>
      <c r="H94" s="2785">
        <f>SUM(H96:H115)</f>
        <v>33988000</v>
      </c>
      <c r="I94" s="2814">
        <f>SUM(I96:I115)</f>
        <v>0</v>
      </c>
      <c r="J94" s="1687"/>
    </row>
    <row r="95" spans="1:10" ht="10.5" customHeight="1">
      <c r="A95" s="2186"/>
      <c r="B95" s="1645"/>
      <c r="C95" s="2197"/>
      <c r="D95" s="2176"/>
      <c r="E95" s="1650"/>
      <c r="F95" s="1705"/>
      <c r="G95" s="2786"/>
      <c r="H95" s="2786"/>
      <c r="I95" s="2807"/>
      <c r="J95" s="1687"/>
    </row>
    <row r="96" spans="1:10" ht="10.5" customHeight="1">
      <c r="A96" s="2186"/>
      <c r="B96" s="1645"/>
      <c r="C96" s="2198" t="s">
        <v>5083</v>
      </c>
      <c r="D96" s="2130" t="str">
        <f>'4条補助（特）'!C8</f>
        <v>管路等・一般</v>
      </c>
      <c r="E96" s="2141" t="str">
        <f>'4条補助（特）'!D8</f>
        <v>25,200千円×５／１０</v>
      </c>
      <c r="F96" s="2208" t="str">
        <f>+'4条補助（特）'!E8</f>
        <v>5年度分
特定環境保全公共下水道整備事業
(補助事業現年分)の
課税支出割合</v>
      </c>
      <c r="G96" s="2127">
        <f>'4条補助（特）'!G8</f>
        <v>12600000</v>
      </c>
      <c r="H96" s="2127">
        <f>'4条補助（特）'!H19</f>
        <v>12600000</v>
      </c>
      <c r="I96" s="2260">
        <f>'4条補助（特）'!I19</f>
        <v>0</v>
      </c>
      <c r="J96" s="1687"/>
    </row>
    <row r="97" spans="1:10" ht="10.5" customHeight="1">
      <c r="A97" s="2186"/>
      <c r="B97" s="1645"/>
      <c r="C97" s="2199"/>
      <c r="D97" s="2131"/>
      <c r="E97" s="2142"/>
      <c r="F97" s="2209"/>
      <c r="G97" s="2128"/>
      <c r="H97" s="2128"/>
      <c r="I97" s="2808"/>
      <c r="J97" s="1687"/>
    </row>
    <row r="98" spans="1:10" ht="10.5" customHeight="1">
      <c r="A98" s="2186"/>
      <c r="B98" s="1645"/>
      <c r="C98" s="2199"/>
      <c r="D98" s="2131">
        <f>'4条補助（公）'!C50</f>
        <v>0</v>
      </c>
      <c r="E98" s="2142"/>
      <c r="F98" s="2209"/>
      <c r="G98" s="2128"/>
      <c r="H98" s="2128"/>
      <c r="I98" s="2808"/>
      <c r="J98" s="1687"/>
    </row>
    <row r="99" spans="1:10" ht="10.5" customHeight="1">
      <c r="A99" s="2186"/>
      <c r="B99" s="1645"/>
      <c r="C99" s="2199"/>
      <c r="D99" s="2139"/>
      <c r="E99" s="2143"/>
      <c r="F99" s="2210"/>
      <c r="G99" s="2129"/>
      <c r="H99" s="2129"/>
      <c r="I99" s="2261"/>
      <c r="J99" s="1687"/>
    </row>
    <row r="100" spans="1:10" ht="10.5" customHeight="1">
      <c r="A100" s="2186"/>
      <c r="B100" s="1645"/>
      <c r="C100" s="2199"/>
      <c r="D100" s="2191" t="str">
        <f>'4条補助（特）'!C32</f>
        <v>管路等・一般(繰越分)</v>
      </c>
      <c r="E100" s="2134" t="str">
        <f>'4条補助（特）'!D32</f>
        <v>5,000千円×５／１０</v>
      </c>
      <c r="F100" s="2205" t="str">
        <f>+'4条補助（特）'!E32</f>
        <v>4年度分
特定環境保全公共下水道整備事業
(補助事業繰越分)の
課税支出割合</v>
      </c>
      <c r="G100" s="2815">
        <f>'4条補助（特）'!G32</f>
        <v>2500000</v>
      </c>
      <c r="H100" s="2217">
        <f>'4条補助（特）'!H37</f>
        <v>17900000</v>
      </c>
      <c r="I100" s="2816">
        <f>'4条補助（特）'!I37</f>
        <v>0</v>
      </c>
      <c r="J100" s="1687"/>
    </row>
    <row r="101" spans="1:10" ht="10.5" customHeight="1">
      <c r="A101" s="2186"/>
      <c r="B101" s="1645"/>
      <c r="C101" s="2199"/>
      <c r="D101" s="2192"/>
      <c r="E101" s="2135"/>
      <c r="F101" s="2206"/>
      <c r="G101" s="2815"/>
      <c r="H101" s="2218"/>
      <c r="I101" s="2817"/>
      <c r="J101" s="1687"/>
    </row>
    <row r="102" spans="1:10" ht="10.5" customHeight="1">
      <c r="A102" s="2186"/>
      <c r="B102" s="1645"/>
      <c r="C102" s="2199"/>
      <c r="D102" s="2192">
        <f>'4条補助（公）'!C54</f>
        <v>0</v>
      </c>
      <c r="E102" s="2135">
        <f>'4条補助（公）'!D54</f>
        <v>0</v>
      </c>
      <c r="F102" s="2206"/>
      <c r="G102" s="2818">
        <f>'総括表(不課税)'!H109</f>
        <v>15400000</v>
      </c>
      <c r="H102" s="2218"/>
      <c r="I102" s="2817"/>
      <c r="J102" s="1687"/>
    </row>
    <row r="103" spans="1:10" ht="10.5" customHeight="1">
      <c r="A103" s="2186"/>
      <c r="B103" s="1645"/>
      <c r="C103" s="2200"/>
      <c r="D103" s="2193"/>
      <c r="E103" s="2136"/>
      <c r="F103" s="2207"/>
      <c r="G103" s="2819"/>
      <c r="H103" s="2219"/>
      <c r="I103" s="2820"/>
      <c r="J103" s="1687"/>
    </row>
    <row r="104" spans="1:10" ht="10.5" hidden="1" customHeight="1" outlineLevel="1">
      <c r="A104" s="2186"/>
      <c r="B104" s="1645"/>
      <c r="C104" s="2124" t="s">
        <v>5084</v>
      </c>
      <c r="D104" s="2130" t="str">
        <f>'4条補助（農）'!C8</f>
        <v>管路等・一般</v>
      </c>
      <c r="E104" s="2141">
        <f>'4条補助（農）'!D8</f>
        <v>0</v>
      </c>
      <c r="F104" s="2208" t="str">
        <f>+'4条補助（農）'!E8</f>
        <v>5年度分
農業集落排水事業
(補助事業現年分)の
課税支出割合</v>
      </c>
      <c r="G104" s="2127">
        <f>'4条補助（農）'!G8</f>
        <v>0</v>
      </c>
      <c r="H104" s="2127">
        <f>'4条補助（農）'!H19</f>
        <v>0</v>
      </c>
      <c r="I104" s="2260">
        <f>'4条補助（農）'!I19</f>
        <v>0</v>
      </c>
      <c r="J104" s="1687"/>
    </row>
    <row r="105" spans="1:10" ht="10.5" hidden="1" customHeight="1" outlineLevel="1">
      <c r="A105" s="2186"/>
      <c r="B105" s="1645"/>
      <c r="C105" s="2125"/>
      <c r="D105" s="2131"/>
      <c r="E105" s="2142"/>
      <c r="F105" s="2209"/>
      <c r="G105" s="2128"/>
      <c r="H105" s="2128"/>
      <c r="I105" s="2808"/>
      <c r="J105" s="1687"/>
    </row>
    <row r="106" spans="1:10" ht="10.5" hidden="1" customHeight="1" outlineLevel="1">
      <c r="A106" s="2186"/>
      <c r="B106" s="1645"/>
      <c r="C106" s="2125"/>
      <c r="D106" s="2131"/>
      <c r="E106" s="2142"/>
      <c r="F106" s="2209"/>
      <c r="G106" s="2128"/>
      <c r="H106" s="2128"/>
      <c r="I106" s="2808"/>
      <c r="J106" s="1687"/>
    </row>
    <row r="107" spans="1:10" ht="10.5" hidden="1" customHeight="1" outlineLevel="1">
      <c r="A107" s="2186"/>
      <c r="B107" s="1645"/>
      <c r="C107" s="2125"/>
      <c r="D107" s="2139"/>
      <c r="E107" s="2143"/>
      <c r="F107" s="2210"/>
      <c r="G107" s="2129"/>
      <c r="H107" s="2129"/>
      <c r="I107" s="2261"/>
      <c r="J107" s="1687"/>
    </row>
    <row r="108" spans="1:10" ht="10.5" hidden="1" customHeight="1" outlineLevel="1">
      <c r="A108" s="2186"/>
      <c r="B108" s="1645"/>
      <c r="C108" s="2125"/>
      <c r="D108" s="2191" t="str">
        <f>'4条補助（農）'!C32</f>
        <v>管路等・一般(繰越分)</v>
      </c>
      <c r="E108" s="2134" t="str">
        <f>'4条補助（農）'!D32</f>
        <v>75,000千円×５／１０</v>
      </c>
      <c r="F108" s="2205" t="str">
        <f>'4条補助（農）'!E32</f>
        <v>4年度分
農業集落排水事業
(補助事業繰越分)の
課税支出割合</v>
      </c>
      <c r="G108" s="2217">
        <f>'4条補助（農）'!G32</f>
        <v>0</v>
      </c>
      <c r="H108" s="2217">
        <f>'4条補助（農）'!H37</f>
        <v>0</v>
      </c>
      <c r="I108" s="2816">
        <f>'4条補助（農）'!I37</f>
        <v>0</v>
      </c>
      <c r="J108" s="1687"/>
    </row>
    <row r="109" spans="1:10" ht="10.5" hidden="1" customHeight="1" outlineLevel="1">
      <c r="A109" s="2186"/>
      <c r="B109" s="1645"/>
      <c r="C109" s="2125"/>
      <c r="D109" s="2192"/>
      <c r="E109" s="2135"/>
      <c r="F109" s="2206"/>
      <c r="G109" s="2218"/>
      <c r="H109" s="2218"/>
      <c r="I109" s="2817"/>
      <c r="J109" s="1687"/>
    </row>
    <row r="110" spans="1:10" ht="10.5" hidden="1" customHeight="1" outlineLevel="1">
      <c r="A110" s="2186"/>
      <c r="B110" s="1645"/>
      <c r="C110" s="2125"/>
      <c r="D110" s="2192"/>
      <c r="E110" s="2135"/>
      <c r="F110" s="2206"/>
      <c r="G110" s="2218"/>
      <c r="H110" s="2218"/>
      <c r="I110" s="2817"/>
      <c r="J110" s="1687"/>
    </row>
    <row r="111" spans="1:10" ht="10.5" hidden="1" customHeight="1" outlineLevel="1">
      <c r="A111" s="2186"/>
      <c r="B111" s="1645"/>
      <c r="C111" s="2126"/>
      <c r="D111" s="2193"/>
      <c r="E111" s="2136"/>
      <c r="F111" s="2207"/>
      <c r="G111" s="2219"/>
      <c r="H111" s="2219"/>
      <c r="I111" s="2820"/>
      <c r="J111" s="1687"/>
    </row>
    <row r="112" spans="1:10" ht="10.5" customHeight="1" collapsed="1">
      <c r="A112" s="2186"/>
      <c r="B112" s="1645"/>
      <c r="C112" s="2124" t="s">
        <v>5085</v>
      </c>
      <c r="D112" s="2130" t="str">
        <f>'4条補助（浄）'!C8</f>
        <v>浄化槽</v>
      </c>
      <c r="E112" s="2141" t="str">
        <f>'4条補助（浄）'!D8</f>
        <v>12,726.2千円×１／３</v>
      </c>
      <c r="F112" s="2208" t="str">
        <f>+'4条補助（浄）'!E8</f>
        <v>5年度分
市営浄化槽事業
(補助事業現年分)の
課税支出割合</v>
      </c>
      <c r="G112" s="2818">
        <f>'4条補助（浄）'!G6</f>
        <v>3488000</v>
      </c>
      <c r="H112" s="2127">
        <f>'4条補助（浄）'!H6</f>
        <v>3488000</v>
      </c>
      <c r="I112" s="2260">
        <f>'4条補助（浄）'!I6</f>
        <v>0</v>
      </c>
      <c r="J112" s="1687"/>
    </row>
    <row r="113" spans="1:10" ht="10.5" customHeight="1">
      <c r="A113" s="2186"/>
      <c r="B113" s="1645"/>
      <c r="C113" s="2125"/>
      <c r="D113" s="2131"/>
      <c r="E113" s="2142"/>
      <c r="F113" s="2209"/>
      <c r="G113" s="2821"/>
      <c r="H113" s="2128"/>
      <c r="I113" s="2808"/>
      <c r="J113" s="1687"/>
    </row>
    <row r="114" spans="1:10" ht="10.5" customHeight="1">
      <c r="A114" s="2186"/>
      <c r="B114" s="1645"/>
      <c r="C114" s="2125"/>
      <c r="D114" s="2131"/>
      <c r="E114" s="2142"/>
      <c r="F114" s="2209"/>
      <c r="G114" s="2821"/>
      <c r="H114" s="2128"/>
      <c r="I114" s="2808"/>
      <c r="J114" s="1687"/>
    </row>
    <row r="115" spans="1:10" ht="10.5" customHeight="1">
      <c r="A115" s="2186"/>
      <c r="B115" s="1645"/>
      <c r="C115" s="2125"/>
      <c r="D115" s="2131"/>
      <c r="E115" s="2142"/>
      <c r="F115" s="2210"/>
      <c r="G115" s="2821"/>
      <c r="H115" s="2128"/>
      <c r="I115" s="2808"/>
      <c r="J115" s="1687"/>
    </row>
    <row r="116" spans="1:10" ht="10.5" hidden="1" customHeight="1" outlineLevel="1">
      <c r="A116" s="2186"/>
      <c r="B116" s="2189" t="s">
        <v>5096</v>
      </c>
      <c r="C116" s="2148"/>
      <c r="D116" s="2147"/>
      <c r="E116" s="1652"/>
      <c r="F116" s="1742"/>
      <c r="G116" s="2127">
        <f>SUM(G118:G133)</f>
        <v>0</v>
      </c>
      <c r="H116" s="2127">
        <f t="shared" ref="H116:I116" si="1">SUM(H118:H133)</f>
        <v>0</v>
      </c>
      <c r="I116" s="2260">
        <f t="shared" si="1"/>
        <v>0</v>
      </c>
      <c r="J116" s="1687"/>
    </row>
    <row r="117" spans="1:10" ht="10.5" hidden="1" customHeight="1" outlineLevel="1">
      <c r="A117" s="2186"/>
      <c r="B117" s="2190"/>
      <c r="C117" s="2175"/>
      <c r="D117" s="2176"/>
      <c r="E117" s="1650"/>
      <c r="F117" s="1741"/>
      <c r="G117" s="2129"/>
      <c r="H117" s="2129"/>
      <c r="I117" s="2261"/>
      <c r="J117" s="1687"/>
    </row>
    <row r="118" spans="1:10" ht="10.5" hidden="1" customHeight="1" outlineLevel="1">
      <c r="A118" s="2186"/>
      <c r="B118" s="2028"/>
      <c r="C118" s="2103" t="s">
        <v>5259</v>
      </c>
      <c r="D118" s="2106" t="str">
        <f>'総括表(不課税)'!E122</f>
        <v>公共土木施設災害
復旧事業費国庫負担金</v>
      </c>
      <c r="E118" s="2240" t="str">
        <f>'総括表(不課税)'!F122</f>
        <v>対象事業費×２／３</v>
      </c>
      <c r="F118" s="2106" t="str">
        <f>'総括表(不課税)'!G122</f>
        <v>4年度分
公共土木施設災害復旧事業費(補助事業現年分)の課税支出割合</v>
      </c>
      <c r="G118" s="2822">
        <f>'総括表(不課税)'!H122</f>
        <v>0</v>
      </c>
      <c r="H118" s="2822">
        <f>'総括表(不課税)'!I122</f>
        <v>0</v>
      </c>
      <c r="I118" s="2823">
        <f>'総括表(不課税)'!J122</f>
        <v>0</v>
      </c>
      <c r="J118" s="1687"/>
    </row>
    <row r="119" spans="1:10" ht="10.5" hidden="1" customHeight="1" outlineLevel="1">
      <c r="A119" s="2186"/>
      <c r="B119" s="2028"/>
      <c r="C119" s="2104"/>
      <c r="D119" s="2107"/>
      <c r="E119" s="2241"/>
      <c r="F119" s="2107"/>
      <c r="G119" s="2824"/>
      <c r="H119" s="2824"/>
      <c r="I119" s="2825"/>
      <c r="J119" s="1687"/>
    </row>
    <row r="120" spans="1:10" ht="10.5" hidden="1" customHeight="1" outlineLevel="1">
      <c r="A120" s="2186"/>
      <c r="B120" s="2028"/>
      <c r="C120" s="2104"/>
      <c r="D120" s="2106" t="str">
        <f>'総括表(不課税)'!E124</f>
        <v>公共土木施設災害
復旧事業費国庫負担金</v>
      </c>
      <c r="E120" s="2240" t="str">
        <f>'総括表(不課税)'!F124</f>
        <v>対象事業費×２／３</v>
      </c>
      <c r="F120" s="2106" t="str">
        <f>'総括表(不課税)'!G124</f>
        <v>3年度分
公共土木施設災害復旧事業費(補助事業繰越分)の課税支出割合</v>
      </c>
      <c r="G120" s="2822">
        <f>'総括表(不課税)'!H124</f>
        <v>0</v>
      </c>
      <c r="H120" s="2822">
        <f>'総括表(不課税)'!I124</f>
        <v>0</v>
      </c>
      <c r="I120" s="2823">
        <f>'総括表(不課税)'!J124</f>
        <v>0</v>
      </c>
      <c r="J120" s="1687"/>
    </row>
    <row r="121" spans="1:10" ht="10.5" hidden="1" customHeight="1" outlineLevel="1">
      <c r="A121" s="2186"/>
      <c r="B121" s="2028"/>
      <c r="C121" s="2105"/>
      <c r="D121" s="2107"/>
      <c r="E121" s="2241"/>
      <c r="F121" s="2107"/>
      <c r="G121" s="2824"/>
      <c r="H121" s="2824"/>
      <c r="I121" s="2825"/>
      <c r="J121" s="1687"/>
    </row>
    <row r="122" spans="1:10" ht="10.5" hidden="1" customHeight="1" outlineLevel="1">
      <c r="A122" s="2186"/>
      <c r="B122" s="2028"/>
      <c r="C122" s="2103" t="s">
        <v>5083</v>
      </c>
      <c r="D122" s="2106" t="str">
        <f>'総括表(不課税)'!E126</f>
        <v>公共土木施設災害
復旧事業費国庫負担金</v>
      </c>
      <c r="E122" s="2240" t="str">
        <f>'総括表(不課税)'!F126</f>
        <v>対象事業費×２／３</v>
      </c>
      <c r="F122" s="2106" t="str">
        <f>'総括表(不課税)'!G126</f>
        <v>4年度分
公共土木施設災害復旧事業費(補助事業現年分)の課税支出割合</v>
      </c>
      <c r="G122" s="2822">
        <f>'総括表(不課税)'!H126</f>
        <v>0</v>
      </c>
      <c r="H122" s="2822">
        <f>'総括表(不課税)'!I126</f>
        <v>0</v>
      </c>
      <c r="I122" s="2823">
        <f>'総括表(不課税)'!J126</f>
        <v>0</v>
      </c>
      <c r="J122" s="1687"/>
    </row>
    <row r="123" spans="1:10" ht="10.5" hidden="1" customHeight="1" outlineLevel="1">
      <c r="A123" s="2186"/>
      <c r="B123" s="2028"/>
      <c r="C123" s="2104"/>
      <c r="D123" s="2107"/>
      <c r="E123" s="2241"/>
      <c r="F123" s="2107"/>
      <c r="G123" s="2824"/>
      <c r="H123" s="2824"/>
      <c r="I123" s="2825"/>
      <c r="J123" s="1687"/>
    </row>
    <row r="124" spans="1:10" ht="10.5" hidden="1" customHeight="1" outlineLevel="1">
      <c r="A124" s="2186"/>
      <c r="B124" s="2028"/>
      <c r="C124" s="2104"/>
      <c r="D124" s="2106" t="str">
        <f>'総括表(不課税)'!E128</f>
        <v>公共土木施設災害
復旧事業費国庫負担金</v>
      </c>
      <c r="E124" s="2240" t="str">
        <f>'総括表(不課税)'!F128</f>
        <v>対象事業費×２／３</v>
      </c>
      <c r="F124" s="2106" t="str">
        <f>'総括表(不課税)'!G128</f>
        <v>3年度分
公共土木施設災害復旧事業費(補助事業繰越分)の課税支出割合</v>
      </c>
      <c r="G124" s="2822">
        <f>'総括表(不課税)'!H128</f>
        <v>0</v>
      </c>
      <c r="H124" s="2822">
        <f>'総括表(不課税)'!I128</f>
        <v>0</v>
      </c>
      <c r="I124" s="2823">
        <f>'総括表(不課税)'!J128</f>
        <v>0</v>
      </c>
      <c r="J124" s="1687"/>
    </row>
    <row r="125" spans="1:10" ht="10.5" hidden="1" customHeight="1" outlineLevel="1">
      <c r="A125" s="2186"/>
      <c r="B125" s="2028"/>
      <c r="C125" s="2105"/>
      <c r="D125" s="2107"/>
      <c r="E125" s="2241"/>
      <c r="F125" s="2107"/>
      <c r="G125" s="2824"/>
      <c r="H125" s="2824"/>
      <c r="I125" s="2825"/>
      <c r="J125" s="1687"/>
    </row>
    <row r="126" spans="1:10" ht="10.5" hidden="1" customHeight="1" outlineLevel="1">
      <c r="A126" s="2186"/>
      <c r="B126" s="2028"/>
      <c r="C126" s="2103" t="s">
        <v>5260</v>
      </c>
      <c r="D126" s="2106" t="str">
        <f>'総括表(不課税)'!E130</f>
        <v>災害関連農村生活環境
施設復旧事業国庫補助金</v>
      </c>
      <c r="E126" s="2240" t="str">
        <f>'総括表(不課税)'!F130</f>
        <v>対象事業費×１／２</v>
      </c>
      <c r="F126" s="2106" t="str">
        <f>'総括表(不課税)'!G130</f>
        <v>4年度分
災害関連農村生活環境施設復旧事業(補助事業現年分)の課税支出割合</v>
      </c>
      <c r="G126" s="2822">
        <f>'総括表(不課税)'!H130</f>
        <v>0</v>
      </c>
      <c r="H126" s="2822">
        <f>'総括表(不課税)'!I130</f>
        <v>0</v>
      </c>
      <c r="I126" s="2823">
        <f>'総括表(不課税)'!J130</f>
        <v>0</v>
      </c>
      <c r="J126" s="1687"/>
    </row>
    <row r="127" spans="1:10" ht="10.5" hidden="1" customHeight="1" outlineLevel="1">
      <c r="A127" s="2186"/>
      <c r="B127" s="2028"/>
      <c r="C127" s="2104"/>
      <c r="D127" s="2107"/>
      <c r="E127" s="2241"/>
      <c r="F127" s="2107"/>
      <c r="G127" s="2824"/>
      <c r="H127" s="2824"/>
      <c r="I127" s="2825"/>
      <c r="J127" s="1687"/>
    </row>
    <row r="128" spans="1:10" ht="10.5" hidden="1" customHeight="1" outlineLevel="1">
      <c r="A128" s="2186"/>
      <c r="B128" s="2028"/>
      <c r="C128" s="2104"/>
      <c r="D128" s="2106" t="str">
        <f>'総括表(不課税)'!E132</f>
        <v>災害関連農村生活環境
施設復旧事業国庫補助金</v>
      </c>
      <c r="E128" s="2240" t="str">
        <f>'総括表(不課税)'!F132</f>
        <v>対象事業費×１／２</v>
      </c>
      <c r="F128" s="2106" t="str">
        <f>'総括表(不課税)'!G132</f>
        <v>3年度分
災害関連農村生活環境施設復旧事業(補助事業繰越分)の課税支出割合</v>
      </c>
      <c r="G128" s="2822">
        <f>'総括表(不課税)'!H132</f>
        <v>0</v>
      </c>
      <c r="H128" s="2822">
        <f>'総括表(不課税)'!I132</f>
        <v>0</v>
      </c>
      <c r="I128" s="2823">
        <f>'総括表(不課税)'!J132</f>
        <v>0</v>
      </c>
      <c r="J128" s="1687"/>
    </row>
    <row r="129" spans="1:10" ht="10.5" hidden="1" customHeight="1" outlineLevel="1">
      <c r="A129" s="2186"/>
      <c r="B129" s="2028"/>
      <c r="C129" s="2105"/>
      <c r="D129" s="2107"/>
      <c r="E129" s="2241"/>
      <c r="F129" s="2107"/>
      <c r="G129" s="2824"/>
      <c r="H129" s="2824"/>
      <c r="I129" s="2825"/>
      <c r="J129" s="1687"/>
    </row>
    <row r="130" spans="1:10" ht="10.5" hidden="1" customHeight="1" outlineLevel="1">
      <c r="A130" s="2186"/>
      <c r="B130" s="2028"/>
      <c r="C130" s="2103" t="s">
        <v>5085</v>
      </c>
      <c r="D130" s="2106">
        <f>'総括表(不課税)'!E134</f>
        <v>0</v>
      </c>
      <c r="E130" s="2240">
        <f>'総括表(不課税)'!F134</f>
        <v>0</v>
      </c>
      <c r="F130" s="2106">
        <f>'総括表(不課税)'!G134</f>
        <v>0</v>
      </c>
      <c r="G130" s="2822">
        <f>'総括表(不課税)'!H134</f>
        <v>0</v>
      </c>
      <c r="H130" s="2822">
        <f>'総括表(不課税)'!I134</f>
        <v>0</v>
      </c>
      <c r="I130" s="2823">
        <f>'総括表(不課税)'!J134</f>
        <v>0</v>
      </c>
      <c r="J130" s="1687"/>
    </row>
    <row r="131" spans="1:10" ht="10.5" hidden="1" customHeight="1" outlineLevel="1">
      <c r="A131" s="2186"/>
      <c r="B131" s="2028"/>
      <c r="C131" s="2104"/>
      <c r="D131" s="2107"/>
      <c r="E131" s="2241"/>
      <c r="F131" s="2107"/>
      <c r="G131" s="2824"/>
      <c r="H131" s="2824"/>
      <c r="I131" s="2825"/>
      <c r="J131" s="1687"/>
    </row>
    <row r="132" spans="1:10" ht="10.5" hidden="1" customHeight="1" outlineLevel="1">
      <c r="A132" s="2186"/>
      <c r="B132" s="2028"/>
      <c r="C132" s="2104"/>
      <c r="D132" s="2106">
        <f>'総括表(不課税)'!E136</f>
        <v>0</v>
      </c>
      <c r="E132" s="2240">
        <f>'総括表(不課税)'!F136</f>
        <v>0</v>
      </c>
      <c r="F132" s="2106">
        <f>'総括表(不課税)'!G136</f>
        <v>0</v>
      </c>
      <c r="G132" s="2822">
        <f>'総括表(不課税)'!H136</f>
        <v>0</v>
      </c>
      <c r="H132" s="2822">
        <f>'総括表(不課税)'!I136</f>
        <v>0</v>
      </c>
      <c r="I132" s="2823">
        <f>'総括表(不課税)'!J136</f>
        <v>0</v>
      </c>
      <c r="J132" s="1687"/>
    </row>
    <row r="133" spans="1:10" ht="10.5" hidden="1" customHeight="1" outlineLevel="1">
      <c r="A133" s="2186"/>
      <c r="B133" s="2028"/>
      <c r="C133" s="2105"/>
      <c r="D133" s="2107"/>
      <c r="E133" s="2241"/>
      <c r="F133" s="2107"/>
      <c r="G133" s="2824"/>
      <c r="H133" s="2824"/>
      <c r="I133" s="2825"/>
      <c r="J133" s="1687"/>
    </row>
    <row r="134" spans="1:10" ht="10.5" customHeight="1" collapsed="1">
      <c r="A134" s="2186"/>
      <c r="B134" s="2189" t="s">
        <v>5051</v>
      </c>
      <c r="C134" s="2148"/>
      <c r="D134" s="2147"/>
      <c r="E134" s="1652"/>
      <c r="F134" s="1655"/>
      <c r="G134" s="2127">
        <f>'受益（公）'!G6</f>
        <v>8799605</v>
      </c>
      <c r="H134" s="2127">
        <f>'受益（公）'!H6</f>
        <v>8525089</v>
      </c>
      <c r="I134" s="2260">
        <f>'受益（公）'!I6</f>
        <v>274516</v>
      </c>
      <c r="J134" s="1687"/>
    </row>
    <row r="135" spans="1:10" ht="10.5" customHeight="1">
      <c r="A135" s="2186"/>
      <c r="B135" s="2190"/>
      <c r="C135" s="2175"/>
      <c r="D135" s="2176"/>
      <c r="E135" s="1650"/>
      <c r="F135" s="1659"/>
      <c r="G135" s="2129"/>
      <c r="H135" s="2129"/>
      <c r="I135" s="2261"/>
      <c r="J135" s="1687"/>
    </row>
    <row r="136" spans="1:10" ht="10.5" customHeight="1">
      <c r="A136" s="2186"/>
      <c r="B136" s="1645"/>
      <c r="C136" s="2171" t="s">
        <v>5050</v>
      </c>
      <c r="D136" s="2172"/>
      <c r="E136" s="2140"/>
      <c r="F136" s="2115" t="str">
        <f>+'受益（公）'!E8</f>
        <v>5年度分補助事業
の課税支出割合
（現年）</v>
      </c>
      <c r="G136" s="2127">
        <f>'受益（公）'!G8</f>
        <v>5005000</v>
      </c>
      <c r="H136" s="2127">
        <f>'受益（公）'!H8</f>
        <v>5005000</v>
      </c>
      <c r="I136" s="2260">
        <f>'受益（公）'!I8</f>
        <v>0</v>
      </c>
      <c r="J136" s="1687"/>
    </row>
    <row r="137" spans="1:10" ht="10.5" customHeight="1">
      <c r="A137" s="2186"/>
      <c r="B137" s="1645"/>
      <c r="C137" s="2173"/>
      <c r="D137" s="2172"/>
      <c r="E137" s="2140"/>
      <c r="F137" s="2116"/>
      <c r="G137" s="2129"/>
      <c r="H137" s="2129"/>
      <c r="I137" s="2261"/>
      <c r="J137" s="1687"/>
    </row>
    <row r="138" spans="1:10" ht="10.5" customHeight="1">
      <c r="A138" s="2186"/>
      <c r="B138" s="1645"/>
      <c r="C138" s="2171" t="s">
        <v>5052</v>
      </c>
      <c r="D138" s="2172"/>
      <c r="E138" s="2140"/>
      <c r="F138" s="2115" t="str">
        <f>+'受益（公）'!E10</f>
        <v>5年度分起債事業
の課税支出割合
（現年）</v>
      </c>
      <c r="G138" s="2127">
        <f>'受益（公）'!G10</f>
        <v>3794605</v>
      </c>
      <c r="H138" s="2127">
        <f>'受益（公）'!H10</f>
        <v>3520089</v>
      </c>
      <c r="I138" s="2260">
        <f>'受益（公）'!I10</f>
        <v>274516</v>
      </c>
      <c r="J138" s="1687"/>
    </row>
    <row r="139" spans="1:10" ht="10.5" customHeight="1">
      <c r="A139" s="2186"/>
      <c r="B139" s="1645"/>
      <c r="C139" s="2174"/>
      <c r="D139" s="2132"/>
      <c r="E139" s="2141"/>
      <c r="F139" s="2116"/>
      <c r="G139" s="2128"/>
      <c r="H139" s="2128"/>
      <c r="I139" s="2808"/>
      <c r="J139" s="1687"/>
    </row>
    <row r="140" spans="1:10" ht="10.5" customHeight="1">
      <c r="A140" s="2186"/>
      <c r="B140" s="2189" t="s">
        <v>5077</v>
      </c>
      <c r="C140" s="2148"/>
      <c r="D140" s="2147"/>
      <c r="E140" s="1652"/>
      <c r="F140" s="1710"/>
      <c r="G140" s="2127">
        <f>SUM(G142:G145)</f>
        <v>35218280</v>
      </c>
      <c r="H140" s="2127">
        <f>SUM(H142:H145)</f>
        <v>33459431</v>
      </c>
      <c r="I140" s="2260">
        <f>SUM(I142:I145)</f>
        <v>1758849</v>
      </c>
      <c r="J140" s="1687"/>
    </row>
    <row r="141" spans="1:10" ht="10.5" customHeight="1">
      <c r="A141" s="2186"/>
      <c r="B141" s="2190"/>
      <c r="C141" s="2175"/>
      <c r="D141" s="2176"/>
      <c r="E141" s="1650"/>
      <c r="F141" s="1705"/>
      <c r="G141" s="2129"/>
      <c r="H141" s="2129"/>
      <c r="I141" s="2261"/>
      <c r="J141" s="1687"/>
    </row>
    <row r="142" spans="1:10" ht="10.5" customHeight="1">
      <c r="A142" s="2186"/>
      <c r="B142" s="1645"/>
      <c r="C142" s="2171" t="s">
        <v>5093</v>
      </c>
      <c r="D142" s="2172"/>
      <c r="E142" s="2244"/>
      <c r="F142" s="2115" t="str">
        <f>+F136</f>
        <v>5年度分補助事業
の課税支出割合
（現年）</v>
      </c>
      <c r="G142" s="2127">
        <f>'受益（区域外）'!G8</f>
        <v>1842000</v>
      </c>
      <c r="H142" s="2809">
        <f>'受益（区域外）'!H8</f>
        <v>1842000</v>
      </c>
      <c r="I142" s="2826">
        <f>'受益（区域外）'!I8</f>
        <v>0</v>
      </c>
      <c r="J142" s="1687"/>
    </row>
    <row r="143" spans="1:10" ht="10.5" customHeight="1">
      <c r="A143" s="2186"/>
      <c r="B143" s="1645"/>
      <c r="C143" s="2173"/>
      <c r="D143" s="2172"/>
      <c r="E143" s="2245"/>
      <c r="F143" s="2116"/>
      <c r="G143" s="2128"/>
      <c r="H143" s="2809"/>
      <c r="I143" s="2826"/>
      <c r="J143" s="1687"/>
    </row>
    <row r="144" spans="1:10" ht="10.5" customHeight="1">
      <c r="A144" s="2186"/>
      <c r="B144" s="1645"/>
      <c r="C144" s="2171" t="s">
        <v>5095</v>
      </c>
      <c r="D144" s="2172"/>
      <c r="E144" s="2244"/>
      <c r="F144" s="2115" t="str">
        <f>+F138</f>
        <v>5年度分起債事業
の課税支出割合
（現年）</v>
      </c>
      <c r="G144" s="2127">
        <f>'受益（区域外）'!G10</f>
        <v>33376280</v>
      </c>
      <c r="H144" s="2809">
        <f>'受益（区域外）'!H10</f>
        <v>31617431</v>
      </c>
      <c r="I144" s="2826">
        <f>'受益（区域外）'!I10</f>
        <v>1758849</v>
      </c>
      <c r="J144" s="1687"/>
    </row>
    <row r="145" spans="1:10" ht="10.5" customHeight="1">
      <c r="A145" s="2186"/>
      <c r="B145" s="1645"/>
      <c r="C145" s="2174"/>
      <c r="D145" s="2132"/>
      <c r="E145" s="2245"/>
      <c r="F145" s="2116"/>
      <c r="G145" s="2128"/>
      <c r="H145" s="2809"/>
      <c r="I145" s="2826"/>
      <c r="J145" s="1687"/>
    </row>
    <row r="146" spans="1:10" ht="10.5" customHeight="1">
      <c r="A146" s="2186"/>
      <c r="B146" s="2148" t="s">
        <v>5053</v>
      </c>
      <c r="C146" s="2148"/>
      <c r="D146" s="2147"/>
      <c r="E146" s="1652"/>
      <c r="F146" s="1653"/>
      <c r="G146" s="2127">
        <f>'4条工事負担金'!G6</f>
        <v>514968182</v>
      </c>
      <c r="H146" s="2127">
        <f>'4条工事負担金'!H6</f>
        <v>351364357</v>
      </c>
      <c r="I146" s="2260">
        <f>'4条工事負担金'!I6</f>
        <v>163603825</v>
      </c>
      <c r="J146" s="1687"/>
    </row>
    <row r="147" spans="1:10" ht="10.5" customHeight="1">
      <c r="A147" s="2186"/>
      <c r="B147" s="2175"/>
      <c r="C147" s="2175"/>
      <c r="D147" s="2176"/>
      <c r="E147" s="1650"/>
      <c r="F147" s="1649"/>
      <c r="G147" s="2129"/>
      <c r="H147" s="2129"/>
      <c r="I147" s="2261"/>
      <c r="J147" s="1687"/>
    </row>
    <row r="148" spans="1:10" ht="10.5" hidden="1" customHeight="1" outlineLevel="1">
      <c r="A148" s="2186"/>
      <c r="B148" s="1645"/>
      <c r="C148" s="2177" t="s">
        <v>5054</v>
      </c>
      <c r="D148" s="2138"/>
      <c r="E148" s="2212"/>
      <c r="F148" s="2115" t="str">
        <f>+'4条工事負担金'!E8</f>
        <v>5年度分単市事業
の課税支出割合
(現年＋繰越)</v>
      </c>
      <c r="G148" s="2127">
        <f>'4条工事負担金'!G8</f>
        <v>0</v>
      </c>
      <c r="H148" s="2127">
        <f>'4条工事負担金'!H8</f>
        <v>0</v>
      </c>
      <c r="I148" s="2260">
        <f>'4条工事負担金'!I8</f>
        <v>0</v>
      </c>
      <c r="J148" s="1687"/>
    </row>
    <row r="149" spans="1:10" ht="10.5" hidden="1" customHeight="1" outlineLevel="1">
      <c r="A149" s="2186"/>
      <c r="B149" s="1645"/>
      <c r="C149" s="2178"/>
      <c r="D149" s="2138"/>
      <c r="E149" s="2212"/>
      <c r="F149" s="2116"/>
      <c r="G149" s="2129"/>
      <c r="H149" s="2129"/>
      <c r="I149" s="2261"/>
      <c r="J149" s="1687"/>
    </row>
    <row r="150" spans="1:10" ht="10.5" customHeight="1" collapsed="1">
      <c r="A150" s="2186"/>
      <c r="B150" s="1645"/>
      <c r="C150" s="2177" t="s">
        <v>5055</v>
      </c>
      <c r="D150" s="2138"/>
      <c r="E150" s="2211"/>
      <c r="F150" s="2115" t="str">
        <f>+'4条工事負担金'!E10</f>
        <v>5年度分排水設備事業
の課税支出割合</v>
      </c>
      <c r="G150" s="2127">
        <f>'4条工事負担金'!G10</f>
        <v>279746516</v>
      </c>
      <c r="H150" s="2127">
        <f>'4条工事負担金'!H10</f>
        <v>218135713</v>
      </c>
      <c r="I150" s="2260">
        <f>'4条工事負担金'!I10</f>
        <v>61610803</v>
      </c>
      <c r="J150" s="1687"/>
    </row>
    <row r="151" spans="1:10" ht="10.5" customHeight="1">
      <c r="A151" s="2186"/>
      <c r="B151" s="1645"/>
      <c r="C151" s="2178"/>
      <c r="D151" s="2138"/>
      <c r="E151" s="2212"/>
      <c r="F151" s="2116"/>
      <c r="G151" s="2129"/>
      <c r="H151" s="2129"/>
      <c r="I151" s="2261"/>
      <c r="J151" s="1687"/>
    </row>
    <row r="152" spans="1:10" ht="10.5" hidden="1" customHeight="1" outlineLevel="1">
      <c r="A152" s="2186"/>
      <c r="B152" s="1645"/>
      <c r="C152" s="2177" t="s">
        <v>5056</v>
      </c>
      <c r="D152" s="2138"/>
      <c r="E152" s="2140"/>
      <c r="F152" s="2115" t="str">
        <f>+'4条工事負担金'!E12</f>
        <v>5年度分諸設備新設改良
事業の課税支出割合</v>
      </c>
      <c r="G152" s="2127">
        <f>'4条工事負担金'!G12</f>
        <v>0</v>
      </c>
      <c r="H152" s="2127">
        <f>'4条工事負担金'!H12</f>
        <v>0</v>
      </c>
      <c r="I152" s="2260">
        <f>'4条工事負担金'!I12</f>
        <v>0</v>
      </c>
      <c r="J152" s="1687"/>
    </row>
    <row r="153" spans="1:10" ht="10.5" hidden="1" customHeight="1" outlineLevel="1">
      <c r="A153" s="2186"/>
      <c r="B153" s="1645"/>
      <c r="C153" s="2178"/>
      <c r="D153" s="2138"/>
      <c r="E153" s="2140"/>
      <c r="F153" s="2116"/>
      <c r="G153" s="2129"/>
      <c r="H153" s="2129"/>
      <c r="I153" s="2261"/>
      <c r="J153" s="1687"/>
    </row>
    <row r="154" spans="1:10" ht="10.5" hidden="1" customHeight="1" outlineLevel="1">
      <c r="A154" s="2186"/>
      <c r="B154" s="2072"/>
      <c r="C154" s="2177" t="s">
        <v>5294</v>
      </c>
      <c r="D154" s="2138"/>
      <c r="E154" s="2140"/>
      <c r="F154" s="2115" t="str">
        <f>+'4条工事負担金'!E18</f>
        <v>5年度分(特環)市街化区域外汚水処理施設整備事業の課税支出割合</v>
      </c>
      <c r="G154" s="2127">
        <f>'4条工事負担金'!G18</f>
        <v>0</v>
      </c>
      <c r="H154" s="2127">
        <f>'4条工事負担金'!H18</f>
        <v>0</v>
      </c>
      <c r="I154" s="2260">
        <f>'4条工事負担金'!I18</f>
        <v>0</v>
      </c>
      <c r="J154" s="1687"/>
    </row>
    <row r="155" spans="1:10" ht="10.5" hidden="1" customHeight="1" outlineLevel="1">
      <c r="A155" s="2186"/>
      <c r="B155" s="2072"/>
      <c r="C155" s="2178"/>
      <c r="D155" s="2138"/>
      <c r="E155" s="2140"/>
      <c r="F155" s="2116"/>
      <c r="G155" s="2129"/>
      <c r="H155" s="2129"/>
      <c r="I155" s="2261"/>
      <c r="J155" s="1687"/>
    </row>
    <row r="156" spans="1:10" ht="10.5" hidden="1" customHeight="1" outlineLevel="1">
      <c r="A156" s="2186"/>
      <c r="B156" s="2072"/>
      <c r="C156" s="2177" t="s">
        <v>5295</v>
      </c>
      <c r="D156" s="2138"/>
      <c r="E156" s="2140"/>
      <c r="F156" s="2115" t="str">
        <f>+'4条工事負担金'!E20</f>
        <v>5年度分(農集)市街化区域外汚水処理施設整備事業の課税支出割合</v>
      </c>
      <c r="G156" s="2127">
        <f>'4条工事負担金'!G20</f>
        <v>0</v>
      </c>
      <c r="H156" s="2127">
        <f>'4条工事負担金'!H20</f>
        <v>0</v>
      </c>
      <c r="I156" s="2260">
        <f>'4条工事負担金'!I20</f>
        <v>0</v>
      </c>
      <c r="J156" s="1687"/>
    </row>
    <row r="157" spans="1:10" ht="10.5" hidden="1" customHeight="1" outlineLevel="1">
      <c r="A157" s="2186"/>
      <c r="B157" s="2072"/>
      <c r="C157" s="2178"/>
      <c r="D157" s="2138"/>
      <c r="E157" s="2140"/>
      <c r="F157" s="2116"/>
      <c r="G157" s="2129"/>
      <c r="H157" s="2129"/>
      <c r="I157" s="2261"/>
      <c r="J157" s="1687"/>
    </row>
    <row r="158" spans="1:10" ht="10.5" hidden="1" customHeight="1" outlineLevel="1">
      <c r="A158" s="2186"/>
      <c r="B158" s="2072"/>
      <c r="C158" s="2177" t="s">
        <v>5292</v>
      </c>
      <c r="D158" s="2138"/>
      <c r="E158" s="2140"/>
      <c r="F158" s="2115" t="str">
        <f>+'4条工事負担金'!E22</f>
        <v>5年度分(浄化槽)市街化区域外汚水処理施設整備事業の課税支出割合</v>
      </c>
      <c r="G158" s="2127">
        <f>'4条工事負担金'!G22</f>
        <v>0</v>
      </c>
      <c r="H158" s="2127">
        <f>'4条工事負担金'!H22</f>
        <v>0</v>
      </c>
      <c r="I158" s="2260">
        <f>'4条工事負担金'!I22</f>
        <v>0</v>
      </c>
      <c r="J158" s="1687"/>
    </row>
    <row r="159" spans="1:10" ht="10.5" hidden="1" customHeight="1" outlineLevel="1">
      <c r="A159" s="2186"/>
      <c r="B159" s="2072"/>
      <c r="C159" s="2178"/>
      <c r="D159" s="2138"/>
      <c r="E159" s="2140"/>
      <c r="F159" s="2116"/>
      <c r="G159" s="2129"/>
      <c r="H159" s="2129"/>
      <c r="I159" s="2261"/>
      <c r="J159" s="1687"/>
    </row>
    <row r="160" spans="1:10" ht="10.5" customHeight="1" collapsed="1">
      <c r="A160" s="2186"/>
      <c r="B160" s="1645"/>
      <c r="C160" s="2194" t="s">
        <v>5057</v>
      </c>
      <c r="D160" s="2195"/>
      <c r="E160" s="1652"/>
      <c r="F160" s="2189" t="s">
        <v>5058</v>
      </c>
      <c r="G160" s="2127">
        <f>'4条工事負担金'!G14</f>
        <v>235221666</v>
      </c>
      <c r="H160" s="2127">
        <f>'4条工事負担金'!H14</f>
        <v>133228644</v>
      </c>
      <c r="I160" s="2260">
        <f>'4条工事負担金'!I14</f>
        <v>101993022</v>
      </c>
      <c r="J160" s="1687"/>
    </row>
    <row r="161" spans="1:10" ht="10.5" customHeight="1" thickBot="1">
      <c r="A161" s="2186"/>
      <c r="B161" s="1645"/>
      <c r="C161" s="2196"/>
      <c r="D161" s="2130"/>
      <c r="E161" s="1689"/>
      <c r="F161" s="2204"/>
      <c r="G161" s="2128"/>
      <c r="H161" s="2128"/>
      <c r="I161" s="2808"/>
      <c r="J161" s="1687"/>
    </row>
    <row r="162" spans="1:10" ht="10.5" customHeight="1">
      <c r="A162" s="2187"/>
      <c r="B162" s="2179" t="s">
        <v>4951</v>
      </c>
      <c r="C162" s="2180"/>
      <c r="D162" s="2181"/>
      <c r="E162" s="1712"/>
      <c r="F162" s="1661"/>
      <c r="G162" s="2801">
        <f>G64+G90+G134+G146+G116+G140</f>
        <v>6276774067</v>
      </c>
      <c r="H162" s="2801">
        <f>H64+H90+H134+H146+H140+H116</f>
        <v>6105633883</v>
      </c>
      <c r="I162" s="2802">
        <f>I64+I90+I134+I146+I140+I116</f>
        <v>171140184</v>
      </c>
      <c r="J162" s="1687"/>
    </row>
    <row r="163" spans="1:10" ht="10.5" customHeight="1" thickBot="1">
      <c r="A163" s="2188"/>
      <c r="B163" s="2182"/>
      <c r="C163" s="2183"/>
      <c r="D163" s="2184"/>
      <c r="E163" s="1713"/>
      <c r="F163" s="1714"/>
      <c r="G163" s="2827"/>
      <c r="H163" s="2827"/>
      <c r="I163" s="2828"/>
      <c r="J163" s="1687"/>
    </row>
    <row r="164" spans="1:10" ht="10.5" customHeight="1" thickTop="1">
      <c r="A164" s="2165" t="s">
        <v>4946</v>
      </c>
      <c r="B164" s="2166"/>
      <c r="C164" s="2166"/>
      <c r="D164" s="2167"/>
      <c r="E164" s="1656"/>
      <c r="F164" s="1663"/>
      <c r="G164" s="2829">
        <f>G62+G162</f>
        <v>29978698068</v>
      </c>
      <c r="H164" s="2829">
        <f>H62+H162</f>
        <v>8418526763</v>
      </c>
      <c r="I164" s="2830">
        <f>I62+I162</f>
        <v>21560171305</v>
      </c>
      <c r="J164" s="1687"/>
    </row>
    <row r="165" spans="1:10" ht="10.5" customHeight="1" thickBot="1">
      <c r="A165" s="2168"/>
      <c r="B165" s="2169"/>
      <c r="C165" s="2169"/>
      <c r="D165" s="2170"/>
      <c r="E165" s="1646"/>
      <c r="F165" s="1662"/>
      <c r="G165" s="2804"/>
      <c r="H165" s="2804"/>
      <c r="I165" s="2831"/>
      <c r="J165" s="1687"/>
    </row>
  </sheetData>
  <mergeCells count="410">
    <mergeCell ref="C158:D159"/>
    <mergeCell ref="E158:E159"/>
    <mergeCell ref="F158:F159"/>
    <mergeCell ref="G158:G159"/>
    <mergeCell ref="H158:H159"/>
    <mergeCell ref="I158:I159"/>
    <mergeCell ref="C154:D155"/>
    <mergeCell ref="E154:E155"/>
    <mergeCell ref="F154:F155"/>
    <mergeCell ref="G154:G155"/>
    <mergeCell ref="H154:H155"/>
    <mergeCell ref="I154:I155"/>
    <mergeCell ref="C156:D157"/>
    <mergeCell ref="E156:E157"/>
    <mergeCell ref="F156:F157"/>
    <mergeCell ref="G156:G157"/>
    <mergeCell ref="H156:H157"/>
    <mergeCell ref="I156:I157"/>
    <mergeCell ref="I128:I129"/>
    <mergeCell ref="E130:E131"/>
    <mergeCell ref="F130:F131"/>
    <mergeCell ref="G130:G131"/>
    <mergeCell ref="H130:H131"/>
    <mergeCell ref="I130:I131"/>
    <mergeCell ref="B116:D117"/>
    <mergeCell ref="H116:H117"/>
    <mergeCell ref="F120:F121"/>
    <mergeCell ref="H120:H121"/>
    <mergeCell ref="I120:I121"/>
    <mergeCell ref="F122:F123"/>
    <mergeCell ref="H122:H123"/>
    <mergeCell ref="I122:I123"/>
    <mergeCell ref="F124:F125"/>
    <mergeCell ref="H124:H125"/>
    <mergeCell ref="I124:I125"/>
    <mergeCell ref="I136:I137"/>
    <mergeCell ref="I134:I135"/>
    <mergeCell ref="E136:E137"/>
    <mergeCell ref="E112:E115"/>
    <mergeCell ref="E124:E125"/>
    <mergeCell ref="H112:H115"/>
    <mergeCell ref="E118:E119"/>
    <mergeCell ref="E122:E123"/>
    <mergeCell ref="I112:I115"/>
    <mergeCell ref="I116:I117"/>
    <mergeCell ref="F118:F119"/>
    <mergeCell ref="H118:H119"/>
    <mergeCell ref="I118:I119"/>
    <mergeCell ref="E126:E127"/>
    <mergeCell ref="F126:F127"/>
    <mergeCell ref="G126:G127"/>
    <mergeCell ref="H126:H127"/>
    <mergeCell ref="I126:I127"/>
    <mergeCell ref="E132:E133"/>
    <mergeCell ref="F132:F133"/>
    <mergeCell ref="G132:G133"/>
    <mergeCell ref="H132:H133"/>
    <mergeCell ref="I132:I133"/>
    <mergeCell ref="E128:E129"/>
    <mergeCell ref="D76:D77"/>
    <mergeCell ref="D82:D83"/>
    <mergeCell ref="E100:E103"/>
    <mergeCell ref="D96:D99"/>
    <mergeCell ref="H100:H103"/>
    <mergeCell ref="D84:D85"/>
    <mergeCell ref="F92:F93"/>
    <mergeCell ref="H90:H91"/>
    <mergeCell ref="H92:H93"/>
    <mergeCell ref="B90:D91"/>
    <mergeCell ref="G86:G87"/>
    <mergeCell ref="D86:D87"/>
    <mergeCell ref="E80:E81"/>
    <mergeCell ref="E84:E85"/>
    <mergeCell ref="E88:E89"/>
    <mergeCell ref="E86:E87"/>
    <mergeCell ref="C92:D93"/>
    <mergeCell ref="E92:E93"/>
    <mergeCell ref="G100:G101"/>
    <mergeCell ref="G102:G103"/>
    <mergeCell ref="I92:I93"/>
    <mergeCell ref="I96:I99"/>
    <mergeCell ref="H94:H95"/>
    <mergeCell ref="I94:I95"/>
    <mergeCell ref="I104:I107"/>
    <mergeCell ref="H48:H49"/>
    <mergeCell ref="I50:I51"/>
    <mergeCell ref="I52:I53"/>
    <mergeCell ref="I60:I61"/>
    <mergeCell ref="I80:I89"/>
    <mergeCell ref="H80:H89"/>
    <mergeCell ref="C112:C115"/>
    <mergeCell ref="B64:D65"/>
    <mergeCell ref="E60:E61"/>
    <mergeCell ref="C66:D67"/>
    <mergeCell ref="B62:D63"/>
    <mergeCell ref="B60:D61"/>
    <mergeCell ref="I66:I67"/>
    <mergeCell ref="C50:D51"/>
    <mergeCell ref="F52:F53"/>
    <mergeCell ref="C58:D59"/>
    <mergeCell ref="G58:G59"/>
    <mergeCell ref="H58:H59"/>
    <mergeCell ref="I58:I59"/>
    <mergeCell ref="E58:E59"/>
    <mergeCell ref="F58:F59"/>
    <mergeCell ref="F60:F61"/>
    <mergeCell ref="G64:G65"/>
    <mergeCell ref="I56:I57"/>
    <mergeCell ref="I62:I63"/>
    <mergeCell ref="H66:H67"/>
    <mergeCell ref="G66:G67"/>
    <mergeCell ref="I90:I91"/>
    <mergeCell ref="I108:I111"/>
    <mergeCell ref="I100:I103"/>
    <mergeCell ref="E142:E143"/>
    <mergeCell ref="C144:D145"/>
    <mergeCell ref="B140:D141"/>
    <mergeCell ref="F144:F145"/>
    <mergeCell ref="C142:D143"/>
    <mergeCell ref="E144:E145"/>
    <mergeCell ref="G120:G121"/>
    <mergeCell ref="G122:G123"/>
    <mergeCell ref="G124:G125"/>
    <mergeCell ref="E138:E139"/>
    <mergeCell ref="C118:C121"/>
    <mergeCell ref="C122:C125"/>
    <mergeCell ref="C126:C129"/>
    <mergeCell ref="C130:C133"/>
    <mergeCell ref="D118:D119"/>
    <mergeCell ref="D120:D121"/>
    <mergeCell ref="D122:D123"/>
    <mergeCell ref="D124:D125"/>
    <mergeCell ref="D126:D127"/>
    <mergeCell ref="D128:D129"/>
    <mergeCell ref="D130:D131"/>
    <mergeCell ref="D132:D133"/>
    <mergeCell ref="F128:F129"/>
    <mergeCell ref="G128:G129"/>
    <mergeCell ref="E104:E107"/>
    <mergeCell ref="H96:H99"/>
    <mergeCell ref="H104:H107"/>
    <mergeCell ref="H108:H111"/>
    <mergeCell ref="E120:E121"/>
    <mergeCell ref="H136:H137"/>
    <mergeCell ref="H134:H135"/>
    <mergeCell ref="G68:G69"/>
    <mergeCell ref="E74:E75"/>
    <mergeCell ref="E76:E77"/>
    <mergeCell ref="H68:H79"/>
    <mergeCell ref="G70:G71"/>
    <mergeCell ref="G72:G73"/>
    <mergeCell ref="E70:E71"/>
    <mergeCell ref="E72:E73"/>
    <mergeCell ref="F108:F111"/>
    <mergeCell ref="H128:H129"/>
    <mergeCell ref="G80:G83"/>
    <mergeCell ref="E148:E149"/>
    <mergeCell ref="H20:H21"/>
    <mergeCell ref="H4:H5"/>
    <mergeCell ref="H22:H23"/>
    <mergeCell ref="H24:H25"/>
    <mergeCell ref="H6:H7"/>
    <mergeCell ref="H16:H17"/>
    <mergeCell ref="D80:D81"/>
    <mergeCell ref="D72:D73"/>
    <mergeCell ref="E78:E79"/>
    <mergeCell ref="H44:H45"/>
    <mergeCell ref="G56:G57"/>
    <mergeCell ref="H56:H57"/>
    <mergeCell ref="F54:F55"/>
    <mergeCell ref="F68:F79"/>
    <mergeCell ref="C16:D17"/>
    <mergeCell ref="F16:F17"/>
    <mergeCell ref="B44:D45"/>
    <mergeCell ref="C46:D47"/>
    <mergeCell ref="B22:D23"/>
    <mergeCell ref="B48:D49"/>
    <mergeCell ref="B6:D7"/>
    <mergeCell ref="C24:D25"/>
    <mergeCell ref="C18:D19"/>
    <mergeCell ref="A2:I2"/>
    <mergeCell ref="H14:H15"/>
    <mergeCell ref="I14:I15"/>
    <mergeCell ref="H10:H11"/>
    <mergeCell ref="H12:H13"/>
    <mergeCell ref="G10:G11"/>
    <mergeCell ref="I4:I5"/>
    <mergeCell ref="I6:I7"/>
    <mergeCell ref="I8:I9"/>
    <mergeCell ref="F14:F15"/>
    <mergeCell ref="I10:I11"/>
    <mergeCell ref="I12:I13"/>
    <mergeCell ref="F4:F5"/>
    <mergeCell ref="C8:D9"/>
    <mergeCell ref="D12:D13"/>
    <mergeCell ref="G4:G5"/>
    <mergeCell ref="G6:G7"/>
    <mergeCell ref="G8:G9"/>
    <mergeCell ref="E10:E11"/>
    <mergeCell ref="F10:F11"/>
    <mergeCell ref="F12:F13"/>
    <mergeCell ref="A4:D5"/>
    <mergeCell ref="E4:E5"/>
    <mergeCell ref="A6:A63"/>
    <mergeCell ref="G164:G165"/>
    <mergeCell ref="G138:G139"/>
    <mergeCell ref="G146:G147"/>
    <mergeCell ref="G148:G149"/>
    <mergeCell ref="G150:G151"/>
    <mergeCell ref="G12:G13"/>
    <mergeCell ref="G16:G17"/>
    <mergeCell ref="G14:G15"/>
    <mergeCell ref="G142:G143"/>
    <mergeCell ref="G92:G93"/>
    <mergeCell ref="G162:G163"/>
    <mergeCell ref="G46:G47"/>
    <mergeCell ref="G48:G49"/>
    <mergeCell ref="G134:G135"/>
    <mergeCell ref="G24:G25"/>
    <mergeCell ref="G136:G137"/>
    <mergeCell ref="G54:G55"/>
    <mergeCell ref="G112:G115"/>
    <mergeCell ref="G108:G111"/>
    <mergeCell ref="G140:G141"/>
    <mergeCell ref="G118:G119"/>
    <mergeCell ref="G74:G75"/>
    <mergeCell ref="G78:G79"/>
    <mergeCell ref="E150:E151"/>
    <mergeCell ref="E152:E153"/>
    <mergeCell ref="C150:D151"/>
    <mergeCell ref="C152:D153"/>
    <mergeCell ref="I16:I17"/>
    <mergeCell ref="H8:H9"/>
    <mergeCell ref="G22:G23"/>
    <mergeCell ref="H18:H19"/>
    <mergeCell ref="G18:G19"/>
    <mergeCell ref="G20:G21"/>
    <mergeCell ref="I20:I21"/>
    <mergeCell ref="I18:I19"/>
    <mergeCell ref="G76:G77"/>
    <mergeCell ref="G88:G89"/>
    <mergeCell ref="G84:G85"/>
    <mergeCell ref="G60:G61"/>
    <mergeCell ref="H54:H55"/>
    <mergeCell ref="G116:G117"/>
    <mergeCell ref="H64:H65"/>
    <mergeCell ref="H150:H151"/>
    <mergeCell ref="H148:H149"/>
    <mergeCell ref="G90:G91"/>
    <mergeCell ref="G26:G27"/>
    <mergeCell ref="F150:F151"/>
    <mergeCell ref="F152:F153"/>
    <mergeCell ref="F80:F89"/>
    <mergeCell ref="G160:G161"/>
    <mergeCell ref="G152:G153"/>
    <mergeCell ref="G144:G145"/>
    <mergeCell ref="F160:F161"/>
    <mergeCell ref="F142:F143"/>
    <mergeCell ref="F100:F103"/>
    <mergeCell ref="G94:G95"/>
    <mergeCell ref="G96:G99"/>
    <mergeCell ref="F104:F107"/>
    <mergeCell ref="F96:F99"/>
    <mergeCell ref="F112:F115"/>
    <mergeCell ref="F148:F149"/>
    <mergeCell ref="F136:F137"/>
    <mergeCell ref="F138:F139"/>
    <mergeCell ref="H164:H165"/>
    <mergeCell ref="I164:I165"/>
    <mergeCell ref="H138:H139"/>
    <mergeCell ref="I138:I139"/>
    <mergeCell ref="H146:H147"/>
    <mergeCell ref="I146:I147"/>
    <mergeCell ref="I150:I151"/>
    <mergeCell ref="H162:H163"/>
    <mergeCell ref="I162:I163"/>
    <mergeCell ref="H152:H153"/>
    <mergeCell ref="H160:H161"/>
    <mergeCell ref="I160:I161"/>
    <mergeCell ref="I152:I153"/>
    <mergeCell ref="H144:H145"/>
    <mergeCell ref="H142:H143"/>
    <mergeCell ref="I148:I149"/>
    <mergeCell ref="H140:H141"/>
    <mergeCell ref="I140:I141"/>
    <mergeCell ref="I144:I145"/>
    <mergeCell ref="I142:I143"/>
    <mergeCell ref="D10:D11"/>
    <mergeCell ref="D14:D15"/>
    <mergeCell ref="E16:E17"/>
    <mergeCell ref="E14:E15"/>
    <mergeCell ref="E12:E13"/>
    <mergeCell ref="E18:E19"/>
    <mergeCell ref="E20:E21"/>
    <mergeCell ref="A164:D165"/>
    <mergeCell ref="C136:D137"/>
    <mergeCell ref="C138:D139"/>
    <mergeCell ref="B146:D147"/>
    <mergeCell ref="C148:D149"/>
    <mergeCell ref="B162:D163"/>
    <mergeCell ref="A64:A163"/>
    <mergeCell ref="B134:D135"/>
    <mergeCell ref="D70:D71"/>
    <mergeCell ref="D104:D107"/>
    <mergeCell ref="D108:D111"/>
    <mergeCell ref="C160:D161"/>
    <mergeCell ref="C94:D95"/>
    <mergeCell ref="C96:C103"/>
    <mergeCell ref="D100:D103"/>
    <mergeCell ref="D112:D115"/>
    <mergeCell ref="C28:C31"/>
    <mergeCell ref="I22:I23"/>
    <mergeCell ref="I24:I25"/>
    <mergeCell ref="H52:H53"/>
    <mergeCell ref="E68:E69"/>
    <mergeCell ref="E52:E53"/>
    <mergeCell ref="I64:I65"/>
    <mergeCell ref="H60:H61"/>
    <mergeCell ref="G62:G63"/>
    <mergeCell ref="I68:I79"/>
    <mergeCell ref="I54:I55"/>
    <mergeCell ref="F26:F27"/>
    <mergeCell ref="F46:F47"/>
    <mergeCell ref="I48:I49"/>
    <mergeCell ref="G50:G51"/>
    <mergeCell ref="H50:H51"/>
    <mergeCell ref="H26:H27"/>
    <mergeCell ref="I26:I27"/>
    <mergeCell ref="I46:I47"/>
    <mergeCell ref="H62:H63"/>
    <mergeCell ref="F56:F57"/>
    <mergeCell ref="G44:G45"/>
    <mergeCell ref="G52:G53"/>
    <mergeCell ref="H46:H47"/>
    <mergeCell ref="I44:I45"/>
    <mergeCell ref="F18:F19"/>
    <mergeCell ref="F20:F21"/>
    <mergeCell ref="F24:F25"/>
    <mergeCell ref="E24:E25"/>
    <mergeCell ref="E46:E47"/>
    <mergeCell ref="E22:E23"/>
    <mergeCell ref="E26:E27"/>
    <mergeCell ref="C104:C111"/>
    <mergeCell ref="G104:G107"/>
    <mergeCell ref="D52:D53"/>
    <mergeCell ref="E56:E57"/>
    <mergeCell ref="E54:E55"/>
    <mergeCell ref="E108:E111"/>
    <mergeCell ref="D88:D89"/>
    <mergeCell ref="D74:D75"/>
    <mergeCell ref="E82:E83"/>
    <mergeCell ref="D54:D55"/>
    <mergeCell ref="D56:D57"/>
    <mergeCell ref="E96:E99"/>
    <mergeCell ref="C20:D21"/>
    <mergeCell ref="C26:D27"/>
    <mergeCell ref="C68:C89"/>
    <mergeCell ref="D68:D69"/>
    <mergeCell ref="D78:D79"/>
    <mergeCell ref="D28:D29"/>
    <mergeCell ref="E28:E29"/>
    <mergeCell ref="F28:F29"/>
    <mergeCell ref="G28:G29"/>
    <mergeCell ref="H28:H29"/>
    <mergeCell ref="I28:I29"/>
    <mergeCell ref="D30:D31"/>
    <mergeCell ref="E30:E31"/>
    <mergeCell ref="F30:F31"/>
    <mergeCell ref="G30:G31"/>
    <mergeCell ref="H30:H31"/>
    <mergeCell ref="I30:I31"/>
    <mergeCell ref="C32:C35"/>
    <mergeCell ref="D32:D33"/>
    <mergeCell ref="E32:E33"/>
    <mergeCell ref="F32:F33"/>
    <mergeCell ref="G32:G33"/>
    <mergeCell ref="H32:H33"/>
    <mergeCell ref="I32:I33"/>
    <mergeCell ref="D34:D35"/>
    <mergeCell ref="E34:E35"/>
    <mergeCell ref="F34:F35"/>
    <mergeCell ref="G34:G35"/>
    <mergeCell ref="H34:H35"/>
    <mergeCell ref="I34:I35"/>
    <mergeCell ref="C36:C39"/>
    <mergeCell ref="D36:D37"/>
    <mergeCell ref="E36:E37"/>
    <mergeCell ref="F36:F37"/>
    <mergeCell ref="G36:G37"/>
    <mergeCell ref="H36:H37"/>
    <mergeCell ref="I36:I37"/>
    <mergeCell ref="D38:D39"/>
    <mergeCell ref="E38:E39"/>
    <mergeCell ref="F38:F39"/>
    <mergeCell ref="G38:G39"/>
    <mergeCell ref="H38:H39"/>
    <mergeCell ref="I38:I39"/>
    <mergeCell ref="C40:C43"/>
    <mergeCell ref="D40:D41"/>
    <mergeCell ref="E40:E41"/>
    <mergeCell ref="F40:F41"/>
    <mergeCell ref="G40:G41"/>
    <mergeCell ref="H40:H41"/>
    <mergeCell ref="I40:I41"/>
    <mergeCell ref="D42:D43"/>
    <mergeCell ref="E42:E43"/>
    <mergeCell ref="F42:F43"/>
    <mergeCell ref="G42:G43"/>
    <mergeCell ref="H42:H43"/>
    <mergeCell ref="I42:I43"/>
  </mergeCells>
  <phoneticPr fontId="2"/>
  <printOptions horizontalCentered="1" verticalCentered="1"/>
  <pageMargins left="0.59055118110236227" right="0.39370078740157483" top="0.39370078740157483" bottom="0.31496062992125984" header="0.39370078740157483" footer="0.31496062992125984"/>
  <pageSetup paperSize="9" scale="48" orientation="portrait" r:id="rId1"/>
  <headerFooter alignWithMargins="0"/>
</worksheet>
</file>

<file path=xl/worksheets/w6_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00000"/>
    <pageSetUpPr fitToPage="1"/>
  </sheetPr>
  <dimension ref="A1:O175"/>
  <sheetViews>
    <sheetView showGridLines="0" view="pageBreakPreview" zoomScaleNormal="115" zoomScaleSheetLayoutView="100" workbookViewId="0">
      <pane xSplit="6" ySplit="5" topLeftCell="G6" activePane="bottomRight" state="frozen"/>
      <selection sqref="A1:XFD1048576"/>
      <selection pane="topRight" sqref="A1:XFD1048576"/>
      <selection pane="bottomLeft" sqref="A1:XFD1048576"/>
      <selection pane="bottomRight" activeCell="F80" sqref="F80:F81"/>
    </sheetView>
  </sheetViews>
  <sheetFormatPr defaultColWidth="9" defaultRowHeight="13.5" outlineLevelRow="1"/>
  <cols>
    <col min="1" max="1" width="4" style="1783" customWidth="1"/>
    <col min="2" max="2" width="1.375" style="1783" customWidth="1"/>
    <col min="3" max="3" width="1.625" style="1783" customWidth="1"/>
    <col min="4" max="4" width="2.375" style="1783" customWidth="1"/>
    <col min="5" max="5" width="19.625" style="1783" customWidth="1"/>
    <col min="6" max="6" width="22.625" style="1783" customWidth="1"/>
    <col min="7" max="7" width="25.125" style="1783" customWidth="1"/>
    <col min="8" max="10" width="13.375" style="1783" customWidth="1"/>
    <col min="11" max="11" width="7.625" style="1783" customWidth="1"/>
    <col min="12" max="16" width="11.375" style="1783" customWidth="1"/>
    <col min="17" max="16384" width="9" style="1783"/>
  </cols>
  <sheetData>
    <row r="1" spans="1:15" ht="8.25" customHeight="1"/>
    <row r="2" spans="1:15" ht="15" customHeight="1">
      <c r="A2" s="2302" t="str">
        <f>+CONCATENATE("令和",DBCS(年度!$A$2),"年度決算　不課税収入区分表")</f>
        <v>令和５年度決算　不課税収入区分表</v>
      </c>
      <c r="B2" s="2302"/>
      <c r="C2" s="2302"/>
      <c r="D2" s="2302"/>
      <c r="E2" s="2302"/>
      <c r="F2" s="2302"/>
      <c r="G2" s="2302"/>
      <c r="H2" s="2302"/>
      <c r="I2" s="2302"/>
      <c r="J2" s="2302"/>
      <c r="K2" s="1806"/>
    </row>
    <row r="3" spans="1:15" ht="13.5" customHeight="1" thickBot="1">
      <c r="B3" s="1644"/>
      <c r="C3" s="1644"/>
      <c r="D3" s="1644"/>
      <c r="E3" s="1644"/>
      <c r="F3" s="1644"/>
      <c r="G3" s="1644"/>
      <c r="H3" s="1644"/>
      <c r="I3" s="1644"/>
      <c r="J3" s="1665" t="s">
        <v>4791</v>
      </c>
      <c r="K3" s="1665"/>
    </row>
    <row r="4" spans="1:15" ht="10.5" customHeight="1">
      <c r="A4" s="2230" t="s">
        <v>4820</v>
      </c>
      <c r="B4" s="2225"/>
      <c r="C4" s="2225"/>
      <c r="D4" s="2225"/>
      <c r="E4" s="2231"/>
      <c r="F4" s="2227" t="s">
        <v>4821</v>
      </c>
      <c r="G4" s="2225" t="s">
        <v>4822</v>
      </c>
      <c r="H4" s="2227" t="s">
        <v>4824</v>
      </c>
      <c r="I4" s="2227" t="s">
        <v>4819</v>
      </c>
      <c r="J4" s="2223" t="s">
        <v>4823</v>
      </c>
      <c r="K4" s="1784" t="s">
        <v>5161</v>
      </c>
      <c r="L4" s="1785"/>
      <c r="M4" s="1785"/>
      <c r="N4" s="1785"/>
    </row>
    <row r="5" spans="1:15" ht="10.5" customHeight="1">
      <c r="A5" s="2232"/>
      <c r="B5" s="2226"/>
      <c r="C5" s="2226"/>
      <c r="D5" s="2226"/>
      <c r="E5" s="2233"/>
      <c r="F5" s="2228"/>
      <c r="G5" s="2226"/>
      <c r="H5" s="2228"/>
      <c r="I5" s="2228"/>
      <c r="J5" s="2224"/>
      <c r="K5" s="1916">
        <v>0.03</v>
      </c>
      <c r="L5" s="1916">
        <v>0.05</v>
      </c>
      <c r="M5" s="1916">
        <v>0.08</v>
      </c>
      <c r="N5" s="2059">
        <v>0.08</v>
      </c>
      <c r="O5" s="1916">
        <v>0.1</v>
      </c>
    </row>
    <row r="6" spans="1:15" ht="10.5" customHeight="1">
      <c r="A6" s="2350" t="s">
        <v>4932</v>
      </c>
      <c r="B6" s="2236" t="s">
        <v>4804</v>
      </c>
      <c r="C6" s="2236"/>
      <c r="D6" s="2236"/>
      <c r="E6" s="2237"/>
      <c r="F6" s="1648"/>
      <c r="G6" s="1658"/>
      <c r="H6" s="2329">
        <f>H8+H16+H18+H20</f>
        <v>13974628227</v>
      </c>
      <c r="I6" s="2329">
        <f>I8+I16+I18+I20</f>
        <v>2307267553</v>
      </c>
      <c r="J6" s="2330">
        <f>J8+J16+J18+J20</f>
        <v>11667360674</v>
      </c>
      <c r="K6" s="1687"/>
    </row>
    <row r="7" spans="1:15" ht="10.5" customHeight="1">
      <c r="A7" s="2339"/>
      <c r="B7" s="2175"/>
      <c r="C7" s="2175"/>
      <c r="D7" s="2175"/>
      <c r="E7" s="2176"/>
      <c r="F7" s="1803"/>
      <c r="G7" s="1659"/>
      <c r="H7" s="2161"/>
      <c r="I7" s="2161"/>
      <c r="J7" s="2305"/>
      <c r="K7" s="1687"/>
    </row>
    <row r="8" spans="1:15" ht="10.5" customHeight="1">
      <c r="A8" s="2339"/>
      <c r="B8" s="1811"/>
      <c r="C8" s="2146" t="s">
        <v>4777</v>
      </c>
      <c r="D8" s="2312"/>
      <c r="E8" s="2313"/>
      <c r="F8" s="1798"/>
      <c r="G8" s="1655"/>
      <c r="H8" s="2160">
        <f>H10+H12+H14</f>
        <v>13869351636</v>
      </c>
      <c r="I8" s="2160">
        <f>I10+I12+I14</f>
        <v>2284890841</v>
      </c>
      <c r="J8" s="2281">
        <f>J10+J12+J14</f>
        <v>11584460795</v>
      </c>
      <c r="K8" s="1687"/>
    </row>
    <row r="9" spans="1:15" ht="10.5" customHeight="1">
      <c r="A9" s="2339"/>
      <c r="B9" s="1811"/>
      <c r="C9" s="2349"/>
      <c r="D9" s="2314"/>
      <c r="E9" s="2315"/>
      <c r="F9" s="1803"/>
      <c r="G9" s="1659"/>
      <c r="H9" s="2161"/>
      <c r="I9" s="2161"/>
      <c r="J9" s="2305"/>
      <c r="K9" s="1687"/>
    </row>
    <row r="10" spans="1:15" ht="10.5" customHeight="1">
      <c r="A10" s="2339"/>
      <c r="B10" s="1811"/>
      <c r="C10" s="1805"/>
      <c r="D10" s="2144" t="s">
        <v>4778</v>
      </c>
      <c r="E10" s="2342"/>
      <c r="F10" s="2118" t="s">
        <v>4840</v>
      </c>
      <c r="G10" s="2115" t="s">
        <v>4941</v>
      </c>
      <c r="H10" s="2310">
        <f>'3条一般会計'!G10</f>
        <v>3383678341</v>
      </c>
      <c r="I10" s="2310">
        <f>'3条一般会計'!H10</f>
        <v>2257096108</v>
      </c>
      <c r="J10" s="2281">
        <f>H10-I10</f>
        <v>1126582233</v>
      </c>
      <c r="K10" s="1687"/>
    </row>
    <row r="11" spans="1:15" ht="10.5" customHeight="1">
      <c r="A11" s="2339"/>
      <c r="B11" s="1811"/>
      <c r="C11" s="1805"/>
      <c r="D11" s="2347"/>
      <c r="E11" s="2342"/>
      <c r="F11" s="2119"/>
      <c r="G11" s="2116"/>
      <c r="H11" s="2311"/>
      <c r="I11" s="2311"/>
      <c r="J11" s="2305"/>
      <c r="K11" s="1687"/>
    </row>
    <row r="12" spans="1:15" ht="10.5" customHeight="1">
      <c r="A12" s="2339"/>
      <c r="B12" s="1811"/>
      <c r="C12" s="1805"/>
      <c r="D12" s="2144" t="s">
        <v>4795</v>
      </c>
      <c r="E12" s="2342"/>
      <c r="F12" s="2109" t="s">
        <v>4813</v>
      </c>
      <c r="G12" s="2115" t="s">
        <v>4841</v>
      </c>
      <c r="H12" s="2310">
        <f>'3条一般会計'!G12</f>
        <v>8476549651</v>
      </c>
      <c r="I12" s="2310">
        <f>'3条一般会計'!H12</f>
        <v>0</v>
      </c>
      <c r="J12" s="2281">
        <f>H12-I12</f>
        <v>8476549651</v>
      </c>
      <c r="K12" s="1687"/>
    </row>
    <row r="13" spans="1:15" ht="10.5" customHeight="1">
      <c r="A13" s="2339"/>
      <c r="B13" s="1811"/>
      <c r="C13" s="1805"/>
      <c r="D13" s="2347"/>
      <c r="E13" s="2342"/>
      <c r="F13" s="2164"/>
      <c r="G13" s="2116"/>
      <c r="H13" s="2311"/>
      <c r="I13" s="2311"/>
      <c r="J13" s="2305"/>
      <c r="K13" s="1687"/>
    </row>
    <row r="14" spans="1:15" ht="10.5" customHeight="1">
      <c r="A14" s="2339"/>
      <c r="B14" s="1811"/>
      <c r="C14" s="1805"/>
      <c r="D14" s="2144" t="s">
        <v>4888</v>
      </c>
      <c r="E14" s="2342"/>
      <c r="F14" s="2163" t="s">
        <v>4921</v>
      </c>
      <c r="G14" s="2109" t="s">
        <v>4999</v>
      </c>
      <c r="H14" s="2310">
        <f>'3条一般会計'!G18</f>
        <v>2009123644</v>
      </c>
      <c r="I14" s="2306">
        <f>'3条一般会計'!H18</f>
        <v>27794733</v>
      </c>
      <c r="J14" s="2281">
        <f>H14-I14</f>
        <v>1981328911</v>
      </c>
      <c r="K14" s="1687"/>
    </row>
    <row r="15" spans="1:15" ht="10.5" customHeight="1">
      <c r="A15" s="2339"/>
      <c r="B15" s="1811"/>
      <c r="C15" s="1805"/>
      <c r="D15" s="2343"/>
      <c r="E15" s="2313"/>
      <c r="F15" s="2133"/>
      <c r="G15" s="2164"/>
      <c r="H15" s="2311"/>
      <c r="I15" s="2307"/>
      <c r="J15" s="2305"/>
      <c r="K15" s="1687"/>
    </row>
    <row r="16" spans="1:15" ht="10.5" customHeight="1">
      <c r="A16" s="2339"/>
      <c r="B16" s="1811"/>
      <c r="C16" s="2144" t="s">
        <v>4796</v>
      </c>
      <c r="D16" s="2346"/>
      <c r="E16" s="2342"/>
      <c r="F16" s="2162" t="s">
        <v>4922</v>
      </c>
      <c r="G16" s="2115" t="s">
        <v>4834</v>
      </c>
      <c r="H16" s="2310">
        <f>'3条一般会計'!G20</f>
        <v>51313295</v>
      </c>
      <c r="I16" s="2310">
        <f>'3条一般会計'!H20</f>
        <v>12168217</v>
      </c>
      <c r="J16" s="2281">
        <f>H16-I16</f>
        <v>39145078</v>
      </c>
      <c r="K16" s="1687"/>
    </row>
    <row r="17" spans="1:11" ht="10.5" customHeight="1">
      <c r="A17" s="2339"/>
      <c r="B17" s="1811"/>
      <c r="C17" s="2347"/>
      <c r="D17" s="2346"/>
      <c r="E17" s="2342"/>
      <c r="F17" s="2162"/>
      <c r="G17" s="2116"/>
      <c r="H17" s="2311"/>
      <c r="I17" s="2311"/>
      <c r="J17" s="2305"/>
      <c r="K17" s="1687"/>
    </row>
    <row r="18" spans="1:11" ht="10.5" customHeight="1">
      <c r="A18" s="2339"/>
      <c r="B18" s="1811"/>
      <c r="C18" s="2144" t="s">
        <v>4797</v>
      </c>
      <c r="D18" s="2346"/>
      <c r="E18" s="2342"/>
      <c r="F18" s="2162" t="s">
        <v>4923</v>
      </c>
      <c r="G18" s="2115" t="s">
        <v>4837</v>
      </c>
      <c r="H18" s="2310">
        <f>'3条一般会計'!G22</f>
        <v>43567026</v>
      </c>
      <c r="I18" s="2310">
        <f>'3条一般会計'!H22</f>
        <v>9253060</v>
      </c>
      <c r="J18" s="2281">
        <f>H18-I18</f>
        <v>34313966</v>
      </c>
      <c r="K18" s="1687"/>
    </row>
    <row r="19" spans="1:11" ht="10.5" customHeight="1">
      <c r="A19" s="2339"/>
      <c r="B19" s="1811"/>
      <c r="C19" s="2347"/>
      <c r="D19" s="2346"/>
      <c r="E19" s="2342"/>
      <c r="F19" s="2162"/>
      <c r="G19" s="2116"/>
      <c r="H19" s="2311"/>
      <c r="I19" s="2311"/>
      <c r="J19" s="2305"/>
      <c r="K19" s="1687"/>
    </row>
    <row r="20" spans="1:11" ht="10.5" customHeight="1">
      <c r="A20" s="2339"/>
      <c r="B20" s="1811"/>
      <c r="C20" s="2144" t="s">
        <v>4798</v>
      </c>
      <c r="D20" s="2346"/>
      <c r="E20" s="2342"/>
      <c r="F20" s="2162" t="s">
        <v>4924</v>
      </c>
      <c r="G20" s="2115" t="s">
        <v>4925</v>
      </c>
      <c r="H20" s="2310">
        <f>'3条一般会計'!G28</f>
        <v>10396270</v>
      </c>
      <c r="I20" s="2310">
        <f>'3条一般会計'!H28</f>
        <v>955435</v>
      </c>
      <c r="J20" s="2281">
        <f>H20-I20</f>
        <v>9440835</v>
      </c>
      <c r="K20" s="1687"/>
    </row>
    <row r="21" spans="1:11" ht="10.5" customHeight="1">
      <c r="A21" s="2339"/>
      <c r="B21" s="1811"/>
      <c r="C21" s="2347"/>
      <c r="D21" s="2346"/>
      <c r="E21" s="2342"/>
      <c r="F21" s="2123"/>
      <c r="G21" s="2117"/>
      <c r="H21" s="2311"/>
      <c r="I21" s="2311"/>
      <c r="J21" s="2305"/>
      <c r="K21" s="1687"/>
    </row>
    <row r="22" spans="1:11" ht="10.5" hidden="1" customHeight="1" outlineLevel="1">
      <c r="A22" s="2339"/>
      <c r="B22" s="2148" t="s">
        <v>4799</v>
      </c>
      <c r="C22" s="2148"/>
      <c r="D22" s="2148"/>
      <c r="E22" s="2147"/>
      <c r="F22" s="2120"/>
      <c r="G22" s="1707"/>
      <c r="H22" s="2160">
        <f>H24+H26</f>
        <v>0</v>
      </c>
      <c r="I22" s="2160">
        <f>I24+I26</f>
        <v>0</v>
      </c>
      <c r="J22" s="2281">
        <f>J24+J26</f>
        <v>0</v>
      </c>
      <c r="K22" s="1687"/>
    </row>
    <row r="23" spans="1:11" ht="10.5" hidden="1" customHeight="1" outlineLevel="1">
      <c r="A23" s="2339"/>
      <c r="B23" s="2175"/>
      <c r="C23" s="2175"/>
      <c r="D23" s="2175"/>
      <c r="E23" s="2176"/>
      <c r="F23" s="2121"/>
      <c r="G23" s="1709"/>
      <c r="H23" s="2161"/>
      <c r="I23" s="2161"/>
      <c r="J23" s="2305"/>
      <c r="K23" s="1687"/>
    </row>
    <row r="24" spans="1:11" ht="10.5" hidden="1" customHeight="1" outlineLevel="1">
      <c r="A24" s="2339"/>
      <c r="B24" s="1735"/>
      <c r="C24" s="2360" t="s">
        <v>4935</v>
      </c>
      <c r="D24" s="2312"/>
      <c r="E24" s="2313"/>
      <c r="F24" s="2118" t="s">
        <v>4814</v>
      </c>
      <c r="G24" s="2115" t="s">
        <v>4926</v>
      </c>
      <c r="H24" s="2316">
        <v>0</v>
      </c>
      <c r="I24" s="2316">
        <v>0</v>
      </c>
      <c r="J24" s="2281">
        <f>H24-I24</f>
        <v>0</v>
      </c>
      <c r="K24" s="1687"/>
    </row>
    <row r="25" spans="1:11" ht="10.5" hidden="1" customHeight="1" outlineLevel="1">
      <c r="A25" s="2339"/>
      <c r="B25" s="1736"/>
      <c r="C25" s="2314"/>
      <c r="D25" s="2314"/>
      <c r="E25" s="2315"/>
      <c r="F25" s="2119"/>
      <c r="G25" s="2116"/>
      <c r="H25" s="2317"/>
      <c r="I25" s="2317"/>
      <c r="J25" s="2305"/>
      <c r="K25" s="1687"/>
    </row>
    <row r="26" spans="1:11" ht="10.5" hidden="1" customHeight="1" outlineLevel="1" collapsed="1">
      <c r="A26" s="2339"/>
      <c r="B26" s="1736"/>
      <c r="C26" s="2148" t="s">
        <v>5060</v>
      </c>
      <c r="D26" s="2312"/>
      <c r="E26" s="2313"/>
      <c r="F26" s="2122" t="s">
        <v>5062</v>
      </c>
      <c r="G26" s="2115" t="s">
        <v>5061</v>
      </c>
      <c r="H26" s="2215">
        <f>SUM(H28:H43)</f>
        <v>0</v>
      </c>
      <c r="I26" s="2215">
        <f>SUM(I28:I43)</f>
        <v>0</v>
      </c>
      <c r="J26" s="2281">
        <f>SUM(J28:J43)</f>
        <v>0</v>
      </c>
      <c r="K26" s="1687"/>
    </row>
    <row r="27" spans="1:11" ht="10.5" hidden="1" customHeight="1" outlineLevel="1">
      <c r="A27" s="2339"/>
      <c r="B27" s="1737"/>
      <c r="C27" s="2314"/>
      <c r="D27" s="2314"/>
      <c r="E27" s="2315"/>
      <c r="F27" s="2123"/>
      <c r="G27" s="2116"/>
      <c r="H27" s="2216"/>
      <c r="I27" s="2216"/>
      <c r="J27" s="2305"/>
      <c r="K27" s="1687"/>
    </row>
    <row r="28" spans="1:11" ht="18" hidden="1" customHeight="1" outlineLevel="1">
      <c r="A28" s="2339"/>
      <c r="B28" s="2034"/>
      <c r="C28" s="2034"/>
      <c r="D28" s="2103" t="s">
        <v>5259</v>
      </c>
      <c r="E28" s="2130" t="str">
        <f>+'3条災害補助'!$C$10</f>
        <v>公共土木施設災害
復旧事業費国庫負担金</v>
      </c>
      <c r="F28" s="2273" t="str">
        <f>+'3条災害補助'!$D$10</f>
        <v>対象事業費×２／３</v>
      </c>
      <c r="G28" s="2274" t="str">
        <f>+'3条災害補助'!$E$10</f>
        <v>3年度分
公共土木施設災害復旧事業費(補助事業現年分)の課税支出割合</v>
      </c>
      <c r="H28" s="2276">
        <f>+'3条災害補助'!$G$10</f>
        <v>0</v>
      </c>
      <c r="I28" s="2278">
        <f>+'3条災害補助'!H$12</f>
        <v>0</v>
      </c>
      <c r="J28" s="2279">
        <f>+'3条災害補助'!I$12</f>
        <v>0</v>
      </c>
      <c r="K28" s="1687"/>
    </row>
    <row r="29" spans="1:11" ht="18" hidden="1" customHeight="1" outlineLevel="1">
      <c r="A29" s="2339"/>
      <c r="B29" s="2034"/>
      <c r="C29" s="2034"/>
      <c r="D29" s="2104"/>
      <c r="E29" s="2139"/>
      <c r="F29" s="2273"/>
      <c r="G29" s="2275"/>
      <c r="H29" s="2277"/>
      <c r="I29" s="2278"/>
      <c r="J29" s="2279"/>
      <c r="K29" s="1687"/>
    </row>
    <row r="30" spans="1:11" ht="18" hidden="1" customHeight="1" outlineLevel="1">
      <c r="A30" s="2339"/>
      <c r="B30" s="2034"/>
      <c r="C30" s="2034"/>
      <c r="D30" s="2104"/>
      <c r="E30" s="2130" t="str">
        <f>+'3条災害補助'!$C$16</f>
        <v>公共土木施設災害
復旧事業費国庫負担金</v>
      </c>
      <c r="F30" s="2273" t="str">
        <f>+'3条災害補助'!$D$16</f>
        <v>対象事業費×２／３</v>
      </c>
      <c r="G30" s="2274" t="str">
        <f>+'3条災害補助'!$E$16</f>
        <v>2年度分
公共土木施設災害復旧事業費(補助事業繰越分)の課税支出割合</v>
      </c>
      <c r="H30" s="2276">
        <f>+'3条災害補助'!$G$16</f>
        <v>0</v>
      </c>
      <c r="I30" s="2278">
        <f>+'3条災害補助'!H$18</f>
        <v>0</v>
      </c>
      <c r="J30" s="2279">
        <f>+'3条災害補助'!I$18</f>
        <v>0</v>
      </c>
      <c r="K30" s="1687"/>
    </row>
    <row r="31" spans="1:11" ht="18" hidden="1" customHeight="1" outlineLevel="1">
      <c r="A31" s="2339"/>
      <c r="B31" s="2034"/>
      <c r="C31" s="2034"/>
      <c r="D31" s="2105"/>
      <c r="E31" s="2139"/>
      <c r="F31" s="2273"/>
      <c r="G31" s="2275"/>
      <c r="H31" s="2277"/>
      <c r="I31" s="2278"/>
      <c r="J31" s="2279"/>
      <c r="K31" s="1687"/>
    </row>
    <row r="32" spans="1:11" ht="18" hidden="1" customHeight="1" outlineLevel="1">
      <c r="A32" s="2339"/>
      <c r="B32" s="2034"/>
      <c r="C32" s="2034"/>
      <c r="D32" s="2103" t="s">
        <v>5083</v>
      </c>
      <c r="E32" s="2130" t="str">
        <f>+'3条災害補助'!$C$24</f>
        <v>公共土木施設災害
復旧事業費国庫負担金</v>
      </c>
      <c r="F32" s="2273" t="str">
        <f>+'3条災害補助'!$D$24</f>
        <v>対象事業費×２／３</v>
      </c>
      <c r="G32" s="2274" t="str">
        <f>+'3条災害補助'!$E$24</f>
        <v>3年度分
公共土木施設災害復旧事業費(補助事業現年分)の課税支出割合</v>
      </c>
      <c r="H32" s="2276">
        <f>+'3条災害補助'!$G$24</f>
        <v>0</v>
      </c>
      <c r="I32" s="2278">
        <f>+'3条災害補助'!H$26</f>
        <v>0</v>
      </c>
      <c r="J32" s="2279">
        <f>+'3条災害補助'!I$26</f>
        <v>0</v>
      </c>
      <c r="K32" s="1687"/>
    </row>
    <row r="33" spans="1:11" ht="18" hidden="1" customHeight="1" outlineLevel="1">
      <c r="A33" s="2339"/>
      <c r="B33" s="2034"/>
      <c r="C33" s="2034"/>
      <c r="D33" s="2104"/>
      <c r="E33" s="2139"/>
      <c r="F33" s="2273"/>
      <c r="G33" s="2275"/>
      <c r="H33" s="2277"/>
      <c r="I33" s="2278"/>
      <c r="J33" s="2279"/>
      <c r="K33" s="1687"/>
    </row>
    <row r="34" spans="1:11" ht="18" hidden="1" customHeight="1" outlineLevel="1">
      <c r="A34" s="2339"/>
      <c r="B34" s="2034"/>
      <c r="C34" s="2034"/>
      <c r="D34" s="2104"/>
      <c r="E34" s="2130" t="str">
        <f>+'3条災害補助'!$C$30</f>
        <v>公共土木施設災害
復旧事業費国庫負担金</v>
      </c>
      <c r="F34" s="2273" t="str">
        <f>+'3条災害補助'!$D$30</f>
        <v>対象事業費×２／３</v>
      </c>
      <c r="G34" s="2274" t="str">
        <f>+'3条災害補助'!$E$30</f>
        <v>2年度分
公共土木施設災害復旧事業費(補助事業繰越分)の課税支出割合</v>
      </c>
      <c r="H34" s="2276">
        <f>+'3条災害補助'!$G$30</f>
        <v>0</v>
      </c>
      <c r="I34" s="2278">
        <f>+'3条災害補助'!H$32</f>
        <v>0</v>
      </c>
      <c r="J34" s="2279">
        <f>+'3条災害補助'!I$32</f>
        <v>0</v>
      </c>
      <c r="K34" s="1687"/>
    </row>
    <row r="35" spans="1:11" ht="18" hidden="1" customHeight="1" outlineLevel="1">
      <c r="A35" s="2339"/>
      <c r="B35" s="2034"/>
      <c r="C35" s="2034"/>
      <c r="D35" s="2105"/>
      <c r="E35" s="2139"/>
      <c r="F35" s="2273"/>
      <c r="G35" s="2275"/>
      <c r="H35" s="2277"/>
      <c r="I35" s="2278"/>
      <c r="J35" s="2279"/>
      <c r="K35" s="1687"/>
    </row>
    <row r="36" spans="1:11" ht="18" hidden="1" customHeight="1" outlineLevel="1">
      <c r="A36" s="2339"/>
      <c r="B36" s="2034"/>
      <c r="C36" s="2034"/>
      <c r="D36" s="2103" t="s">
        <v>5260</v>
      </c>
      <c r="E36" s="2130" t="str">
        <f>+'3条災害補助'!$C$38</f>
        <v>災害関連農村生活環境
施設復旧事業国庫補助金</v>
      </c>
      <c r="F36" s="2273">
        <f>+'3条災害補助'!$D$38</f>
        <v>0</v>
      </c>
      <c r="G36" s="2274" t="str">
        <f>+'3条災害補助'!$E$38</f>
        <v>3年度分
災害関連農村生活環境施設復旧事業(補助事業現年分)の課税支出割合</v>
      </c>
      <c r="H36" s="2276">
        <f>+'3条災害補助'!$G$38</f>
        <v>0</v>
      </c>
      <c r="I36" s="2278">
        <f>+'3条災害補助'!H$40</f>
        <v>0</v>
      </c>
      <c r="J36" s="2279">
        <f>+'3条災害補助'!I$40</f>
        <v>0</v>
      </c>
      <c r="K36" s="1687"/>
    </row>
    <row r="37" spans="1:11" ht="18" hidden="1" customHeight="1" outlineLevel="1">
      <c r="A37" s="2339"/>
      <c r="B37" s="2034"/>
      <c r="C37" s="2034"/>
      <c r="D37" s="2104"/>
      <c r="E37" s="2139"/>
      <c r="F37" s="2273"/>
      <c r="G37" s="2275"/>
      <c r="H37" s="2277"/>
      <c r="I37" s="2278"/>
      <c r="J37" s="2279"/>
      <c r="K37" s="1687"/>
    </row>
    <row r="38" spans="1:11" ht="18" hidden="1" customHeight="1" outlineLevel="1">
      <c r="A38" s="2339"/>
      <c r="B38" s="2034"/>
      <c r="C38" s="2034"/>
      <c r="D38" s="2104"/>
      <c r="E38" s="2130" t="str">
        <f>+'3条災害補助'!$C$44</f>
        <v>災害関連農村生活環境
施設復旧事業国庫補助金</v>
      </c>
      <c r="F38" s="2273" t="str">
        <f>+'3条災害補助'!$D$44</f>
        <v>対象事業費×１／２</v>
      </c>
      <c r="G38" s="2274" t="str">
        <f>+'3条災害補助'!$E$44</f>
        <v>2年度分
災害関連農村生活環境施設復旧事業(補助事業繰越分)の課税支出割合</v>
      </c>
      <c r="H38" s="2276">
        <f>+'3条災害補助'!$G$44</f>
        <v>0</v>
      </c>
      <c r="I38" s="2278">
        <f>+'3条災害補助'!H$46</f>
        <v>0</v>
      </c>
      <c r="J38" s="2279">
        <f>+'3条災害補助'!I$46</f>
        <v>0</v>
      </c>
      <c r="K38" s="1687"/>
    </row>
    <row r="39" spans="1:11" ht="18" hidden="1" customHeight="1" outlineLevel="1">
      <c r="A39" s="2339"/>
      <c r="B39" s="2034"/>
      <c r="C39" s="2034"/>
      <c r="D39" s="2105"/>
      <c r="E39" s="2139"/>
      <c r="F39" s="2273"/>
      <c r="G39" s="2275"/>
      <c r="H39" s="2277"/>
      <c r="I39" s="2278"/>
      <c r="J39" s="2279"/>
      <c r="K39" s="1687"/>
    </row>
    <row r="40" spans="1:11" ht="18" hidden="1" customHeight="1" outlineLevel="1">
      <c r="A40" s="2339"/>
      <c r="B40" s="2034"/>
      <c r="C40" s="2034"/>
      <c r="D40" s="2103" t="s">
        <v>5085</v>
      </c>
      <c r="E40" s="2130">
        <f>+'3条災害補助'!$C$52</f>
        <v>0</v>
      </c>
      <c r="F40" s="2273">
        <f>+'3条災害補助'!$D$52</f>
        <v>0</v>
      </c>
      <c r="G40" s="2274">
        <f>+'3条災害補助'!$E$52</f>
        <v>0</v>
      </c>
      <c r="H40" s="2276">
        <f>+'3条災害補助'!$G$52</f>
        <v>0</v>
      </c>
      <c r="I40" s="2278">
        <f>+'3条災害補助'!H$54</f>
        <v>0</v>
      </c>
      <c r="J40" s="2279">
        <f>+'3条災害補助'!I$54</f>
        <v>0</v>
      </c>
      <c r="K40" s="1687"/>
    </row>
    <row r="41" spans="1:11" ht="18" hidden="1" customHeight="1" outlineLevel="1">
      <c r="A41" s="2339"/>
      <c r="B41" s="2034"/>
      <c r="C41" s="2034"/>
      <c r="D41" s="2104"/>
      <c r="E41" s="2139"/>
      <c r="F41" s="2273"/>
      <c r="G41" s="2275"/>
      <c r="H41" s="2277"/>
      <c r="I41" s="2278"/>
      <c r="J41" s="2279"/>
      <c r="K41" s="1687"/>
    </row>
    <row r="42" spans="1:11" ht="18" hidden="1" customHeight="1" outlineLevel="1">
      <c r="A42" s="2339"/>
      <c r="B42" s="2034"/>
      <c r="C42" s="2034"/>
      <c r="D42" s="2104"/>
      <c r="E42" s="2130">
        <f>+'3条災害補助'!$C$58</f>
        <v>0</v>
      </c>
      <c r="F42" s="2273">
        <f>+'3条災害補助'!$D$58</f>
        <v>0</v>
      </c>
      <c r="G42" s="2274">
        <f>+'3条災害補助'!$E$58</f>
        <v>0</v>
      </c>
      <c r="H42" s="2276">
        <f>+'3条災害補助'!$G$58</f>
        <v>0</v>
      </c>
      <c r="I42" s="2278">
        <f>+'3条災害補助'!H$60</f>
        <v>0</v>
      </c>
      <c r="J42" s="2279">
        <f>+'3条災害補助'!I$60</f>
        <v>0</v>
      </c>
      <c r="K42" s="1687"/>
    </row>
    <row r="43" spans="1:11" ht="18" hidden="1" customHeight="1" outlineLevel="1">
      <c r="A43" s="2339"/>
      <c r="B43" s="2034"/>
      <c r="C43" s="2034"/>
      <c r="D43" s="2105"/>
      <c r="E43" s="2139"/>
      <c r="F43" s="2273"/>
      <c r="G43" s="2275"/>
      <c r="H43" s="2277"/>
      <c r="I43" s="2278"/>
      <c r="J43" s="2279"/>
      <c r="K43" s="1687"/>
    </row>
    <row r="44" spans="1:11" ht="10.5" customHeight="1" collapsed="1">
      <c r="A44" s="2339"/>
      <c r="B44" s="2148" t="s">
        <v>4779</v>
      </c>
      <c r="C44" s="2148"/>
      <c r="D44" s="2148"/>
      <c r="E44" s="2147"/>
      <c r="F44" s="1809"/>
      <c r="G44" s="1710"/>
      <c r="H44" s="2160">
        <f>H46</f>
        <v>16476593</v>
      </c>
      <c r="I44" s="2160">
        <f>I46</f>
        <v>0</v>
      </c>
      <c r="J44" s="2281">
        <f>J46</f>
        <v>16476593</v>
      </c>
      <c r="K44" s="1687"/>
    </row>
    <row r="45" spans="1:11" ht="10.5" customHeight="1">
      <c r="A45" s="2339"/>
      <c r="B45" s="2175"/>
      <c r="C45" s="2175"/>
      <c r="D45" s="2175"/>
      <c r="E45" s="2176"/>
      <c r="F45" s="1810"/>
      <c r="G45" s="1800"/>
      <c r="H45" s="2161"/>
      <c r="I45" s="2161"/>
      <c r="J45" s="2305"/>
      <c r="K45" s="1687"/>
    </row>
    <row r="46" spans="1:11" ht="10.5" customHeight="1">
      <c r="A46" s="2339"/>
      <c r="B46" s="1811"/>
      <c r="C46" s="2146" t="s">
        <v>4800</v>
      </c>
      <c r="D46" s="2312"/>
      <c r="E46" s="2313"/>
      <c r="F46" s="2118" t="s">
        <v>4927</v>
      </c>
      <c r="G46" s="2115" t="s">
        <v>4928</v>
      </c>
      <c r="H46" s="2310">
        <f>+'3条他会計'!G6</f>
        <v>16476593</v>
      </c>
      <c r="I46" s="2310">
        <f>+'3条他会計'!H8</f>
        <v>0</v>
      </c>
      <c r="J46" s="2281">
        <f>H46-I46</f>
        <v>16476593</v>
      </c>
      <c r="K46" s="1687"/>
    </row>
    <row r="47" spans="1:11" ht="10.5" customHeight="1">
      <c r="A47" s="2339"/>
      <c r="B47" s="1811"/>
      <c r="C47" s="2349"/>
      <c r="D47" s="2314"/>
      <c r="E47" s="2315"/>
      <c r="F47" s="2119"/>
      <c r="G47" s="2157"/>
      <c r="H47" s="2311"/>
      <c r="I47" s="2311"/>
      <c r="J47" s="2305"/>
      <c r="K47" s="1687"/>
    </row>
    <row r="48" spans="1:11" ht="10.5" customHeight="1">
      <c r="A48" s="2339"/>
      <c r="B48" s="2148" t="s">
        <v>4801</v>
      </c>
      <c r="C48" s="2148"/>
      <c r="D48" s="2148"/>
      <c r="E48" s="2147"/>
      <c r="F48" s="1809"/>
      <c r="G48" s="1711"/>
      <c r="H48" s="2160">
        <f>H50+H58</f>
        <v>9203253</v>
      </c>
      <c r="I48" s="2160">
        <f>I50+I58</f>
        <v>5368538</v>
      </c>
      <c r="J48" s="2281">
        <f>J50+J58</f>
        <v>3834715</v>
      </c>
      <c r="K48" s="1687"/>
    </row>
    <row r="49" spans="1:15" ht="10.5" customHeight="1">
      <c r="A49" s="2339"/>
      <c r="B49" s="2175"/>
      <c r="C49" s="2175"/>
      <c r="D49" s="2175"/>
      <c r="E49" s="2176"/>
      <c r="F49" s="1810"/>
      <c r="G49" s="1709"/>
      <c r="H49" s="2161"/>
      <c r="I49" s="2161"/>
      <c r="J49" s="2305"/>
      <c r="K49" s="1687"/>
    </row>
    <row r="50" spans="1:15" ht="10.5" customHeight="1">
      <c r="A50" s="2339"/>
      <c r="B50" s="1811"/>
      <c r="C50" s="2146" t="s">
        <v>4780</v>
      </c>
      <c r="D50" s="2312"/>
      <c r="E50" s="2313"/>
      <c r="F50" s="1809"/>
      <c r="G50" s="1711"/>
      <c r="H50" s="2160">
        <f>SUM(H52:H57)</f>
        <v>4980</v>
      </c>
      <c r="I50" s="2160">
        <f>SUM(I52:I57)</f>
        <v>0</v>
      </c>
      <c r="J50" s="2281">
        <f>SUM(J52:J57)</f>
        <v>4980</v>
      </c>
      <c r="K50" s="1687"/>
    </row>
    <row r="51" spans="1:15" ht="10.5" customHeight="1">
      <c r="A51" s="2339"/>
      <c r="B51" s="1811"/>
      <c r="C51" s="2349"/>
      <c r="D51" s="2314"/>
      <c r="E51" s="2315"/>
      <c r="F51" s="1810"/>
      <c r="G51" s="1709"/>
      <c r="H51" s="2161"/>
      <c r="I51" s="2161"/>
      <c r="J51" s="2305"/>
      <c r="K51" s="1687"/>
    </row>
    <row r="52" spans="1:15" ht="10.5" hidden="1" customHeight="1" outlineLevel="1">
      <c r="A52" s="2339"/>
      <c r="B52" s="1811"/>
      <c r="C52" s="1808"/>
      <c r="D52" s="2144" t="s">
        <v>4805</v>
      </c>
      <c r="E52" s="2342"/>
      <c r="F52" s="2118" t="s">
        <v>4929</v>
      </c>
      <c r="G52" s="2115" t="s">
        <v>4930</v>
      </c>
      <c r="H52" s="2310">
        <f>'3条補助金'!G10</f>
        <v>0</v>
      </c>
      <c r="I52" s="2310">
        <f>'3条補助金'!H10</f>
        <v>0</v>
      </c>
      <c r="J52" s="2281">
        <f>H52-I52</f>
        <v>0</v>
      </c>
      <c r="K52" s="1687"/>
    </row>
    <row r="53" spans="1:15" ht="10.5" hidden="1" customHeight="1" outlineLevel="1">
      <c r="A53" s="2339"/>
      <c r="B53" s="1811"/>
      <c r="C53" s="1738"/>
      <c r="D53" s="2347"/>
      <c r="E53" s="2342"/>
      <c r="F53" s="2119"/>
      <c r="G53" s="2117"/>
      <c r="H53" s="2325"/>
      <c r="I53" s="2311"/>
      <c r="J53" s="2305"/>
      <c r="K53" s="1687"/>
    </row>
    <row r="54" spans="1:15" ht="10.5" hidden="1" customHeight="1" outlineLevel="1">
      <c r="A54" s="2339"/>
      <c r="B54" s="1811"/>
      <c r="C54" s="1738"/>
      <c r="D54" s="2144" t="s">
        <v>4888</v>
      </c>
      <c r="E54" s="2342"/>
      <c r="F54" s="2132" t="s">
        <v>4847</v>
      </c>
      <c r="G54" s="2109" t="s">
        <v>5000</v>
      </c>
      <c r="H54" s="2310">
        <f>'3条補助金'!G16</f>
        <v>0</v>
      </c>
      <c r="I54" s="2306">
        <f>'3条補助金'!H16</f>
        <v>0</v>
      </c>
      <c r="J54" s="2281">
        <f>H54-I54</f>
        <v>0</v>
      </c>
      <c r="K54" s="1687"/>
    </row>
    <row r="55" spans="1:15" ht="10.5" hidden="1" customHeight="1" outlineLevel="1">
      <c r="A55" s="2339"/>
      <c r="B55" s="1811"/>
      <c r="C55" s="1738"/>
      <c r="D55" s="2347"/>
      <c r="E55" s="2342"/>
      <c r="F55" s="2133"/>
      <c r="G55" s="2164"/>
      <c r="H55" s="2325"/>
      <c r="I55" s="2307"/>
      <c r="J55" s="2305"/>
      <c r="K55" s="1687"/>
    </row>
    <row r="56" spans="1:15" ht="10.5" customHeight="1" collapsed="1">
      <c r="A56" s="2339"/>
      <c r="B56" s="1811"/>
      <c r="C56" s="1738"/>
      <c r="D56" s="2144" t="s">
        <v>4802</v>
      </c>
      <c r="E56" s="2342"/>
      <c r="F56" s="2119" t="s">
        <v>4931</v>
      </c>
      <c r="G56" s="2159" t="s">
        <v>4989</v>
      </c>
      <c r="H56" s="2310">
        <f>'3条補助金'!G18</f>
        <v>4980</v>
      </c>
      <c r="I56" s="2310">
        <f>'3条補助金'!H18</f>
        <v>0</v>
      </c>
      <c r="J56" s="2281">
        <f>H56-I56</f>
        <v>4980</v>
      </c>
      <c r="K56" s="1687"/>
    </row>
    <row r="57" spans="1:15" ht="10.5" customHeight="1">
      <c r="A57" s="2339"/>
      <c r="B57" s="1811"/>
      <c r="C57" s="1739"/>
      <c r="D57" s="2347"/>
      <c r="E57" s="2342"/>
      <c r="F57" s="2119"/>
      <c r="G57" s="2117"/>
      <c r="H57" s="2311"/>
      <c r="I57" s="2325"/>
      <c r="J57" s="2305"/>
      <c r="K57" s="1687"/>
    </row>
    <row r="58" spans="1:15" ht="10.5" customHeight="1">
      <c r="A58" s="2339"/>
      <c r="B58" s="1811"/>
      <c r="C58" s="2262" t="s">
        <v>5101</v>
      </c>
      <c r="D58" s="2361"/>
      <c r="E58" s="2362"/>
      <c r="F58" s="2266" t="s">
        <v>5104</v>
      </c>
      <c r="G58" s="2268" t="s">
        <v>5103</v>
      </c>
      <c r="H58" s="2310">
        <f>+'3条補助金'!G20</f>
        <v>9198273</v>
      </c>
      <c r="I58" s="2310">
        <f>+'3条補助金'!H20</f>
        <v>5368538</v>
      </c>
      <c r="J58" s="2358">
        <f>H58-I58</f>
        <v>3829735</v>
      </c>
      <c r="K58" s="1687"/>
    </row>
    <row r="59" spans="1:15" ht="10.5" customHeight="1">
      <c r="A59" s="2339"/>
      <c r="B59" s="1811"/>
      <c r="C59" s="2363"/>
      <c r="D59" s="2364"/>
      <c r="E59" s="2365"/>
      <c r="F59" s="2267"/>
      <c r="G59" s="2269"/>
      <c r="H59" s="2311"/>
      <c r="I59" s="2311"/>
      <c r="J59" s="2359"/>
      <c r="K59" s="1687"/>
    </row>
    <row r="60" spans="1:15" ht="10.5" customHeight="1">
      <c r="A60" s="2339"/>
      <c r="B60" s="2254" t="s">
        <v>4890</v>
      </c>
      <c r="C60" s="2255"/>
      <c r="D60" s="2255"/>
      <c r="E60" s="2256"/>
      <c r="F60" s="2248"/>
      <c r="G60" s="2109" t="s">
        <v>5063</v>
      </c>
      <c r="H60" s="2354">
        <f>+'3条その他'!G6+'3条収入'!$U$69</f>
        <v>9701615928</v>
      </c>
      <c r="I60" s="2310">
        <f>+'3条その他'!H6</f>
        <v>256789</v>
      </c>
      <c r="J60" s="2281">
        <f>H60-I60</f>
        <v>9701359139</v>
      </c>
      <c r="K60" s="1687"/>
    </row>
    <row r="61" spans="1:15" ht="10.5" customHeight="1" thickBot="1">
      <c r="A61" s="2339"/>
      <c r="B61" s="2257"/>
      <c r="C61" s="2258"/>
      <c r="D61" s="2258"/>
      <c r="E61" s="2259"/>
      <c r="F61" s="2249"/>
      <c r="G61" s="2270"/>
      <c r="H61" s="2355"/>
      <c r="I61" s="2353"/>
      <c r="J61" s="2309"/>
      <c r="K61" s="1687"/>
    </row>
    <row r="62" spans="1:15" ht="10.5" customHeight="1">
      <c r="A62" s="2351"/>
      <c r="B62" s="2250" t="s">
        <v>4803</v>
      </c>
      <c r="C62" s="2246"/>
      <c r="D62" s="2246"/>
      <c r="E62" s="2247"/>
      <c r="F62" s="1654"/>
      <c r="G62" s="1661"/>
      <c r="H62" s="2280">
        <f>H6+H22+H44+H48+H60</f>
        <v>23701924001</v>
      </c>
      <c r="I62" s="2280">
        <f>I6+I22+I44+I48+I60</f>
        <v>2312892880</v>
      </c>
      <c r="J62" s="2308">
        <f>J6+J22+J44+J48+J60</f>
        <v>21389031121</v>
      </c>
      <c r="K62" s="1919">
        <f>+SUM('3条一般会計:3条災害補助'!J6)</f>
        <v>0</v>
      </c>
      <c r="L62" s="1919">
        <f>+SUM('3条一般会計:3条災害補助'!K6)</f>
        <v>0</v>
      </c>
      <c r="M62" s="1919">
        <f>+SUM('3条一般会計:3条災害補助'!L6)</f>
        <v>455392</v>
      </c>
      <c r="N62" s="1919">
        <f>+SUM('3条一般会計:3条災害補助'!M6)</f>
        <v>130568</v>
      </c>
      <c r="O62" s="1919">
        <f>+SUM('3条一般会計:3条災害補助'!N6)</f>
        <v>2312306920</v>
      </c>
    </row>
    <row r="63" spans="1:15" ht="10.5" customHeight="1" thickBot="1">
      <c r="A63" s="2352"/>
      <c r="B63" s="2251"/>
      <c r="C63" s="2252"/>
      <c r="D63" s="2252"/>
      <c r="E63" s="2253"/>
      <c r="F63" s="1647"/>
      <c r="G63" s="1662"/>
      <c r="H63" s="2324"/>
      <c r="I63" s="2324"/>
      <c r="J63" s="2309"/>
      <c r="K63" s="1687"/>
    </row>
    <row r="64" spans="1:15" ht="10.5" customHeight="1">
      <c r="A64" s="2338" t="s">
        <v>4933</v>
      </c>
      <c r="B64" s="2356" t="s">
        <v>4781</v>
      </c>
      <c r="C64" s="2246"/>
      <c r="D64" s="2246"/>
      <c r="E64" s="2247"/>
      <c r="F64" s="1654"/>
      <c r="G64" s="1661"/>
      <c r="H64" s="2280">
        <f>H66+H104</f>
        <v>5717788000</v>
      </c>
      <c r="I64" s="2280">
        <f>I66+I104</f>
        <v>5712285006</v>
      </c>
      <c r="J64" s="2308">
        <f>J66+J104</f>
        <v>5502994</v>
      </c>
      <c r="K64" s="1687"/>
    </row>
    <row r="65" spans="1:15" ht="10.5" customHeight="1">
      <c r="A65" s="2339"/>
      <c r="B65" s="2190"/>
      <c r="C65" s="2175"/>
      <c r="D65" s="2175"/>
      <c r="E65" s="2176"/>
      <c r="F65" s="1803"/>
      <c r="G65" s="1659"/>
      <c r="H65" s="2161"/>
      <c r="I65" s="2161"/>
      <c r="J65" s="2305"/>
      <c r="K65" s="1687"/>
    </row>
    <row r="66" spans="1:15" ht="10.5" customHeight="1">
      <c r="A66" s="2339"/>
      <c r="B66" s="1735"/>
      <c r="C66" s="2148" t="s">
        <v>5091</v>
      </c>
      <c r="D66" s="2312"/>
      <c r="E66" s="2313"/>
      <c r="F66" s="1799"/>
      <c r="G66" s="1734"/>
      <c r="H66" s="2323">
        <f>'4条補助（公）'!G6</f>
        <v>5683800000</v>
      </c>
      <c r="I66" s="2323">
        <f>'4条補助（公）'!H6</f>
        <v>5678297006</v>
      </c>
      <c r="J66" s="2320">
        <f>'4条補助（公）'!I6</f>
        <v>5502994</v>
      </c>
      <c r="K66" s="1687"/>
    </row>
    <row r="67" spans="1:15" ht="10.5" customHeight="1">
      <c r="A67" s="2339"/>
      <c r="B67" s="1736"/>
      <c r="C67" s="2314"/>
      <c r="D67" s="2314"/>
      <c r="E67" s="2315"/>
      <c r="F67" s="1803"/>
      <c r="G67" s="1659"/>
      <c r="H67" s="2161"/>
      <c r="I67" s="2161"/>
      <c r="J67" s="2305"/>
      <c r="K67" s="1687"/>
    </row>
    <row r="68" spans="1:15" ht="10.5" customHeight="1">
      <c r="A68" s="2339"/>
      <c r="B68" s="1736"/>
      <c r="C68" s="1811"/>
      <c r="D68" s="2297" t="s">
        <v>4817</v>
      </c>
      <c r="E68" s="2195" t="s">
        <v>4782</v>
      </c>
      <c r="F68" s="2140" t="str">
        <f>'4条補助（公）'!D8</f>
        <v>4,762,313.150千円×５／１０</v>
      </c>
      <c r="G68" s="2303" t="str">
        <f>'4条補助（公）'!E8</f>
        <v>5年度分
公共下水道整備事業
(補助事業現年分)の
課税支出割合</v>
      </c>
      <c r="H68" s="2283">
        <f>'4条補助（公）'!G8</f>
        <v>2411526000</v>
      </c>
      <c r="I68" s="2322">
        <f>'4条補助（公）'!H19</f>
        <v>2527700000</v>
      </c>
      <c r="J68" s="2318">
        <f>'4条補助（公）'!I19</f>
        <v>0</v>
      </c>
      <c r="K68" s="1688"/>
      <c r="O68" s="1929"/>
    </row>
    <row r="69" spans="1:15" ht="10.5" customHeight="1">
      <c r="A69" s="2339"/>
      <c r="B69" s="1736"/>
      <c r="C69" s="1811"/>
      <c r="D69" s="2154"/>
      <c r="E69" s="2195"/>
      <c r="F69" s="2140"/>
      <c r="G69" s="2304"/>
      <c r="H69" s="2284"/>
      <c r="I69" s="2294"/>
      <c r="J69" s="2321"/>
      <c r="K69" s="1688"/>
    </row>
    <row r="70" spans="1:15" ht="10.5" customHeight="1">
      <c r="A70" s="2339"/>
      <c r="B70" s="1736"/>
      <c r="C70" s="1811"/>
      <c r="D70" s="2154"/>
      <c r="E70" s="2130" t="s">
        <v>5038</v>
      </c>
      <c r="F70" s="2140" t="str">
        <f>'4条補助（公）'!D10</f>
        <v>60,375.850千円×５／１０</v>
      </c>
      <c r="G70" s="2304"/>
      <c r="H70" s="2284"/>
      <c r="I70" s="2294"/>
      <c r="J70" s="2321"/>
      <c r="K70" s="1688"/>
    </row>
    <row r="71" spans="1:15" ht="10.5" customHeight="1">
      <c r="A71" s="2339"/>
      <c r="B71" s="1736"/>
      <c r="C71" s="1811"/>
      <c r="D71" s="2154"/>
      <c r="E71" s="2139"/>
      <c r="F71" s="2140"/>
      <c r="G71" s="2304"/>
      <c r="H71" s="2285"/>
      <c r="I71" s="2294"/>
      <c r="J71" s="2321"/>
      <c r="K71" s="1688"/>
    </row>
    <row r="72" spans="1:15" ht="10.5" hidden="1" customHeight="1" outlineLevel="1">
      <c r="A72" s="2339"/>
      <c r="B72" s="1736"/>
      <c r="C72" s="1811"/>
      <c r="D72" s="2154"/>
      <c r="E72" s="2195" t="s">
        <v>4783</v>
      </c>
      <c r="F72" s="2140">
        <f>'4条補助（公）'!D12</f>
        <v>0</v>
      </c>
      <c r="G72" s="2304"/>
      <c r="H72" s="2322">
        <f>'4条補助（公）'!G12</f>
        <v>0</v>
      </c>
      <c r="I72" s="2294"/>
      <c r="J72" s="2321"/>
      <c r="K72" s="1688"/>
    </row>
    <row r="73" spans="1:15" ht="10.5" hidden="1" customHeight="1" outlineLevel="1">
      <c r="A73" s="2339"/>
      <c r="B73" s="1736"/>
      <c r="C73" s="1811"/>
      <c r="D73" s="2154"/>
      <c r="E73" s="2195"/>
      <c r="F73" s="2140"/>
      <c r="G73" s="2304"/>
      <c r="H73" s="2295"/>
      <c r="I73" s="2294"/>
      <c r="J73" s="2321"/>
      <c r="K73" s="1688"/>
    </row>
    <row r="74" spans="1:15" ht="10.5" hidden="1" customHeight="1" outlineLevel="1">
      <c r="A74" s="2339"/>
      <c r="B74" s="1736"/>
      <c r="C74" s="1811"/>
      <c r="D74" s="2154"/>
      <c r="E74" s="2195" t="s">
        <v>4784</v>
      </c>
      <c r="F74" s="2140">
        <f>'4条補助（公）'!D14</f>
        <v>0</v>
      </c>
      <c r="G74" s="2304"/>
      <c r="H74" s="2322">
        <f>'4条補助（公）'!G14</f>
        <v>0</v>
      </c>
      <c r="I74" s="2294"/>
      <c r="J74" s="2321"/>
      <c r="K74" s="1688"/>
    </row>
    <row r="75" spans="1:15" ht="10.5" hidden="1" customHeight="1" outlineLevel="1">
      <c r="A75" s="2339"/>
      <c r="B75" s="1736"/>
      <c r="C75" s="1811"/>
      <c r="D75" s="2154"/>
      <c r="E75" s="2195"/>
      <c r="F75" s="2140"/>
      <c r="G75" s="2304"/>
      <c r="H75" s="2295"/>
      <c r="I75" s="2294"/>
      <c r="J75" s="2321"/>
      <c r="K75" s="1688"/>
    </row>
    <row r="76" spans="1:15" ht="10.5" hidden="1" customHeight="1" outlineLevel="1">
      <c r="A76" s="2339"/>
      <c r="B76" s="1736"/>
      <c r="C76" s="1811"/>
      <c r="D76" s="2154"/>
      <c r="E76" s="2195" t="s">
        <v>5065</v>
      </c>
      <c r="F76" s="2140">
        <f>'4条補助（公）'!D16</f>
        <v>0</v>
      </c>
      <c r="G76" s="2304"/>
      <c r="H76" s="2322">
        <f>'4条補助（公）'!G16</f>
        <v>0</v>
      </c>
      <c r="I76" s="2294"/>
      <c r="J76" s="2321"/>
      <c r="K76" s="1688"/>
    </row>
    <row r="77" spans="1:15" ht="10.5" hidden="1" customHeight="1" outlineLevel="1">
      <c r="A77" s="2339"/>
      <c r="B77" s="1736"/>
      <c r="C77" s="1811"/>
      <c r="D77" s="2154"/>
      <c r="E77" s="2195"/>
      <c r="F77" s="2140"/>
      <c r="G77" s="2304"/>
      <c r="H77" s="2295"/>
      <c r="I77" s="2294"/>
      <c r="J77" s="2321"/>
      <c r="K77" s="1688"/>
    </row>
    <row r="78" spans="1:15" ht="10.5" hidden="1" customHeight="1" outlineLevel="1">
      <c r="A78" s="2339"/>
      <c r="B78" s="1736"/>
      <c r="C78" s="1811"/>
      <c r="D78" s="2154"/>
      <c r="E78" s="2195" t="s">
        <v>4806</v>
      </c>
      <c r="F78" s="2140">
        <f>'4条補助（公）'!D18</f>
        <v>0</v>
      </c>
      <c r="G78" s="2304"/>
      <c r="H78" s="2322">
        <f>'4条補助（公）'!G18</f>
        <v>0</v>
      </c>
      <c r="I78" s="2294"/>
      <c r="J78" s="2321"/>
      <c r="K78" s="1688"/>
    </row>
    <row r="79" spans="1:15" ht="10.5" hidden="1" customHeight="1" outlineLevel="1">
      <c r="A79" s="2339"/>
      <c r="B79" s="1736"/>
      <c r="C79" s="1811"/>
      <c r="D79" s="2154"/>
      <c r="E79" s="2195"/>
      <c r="F79" s="2140"/>
      <c r="G79" s="2304"/>
      <c r="H79" s="2295"/>
      <c r="I79" s="2294"/>
      <c r="J79" s="2321"/>
      <c r="K79" s="1688"/>
    </row>
    <row r="80" spans="1:15" ht="10.5" customHeight="1" collapsed="1">
      <c r="A80" s="2339"/>
      <c r="B80" s="1736"/>
      <c r="C80" s="1811"/>
      <c r="D80" s="2154"/>
      <c r="E80" s="2195" t="s">
        <v>4785</v>
      </c>
      <c r="F80" s="2140" t="str">
        <f>'4条補助（公）'!D20</f>
        <v>191,660千円×５．５／１０</v>
      </c>
      <c r="G80" s="2304"/>
      <c r="H80" s="2322">
        <f>'4条補助（公）'!G20</f>
        <v>105413000</v>
      </c>
      <c r="I80" s="2294"/>
      <c r="J80" s="2321"/>
      <c r="K80" s="1688"/>
    </row>
    <row r="81" spans="1:11" ht="10.5" customHeight="1">
      <c r="A81" s="2339"/>
      <c r="B81" s="1736"/>
      <c r="C81" s="1811"/>
      <c r="D81" s="2154"/>
      <c r="E81" s="2195"/>
      <c r="F81" s="2140"/>
      <c r="G81" s="2304"/>
      <c r="H81" s="2295"/>
      <c r="I81" s="2294"/>
      <c r="J81" s="2321"/>
      <c r="K81" s="1688"/>
    </row>
    <row r="82" spans="1:11" ht="10.5" customHeight="1">
      <c r="A82" s="2339"/>
      <c r="B82" s="1736"/>
      <c r="C82" s="1811"/>
      <c r="D82" s="2154"/>
      <c r="E82" s="2195" t="s">
        <v>4786</v>
      </c>
      <c r="F82" s="2140" t="str">
        <f>'4条補助（公）'!D22</f>
        <v>21,525千円×５／１０</v>
      </c>
      <c r="G82" s="2304"/>
      <c r="H82" s="2322">
        <f>'4条補助（公）'!G22</f>
        <v>10761000</v>
      </c>
      <c r="I82" s="2294"/>
      <c r="J82" s="2321"/>
      <c r="K82" s="1688"/>
    </row>
    <row r="83" spans="1:11" ht="10.5" customHeight="1">
      <c r="A83" s="2339"/>
      <c r="B83" s="1736"/>
      <c r="C83" s="1811"/>
      <c r="D83" s="2154"/>
      <c r="E83" s="2195"/>
      <c r="F83" s="2140"/>
      <c r="G83" s="2304"/>
      <c r="H83" s="2295"/>
      <c r="I83" s="2294"/>
      <c r="J83" s="2321"/>
      <c r="K83" s="1688"/>
    </row>
    <row r="84" spans="1:11" ht="10.5" hidden="1" customHeight="1" outlineLevel="1">
      <c r="A84" s="2339"/>
      <c r="B84" s="1736"/>
      <c r="C84" s="1811"/>
      <c r="D84" s="2154"/>
      <c r="E84" s="2195" t="s">
        <v>4787</v>
      </c>
      <c r="F84" s="2140">
        <f>'4条補助（公）'!D24</f>
        <v>0</v>
      </c>
      <c r="G84" s="2304"/>
      <c r="H84" s="2322">
        <f>'4条補助（公）'!G24</f>
        <v>0</v>
      </c>
      <c r="I84" s="2294"/>
      <c r="J84" s="2321"/>
      <c r="K84" s="1688"/>
    </row>
    <row r="85" spans="1:11" ht="10.5" hidden="1" customHeight="1" outlineLevel="1">
      <c r="A85" s="2339"/>
      <c r="B85" s="1736"/>
      <c r="C85" s="1811"/>
      <c r="D85" s="2154"/>
      <c r="E85" s="2195"/>
      <c r="F85" s="2140"/>
      <c r="G85" s="2304"/>
      <c r="H85" s="2295"/>
      <c r="I85" s="2294"/>
      <c r="J85" s="2321"/>
      <c r="K85" s="1688"/>
    </row>
    <row r="86" spans="1:11" ht="10.5" hidden="1" customHeight="1" outlineLevel="1">
      <c r="A86" s="2339"/>
      <c r="B86" s="1736"/>
      <c r="C86" s="1811"/>
      <c r="D86" s="2154"/>
      <c r="E86" s="2195" t="s">
        <v>4788</v>
      </c>
      <c r="F86" s="2140">
        <f>'4条補助（公）'!D26</f>
        <v>0</v>
      </c>
      <c r="G86" s="2304"/>
      <c r="H86" s="2322">
        <f>'4条補助（公）'!G26</f>
        <v>0</v>
      </c>
      <c r="I86" s="2294"/>
      <c r="J86" s="2321"/>
      <c r="K86" s="1688"/>
    </row>
    <row r="87" spans="1:11" ht="10.5" hidden="1" customHeight="1" outlineLevel="1">
      <c r="A87" s="2339"/>
      <c r="B87" s="1736"/>
      <c r="C87" s="1811"/>
      <c r="D87" s="2154"/>
      <c r="E87" s="2195"/>
      <c r="F87" s="2140"/>
      <c r="G87" s="2304"/>
      <c r="H87" s="2295"/>
      <c r="I87" s="2294"/>
      <c r="J87" s="2321"/>
      <c r="K87" s="1688"/>
    </row>
    <row r="88" spans="1:11" ht="10.5" hidden="1" customHeight="1" outlineLevel="1">
      <c r="A88" s="2339"/>
      <c r="B88" s="1736"/>
      <c r="C88" s="1811"/>
      <c r="D88" s="2154"/>
      <c r="E88" s="2195" t="s">
        <v>4789</v>
      </c>
      <c r="F88" s="2140">
        <f>'4条補助（公）'!D28</f>
        <v>0</v>
      </c>
      <c r="G88" s="2304"/>
      <c r="H88" s="2322">
        <f>'4条補助（公）'!G28</f>
        <v>0</v>
      </c>
      <c r="I88" s="2294"/>
      <c r="J88" s="2321"/>
      <c r="K88" s="1688"/>
    </row>
    <row r="89" spans="1:11" ht="10.5" hidden="1" customHeight="1" outlineLevel="1">
      <c r="A89" s="2339"/>
      <c r="B89" s="1736"/>
      <c r="C89" s="1811"/>
      <c r="D89" s="2154"/>
      <c r="E89" s="2195"/>
      <c r="F89" s="2140"/>
      <c r="G89" s="2304"/>
      <c r="H89" s="2295"/>
      <c r="I89" s="2294"/>
      <c r="J89" s="2321"/>
      <c r="K89" s="1688"/>
    </row>
    <row r="90" spans="1:11" ht="10.5" hidden="1" customHeight="1" outlineLevel="1" collapsed="1">
      <c r="A90" s="2339"/>
      <c r="B90" s="1736"/>
      <c r="C90" s="1811"/>
      <c r="D90" s="2154"/>
      <c r="E90" s="2195" t="s">
        <v>4790</v>
      </c>
      <c r="F90" s="1798"/>
      <c r="G90" s="2304"/>
      <c r="H90" s="2322">
        <f>'4条補助（公）'!G30</f>
        <v>0</v>
      </c>
      <c r="I90" s="2294"/>
      <c r="J90" s="2321"/>
      <c r="K90" s="1688"/>
    </row>
    <row r="91" spans="1:11" ht="10.5" hidden="1" customHeight="1" outlineLevel="1">
      <c r="A91" s="2339"/>
      <c r="B91" s="1736"/>
      <c r="C91" s="1811"/>
      <c r="D91" s="2154"/>
      <c r="E91" s="2130"/>
      <c r="F91" s="1799"/>
      <c r="G91" s="2304"/>
      <c r="H91" s="2294"/>
      <c r="I91" s="2294"/>
      <c r="J91" s="2321"/>
      <c r="K91" s="1688"/>
    </row>
    <row r="92" spans="1:11" ht="10.5" customHeight="1" collapsed="1">
      <c r="A92" s="2339"/>
      <c r="B92" s="1736"/>
      <c r="C92" s="1811"/>
      <c r="D92" s="2154"/>
      <c r="E92" s="2195" t="s">
        <v>5046</v>
      </c>
      <c r="F92" s="2140" t="str">
        <f>'4条補助（公）'!D32</f>
        <v>4,286,012.1千円×５／１０</v>
      </c>
      <c r="G92" s="2201" t="str">
        <f>'4条補助（公）'!E32</f>
        <v>4年度分
公共下水道整備事業
(補助事業繰越分)の
課税支出割合</v>
      </c>
      <c r="H92" s="2283">
        <f>'4条補助（公）'!G32</f>
        <v>2201500000</v>
      </c>
      <c r="I92" s="2322">
        <f>'4条補助（公）'!H37</f>
        <v>3150597006</v>
      </c>
      <c r="J92" s="2318">
        <f>'4条補助（公）'!I37</f>
        <v>5502994</v>
      </c>
    </row>
    <row r="93" spans="1:11" ht="10.5" customHeight="1">
      <c r="A93" s="2339"/>
      <c r="B93" s="1736"/>
      <c r="C93" s="1811"/>
      <c r="D93" s="2154"/>
      <c r="E93" s="2195"/>
      <c r="F93" s="2140"/>
      <c r="G93" s="2202"/>
      <c r="H93" s="2284"/>
      <c r="I93" s="2294"/>
      <c r="J93" s="2321"/>
    </row>
    <row r="94" spans="1:11" ht="10.5" customHeight="1">
      <c r="A94" s="2339"/>
      <c r="B94" s="1736"/>
      <c r="C94" s="1811"/>
      <c r="D94" s="2154"/>
      <c r="E94" s="2106" t="s">
        <v>5360</v>
      </c>
      <c r="F94" s="2140" t="str">
        <f>'4条補助（公）'!D34</f>
        <v>13,187.9千円×５／１０</v>
      </c>
      <c r="G94" s="2202"/>
      <c r="H94" s="2284"/>
      <c r="I94" s="2294"/>
      <c r="J94" s="2321"/>
    </row>
    <row r="95" spans="1:11" ht="10.5" customHeight="1">
      <c r="A95" s="2339"/>
      <c r="B95" s="1736"/>
      <c r="C95" s="1811"/>
      <c r="D95" s="2154"/>
      <c r="E95" s="2107"/>
      <c r="F95" s="2140"/>
      <c r="G95" s="2202"/>
      <c r="H95" s="2285"/>
      <c r="I95" s="2294"/>
      <c r="J95" s="2321"/>
    </row>
    <row r="96" spans="1:11" ht="10.5" hidden="1" customHeight="1" outlineLevel="1">
      <c r="A96" s="2339"/>
      <c r="B96" s="1736"/>
      <c r="C96" s="1811"/>
      <c r="D96" s="2154"/>
      <c r="E96" s="2130" t="s">
        <v>5047</v>
      </c>
      <c r="F96" s="2140">
        <f>'4条補助（公）'!D36</f>
        <v>0</v>
      </c>
      <c r="G96" s="2202"/>
      <c r="H96" s="2292">
        <f>'4条補助（公）'!G36</f>
        <v>0</v>
      </c>
      <c r="I96" s="2294"/>
      <c r="J96" s="2321"/>
    </row>
    <row r="97" spans="1:10" ht="10.5" hidden="1" customHeight="1" outlineLevel="1">
      <c r="A97" s="2339"/>
      <c r="B97" s="1736"/>
      <c r="C97" s="1811"/>
      <c r="D97" s="2154"/>
      <c r="E97" s="2139"/>
      <c r="F97" s="2140"/>
      <c r="G97" s="2202"/>
      <c r="H97" s="2292"/>
      <c r="I97" s="2294"/>
      <c r="J97" s="2321"/>
    </row>
    <row r="98" spans="1:10" ht="10.5" customHeight="1" collapsed="1">
      <c r="A98" s="2339"/>
      <c r="B98" s="1736"/>
      <c r="C98" s="1811"/>
      <c r="D98" s="2154"/>
      <c r="E98" s="2137" t="s">
        <v>4936</v>
      </c>
      <c r="F98" s="2140" t="str">
        <f>'4条補助（公）'!D38</f>
        <v>1,292,000千円×５．５／１０</v>
      </c>
      <c r="G98" s="2202"/>
      <c r="H98" s="2292">
        <f>'4条補助（公）'!G38</f>
        <v>710600000</v>
      </c>
      <c r="I98" s="2294"/>
      <c r="J98" s="2321"/>
    </row>
    <row r="99" spans="1:10" ht="10.5" customHeight="1">
      <c r="A99" s="2339"/>
      <c r="B99" s="1736"/>
      <c r="C99" s="1811"/>
      <c r="D99" s="2154"/>
      <c r="E99" s="2138"/>
      <c r="F99" s="2140"/>
      <c r="G99" s="2202"/>
      <c r="H99" s="2292"/>
      <c r="I99" s="2294"/>
      <c r="J99" s="2321"/>
    </row>
    <row r="100" spans="1:10" ht="10.5" customHeight="1">
      <c r="A100" s="2339"/>
      <c r="B100" s="1736"/>
      <c r="C100" s="1811"/>
      <c r="D100" s="2154"/>
      <c r="E100" s="2137" t="s">
        <v>4937</v>
      </c>
      <c r="F100" s="2140" t="str">
        <f>'4条補助（公）'!D40</f>
        <v>488,000千円×５／１０</v>
      </c>
      <c r="G100" s="2202"/>
      <c r="H100" s="2292">
        <f>'4条補助（公）'!G40</f>
        <v>244000000</v>
      </c>
      <c r="I100" s="2294"/>
      <c r="J100" s="2321"/>
    </row>
    <row r="101" spans="1:10" ht="10.5" customHeight="1">
      <c r="A101" s="2339"/>
      <c r="B101" s="1736"/>
      <c r="C101" s="1811"/>
      <c r="D101" s="2154"/>
      <c r="E101" s="2138"/>
      <c r="F101" s="2140"/>
      <c r="G101" s="2202"/>
      <c r="H101" s="2292"/>
      <c r="I101" s="2294"/>
      <c r="J101" s="2321"/>
    </row>
    <row r="102" spans="1:10" ht="10.5" hidden="1" customHeight="1" outlineLevel="1">
      <c r="A102" s="2339"/>
      <c r="B102" s="1736"/>
      <c r="C102" s="1811"/>
      <c r="D102" s="2154"/>
      <c r="E102" s="2137" t="s">
        <v>4897</v>
      </c>
      <c r="F102" s="2140">
        <f>'4条補助（公）'!D42</f>
        <v>0</v>
      </c>
      <c r="G102" s="2202"/>
      <c r="H102" s="2323">
        <f>'4条補助（公）'!G42</f>
        <v>0</v>
      </c>
      <c r="I102" s="2294"/>
      <c r="J102" s="2321"/>
    </row>
    <row r="103" spans="1:10" ht="10.5" hidden="1" customHeight="1" outlineLevel="1">
      <c r="A103" s="2339"/>
      <c r="B103" s="1736"/>
      <c r="C103" s="1811"/>
      <c r="D103" s="2154"/>
      <c r="E103" s="2106"/>
      <c r="F103" s="2140"/>
      <c r="G103" s="2203"/>
      <c r="H103" s="2161"/>
      <c r="I103" s="2295"/>
      <c r="J103" s="2319"/>
    </row>
    <row r="104" spans="1:10" ht="10.5" customHeight="1" collapsed="1">
      <c r="A104" s="2339"/>
      <c r="B104" s="1736"/>
      <c r="C104" s="2146" t="s">
        <v>5082</v>
      </c>
      <c r="D104" s="2298"/>
      <c r="E104" s="2299"/>
      <c r="F104" s="1798"/>
      <c r="G104" s="1740"/>
      <c r="H104" s="2160">
        <f>SUM(H106:H119)</f>
        <v>33988000</v>
      </c>
      <c r="I104" s="2160">
        <f>SUM(I106:I119)</f>
        <v>33988000</v>
      </c>
      <c r="J104" s="2281">
        <f>SUM(J106:J119)</f>
        <v>0</v>
      </c>
    </row>
    <row r="105" spans="1:10" ht="10.5" customHeight="1">
      <c r="A105" s="2339"/>
      <c r="B105" s="1917"/>
      <c r="C105" s="2348"/>
      <c r="D105" s="2300"/>
      <c r="E105" s="2301"/>
      <c r="F105" s="1803"/>
      <c r="G105" s="1807"/>
      <c r="H105" s="2161"/>
      <c r="I105" s="2161"/>
      <c r="J105" s="2305"/>
    </row>
    <row r="106" spans="1:10" ht="23.25" customHeight="1">
      <c r="A106" s="2339"/>
      <c r="B106" s="1736"/>
      <c r="C106" s="1808"/>
      <c r="D106" s="2296" t="s">
        <v>5078</v>
      </c>
      <c r="E106" s="2145" t="s">
        <v>5098</v>
      </c>
      <c r="F106" s="2344" t="str">
        <f>'4条補助（特）'!D8</f>
        <v>25,200千円×５／１０</v>
      </c>
      <c r="G106" s="2201" t="str">
        <f>+'4条補助（特）'!E8</f>
        <v>5年度分
特定環境保全公共下水道整備事業
(補助事業現年分)の
課税支出割合</v>
      </c>
      <c r="H106" s="2322">
        <f>'4条補助（特）'!G8</f>
        <v>12600000</v>
      </c>
      <c r="I106" s="2292">
        <f>'4条補助（特）'!H19</f>
        <v>12600000</v>
      </c>
      <c r="J106" s="2293">
        <f>'4条補助（特）'!I19</f>
        <v>0</v>
      </c>
    </row>
    <row r="107" spans="1:10" ht="23.25" customHeight="1">
      <c r="A107" s="2339"/>
      <c r="B107" s="1736"/>
      <c r="C107" s="1738"/>
      <c r="D107" s="2296"/>
      <c r="E107" s="2145"/>
      <c r="F107" s="2345"/>
      <c r="G107" s="2333"/>
      <c r="H107" s="2294"/>
      <c r="I107" s="2357"/>
      <c r="J107" s="2326"/>
    </row>
    <row r="108" spans="1:10" ht="23.25" customHeight="1">
      <c r="A108" s="2339"/>
      <c r="B108" s="1736"/>
      <c r="C108" s="1738"/>
      <c r="D108" s="2341"/>
      <c r="E108" s="2100" t="s">
        <v>5046</v>
      </c>
      <c r="F108" s="2102" t="str">
        <f>'4条補助（特）'!D32</f>
        <v>5,000千円×５／１０</v>
      </c>
      <c r="G108" s="2208" t="str">
        <f>+'4条補助（特）'!E32</f>
        <v>4年度分
特定環境保全公共下水道整備事業
(補助事業繰越分)の
課税支出割合</v>
      </c>
      <c r="H108" s="2098">
        <f>'4条補助（特）'!G32</f>
        <v>2500000</v>
      </c>
      <c r="I108" s="2292">
        <f>'4条補助（特）'!H37</f>
        <v>17900000</v>
      </c>
      <c r="J108" s="2293">
        <f>'4条補助（特）'!I37</f>
        <v>0</v>
      </c>
    </row>
    <row r="109" spans="1:10" ht="23.25" customHeight="1">
      <c r="A109" s="2339"/>
      <c r="B109" s="1736"/>
      <c r="C109" s="1738"/>
      <c r="D109" s="2341"/>
      <c r="E109" s="2101" t="s">
        <v>5358</v>
      </c>
      <c r="F109" s="2099" t="str">
        <f>'4条補助（特）'!D38</f>
        <v>28,000千円×５．５／１０</v>
      </c>
      <c r="G109" s="2334"/>
      <c r="H109" s="2097">
        <f>'4条補助（特）'!G38</f>
        <v>15400000</v>
      </c>
      <c r="I109" s="2292"/>
      <c r="J109" s="2293"/>
    </row>
    <row r="110" spans="1:10" ht="12" hidden="1" customHeight="1" outlineLevel="1">
      <c r="A110" s="2339"/>
      <c r="B110" s="1736"/>
      <c r="C110" s="1738"/>
      <c r="D110" s="2297" t="s">
        <v>5079</v>
      </c>
      <c r="E110" s="2130" t="s">
        <v>5038</v>
      </c>
      <c r="F110" s="2141">
        <f>'4条補助（農）'!D8</f>
        <v>0</v>
      </c>
      <c r="G110" s="2201" t="str">
        <f>+'4条補助（農）'!E8</f>
        <v>5年度分
農業集落排水事業
(補助事業現年分)の
課税支出割合</v>
      </c>
      <c r="H110" s="2283">
        <f>'4条補助（農）'!G8</f>
        <v>0</v>
      </c>
      <c r="I110" s="2292">
        <f>'4条補助（農）'!H19</f>
        <v>0</v>
      </c>
      <c r="J110" s="2293">
        <f>'4条補助（農）'!I19</f>
        <v>0</v>
      </c>
    </row>
    <row r="111" spans="1:10" ht="12" hidden="1" customHeight="1" outlineLevel="1">
      <c r="A111" s="2339"/>
      <c r="B111" s="1736"/>
      <c r="C111" s="1738"/>
      <c r="D111" s="2154"/>
      <c r="E111" s="2131"/>
      <c r="F111" s="2142"/>
      <c r="G111" s="2331"/>
      <c r="H111" s="2284"/>
      <c r="I111" s="2292"/>
      <c r="J111" s="2293"/>
    </row>
    <row r="112" spans="1:10" ht="12" hidden="1" customHeight="1" outlineLevel="1">
      <c r="A112" s="2339"/>
      <c r="B112" s="1736"/>
      <c r="C112" s="1738"/>
      <c r="D112" s="2154"/>
      <c r="E112" s="2131"/>
      <c r="F112" s="2142"/>
      <c r="G112" s="2331"/>
      <c r="H112" s="2284"/>
      <c r="I112" s="2292"/>
      <c r="J112" s="2293"/>
    </row>
    <row r="113" spans="1:10" ht="12" hidden="1" customHeight="1" outlineLevel="1">
      <c r="A113" s="2339"/>
      <c r="B113" s="1736"/>
      <c r="C113" s="1738"/>
      <c r="D113" s="2154"/>
      <c r="E113" s="2139"/>
      <c r="F113" s="2143"/>
      <c r="G113" s="2332"/>
      <c r="H113" s="2285"/>
      <c r="I113" s="2292"/>
      <c r="J113" s="2293"/>
    </row>
    <row r="114" spans="1:10" ht="12" hidden="1" customHeight="1" outlineLevel="1">
      <c r="A114" s="2339"/>
      <c r="B114" s="1736"/>
      <c r="C114" s="1738"/>
      <c r="D114" s="2154"/>
      <c r="E114" s="2191" t="s">
        <v>5097</v>
      </c>
      <c r="F114" s="2134" t="str">
        <f>'4条補助（農）'!D32</f>
        <v>75,000千円×５／１０</v>
      </c>
      <c r="G114" s="2286" t="str">
        <f>+'4条補助（農）'!E32</f>
        <v>4年度分
農業集落排水事業
(補助事業繰越分)の
課税支出割合</v>
      </c>
      <c r="H114" s="2283">
        <f>'4条補助（農）'!G32</f>
        <v>0</v>
      </c>
      <c r="I114" s="2292">
        <f>'4条補助（農）'!H37</f>
        <v>0</v>
      </c>
      <c r="J114" s="2293">
        <f>'4条補助（農）'!I37</f>
        <v>0</v>
      </c>
    </row>
    <row r="115" spans="1:10" ht="12" hidden="1" customHeight="1" outlineLevel="1">
      <c r="A115" s="2339"/>
      <c r="B115" s="1736"/>
      <c r="C115" s="1738"/>
      <c r="D115" s="2154"/>
      <c r="E115" s="2192"/>
      <c r="F115" s="2135"/>
      <c r="G115" s="2287"/>
      <c r="H115" s="2284"/>
      <c r="I115" s="2292"/>
      <c r="J115" s="2293"/>
    </row>
    <row r="116" spans="1:10" ht="12" hidden="1" customHeight="1" outlineLevel="1">
      <c r="A116" s="2339"/>
      <c r="B116" s="1736"/>
      <c r="C116" s="1738"/>
      <c r="D116" s="2154"/>
      <c r="E116" s="2192"/>
      <c r="F116" s="2135"/>
      <c r="G116" s="2287"/>
      <c r="H116" s="2284"/>
      <c r="I116" s="2292"/>
      <c r="J116" s="2293"/>
    </row>
    <row r="117" spans="1:10" ht="12" hidden="1" customHeight="1" outlineLevel="1">
      <c r="A117" s="2339"/>
      <c r="B117" s="1736"/>
      <c r="C117" s="1738"/>
      <c r="D117" s="2155"/>
      <c r="E117" s="2193"/>
      <c r="F117" s="2136"/>
      <c r="G117" s="2288"/>
      <c r="H117" s="2285"/>
      <c r="I117" s="2292"/>
      <c r="J117" s="2293"/>
    </row>
    <row r="118" spans="1:10" ht="23.25" customHeight="1" collapsed="1">
      <c r="A118" s="2339"/>
      <c r="B118" s="1736"/>
      <c r="C118" s="1738"/>
      <c r="D118" s="2296" t="s">
        <v>5080</v>
      </c>
      <c r="E118" s="2145" t="s">
        <v>5074</v>
      </c>
      <c r="F118" s="2141" t="str">
        <f>'4条補助（浄）'!D8</f>
        <v>12,726.2千円×１／３</v>
      </c>
      <c r="G118" s="2331" t="str">
        <f>+'4条補助（浄）'!E8</f>
        <v>5年度分
市営浄化槽事業
(補助事業現年分)の
課税支出割合</v>
      </c>
      <c r="H118" s="2294">
        <f>'4条補助（浄）'!G8</f>
        <v>3488000</v>
      </c>
      <c r="I118" s="2292">
        <f>'4条補助（浄）'!H19</f>
        <v>3488000</v>
      </c>
      <c r="J118" s="2293">
        <f>'4条補助（浄）'!I6</f>
        <v>0</v>
      </c>
    </row>
    <row r="119" spans="1:10" ht="21.75" customHeight="1">
      <c r="A119" s="2339"/>
      <c r="B119" s="1737"/>
      <c r="C119" s="1739"/>
      <c r="D119" s="2296"/>
      <c r="E119" s="2147"/>
      <c r="F119" s="2142"/>
      <c r="G119" s="2332"/>
      <c r="H119" s="2295"/>
      <c r="I119" s="2292"/>
      <c r="J119" s="2293"/>
    </row>
    <row r="120" spans="1:10" ht="10.5" hidden="1" customHeight="1" outlineLevel="1">
      <c r="A120" s="2339"/>
      <c r="B120" s="2148" t="s">
        <v>5088</v>
      </c>
      <c r="C120" s="2148"/>
      <c r="D120" s="2298"/>
      <c r="E120" s="2299"/>
      <c r="F120" s="1798"/>
      <c r="G120" s="1733"/>
      <c r="H120" s="2160">
        <f>SUM(H122:H137)</f>
        <v>0</v>
      </c>
      <c r="I120" s="2160">
        <f t="shared" ref="I120:J120" si="0">SUM(I122:I137)</f>
        <v>0</v>
      </c>
      <c r="J120" s="2281">
        <f t="shared" si="0"/>
        <v>0</v>
      </c>
    </row>
    <row r="121" spans="1:10" ht="10.5" hidden="1" customHeight="1" outlineLevel="1">
      <c r="A121" s="2339"/>
      <c r="B121" s="2300"/>
      <c r="C121" s="2300"/>
      <c r="D121" s="2300"/>
      <c r="E121" s="2301"/>
      <c r="F121" s="1803"/>
      <c r="G121" s="1660"/>
      <c r="H121" s="2291"/>
      <c r="I121" s="2291"/>
      <c r="J121" s="2282"/>
    </row>
    <row r="122" spans="1:10" ht="16.5" hidden="1" customHeight="1" outlineLevel="1">
      <c r="A122" s="2339"/>
      <c r="B122" s="1811"/>
      <c r="C122" s="1811"/>
      <c r="D122" s="2103" t="s">
        <v>5259</v>
      </c>
      <c r="E122" s="2130" t="str">
        <f>'4条その他'!C$10</f>
        <v>公共土木施設災害
復旧事業費国庫負担金</v>
      </c>
      <c r="F122" s="2289" t="str">
        <f>'4条その他'!D$10</f>
        <v>対象事業費×２／３</v>
      </c>
      <c r="G122" s="2130" t="str">
        <f>'4条その他'!E$10</f>
        <v>4年度分
公共土木施設災害復旧事業費(補助事業現年分)の課税支出割合</v>
      </c>
      <c r="H122" s="2220">
        <f>'4条その他'!G$10</f>
        <v>0</v>
      </c>
      <c r="I122" s="2220">
        <f>'4条その他'!H$12</f>
        <v>0</v>
      </c>
      <c r="J122" s="2271">
        <f>'4条その他'!I$12</f>
        <v>0</v>
      </c>
    </row>
    <row r="123" spans="1:10" ht="16.5" hidden="1" customHeight="1" outlineLevel="1">
      <c r="A123" s="2339"/>
      <c r="B123" s="1811"/>
      <c r="C123" s="1811"/>
      <c r="D123" s="2104"/>
      <c r="E123" s="2139"/>
      <c r="F123" s="2290"/>
      <c r="G123" s="2139"/>
      <c r="H123" s="2221"/>
      <c r="I123" s="2221"/>
      <c r="J123" s="2272"/>
    </row>
    <row r="124" spans="1:10" ht="16.5" hidden="1" customHeight="1" outlineLevel="1">
      <c r="A124" s="2339"/>
      <c r="B124" s="1811"/>
      <c r="C124" s="1811"/>
      <c r="D124" s="2104"/>
      <c r="E124" s="2130" t="str">
        <f>'4条その他'!C$16</f>
        <v>公共土木施設災害
復旧事業費国庫負担金</v>
      </c>
      <c r="F124" s="2289" t="str">
        <f>'4条その他'!D$16</f>
        <v>対象事業費×２／３</v>
      </c>
      <c r="G124" s="2130" t="str">
        <f>'4条その他'!E$16</f>
        <v>3年度分
公共土木施設災害復旧事業費(補助事業繰越分)の課税支出割合</v>
      </c>
      <c r="H124" s="2220">
        <f>'4条その他'!G$16</f>
        <v>0</v>
      </c>
      <c r="I124" s="2220">
        <f>'4条その他'!H$18</f>
        <v>0</v>
      </c>
      <c r="J124" s="2271">
        <f>'4条その他'!I$18</f>
        <v>0</v>
      </c>
    </row>
    <row r="125" spans="1:10" ht="16.5" hidden="1" customHeight="1" outlineLevel="1">
      <c r="A125" s="2339"/>
      <c r="B125" s="1811"/>
      <c r="C125" s="1811"/>
      <c r="D125" s="2105"/>
      <c r="E125" s="2139"/>
      <c r="F125" s="2290"/>
      <c r="G125" s="2139"/>
      <c r="H125" s="2221"/>
      <c r="I125" s="2221"/>
      <c r="J125" s="2272"/>
    </row>
    <row r="126" spans="1:10" ht="16.5" hidden="1" customHeight="1" outlineLevel="1">
      <c r="A126" s="2339"/>
      <c r="B126" s="1811"/>
      <c r="C126" s="1811"/>
      <c r="D126" s="2103" t="s">
        <v>5083</v>
      </c>
      <c r="E126" s="2130" t="str">
        <f>'4条その他'!C$24</f>
        <v>公共土木施設災害
復旧事業費国庫負担金</v>
      </c>
      <c r="F126" s="2289" t="str">
        <f>'4条その他'!D$24</f>
        <v>対象事業費×２／３</v>
      </c>
      <c r="G126" s="2130" t="str">
        <f>'4条その他'!E$24</f>
        <v>4年度分
公共土木施設災害復旧事業費(補助事業現年分)の課税支出割合</v>
      </c>
      <c r="H126" s="2220">
        <f>'4条その他'!G$24</f>
        <v>0</v>
      </c>
      <c r="I126" s="2220">
        <f>'4条その他'!H$26</f>
        <v>0</v>
      </c>
      <c r="J126" s="2271">
        <f>'4条その他'!I$26</f>
        <v>0</v>
      </c>
    </row>
    <row r="127" spans="1:10" ht="16.5" hidden="1" customHeight="1" outlineLevel="1">
      <c r="A127" s="2339"/>
      <c r="B127" s="1811"/>
      <c r="C127" s="1811"/>
      <c r="D127" s="2104"/>
      <c r="E127" s="2139"/>
      <c r="F127" s="2290"/>
      <c r="G127" s="2139"/>
      <c r="H127" s="2221"/>
      <c r="I127" s="2221"/>
      <c r="J127" s="2272"/>
    </row>
    <row r="128" spans="1:10" ht="16.5" hidden="1" customHeight="1" outlineLevel="1">
      <c r="A128" s="2339"/>
      <c r="B128" s="1811"/>
      <c r="C128" s="1811"/>
      <c r="D128" s="2104"/>
      <c r="E128" s="2130" t="str">
        <f>'4条その他'!C$30</f>
        <v>公共土木施設災害
復旧事業費国庫負担金</v>
      </c>
      <c r="F128" s="2289" t="str">
        <f>'4条その他'!D$30</f>
        <v>対象事業費×２／３</v>
      </c>
      <c r="G128" s="2130" t="str">
        <f>'4条その他'!E$30</f>
        <v>3年度分
公共土木施設災害復旧事業費(補助事業繰越分)の課税支出割合</v>
      </c>
      <c r="H128" s="2220">
        <f>'4条その他'!G$30</f>
        <v>0</v>
      </c>
      <c r="I128" s="2220">
        <f>'4条その他'!H$32</f>
        <v>0</v>
      </c>
      <c r="J128" s="2271">
        <f>'4条その他'!I$32</f>
        <v>0</v>
      </c>
    </row>
    <row r="129" spans="1:11" ht="16.5" hidden="1" customHeight="1" outlineLevel="1">
      <c r="A129" s="2339"/>
      <c r="B129" s="1811"/>
      <c r="C129" s="1811"/>
      <c r="D129" s="2105"/>
      <c r="E129" s="2139"/>
      <c r="F129" s="2290"/>
      <c r="G129" s="2139"/>
      <c r="H129" s="2221"/>
      <c r="I129" s="2221"/>
      <c r="J129" s="2272"/>
    </row>
    <row r="130" spans="1:11" ht="16.5" hidden="1" customHeight="1" outlineLevel="1">
      <c r="A130" s="2339"/>
      <c r="B130" s="2028"/>
      <c r="C130" s="2028"/>
      <c r="D130" s="2103" t="s">
        <v>5260</v>
      </c>
      <c r="E130" s="2130" t="str">
        <f>'4条その他'!C$38</f>
        <v>災害関連農村生活環境
施設復旧事業国庫補助金</v>
      </c>
      <c r="F130" s="2289" t="str">
        <f>'4条その他'!D$38</f>
        <v>対象事業費×１／２</v>
      </c>
      <c r="G130" s="2130" t="str">
        <f>'4条その他'!E$38</f>
        <v>4年度分
災害関連農村生活環境施設復旧事業(補助事業現年分)の課税支出割合</v>
      </c>
      <c r="H130" s="2220">
        <f>'4条その他'!G$38</f>
        <v>0</v>
      </c>
      <c r="I130" s="2220">
        <f>'4条その他'!H$40</f>
        <v>0</v>
      </c>
      <c r="J130" s="2271">
        <f>'4条その他'!I$40</f>
        <v>0</v>
      </c>
    </row>
    <row r="131" spans="1:11" ht="16.5" hidden="1" customHeight="1" outlineLevel="1">
      <c r="A131" s="2339"/>
      <c r="B131" s="2028"/>
      <c r="C131" s="2028"/>
      <c r="D131" s="2104"/>
      <c r="E131" s="2139"/>
      <c r="F131" s="2290"/>
      <c r="G131" s="2139"/>
      <c r="H131" s="2221"/>
      <c r="I131" s="2221"/>
      <c r="J131" s="2272"/>
    </row>
    <row r="132" spans="1:11" ht="16.5" hidden="1" customHeight="1" outlineLevel="1">
      <c r="A132" s="2339"/>
      <c r="B132" s="2028"/>
      <c r="C132" s="2028"/>
      <c r="D132" s="2104"/>
      <c r="E132" s="2130" t="str">
        <f>'4条その他'!C$44</f>
        <v>災害関連農村生活環境
施設復旧事業国庫補助金</v>
      </c>
      <c r="F132" s="2289" t="str">
        <f>'4条その他'!D$44</f>
        <v>対象事業費×１／２</v>
      </c>
      <c r="G132" s="2130" t="str">
        <f>'4条その他'!E$44</f>
        <v>3年度分
災害関連農村生活環境施設復旧事業(補助事業繰越分)の課税支出割合</v>
      </c>
      <c r="H132" s="2220">
        <f>'4条その他'!G$44</f>
        <v>0</v>
      </c>
      <c r="I132" s="2220">
        <f>'4条その他'!H$46</f>
        <v>0</v>
      </c>
      <c r="J132" s="2271">
        <f>'4条その他'!I$46</f>
        <v>0</v>
      </c>
    </row>
    <row r="133" spans="1:11" ht="16.5" hidden="1" customHeight="1" outlineLevel="1">
      <c r="A133" s="2339"/>
      <c r="B133" s="2028"/>
      <c r="C133" s="2028"/>
      <c r="D133" s="2105"/>
      <c r="E133" s="2139"/>
      <c r="F133" s="2290"/>
      <c r="G133" s="2139"/>
      <c r="H133" s="2221"/>
      <c r="I133" s="2221"/>
      <c r="J133" s="2272"/>
    </row>
    <row r="134" spans="1:11" ht="16.5" hidden="1" customHeight="1" outlineLevel="1">
      <c r="A134" s="2339"/>
      <c r="B134" s="2028"/>
      <c r="C134" s="2028"/>
      <c r="D134" s="2103" t="s">
        <v>5085</v>
      </c>
      <c r="E134" s="2130">
        <f>'4条その他'!C$52</f>
        <v>0</v>
      </c>
      <c r="F134" s="2289">
        <f>'4条その他'!D$52</f>
        <v>0</v>
      </c>
      <c r="G134" s="2130">
        <f>'4条その他'!E$52</f>
        <v>0</v>
      </c>
      <c r="H134" s="2220">
        <f>'4条その他'!G$52</f>
        <v>0</v>
      </c>
      <c r="I134" s="2220">
        <f>'4条その他'!H$54</f>
        <v>0</v>
      </c>
      <c r="J134" s="2271">
        <f>'4条その他'!I$54</f>
        <v>0</v>
      </c>
    </row>
    <row r="135" spans="1:11" ht="16.5" hidden="1" customHeight="1" outlineLevel="1">
      <c r="A135" s="2339"/>
      <c r="B135" s="2028"/>
      <c r="C135" s="2028"/>
      <c r="D135" s="2104"/>
      <c r="E135" s="2139"/>
      <c r="F135" s="2290"/>
      <c r="G135" s="2139"/>
      <c r="H135" s="2221"/>
      <c r="I135" s="2221"/>
      <c r="J135" s="2272"/>
    </row>
    <row r="136" spans="1:11" ht="16.5" hidden="1" customHeight="1" outlineLevel="1">
      <c r="A136" s="2339"/>
      <c r="B136" s="2028"/>
      <c r="C136" s="2028"/>
      <c r="D136" s="2104"/>
      <c r="E136" s="2130">
        <f>'4条その他'!C$58</f>
        <v>0</v>
      </c>
      <c r="F136" s="2289">
        <f>'4条その他'!D$58</f>
        <v>0</v>
      </c>
      <c r="G136" s="2130">
        <f>'4条その他'!E$58</f>
        <v>0</v>
      </c>
      <c r="H136" s="2220">
        <f>'4条その他'!G$58</f>
        <v>0</v>
      </c>
      <c r="I136" s="2220">
        <f>'4条その他'!H$60</f>
        <v>0</v>
      </c>
      <c r="J136" s="2271">
        <f>'4条その他'!I$60</f>
        <v>0</v>
      </c>
    </row>
    <row r="137" spans="1:11" ht="16.5" hidden="1" customHeight="1" outlineLevel="1">
      <c r="A137" s="2339"/>
      <c r="B137" s="2028"/>
      <c r="C137" s="2028"/>
      <c r="D137" s="2105"/>
      <c r="E137" s="2139"/>
      <c r="F137" s="2290"/>
      <c r="G137" s="2139"/>
      <c r="H137" s="2221"/>
      <c r="I137" s="2221"/>
      <c r="J137" s="2272"/>
    </row>
    <row r="138" spans="1:11" ht="10.5" hidden="1" customHeight="1" outlineLevel="1">
      <c r="A138" s="2339"/>
      <c r="B138" s="2148" t="s">
        <v>4996</v>
      </c>
      <c r="C138" s="2148"/>
      <c r="D138" s="2148"/>
      <c r="E138" s="2147"/>
      <c r="F138" s="1798"/>
      <c r="G138" s="1655"/>
      <c r="H138" s="2160">
        <f>H140</f>
        <v>0</v>
      </c>
      <c r="I138" s="2160">
        <f>I140</f>
        <v>0</v>
      </c>
      <c r="J138" s="2281">
        <f>J140</f>
        <v>0</v>
      </c>
      <c r="K138" s="1687"/>
    </row>
    <row r="139" spans="1:11" ht="10.5" hidden="1" customHeight="1" outlineLevel="1">
      <c r="A139" s="2339"/>
      <c r="B139" s="2175"/>
      <c r="C139" s="2175"/>
      <c r="D139" s="2175"/>
      <c r="E139" s="2176"/>
      <c r="F139" s="1803"/>
      <c r="G139" s="1659"/>
      <c r="H139" s="2161"/>
      <c r="I139" s="2161"/>
      <c r="J139" s="2305"/>
      <c r="K139" s="1687"/>
    </row>
    <row r="140" spans="1:11" ht="10.5" hidden="1" customHeight="1" outlineLevel="1">
      <c r="A140" s="2339"/>
      <c r="B140" s="1811"/>
      <c r="C140" s="1811"/>
      <c r="D140" s="2171" t="s">
        <v>4913</v>
      </c>
      <c r="E140" s="2172"/>
      <c r="F140" s="2140"/>
      <c r="G140" s="2109" t="s">
        <v>5059</v>
      </c>
      <c r="H140" s="2160">
        <v>0</v>
      </c>
      <c r="I140" s="2160">
        <v>0</v>
      </c>
      <c r="J140" s="2281">
        <v>0</v>
      </c>
      <c r="K140" s="1687"/>
    </row>
    <row r="141" spans="1:11" ht="10.5" hidden="1" customHeight="1" outlineLevel="1">
      <c r="A141" s="2339"/>
      <c r="B141" s="1811"/>
      <c r="C141" s="1811"/>
      <c r="D141" s="2173"/>
      <c r="E141" s="2172"/>
      <c r="F141" s="2140"/>
      <c r="G141" s="2110"/>
      <c r="H141" s="2161"/>
      <c r="I141" s="2161"/>
      <c r="J141" s="2305"/>
      <c r="K141" s="1687"/>
    </row>
    <row r="142" spans="1:11" ht="10.5" customHeight="1" collapsed="1">
      <c r="A142" s="2339"/>
      <c r="B142" s="2148" t="s">
        <v>4807</v>
      </c>
      <c r="C142" s="2148"/>
      <c r="D142" s="2148"/>
      <c r="E142" s="2147"/>
      <c r="F142" s="1798"/>
      <c r="G142" s="1655"/>
      <c r="H142" s="2160">
        <f>'受益（公）'!G6</f>
        <v>8799605</v>
      </c>
      <c r="I142" s="2160">
        <f>'受益（公）'!H6</f>
        <v>8525089</v>
      </c>
      <c r="J142" s="2281">
        <f>'受益（公）'!I6</f>
        <v>274516</v>
      </c>
      <c r="K142" s="1687"/>
    </row>
    <row r="143" spans="1:11" ht="10.5" customHeight="1">
      <c r="A143" s="2339"/>
      <c r="B143" s="2175"/>
      <c r="C143" s="2175"/>
      <c r="D143" s="2175"/>
      <c r="E143" s="2176"/>
      <c r="F143" s="1803"/>
      <c r="G143" s="1659"/>
      <c r="H143" s="2161"/>
      <c r="I143" s="2161"/>
      <c r="J143" s="2305"/>
      <c r="K143" s="1687"/>
    </row>
    <row r="144" spans="1:11" ht="10.5" customHeight="1">
      <c r="A144" s="2339"/>
      <c r="B144" s="1811"/>
      <c r="C144" s="1811"/>
      <c r="D144" s="2171" t="s">
        <v>4913</v>
      </c>
      <c r="E144" s="2172"/>
      <c r="F144" s="2140"/>
      <c r="G144" s="2115" t="str">
        <f>+'受益（公）'!E8</f>
        <v>5年度分補助事業
の課税支出割合
（現年）</v>
      </c>
      <c r="H144" s="2322">
        <f>'受益（公）'!G8</f>
        <v>5005000</v>
      </c>
      <c r="I144" s="2322">
        <f>'受益（公）'!H8</f>
        <v>5005000</v>
      </c>
      <c r="J144" s="2318">
        <f>'受益（公）'!I8</f>
        <v>0</v>
      </c>
      <c r="K144" s="1687"/>
    </row>
    <row r="145" spans="1:11" ht="10.5" customHeight="1">
      <c r="A145" s="2339"/>
      <c r="B145" s="1811"/>
      <c r="C145" s="1811"/>
      <c r="D145" s="2173"/>
      <c r="E145" s="2172"/>
      <c r="F145" s="2140"/>
      <c r="G145" s="2116"/>
      <c r="H145" s="2295"/>
      <c r="I145" s="2295"/>
      <c r="J145" s="2319"/>
      <c r="K145" s="1687"/>
    </row>
    <row r="146" spans="1:11" ht="10.5" customHeight="1">
      <c r="A146" s="2339"/>
      <c r="B146" s="1811"/>
      <c r="C146" s="1811"/>
      <c r="D146" s="2171" t="s">
        <v>4808</v>
      </c>
      <c r="E146" s="2172"/>
      <c r="F146" s="2140"/>
      <c r="G146" s="2115" t="str">
        <f>+'受益（公）'!E10</f>
        <v>5年度分起債事業
の課税支出割合
（現年）</v>
      </c>
      <c r="H146" s="2322">
        <f>'受益（公）'!G10</f>
        <v>3794605</v>
      </c>
      <c r="I146" s="2322">
        <f>'受益（公）'!H10</f>
        <v>3520089</v>
      </c>
      <c r="J146" s="2318">
        <f>'受益（公）'!I10</f>
        <v>274516</v>
      </c>
      <c r="K146" s="1687"/>
    </row>
    <row r="147" spans="1:11" ht="10.5" customHeight="1">
      <c r="A147" s="2339"/>
      <c r="B147" s="1811"/>
      <c r="C147" s="1811"/>
      <c r="D147" s="2174"/>
      <c r="E147" s="2132"/>
      <c r="F147" s="2141"/>
      <c r="G147" s="2116"/>
      <c r="H147" s="2295"/>
      <c r="I147" s="2295"/>
      <c r="J147" s="2319"/>
      <c r="K147" s="1687"/>
    </row>
    <row r="148" spans="1:11" ht="10.5" customHeight="1">
      <c r="A148" s="2339"/>
      <c r="B148" s="2148" t="s">
        <v>5081</v>
      </c>
      <c r="C148" s="2148"/>
      <c r="D148" s="2148"/>
      <c r="E148" s="2147"/>
      <c r="F148" s="1798"/>
      <c r="G148" s="1804"/>
      <c r="H148" s="2160">
        <f>'受益（区域外）'!G6</f>
        <v>35218280</v>
      </c>
      <c r="I148" s="2160">
        <f>'受益（区域外）'!H6</f>
        <v>33459431</v>
      </c>
      <c r="J148" s="2281">
        <f>'受益（区域外）'!I6</f>
        <v>1758849</v>
      </c>
      <c r="K148" s="1687"/>
    </row>
    <row r="149" spans="1:11" ht="10.5" customHeight="1">
      <c r="A149" s="2339"/>
      <c r="B149" s="2175"/>
      <c r="C149" s="2175"/>
      <c r="D149" s="2175"/>
      <c r="E149" s="2176"/>
      <c r="F149" s="1803"/>
      <c r="G149" s="1804"/>
      <c r="H149" s="2161"/>
      <c r="I149" s="2161"/>
      <c r="J149" s="2305"/>
      <c r="K149" s="1687"/>
    </row>
    <row r="150" spans="1:11" ht="10.5" customHeight="1">
      <c r="A150" s="2339"/>
      <c r="B150" s="1811"/>
      <c r="C150" s="1811"/>
      <c r="D150" s="2171" t="s">
        <v>5093</v>
      </c>
      <c r="E150" s="2172"/>
      <c r="F150" s="2141"/>
      <c r="G150" s="2115" t="str">
        <f>+G144</f>
        <v>5年度分補助事業
の課税支出割合
（現年）</v>
      </c>
      <c r="H150" s="2292">
        <f>'受益（区域外）'!G8</f>
        <v>1842000</v>
      </c>
      <c r="I150" s="2292">
        <f>'受益（区域外）'!H8</f>
        <v>1842000</v>
      </c>
      <c r="J150" s="2293">
        <f>'受益（区域外）'!I8</f>
        <v>0</v>
      </c>
      <c r="K150" s="1687"/>
    </row>
    <row r="151" spans="1:11" ht="10.5" customHeight="1">
      <c r="A151" s="2339"/>
      <c r="B151" s="1811"/>
      <c r="C151" s="1811"/>
      <c r="D151" s="2173"/>
      <c r="E151" s="2172"/>
      <c r="F151" s="2143"/>
      <c r="G151" s="2116"/>
      <c r="H151" s="2292"/>
      <c r="I151" s="2292"/>
      <c r="J151" s="2293"/>
      <c r="K151" s="1687"/>
    </row>
    <row r="152" spans="1:11" ht="10.5" customHeight="1">
      <c r="A152" s="2339"/>
      <c r="B152" s="1811"/>
      <c r="C152" s="1811"/>
      <c r="D152" s="2171" t="s">
        <v>5094</v>
      </c>
      <c r="E152" s="2172"/>
      <c r="F152" s="2141"/>
      <c r="G152" s="2115" t="str">
        <f>+G146</f>
        <v>5年度分起債事業
の課税支出割合
（現年）</v>
      </c>
      <c r="H152" s="2292">
        <f>'受益（区域外）'!G10</f>
        <v>33376280</v>
      </c>
      <c r="I152" s="2292">
        <f>'受益（区域外）'!H10</f>
        <v>31617431</v>
      </c>
      <c r="J152" s="2293">
        <f>'受益（区域外）'!I10</f>
        <v>1758849</v>
      </c>
      <c r="K152" s="1687"/>
    </row>
    <row r="153" spans="1:11" ht="10.5" customHeight="1">
      <c r="A153" s="2339"/>
      <c r="B153" s="1811"/>
      <c r="C153" s="1811"/>
      <c r="D153" s="2174"/>
      <c r="E153" s="2132"/>
      <c r="F153" s="2143"/>
      <c r="G153" s="2116"/>
      <c r="H153" s="2292"/>
      <c r="I153" s="2292"/>
      <c r="J153" s="2293"/>
      <c r="K153" s="1687"/>
    </row>
    <row r="154" spans="1:11" ht="10.5" customHeight="1">
      <c r="A154" s="2339"/>
      <c r="B154" s="2148" t="s">
        <v>4809</v>
      </c>
      <c r="C154" s="2148"/>
      <c r="D154" s="2148"/>
      <c r="E154" s="2147"/>
      <c r="F154" s="1798"/>
      <c r="G154" s="1801"/>
      <c r="H154" s="2160">
        <f>'4条工事負担金'!G6</f>
        <v>514968182</v>
      </c>
      <c r="I154" s="2160">
        <f>'4条工事負担金'!H6</f>
        <v>351364357</v>
      </c>
      <c r="J154" s="2281">
        <f>'4条工事負担金'!I6</f>
        <v>163603825</v>
      </c>
      <c r="K154" s="1687"/>
    </row>
    <row r="155" spans="1:11" ht="10.5" customHeight="1">
      <c r="A155" s="2339"/>
      <c r="B155" s="2175"/>
      <c r="C155" s="2175"/>
      <c r="D155" s="2175"/>
      <c r="E155" s="2176"/>
      <c r="F155" s="1803"/>
      <c r="G155" s="1802"/>
      <c r="H155" s="2161"/>
      <c r="I155" s="2161"/>
      <c r="J155" s="2305"/>
      <c r="K155" s="1687"/>
    </row>
    <row r="156" spans="1:11" ht="10.5" hidden="1" customHeight="1" outlineLevel="1">
      <c r="A156" s="2339"/>
      <c r="B156" s="1811"/>
      <c r="C156" s="1811"/>
      <c r="D156" s="2177" t="s">
        <v>4938</v>
      </c>
      <c r="E156" s="2138"/>
      <c r="F156" s="2140"/>
      <c r="G156" s="2115" t="str">
        <f>+'4条工事負担金'!E8</f>
        <v>5年度分単市事業
の課税支出割合
(現年＋繰越)</v>
      </c>
      <c r="H156" s="2322">
        <f>'4条工事負担金'!G8</f>
        <v>0</v>
      </c>
      <c r="I156" s="2322">
        <f>'4条工事負担金'!H8</f>
        <v>0</v>
      </c>
      <c r="J156" s="2318">
        <f>'4条工事負担金'!I8</f>
        <v>0</v>
      </c>
      <c r="K156" s="1687"/>
    </row>
    <row r="157" spans="1:11" ht="10.5" hidden="1" customHeight="1" outlineLevel="1">
      <c r="A157" s="2339"/>
      <c r="B157" s="1811"/>
      <c r="C157" s="1811"/>
      <c r="D157" s="2178"/>
      <c r="E157" s="2138"/>
      <c r="F157" s="2140"/>
      <c r="G157" s="2116"/>
      <c r="H157" s="2295"/>
      <c r="I157" s="2295"/>
      <c r="J157" s="2319"/>
      <c r="K157" s="1687"/>
    </row>
    <row r="158" spans="1:11" ht="10.5" customHeight="1" collapsed="1">
      <c r="A158" s="2339"/>
      <c r="B158" s="1811"/>
      <c r="C158" s="1811"/>
      <c r="D158" s="2177" t="s">
        <v>4939</v>
      </c>
      <c r="E158" s="2138"/>
      <c r="F158" s="2211"/>
      <c r="G158" s="2115" t="str">
        <f>+'4条工事負担金'!E10</f>
        <v>5年度分排水設備事業
の課税支出割合</v>
      </c>
      <c r="H158" s="2322">
        <f>'4条工事負担金'!G10</f>
        <v>279746516</v>
      </c>
      <c r="I158" s="2322">
        <f>'4条工事負担金'!H10</f>
        <v>218135713</v>
      </c>
      <c r="J158" s="2318">
        <f>'4条工事負担金'!I10</f>
        <v>61610803</v>
      </c>
      <c r="K158" s="1687"/>
    </row>
    <row r="159" spans="1:11" ht="10.5" customHeight="1">
      <c r="A159" s="2339"/>
      <c r="B159" s="1811"/>
      <c r="C159" s="1811"/>
      <c r="D159" s="2178"/>
      <c r="E159" s="2138"/>
      <c r="F159" s="2212"/>
      <c r="G159" s="2116"/>
      <c r="H159" s="2295"/>
      <c r="I159" s="2295"/>
      <c r="J159" s="2319"/>
      <c r="K159" s="1687"/>
    </row>
    <row r="160" spans="1:11" ht="10.5" hidden="1" customHeight="1" outlineLevel="1">
      <c r="A160" s="2339"/>
      <c r="B160" s="1811"/>
      <c r="C160" s="1811"/>
      <c r="D160" s="2177" t="s">
        <v>4940</v>
      </c>
      <c r="E160" s="2138"/>
      <c r="F160" s="2140"/>
      <c r="G160" s="2115" t="str">
        <f>+'4条工事負担金'!E12</f>
        <v>5年度分諸設備新設改良
事業の課税支出割合</v>
      </c>
      <c r="H160" s="2322">
        <f>'4条工事負担金'!G12</f>
        <v>0</v>
      </c>
      <c r="I160" s="2322">
        <f>'4条工事負担金'!H12</f>
        <v>0</v>
      </c>
      <c r="J160" s="2318">
        <f>'4条工事負担金'!I12</f>
        <v>0</v>
      </c>
      <c r="K160" s="1687"/>
    </row>
    <row r="161" spans="1:15" ht="10.5" hidden="1" customHeight="1" outlineLevel="1">
      <c r="A161" s="2339"/>
      <c r="B161" s="1811"/>
      <c r="C161" s="1811"/>
      <c r="D161" s="2178"/>
      <c r="E161" s="2138"/>
      <c r="F161" s="2140"/>
      <c r="G161" s="2116"/>
      <c r="H161" s="2295"/>
      <c r="I161" s="2295"/>
      <c r="J161" s="2319"/>
      <c r="K161" s="1687"/>
    </row>
    <row r="162" spans="1:15" ht="10.5" hidden="1" customHeight="1" outlineLevel="1">
      <c r="A162" s="2339"/>
      <c r="B162" s="2072"/>
      <c r="C162" s="2072"/>
      <c r="D162" s="2177" t="s">
        <v>5290</v>
      </c>
      <c r="E162" s="2138"/>
      <c r="F162" s="2140"/>
      <c r="G162" s="2115" t="str">
        <f>+'4条工事負担金'!E18</f>
        <v>5年度分(特環)市街化区域外汚水処理施設整備事業の課税支出割合</v>
      </c>
      <c r="H162" s="2322">
        <f>'4条工事負担金'!G18</f>
        <v>0</v>
      </c>
      <c r="I162" s="2322">
        <f>'4条工事負担金'!H18</f>
        <v>0</v>
      </c>
      <c r="J162" s="2318">
        <f>'4条工事負担金'!I18</f>
        <v>0</v>
      </c>
      <c r="K162" s="1687"/>
    </row>
    <row r="163" spans="1:15" ht="10.5" hidden="1" customHeight="1" outlineLevel="1">
      <c r="A163" s="2339"/>
      <c r="B163" s="2072"/>
      <c r="C163" s="2072"/>
      <c r="D163" s="2178"/>
      <c r="E163" s="2138"/>
      <c r="F163" s="2140"/>
      <c r="G163" s="2116"/>
      <c r="H163" s="2295"/>
      <c r="I163" s="2295"/>
      <c r="J163" s="2319"/>
      <c r="K163" s="1687"/>
    </row>
    <row r="164" spans="1:15" ht="10.5" hidden="1" customHeight="1" outlineLevel="1">
      <c r="A164" s="2339"/>
      <c r="B164" s="2072"/>
      <c r="C164" s="2072"/>
      <c r="D164" s="2177" t="s">
        <v>5291</v>
      </c>
      <c r="E164" s="2138"/>
      <c r="F164" s="2140"/>
      <c r="G164" s="2115" t="str">
        <f>+'4条工事負担金'!E20</f>
        <v>5年度分(農集)市街化区域外汚水処理施設整備事業の課税支出割合</v>
      </c>
      <c r="H164" s="2322">
        <f>'4条工事負担金'!G20</f>
        <v>0</v>
      </c>
      <c r="I164" s="2322">
        <f>'4条工事負担金'!H20</f>
        <v>0</v>
      </c>
      <c r="J164" s="2318">
        <f>'4条工事負担金'!I20</f>
        <v>0</v>
      </c>
      <c r="K164" s="1687"/>
    </row>
    <row r="165" spans="1:15" ht="10.5" hidden="1" customHeight="1" outlineLevel="1">
      <c r="A165" s="2339"/>
      <c r="B165" s="2072"/>
      <c r="C165" s="2072"/>
      <c r="D165" s="2178"/>
      <c r="E165" s="2138"/>
      <c r="F165" s="2140"/>
      <c r="G165" s="2116"/>
      <c r="H165" s="2295"/>
      <c r="I165" s="2295"/>
      <c r="J165" s="2319"/>
      <c r="K165" s="1687"/>
    </row>
    <row r="166" spans="1:15" ht="10.5" hidden="1" customHeight="1" outlineLevel="1">
      <c r="A166" s="2339"/>
      <c r="B166" s="2072"/>
      <c r="C166" s="2072"/>
      <c r="D166" s="2177" t="s">
        <v>5293</v>
      </c>
      <c r="E166" s="2138"/>
      <c r="F166" s="2140"/>
      <c r="G166" s="2115" t="str">
        <f>+'4条工事負担金'!E22</f>
        <v>5年度分(浄化槽)市街化区域外汚水処理施設整備事業の課税支出割合</v>
      </c>
      <c r="H166" s="2322">
        <f>'4条工事負担金'!G22</f>
        <v>0</v>
      </c>
      <c r="I166" s="2322">
        <f>'4条工事負担金'!H22</f>
        <v>0</v>
      </c>
      <c r="J166" s="2318">
        <f>'4条工事負担金'!I22</f>
        <v>0</v>
      </c>
      <c r="K166" s="1687"/>
    </row>
    <row r="167" spans="1:15" ht="10.5" hidden="1" customHeight="1" outlineLevel="1">
      <c r="A167" s="2339"/>
      <c r="B167" s="2072"/>
      <c r="C167" s="2072"/>
      <c r="D167" s="2178"/>
      <c r="E167" s="2138"/>
      <c r="F167" s="2140"/>
      <c r="G167" s="2116"/>
      <c r="H167" s="2295"/>
      <c r="I167" s="2295"/>
      <c r="J167" s="2319"/>
      <c r="K167" s="1687"/>
    </row>
    <row r="168" spans="1:15" ht="10.5" customHeight="1" collapsed="1">
      <c r="A168" s="2339"/>
      <c r="B168" s="1811"/>
      <c r="C168" s="1811"/>
      <c r="D168" s="2194" t="s">
        <v>4815</v>
      </c>
      <c r="E168" s="2195"/>
      <c r="F168" s="1798"/>
      <c r="G168" s="2189" t="s">
        <v>4816</v>
      </c>
      <c r="H168" s="2322">
        <f>'4条工事負担金'!G14</f>
        <v>235221666</v>
      </c>
      <c r="I168" s="2322">
        <f>'4条工事負担金'!H14</f>
        <v>133228644</v>
      </c>
      <c r="J168" s="2318">
        <f>'4条工事負担金'!I14</f>
        <v>101993022</v>
      </c>
      <c r="K168" s="1687"/>
    </row>
    <row r="169" spans="1:15" ht="10.5" customHeight="1" thickBot="1">
      <c r="A169" s="2339"/>
      <c r="B169" s="1811"/>
      <c r="C169" s="1811"/>
      <c r="D169" s="2196"/>
      <c r="E169" s="2130"/>
      <c r="F169" s="1799"/>
      <c r="G169" s="2204"/>
      <c r="H169" s="2294"/>
      <c r="I169" s="2294"/>
      <c r="J169" s="2321"/>
      <c r="K169" s="1687"/>
    </row>
    <row r="170" spans="1:15" ht="10.5" customHeight="1">
      <c r="A170" s="2339"/>
      <c r="B170" s="2180" t="s">
        <v>4811</v>
      </c>
      <c r="C170" s="2180"/>
      <c r="D170" s="2180"/>
      <c r="E170" s="2181"/>
      <c r="F170" s="1712"/>
      <c r="G170" s="1661"/>
      <c r="H170" s="2280">
        <f>H64+H120+H138+H142+H148+H154</f>
        <v>6276774067</v>
      </c>
      <c r="I170" s="2280">
        <f>I64+I120+I138+I142+I148+I154</f>
        <v>6105633883</v>
      </c>
      <c r="J170" s="2308">
        <f>J64+J120+J138+J142+J148+J154</f>
        <v>171140184</v>
      </c>
      <c r="K170" s="1687"/>
    </row>
    <row r="171" spans="1:15" ht="10.5" customHeight="1" thickBot="1">
      <c r="A171" s="2340"/>
      <c r="B171" s="2183"/>
      <c r="C171" s="2183"/>
      <c r="D171" s="2183"/>
      <c r="E171" s="2184"/>
      <c r="F171" s="1713"/>
      <c r="G171" s="1714"/>
      <c r="H171" s="2327"/>
      <c r="I171" s="2327"/>
      <c r="J171" s="2337"/>
      <c r="K171" s="1687"/>
    </row>
    <row r="172" spans="1:15" ht="10.5" customHeight="1" thickTop="1">
      <c r="A172" s="2165" t="s">
        <v>4812</v>
      </c>
      <c r="B172" s="2166"/>
      <c r="C172" s="2166"/>
      <c r="D172" s="2166"/>
      <c r="E172" s="2167"/>
      <c r="F172" s="1656"/>
      <c r="G172" s="1663"/>
      <c r="H172" s="2328">
        <f>H62+H170</f>
        <v>29978698068</v>
      </c>
      <c r="I172" s="2328">
        <f>I62+I170</f>
        <v>8418526763</v>
      </c>
      <c r="J172" s="2335">
        <f>J62+J170</f>
        <v>21560171305</v>
      </c>
      <c r="K172" s="1918">
        <f>+SUM('4条補助（公）:4条工事負担金'!J6)</f>
        <v>0</v>
      </c>
      <c r="L172" s="1918">
        <f>+SUM('4条補助（公）:4条工事負担金'!K6)</f>
        <v>131982078</v>
      </c>
      <c r="M172" s="1918">
        <f>+SUM('4条補助（公）:4条工事負担金'!L6)</f>
        <v>1246904</v>
      </c>
      <c r="N172" s="1918">
        <f>+SUM('4条補助（公）:4条工事負担金'!M6)</f>
        <v>99</v>
      </c>
      <c r="O172" s="1918">
        <f>+SUM('4条補助（公）:4条工事負担金'!N6)</f>
        <v>5972404802</v>
      </c>
    </row>
    <row r="173" spans="1:15" ht="10.5" customHeight="1" thickBot="1">
      <c r="A173" s="2168"/>
      <c r="B173" s="2169"/>
      <c r="C173" s="2169"/>
      <c r="D173" s="2169"/>
      <c r="E173" s="2170"/>
      <c r="F173" s="1646"/>
      <c r="G173" s="1662"/>
      <c r="H173" s="2324"/>
      <c r="I173" s="2324"/>
      <c r="J173" s="2336"/>
      <c r="K173" s="1687"/>
    </row>
    <row r="175" spans="1:15">
      <c r="M175" s="1930"/>
      <c r="N175" s="1930"/>
    </row>
  </sheetData>
  <mergeCells count="425">
    <mergeCell ref="I162:I163"/>
    <mergeCell ref="J162:J163"/>
    <mergeCell ref="D164:E165"/>
    <mergeCell ref="F164:F165"/>
    <mergeCell ref="G164:G165"/>
    <mergeCell ref="H164:H165"/>
    <mergeCell ref="I164:I165"/>
    <mergeCell ref="J164:J165"/>
    <mergeCell ref="G136:G137"/>
    <mergeCell ref="F156:F157"/>
    <mergeCell ref="F158:F159"/>
    <mergeCell ref="F160:F161"/>
    <mergeCell ref="D160:E161"/>
    <mergeCell ref="B148:E149"/>
    <mergeCell ref="D150:E151"/>
    <mergeCell ref="F150:F151"/>
    <mergeCell ref="F152:F153"/>
    <mergeCell ref="B138:E139"/>
    <mergeCell ref="H138:H139"/>
    <mergeCell ref="I140:I141"/>
    <mergeCell ref="D140:E141"/>
    <mergeCell ref="D166:E167"/>
    <mergeCell ref="F166:F167"/>
    <mergeCell ref="G166:G167"/>
    <mergeCell ref="H166:H167"/>
    <mergeCell ref="D162:E163"/>
    <mergeCell ref="F162:F163"/>
    <mergeCell ref="G162:G163"/>
    <mergeCell ref="H162:H163"/>
    <mergeCell ref="D130:D133"/>
    <mergeCell ref="D134:D137"/>
    <mergeCell ref="E130:E131"/>
    <mergeCell ref="E132:E133"/>
    <mergeCell ref="E134:E135"/>
    <mergeCell ref="E136:E137"/>
    <mergeCell ref="F130:F131"/>
    <mergeCell ref="F132:F133"/>
    <mergeCell ref="F134:F135"/>
    <mergeCell ref="F136:F137"/>
    <mergeCell ref="F144:F145"/>
    <mergeCell ref="F146:F147"/>
    <mergeCell ref="F140:F141"/>
    <mergeCell ref="G140:G141"/>
    <mergeCell ref="H140:H141"/>
    <mergeCell ref="J24:J25"/>
    <mergeCell ref="I50:I51"/>
    <mergeCell ref="I52:I53"/>
    <mergeCell ref="H50:H51"/>
    <mergeCell ref="H52:H53"/>
    <mergeCell ref="G52:G53"/>
    <mergeCell ref="J28:J29"/>
    <mergeCell ref="J30:J31"/>
    <mergeCell ref="I32:I33"/>
    <mergeCell ref="J32:J33"/>
    <mergeCell ref="J34:J35"/>
    <mergeCell ref="J36:J37"/>
    <mergeCell ref="J38:J39"/>
    <mergeCell ref="J40:J41"/>
    <mergeCell ref="C24:E25"/>
    <mergeCell ref="C26:E27"/>
    <mergeCell ref="C46:E47"/>
    <mergeCell ref="C50:E51"/>
    <mergeCell ref="D54:E55"/>
    <mergeCell ref="C58:E59"/>
    <mergeCell ref="H58:H59"/>
    <mergeCell ref="I58:I59"/>
    <mergeCell ref="H24:H25"/>
    <mergeCell ref="H44:H45"/>
    <mergeCell ref="D36:D39"/>
    <mergeCell ref="E36:E37"/>
    <mergeCell ref="H36:H37"/>
    <mergeCell ref="I36:I37"/>
    <mergeCell ref="E38:E39"/>
    <mergeCell ref="H38:H39"/>
    <mergeCell ref="I38:I39"/>
    <mergeCell ref="D40:D43"/>
    <mergeCell ref="E40:E41"/>
    <mergeCell ref="F40:F41"/>
    <mergeCell ref="G40:G41"/>
    <mergeCell ref="H40:H41"/>
    <mergeCell ref="I40:I41"/>
    <mergeCell ref="E42:E43"/>
    <mergeCell ref="E88:E89"/>
    <mergeCell ref="E86:E87"/>
    <mergeCell ref="F76:F77"/>
    <mergeCell ref="F78:F79"/>
    <mergeCell ref="F118:F119"/>
    <mergeCell ref="H142:H143"/>
    <mergeCell ref="H124:H125"/>
    <mergeCell ref="H126:H127"/>
    <mergeCell ref="J58:J59"/>
    <mergeCell ref="G58:G59"/>
    <mergeCell ref="F58:F59"/>
    <mergeCell ref="I126:I127"/>
    <mergeCell ref="I128:I129"/>
    <mergeCell ref="I130:I131"/>
    <mergeCell ref="J130:J131"/>
    <mergeCell ref="I132:I133"/>
    <mergeCell ref="J132:J133"/>
    <mergeCell ref="I134:I135"/>
    <mergeCell ref="J134:J135"/>
    <mergeCell ref="I136:I137"/>
    <mergeCell ref="J136:J137"/>
    <mergeCell ref="G130:G131"/>
    <mergeCell ref="G132:G133"/>
    <mergeCell ref="G134:G135"/>
    <mergeCell ref="H88:H89"/>
    <mergeCell ref="F68:F69"/>
    <mergeCell ref="H76:H77"/>
    <mergeCell ref="H102:H103"/>
    <mergeCell ref="F94:F95"/>
    <mergeCell ref="F72:F73"/>
    <mergeCell ref="F74:F75"/>
    <mergeCell ref="F88:F89"/>
    <mergeCell ref="H100:H101"/>
    <mergeCell ref="H86:H87"/>
    <mergeCell ref="H72:H73"/>
    <mergeCell ref="H68:H71"/>
    <mergeCell ref="J92:J103"/>
    <mergeCell ref="H106:H107"/>
    <mergeCell ref="H104:H105"/>
    <mergeCell ref="H90:H91"/>
    <mergeCell ref="J108:J109"/>
    <mergeCell ref="I106:I107"/>
    <mergeCell ref="I108:I109"/>
    <mergeCell ref="H98:H99"/>
    <mergeCell ref="H96:H97"/>
    <mergeCell ref="H92:H95"/>
    <mergeCell ref="I60:I61"/>
    <mergeCell ref="G54:G55"/>
    <mergeCell ref="H56:H57"/>
    <mergeCell ref="H22:H23"/>
    <mergeCell ref="E90:E91"/>
    <mergeCell ref="F98:F99"/>
    <mergeCell ref="H60:H61"/>
    <mergeCell ref="H84:H85"/>
    <mergeCell ref="H54:H55"/>
    <mergeCell ref="H78:H79"/>
    <mergeCell ref="H80:H81"/>
    <mergeCell ref="H74:H75"/>
    <mergeCell ref="H66:H67"/>
    <mergeCell ref="E92:E93"/>
    <mergeCell ref="F92:F93"/>
    <mergeCell ref="H28:H29"/>
    <mergeCell ref="I28:I29"/>
    <mergeCell ref="H30:H31"/>
    <mergeCell ref="I30:I31"/>
    <mergeCell ref="H32:H33"/>
    <mergeCell ref="B64:E65"/>
    <mergeCell ref="H64:H65"/>
    <mergeCell ref="H34:H35"/>
    <mergeCell ref="I34:I35"/>
    <mergeCell ref="J20:J21"/>
    <mergeCell ref="A4:E5"/>
    <mergeCell ref="F4:F5"/>
    <mergeCell ref="C8:E9"/>
    <mergeCell ref="D10:E11"/>
    <mergeCell ref="G4:G5"/>
    <mergeCell ref="F10:F11"/>
    <mergeCell ref="G10:G11"/>
    <mergeCell ref="A6:A63"/>
    <mergeCell ref="F22:F23"/>
    <mergeCell ref="F52:F53"/>
    <mergeCell ref="F24:F25"/>
    <mergeCell ref="F46:F47"/>
    <mergeCell ref="F56:F57"/>
    <mergeCell ref="G26:G27"/>
    <mergeCell ref="G46:G47"/>
    <mergeCell ref="B6:E7"/>
    <mergeCell ref="B22:E23"/>
    <mergeCell ref="D12:E13"/>
    <mergeCell ref="F60:F61"/>
    <mergeCell ref="F18:F19"/>
    <mergeCell ref="F20:F21"/>
    <mergeCell ref="F16:F17"/>
    <mergeCell ref="F14:F15"/>
    <mergeCell ref="D14:E15"/>
    <mergeCell ref="F106:F107"/>
    <mergeCell ref="F102:F103"/>
    <mergeCell ref="F96:F97"/>
    <mergeCell ref="F84:F85"/>
    <mergeCell ref="F70:F71"/>
    <mergeCell ref="F12:F13"/>
    <mergeCell ref="E98:E99"/>
    <mergeCell ref="E100:E101"/>
    <mergeCell ref="C16:E17"/>
    <mergeCell ref="C18:E19"/>
    <mergeCell ref="C20:E21"/>
    <mergeCell ref="D56:E57"/>
    <mergeCell ref="F54:F55"/>
    <mergeCell ref="D52:E53"/>
    <mergeCell ref="E96:E97"/>
    <mergeCell ref="E94:E95"/>
    <mergeCell ref="C104:E105"/>
    <mergeCell ref="D28:D31"/>
    <mergeCell ref="E28:E29"/>
    <mergeCell ref="E30:E31"/>
    <mergeCell ref="D32:D35"/>
    <mergeCell ref="E32:E33"/>
    <mergeCell ref="E34:E35"/>
    <mergeCell ref="G12:G13"/>
    <mergeCell ref="G92:G103"/>
    <mergeCell ref="F82:F83"/>
    <mergeCell ref="F86:F87"/>
    <mergeCell ref="G18:G19"/>
    <mergeCell ref="G20:G21"/>
    <mergeCell ref="G14:G15"/>
    <mergeCell ref="F26:F27"/>
    <mergeCell ref="F80:F81"/>
    <mergeCell ref="F100:F101"/>
    <mergeCell ref="G24:G25"/>
    <mergeCell ref="G16:G17"/>
    <mergeCell ref="F28:F29"/>
    <mergeCell ref="G28:G29"/>
    <mergeCell ref="F30:F31"/>
    <mergeCell ref="G30:G31"/>
    <mergeCell ref="F32:F33"/>
    <mergeCell ref="G32:G33"/>
    <mergeCell ref="F34:F35"/>
    <mergeCell ref="G34:G35"/>
    <mergeCell ref="F36:F37"/>
    <mergeCell ref="G36:G37"/>
    <mergeCell ref="F38:F39"/>
    <mergeCell ref="G38:G39"/>
    <mergeCell ref="A172:E173"/>
    <mergeCell ref="D144:E145"/>
    <mergeCell ref="D146:E147"/>
    <mergeCell ref="B154:E155"/>
    <mergeCell ref="D156:E157"/>
    <mergeCell ref="B170:E171"/>
    <mergeCell ref="D152:E153"/>
    <mergeCell ref="A64:A171"/>
    <mergeCell ref="D68:D103"/>
    <mergeCell ref="E102:E103"/>
    <mergeCell ref="D168:E169"/>
    <mergeCell ref="E106:E107"/>
    <mergeCell ref="D106:D109"/>
    <mergeCell ref="E68:E69"/>
    <mergeCell ref="E72:E73"/>
    <mergeCell ref="E74:E75"/>
    <mergeCell ref="E70:E71"/>
    <mergeCell ref="E78:E79"/>
    <mergeCell ref="E80:E81"/>
    <mergeCell ref="E76:E77"/>
    <mergeCell ref="E82:E83"/>
    <mergeCell ref="E84:E85"/>
    <mergeCell ref="B142:E143"/>
    <mergeCell ref="D158:E159"/>
    <mergeCell ref="I172:I173"/>
    <mergeCell ref="J172:J173"/>
    <mergeCell ref="I146:I147"/>
    <mergeCell ref="J146:J147"/>
    <mergeCell ref="I154:I155"/>
    <mergeCell ref="J154:J155"/>
    <mergeCell ref="J160:J161"/>
    <mergeCell ref="I156:I157"/>
    <mergeCell ref="J156:J157"/>
    <mergeCell ref="I170:I171"/>
    <mergeCell ref="J170:J171"/>
    <mergeCell ref="I168:I169"/>
    <mergeCell ref="J168:J169"/>
    <mergeCell ref="J150:J151"/>
    <mergeCell ref="I152:I153"/>
    <mergeCell ref="I158:I159"/>
    <mergeCell ref="J158:J159"/>
    <mergeCell ref="I160:I161"/>
    <mergeCell ref="J152:J153"/>
    <mergeCell ref="J148:J149"/>
    <mergeCell ref="I150:I151"/>
    <mergeCell ref="I148:I149"/>
    <mergeCell ref="I166:I167"/>
    <mergeCell ref="J166:J167"/>
    <mergeCell ref="H10:H11"/>
    <mergeCell ref="H12:H13"/>
    <mergeCell ref="H16:H17"/>
    <mergeCell ref="H18:H19"/>
    <mergeCell ref="H14:H15"/>
    <mergeCell ref="H20:H21"/>
    <mergeCell ref="H62:H63"/>
    <mergeCell ref="G168:G169"/>
    <mergeCell ref="G56:G57"/>
    <mergeCell ref="G144:G145"/>
    <mergeCell ref="G146:G147"/>
    <mergeCell ref="G60:G61"/>
    <mergeCell ref="G110:G113"/>
    <mergeCell ref="G118:G119"/>
    <mergeCell ref="G150:G151"/>
    <mergeCell ref="G152:G153"/>
    <mergeCell ref="G156:G157"/>
    <mergeCell ref="G106:G107"/>
    <mergeCell ref="G108:G109"/>
    <mergeCell ref="G160:G161"/>
    <mergeCell ref="G158:G159"/>
    <mergeCell ref="H144:H145"/>
    <mergeCell ref="H148:H149"/>
    <mergeCell ref="H82:H83"/>
    <mergeCell ref="J4:J5"/>
    <mergeCell ref="H4:H5"/>
    <mergeCell ref="H6:H7"/>
    <mergeCell ref="H8:H9"/>
    <mergeCell ref="J6:J7"/>
    <mergeCell ref="J8:J9"/>
    <mergeCell ref="I4:I5"/>
    <mergeCell ref="I6:I7"/>
    <mergeCell ref="I8:I9"/>
    <mergeCell ref="H170:H171"/>
    <mergeCell ref="H172:H173"/>
    <mergeCell ref="H146:H147"/>
    <mergeCell ref="H154:H155"/>
    <mergeCell ref="H156:H157"/>
    <mergeCell ref="H158:H159"/>
    <mergeCell ref="H160:H161"/>
    <mergeCell ref="H152:H153"/>
    <mergeCell ref="H168:H169"/>
    <mergeCell ref="H150:H151"/>
    <mergeCell ref="J10:J11"/>
    <mergeCell ref="J12:J13"/>
    <mergeCell ref="J16:J17"/>
    <mergeCell ref="I18:I19"/>
    <mergeCell ref="J18:J19"/>
    <mergeCell ref="I14:I15"/>
    <mergeCell ref="J14:J15"/>
    <mergeCell ref="I10:I11"/>
    <mergeCell ref="I12:I13"/>
    <mergeCell ref="I16:I17"/>
    <mergeCell ref="I20:I21"/>
    <mergeCell ref="J52:J53"/>
    <mergeCell ref="J144:J145"/>
    <mergeCell ref="J66:J67"/>
    <mergeCell ref="J68:J91"/>
    <mergeCell ref="I68:I91"/>
    <mergeCell ref="I66:I67"/>
    <mergeCell ref="J104:J105"/>
    <mergeCell ref="I92:I103"/>
    <mergeCell ref="I62:I63"/>
    <mergeCell ref="I120:I121"/>
    <mergeCell ref="I56:I57"/>
    <mergeCell ref="J60:J61"/>
    <mergeCell ref="J140:J141"/>
    <mergeCell ref="I138:I139"/>
    <mergeCell ref="J138:J139"/>
    <mergeCell ref="I142:I143"/>
    <mergeCell ref="J142:J143"/>
    <mergeCell ref="I144:I145"/>
    <mergeCell ref="I22:I23"/>
    <mergeCell ref="J64:J65"/>
    <mergeCell ref="I104:I105"/>
    <mergeCell ref="J106:J107"/>
    <mergeCell ref="J118:J119"/>
    <mergeCell ref="A2:J2"/>
    <mergeCell ref="G68:G91"/>
    <mergeCell ref="B60:E61"/>
    <mergeCell ref="J56:J57"/>
    <mergeCell ref="I54:I55"/>
    <mergeCell ref="J54:J55"/>
    <mergeCell ref="H26:H27"/>
    <mergeCell ref="I26:I27"/>
    <mergeCell ref="J26:J27"/>
    <mergeCell ref="J62:J63"/>
    <mergeCell ref="I46:I47"/>
    <mergeCell ref="J46:J47"/>
    <mergeCell ref="J48:J49"/>
    <mergeCell ref="I44:I45"/>
    <mergeCell ref="H48:H49"/>
    <mergeCell ref="H46:H47"/>
    <mergeCell ref="J44:J45"/>
    <mergeCell ref="I48:I49"/>
    <mergeCell ref="J50:J51"/>
    <mergeCell ref="B44:E45"/>
    <mergeCell ref="C66:E67"/>
    <mergeCell ref="B62:E63"/>
    <mergeCell ref="J22:J23"/>
    <mergeCell ref="I24:I25"/>
    <mergeCell ref="D122:D125"/>
    <mergeCell ref="D126:D129"/>
    <mergeCell ref="H130:H131"/>
    <mergeCell ref="H132:H133"/>
    <mergeCell ref="H134:H135"/>
    <mergeCell ref="H136:H137"/>
    <mergeCell ref="G128:G129"/>
    <mergeCell ref="I118:I119"/>
    <mergeCell ref="I110:I113"/>
    <mergeCell ref="D118:D119"/>
    <mergeCell ref="E118:E119"/>
    <mergeCell ref="D110:D117"/>
    <mergeCell ref="E110:E113"/>
    <mergeCell ref="E122:E123"/>
    <mergeCell ref="B120:E121"/>
    <mergeCell ref="E124:E125"/>
    <mergeCell ref="J122:J123"/>
    <mergeCell ref="J124:J125"/>
    <mergeCell ref="J126:J127"/>
    <mergeCell ref="J128:J129"/>
    <mergeCell ref="I122:I123"/>
    <mergeCell ref="I124:I125"/>
    <mergeCell ref="H118:H119"/>
    <mergeCell ref="E114:E117"/>
    <mergeCell ref="F122:F123"/>
    <mergeCell ref="F126:F127"/>
    <mergeCell ref="E126:E127"/>
    <mergeCell ref="E128:E129"/>
    <mergeCell ref="F42:F43"/>
    <mergeCell ref="G42:G43"/>
    <mergeCell ref="H42:H43"/>
    <mergeCell ref="I42:I43"/>
    <mergeCell ref="J42:J43"/>
    <mergeCell ref="I64:I65"/>
    <mergeCell ref="B48:E49"/>
    <mergeCell ref="J120:J121"/>
    <mergeCell ref="H128:H129"/>
    <mergeCell ref="F114:F117"/>
    <mergeCell ref="H110:H113"/>
    <mergeCell ref="H114:H117"/>
    <mergeCell ref="G114:G117"/>
    <mergeCell ref="F128:F129"/>
    <mergeCell ref="H120:H121"/>
    <mergeCell ref="F124:F125"/>
    <mergeCell ref="I114:I117"/>
    <mergeCell ref="H122:H123"/>
    <mergeCell ref="F110:F113"/>
    <mergeCell ref="J114:J117"/>
    <mergeCell ref="J110:J113"/>
    <mergeCell ref="G122:G123"/>
    <mergeCell ref="G124:G125"/>
    <mergeCell ref="G126:G127"/>
  </mergeCells>
  <phoneticPr fontId="2"/>
  <printOptions horizontalCentered="1"/>
  <pageMargins left="0.59055118110236227" right="0.39370078740157483" top="0.39370078740157483" bottom="0.31496062992125984" header="0.39370078740157483" footer="0.31496062992125984"/>
  <pageSetup paperSize="9" scale="81" orientation="portrait" blackAndWhite="1" r:id="rId1"/>
  <headerFooter alignWithMargins="0"/>
  <rowBreaks count="1" manualBreakCount="1">
    <brk id="147" max="14" man="1"/>
  </rowBreaks>
  <drawing r:id="rId2"/>
  <legacyDrawing r:id="rId3"/>
</worksheet>
</file>

<file path=xl/worksheets/w6_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C000"/>
    <pageSetUpPr fitToPage="1"/>
  </sheetPr>
  <dimension ref="A1:N123"/>
  <sheetViews>
    <sheetView zoomScale="85" zoomScaleNormal="85" zoomScaleSheetLayoutView="85" workbookViewId="0">
      <pane xSplit="5" ySplit="5" topLeftCell="F6" activePane="bottomRight" state="frozen"/>
      <selection activeCell="F12" sqref="F12"/>
      <selection pane="topRight" activeCell="F12" sqref="F12"/>
      <selection pane="bottomLeft" activeCell="F12" sqref="F12"/>
      <selection pane="bottomRight" activeCell="G10" sqref="G10:G11"/>
    </sheetView>
  </sheetViews>
  <sheetFormatPr defaultColWidth="9" defaultRowHeight="13.5"/>
  <cols>
    <col min="1" max="1" width="1.875" style="1715" customWidth="1"/>
    <col min="2" max="2" width="4.125" style="1715" customWidth="1"/>
    <col min="3" max="3" width="12.625" style="1715" customWidth="1"/>
    <col min="4" max="5" width="22.625" style="1715" customWidth="1"/>
    <col min="6" max="9" width="13.75" style="1788" customWidth="1"/>
    <col min="10" max="11" width="8.125" style="1788" customWidth="1"/>
    <col min="12" max="14" width="12.625" style="1788" customWidth="1"/>
    <col min="15" max="16" width="13.625" style="1715" bestFit="1" customWidth="1"/>
    <col min="17" max="16384" width="9" style="1715"/>
  </cols>
  <sheetData>
    <row r="1" spans="1:14" ht="17.25" customHeight="1">
      <c r="A1" s="2414" t="str">
        <f>+"令和"&amp;MID('総括表(不課税)'!A2,3,1)&amp;"年度決算　不課税収入区分表(一般会計負担金)"</f>
        <v>令和５年度決算　不課税収入区分表(一般会計負担金)</v>
      </c>
      <c r="B1" s="2414"/>
      <c r="C1" s="2414"/>
      <c r="D1" s="2414"/>
      <c r="E1" s="2414"/>
      <c r="F1" s="2414"/>
      <c r="G1" s="2414"/>
      <c r="H1" s="2414"/>
      <c r="I1" s="2414"/>
    </row>
    <row r="2" spans="1:14" ht="17.25" customHeight="1">
      <c r="A2" s="1812"/>
      <c r="B2" s="1812"/>
      <c r="C2" s="1812"/>
      <c r="D2" s="1812"/>
      <c r="E2" s="1812"/>
      <c r="F2" s="1813"/>
      <c r="G2" s="1813"/>
      <c r="H2" s="1813"/>
      <c r="I2" s="1813"/>
    </row>
    <row r="3" spans="1:14" ht="17.25" customHeight="1" thickBot="1">
      <c r="A3" s="1814"/>
      <c r="B3" s="1814"/>
      <c r="C3" s="1814"/>
      <c r="D3" s="1814"/>
      <c r="E3" s="1814"/>
      <c r="F3" s="1815"/>
      <c r="G3" s="1815"/>
      <c r="H3" s="1815"/>
      <c r="I3" s="1816" t="s">
        <v>4791</v>
      </c>
    </row>
    <row r="4" spans="1:14" s="1717" customFormat="1" ht="19.5" customHeight="1">
      <c r="A4" s="2417" t="s">
        <v>4839</v>
      </c>
      <c r="B4" s="2380"/>
      <c r="C4" s="2418"/>
      <c r="D4" s="2378" t="s">
        <v>4821</v>
      </c>
      <c r="E4" s="2380" t="s">
        <v>4822</v>
      </c>
      <c r="F4" s="1924" t="s">
        <v>4843</v>
      </c>
      <c r="G4" s="2421" t="s">
        <v>4824</v>
      </c>
      <c r="H4" s="2421" t="s">
        <v>4826</v>
      </c>
      <c r="I4" s="2415" t="s">
        <v>4827</v>
      </c>
      <c r="J4" s="1935" t="s">
        <v>5161</v>
      </c>
      <c r="K4" s="1936"/>
      <c r="L4" s="1936"/>
      <c r="M4" s="1936"/>
      <c r="N4" s="1828"/>
    </row>
    <row r="5" spans="1:14" s="1717" customFormat="1" ht="19.5" customHeight="1">
      <c r="A5" s="2419"/>
      <c r="B5" s="2381"/>
      <c r="C5" s="2420"/>
      <c r="D5" s="2379"/>
      <c r="E5" s="2381"/>
      <c r="F5" s="1820" t="s">
        <v>4845</v>
      </c>
      <c r="G5" s="2422"/>
      <c r="H5" s="2422"/>
      <c r="I5" s="2416"/>
      <c r="J5" s="1968">
        <v>0.03</v>
      </c>
      <c r="K5" s="2064">
        <v>0.05</v>
      </c>
      <c r="L5" s="1937">
        <v>0.08</v>
      </c>
      <c r="M5" s="2059">
        <v>0.08</v>
      </c>
      <c r="N5" s="1937">
        <v>0.1</v>
      </c>
    </row>
    <row r="6" spans="1:14" s="1717" customFormat="1" ht="19.5" customHeight="1">
      <c r="A6" s="2389" t="s">
        <v>4828</v>
      </c>
      <c r="B6" s="2390"/>
      <c r="C6" s="2391"/>
      <c r="D6" s="2431"/>
      <c r="E6" s="2432"/>
      <c r="F6" s="1822"/>
      <c r="G6" s="2430">
        <f>G8+G20+G22+G28</f>
        <v>13974628227</v>
      </c>
      <c r="H6" s="2430">
        <f>H8+H20+H22+H28</f>
        <v>2307267553</v>
      </c>
      <c r="I6" s="2433">
        <f>I8+I20+I22+I28</f>
        <v>11667360674</v>
      </c>
      <c r="J6" s="1828">
        <f>+SUM(J11,J15,J21,J23,J25)</f>
        <v>0</v>
      </c>
      <c r="K6" s="1828">
        <f t="shared" ref="K6:N6" si="0">+SUM(K11,K15,K21,K23,K25)</f>
        <v>0</v>
      </c>
      <c r="L6" s="1828">
        <f>+SUM(L11,L15,L21,L23,L25)</f>
        <v>455357</v>
      </c>
      <c r="M6" s="1828">
        <f>+SUM(M11,M15,M21,M23,M25)</f>
        <v>130554</v>
      </c>
      <c r="N6" s="1828">
        <f t="shared" si="0"/>
        <v>2306681642</v>
      </c>
    </row>
    <row r="7" spans="1:14" s="1717" customFormat="1" ht="19.5" customHeight="1">
      <c r="A7" s="2392"/>
      <c r="B7" s="2393"/>
      <c r="C7" s="2394"/>
      <c r="D7" s="2429"/>
      <c r="E7" s="2427"/>
      <c r="F7" s="1927"/>
      <c r="G7" s="2425"/>
      <c r="H7" s="2425"/>
      <c r="I7" s="2434"/>
      <c r="J7" s="1828"/>
      <c r="K7" s="1828"/>
      <c r="L7" s="1828"/>
      <c r="M7" s="1828"/>
      <c r="N7" s="1828"/>
    </row>
    <row r="8" spans="1:14" s="1717" customFormat="1" ht="19.5" customHeight="1">
      <c r="A8" s="1823"/>
      <c r="B8" s="2366" t="s">
        <v>4777</v>
      </c>
      <c r="C8" s="2367"/>
      <c r="D8" s="2428"/>
      <c r="E8" s="2426"/>
      <c r="F8" s="1927"/>
      <c r="G8" s="2424">
        <f>G10+G12+G18</f>
        <v>13869351636</v>
      </c>
      <c r="H8" s="2424">
        <f>H10+H12+H18</f>
        <v>2284890841</v>
      </c>
      <c r="I8" s="2435">
        <f>I10+I12+I18</f>
        <v>11584460795</v>
      </c>
      <c r="J8" s="1828"/>
      <c r="K8" s="1828"/>
      <c r="L8" s="1828"/>
      <c r="M8" s="1828"/>
      <c r="N8" s="1828"/>
    </row>
    <row r="9" spans="1:14" s="1717" customFormat="1" ht="19.5" customHeight="1">
      <c r="A9" s="1823"/>
      <c r="B9" s="2423"/>
      <c r="C9" s="2394"/>
      <c r="D9" s="2429"/>
      <c r="E9" s="2427"/>
      <c r="F9" s="1927"/>
      <c r="G9" s="2425"/>
      <c r="H9" s="2425"/>
      <c r="I9" s="2434"/>
      <c r="J9" s="1933"/>
      <c r="K9" s="1933"/>
      <c r="L9" s="1933"/>
      <c r="M9" s="1933"/>
      <c r="N9" s="1828"/>
    </row>
    <row r="10" spans="1:14" s="1717" customFormat="1" ht="19.5" customHeight="1">
      <c r="A10" s="1823"/>
      <c r="B10" s="1923"/>
      <c r="C10" s="2395" t="s">
        <v>4778</v>
      </c>
      <c r="D10" s="2406" t="s">
        <v>4840</v>
      </c>
      <c r="E10" s="2385" t="s">
        <v>4829</v>
      </c>
      <c r="F10" s="1915">
        <f>+'3条支出'!$K$53</f>
        <v>2460111073</v>
      </c>
      <c r="G10" s="2403">
        <f>+雨汚水!$O$111</f>
        <v>3383678341</v>
      </c>
      <c r="H10" s="2424">
        <f>IFERROR(ROUND((G10)*F10/F11,0),0)</f>
        <v>2257096108</v>
      </c>
      <c r="I10" s="2435">
        <f>G10-H10</f>
        <v>1126582233</v>
      </c>
      <c r="J10" s="1828"/>
      <c r="K10" s="1933"/>
      <c r="L10" s="1934">
        <f>+'3条支出'!F$53+'3条支出'!G$53+'3条支出'!H$53</f>
        <v>496314</v>
      </c>
      <c r="M10" s="1934">
        <f>+'3条支出'!I$53</f>
        <v>142297</v>
      </c>
      <c r="N10" s="1934">
        <f>+'3条支出'!J$53</f>
        <v>2459472462</v>
      </c>
    </row>
    <row r="11" spans="1:14" s="1717" customFormat="1" ht="19.5" customHeight="1">
      <c r="A11" s="1823"/>
      <c r="B11" s="1923"/>
      <c r="C11" s="2405"/>
      <c r="D11" s="2375"/>
      <c r="E11" s="2386"/>
      <c r="F11" s="1915">
        <f>'3条支出'!$E$53</f>
        <v>3688023972</v>
      </c>
      <c r="G11" s="2404"/>
      <c r="H11" s="2425"/>
      <c r="I11" s="2434"/>
      <c r="J11" s="1828"/>
      <c r="K11" s="1933"/>
      <c r="L11" s="1828">
        <f>+H10-SUM(J11:K11,M11:N11)</f>
        <v>455357</v>
      </c>
      <c r="M11" s="1828">
        <f>IFERROR(ROUND(M10/$F10*$H10,0),0)</f>
        <v>130554</v>
      </c>
      <c r="N11" s="1828">
        <f>IFERROR(ROUND(N10/$F10*$H10,0),0)</f>
        <v>2256510197</v>
      </c>
    </row>
    <row r="12" spans="1:14" s="1717" customFormat="1" ht="19.5" customHeight="1">
      <c r="A12" s="1823"/>
      <c r="B12" s="1923"/>
      <c r="C12" s="2395" t="s">
        <v>4795</v>
      </c>
      <c r="D12" s="2387" t="s">
        <v>4813</v>
      </c>
      <c r="E12" s="2385" t="s">
        <v>4841</v>
      </c>
      <c r="F12" s="1927"/>
      <c r="G12" s="2403">
        <f>+雨汚水!$O$112</f>
        <v>8476549651</v>
      </c>
      <c r="H12" s="2424">
        <f>IFERROR(ROUND((G12)*F12/F13,0),0)</f>
        <v>0</v>
      </c>
      <c r="I12" s="2435">
        <f>G12-H12</f>
        <v>8476549651</v>
      </c>
      <c r="J12" s="1828"/>
      <c r="K12" s="1933"/>
      <c r="L12" s="1828"/>
      <c r="M12" s="1828"/>
      <c r="N12" s="1828"/>
    </row>
    <row r="13" spans="1:14" s="1717" customFormat="1" ht="19.5" customHeight="1">
      <c r="A13" s="1823"/>
      <c r="B13" s="1923"/>
      <c r="C13" s="2396"/>
      <c r="D13" s="2388"/>
      <c r="E13" s="2386"/>
      <c r="F13" s="1927"/>
      <c r="G13" s="2404"/>
      <c r="H13" s="2425"/>
      <c r="I13" s="2434"/>
      <c r="J13" s="1828"/>
      <c r="K13" s="1933"/>
      <c r="L13" s="1828"/>
      <c r="M13" s="1828"/>
      <c r="N13" s="1828"/>
    </row>
    <row r="14" spans="1:14" s="1717" customFormat="1" ht="19.5" customHeight="1">
      <c r="A14" s="1823"/>
      <c r="B14" s="1923"/>
      <c r="C14" s="2395" t="s">
        <v>4830</v>
      </c>
      <c r="D14" s="2387" t="s">
        <v>4831</v>
      </c>
      <c r="E14" s="2387" t="s">
        <v>4986</v>
      </c>
      <c r="F14" s="1841">
        <f>+営外!$K$9</f>
        <v>61813753</v>
      </c>
      <c r="G14" s="2403">
        <f>+雨汚水!$O$115</f>
        <v>27794733</v>
      </c>
      <c r="H14" s="2424">
        <f>G14</f>
        <v>27794733</v>
      </c>
      <c r="I14" s="2435">
        <f>G14-H14</f>
        <v>0</v>
      </c>
      <c r="J14" s="1828"/>
      <c r="K14" s="1933"/>
      <c r="L14" s="1938">
        <f>+営外!F$9+営外!G$9+営外!H$9</f>
        <v>0</v>
      </c>
      <c r="M14" s="1938">
        <f>+営外!I$9</f>
        <v>0</v>
      </c>
      <c r="N14" s="1938">
        <f>+営外!J$9</f>
        <v>61813753</v>
      </c>
    </row>
    <row r="15" spans="1:14" s="1717" customFormat="1" ht="19.5" customHeight="1">
      <c r="A15" s="1823"/>
      <c r="B15" s="1923"/>
      <c r="C15" s="2407"/>
      <c r="D15" s="2397"/>
      <c r="E15" s="2388"/>
      <c r="F15" s="1841">
        <f>+営外!$E$9</f>
        <v>61813753</v>
      </c>
      <c r="G15" s="2404"/>
      <c r="H15" s="2425"/>
      <c r="I15" s="2434"/>
      <c r="J15" s="1828"/>
      <c r="K15" s="1933"/>
      <c r="L15" s="1828">
        <f>+H14-SUM(J15:K15,M15:N15)</f>
        <v>0</v>
      </c>
      <c r="M15" s="1828">
        <f>IFERROR(ROUND(M14/$F14*$H14,0),0)</f>
        <v>0</v>
      </c>
      <c r="N15" s="1828">
        <f>IFERROR(ROUND(N14/$F14*$H14,0),0)</f>
        <v>27794733</v>
      </c>
    </row>
    <row r="16" spans="1:14" s="1717" customFormat="1" ht="19.5" customHeight="1">
      <c r="A16" s="1823"/>
      <c r="B16" s="1923"/>
      <c r="C16" s="2407"/>
      <c r="D16" s="2397"/>
      <c r="E16" s="2374" t="s">
        <v>4889</v>
      </c>
      <c r="F16" s="1927"/>
      <c r="G16" s="2411">
        <f>+雨汚水!$O$114</f>
        <v>1981328911</v>
      </c>
      <c r="H16" s="2424">
        <f>IFERROR(ROUND((G16)*F16/F17,0),0)</f>
        <v>0</v>
      </c>
      <c r="I16" s="2438">
        <f>G16-H16</f>
        <v>1981328911</v>
      </c>
      <c r="J16" s="1828"/>
      <c r="K16" s="1933"/>
      <c r="L16" s="1828"/>
      <c r="M16" s="1828"/>
      <c r="N16" s="1828"/>
    </row>
    <row r="17" spans="1:14" s="1717" customFormat="1" ht="19.5" customHeight="1">
      <c r="A17" s="1823"/>
      <c r="B17" s="1923"/>
      <c r="C17" s="2407"/>
      <c r="D17" s="2397"/>
      <c r="E17" s="2375"/>
      <c r="F17" s="1927"/>
      <c r="G17" s="2412"/>
      <c r="H17" s="2425"/>
      <c r="I17" s="2438"/>
      <c r="J17" s="1828"/>
      <c r="K17" s="1933"/>
      <c r="L17" s="1828"/>
      <c r="M17" s="1828"/>
      <c r="N17" s="1828"/>
    </row>
    <row r="18" spans="1:14" s="1717" customFormat="1" ht="19.5" customHeight="1">
      <c r="A18" s="1823"/>
      <c r="B18" s="1923"/>
      <c r="C18" s="2407"/>
      <c r="D18" s="2397"/>
      <c r="E18" s="2401" t="s">
        <v>5164</v>
      </c>
      <c r="F18" s="1927"/>
      <c r="G18" s="2409">
        <f>G14+G16</f>
        <v>2009123644</v>
      </c>
      <c r="H18" s="2439">
        <f>H14+H16</f>
        <v>27794733</v>
      </c>
      <c r="I18" s="2438">
        <f>I14+I16</f>
        <v>1981328911</v>
      </c>
      <c r="J18" s="1828"/>
      <c r="K18" s="1933"/>
      <c r="L18" s="1828"/>
      <c r="M18" s="1828"/>
      <c r="N18" s="1828"/>
    </row>
    <row r="19" spans="1:14" s="1717" customFormat="1" ht="19.5" customHeight="1">
      <c r="A19" s="1823"/>
      <c r="B19" s="1923"/>
      <c r="C19" s="2408"/>
      <c r="D19" s="2398"/>
      <c r="E19" s="2413"/>
      <c r="F19" s="1927"/>
      <c r="G19" s="2410"/>
      <c r="H19" s="2410"/>
      <c r="I19" s="2438"/>
      <c r="J19" s="1828"/>
      <c r="K19" s="1933"/>
      <c r="L19" s="1828"/>
      <c r="M19" s="1828"/>
      <c r="N19" s="1828"/>
    </row>
    <row r="20" spans="1:14" s="1717" customFormat="1" ht="19.5" customHeight="1">
      <c r="A20" s="1823"/>
      <c r="B20" s="2382" t="s">
        <v>4832</v>
      </c>
      <c r="C20" s="2383"/>
      <c r="D20" s="2384" t="s">
        <v>4833</v>
      </c>
      <c r="E20" s="2385" t="s">
        <v>4834</v>
      </c>
      <c r="F20" s="1915">
        <f>+'3条支出'!$K$7</f>
        <v>12436317</v>
      </c>
      <c r="G20" s="2403">
        <f>+雨汚水!$O$116</f>
        <v>51313295</v>
      </c>
      <c r="H20" s="2424">
        <f>IFERROR(ROUND((G20)*F20/F21,0),0)</f>
        <v>12168217</v>
      </c>
      <c r="I20" s="2435">
        <f>G20-H20</f>
        <v>39145078</v>
      </c>
      <c r="J20" s="1828"/>
      <c r="K20" s="1933"/>
      <c r="L20" s="1934">
        <f>+'3条支出'!F$7+'3条支出'!G$7+'3条支出'!H$7</f>
        <v>0</v>
      </c>
      <c r="M20" s="1934">
        <f>+'3条支出'!I$7</f>
        <v>0</v>
      </c>
      <c r="N20" s="1934">
        <f>+'3条支出'!J$7</f>
        <v>12436317</v>
      </c>
    </row>
    <row r="21" spans="1:14" s="1717" customFormat="1" ht="19.5" customHeight="1">
      <c r="A21" s="1823"/>
      <c r="B21" s="2382"/>
      <c r="C21" s="2383"/>
      <c r="D21" s="2384"/>
      <c r="E21" s="2386"/>
      <c r="F21" s="1915">
        <f>+'3条支出'!$E$7</f>
        <v>52443869</v>
      </c>
      <c r="G21" s="2404"/>
      <c r="H21" s="2425"/>
      <c r="I21" s="2434"/>
      <c r="J21" s="1828"/>
      <c r="K21" s="1933"/>
      <c r="L21" s="1828">
        <f>+H20-SUM(J21:K21,M21:N21)</f>
        <v>0</v>
      </c>
      <c r="M21" s="1828">
        <f>IFERROR(ROUND(M20/$F20*$H20,0),0)</f>
        <v>0</v>
      </c>
      <c r="N21" s="1828">
        <f>IFERROR(ROUND(N20/$F20*$H20,0),0)</f>
        <v>12168217</v>
      </c>
    </row>
    <row r="22" spans="1:14" s="1717" customFormat="1" ht="19.5" customHeight="1">
      <c r="A22" s="1823"/>
      <c r="B22" s="2382" t="s">
        <v>4835</v>
      </c>
      <c r="C22" s="2383"/>
      <c r="D22" s="2384" t="s">
        <v>4836</v>
      </c>
      <c r="E22" s="2385" t="s">
        <v>4837</v>
      </c>
      <c r="F22" s="1915">
        <f>+'3条支出'!$K$11</f>
        <v>18870469</v>
      </c>
      <c r="G22" s="2403">
        <f>+雨汚水!$O$117</f>
        <v>43567026</v>
      </c>
      <c r="H22" s="2424">
        <f>IFERROR(ROUND((G22)*F22/F23,0),0)</f>
        <v>9253060</v>
      </c>
      <c r="I22" s="2435">
        <f>G22-H22</f>
        <v>34313966</v>
      </c>
      <c r="J22" s="1828"/>
      <c r="K22" s="1933"/>
      <c r="L22" s="1934">
        <f>+'3条支出'!F$11+'3条支出'!G$11+'3条支出'!H$11</f>
        <v>0</v>
      </c>
      <c r="M22" s="1934">
        <f>+'3条支出'!I$11</f>
        <v>0</v>
      </c>
      <c r="N22" s="1934">
        <f>+'3条支出'!J$11</f>
        <v>18870469</v>
      </c>
    </row>
    <row r="23" spans="1:14" s="1717" customFormat="1" ht="19.5" customHeight="1">
      <c r="A23" s="1823"/>
      <c r="B23" s="2382"/>
      <c r="C23" s="2383"/>
      <c r="D23" s="2384"/>
      <c r="E23" s="2386"/>
      <c r="F23" s="1915">
        <f>+'3条支出'!$E$11</f>
        <v>88849549</v>
      </c>
      <c r="G23" s="2404"/>
      <c r="H23" s="2425"/>
      <c r="I23" s="2434"/>
      <c r="J23" s="1828"/>
      <c r="K23" s="1933"/>
      <c r="L23" s="1828">
        <f>+H22-SUM(J23:K23,M23:N23)</f>
        <v>0</v>
      </c>
      <c r="M23" s="1828">
        <f>IFERROR(ROUND(M22/$F22*$H22,0),0)</f>
        <v>0</v>
      </c>
      <c r="N23" s="1828">
        <f>IFERROR(ROUND(N22/$F22*$H22,0),0)</f>
        <v>9253060</v>
      </c>
    </row>
    <row r="24" spans="1:14" s="1717" customFormat="1" ht="19.5" customHeight="1">
      <c r="A24" s="1823"/>
      <c r="B24" s="2366" t="s">
        <v>4798</v>
      </c>
      <c r="C24" s="2367"/>
      <c r="D24" s="2374" t="s">
        <v>4838</v>
      </c>
      <c r="E24" s="2399" t="s">
        <v>4920</v>
      </c>
      <c r="F24" s="1915">
        <f>+'3条支出'!$K$12</f>
        <v>963485</v>
      </c>
      <c r="G24" s="2403">
        <f>+雨汚水!$O$118</f>
        <v>10396270</v>
      </c>
      <c r="H24" s="2424">
        <f>IFERROR(ROUND((G24)*F24/F25,0),0)</f>
        <v>955435</v>
      </c>
      <c r="I24" s="2435">
        <f>G24-H24</f>
        <v>9440835</v>
      </c>
      <c r="J24" s="1828"/>
      <c r="K24" s="1933"/>
      <c r="L24" s="1934">
        <f>+'3条支出'!F$12+'3条支出'!G$12+'3条支出'!H$12</f>
        <v>0</v>
      </c>
      <c r="M24" s="1934">
        <f>+'3条支出'!I$12</f>
        <v>0</v>
      </c>
      <c r="N24" s="1934">
        <f>+'3条支出'!J$12</f>
        <v>963485</v>
      </c>
    </row>
    <row r="25" spans="1:14" s="1717" customFormat="1" ht="19.5" customHeight="1">
      <c r="A25" s="1823"/>
      <c r="B25" s="2368"/>
      <c r="C25" s="2369"/>
      <c r="D25" s="2375"/>
      <c r="E25" s="2400"/>
      <c r="F25" s="1931">
        <f>+'3条支出'!$E$12</f>
        <v>10483859</v>
      </c>
      <c r="G25" s="2436"/>
      <c r="H25" s="2425"/>
      <c r="I25" s="2437"/>
      <c r="J25" s="1828"/>
      <c r="K25" s="1933"/>
      <c r="L25" s="1828">
        <f>+H24-SUM(J25:K25,M25:N25)</f>
        <v>0</v>
      </c>
      <c r="M25" s="1828">
        <f>IFERROR(ROUND(M24/$F24*$H24,0),0)</f>
        <v>0</v>
      </c>
      <c r="N25" s="1828">
        <f>IFERROR(ROUND(N24/$F24*$H24,0),0)</f>
        <v>955435</v>
      </c>
    </row>
    <row r="26" spans="1:14" s="1717" customFormat="1" ht="19.5" customHeight="1">
      <c r="A26" s="1823"/>
      <c r="B26" s="2370"/>
      <c r="C26" s="2371"/>
      <c r="D26" s="2376"/>
      <c r="E26" s="2374" t="s">
        <v>4987</v>
      </c>
      <c r="F26" s="1825"/>
      <c r="G26" s="2409">
        <f>G28-G24</f>
        <v>0</v>
      </c>
      <c r="H26" s="2424">
        <f>IFERROR(ROUND((G26)*F26/F27,0),0)</f>
        <v>0</v>
      </c>
      <c r="I26" s="2440">
        <f>G26-H26</f>
        <v>0</v>
      </c>
      <c r="J26" s="1828"/>
      <c r="K26" s="1933"/>
      <c r="L26" s="1828"/>
      <c r="M26" s="1828"/>
      <c r="N26" s="1828"/>
    </row>
    <row r="27" spans="1:14" s="1717" customFormat="1" ht="19.5" customHeight="1">
      <c r="A27" s="1823"/>
      <c r="B27" s="2370"/>
      <c r="C27" s="2371"/>
      <c r="D27" s="2376"/>
      <c r="E27" s="2375"/>
      <c r="F27" s="1826"/>
      <c r="G27" s="2439"/>
      <c r="H27" s="2425"/>
      <c r="I27" s="2442"/>
      <c r="J27" s="1828"/>
      <c r="K27" s="1933"/>
      <c r="L27" s="1828"/>
      <c r="M27" s="1828"/>
      <c r="N27" s="1828"/>
    </row>
    <row r="28" spans="1:14" s="1717" customFormat="1" ht="19.5" customHeight="1">
      <c r="A28" s="1823"/>
      <c r="B28" s="2370"/>
      <c r="C28" s="2371"/>
      <c r="D28" s="2376"/>
      <c r="E28" s="2401" t="s">
        <v>5164</v>
      </c>
      <c r="F28" s="1826"/>
      <c r="G28" s="2409">
        <f>+G24</f>
        <v>10396270</v>
      </c>
      <c r="H28" s="2439">
        <f>H24+H26</f>
        <v>955435</v>
      </c>
      <c r="I28" s="2440">
        <f>I24+I26</f>
        <v>9440835</v>
      </c>
      <c r="J28" s="1828"/>
      <c r="K28" s="1828"/>
      <c r="L28" s="1828"/>
      <c r="M28" s="1828"/>
      <c r="N28" s="1828"/>
    </row>
    <row r="29" spans="1:14" s="1717" customFormat="1" ht="19.5" customHeight="1" thickBot="1">
      <c r="A29" s="1939"/>
      <c r="B29" s="2372"/>
      <c r="C29" s="2373"/>
      <c r="D29" s="2377"/>
      <c r="E29" s="2402"/>
      <c r="F29" s="1827"/>
      <c r="G29" s="2443"/>
      <c r="H29" s="2443"/>
      <c r="I29" s="2441"/>
      <c r="J29" s="1828"/>
      <c r="K29" s="1828"/>
      <c r="L29" s="1828"/>
      <c r="M29" s="1828"/>
      <c r="N29" s="1828"/>
    </row>
    <row r="30" spans="1:14" s="1717" customFormat="1" ht="19.5" customHeight="1">
      <c r="F30" s="1932" t="s">
        <v>5167</v>
      </c>
      <c r="G30" s="1815">
        <f>+雨汚水!$O$109</f>
        <v>13974628227</v>
      </c>
      <c r="H30" s="1828"/>
      <c r="I30" s="1828"/>
      <c r="J30" s="1828"/>
      <c r="K30" s="1828"/>
      <c r="L30" s="1828"/>
      <c r="M30" s="1828"/>
      <c r="N30" s="1828"/>
    </row>
    <row r="31" spans="1:14" s="1717" customFormat="1" ht="11.25">
      <c r="F31" s="1932" t="s">
        <v>5168</v>
      </c>
      <c r="G31" s="1815">
        <f>+G6-G30</f>
        <v>0</v>
      </c>
      <c r="H31" s="1828"/>
      <c r="I31" s="1828"/>
      <c r="J31" s="1828"/>
      <c r="K31" s="1828"/>
      <c r="L31" s="1828"/>
      <c r="M31" s="1828"/>
      <c r="N31" s="1828"/>
    </row>
    <row r="32" spans="1:14" s="1717" customFormat="1" ht="11.25">
      <c r="F32" s="1828"/>
      <c r="G32" s="1828"/>
      <c r="H32" s="1828"/>
      <c r="I32" s="1828"/>
      <c r="J32" s="1828"/>
      <c r="K32" s="1828"/>
      <c r="L32" s="1828"/>
      <c r="M32" s="1828"/>
      <c r="N32" s="1828"/>
    </row>
    <row r="33" spans="6:14" s="1717" customFormat="1" ht="11.25">
      <c r="F33" s="1828"/>
      <c r="G33" s="1828"/>
      <c r="H33" s="1828"/>
      <c r="I33" s="1828"/>
      <c r="J33" s="1828"/>
      <c r="K33" s="1828"/>
      <c r="L33" s="1828"/>
      <c r="M33" s="1828"/>
      <c r="N33" s="1828"/>
    </row>
    <row r="34" spans="6:14" s="1717" customFormat="1" ht="11.25">
      <c r="F34" s="1828"/>
      <c r="G34" s="1828"/>
      <c r="H34" s="1828"/>
      <c r="I34" s="1828"/>
      <c r="J34" s="1828"/>
      <c r="K34" s="1828"/>
      <c r="L34" s="1828"/>
      <c r="M34" s="1828"/>
      <c r="N34" s="1828"/>
    </row>
    <row r="35" spans="6:14" s="1717" customFormat="1" ht="11.25">
      <c r="F35" s="1828"/>
      <c r="G35" s="1828"/>
      <c r="H35" s="1828"/>
      <c r="I35" s="1828"/>
      <c r="J35" s="1828"/>
      <c r="K35" s="1828"/>
      <c r="L35" s="1828"/>
      <c r="M35" s="1828"/>
      <c r="N35" s="1828"/>
    </row>
    <row r="36" spans="6:14" s="1717" customFormat="1" ht="11.25">
      <c r="F36" s="1828"/>
      <c r="G36" s="1828"/>
      <c r="H36" s="1828"/>
      <c r="I36" s="1828"/>
      <c r="J36" s="1828"/>
      <c r="K36" s="1828"/>
      <c r="L36" s="1828"/>
      <c r="M36" s="1828"/>
      <c r="N36" s="1828"/>
    </row>
    <row r="37" spans="6:14" s="1717" customFormat="1" ht="11.25">
      <c r="F37" s="1828"/>
      <c r="G37" s="1828"/>
      <c r="H37" s="1828"/>
      <c r="I37" s="1828"/>
      <c r="J37" s="1828"/>
      <c r="K37" s="1828"/>
      <c r="L37" s="1828"/>
      <c r="M37" s="1828"/>
      <c r="N37" s="1828"/>
    </row>
    <row r="38" spans="6:14" s="1717" customFormat="1" ht="11.25">
      <c r="F38" s="1828"/>
      <c r="G38" s="1828"/>
      <c r="H38" s="1828"/>
      <c r="I38" s="1828"/>
      <c r="J38" s="1828"/>
      <c r="K38" s="1828"/>
      <c r="L38" s="1828"/>
      <c r="M38" s="1828"/>
      <c r="N38" s="1828"/>
    </row>
    <row r="39" spans="6:14" s="1717" customFormat="1" ht="11.25">
      <c r="F39" s="1828"/>
      <c r="G39" s="1828"/>
      <c r="H39" s="1828"/>
      <c r="I39" s="1828"/>
      <c r="J39" s="1828"/>
      <c r="K39" s="1828"/>
      <c r="L39" s="1828"/>
      <c r="M39" s="1828"/>
      <c r="N39" s="1828"/>
    </row>
    <row r="40" spans="6:14" s="1717" customFormat="1" ht="11.25">
      <c r="F40" s="1828"/>
      <c r="G40" s="1828"/>
      <c r="H40" s="1828"/>
      <c r="I40" s="1828"/>
      <c r="J40" s="1828"/>
      <c r="K40" s="1828"/>
      <c r="L40" s="1828"/>
      <c r="M40" s="1828"/>
      <c r="N40" s="1828"/>
    </row>
    <row r="41" spans="6:14" s="1717" customFormat="1" ht="11.25">
      <c r="F41" s="1828"/>
      <c r="G41" s="1828"/>
      <c r="H41" s="1828"/>
      <c r="I41" s="1828"/>
      <c r="J41" s="1828"/>
      <c r="K41" s="1828"/>
      <c r="L41" s="1828"/>
      <c r="M41" s="1828"/>
      <c r="N41" s="1828"/>
    </row>
    <row r="42" spans="6:14" s="1717" customFormat="1" ht="11.25">
      <c r="F42" s="1828"/>
      <c r="G42" s="1828"/>
      <c r="H42" s="1828"/>
      <c r="I42" s="1828"/>
      <c r="J42" s="1828"/>
      <c r="K42" s="1828"/>
      <c r="L42" s="1828"/>
      <c r="M42" s="1828"/>
      <c r="N42" s="1828"/>
    </row>
    <row r="43" spans="6:14" s="1717" customFormat="1" ht="11.25">
      <c r="F43" s="1828"/>
      <c r="G43" s="1828"/>
      <c r="H43" s="1828"/>
      <c r="I43" s="1828"/>
      <c r="J43" s="1828"/>
      <c r="K43" s="1828"/>
      <c r="L43" s="1828"/>
      <c r="M43" s="1828"/>
      <c r="N43" s="1828"/>
    </row>
    <row r="44" spans="6:14" s="1717" customFormat="1" ht="11.25">
      <c r="F44" s="1828"/>
      <c r="G44" s="1828"/>
      <c r="H44" s="1828"/>
      <c r="I44" s="1828"/>
      <c r="J44" s="1828"/>
      <c r="K44" s="1828"/>
      <c r="L44" s="1828"/>
      <c r="M44" s="1828"/>
      <c r="N44" s="1828"/>
    </row>
    <row r="45" spans="6:14" s="1717" customFormat="1" ht="11.25">
      <c r="F45" s="1828"/>
      <c r="G45" s="1828"/>
      <c r="H45" s="1828"/>
      <c r="I45" s="1828"/>
      <c r="J45" s="1828"/>
      <c r="K45" s="1828"/>
      <c r="L45" s="1828"/>
      <c r="M45" s="1828"/>
      <c r="N45" s="1828"/>
    </row>
    <row r="46" spans="6:14" s="1717" customFormat="1" ht="11.25">
      <c r="F46" s="1828"/>
      <c r="G46" s="1828"/>
      <c r="H46" s="1828"/>
      <c r="I46" s="1828"/>
      <c r="J46" s="1828"/>
      <c r="K46" s="1828"/>
      <c r="L46" s="1828"/>
      <c r="M46" s="1828"/>
      <c r="N46" s="1828"/>
    </row>
    <row r="47" spans="6:14" s="1717" customFormat="1" ht="11.25">
      <c r="F47" s="1828"/>
      <c r="G47" s="1828"/>
      <c r="H47" s="1828"/>
      <c r="I47" s="1828"/>
      <c r="J47" s="1828"/>
      <c r="K47" s="1828"/>
      <c r="L47" s="1828"/>
      <c r="M47" s="1828"/>
      <c r="N47" s="1828"/>
    </row>
    <row r="48" spans="6:14" s="1717" customFormat="1" ht="11.25">
      <c r="F48" s="1828"/>
      <c r="G48" s="1828"/>
      <c r="H48" s="1828"/>
      <c r="I48" s="1828"/>
      <c r="J48" s="1828"/>
      <c r="K48" s="1828"/>
      <c r="L48" s="1828"/>
      <c r="M48" s="1828"/>
      <c r="N48" s="1828"/>
    </row>
    <row r="49" spans="6:14" s="1717" customFormat="1" ht="11.25">
      <c r="F49" s="1828"/>
      <c r="G49" s="1828"/>
      <c r="H49" s="1828"/>
      <c r="I49" s="1828"/>
      <c r="J49" s="1828"/>
      <c r="K49" s="1828"/>
      <c r="L49" s="1828"/>
      <c r="M49" s="1828"/>
      <c r="N49" s="1828"/>
    </row>
    <row r="50" spans="6:14" s="1717" customFormat="1" ht="11.25">
      <c r="F50" s="1828"/>
      <c r="G50" s="1828"/>
      <c r="H50" s="1828"/>
      <c r="I50" s="1828"/>
      <c r="J50" s="1828"/>
      <c r="K50" s="1828"/>
      <c r="L50" s="1828"/>
      <c r="M50" s="1828"/>
      <c r="N50" s="1828"/>
    </row>
    <row r="51" spans="6:14" s="1717" customFormat="1" ht="11.25">
      <c r="F51" s="1828"/>
      <c r="G51" s="1828"/>
      <c r="H51" s="1828"/>
      <c r="I51" s="1828"/>
      <c r="J51" s="1828"/>
      <c r="K51" s="1828"/>
      <c r="L51" s="1828"/>
      <c r="M51" s="1828"/>
      <c r="N51" s="1828"/>
    </row>
    <row r="52" spans="6:14" s="1717" customFormat="1" ht="11.25">
      <c r="F52" s="1828"/>
      <c r="G52" s="1828"/>
      <c r="H52" s="1828"/>
      <c r="I52" s="1828"/>
      <c r="J52" s="1828"/>
      <c r="K52" s="1828"/>
      <c r="L52" s="1828"/>
      <c r="M52" s="1828"/>
      <c r="N52" s="1828"/>
    </row>
    <row r="53" spans="6:14" s="1717" customFormat="1" ht="11.25">
      <c r="F53" s="1828"/>
      <c r="G53" s="1828"/>
      <c r="H53" s="1828"/>
      <c r="I53" s="1828"/>
      <c r="J53" s="1828"/>
      <c r="K53" s="1828"/>
      <c r="L53" s="1828"/>
      <c r="M53" s="1828"/>
      <c r="N53" s="1828"/>
    </row>
    <row r="54" spans="6:14" s="1717" customFormat="1" ht="11.25">
      <c r="F54" s="1828"/>
      <c r="G54" s="1828"/>
      <c r="H54" s="1828"/>
      <c r="I54" s="1828"/>
      <c r="J54" s="1828"/>
      <c r="K54" s="1828"/>
      <c r="L54" s="1828"/>
      <c r="M54" s="1828"/>
      <c r="N54" s="1828"/>
    </row>
    <row r="55" spans="6:14" s="1717" customFormat="1" ht="11.25">
      <c r="F55" s="1828"/>
      <c r="G55" s="1828"/>
      <c r="H55" s="1828"/>
      <c r="I55" s="1828"/>
      <c r="J55" s="1828"/>
      <c r="K55" s="1828"/>
      <c r="L55" s="1828"/>
      <c r="M55" s="1828"/>
      <c r="N55" s="1828"/>
    </row>
    <row r="56" spans="6:14" s="1717" customFormat="1" ht="11.25">
      <c r="F56" s="1828"/>
      <c r="G56" s="1828"/>
      <c r="H56" s="1828"/>
      <c r="I56" s="1828"/>
      <c r="J56" s="1828"/>
      <c r="K56" s="1828"/>
      <c r="L56" s="1828"/>
      <c r="M56" s="1828"/>
      <c r="N56" s="1828"/>
    </row>
    <row r="57" spans="6:14" s="1717" customFormat="1" ht="11.25">
      <c r="F57" s="1828"/>
      <c r="G57" s="1828"/>
      <c r="H57" s="1828"/>
      <c r="I57" s="1828"/>
      <c r="J57" s="1828"/>
      <c r="K57" s="1828"/>
      <c r="L57" s="1828"/>
      <c r="M57" s="1828"/>
      <c r="N57" s="1828"/>
    </row>
    <row r="58" spans="6:14" s="1717" customFormat="1" ht="11.25">
      <c r="F58" s="1828"/>
      <c r="G58" s="1828"/>
      <c r="H58" s="1828"/>
      <c r="I58" s="1828"/>
      <c r="J58" s="1828"/>
      <c r="K58" s="1828"/>
      <c r="L58" s="1828"/>
      <c r="M58" s="1828"/>
      <c r="N58" s="1828"/>
    </row>
    <row r="59" spans="6:14" s="1717" customFormat="1" ht="11.25">
      <c r="F59" s="1828"/>
      <c r="G59" s="1828"/>
      <c r="H59" s="1828"/>
      <c r="I59" s="1828"/>
      <c r="J59" s="1828"/>
      <c r="K59" s="1828"/>
      <c r="L59" s="1828"/>
      <c r="M59" s="1828"/>
      <c r="N59" s="1828"/>
    </row>
    <row r="60" spans="6:14" s="1717" customFormat="1" ht="11.25">
      <c r="F60" s="1828"/>
      <c r="G60" s="1828"/>
      <c r="H60" s="1828"/>
      <c r="I60" s="1828"/>
      <c r="J60" s="1828"/>
      <c r="K60" s="1828"/>
      <c r="L60" s="1828"/>
      <c r="M60" s="1828"/>
      <c r="N60" s="1828"/>
    </row>
    <row r="61" spans="6:14" s="1717" customFormat="1" ht="11.25">
      <c r="F61" s="1828"/>
      <c r="G61" s="1828"/>
      <c r="H61" s="1828"/>
      <c r="I61" s="1828"/>
      <c r="J61" s="1828"/>
      <c r="K61" s="1828"/>
      <c r="L61" s="1828"/>
      <c r="M61" s="1828"/>
      <c r="N61" s="1828"/>
    </row>
    <row r="62" spans="6:14" s="1717" customFormat="1" ht="11.25">
      <c r="F62" s="1828"/>
      <c r="G62" s="1828"/>
      <c r="H62" s="1828"/>
      <c r="I62" s="1828"/>
      <c r="J62" s="1828"/>
      <c r="K62" s="1828"/>
      <c r="L62" s="1828"/>
      <c r="M62" s="1828"/>
      <c r="N62" s="1828"/>
    </row>
    <row r="63" spans="6:14" s="1717" customFormat="1" ht="11.25">
      <c r="F63" s="1828"/>
      <c r="G63" s="1828"/>
      <c r="H63" s="1828"/>
      <c r="I63" s="1828"/>
      <c r="J63" s="1828"/>
      <c r="K63" s="1828"/>
      <c r="L63" s="1828"/>
      <c r="M63" s="1828"/>
      <c r="N63" s="1828"/>
    </row>
    <row r="64" spans="6:14" s="1717" customFormat="1" ht="11.25">
      <c r="F64" s="1828"/>
      <c r="G64" s="1828"/>
      <c r="H64" s="1828"/>
      <c r="I64" s="1828"/>
      <c r="J64" s="1828"/>
      <c r="K64" s="1828"/>
      <c r="L64" s="1828"/>
      <c r="M64" s="1828"/>
      <c r="N64" s="1828"/>
    </row>
    <row r="65" spans="6:14" s="1717" customFormat="1" ht="11.25">
      <c r="F65" s="1828"/>
      <c r="G65" s="1828"/>
      <c r="H65" s="1828"/>
      <c r="I65" s="1828"/>
      <c r="J65" s="1828"/>
      <c r="K65" s="1828"/>
      <c r="L65" s="1828"/>
      <c r="M65" s="1828"/>
      <c r="N65" s="1828"/>
    </row>
    <row r="66" spans="6:14" s="1717" customFormat="1" ht="11.25">
      <c r="F66" s="1828"/>
      <c r="G66" s="1828"/>
      <c r="H66" s="1828"/>
      <c r="I66" s="1828"/>
      <c r="J66" s="1828"/>
      <c r="K66" s="1828"/>
      <c r="L66" s="1828"/>
      <c r="M66" s="1828"/>
      <c r="N66" s="1828"/>
    </row>
    <row r="67" spans="6:14" s="1717" customFormat="1" ht="11.25">
      <c r="F67" s="1828"/>
      <c r="G67" s="1828"/>
      <c r="H67" s="1828"/>
      <c r="I67" s="1828"/>
      <c r="J67" s="1828"/>
      <c r="K67" s="1828"/>
      <c r="L67" s="1828"/>
      <c r="M67" s="1828"/>
      <c r="N67" s="1828"/>
    </row>
    <row r="68" spans="6:14" s="1717" customFormat="1" ht="11.25">
      <c r="F68" s="1828"/>
      <c r="G68" s="1828"/>
      <c r="H68" s="1828"/>
      <c r="I68" s="1828"/>
      <c r="J68" s="1828"/>
      <c r="K68" s="1828"/>
      <c r="L68" s="1828"/>
      <c r="M68" s="1828"/>
      <c r="N68" s="1828"/>
    </row>
    <row r="69" spans="6:14" s="1717" customFormat="1" ht="11.25">
      <c r="F69" s="1828"/>
      <c r="G69" s="1828"/>
      <c r="H69" s="1828"/>
      <c r="I69" s="1828"/>
      <c r="J69" s="1828"/>
      <c r="K69" s="1828"/>
      <c r="L69" s="1828"/>
      <c r="M69" s="1828"/>
      <c r="N69" s="1828"/>
    </row>
    <row r="70" spans="6:14" s="1717" customFormat="1" ht="11.25">
      <c r="F70" s="1828"/>
      <c r="G70" s="1828"/>
      <c r="H70" s="1828"/>
      <c r="I70" s="1828"/>
      <c r="J70" s="1828"/>
      <c r="K70" s="1828"/>
      <c r="L70" s="1828"/>
      <c r="M70" s="1828"/>
      <c r="N70" s="1828"/>
    </row>
    <row r="71" spans="6:14" s="1717" customFormat="1" ht="11.25">
      <c r="F71" s="1828"/>
      <c r="G71" s="1828"/>
      <c r="H71" s="1828"/>
      <c r="I71" s="1828"/>
      <c r="J71" s="1828"/>
      <c r="K71" s="1828"/>
      <c r="L71" s="1828"/>
      <c r="M71" s="1828"/>
      <c r="N71" s="1828"/>
    </row>
    <row r="72" spans="6:14" s="1717" customFormat="1" ht="11.25">
      <c r="F72" s="1828"/>
      <c r="G72" s="1828"/>
      <c r="H72" s="1828"/>
      <c r="I72" s="1828"/>
      <c r="J72" s="1828"/>
      <c r="K72" s="1828"/>
      <c r="L72" s="1828"/>
      <c r="M72" s="1828"/>
      <c r="N72" s="1828"/>
    </row>
    <row r="73" spans="6:14" s="1717" customFormat="1" ht="11.25">
      <c r="F73" s="1828"/>
      <c r="G73" s="1828"/>
      <c r="H73" s="1828"/>
      <c r="I73" s="1828"/>
      <c r="J73" s="1828"/>
      <c r="K73" s="1828"/>
      <c r="L73" s="1828"/>
      <c r="M73" s="1828"/>
      <c r="N73" s="1828"/>
    </row>
    <row r="74" spans="6:14" s="1717" customFormat="1" ht="11.25">
      <c r="F74" s="1828"/>
      <c r="G74" s="1828"/>
      <c r="H74" s="1828"/>
      <c r="I74" s="1828"/>
      <c r="J74" s="1828"/>
      <c r="K74" s="1828"/>
      <c r="L74" s="1828"/>
      <c r="M74" s="1828"/>
      <c r="N74" s="1828"/>
    </row>
    <row r="75" spans="6:14" s="1717" customFormat="1" ht="11.25">
      <c r="F75" s="1828"/>
      <c r="G75" s="1828"/>
      <c r="H75" s="1828"/>
      <c r="I75" s="1828"/>
      <c r="J75" s="1828"/>
      <c r="K75" s="1828"/>
      <c r="L75" s="1828"/>
      <c r="M75" s="1828"/>
      <c r="N75" s="1828"/>
    </row>
    <row r="76" spans="6:14" s="1717" customFormat="1" ht="11.25">
      <c r="F76" s="1828"/>
      <c r="G76" s="1828"/>
      <c r="H76" s="1828"/>
      <c r="I76" s="1828"/>
      <c r="J76" s="1828"/>
      <c r="K76" s="1828"/>
      <c r="L76" s="1828"/>
      <c r="M76" s="1828"/>
      <c r="N76" s="1828"/>
    </row>
    <row r="77" spans="6:14" s="1717" customFormat="1" ht="11.25">
      <c r="F77" s="1828"/>
      <c r="G77" s="1828"/>
      <c r="H77" s="1828"/>
      <c r="I77" s="1828"/>
      <c r="J77" s="1828"/>
      <c r="K77" s="1828"/>
      <c r="L77" s="1828"/>
      <c r="M77" s="1828"/>
      <c r="N77" s="1828"/>
    </row>
    <row r="78" spans="6:14" s="1717" customFormat="1" ht="11.25">
      <c r="F78" s="1828"/>
      <c r="G78" s="1828"/>
      <c r="H78" s="1828"/>
      <c r="I78" s="1828"/>
      <c r="J78" s="1828"/>
      <c r="K78" s="1828"/>
      <c r="L78" s="1828"/>
      <c r="M78" s="1828"/>
      <c r="N78" s="1828"/>
    </row>
    <row r="79" spans="6:14" s="1717" customFormat="1" ht="11.25">
      <c r="F79" s="1828"/>
      <c r="G79" s="1828"/>
      <c r="H79" s="1828"/>
      <c r="I79" s="1828"/>
      <c r="J79" s="1828"/>
      <c r="K79" s="1828"/>
      <c r="L79" s="1828"/>
      <c r="M79" s="1828"/>
      <c r="N79" s="1828"/>
    </row>
    <row r="80" spans="6:14" s="1717" customFormat="1" ht="11.25">
      <c r="F80" s="1828"/>
      <c r="G80" s="1828"/>
      <c r="H80" s="1828"/>
      <c r="I80" s="1828"/>
      <c r="J80" s="1828"/>
      <c r="K80" s="1828"/>
      <c r="L80" s="1828"/>
      <c r="M80" s="1828"/>
      <c r="N80" s="1828"/>
    </row>
    <row r="81" spans="6:14" s="1717" customFormat="1" ht="11.25">
      <c r="F81" s="1828"/>
      <c r="G81" s="1828"/>
      <c r="H81" s="1828"/>
      <c r="I81" s="1828"/>
      <c r="J81" s="1828"/>
      <c r="K81" s="1828"/>
      <c r="L81" s="1828"/>
      <c r="M81" s="1828"/>
      <c r="N81" s="1828"/>
    </row>
    <row r="82" spans="6:14" s="1717" customFormat="1" ht="11.25">
      <c r="F82" s="1828"/>
      <c r="G82" s="1828"/>
      <c r="H82" s="1828"/>
      <c r="I82" s="1828"/>
      <c r="J82" s="1828"/>
      <c r="K82" s="1828"/>
      <c r="L82" s="1828"/>
      <c r="M82" s="1828"/>
      <c r="N82" s="1828"/>
    </row>
    <row r="83" spans="6:14" s="1717" customFormat="1" ht="11.25">
      <c r="F83" s="1828"/>
      <c r="G83" s="1828"/>
      <c r="H83" s="1828"/>
      <c r="I83" s="1828"/>
      <c r="J83" s="1828"/>
      <c r="K83" s="1828"/>
      <c r="L83" s="1828"/>
      <c r="M83" s="1828"/>
      <c r="N83" s="1828"/>
    </row>
    <row r="84" spans="6:14" s="1717" customFormat="1" ht="11.25">
      <c r="F84" s="1828"/>
      <c r="G84" s="1828"/>
      <c r="H84" s="1828"/>
      <c r="I84" s="1828"/>
      <c r="J84" s="1828"/>
      <c r="K84" s="1828"/>
      <c r="L84" s="1828"/>
      <c r="M84" s="1828"/>
      <c r="N84" s="1828"/>
    </row>
    <row r="85" spans="6:14" s="1717" customFormat="1" ht="11.25">
      <c r="F85" s="1828"/>
      <c r="G85" s="1828"/>
      <c r="H85" s="1828"/>
      <c r="I85" s="1828"/>
      <c r="J85" s="1828"/>
      <c r="K85" s="1828"/>
      <c r="L85" s="1828"/>
      <c r="M85" s="1828"/>
      <c r="N85" s="1828"/>
    </row>
    <row r="86" spans="6:14" s="1717" customFormat="1" ht="11.25">
      <c r="F86" s="1828"/>
      <c r="G86" s="1828"/>
      <c r="H86" s="1828"/>
      <c r="I86" s="1828"/>
      <c r="J86" s="1828"/>
      <c r="K86" s="1828"/>
      <c r="L86" s="1828"/>
      <c r="M86" s="1828"/>
      <c r="N86" s="1828"/>
    </row>
    <row r="87" spans="6:14" s="1717" customFormat="1" ht="11.25">
      <c r="F87" s="1828"/>
      <c r="G87" s="1828"/>
      <c r="H87" s="1828"/>
      <c r="I87" s="1828"/>
      <c r="J87" s="1828"/>
      <c r="K87" s="1828"/>
      <c r="L87" s="1828"/>
      <c r="M87" s="1828"/>
      <c r="N87" s="1828"/>
    </row>
    <row r="88" spans="6:14" s="1717" customFormat="1" ht="11.25">
      <c r="F88" s="1828"/>
      <c r="G88" s="1828"/>
      <c r="H88" s="1828"/>
      <c r="I88" s="1828"/>
      <c r="J88" s="1828"/>
      <c r="K88" s="1828"/>
      <c r="L88" s="1828"/>
      <c r="M88" s="1828"/>
      <c r="N88" s="1828"/>
    </row>
    <row r="89" spans="6:14" s="1717" customFormat="1" ht="11.25">
      <c r="F89" s="1828"/>
      <c r="G89" s="1828"/>
      <c r="H89" s="1828"/>
      <c r="I89" s="1828"/>
      <c r="J89" s="1828"/>
      <c r="K89" s="1828"/>
      <c r="L89" s="1828"/>
      <c r="M89" s="1828"/>
      <c r="N89" s="1828"/>
    </row>
    <row r="90" spans="6:14" s="1717" customFormat="1" ht="11.25">
      <c r="F90" s="1828"/>
      <c r="G90" s="1828"/>
      <c r="H90" s="1828"/>
      <c r="I90" s="1828"/>
      <c r="J90" s="1828"/>
      <c r="K90" s="1828"/>
      <c r="L90" s="1828"/>
      <c r="M90" s="1828"/>
      <c r="N90" s="1828"/>
    </row>
    <row r="91" spans="6:14" s="1717" customFormat="1" ht="11.25">
      <c r="F91" s="1828"/>
      <c r="G91" s="1828"/>
      <c r="H91" s="1828"/>
      <c r="I91" s="1828"/>
      <c r="J91" s="1828"/>
      <c r="K91" s="1828"/>
      <c r="L91" s="1828"/>
      <c r="M91" s="1828"/>
      <c r="N91" s="1828"/>
    </row>
    <row r="92" spans="6:14" s="1717" customFormat="1" ht="11.25">
      <c r="F92" s="1828"/>
      <c r="G92" s="1828"/>
      <c r="H92" s="1828"/>
      <c r="I92" s="1828"/>
      <c r="J92" s="1828"/>
      <c r="K92" s="1828"/>
      <c r="L92" s="1828"/>
      <c r="M92" s="1828"/>
      <c r="N92" s="1828"/>
    </row>
    <row r="93" spans="6:14" s="1717" customFormat="1" ht="11.25">
      <c r="F93" s="1828"/>
      <c r="G93" s="1828"/>
      <c r="H93" s="1828"/>
      <c r="I93" s="1828"/>
      <c r="J93" s="1828"/>
      <c r="K93" s="1828"/>
      <c r="L93" s="1828"/>
      <c r="M93" s="1828"/>
      <c r="N93" s="1828"/>
    </row>
    <row r="94" spans="6:14" s="1717" customFormat="1" ht="11.25">
      <c r="F94" s="1828"/>
      <c r="G94" s="1828"/>
      <c r="H94" s="1828"/>
      <c r="I94" s="1828"/>
      <c r="J94" s="1828"/>
      <c r="K94" s="1828"/>
      <c r="L94" s="1828"/>
      <c r="M94" s="1828"/>
      <c r="N94" s="1828"/>
    </row>
    <row r="95" spans="6:14" s="1717" customFormat="1" ht="11.25">
      <c r="F95" s="1828"/>
      <c r="G95" s="1828"/>
      <c r="H95" s="1828"/>
      <c r="I95" s="1828"/>
      <c r="J95" s="1828"/>
      <c r="K95" s="1828"/>
      <c r="L95" s="1828"/>
      <c r="M95" s="1828"/>
      <c r="N95" s="1828"/>
    </row>
    <row r="96" spans="6:14" s="1717" customFormat="1" ht="11.25">
      <c r="F96" s="1828"/>
      <c r="G96" s="1828"/>
      <c r="H96" s="1828"/>
      <c r="I96" s="1828"/>
      <c r="J96" s="1828"/>
      <c r="K96" s="1828"/>
      <c r="L96" s="1828"/>
      <c r="M96" s="1828"/>
      <c r="N96" s="1828"/>
    </row>
    <row r="97" spans="6:14" s="1717" customFormat="1" ht="11.25">
      <c r="F97" s="1828"/>
      <c r="G97" s="1828"/>
      <c r="H97" s="1828"/>
      <c r="I97" s="1828"/>
      <c r="J97" s="1828"/>
      <c r="K97" s="1828"/>
      <c r="L97" s="1828"/>
      <c r="M97" s="1828"/>
      <c r="N97" s="1828"/>
    </row>
    <row r="98" spans="6:14" s="1717" customFormat="1" ht="11.25">
      <c r="F98" s="1828"/>
      <c r="G98" s="1828"/>
      <c r="H98" s="1828"/>
      <c r="I98" s="1828"/>
      <c r="J98" s="1828"/>
      <c r="K98" s="1828"/>
      <c r="L98" s="1828"/>
      <c r="M98" s="1828"/>
      <c r="N98" s="1828"/>
    </row>
    <row r="99" spans="6:14" s="1717" customFormat="1" ht="11.25">
      <c r="F99" s="1828"/>
      <c r="G99" s="1828"/>
      <c r="H99" s="1828"/>
      <c r="I99" s="1828"/>
      <c r="J99" s="1828"/>
      <c r="K99" s="1828"/>
      <c r="L99" s="1828"/>
      <c r="M99" s="1828"/>
      <c r="N99" s="1828"/>
    </row>
    <row r="100" spans="6:14" s="1717" customFormat="1" ht="11.25">
      <c r="F100" s="1828"/>
      <c r="G100" s="1828"/>
      <c r="H100" s="1828"/>
      <c r="I100" s="1828"/>
      <c r="J100" s="1828"/>
      <c r="K100" s="1828"/>
      <c r="L100" s="1828"/>
      <c r="M100" s="1828"/>
      <c r="N100" s="1828"/>
    </row>
    <row r="101" spans="6:14" s="1717" customFormat="1" ht="11.25">
      <c r="F101" s="1828"/>
      <c r="G101" s="1828"/>
      <c r="H101" s="1828"/>
      <c r="I101" s="1828"/>
      <c r="J101" s="1828"/>
      <c r="K101" s="1828"/>
      <c r="L101" s="1828"/>
      <c r="M101" s="1828"/>
      <c r="N101" s="1828"/>
    </row>
    <row r="102" spans="6:14" s="1717" customFormat="1" ht="11.25">
      <c r="F102" s="1828"/>
      <c r="G102" s="1828"/>
      <c r="H102" s="1828"/>
      <c r="I102" s="1828"/>
      <c r="J102" s="1828"/>
      <c r="K102" s="1828"/>
      <c r="L102" s="1828"/>
      <c r="M102" s="1828"/>
      <c r="N102" s="1828"/>
    </row>
    <row r="103" spans="6:14" s="1717" customFormat="1" ht="11.25">
      <c r="F103" s="1828"/>
      <c r="G103" s="1828"/>
      <c r="H103" s="1828"/>
      <c r="I103" s="1828"/>
      <c r="J103" s="1828"/>
      <c r="K103" s="1828"/>
      <c r="L103" s="1828"/>
      <c r="M103" s="1828"/>
      <c r="N103" s="1828"/>
    </row>
    <row r="104" spans="6:14" s="1717" customFormat="1" ht="11.25">
      <c r="F104" s="1828"/>
      <c r="G104" s="1828"/>
      <c r="H104" s="1828"/>
      <c r="I104" s="1828"/>
      <c r="J104" s="1828"/>
      <c r="K104" s="1828"/>
      <c r="L104" s="1828"/>
      <c r="M104" s="1828"/>
      <c r="N104" s="1828"/>
    </row>
    <row r="105" spans="6:14" s="1717" customFormat="1" ht="11.25">
      <c r="F105" s="1828"/>
      <c r="G105" s="1828"/>
      <c r="H105" s="1828"/>
      <c r="I105" s="1828"/>
      <c r="J105" s="1828"/>
      <c r="K105" s="1828"/>
      <c r="L105" s="1828"/>
      <c r="M105" s="1828"/>
      <c r="N105" s="1828"/>
    </row>
    <row r="106" spans="6:14" s="1717" customFormat="1" ht="11.25">
      <c r="F106" s="1828"/>
      <c r="G106" s="1828"/>
      <c r="H106" s="1828"/>
      <c r="I106" s="1828"/>
      <c r="J106" s="1828"/>
      <c r="K106" s="1828"/>
      <c r="L106" s="1828"/>
      <c r="M106" s="1828"/>
      <c r="N106" s="1828"/>
    </row>
    <row r="107" spans="6:14" s="1717" customFormat="1" ht="11.25">
      <c r="F107" s="1828"/>
      <c r="G107" s="1828"/>
      <c r="H107" s="1828"/>
      <c r="I107" s="1828"/>
      <c r="J107" s="1828"/>
      <c r="K107" s="1828"/>
      <c r="L107" s="1828"/>
      <c r="M107" s="1828"/>
      <c r="N107" s="1828"/>
    </row>
    <row r="108" spans="6:14" s="1717" customFormat="1" ht="11.25">
      <c r="F108" s="1828"/>
      <c r="G108" s="1828"/>
      <c r="H108" s="1828"/>
      <c r="I108" s="1828"/>
      <c r="J108" s="1828"/>
      <c r="K108" s="1828"/>
      <c r="L108" s="1828"/>
      <c r="M108" s="1828"/>
      <c r="N108" s="1828"/>
    </row>
    <row r="109" spans="6:14" s="1717" customFormat="1" ht="11.25">
      <c r="F109" s="1828"/>
      <c r="G109" s="1828"/>
      <c r="H109" s="1828"/>
      <c r="I109" s="1828"/>
      <c r="J109" s="1828"/>
      <c r="K109" s="1828"/>
      <c r="L109" s="1828"/>
      <c r="M109" s="1828"/>
      <c r="N109" s="1828"/>
    </row>
    <row r="110" spans="6:14" s="1717" customFormat="1" ht="11.25">
      <c r="F110" s="1828"/>
      <c r="G110" s="1828"/>
      <c r="H110" s="1828"/>
      <c r="I110" s="1828"/>
      <c r="J110" s="1828"/>
      <c r="K110" s="1828"/>
      <c r="L110" s="1828"/>
      <c r="M110" s="1828"/>
      <c r="N110" s="1828"/>
    </row>
    <row r="111" spans="6:14" s="1717" customFormat="1" ht="11.25">
      <c r="F111" s="1828"/>
      <c r="G111" s="1828"/>
      <c r="H111" s="1828"/>
      <c r="I111" s="1828"/>
      <c r="J111" s="1828"/>
      <c r="K111" s="1828"/>
      <c r="L111" s="1828"/>
      <c r="M111" s="1828"/>
      <c r="N111" s="1828"/>
    </row>
    <row r="112" spans="6:14" s="1717" customFormat="1" ht="11.25">
      <c r="F112" s="1828"/>
      <c r="G112" s="1828"/>
      <c r="H112" s="1828"/>
      <c r="I112" s="1828"/>
      <c r="J112" s="1828"/>
      <c r="K112" s="1828"/>
      <c r="L112" s="1828"/>
      <c r="M112" s="1828"/>
      <c r="N112" s="1828"/>
    </row>
    <row r="113" spans="6:14" s="1717" customFormat="1" ht="11.25">
      <c r="F113" s="1828"/>
      <c r="G113" s="1828"/>
      <c r="H113" s="1828"/>
      <c r="I113" s="1828"/>
      <c r="J113" s="1828"/>
      <c r="K113" s="1828"/>
      <c r="L113" s="1828"/>
      <c r="M113" s="1828"/>
      <c r="N113" s="1828"/>
    </row>
    <row r="114" spans="6:14" s="1717" customFormat="1" ht="11.25">
      <c r="F114" s="1828"/>
      <c r="G114" s="1828"/>
      <c r="H114" s="1828"/>
      <c r="I114" s="1828"/>
      <c r="J114" s="1828"/>
      <c r="K114" s="1828"/>
      <c r="L114" s="1828"/>
      <c r="M114" s="1828"/>
      <c r="N114" s="1828"/>
    </row>
    <row r="115" spans="6:14" s="1717" customFormat="1" ht="11.25">
      <c r="F115" s="1828"/>
      <c r="G115" s="1828"/>
      <c r="H115" s="1828"/>
      <c r="I115" s="1828"/>
      <c r="J115" s="1828"/>
      <c r="K115" s="1828"/>
      <c r="L115" s="1828"/>
      <c r="M115" s="1828"/>
      <c r="N115" s="1828"/>
    </row>
    <row r="116" spans="6:14" s="1717" customFormat="1" ht="11.25">
      <c r="F116" s="1828"/>
      <c r="G116" s="1828"/>
      <c r="H116" s="1828"/>
      <c r="I116" s="1828"/>
      <c r="J116" s="1828"/>
      <c r="K116" s="1828"/>
      <c r="L116" s="1828"/>
      <c r="M116" s="1828"/>
      <c r="N116" s="1828"/>
    </row>
    <row r="117" spans="6:14" s="1717" customFormat="1" ht="11.25">
      <c r="F117" s="1828"/>
      <c r="G117" s="1828"/>
      <c r="H117" s="1828"/>
      <c r="I117" s="1828"/>
      <c r="J117" s="1828"/>
      <c r="K117" s="1828"/>
      <c r="L117" s="1828"/>
      <c r="M117" s="1828"/>
      <c r="N117" s="1828"/>
    </row>
    <row r="118" spans="6:14" s="1717" customFormat="1" ht="11.25">
      <c r="F118" s="1828"/>
      <c r="G118" s="1828"/>
      <c r="H118" s="1828"/>
      <c r="I118" s="1828"/>
      <c r="J118" s="1828"/>
      <c r="K118" s="1828"/>
      <c r="L118" s="1828"/>
      <c r="M118" s="1828"/>
      <c r="N118" s="1828"/>
    </row>
    <row r="119" spans="6:14" s="1717" customFormat="1" ht="11.25">
      <c r="F119" s="1828"/>
      <c r="G119" s="1828"/>
      <c r="H119" s="1828"/>
      <c r="I119" s="1828"/>
      <c r="J119" s="1828"/>
      <c r="K119" s="1828"/>
      <c r="L119" s="1828"/>
      <c r="M119" s="1828"/>
      <c r="N119" s="1828"/>
    </row>
    <row r="120" spans="6:14" s="1717" customFormat="1" ht="11.25">
      <c r="F120" s="1828"/>
      <c r="G120" s="1828"/>
      <c r="H120" s="1828"/>
      <c r="I120" s="1828"/>
      <c r="J120" s="1828"/>
      <c r="K120" s="1828"/>
      <c r="L120" s="1828"/>
      <c r="M120" s="1828"/>
      <c r="N120" s="1828"/>
    </row>
    <row r="121" spans="6:14" s="1717" customFormat="1" ht="11.25">
      <c r="F121" s="1828"/>
      <c r="G121" s="1828"/>
      <c r="H121" s="1828"/>
      <c r="I121" s="1828"/>
      <c r="J121" s="1828"/>
      <c r="K121" s="1828"/>
      <c r="L121" s="1828"/>
      <c r="M121" s="1828"/>
      <c r="N121" s="1828"/>
    </row>
    <row r="122" spans="6:14" s="1717" customFormat="1" ht="11.25">
      <c r="F122" s="1828"/>
      <c r="G122" s="1828"/>
      <c r="H122" s="1828"/>
      <c r="I122" s="1828"/>
      <c r="J122" s="1828"/>
      <c r="K122" s="1828"/>
      <c r="L122" s="1828"/>
      <c r="M122" s="1828"/>
      <c r="N122" s="1828"/>
    </row>
    <row r="123" spans="6:14" s="1717" customFormat="1" ht="11.25">
      <c r="F123" s="1828"/>
      <c r="G123" s="1828"/>
      <c r="H123" s="1828"/>
      <c r="I123" s="1828"/>
      <c r="J123" s="1828"/>
      <c r="K123" s="1828"/>
      <c r="L123" s="1828"/>
      <c r="M123" s="1828"/>
      <c r="N123" s="1828"/>
    </row>
  </sheetData>
  <mergeCells count="71">
    <mergeCell ref="E26:E27"/>
    <mergeCell ref="I28:I29"/>
    <mergeCell ref="I26:I27"/>
    <mergeCell ref="H28:H29"/>
    <mergeCell ref="H26:H27"/>
    <mergeCell ref="G28:G29"/>
    <mergeCell ref="G26:G27"/>
    <mergeCell ref="H10:H11"/>
    <mergeCell ref="I10:I11"/>
    <mergeCell ref="H22:H23"/>
    <mergeCell ref="H12:H13"/>
    <mergeCell ref="I12:I13"/>
    <mergeCell ref="H20:H21"/>
    <mergeCell ref="I14:I15"/>
    <mergeCell ref="H14:H15"/>
    <mergeCell ref="I18:I19"/>
    <mergeCell ref="I16:I17"/>
    <mergeCell ref="H18:H19"/>
    <mergeCell ref="H16:H17"/>
    <mergeCell ref="G24:G25"/>
    <mergeCell ref="H24:H25"/>
    <mergeCell ref="G22:G23"/>
    <mergeCell ref="I20:I21"/>
    <mergeCell ref="I24:I25"/>
    <mergeCell ref="I22:I23"/>
    <mergeCell ref="A1:I1"/>
    <mergeCell ref="I4:I5"/>
    <mergeCell ref="A4:C5"/>
    <mergeCell ref="H4:H5"/>
    <mergeCell ref="B8:C9"/>
    <mergeCell ref="G8:G9"/>
    <mergeCell ref="E8:E9"/>
    <mergeCell ref="D8:D9"/>
    <mergeCell ref="G6:G7"/>
    <mergeCell ref="D6:D7"/>
    <mergeCell ref="E6:E7"/>
    <mergeCell ref="G4:G5"/>
    <mergeCell ref="H6:H7"/>
    <mergeCell ref="I6:I7"/>
    <mergeCell ref="H8:H9"/>
    <mergeCell ref="I8:I9"/>
    <mergeCell ref="G12:G13"/>
    <mergeCell ref="E10:E11"/>
    <mergeCell ref="G10:G11"/>
    <mergeCell ref="G20:G21"/>
    <mergeCell ref="C10:C11"/>
    <mergeCell ref="D10:D11"/>
    <mergeCell ref="E14:E15"/>
    <mergeCell ref="G14:G15"/>
    <mergeCell ref="E12:E13"/>
    <mergeCell ref="C14:C19"/>
    <mergeCell ref="G18:G19"/>
    <mergeCell ref="G16:G17"/>
    <mergeCell ref="E18:E19"/>
    <mergeCell ref="E16:E17"/>
    <mergeCell ref="B24:C29"/>
    <mergeCell ref="D24:D29"/>
    <mergeCell ref="D4:D5"/>
    <mergeCell ref="E4:E5"/>
    <mergeCell ref="B22:C23"/>
    <mergeCell ref="D22:D23"/>
    <mergeCell ref="E20:E21"/>
    <mergeCell ref="D12:D13"/>
    <mergeCell ref="A6:C7"/>
    <mergeCell ref="C12:C13"/>
    <mergeCell ref="D14:D19"/>
    <mergeCell ref="B20:C21"/>
    <mergeCell ref="D20:D21"/>
    <mergeCell ref="E24:E25"/>
    <mergeCell ref="E22:E23"/>
    <mergeCell ref="E28:E29"/>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w6_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C000"/>
    <pageSetUpPr fitToPage="1"/>
  </sheetPr>
  <dimension ref="A1:N123"/>
  <sheetViews>
    <sheetView zoomScaleNormal="100" zoomScaleSheetLayoutView="80" workbookViewId="0">
      <pane xSplit="5" ySplit="5" topLeftCell="F12" activePane="bottomRight" state="frozen"/>
      <selection activeCell="F11" sqref="F11"/>
      <selection pane="topRight" activeCell="F11" sqref="F11"/>
      <selection pane="bottomLeft" activeCell="F11" sqref="F11"/>
      <selection pane="bottomRight" activeCell="G18" sqref="G18:G19"/>
    </sheetView>
  </sheetViews>
  <sheetFormatPr defaultColWidth="9" defaultRowHeight="13.5"/>
  <cols>
    <col min="1" max="1" width="1.875" style="1783" customWidth="1"/>
    <col min="2" max="2" width="4.125" style="1783" customWidth="1"/>
    <col min="3" max="3" width="12.625" style="1783" customWidth="1"/>
    <col min="4" max="5" width="22.625" style="1783" customWidth="1"/>
    <col min="6" max="9" width="13.75" style="1788" customWidth="1"/>
    <col min="10" max="11" width="7.75" style="1788" customWidth="1"/>
    <col min="12" max="14" width="12.625" style="1788" customWidth="1"/>
    <col min="15" max="16384" width="9" style="1783"/>
  </cols>
  <sheetData>
    <row r="1" spans="1:14" ht="17.25" customHeight="1">
      <c r="A1" s="2302" t="str">
        <f>+"令和"&amp;MID('総括表(不課税)'!A2,3,1)&amp;"年度決算　不課税収入区分表(一般会計補助金)"</f>
        <v>令和５年度決算　不課税収入区分表(一般会計補助金)</v>
      </c>
      <c r="B1" s="2302"/>
      <c r="C1" s="2302"/>
      <c r="D1" s="2302"/>
      <c r="E1" s="2302"/>
      <c r="F1" s="2302"/>
      <c r="G1" s="2302"/>
      <c r="H1" s="2302"/>
      <c r="I1" s="2302"/>
    </row>
    <row r="2" spans="1:14" ht="17.25" customHeight="1">
      <c r="A2" s="1644"/>
      <c r="B2" s="1644"/>
      <c r="C2" s="1644"/>
      <c r="D2" s="1644"/>
      <c r="E2" s="1644"/>
      <c r="F2" s="1815"/>
      <c r="G2" s="1815"/>
      <c r="H2" s="1815"/>
      <c r="I2" s="1815"/>
    </row>
    <row r="3" spans="1:14" ht="17.25" customHeight="1" thickBot="1">
      <c r="A3" s="1644"/>
      <c r="B3" s="1644"/>
      <c r="C3" s="1644"/>
      <c r="D3" s="1644"/>
      <c r="E3" s="1644"/>
      <c r="F3" s="1815"/>
      <c r="G3" s="1815"/>
      <c r="H3" s="1815"/>
      <c r="I3" s="1816" t="s">
        <v>4850</v>
      </c>
    </row>
    <row r="4" spans="1:14" s="1716" customFormat="1" ht="19.5" customHeight="1">
      <c r="A4" s="2230" t="s">
        <v>4792</v>
      </c>
      <c r="B4" s="2225"/>
      <c r="C4" s="2231"/>
      <c r="D4" s="2227" t="s">
        <v>4851</v>
      </c>
      <c r="E4" s="2225" t="s">
        <v>4852</v>
      </c>
      <c r="F4" s="1924" t="s">
        <v>4853</v>
      </c>
      <c r="G4" s="2421" t="s">
        <v>4824</v>
      </c>
      <c r="H4" s="2421" t="s">
        <v>4826</v>
      </c>
      <c r="I4" s="2452" t="s">
        <v>4827</v>
      </c>
      <c r="J4" s="1935" t="s">
        <v>5161</v>
      </c>
      <c r="K4" s="1936"/>
      <c r="L4" s="1936"/>
      <c r="M4" s="1936"/>
      <c r="N4" s="1828"/>
    </row>
    <row r="5" spans="1:14" s="1716" customFormat="1" ht="19.5" customHeight="1">
      <c r="A5" s="2232"/>
      <c r="B5" s="2226"/>
      <c r="C5" s="2233"/>
      <c r="D5" s="2228"/>
      <c r="E5" s="2226"/>
      <c r="F5" s="1820" t="s">
        <v>4846</v>
      </c>
      <c r="G5" s="2422"/>
      <c r="H5" s="2422"/>
      <c r="I5" s="2453"/>
      <c r="J5" s="1968">
        <v>0.03</v>
      </c>
      <c r="K5" s="2064">
        <v>0.05</v>
      </c>
      <c r="L5" s="1937">
        <v>0.08</v>
      </c>
      <c r="M5" s="2059">
        <v>0.08</v>
      </c>
      <c r="N5" s="1940">
        <v>0.1</v>
      </c>
    </row>
    <row r="6" spans="1:14" s="1716" customFormat="1" ht="19.5" customHeight="1">
      <c r="A6" s="2459" t="s">
        <v>4854</v>
      </c>
      <c r="B6" s="2148"/>
      <c r="C6" s="2147"/>
      <c r="D6" s="2461"/>
      <c r="E6" s="2463"/>
      <c r="F6" s="1838"/>
      <c r="G6" s="2457">
        <f>G8+G20</f>
        <v>9203253</v>
      </c>
      <c r="H6" s="2457">
        <f>H8+H20</f>
        <v>5368538</v>
      </c>
      <c r="I6" s="2458">
        <f>I8+I20</f>
        <v>3834715</v>
      </c>
      <c r="J6" s="1828">
        <f t="shared" ref="J6" si="0">+J13+J21</f>
        <v>0</v>
      </c>
      <c r="K6" s="1828">
        <f>+K13+K21</f>
        <v>0</v>
      </c>
      <c r="L6" s="1828">
        <f t="shared" ref="L6:N6" si="1">+L13+L21</f>
        <v>0</v>
      </c>
      <c r="M6" s="1828">
        <f t="shared" si="1"/>
        <v>0</v>
      </c>
      <c r="N6" s="1828">
        <f t="shared" si="1"/>
        <v>5368538</v>
      </c>
    </row>
    <row r="7" spans="1:14" s="1716" customFormat="1" ht="19.5" customHeight="1">
      <c r="A7" s="2460"/>
      <c r="B7" s="2175"/>
      <c r="C7" s="2176"/>
      <c r="D7" s="2462"/>
      <c r="E7" s="2455"/>
      <c r="F7" s="1927"/>
      <c r="G7" s="2449"/>
      <c r="H7" s="2449"/>
      <c r="I7" s="2451"/>
      <c r="J7" s="1828"/>
      <c r="K7" s="1828"/>
      <c r="L7" s="1828"/>
      <c r="M7" s="1828"/>
      <c r="N7" s="1828"/>
    </row>
    <row r="8" spans="1:14" s="1716" customFormat="1" ht="19.5" customHeight="1">
      <c r="A8" s="1928"/>
      <c r="B8" s="2146" t="s">
        <v>4780</v>
      </c>
      <c r="C8" s="2147"/>
      <c r="D8" s="2469"/>
      <c r="E8" s="2454"/>
      <c r="F8" s="1927"/>
      <c r="G8" s="2448">
        <f>G10+G16+G18</f>
        <v>4980</v>
      </c>
      <c r="H8" s="2448">
        <f>H10+H16+H18</f>
        <v>0</v>
      </c>
      <c r="I8" s="2450">
        <f>I10+I16+I18</f>
        <v>4980</v>
      </c>
      <c r="J8" s="1828"/>
      <c r="K8" s="1828"/>
      <c r="L8" s="1828"/>
      <c r="M8" s="1828"/>
      <c r="N8" s="1828"/>
    </row>
    <row r="9" spans="1:14" s="1716" customFormat="1" ht="19.5" customHeight="1">
      <c r="A9" s="1928"/>
      <c r="B9" s="2197"/>
      <c r="C9" s="2176"/>
      <c r="D9" s="2462"/>
      <c r="E9" s="2455"/>
      <c r="F9" s="1927"/>
      <c r="G9" s="2449"/>
      <c r="H9" s="2449"/>
      <c r="I9" s="2451"/>
      <c r="J9" s="1828"/>
      <c r="K9" s="1828"/>
      <c r="L9" s="1828"/>
      <c r="M9" s="1828"/>
      <c r="N9" s="1828"/>
    </row>
    <row r="10" spans="1:14" s="1716" customFormat="1" ht="19.5" customHeight="1">
      <c r="A10" s="1928"/>
      <c r="B10" s="1921"/>
      <c r="C10" s="2130" t="s">
        <v>4855</v>
      </c>
      <c r="D10" s="2456" t="s">
        <v>4856</v>
      </c>
      <c r="E10" s="2477" t="s">
        <v>4841</v>
      </c>
      <c r="F10" s="1927"/>
      <c r="G10" s="2446">
        <f>+雨汚水!$O$123</f>
        <v>0</v>
      </c>
      <c r="H10" s="2448">
        <f>IFERROR(ROUND((G10)*F10/F11,0),0)</f>
        <v>0</v>
      </c>
      <c r="I10" s="2450">
        <f>G10-H10</f>
        <v>0</v>
      </c>
      <c r="J10" s="1828"/>
      <c r="K10" s="1828"/>
      <c r="L10" s="1828"/>
      <c r="M10" s="1828"/>
      <c r="N10" s="1828"/>
    </row>
    <row r="11" spans="1:14" s="1716" customFormat="1" ht="19.5" customHeight="1">
      <c r="A11" s="1928"/>
      <c r="B11" s="1921"/>
      <c r="C11" s="2131"/>
      <c r="D11" s="2470"/>
      <c r="E11" s="2190"/>
      <c r="F11" s="1927"/>
      <c r="G11" s="2447"/>
      <c r="H11" s="2449"/>
      <c r="I11" s="2451"/>
      <c r="J11" s="1828"/>
      <c r="K11" s="1828"/>
      <c r="L11" s="1828"/>
      <c r="M11" s="1828"/>
      <c r="N11" s="1828"/>
    </row>
    <row r="12" spans="1:14" s="1716" customFormat="1" ht="19.5" customHeight="1">
      <c r="A12" s="1928"/>
      <c r="B12" s="1921"/>
      <c r="C12" s="2130" t="s">
        <v>4830</v>
      </c>
      <c r="D12" s="2274" t="s">
        <v>4847</v>
      </c>
      <c r="E12" s="2274" t="s">
        <v>4988</v>
      </c>
      <c r="F12" s="1841">
        <f>+営外!$K$9</f>
        <v>61813753</v>
      </c>
      <c r="G12" s="2424">
        <v>0</v>
      </c>
      <c r="H12" s="2424">
        <f>IFERROR(ROUND((G12)*F12/F13,0),0)</f>
        <v>0</v>
      </c>
      <c r="I12" s="2435">
        <f>G12-H12</f>
        <v>0</v>
      </c>
      <c r="J12" s="1828"/>
      <c r="K12" s="1828"/>
      <c r="L12" s="1938">
        <f>+営外!F$9+営外!G$9+営外!H$9</f>
        <v>0</v>
      </c>
      <c r="M12" s="1938">
        <f>+営外!I$9</f>
        <v>0</v>
      </c>
      <c r="N12" s="1938">
        <f>+営外!J$9</f>
        <v>61813753</v>
      </c>
    </row>
    <row r="13" spans="1:14" s="1716" customFormat="1" ht="19.5" customHeight="1">
      <c r="A13" s="1928"/>
      <c r="B13" s="1921"/>
      <c r="C13" s="2131"/>
      <c r="D13" s="2456"/>
      <c r="E13" s="2472"/>
      <c r="F13" s="1841">
        <f>+営外!$E$9</f>
        <v>61813753</v>
      </c>
      <c r="G13" s="2425"/>
      <c r="H13" s="2425"/>
      <c r="I13" s="2434"/>
      <c r="J13" s="1828"/>
      <c r="K13" s="1828"/>
      <c r="L13" s="1828">
        <f>+H12-SUM(J13:K13,M13:N13)</f>
        <v>0</v>
      </c>
      <c r="M13" s="1828">
        <f>IFERROR(ROUND(M12/$F12*$H12,0),0)</f>
        <v>0</v>
      </c>
      <c r="N13" s="1828">
        <f>IFERROR(ROUND(N12/$F12*$H12,0),0)</f>
        <v>0</v>
      </c>
    </row>
    <row r="14" spans="1:14" s="1716" customFormat="1" ht="19.5" customHeight="1">
      <c r="A14" s="1928"/>
      <c r="B14" s="1921"/>
      <c r="C14" s="2131"/>
      <c r="D14" s="2456"/>
      <c r="E14" s="2248" t="s">
        <v>4889</v>
      </c>
      <c r="F14" s="1927"/>
      <c r="G14" s="2409">
        <f>G16-G12</f>
        <v>0</v>
      </c>
      <c r="H14" s="2424">
        <f>IFERROR(ROUND((G14)*F14/F15,0),0)</f>
        <v>0</v>
      </c>
      <c r="I14" s="2435">
        <f>G14-H14</f>
        <v>0</v>
      </c>
      <c r="J14" s="1828"/>
      <c r="K14" s="1828"/>
      <c r="L14" s="1828"/>
      <c r="M14" s="1828"/>
      <c r="N14" s="1828"/>
    </row>
    <row r="15" spans="1:14" s="1716" customFormat="1" ht="19.5" customHeight="1">
      <c r="A15" s="1928"/>
      <c r="B15" s="1921"/>
      <c r="C15" s="2131"/>
      <c r="D15" s="2456"/>
      <c r="E15" s="2472"/>
      <c r="F15" s="1927"/>
      <c r="G15" s="2410"/>
      <c r="H15" s="2425"/>
      <c r="I15" s="2434"/>
      <c r="J15" s="1828"/>
      <c r="K15" s="1828"/>
      <c r="L15" s="1828"/>
      <c r="M15" s="1828"/>
      <c r="N15" s="1828"/>
    </row>
    <row r="16" spans="1:14" s="1716" customFormat="1" ht="19.5" customHeight="1">
      <c r="A16" s="1928"/>
      <c r="B16" s="1921"/>
      <c r="C16" s="2131"/>
      <c r="D16" s="2456"/>
      <c r="E16" s="2478" t="s">
        <v>5165</v>
      </c>
      <c r="F16" s="1927"/>
      <c r="G16" s="2411">
        <f>+雨汚水!$O$124</f>
        <v>0</v>
      </c>
      <c r="H16" s="2409">
        <f>H12+H14</f>
        <v>0</v>
      </c>
      <c r="I16" s="2440">
        <f>I12+I14</f>
        <v>0</v>
      </c>
      <c r="J16" s="1828"/>
      <c r="K16" s="1828"/>
      <c r="L16" s="1828"/>
      <c r="M16" s="1828"/>
      <c r="N16" s="1828"/>
    </row>
    <row r="17" spans="1:14" s="1716" customFormat="1" ht="19.5" customHeight="1">
      <c r="A17" s="1928"/>
      <c r="B17" s="1921"/>
      <c r="C17" s="2139"/>
      <c r="D17" s="2275"/>
      <c r="E17" s="2479"/>
      <c r="F17" s="1927"/>
      <c r="G17" s="2481"/>
      <c r="H17" s="2410"/>
      <c r="I17" s="2480"/>
      <c r="J17" s="1828"/>
      <c r="K17" s="1828"/>
      <c r="L17" s="1828"/>
      <c r="M17" s="1828"/>
      <c r="N17" s="1828"/>
    </row>
    <row r="18" spans="1:14" s="1716" customFormat="1" ht="19.5" customHeight="1">
      <c r="A18" s="1928"/>
      <c r="B18" s="1921"/>
      <c r="C18" s="2131" t="s">
        <v>4848</v>
      </c>
      <c r="D18" s="2470" t="s">
        <v>4849</v>
      </c>
      <c r="E18" s="2471" t="s">
        <v>4989</v>
      </c>
      <c r="F18" s="1927"/>
      <c r="G18" s="2403">
        <f>+雨汚水!$O$125</f>
        <v>4980</v>
      </c>
      <c r="H18" s="2424">
        <f>IFERROR(ROUND((G18)*F18/F19,0),0)</f>
        <v>0</v>
      </c>
      <c r="I18" s="2435">
        <f>G18-H18</f>
        <v>4980</v>
      </c>
      <c r="J18" s="1828"/>
      <c r="K18" s="1828"/>
      <c r="L18" s="1828"/>
      <c r="M18" s="1828"/>
      <c r="N18" s="1828"/>
    </row>
    <row r="19" spans="1:14" s="1716" customFormat="1" ht="19.5" customHeight="1">
      <c r="A19" s="1928"/>
      <c r="B19" s="1921"/>
      <c r="C19" s="2131"/>
      <c r="D19" s="2470"/>
      <c r="E19" s="2204"/>
      <c r="F19" s="1926"/>
      <c r="G19" s="2444"/>
      <c r="H19" s="2445"/>
      <c r="I19" s="2437"/>
      <c r="J19" s="1828"/>
      <c r="K19" s="1828"/>
      <c r="L19" s="1828"/>
      <c r="M19" s="1828"/>
      <c r="N19" s="1828"/>
    </row>
    <row r="20" spans="1:14" s="1716" customFormat="1" ht="19.5" customHeight="1">
      <c r="A20" s="1753"/>
      <c r="B20" s="2262" t="s">
        <v>5101</v>
      </c>
      <c r="C20" s="2263"/>
      <c r="D20" s="2473" t="s">
        <v>5347</v>
      </c>
      <c r="E20" s="2475" t="s">
        <v>5102</v>
      </c>
      <c r="F20" s="1841">
        <f>+営外!$K$20</f>
        <v>5368538</v>
      </c>
      <c r="G20" s="2403">
        <f>+雨汚水!$O$126</f>
        <v>9198273</v>
      </c>
      <c r="H20" s="2424">
        <f>IFERROR(ROUND((G20)*F20/F21,0),0)</f>
        <v>5368538</v>
      </c>
      <c r="I20" s="2435">
        <f>G20-H20</f>
        <v>3829735</v>
      </c>
      <c r="J20" s="1828"/>
      <c r="K20" s="1828"/>
      <c r="L20" s="1938">
        <f>+営外!$F$20+営外!$F$20+営外!$F$20</f>
        <v>0</v>
      </c>
      <c r="M20" s="1938">
        <f>+営外!$F$20</f>
        <v>0</v>
      </c>
      <c r="N20" s="1938">
        <f>+営外!$F$20</f>
        <v>0</v>
      </c>
    </row>
    <row r="21" spans="1:14" s="1716" customFormat="1" ht="19.5" customHeight="1" thickBot="1">
      <c r="A21" s="1754"/>
      <c r="B21" s="2467"/>
      <c r="C21" s="2468"/>
      <c r="D21" s="2474"/>
      <c r="E21" s="2476"/>
      <c r="F21" s="1842">
        <f>+営外!$E$20</f>
        <v>9198273</v>
      </c>
      <c r="G21" s="2464"/>
      <c r="H21" s="2465"/>
      <c r="I21" s="2466"/>
      <c r="J21" s="1828"/>
      <c r="K21" s="1828"/>
      <c r="L21" s="1828">
        <f>+H20-SUM(J21:K21,M21:N21)</f>
        <v>0</v>
      </c>
      <c r="M21" s="1828">
        <f>IFERROR(ROUND(M20/$F20*$H20,0),0)</f>
        <v>0</v>
      </c>
      <c r="N21" s="1828">
        <v>5368538</v>
      </c>
    </row>
    <row r="22" spans="1:14" s="1716" customFormat="1" ht="18.75" customHeight="1">
      <c r="F22" s="1932" t="s">
        <v>5167</v>
      </c>
      <c r="G22" s="1815">
        <f>+雨汚水!$O$120</f>
        <v>9203253</v>
      </c>
      <c r="H22" s="1828"/>
      <c r="I22" s="1828"/>
      <c r="J22" s="1828"/>
      <c r="K22" s="1828"/>
      <c r="L22" s="1828"/>
      <c r="M22" s="1828"/>
      <c r="N22" s="1828"/>
    </row>
    <row r="23" spans="1:14" s="1716" customFormat="1" ht="11.25">
      <c r="F23" s="1932" t="s">
        <v>5168</v>
      </c>
      <c r="G23" s="1815">
        <f>+G6-G22</f>
        <v>0</v>
      </c>
      <c r="H23" s="1828"/>
      <c r="I23" s="1828"/>
      <c r="J23" s="1828"/>
      <c r="K23" s="1828"/>
      <c r="L23" s="1828"/>
      <c r="M23" s="1828"/>
      <c r="N23" s="1828"/>
    </row>
    <row r="24" spans="1:14" s="1716" customFormat="1" ht="11.25">
      <c r="F24" s="1828"/>
      <c r="G24" s="1828"/>
      <c r="H24" s="1828"/>
      <c r="I24" s="1828"/>
      <c r="J24" s="1828"/>
      <c r="K24" s="1828"/>
      <c r="L24" s="1828"/>
      <c r="M24" s="1828"/>
      <c r="N24" s="1828"/>
    </row>
    <row r="25" spans="1:14" s="1716" customFormat="1" ht="11.25">
      <c r="F25" s="1828"/>
      <c r="G25" s="1828"/>
      <c r="H25" s="1828"/>
      <c r="I25" s="1828"/>
      <c r="J25" s="1828"/>
      <c r="K25" s="1828"/>
      <c r="L25" s="1828"/>
      <c r="M25" s="1828"/>
      <c r="N25" s="1828"/>
    </row>
    <row r="26" spans="1:14" s="1716" customFormat="1" ht="11.25">
      <c r="F26" s="1828"/>
      <c r="G26" s="1828"/>
      <c r="H26" s="1828"/>
      <c r="I26" s="1828"/>
      <c r="J26" s="1828"/>
      <c r="K26" s="1828"/>
      <c r="L26" s="1828"/>
      <c r="M26" s="1828"/>
      <c r="N26" s="1828"/>
    </row>
    <row r="27" spans="1:14" s="1716" customFormat="1" ht="11.25">
      <c r="F27" s="1828"/>
      <c r="G27" s="1828"/>
      <c r="H27" s="1828"/>
      <c r="I27" s="1828"/>
      <c r="J27" s="1828"/>
      <c r="K27" s="1828"/>
      <c r="L27" s="1828"/>
      <c r="M27" s="1828"/>
      <c r="N27" s="1828"/>
    </row>
    <row r="28" spans="1:14" s="1716" customFormat="1" ht="11.25">
      <c r="F28" s="1828"/>
      <c r="G28" s="1828"/>
      <c r="H28" s="1828"/>
      <c r="I28" s="1828"/>
      <c r="J28" s="1828"/>
      <c r="K28" s="1828"/>
      <c r="L28" s="1828"/>
      <c r="M28" s="1828"/>
      <c r="N28" s="1828"/>
    </row>
    <row r="29" spans="1:14" s="1716" customFormat="1" ht="11.25">
      <c r="F29" s="1828"/>
      <c r="G29" s="1828"/>
      <c r="H29" s="1828"/>
      <c r="I29" s="1828"/>
      <c r="J29" s="1828"/>
      <c r="K29" s="1828"/>
      <c r="L29" s="1828"/>
      <c r="M29" s="1828"/>
      <c r="N29" s="1828"/>
    </row>
    <row r="30" spans="1:14" s="1716" customFormat="1" ht="11.25">
      <c r="F30" s="1828"/>
      <c r="G30" s="1828"/>
      <c r="H30" s="1828"/>
      <c r="I30" s="1828"/>
      <c r="J30" s="1828"/>
      <c r="K30" s="1828"/>
      <c r="L30" s="1828"/>
      <c r="M30" s="1828"/>
      <c r="N30" s="1828"/>
    </row>
    <row r="31" spans="1:14" s="1716" customFormat="1" ht="11.25">
      <c r="F31" s="1828"/>
      <c r="G31" s="1828"/>
      <c r="H31" s="1828"/>
      <c r="I31" s="1828"/>
      <c r="J31" s="1828"/>
      <c r="K31" s="1828"/>
      <c r="L31" s="1828"/>
      <c r="M31" s="1828"/>
      <c r="N31" s="1828"/>
    </row>
    <row r="32" spans="1:14" s="1716" customFormat="1" ht="11.25">
      <c r="F32" s="1828"/>
      <c r="G32" s="1828"/>
      <c r="H32" s="1828"/>
      <c r="I32" s="1828"/>
      <c r="J32" s="1828"/>
      <c r="K32" s="1828"/>
      <c r="L32" s="1828"/>
      <c r="M32" s="1828"/>
      <c r="N32" s="1828"/>
    </row>
    <row r="33" spans="6:14" s="1716" customFormat="1" ht="11.25">
      <c r="F33" s="1828"/>
      <c r="G33" s="1828"/>
      <c r="H33" s="1828"/>
      <c r="I33" s="1828"/>
      <c r="J33" s="1828"/>
      <c r="K33" s="1828"/>
      <c r="L33" s="1828"/>
      <c r="M33" s="1828"/>
      <c r="N33" s="1828"/>
    </row>
    <row r="34" spans="6:14" s="1716" customFormat="1" ht="11.25">
      <c r="F34" s="1828"/>
      <c r="G34" s="1828"/>
      <c r="H34" s="1828"/>
      <c r="I34" s="1828"/>
      <c r="J34" s="1828"/>
      <c r="K34" s="1828"/>
      <c r="L34" s="1828"/>
      <c r="M34" s="1828"/>
      <c r="N34" s="1828"/>
    </row>
    <row r="35" spans="6:14" s="1716" customFormat="1" ht="11.25">
      <c r="F35" s="1828"/>
      <c r="G35" s="1828"/>
      <c r="H35" s="1828"/>
      <c r="I35" s="1828"/>
      <c r="J35" s="1828"/>
      <c r="K35" s="1828"/>
      <c r="L35" s="1828"/>
      <c r="M35" s="1828"/>
      <c r="N35" s="1828"/>
    </row>
    <row r="36" spans="6:14" s="1716" customFormat="1" ht="11.25">
      <c r="F36" s="1828"/>
      <c r="G36" s="1828"/>
      <c r="H36" s="1828"/>
      <c r="I36" s="1828"/>
      <c r="J36" s="1828"/>
      <c r="K36" s="1828"/>
      <c r="L36" s="1828"/>
      <c r="M36" s="1828"/>
      <c r="N36" s="1828"/>
    </row>
    <row r="37" spans="6:14" s="1716" customFormat="1" ht="11.25">
      <c r="F37" s="1828"/>
      <c r="G37" s="1828"/>
      <c r="H37" s="1828"/>
      <c r="I37" s="1828"/>
      <c r="J37" s="1828"/>
      <c r="K37" s="1828"/>
      <c r="L37" s="1828"/>
      <c r="M37" s="1828"/>
      <c r="N37" s="1828"/>
    </row>
    <row r="38" spans="6:14" s="1716" customFormat="1" ht="11.25">
      <c r="F38" s="1828"/>
      <c r="G38" s="1828"/>
      <c r="H38" s="1828"/>
      <c r="I38" s="1828"/>
      <c r="J38" s="1828"/>
      <c r="K38" s="1828"/>
      <c r="L38" s="1828"/>
      <c r="M38" s="1828"/>
      <c r="N38" s="1828"/>
    </row>
    <row r="39" spans="6:14" s="1716" customFormat="1" ht="11.25">
      <c r="F39" s="1828"/>
      <c r="G39" s="1828"/>
      <c r="H39" s="1828"/>
      <c r="I39" s="1828"/>
      <c r="J39" s="1828"/>
      <c r="K39" s="1828"/>
      <c r="L39" s="1828"/>
      <c r="M39" s="1828"/>
      <c r="N39" s="1828"/>
    </row>
    <row r="40" spans="6:14" s="1716" customFormat="1" ht="11.25">
      <c r="F40" s="1828"/>
      <c r="G40" s="1828"/>
      <c r="H40" s="1828"/>
      <c r="I40" s="1828"/>
      <c r="J40" s="1828"/>
      <c r="K40" s="1828"/>
      <c r="L40" s="1828"/>
      <c r="M40" s="1828"/>
      <c r="N40" s="1828"/>
    </row>
    <row r="41" spans="6:14" s="1716" customFormat="1" ht="11.25">
      <c r="F41" s="1828"/>
      <c r="G41" s="1828"/>
      <c r="H41" s="1828"/>
      <c r="I41" s="1828"/>
      <c r="J41" s="1828"/>
      <c r="K41" s="1828"/>
      <c r="L41" s="1828"/>
      <c r="M41" s="1828"/>
      <c r="N41" s="1828"/>
    </row>
    <row r="42" spans="6:14" s="1716" customFormat="1" ht="11.25">
      <c r="F42" s="1828"/>
      <c r="G42" s="1828"/>
      <c r="H42" s="1828"/>
      <c r="I42" s="1828"/>
      <c r="J42" s="1828"/>
      <c r="K42" s="1828"/>
      <c r="L42" s="1828"/>
      <c r="M42" s="1828"/>
      <c r="N42" s="1828"/>
    </row>
    <row r="43" spans="6:14" s="1716" customFormat="1" ht="11.25">
      <c r="F43" s="1828"/>
      <c r="G43" s="1828"/>
      <c r="H43" s="1828"/>
      <c r="I43" s="1828"/>
      <c r="J43" s="1828"/>
      <c r="K43" s="1828"/>
      <c r="L43" s="1828"/>
      <c r="M43" s="1828"/>
      <c r="N43" s="1828"/>
    </row>
    <row r="44" spans="6:14" s="1716" customFormat="1" ht="11.25">
      <c r="F44" s="1828"/>
      <c r="G44" s="1828"/>
      <c r="H44" s="1828"/>
      <c r="I44" s="1828"/>
      <c r="J44" s="1828"/>
      <c r="K44" s="1828"/>
      <c r="L44" s="1828"/>
      <c r="M44" s="1828"/>
      <c r="N44" s="1828"/>
    </row>
    <row r="45" spans="6:14" s="1716" customFormat="1" ht="11.25">
      <c r="F45" s="1828"/>
      <c r="G45" s="1828"/>
      <c r="H45" s="1828"/>
      <c r="I45" s="1828"/>
      <c r="J45" s="1828"/>
      <c r="K45" s="1828"/>
      <c r="L45" s="1828"/>
      <c r="M45" s="1828"/>
      <c r="N45" s="1828"/>
    </row>
    <row r="46" spans="6:14" s="1716" customFormat="1" ht="11.25">
      <c r="F46" s="1828"/>
      <c r="G46" s="1828"/>
      <c r="H46" s="1828"/>
      <c r="I46" s="1828"/>
      <c r="J46" s="1828"/>
      <c r="K46" s="1828"/>
      <c r="L46" s="1828"/>
      <c r="M46" s="1828"/>
      <c r="N46" s="1828"/>
    </row>
    <row r="47" spans="6:14" s="1716" customFormat="1" ht="11.25">
      <c r="F47" s="1828"/>
      <c r="G47" s="1828"/>
      <c r="H47" s="1828"/>
      <c r="I47" s="1828"/>
      <c r="J47" s="1828"/>
      <c r="K47" s="1828"/>
      <c r="L47" s="1828"/>
      <c r="M47" s="1828"/>
      <c r="N47" s="1828"/>
    </row>
    <row r="48" spans="6:14" s="1716" customFormat="1" ht="11.25">
      <c r="F48" s="1828"/>
      <c r="G48" s="1828"/>
      <c r="H48" s="1828"/>
      <c r="I48" s="1828"/>
      <c r="J48" s="1828"/>
      <c r="K48" s="1828"/>
      <c r="L48" s="1828"/>
      <c r="M48" s="1828"/>
      <c r="N48" s="1828"/>
    </row>
    <row r="49" spans="6:14" s="1716" customFormat="1" ht="11.25">
      <c r="F49" s="1828"/>
      <c r="G49" s="1828"/>
      <c r="H49" s="1828"/>
      <c r="I49" s="1828"/>
      <c r="J49" s="1828"/>
      <c r="K49" s="1828"/>
      <c r="L49" s="1828"/>
      <c r="M49" s="1828"/>
      <c r="N49" s="1828"/>
    </row>
    <row r="50" spans="6:14" s="1716" customFormat="1" ht="11.25">
      <c r="F50" s="1828"/>
      <c r="G50" s="1828"/>
      <c r="H50" s="1828"/>
      <c r="I50" s="1828"/>
      <c r="J50" s="1828"/>
      <c r="K50" s="1828"/>
      <c r="L50" s="1828"/>
      <c r="M50" s="1828"/>
      <c r="N50" s="1828"/>
    </row>
    <row r="51" spans="6:14" s="1716" customFormat="1" ht="11.25">
      <c r="F51" s="1828"/>
      <c r="G51" s="1828"/>
      <c r="H51" s="1828"/>
      <c r="I51" s="1828"/>
      <c r="J51" s="1828"/>
      <c r="K51" s="1828"/>
      <c r="L51" s="1828"/>
      <c r="M51" s="1828"/>
      <c r="N51" s="1828"/>
    </row>
    <row r="52" spans="6:14" s="1716" customFormat="1" ht="11.25">
      <c r="F52" s="1828"/>
      <c r="G52" s="1828"/>
      <c r="H52" s="1828"/>
      <c r="I52" s="1828"/>
      <c r="J52" s="1828"/>
      <c r="K52" s="1828"/>
      <c r="L52" s="1828"/>
      <c r="M52" s="1828"/>
      <c r="N52" s="1828"/>
    </row>
    <row r="53" spans="6:14" s="1716" customFormat="1" ht="11.25">
      <c r="F53" s="1828"/>
      <c r="G53" s="1828"/>
      <c r="H53" s="1828"/>
      <c r="I53" s="1828"/>
      <c r="J53" s="1828"/>
      <c r="K53" s="1828"/>
      <c r="L53" s="1828"/>
      <c r="M53" s="1828"/>
      <c r="N53" s="1828"/>
    </row>
    <row r="54" spans="6:14" s="1716" customFormat="1" ht="11.25">
      <c r="F54" s="1828"/>
      <c r="G54" s="1828"/>
      <c r="H54" s="1828"/>
      <c r="I54" s="1828"/>
      <c r="J54" s="1828"/>
      <c r="K54" s="1828"/>
      <c r="L54" s="1828"/>
      <c r="M54" s="1828"/>
      <c r="N54" s="1828"/>
    </row>
    <row r="55" spans="6:14" s="1716" customFormat="1" ht="11.25">
      <c r="F55" s="1828"/>
      <c r="G55" s="1828"/>
      <c r="H55" s="1828"/>
      <c r="I55" s="1828"/>
      <c r="J55" s="1828"/>
      <c r="K55" s="1828"/>
      <c r="L55" s="1828"/>
      <c r="M55" s="1828"/>
      <c r="N55" s="1828"/>
    </row>
    <row r="56" spans="6:14" s="1716" customFormat="1" ht="11.25">
      <c r="F56" s="1828"/>
      <c r="G56" s="1828"/>
      <c r="H56" s="1828"/>
      <c r="I56" s="1828"/>
      <c r="J56" s="1828"/>
      <c r="K56" s="1828"/>
      <c r="L56" s="1828"/>
      <c r="M56" s="1828"/>
      <c r="N56" s="1828"/>
    </row>
    <row r="57" spans="6:14" s="1716" customFormat="1" ht="11.25">
      <c r="F57" s="1828"/>
      <c r="G57" s="1828"/>
      <c r="H57" s="1828"/>
      <c r="I57" s="1828"/>
      <c r="J57" s="1828"/>
      <c r="K57" s="1828"/>
      <c r="L57" s="1828"/>
      <c r="M57" s="1828"/>
      <c r="N57" s="1828"/>
    </row>
    <row r="58" spans="6:14" s="1716" customFormat="1" ht="11.25">
      <c r="F58" s="1828"/>
      <c r="G58" s="1828"/>
      <c r="H58" s="1828"/>
      <c r="I58" s="1828"/>
      <c r="J58" s="1828"/>
      <c r="K58" s="1828"/>
      <c r="L58" s="1828"/>
      <c r="M58" s="1828"/>
      <c r="N58" s="1828"/>
    </row>
    <row r="59" spans="6:14" s="1716" customFormat="1" ht="11.25">
      <c r="F59" s="1828"/>
      <c r="G59" s="1828"/>
      <c r="H59" s="1828"/>
      <c r="I59" s="1828"/>
      <c r="J59" s="1828"/>
      <c r="K59" s="1828"/>
      <c r="L59" s="1828"/>
      <c r="M59" s="1828"/>
      <c r="N59" s="1828"/>
    </row>
    <row r="60" spans="6:14" s="1716" customFormat="1" ht="11.25">
      <c r="F60" s="1828"/>
      <c r="G60" s="1828"/>
      <c r="H60" s="1828"/>
      <c r="I60" s="1828"/>
      <c r="J60" s="1828"/>
      <c r="K60" s="1828"/>
      <c r="L60" s="1828"/>
      <c r="M60" s="1828"/>
      <c r="N60" s="1828"/>
    </row>
    <row r="61" spans="6:14" s="1716" customFormat="1" ht="11.25">
      <c r="F61" s="1828"/>
      <c r="G61" s="1828"/>
      <c r="H61" s="1828"/>
      <c r="I61" s="1828"/>
      <c r="J61" s="1828"/>
      <c r="K61" s="1828"/>
      <c r="L61" s="1828"/>
      <c r="M61" s="1828"/>
      <c r="N61" s="1828"/>
    </row>
    <row r="62" spans="6:14" s="1716" customFormat="1" ht="11.25">
      <c r="F62" s="1828"/>
      <c r="G62" s="1828"/>
      <c r="H62" s="1828"/>
      <c r="I62" s="1828"/>
      <c r="J62" s="1828"/>
      <c r="K62" s="1828"/>
      <c r="L62" s="1828"/>
      <c r="M62" s="1828"/>
      <c r="N62" s="1828"/>
    </row>
    <row r="63" spans="6:14" s="1716" customFormat="1" ht="11.25">
      <c r="F63" s="1828"/>
      <c r="G63" s="1828"/>
      <c r="H63" s="1828"/>
      <c r="I63" s="1828"/>
      <c r="J63" s="1828"/>
      <c r="K63" s="1828"/>
      <c r="L63" s="1828"/>
      <c r="M63" s="1828"/>
      <c r="N63" s="1828"/>
    </row>
    <row r="64" spans="6:14" s="1716" customFormat="1" ht="11.25">
      <c r="F64" s="1828"/>
      <c r="G64" s="1828"/>
      <c r="H64" s="1828"/>
      <c r="I64" s="1828"/>
      <c r="J64" s="1828"/>
      <c r="K64" s="1828"/>
      <c r="L64" s="1828"/>
      <c r="M64" s="1828"/>
      <c r="N64" s="1828"/>
    </row>
    <row r="65" spans="6:14" s="1716" customFormat="1" ht="11.25">
      <c r="F65" s="1828"/>
      <c r="G65" s="1828"/>
      <c r="H65" s="1828"/>
      <c r="I65" s="1828"/>
      <c r="J65" s="1828"/>
      <c r="K65" s="1828"/>
      <c r="L65" s="1828"/>
      <c r="M65" s="1828"/>
      <c r="N65" s="1828"/>
    </row>
    <row r="66" spans="6:14" s="1716" customFormat="1" ht="11.25">
      <c r="F66" s="1828"/>
      <c r="G66" s="1828"/>
      <c r="H66" s="1828"/>
      <c r="I66" s="1828"/>
      <c r="J66" s="1828"/>
      <c r="K66" s="1828"/>
      <c r="L66" s="1828"/>
      <c r="M66" s="1828"/>
      <c r="N66" s="1828"/>
    </row>
    <row r="67" spans="6:14" s="1716" customFormat="1" ht="11.25">
      <c r="F67" s="1828"/>
      <c r="G67" s="1828"/>
      <c r="H67" s="1828"/>
      <c r="I67" s="1828"/>
      <c r="J67" s="1828"/>
      <c r="K67" s="1828"/>
      <c r="L67" s="1828"/>
      <c r="M67" s="1828"/>
      <c r="N67" s="1828"/>
    </row>
    <row r="68" spans="6:14" s="1716" customFormat="1" ht="11.25">
      <c r="F68" s="1828"/>
      <c r="G68" s="1828"/>
      <c r="H68" s="1828"/>
      <c r="I68" s="1828"/>
      <c r="J68" s="1828"/>
      <c r="K68" s="1828"/>
      <c r="L68" s="1828"/>
      <c r="M68" s="1828"/>
      <c r="N68" s="1828"/>
    </row>
    <row r="69" spans="6:14" s="1716" customFormat="1" ht="11.25">
      <c r="F69" s="1828"/>
      <c r="G69" s="1828"/>
      <c r="H69" s="1828"/>
      <c r="I69" s="1828"/>
      <c r="J69" s="1828"/>
      <c r="K69" s="1828"/>
      <c r="L69" s="1828"/>
      <c r="M69" s="1828"/>
      <c r="N69" s="1828"/>
    </row>
    <row r="70" spans="6:14" s="1716" customFormat="1" ht="11.25">
      <c r="F70" s="1828"/>
      <c r="G70" s="1828"/>
      <c r="H70" s="1828"/>
      <c r="I70" s="1828"/>
      <c r="J70" s="1828"/>
      <c r="K70" s="1828"/>
      <c r="L70" s="1828"/>
      <c r="M70" s="1828"/>
      <c r="N70" s="1828"/>
    </row>
    <row r="71" spans="6:14" s="1716" customFormat="1" ht="11.25">
      <c r="F71" s="1828"/>
      <c r="G71" s="1828"/>
      <c r="H71" s="1828"/>
      <c r="I71" s="1828"/>
      <c r="J71" s="1828"/>
      <c r="K71" s="1828"/>
      <c r="L71" s="1828"/>
      <c r="M71" s="1828"/>
      <c r="N71" s="1828"/>
    </row>
    <row r="72" spans="6:14" s="1716" customFormat="1" ht="11.25">
      <c r="F72" s="1828"/>
      <c r="G72" s="1828"/>
      <c r="H72" s="1828"/>
      <c r="I72" s="1828"/>
      <c r="J72" s="1828"/>
      <c r="K72" s="1828"/>
      <c r="L72" s="1828"/>
      <c r="M72" s="1828"/>
      <c r="N72" s="1828"/>
    </row>
    <row r="73" spans="6:14" s="1716" customFormat="1" ht="11.25">
      <c r="F73" s="1828"/>
      <c r="G73" s="1828"/>
      <c r="H73" s="1828"/>
      <c r="I73" s="1828"/>
      <c r="J73" s="1828"/>
      <c r="K73" s="1828"/>
      <c r="L73" s="1828"/>
      <c r="M73" s="1828"/>
      <c r="N73" s="1828"/>
    </row>
    <row r="74" spans="6:14" s="1716" customFormat="1" ht="11.25">
      <c r="F74" s="1828"/>
      <c r="G74" s="1828"/>
      <c r="H74" s="1828"/>
      <c r="I74" s="1828"/>
      <c r="J74" s="1828"/>
      <c r="K74" s="1828"/>
      <c r="L74" s="1828"/>
      <c r="M74" s="1828"/>
      <c r="N74" s="1828"/>
    </row>
    <row r="75" spans="6:14" s="1716" customFormat="1" ht="11.25">
      <c r="F75" s="1828"/>
      <c r="G75" s="1828"/>
      <c r="H75" s="1828"/>
      <c r="I75" s="1828"/>
      <c r="J75" s="1828"/>
      <c r="K75" s="1828"/>
      <c r="L75" s="1828"/>
      <c r="M75" s="1828"/>
      <c r="N75" s="1828"/>
    </row>
    <row r="76" spans="6:14" s="1716" customFormat="1" ht="11.25">
      <c r="F76" s="1828"/>
      <c r="G76" s="1828"/>
      <c r="H76" s="1828"/>
      <c r="I76" s="1828"/>
      <c r="J76" s="1828"/>
      <c r="K76" s="1828"/>
      <c r="L76" s="1828"/>
      <c r="M76" s="1828"/>
      <c r="N76" s="1828"/>
    </row>
    <row r="77" spans="6:14" s="1716" customFormat="1" ht="11.25">
      <c r="F77" s="1828"/>
      <c r="G77" s="1828"/>
      <c r="H77" s="1828"/>
      <c r="I77" s="1828"/>
      <c r="J77" s="1828"/>
      <c r="K77" s="1828"/>
      <c r="L77" s="1828"/>
      <c r="M77" s="1828"/>
      <c r="N77" s="1828"/>
    </row>
    <row r="78" spans="6:14" s="1716" customFormat="1" ht="11.25">
      <c r="F78" s="1828"/>
      <c r="G78" s="1828"/>
      <c r="H78" s="1828"/>
      <c r="I78" s="1828"/>
      <c r="J78" s="1828"/>
      <c r="K78" s="1828"/>
      <c r="L78" s="1828"/>
      <c r="M78" s="1828"/>
      <c r="N78" s="1828"/>
    </row>
    <row r="79" spans="6:14" s="1716" customFormat="1" ht="11.25">
      <c r="F79" s="1828"/>
      <c r="G79" s="1828"/>
      <c r="H79" s="1828"/>
      <c r="I79" s="1828"/>
      <c r="J79" s="1828"/>
      <c r="K79" s="1828"/>
      <c r="L79" s="1828"/>
      <c r="M79" s="1828"/>
      <c r="N79" s="1828"/>
    </row>
    <row r="80" spans="6:14" s="1716" customFormat="1" ht="11.25">
      <c r="F80" s="1828"/>
      <c r="G80" s="1828"/>
      <c r="H80" s="1828"/>
      <c r="I80" s="1828"/>
      <c r="J80" s="1828"/>
      <c r="K80" s="1828"/>
      <c r="L80" s="1828"/>
      <c r="M80" s="1828"/>
      <c r="N80" s="1828"/>
    </row>
    <row r="81" spans="6:14" s="1716" customFormat="1" ht="11.25">
      <c r="F81" s="1828"/>
      <c r="G81" s="1828"/>
      <c r="H81" s="1828"/>
      <c r="I81" s="1828"/>
      <c r="J81" s="1828"/>
      <c r="K81" s="1828"/>
      <c r="L81" s="1828"/>
      <c r="M81" s="1828"/>
      <c r="N81" s="1828"/>
    </row>
    <row r="82" spans="6:14" s="1716" customFormat="1" ht="11.25">
      <c r="F82" s="1828"/>
      <c r="G82" s="1828"/>
      <c r="H82" s="1828"/>
      <c r="I82" s="1828"/>
      <c r="J82" s="1828"/>
      <c r="K82" s="1828"/>
      <c r="L82" s="1828"/>
      <c r="M82" s="1828"/>
      <c r="N82" s="1828"/>
    </row>
    <row r="83" spans="6:14" s="1716" customFormat="1" ht="11.25">
      <c r="F83" s="1828"/>
      <c r="G83" s="1828"/>
      <c r="H83" s="1828"/>
      <c r="I83" s="1828"/>
      <c r="J83" s="1828"/>
      <c r="K83" s="1828"/>
      <c r="L83" s="1828"/>
      <c r="M83" s="1828"/>
      <c r="N83" s="1828"/>
    </row>
    <row r="84" spans="6:14" s="1716" customFormat="1" ht="11.25">
      <c r="F84" s="1828"/>
      <c r="G84" s="1828"/>
      <c r="H84" s="1828"/>
      <c r="I84" s="1828"/>
      <c r="J84" s="1828"/>
      <c r="K84" s="1828"/>
      <c r="L84" s="1828"/>
      <c r="M84" s="1828"/>
      <c r="N84" s="1828"/>
    </row>
    <row r="85" spans="6:14" s="1716" customFormat="1" ht="11.25">
      <c r="F85" s="1828"/>
      <c r="G85" s="1828"/>
      <c r="H85" s="1828"/>
      <c r="I85" s="1828"/>
      <c r="J85" s="1828"/>
      <c r="K85" s="1828"/>
      <c r="L85" s="1828"/>
      <c r="M85" s="1828"/>
      <c r="N85" s="1828"/>
    </row>
    <row r="86" spans="6:14" s="1716" customFormat="1" ht="11.25">
      <c r="F86" s="1828"/>
      <c r="G86" s="1828"/>
      <c r="H86" s="1828"/>
      <c r="I86" s="1828"/>
      <c r="J86" s="1828"/>
      <c r="K86" s="1828"/>
      <c r="L86" s="1828"/>
      <c r="M86" s="1828"/>
      <c r="N86" s="1828"/>
    </row>
    <row r="87" spans="6:14" s="1716" customFormat="1" ht="11.25">
      <c r="F87" s="1828"/>
      <c r="G87" s="1828"/>
      <c r="H87" s="1828"/>
      <c r="I87" s="1828"/>
      <c r="J87" s="1828"/>
      <c r="K87" s="1828"/>
      <c r="L87" s="1828"/>
      <c r="M87" s="1828"/>
      <c r="N87" s="1828"/>
    </row>
    <row r="88" spans="6:14" s="1716" customFormat="1" ht="11.25">
      <c r="F88" s="1828"/>
      <c r="G88" s="1828"/>
      <c r="H88" s="1828"/>
      <c r="I88" s="1828"/>
      <c r="J88" s="1828"/>
      <c r="K88" s="1828"/>
      <c r="L88" s="1828"/>
      <c r="M88" s="1828"/>
      <c r="N88" s="1828"/>
    </row>
    <row r="89" spans="6:14" s="1716" customFormat="1" ht="11.25">
      <c r="F89" s="1828"/>
      <c r="G89" s="1828"/>
      <c r="H89" s="1828"/>
      <c r="I89" s="1828"/>
      <c r="J89" s="1828"/>
      <c r="K89" s="1828"/>
      <c r="L89" s="1828"/>
      <c r="M89" s="1828"/>
      <c r="N89" s="1828"/>
    </row>
    <row r="90" spans="6:14" s="1716" customFormat="1" ht="11.25">
      <c r="F90" s="1828"/>
      <c r="G90" s="1828"/>
      <c r="H90" s="1828"/>
      <c r="I90" s="1828"/>
      <c r="J90" s="1828"/>
      <c r="K90" s="1828"/>
      <c r="L90" s="1828"/>
      <c r="M90" s="1828"/>
      <c r="N90" s="1828"/>
    </row>
    <row r="91" spans="6:14" s="1716" customFormat="1" ht="11.25">
      <c r="F91" s="1828"/>
      <c r="G91" s="1828"/>
      <c r="H91" s="1828"/>
      <c r="I91" s="1828"/>
      <c r="J91" s="1828"/>
      <c r="K91" s="1828"/>
      <c r="L91" s="1828"/>
      <c r="M91" s="1828"/>
      <c r="N91" s="1828"/>
    </row>
    <row r="92" spans="6:14" s="1716" customFormat="1" ht="11.25">
      <c r="F92" s="1828"/>
      <c r="G92" s="1828"/>
      <c r="H92" s="1828"/>
      <c r="I92" s="1828"/>
      <c r="J92" s="1828"/>
      <c r="K92" s="1828"/>
      <c r="L92" s="1828"/>
      <c r="M92" s="1828"/>
      <c r="N92" s="1828"/>
    </row>
    <row r="93" spans="6:14" s="1716" customFormat="1" ht="11.25">
      <c r="F93" s="1828"/>
      <c r="G93" s="1828"/>
      <c r="H93" s="1828"/>
      <c r="I93" s="1828"/>
      <c r="J93" s="1828"/>
      <c r="K93" s="1828"/>
      <c r="L93" s="1828"/>
      <c r="M93" s="1828"/>
      <c r="N93" s="1828"/>
    </row>
    <row r="94" spans="6:14" s="1716" customFormat="1" ht="11.25">
      <c r="F94" s="1828"/>
      <c r="G94" s="1828"/>
      <c r="H94" s="1828"/>
      <c r="I94" s="1828"/>
      <c r="J94" s="1828"/>
      <c r="K94" s="1828"/>
      <c r="L94" s="1828"/>
      <c r="M94" s="1828"/>
      <c r="N94" s="1828"/>
    </row>
    <row r="95" spans="6:14" s="1716" customFormat="1" ht="11.25">
      <c r="F95" s="1828"/>
      <c r="G95" s="1828"/>
      <c r="H95" s="1828"/>
      <c r="I95" s="1828"/>
      <c r="J95" s="1828"/>
      <c r="K95" s="1828"/>
      <c r="L95" s="1828"/>
      <c r="M95" s="1828"/>
      <c r="N95" s="1828"/>
    </row>
    <row r="96" spans="6:14" s="1716" customFormat="1" ht="11.25">
      <c r="F96" s="1828"/>
      <c r="G96" s="1828"/>
      <c r="H96" s="1828"/>
      <c r="I96" s="1828"/>
      <c r="J96" s="1828"/>
      <c r="K96" s="1828"/>
      <c r="L96" s="1828"/>
      <c r="M96" s="1828"/>
      <c r="N96" s="1828"/>
    </row>
    <row r="97" spans="6:14" s="1716" customFormat="1" ht="11.25">
      <c r="F97" s="1828"/>
      <c r="G97" s="1828"/>
      <c r="H97" s="1828"/>
      <c r="I97" s="1828"/>
      <c r="J97" s="1828"/>
      <c r="K97" s="1828"/>
      <c r="L97" s="1828"/>
      <c r="M97" s="1828"/>
      <c r="N97" s="1828"/>
    </row>
    <row r="98" spans="6:14" s="1716" customFormat="1" ht="11.25">
      <c r="F98" s="1828"/>
      <c r="G98" s="1828"/>
      <c r="H98" s="1828"/>
      <c r="I98" s="1828"/>
      <c r="J98" s="1828"/>
      <c r="K98" s="1828"/>
      <c r="L98" s="1828"/>
      <c r="M98" s="1828"/>
      <c r="N98" s="1828"/>
    </row>
    <row r="99" spans="6:14" s="1716" customFormat="1" ht="11.25">
      <c r="F99" s="1828"/>
      <c r="G99" s="1828"/>
      <c r="H99" s="1828"/>
      <c r="I99" s="1828"/>
      <c r="J99" s="1828"/>
      <c r="K99" s="1828"/>
      <c r="L99" s="1828"/>
      <c r="M99" s="1828"/>
      <c r="N99" s="1828"/>
    </row>
    <row r="100" spans="6:14" s="1716" customFormat="1" ht="11.25">
      <c r="F100" s="1828"/>
      <c r="G100" s="1828"/>
      <c r="H100" s="1828"/>
      <c r="I100" s="1828"/>
      <c r="J100" s="1828"/>
      <c r="K100" s="1828"/>
      <c r="L100" s="1828"/>
      <c r="M100" s="1828"/>
      <c r="N100" s="1828"/>
    </row>
    <row r="101" spans="6:14" s="1716" customFormat="1" ht="11.25">
      <c r="F101" s="1828"/>
      <c r="G101" s="1828"/>
      <c r="H101" s="1828"/>
      <c r="I101" s="1828"/>
      <c r="J101" s="1828"/>
      <c r="K101" s="1828"/>
      <c r="L101" s="1828"/>
      <c r="M101" s="1828"/>
      <c r="N101" s="1828"/>
    </row>
    <row r="102" spans="6:14" s="1716" customFormat="1" ht="11.25">
      <c r="F102" s="1828"/>
      <c r="G102" s="1828"/>
      <c r="H102" s="1828"/>
      <c r="I102" s="1828"/>
      <c r="J102" s="1828"/>
      <c r="K102" s="1828"/>
      <c r="L102" s="1828"/>
      <c r="M102" s="1828"/>
      <c r="N102" s="1828"/>
    </row>
    <row r="103" spans="6:14" s="1716" customFormat="1" ht="11.25">
      <c r="F103" s="1828"/>
      <c r="G103" s="1828"/>
      <c r="H103" s="1828"/>
      <c r="I103" s="1828"/>
      <c r="J103" s="1828"/>
      <c r="K103" s="1828"/>
      <c r="L103" s="1828"/>
      <c r="M103" s="1828"/>
      <c r="N103" s="1828"/>
    </row>
    <row r="104" spans="6:14" s="1716" customFormat="1" ht="11.25">
      <c r="F104" s="1828"/>
      <c r="G104" s="1828"/>
      <c r="H104" s="1828"/>
      <c r="I104" s="1828"/>
      <c r="J104" s="1828"/>
      <c r="K104" s="1828"/>
      <c r="L104" s="1828"/>
      <c r="M104" s="1828"/>
      <c r="N104" s="1828"/>
    </row>
    <row r="105" spans="6:14" s="1716" customFormat="1" ht="11.25">
      <c r="F105" s="1828"/>
      <c r="G105" s="1828"/>
      <c r="H105" s="1828"/>
      <c r="I105" s="1828"/>
      <c r="J105" s="1828"/>
      <c r="K105" s="1828"/>
      <c r="L105" s="1828"/>
      <c r="M105" s="1828"/>
      <c r="N105" s="1828"/>
    </row>
    <row r="106" spans="6:14" s="1716" customFormat="1" ht="11.25">
      <c r="F106" s="1828"/>
      <c r="G106" s="1828"/>
      <c r="H106" s="1828"/>
      <c r="I106" s="1828"/>
      <c r="J106" s="1828"/>
      <c r="K106" s="1828"/>
      <c r="L106" s="1828"/>
      <c r="M106" s="1828"/>
      <c r="N106" s="1828"/>
    </row>
    <row r="107" spans="6:14" s="1716" customFormat="1" ht="11.25">
      <c r="F107" s="1828"/>
      <c r="G107" s="1828"/>
      <c r="H107" s="1828"/>
      <c r="I107" s="1828"/>
      <c r="J107" s="1828"/>
      <c r="K107" s="1828"/>
      <c r="L107" s="1828"/>
      <c r="M107" s="1828"/>
      <c r="N107" s="1828"/>
    </row>
    <row r="108" spans="6:14" s="1716" customFormat="1" ht="11.25">
      <c r="F108" s="1828"/>
      <c r="G108" s="1828"/>
      <c r="H108" s="1828"/>
      <c r="I108" s="1828"/>
      <c r="J108" s="1828"/>
      <c r="K108" s="1828"/>
      <c r="L108" s="1828"/>
      <c r="M108" s="1828"/>
      <c r="N108" s="1828"/>
    </row>
    <row r="109" spans="6:14" s="1716" customFormat="1" ht="11.25">
      <c r="F109" s="1828"/>
      <c r="G109" s="1828"/>
      <c r="H109" s="1828"/>
      <c r="I109" s="1828"/>
      <c r="J109" s="1828"/>
      <c r="K109" s="1828"/>
      <c r="L109" s="1828"/>
      <c r="M109" s="1828"/>
      <c r="N109" s="1828"/>
    </row>
    <row r="110" spans="6:14" s="1716" customFormat="1" ht="11.25">
      <c r="F110" s="1828"/>
      <c r="G110" s="1828"/>
      <c r="H110" s="1828"/>
      <c r="I110" s="1828"/>
      <c r="J110" s="1828"/>
      <c r="K110" s="1828"/>
      <c r="L110" s="1828"/>
      <c r="M110" s="1828"/>
      <c r="N110" s="1828"/>
    </row>
    <row r="111" spans="6:14" s="1716" customFormat="1" ht="11.25">
      <c r="F111" s="1828"/>
      <c r="G111" s="1828"/>
      <c r="H111" s="1828"/>
      <c r="I111" s="1828"/>
      <c r="J111" s="1828"/>
      <c r="K111" s="1828"/>
      <c r="L111" s="1828"/>
      <c r="M111" s="1828"/>
      <c r="N111" s="1828"/>
    </row>
    <row r="112" spans="6:14" s="1716" customFormat="1" ht="11.25">
      <c r="F112" s="1828"/>
      <c r="G112" s="1828"/>
      <c r="H112" s="1828"/>
      <c r="I112" s="1828"/>
      <c r="J112" s="1828"/>
      <c r="K112" s="1828"/>
      <c r="L112" s="1828"/>
      <c r="M112" s="1828"/>
      <c r="N112" s="1828"/>
    </row>
    <row r="113" spans="6:14" s="1716" customFormat="1" ht="11.25">
      <c r="F113" s="1828"/>
      <c r="G113" s="1828"/>
      <c r="H113" s="1828"/>
      <c r="I113" s="1828"/>
      <c r="J113" s="1828"/>
      <c r="K113" s="1828"/>
      <c r="L113" s="1828"/>
      <c r="M113" s="1828"/>
      <c r="N113" s="1828"/>
    </row>
    <row r="114" spans="6:14" s="1716" customFormat="1" ht="11.25">
      <c r="F114" s="1828"/>
      <c r="G114" s="1828"/>
      <c r="H114" s="1828"/>
      <c r="I114" s="1828"/>
      <c r="J114" s="1828"/>
      <c r="K114" s="1828"/>
      <c r="L114" s="1828"/>
      <c r="M114" s="1828"/>
      <c r="N114" s="1828"/>
    </row>
    <row r="115" spans="6:14" s="1716" customFormat="1" ht="11.25">
      <c r="F115" s="1828"/>
      <c r="G115" s="1828"/>
      <c r="H115" s="1828"/>
      <c r="I115" s="1828"/>
      <c r="J115" s="1828"/>
      <c r="K115" s="1828"/>
      <c r="L115" s="1828"/>
      <c r="M115" s="1828"/>
      <c r="N115" s="1828"/>
    </row>
    <row r="116" spans="6:14" s="1716" customFormat="1" ht="11.25">
      <c r="F116" s="1828"/>
      <c r="G116" s="1828"/>
      <c r="H116" s="1828"/>
      <c r="I116" s="1828"/>
      <c r="J116" s="1828"/>
      <c r="K116" s="1828"/>
      <c r="L116" s="1828"/>
      <c r="M116" s="1828"/>
      <c r="N116" s="1828"/>
    </row>
    <row r="117" spans="6:14" s="1716" customFormat="1" ht="11.25">
      <c r="F117" s="1828"/>
      <c r="G117" s="1828"/>
      <c r="H117" s="1828"/>
      <c r="I117" s="1828"/>
      <c r="J117" s="1828"/>
      <c r="K117" s="1828"/>
      <c r="L117" s="1828"/>
      <c r="M117" s="1828"/>
      <c r="N117" s="1828"/>
    </row>
    <row r="118" spans="6:14" s="1716" customFormat="1" ht="11.25">
      <c r="F118" s="1828"/>
      <c r="G118" s="1828"/>
      <c r="H118" s="1828"/>
      <c r="I118" s="1828"/>
      <c r="J118" s="1828"/>
      <c r="K118" s="1828"/>
      <c r="L118" s="1828"/>
      <c r="M118" s="1828"/>
      <c r="N118" s="1828"/>
    </row>
    <row r="119" spans="6:14" s="1716" customFormat="1" ht="11.25">
      <c r="F119" s="1828"/>
      <c r="G119" s="1828"/>
      <c r="H119" s="1828"/>
      <c r="I119" s="1828"/>
      <c r="J119" s="1828"/>
      <c r="K119" s="1828"/>
      <c r="L119" s="1828"/>
      <c r="M119" s="1828"/>
      <c r="N119" s="1828"/>
    </row>
    <row r="120" spans="6:14" s="1716" customFormat="1" ht="11.25">
      <c r="F120" s="1828"/>
      <c r="G120" s="1828"/>
      <c r="H120" s="1828"/>
      <c r="I120" s="1828"/>
      <c r="J120" s="1828"/>
      <c r="K120" s="1828"/>
      <c r="L120" s="1828"/>
      <c r="M120" s="1828"/>
      <c r="N120" s="1828"/>
    </row>
    <row r="121" spans="6:14" s="1716" customFormat="1" ht="11.25">
      <c r="F121" s="1828"/>
      <c r="G121" s="1828"/>
      <c r="H121" s="1828"/>
      <c r="I121" s="1828"/>
      <c r="J121" s="1828"/>
      <c r="K121" s="1828"/>
      <c r="L121" s="1828"/>
      <c r="M121" s="1828"/>
      <c r="N121" s="1828"/>
    </row>
    <row r="122" spans="6:14" s="1716" customFormat="1" ht="11.25">
      <c r="F122" s="1828"/>
      <c r="G122" s="1828"/>
      <c r="H122" s="1828"/>
      <c r="I122" s="1828"/>
      <c r="J122" s="1828"/>
      <c r="K122" s="1828"/>
      <c r="L122" s="1828"/>
      <c r="M122" s="1828"/>
      <c r="N122" s="1828"/>
    </row>
    <row r="123" spans="6:14" s="1716" customFormat="1" ht="11.25">
      <c r="F123" s="1828"/>
      <c r="G123" s="1828"/>
      <c r="H123" s="1828"/>
      <c r="I123" s="1828"/>
      <c r="J123" s="1828"/>
      <c r="K123" s="1828"/>
      <c r="L123" s="1828"/>
      <c r="M123" s="1828"/>
      <c r="N123" s="1828"/>
    </row>
  </sheetData>
  <mergeCells count="51">
    <mergeCell ref="E14:E15"/>
    <mergeCell ref="G14:G15"/>
    <mergeCell ref="H14:H15"/>
    <mergeCell ref="I14:I15"/>
    <mergeCell ref="E16:E17"/>
    <mergeCell ref="I16:I17"/>
    <mergeCell ref="H16:H17"/>
    <mergeCell ref="G16:G17"/>
    <mergeCell ref="G20:G21"/>
    <mergeCell ref="H20:H21"/>
    <mergeCell ref="I20:I21"/>
    <mergeCell ref="B20:C21"/>
    <mergeCell ref="D8:D9"/>
    <mergeCell ref="C18:C19"/>
    <mergeCell ref="D18:D19"/>
    <mergeCell ref="E18:E19"/>
    <mergeCell ref="C10:C11"/>
    <mergeCell ref="D10:D11"/>
    <mergeCell ref="E12:E13"/>
    <mergeCell ref="D20:D21"/>
    <mergeCell ref="E20:E21"/>
    <mergeCell ref="H12:H13"/>
    <mergeCell ref="B8:C9"/>
    <mergeCell ref="E10:E11"/>
    <mergeCell ref="A6:C7"/>
    <mergeCell ref="A4:C5"/>
    <mergeCell ref="D4:D5"/>
    <mergeCell ref="E4:E5"/>
    <mergeCell ref="D6:D7"/>
    <mergeCell ref="E6:E7"/>
    <mergeCell ref="H6:H7"/>
    <mergeCell ref="H4:H5"/>
    <mergeCell ref="I6:I7"/>
    <mergeCell ref="H8:H9"/>
    <mergeCell ref="G8:G9"/>
    <mergeCell ref="A1:I1"/>
    <mergeCell ref="I12:I13"/>
    <mergeCell ref="G18:G19"/>
    <mergeCell ref="H18:H19"/>
    <mergeCell ref="I18:I19"/>
    <mergeCell ref="G10:G11"/>
    <mergeCell ref="H10:H11"/>
    <mergeCell ref="I10:I11"/>
    <mergeCell ref="I4:I5"/>
    <mergeCell ref="E8:E9"/>
    <mergeCell ref="G12:G13"/>
    <mergeCell ref="C12:C17"/>
    <mergeCell ref="D12:D17"/>
    <mergeCell ref="I8:I9"/>
    <mergeCell ref="G4:G5"/>
    <mergeCell ref="G6:G7"/>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w6_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N123"/>
  <sheetViews>
    <sheetView zoomScale="85" zoomScaleNormal="85" workbookViewId="0">
      <selection activeCell="G8" sqref="G8:G9"/>
    </sheetView>
  </sheetViews>
  <sheetFormatPr defaultRowHeight="13.5"/>
  <cols>
    <col min="1" max="1" width="1.875" customWidth="1" style="1643"/>
    <col min="2" max="2" width="4.125" customWidth="1" style="1643"/>
    <col min="3" max="3" width="12.625" customWidth="1" style="1643"/>
    <col min="4" max="5" width="22.625" customWidth="1" style="1643"/>
    <col min="6" max="9" width="13.75" style="1788" customWidth="1"/>
    <col min="10" max="11" width="7.75" style="1788" customWidth="1"/>
    <col min="12" max="14" width="12.625" style="1788" customWidth="1"/>
    <col min="15" max="16" width="13.625" bestFit="1" customWidth="1" style="1643"/>
  </cols>
  <sheetData>
    <row r="1" spans="1:14" ht="17.25" customHeight="1">
      <c r="A1" s="2302" t="str">
        <f>+"令和"&amp;MID('総括表(不課税)'!A2,3,1)&amp;"年度決算　不課税収入区分表(他会計負担金)"</f>
        <v>令和５年度決算　不課税収入区分表(他会計負担金)</v>
      </c>
      <c r="B1" s="2302"/>
      <c r="C1" s="2302"/>
      <c r="D1" s="2302"/>
      <c r="E1" s="2302"/>
      <c r="F1" s="2302"/>
      <c r="G1" s="2302"/>
      <c r="H1" s="2302"/>
      <c r="I1" s="2302"/>
    </row>
    <row r="2" spans="1:14" ht="17.25" customHeight="1">
      <c r="A2" s="1782"/>
      <c r="B2" s="1782"/>
      <c r="C2" s="1782"/>
      <c r="D2" s="1782"/>
      <c r="E2" s="1782"/>
      <c r="F2" s="1813"/>
      <c r="G2" s="1813"/>
      <c r="H2" s="1813"/>
      <c r="I2" s="1813"/>
    </row>
    <row r="3" spans="1:14" ht="17.25" customHeight="1" thickBot="1">
      <c r="A3" s="1644"/>
      <c r="B3" s="1644"/>
      <c r="C3" s="1644"/>
      <c r="D3" s="1644"/>
      <c r="E3" s="1644"/>
      <c r="F3" s="1815"/>
      <c r="G3" s="1815"/>
      <c r="H3" s="1815"/>
      <c r="I3" s="1816" t="s">
        <v>4791</v>
      </c>
    </row>
    <row r="4" spans="1:14" s="1716" customFormat="1" ht="19.5" customHeight="1">
      <c r="A4" s="2230" t="s">
        <v>4792</v>
      </c>
      <c r="B4" s="2225"/>
      <c r="C4" s="2231"/>
      <c r="D4" s="2227" t="s">
        <v>4821</v>
      </c>
      <c r="E4" s="2225" t="s">
        <v>4822</v>
      </c>
      <c r="F4" s="1924" t="s">
        <v>4843</v>
      </c>
      <c r="G4" s="2421" t="s">
        <v>4824</v>
      </c>
      <c r="H4" s="2421" t="s">
        <v>4793</v>
      </c>
      <c r="I4" s="2415" t="s">
        <v>4823</v>
      </c>
      <c r="J4" s="1935" t="s">
        <v>5161</v>
      </c>
      <c r="K4" s="1936"/>
      <c r="L4" s="1936"/>
      <c r="M4" s="1936"/>
      <c r="N4" s="1828"/>
    </row>
    <row r="5" spans="1:14" s="1716" customFormat="1" ht="19.5" customHeight="1">
      <c r="A5" s="2232"/>
      <c r="B5" s="2226"/>
      <c r="C5" s="2233"/>
      <c r="D5" s="2228"/>
      <c r="E5" s="2226"/>
      <c r="F5" s="1820" t="s">
        <v>4845</v>
      </c>
      <c r="G5" s="2422"/>
      <c r="H5" s="2422"/>
      <c r="I5" s="2416"/>
      <c r="J5" s="1968">
        <v>0.03</v>
      </c>
      <c r="K5" s="2064">
        <v>0.05</v>
      </c>
      <c r="L5" s="1937">
        <v>0.08</v>
      </c>
      <c r="M5" s="2059">
        <v>0.08</v>
      </c>
      <c r="N5" s="1940">
        <v>0.1</v>
      </c>
    </row>
    <row r="6" spans="1:14" s="1716" customFormat="1" ht="19.5" customHeight="1">
      <c r="A6" s="2482" t="s">
        <v>4779</v>
      </c>
      <c r="B6" s="2236"/>
      <c r="C6" s="2237"/>
      <c r="D6" s="2461"/>
      <c r="E6" s="2483"/>
      <c r="F6" s="1822"/>
      <c r="G6" s="2430">
        <f>+SUM(G8:G11)</f>
        <v>16476593</v>
      </c>
      <c r="H6" s="2430">
        <f t="shared" ref="H6:I6" si="0">+SUM(H8:H11)</f>
        <v>0</v>
      </c>
      <c r="I6" s="2433">
        <f t="shared" si="0"/>
        <v>16476593</v>
      </c>
      <c r="J6" s="1828"/>
      <c r="K6" s="1828"/>
      <c r="L6" s="1828"/>
      <c r="M6" s="1828"/>
      <c r="N6" s="1828"/>
    </row>
    <row r="7" spans="1:14" s="1716" customFormat="1" ht="19.5" customHeight="1">
      <c r="A7" s="2460"/>
      <c r="B7" s="2175"/>
      <c r="C7" s="2176"/>
      <c r="D7" s="2462"/>
      <c r="E7" s="2484"/>
      <c r="F7" s="1927"/>
      <c r="G7" s="2425"/>
      <c r="H7" s="2425"/>
      <c r="I7" s="2434"/>
      <c r="J7" s="1828"/>
      <c r="K7" s="1828"/>
      <c r="L7" s="1828"/>
      <c r="M7" s="1828"/>
      <c r="N7" s="1828"/>
    </row>
    <row r="8" spans="1:14" s="1716" customFormat="1" ht="19.5" customHeight="1">
      <c r="A8" s="1925"/>
      <c r="B8" s="2146" t="s">
        <v>5162</v>
      </c>
      <c r="C8" s="2147"/>
      <c r="D8" s="2274" t="s">
        <v>4927</v>
      </c>
      <c r="E8" s="2477" t="s">
        <v>4928</v>
      </c>
      <c r="F8" s="1927"/>
      <c r="G8" s="2403">
        <f>+雨汚水!$E$88</f>
        <v>16476593</v>
      </c>
      <c r="H8" s="2424">
        <f>IFERROR(ROUND((G8)*F8/F9,0),0)</f>
        <v>0</v>
      </c>
      <c r="I8" s="2435">
        <f>G8-H8</f>
        <v>16476593</v>
      </c>
      <c r="J8" s="1828"/>
      <c r="K8" s="1828"/>
      <c r="L8" s="1828"/>
      <c r="M8" s="1828"/>
      <c r="N8" s="1828"/>
    </row>
    <row r="9" spans="1:14" s="1716" customFormat="1" ht="19.5" customHeight="1">
      <c r="A9" s="1928"/>
      <c r="B9" s="2234"/>
      <c r="C9" s="2235"/>
      <c r="D9" s="2470"/>
      <c r="E9" s="2204"/>
      <c r="F9" s="1926"/>
      <c r="G9" s="2444"/>
      <c r="H9" s="2445"/>
      <c r="I9" s="2437"/>
      <c r="J9" s="1933"/>
      <c r="K9" s="1933"/>
      <c r="L9" s="1933"/>
      <c r="M9" s="1933"/>
      <c r="N9" s="1828"/>
    </row>
    <row r="10" spans="1:14" s="1716" customFormat="1" ht="19.5" customHeight="1">
      <c r="A10" s="1925"/>
      <c r="B10" s="2146" t="s">
        <v>5162</v>
      </c>
      <c r="C10" s="2147"/>
      <c r="D10" s="2274" t="s">
        <v>4849</v>
      </c>
      <c r="E10" s="2477" t="s">
        <v>4989</v>
      </c>
      <c r="F10" s="1927"/>
      <c r="G10" s="2403">
        <f>+雨汚水!$E$89</f>
        <v>0</v>
      </c>
      <c r="H10" s="2424">
        <f>IFERROR(ROUND((G10)*F10/F11,0),0)</f>
        <v>0</v>
      </c>
      <c r="I10" s="2435">
        <f>G10-H10</f>
        <v>0</v>
      </c>
      <c r="J10" s="1828"/>
      <c r="K10" s="1828"/>
      <c r="L10" s="1828"/>
      <c r="M10" s="1828"/>
      <c r="N10" s="1828"/>
    </row>
    <row r="11" spans="1:14" s="1716" customFormat="1" ht="19.5" customHeight="1" thickBot="1">
      <c r="A11" s="1922"/>
      <c r="B11" s="2485"/>
      <c r="C11" s="2253"/>
      <c r="D11" s="2249"/>
      <c r="E11" s="2486"/>
      <c r="F11" s="1827"/>
      <c r="G11" s="2464"/>
      <c r="H11" s="2465"/>
      <c r="I11" s="2466"/>
      <c r="J11" s="1933"/>
      <c r="K11" s="1933"/>
      <c r="L11" s="1933"/>
      <c r="M11" s="1933"/>
      <c r="N11" s="1828"/>
    </row>
    <row r="12" spans="1:14" s="1716" customFormat="1" ht="19.5" customHeight="1">
      <c r="F12" s="1932" t="s">
        <v>5169</v>
      </c>
      <c r="G12" s="1815">
        <f>+'3条収入'!$V$41</f>
        <v>16476593</v>
      </c>
      <c r="H12" s="1828"/>
      <c r="I12" s="1828"/>
      <c r="J12" s="1828"/>
      <c r="K12" s="1828"/>
      <c r="L12" s="1828"/>
      <c r="M12" s="1828"/>
      <c r="N12" s="1828"/>
    </row>
    <row r="13" spans="1:14" s="1716" customFormat="1" ht="11.25">
      <c r="F13" s="1932" t="s">
        <v>5168</v>
      </c>
      <c r="G13" s="1815">
        <f>G6-G12</f>
        <v>0</v>
      </c>
      <c r="H13" s="1828"/>
      <c r="I13" s="1828"/>
      <c r="J13" s="1828"/>
      <c r="K13" s="1828"/>
      <c r="L13" s="1828"/>
      <c r="M13" s="1828"/>
      <c r="N13" s="1828"/>
    </row>
    <row r="14" spans="1:14" s="1716" customFormat="1" ht="11.25">
      <c r="F14" s="1828"/>
      <c r="G14" s="1828"/>
      <c r="H14" s="1828"/>
      <c r="I14" s="1828"/>
      <c r="J14" s="1828"/>
      <c r="K14" s="1828"/>
      <c r="L14" s="1828"/>
      <c r="M14" s="1828"/>
      <c r="N14" s="1828"/>
    </row>
    <row r="15" spans="1:14" s="1716" customFormat="1" ht="11.25">
      <c r="F15" s="1828"/>
      <c r="G15" s="1828"/>
      <c r="H15" s="1828"/>
      <c r="I15" s="1828"/>
      <c r="J15" s="1828"/>
      <c r="K15" s="1828"/>
      <c r="L15" s="1828"/>
      <c r="M15" s="1828"/>
      <c r="N15" s="1828"/>
    </row>
    <row r="16" spans="1:14" s="1716" customFormat="1" ht="11.25">
      <c r="F16" s="1828"/>
      <c r="G16" s="1828"/>
      <c r="H16" s="1828"/>
      <c r="I16" s="1828"/>
      <c r="J16" s="1828"/>
      <c r="K16" s="1828"/>
      <c r="L16" s="1828"/>
      <c r="M16" s="1828"/>
      <c r="N16" s="1828"/>
    </row>
    <row r="17" spans="6:14" s="1716" customFormat="1" ht="11.25">
      <c r="F17" s="1828"/>
      <c r="G17" s="1828"/>
      <c r="H17" s="1828"/>
      <c r="I17" s="1828"/>
      <c r="J17" s="1828"/>
      <c r="K17" s="1828"/>
      <c r="L17" s="1828"/>
      <c r="M17" s="1828"/>
      <c r="N17" s="1828"/>
    </row>
    <row r="18" spans="6:14" s="1716" customFormat="1" ht="11.25">
      <c r="F18" s="1828"/>
      <c r="G18" s="1828"/>
      <c r="H18" s="1828"/>
      <c r="I18" s="1828"/>
      <c r="J18" s="1828"/>
      <c r="K18" s="1828"/>
      <c r="L18" s="1828"/>
      <c r="M18" s="1828"/>
      <c r="N18" s="1828"/>
    </row>
    <row r="19" spans="6:14" s="1716" customFormat="1" ht="11.25">
      <c r="F19" s="1828"/>
      <c r="G19" s="1828"/>
      <c r="H19" s="1828"/>
      <c r="I19" s="1828"/>
      <c r="J19" s="1828"/>
      <c r="K19" s="1828"/>
      <c r="L19" s="1828"/>
      <c r="M19" s="1828"/>
      <c r="N19" s="1828"/>
    </row>
    <row r="20" spans="6:14" s="1716" customFormat="1" ht="11.25">
      <c r="F20" s="1828"/>
      <c r="G20" s="1828"/>
      <c r="H20" s="1828"/>
      <c r="I20" s="1828"/>
      <c r="J20" s="1828"/>
      <c r="K20" s="1828"/>
      <c r="L20" s="1828"/>
      <c r="M20" s="1828"/>
      <c r="N20" s="1828"/>
    </row>
    <row r="21" spans="6:14" s="1716" customFormat="1" ht="11.25">
      <c r="F21" s="1828"/>
      <c r="G21" s="1828"/>
      <c r="H21" s="1828"/>
      <c r="I21" s="1828"/>
      <c r="J21" s="1828"/>
      <c r="K21" s="1828"/>
      <c r="L21" s="1828"/>
      <c r="M21" s="1828"/>
      <c r="N21" s="1828"/>
    </row>
    <row r="22" spans="6:14" s="1716" customFormat="1" ht="11.25">
      <c r="F22" s="1828"/>
      <c r="G22" s="1828"/>
      <c r="H22" s="1828"/>
      <c r="I22" s="1828"/>
      <c r="J22" s="1828"/>
      <c r="K22" s="1828"/>
      <c r="L22" s="1828"/>
      <c r="M22" s="1828"/>
      <c r="N22" s="1828"/>
    </row>
    <row r="23" spans="6:14" s="1716" customFormat="1" ht="11.25">
      <c r="F23" s="1828"/>
      <c r="G23" s="1828"/>
      <c r="H23" s="1828"/>
      <c r="I23" s="1828"/>
      <c r="J23" s="1828"/>
      <c r="K23" s="1828"/>
      <c r="L23" s="1828"/>
      <c r="M23" s="1828"/>
      <c r="N23" s="1828"/>
    </row>
    <row r="24" spans="6:14" s="1716" customFormat="1" ht="11.25">
      <c r="F24" s="1828"/>
      <c r="G24" s="1828"/>
      <c r="H24" s="1828"/>
      <c r="I24" s="1828"/>
      <c r="J24" s="1828"/>
      <c r="K24" s="1828"/>
      <c r="L24" s="1828"/>
      <c r="M24" s="1828"/>
      <c r="N24" s="1828"/>
    </row>
    <row r="25" spans="6:14" s="1716" customFormat="1" ht="11.25">
      <c r="F25" s="1828"/>
      <c r="G25" s="1828"/>
      <c r="H25" s="1828"/>
      <c r="I25" s="1828"/>
      <c r="J25" s="1828"/>
      <c r="K25" s="1828"/>
      <c r="L25" s="1828"/>
      <c r="M25" s="1828"/>
      <c r="N25" s="1828"/>
    </row>
    <row r="26" spans="6:14" s="1716" customFormat="1" ht="11.25">
      <c r="F26" s="1828"/>
      <c r="G26" s="1828"/>
      <c r="H26" s="1828"/>
      <c r="I26" s="1828"/>
      <c r="J26" s="1828"/>
      <c r="K26" s="1828"/>
      <c r="L26" s="1828"/>
      <c r="M26" s="1828"/>
      <c r="N26" s="1828"/>
    </row>
    <row r="27" spans="6:14" s="1716" customFormat="1" ht="11.25">
      <c r="F27" s="1828"/>
      <c r="G27" s="1828"/>
      <c r="H27" s="1828"/>
      <c r="I27" s="1828"/>
      <c r="J27" s="1828"/>
      <c r="K27" s="1828"/>
      <c r="L27" s="1828"/>
      <c r="M27" s="1828"/>
      <c r="N27" s="1828"/>
    </row>
    <row r="28" spans="6:14" s="1716" customFormat="1" ht="11.25">
      <c r="F28" s="1828"/>
      <c r="G28" s="1828"/>
      <c r="H28" s="1828"/>
      <c r="I28" s="1828"/>
      <c r="J28" s="1828"/>
      <c r="K28" s="1828"/>
      <c r="L28" s="1828"/>
      <c r="M28" s="1828"/>
      <c r="N28" s="1828"/>
    </row>
    <row r="29" spans="6:14" s="1716" customFormat="1" ht="11.25">
      <c r="F29" s="1828"/>
      <c r="G29" s="1828"/>
      <c r="H29" s="1828"/>
      <c r="I29" s="1828"/>
      <c r="J29" s="1828"/>
      <c r="K29" s="1828"/>
      <c r="L29" s="1828"/>
      <c r="M29" s="1828"/>
      <c r="N29" s="1828"/>
    </row>
    <row r="30" spans="6:14" s="1716" customFormat="1" ht="11.25">
      <c r="F30" s="1828"/>
      <c r="G30" s="1828"/>
      <c r="H30" s="1828"/>
      <c r="I30" s="1828"/>
      <c r="J30" s="1828"/>
      <c r="K30" s="1828"/>
      <c r="L30" s="1828"/>
      <c r="M30" s="1828"/>
      <c r="N30" s="1828"/>
    </row>
    <row r="31" spans="6:14" s="1716" customFormat="1" ht="11.25">
      <c r="F31" s="1828"/>
      <c r="G31" s="1828"/>
      <c r="H31" s="1828"/>
      <c r="I31" s="1828"/>
      <c r="J31" s="1828"/>
      <c r="K31" s="1828"/>
      <c r="L31" s="1828"/>
      <c r="M31" s="1828"/>
      <c r="N31" s="1828"/>
    </row>
    <row r="32" spans="6:14" s="1716" customFormat="1" ht="11.25">
      <c r="F32" s="1828"/>
      <c r="G32" s="1828"/>
      <c r="H32" s="1828"/>
      <c r="I32" s="1828"/>
      <c r="J32" s="1828"/>
      <c r="K32" s="1828"/>
      <c r="L32" s="1828"/>
      <c r="M32" s="1828"/>
      <c r="N32" s="1828"/>
    </row>
    <row r="33" spans="6:14" s="1716" customFormat="1" ht="11.25">
      <c r="F33" s="1828"/>
      <c r="G33" s="1828"/>
      <c r="H33" s="1828"/>
      <c r="I33" s="1828"/>
      <c r="J33" s="1828"/>
      <c r="K33" s="1828"/>
      <c r="L33" s="1828"/>
      <c r="M33" s="1828"/>
      <c r="N33" s="1828"/>
    </row>
    <row r="34" spans="6:14" s="1716" customFormat="1" ht="11.25">
      <c r="F34" s="1828"/>
      <c r="G34" s="1828"/>
      <c r="H34" s="1828"/>
      <c r="I34" s="1828"/>
      <c r="J34" s="1828"/>
      <c r="K34" s="1828"/>
      <c r="L34" s="1828"/>
      <c r="M34" s="1828"/>
      <c r="N34" s="1828"/>
    </row>
    <row r="35" spans="6:14" s="1716" customFormat="1" ht="11.25">
      <c r="F35" s="1828"/>
      <c r="G35" s="1828"/>
      <c r="H35" s="1828"/>
      <c r="I35" s="1828"/>
      <c r="J35" s="1828"/>
      <c r="K35" s="1828"/>
      <c r="L35" s="1828"/>
      <c r="M35" s="1828"/>
      <c r="N35" s="1828"/>
    </row>
    <row r="36" spans="6:14" s="1716" customFormat="1" ht="11.25">
      <c r="F36" s="1828"/>
      <c r="G36" s="1828"/>
      <c r="H36" s="1828"/>
      <c r="I36" s="1828"/>
      <c r="J36" s="1828"/>
      <c r="K36" s="1828"/>
      <c r="L36" s="1828"/>
      <c r="M36" s="1828"/>
      <c r="N36" s="1828"/>
    </row>
    <row r="37" spans="6:14" s="1716" customFormat="1" ht="11.25">
      <c r="F37" s="1828"/>
      <c r="G37" s="1828"/>
      <c r="H37" s="1828"/>
      <c r="I37" s="1828"/>
      <c r="J37" s="1828"/>
      <c r="K37" s="1828"/>
      <c r="L37" s="1828"/>
      <c r="M37" s="1828"/>
      <c r="N37" s="1828"/>
    </row>
    <row r="38" spans="6:14" s="1716" customFormat="1" ht="11.25">
      <c r="F38" s="1828"/>
      <c r="G38" s="1828"/>
      <c r="H38" s="1828"/>
      <c r="I38" s="1828"/>
      <c r="J38" s="1828"/>
      <c r="K38" s="1828"/>
      <c r="L38" s="1828"/>
      <c r="M38" s="1828"/>
      <c r="N38" s="1828"/>
    </row>
    <row r="39" spans="6:14" s="1716" customFormat="1" ht="11.25">
      <c r="F39" s="1828"/>
      <c r="G39" s="1828"/>
      <c r="H39" s="1828"/>
      <c r="I39" s="1828"/>
      <c r="J39" s="1828"/>
      <c r="K39" s="1828"/>
      <c r="L39" s="1828"/>
      <c r="M39" s="1828"/>
      <c r="N39" s="1828"/>
    </row>
    <row r="40" spans="6:14" s="1716" customFormat="1" ht="11.25">
      <c r="F40" s="1828"/>
      <c r="G40" s="1828"/>
      <c r="H40" s="1828"/>
      <c r="I40" s="1828"/>
      <c r="J40" s="1828"/>
      <c r="K40" s="1828"/>
      <c r="L40" s="1828"/>
      <c r="M40" s="1828"/>
      <c r="N40" s="1828"/>
    </row>
    <row r="41" spans="6:14" s="1716" customFormat="1" ht="11.25">
      <c r="F41" s="1828"/>
      <c r="G41" s="1828"/>
      <c r="H41" s="1828"/>
      <c r="I41" s="1828"/>
      <c r="J41" s="1828"/>
      <c r="K41" s="1828"/>
      <c r="L41" s="1828"/>
      <c r="M41" s="1828"/>
      <c r="N41" s="1828"/>
    </row>
    <row r="42" spans="6:14" s="1716" customFormat="1" ht="11.25">
      <c r="F42" s="1828"/>
      <c r="G42" s="1828"/>
      <c r="H42" s="1828"/>
      <c r="I42" s="1828"/>
      <c r="J42" s="1828"/>
      <c r="K42" s="1828"/>
      <c r="L42" s="1828"/>
      <c r="M42" s="1828"/>
      <c r="N42" s="1828"/>
    </row>
    <row r="43" spans="6:14" s="1716" customFormat="1" ht="11.25">
      <c r="F43" s="1828"/>
      <c r="G43" s="1828"/>
      <c r="H43" s="1828"/>
      <c r="I43" s="1828"/>
      <c r="J43" s="1828"/>
      <c r="K43" s="1828"/>
      <c r="L43" s="1828"/>
      <c r="M43" s="1828"/>
      <c r="N43" s="1828"/>
    </row>
    <row r="44" spans="6:14" s="1716" customFormat="1" ht="11.25">
      <c r="F44" s="1828"/>
      <c r="G44" s="1828"/>
      <c r="H44" s="1828"/>
      <c r="I44" s="1828"/>
      <c r="J44" s="1828"/>
      <c r="K44" s="1828"/>
      <c r="L44" s="1828"/>
      <c r="M44" s="1828"/>
      <c r="N44" s="1828"/>
    </row>
    <row r="45" spans="6:14" s="1716" customFormat="1" ht="11.25">
      <c r="F45" s="1828"/>
      <c r="G45" s="1828"/>
      <c r="H45" s="1828"/>
      <c r="I45" s="1828"/>
      <c r="J45" s="1828"/>
      <c r="K45" s="1828"/>
      <c r="L45" s="1828"/>
      <c r="M45" s="1828"/>
      <c r="N45" s="1828"/>
    </row>
    <row r="46" spans="6:14" s="1716" customFormat="1" ht="11.25">
      <c r="F46" s="1828"/>
      <c r="G46" s="1828"/>
      <c r="H46" s="1828"/>
      <c r="I46" s="1828"/>
      <c r="J46" s="1828"/>
      <c r="K46" s="1828"/>
      <c r="L46" s="1828"/>
      <c r="M46" s="1828"/>
      <c r="N46" s="1828"/>
    </row>
    <row r="47" spans="6:14" s="1716" customFormat="1" ht="11.25">
      <c r="F47" s="1828"/>
      <c r="G47" s="1828"/>
      <c r="H47" s="1828"/>
      <c r="I47" s="1828"/>
      <c r="J47" s="1828"/>
      <c r="K47" s="1828"/>
      <c r="L47" s="1828"/>
      <c r="M47" s="1828"/>
      <c r="N47" s="1828"/>
    </row>
    <row r="48" spans="6:14" s="1716" customFormat="1" ht="11.25">
      <c r="F48" s="1828"/>
      <c r="G48" s="1828"/>
      <c r="H48" s="1828"/>
      <c r="I48" s="1828"/>
      <c r="J48" s="1828"/>
      <c r="K48" s="1828"/>
      <c r="L48" s="1828"/>
      <c r="M48" s="1828"/>
      <c r="N48" s="1828"/>
    </row>
    <row r="49" spans="6:14" s="1716" customFormat="1" ht="11.25">
      <c r="F49" s="1828"/>
      <c r="G49" s="1828"/>
      <c r="H49" s="1828"/>
      <c r="I49" s="1828"/>
      <c r="J49" s="1828"/>
      <c r="K49" s="1828"/>
      <c r="L49" s="1828"/>
      <c r="M49" s="1828"/>
      <c r="N49" s="1828"/>
    </row>
    <row r="50" spans="6:14" s="1716" customFormat="1" ht="11.25">
      <c r="F50" s="1828"/>
      <c r="G50" s="1828"/>
      <c r="H50" s="1828"/>
      <c r="I50" s="1828"/>
      <c r="J50" s="1828"/>
      <c r="K50" s="1828"/>
      <c r="L50" s="1828"/>
      <c r="M50" s="1828"/>
      <c r="N50" s="1828"/>
    </row>
    <row r="51" spans="6:14" s="1716" customFormat="1" ht="11.25">
      <c r="F51" s="1828"/>
      <c r="G51" s="1828"/>
      <c r="H51" s="1828"/>
      <c r="I51" s="1828"/>
      <c r="J51" s="1828"/>
      <c r="K51" s="1828"/>
      <c r="L51" s="1828"/>
      <c r="M51" s="1828"/>
      <c r="N51" s="1828"/>
    </row>
    <row r="52" spans="6:14" s="1716" customFormat="1" ht="11.25">
      <c r="F52" s="1828"/>
      <c r="G52" s="1828"/>
      <c r="H52" s="1828"/>
      <c r="I52" s="1828"/>
      <c r="J52" s="1828"/>
      <c r="K52" s="1828"/>
      <c r="L52" s="1828"/>
      <c r="M52" s="1828"/>
      <c r="N52" s="1828"/>
    </row>
    <row r="53" spans="6:14" s="1716" customFormat="1" ht="11.25">
      <c r="F53" s="1828"/>
      <c r="G53" s="1828"/>
      <c r="H53" s="1828"/>
      <c r="I53" s="1828"/>
      <c r="J53" s="1828"/>
      <c r="K53" s="1828"/>
      <c r="L53" s="1828"/>
      <c r="M53" s="1828"/>
      <c r="N53" s="1828"/>
    </row>
    <row r="54" spans="6:14" s="1716" customFormat="1" ht="11.25">
      <c r="F54" s="1828"/>
      <c r="G54" s="1828"/>
      <c r="H54" s="1828"/>
      <c r="I54" s="1828"/>
      <c r="J54" s="1828"/>
      <c r="K54" s="1828"/>
      <c r="L54" s="1828"/>
      <c r="M54" s="1828"/>
      <c r="N54" s="1828"/>
    </row>
    <row r="55" spans="6:14" s="1716" customFormat="1" ht="11.25">
      <c r="F55" s="1828"/>
      <c r="G55" s="1828"/>
      <c r="H55" s="1828"/>
      <c r="I55" s="1828"/>
      <c r="J55" s="1828"/>
      <c r="K55" s="1828"/>
      <c r="L55" s="1828"/>
      <c r="M55" s="1828"/>
      <c r="N55" s="1828"/>
    </row>
    <row r="56" spans="6:14" s="1716" customFormat="1" ht="11.25">
      <c r="F56" s="1828"/>
      <c r="G56" s="1828"/>
      <c r="H56" s="1828"/>
      <c r="I56" s="1828"/>
      <c r="J56" s="1828"/>
      <c r="K56" s="1828"/>
      <c r="L56" s="1828"/>
      <c r="M56" s="1828"/>
      <c r="N56" s="1828"/>
    </row>
    <row r="57" spans="6:14" s="1716" customFormat="1" ht="11.25">
      <c r="F57" s="1828"/>
      <c r="G57" s="1828"/>
      <c r="H57" s="1828"/>
      <c r="I57" s="1828"/>
      <c r="J57" s="1828"/>
      <c r="K57" s="1828"/>
      <c r="L57" s="1828"/>
      <c r="M57" s="1828"/>
      <c r="N57" s="1828"/>
    </row>
    <row r="58" spans="6:14" s="1716" customFormat="1" ht="11.25">
      <c r="F58" s="1828"/>
      <c r="G58" s="1828"/>
      <c r="H58" s="1828"/>
      <c r="I58" s="1828"/>
      <c r="J58" s="1828"/>
      <c r="K58" s="1828"/>
      <c r="L58" s="1828"/>
      <c r="M58" s="1828"/>
      <c r="N58" s="1828"/>
    </row>
    <row r="59" spans="6:14" s="1716" customFormat="1" ht="11.25">
      <c r="F59" s="1828"/>
      <c r="G59" s="1828"/>
      <c r="H59" s="1828"/>
      <c r="I59" s="1828"/>
      <c r="J59" s="1828"/>
      <c r="K59" s="1828"/>
      <c r="L59" s="1828"/>
      <c r="M59" s="1828"/>
      <c r="N59" s="1828"/>
    </row>
    <row r="60" spans="6:14" s="1716" customFormat="1" ht="11.25">
      <c r="F60" s="1828"/>
      <c r="G60" s="1828"/>
      <c r="H60" s="1828"/>
      <c r="I60" s="1828"/>
      <c r="J60" s="1828"/>
      <c r="K60" s="1828"/>
      <c r="L60" s="1828"/>
      <c r="M60" s="1828"/>
      <c r="N60" s="1828"/>
    </row>
    <row r="61" spans="6:14" s="1716" customFormat="1" ht="11.25">
      <c r="F61" s="1828"/>
      <c r="G61" s="1828"/>
      <c r="H61" s="1828"/>
      <c r="I61" s="1828"/>
      <c r="J61" s="1828"/>
      <c r="K61" s="1828"/>
      <c r="L61" s="1828"/>
      <c r="M61" s="1828"/>
      <c r="N61" s="1828"/>
    </row>
    <row r="62" spans="6:14" s="1716" customFormat="1" ht="11.25">
      <c r="F62" s="1828"/>
      <c r="G62" s="1828"/>
      <c r="H62" s="1828"/>
      <c r="I62" s="1828"/>
      <c r="J62" s="1828"/>
      <c r="K62" s="1828"/>
      <c r="L62" s="1828"/>
      <c r="M62" s="1828"/>
      <c r="N62" s="1828"/>
    </row>
    <row r="63" spans="6:14" s="1716" customFormat="1" ht="11.25">
      <c r="F63" s="1828"/>
      <c r="G63" s="1828"/>
      <c r="H63" s="1828"/>
      <c r="I63" s="1828"/>
      <c r="J63" s="1828"/>
      <c r="K63" s="1828"/>
      <c r="L63" s="1828"/>
      <c r="M63" s="1828"/>
      <c r="N63" s="1828"/>
    </row>
    <row r="64" spans="6:14" s="1716" customFormat="1" ht="11.25">
      <c r="F64" s="1828"/>
      <c r="G64" s="1828"/>
      <c r="H64" s="1828"/>
      <c r="I64" s="1828"/>
      <c r="J64" s="1828"/>
      <c r="K64" s="1828"/>
      <c r="L64" s="1828"/>
      <c r="M64" s="1828"/>
      <c r="N64" s="1828"/>
    </row>
    <row r="65" spans="6:14" s="1716" customFormat="1" ht="11.25">
      <c r="F65" s="1828"/>
      <c r="G65" s="1828"/>
      <c r="H65" s="1828"/>
      <c r="I65" s="1828"/>
      <c r="J65" s="1828"/>
      <c r="K65" s="1828"/>
      <c r="L65" s="1828"/>
      <c r="M65" s="1828"/>
      <c r="N65" s="1828"/>
    </row>
    <row r="66" spans="6:14" s="1716" customFormat="1" ht="11.25">
      <c r="F66" s="1828"/>
      <c r="G66" s="1828"/>
      <c r="H66" s="1828"/>
      <c r="I66" s="1828"/>
      <c r="J66" s="1828"/>
      <c r="K66" s="1828"/>
      <c r="L66" s="1828"/>
      <c r="M66" s="1828"/>
      <c r="N66" s="1828"/>
    </row>
    <row r="67" spans="6:14" s="1716" customFormat="1" ht="11.25">
      <c r="F67" s="1828"/>
      <c r="G67" s="1828"/>
      <c r="H67" s="1828"/>
      <c r="I67" s="1828"/>
      <c r="J67" s="1828"/>
      <c r="K67" s="1828"/>
      <c r="L67" s="1828"/>
      <c r="M67" s="1828"/>
      <c r="N67" s="1828"/>
    </row>
    <row r="68" spans="6:14" s="1716" customFormat="1" ht="11.25">
      <c r="F68" s="1828"/>
      <c r="G68" s="1828"/>
      <c r="H68" s="1828"/>
      <c r="I68" s="1828"/>
      <c r="J68" s="1828"/>
      <c r="K68" s="1828"/>
      <c r="L68" s="1828"/>
      <c r="M68" s="1828"/>
      <c r="N68" s="1828"/>
    </row>
    <row r="69" spans="6:14" s="1716" customFormat="1" ht="11.25">
      <c r="F69" s="1828"/>
      <c r="G69" s="1828"/>
      <c r="H69" s="1828"/>
      <c r="I69" s="1828"/>
      <c r="J69" s="1828"/>
      <c r="K69" s="1828"/>
      <c r="L69" s="1828"/>
      <c r="M69" s="1828"/>
      <c r="N69" s="1828"/>
    </row>
    <row r="70" spans="6:14" s="1716" customFormat="1" ht="11.25">
      <c r="F70" s="1828"/>
      <c r="G70" s="1828"/>
      <c r="H70" s="1828"/>
      <c r="I70" s="1828"/>
      <c r="J70" s="1828"/>
      <c r="K70" s="1828"/>
      <c r="L70" s="1828"/>
      <c r="M70" s="1828"/>
      <c r="N70" s="1828"/>
    </row>
    <row r="71" spans="6:14" s="1716" customFormat="1" ht="11.25">
      <c r="F71" s="1828"/>
      <c r="G71" s="1828"/>
      <c r="H71" s="1828"/>
      <c r="I71" s="1828"/>
      <c r="J71" s="1828"/>
      <c r="K71" s="1828"/>
      <c r="L71" s="1828"/>
      <c r="M71" s="1828"/>
      <c r="N71" s="1828"/>
    </row>
    <row r="72" spans="6:14" s="1716" customFormat="1" ht="11.25">
      <c r="F72" s="1828"/>
      <c r="G72" s="1828"/>
      <c r="H72" s="1828"/>
      <c r="I72" s="1828"/>
      <c r="J72" s="1828"/>
      <c r="K72" s="1828"/>
      <c r="L72" s="1828"/>
      <c r="M72" s="1828"/>
      <c r="N72" s="1828"/>
    </row>
    <row r="73" spans="6:14" s="1716" customFormat="1" ht="11.25">
      <c r="F73" s="1828"/>
      <c r="G73" s="1828"/>
      <c r="H73" s="1828"/>
      <c r="I73" s="1828"/>
      <c r="J73" s="1828"/>
      <c r="K73" s="1828"/>
      <c r="L73" s="1828"/>
      <c r="M73" s="1828"/>
      <c r="N73" s="1828"/>
    </row>
    <row r="74" spans="6:14" s="1716" customFormat="1" ht="11.25">
      <c r="F74" s="1828"/>
      <c r="G74" s="1828"/>
      <c r="H74" s="1828"/>
      <c r="I74" s="1828"/>
      <c r="J74" s="1828"/>
      <c r="K74" s="1828"/>
      <c r="L74" s="1828"/>
      <c r="M74" s="1828"/>
      <c r="N74" s="1828"/>
    </row>
    <row r="75" spans="6:14" s="1716" customFormat="1" ht="11.25">
      <c r="F75" s="1828"/>
      <c r="G75" s="1828"/>
      <c r="H75" s="1828"/>
      <c r="I75" s="1828"/>
      <c r="J75" s="1828"/>
      <c r="K75" s="1828"/>
      <c r="L75" s="1828"/>
      <c r="M75" s="1828"/>
      <c r="N75" s="1828"/>
    </row>
    <row r="76" spans="6:14" s="1716" customFormat="1" ht="11.25">
      <c r="F76" s="1828"/>
      <c r="G76" s="1828"/>
      <c r="H76" s="1828"/>
      <c r="I76" s="1828"/>
      <c r="J76" s="1828"/>
      <c r="K76" s="1828"/>
      <c r="L76" s="1828"/>
      <c r="M76" s="1828"/>
      <c r="N76" s="1828"/>
    </row>
    <row r="77" spans="6:14" s="1716" customFormat="1" ht="11.25">
      <c r="F77" s="1828"/>
      <c r="G77" s="1828"/>
      <c r="H77" s="1828"/>
      <c r="I77" s="1828"/>
      <c r="J77" s="1828"/>
      <c r="K77" s="1828"/>
      <c r="L77" s="1828"/>
      <c r="M77" s="1828"/>
      <c r="N77" s="1828"/>
    </row>
    <row r="78" spans="6:14" s="1716" customFormat="1" ht="11.25">
      <c r="F78" s="1828"/>
      <c r="G78" s="1828"/>
      <c r="H78" s="1828"/>
      <c r="I78" s="1828"/>
      <c r="J78" s="1828"/>
      <c r="K78" s="1828"/>
      <c r="L78" s="1828"/>
      <c r="M78" s="1828"/>
      <c r="N78" s="1828"/>
    </row>
    <row r="79" spans="6:14" s="1716" customFormat="1" ht="11.25">
      <c r="F79" s="1828"/>
      <c r="G79" s="1828"/>
      <c r="H79" s="1828"/>
      <c r="I79" s="1828"/>
      <c r="J79" s="1828"/>
      <c r="K79" s="1828"/>
      <c r="L79" s="1828"/>
      <c r="M79" s="1828"/>
      <c r="N79" s="1828"/>
    </row>
    <row r="80" spans="6:14" s="1716" customFormat="1" ht="11.25">
      <c r="F80" s="1828"/>
      <c r="G80" s="1828"/>
      <c r="H80" s="1828"/>
      <c r="I80" s="1828"/>
      <c r="J80" s="1828"/>
      <c r="K80" s="1828"/>
      <c r="L80" s="1828"/>
      <c r="M80" s="1828"/>
      <c r="N80" s="1828"/>
    </row>
    <row r="81" spans="6:14" s="1716" customFormat="1" ht="11.25">
      <c r="F81" s="1828"/>
      <c r="G81" s="1828"/>
      <c r="H81" s="1828"/>
      <c r="I81" s="1828"/>
      <c r="J81" s="1828"/>
      <c r="K81" s="1828"/>
      <c r="L81" s="1828"/>
      <c r="M81" s="1828"/>
      <c r="N81" s="1828"/>
    </row>
    <row r="82" spans="6:14" s="1716" customFormat="1" ht="11.25">
      <c r="F82" s="1828"/>
      <c r="G82" s="1828"/>
      <c r="H82" s="1828"/>
      <c r="I82" s="1828"/>
      <c r="J82" s="1828"/>
      <c r="K82" s="1828"/>
      <c r="L82" s="1828"/>
      <c r="M82" s="1828"/>
      <c r="N82" s="1828"/>
    </row>
    <row r="83" spans="6:14" s="1716" customFormat="1" ht="11.25">
      <c r="F83" s="1828"/>
      <c r="G83" s="1828"/>
      <c r="H83" s="1828"/>
      <c r="I83" s="1828"/>
      <c r="J83" s="1828"/>
      <c r="K83" s="1828"/>
      <c r="L83" s="1828"/>
      <c r="M83" s="1828"/>
      <c r="N83" s="1828"/>
    </row>
    <row r="84" spans="6:14" s="1716" customFormat="1" ht="11.25">
      <c r="F84" s="1828"/>
      <c r="G84" s="1828"/>
      <c r="H84" s="1828"/>
      <c r="I84" s="1828"/>
      <c r="J84" s="1828"/>
      <c r="K84" s="1828"/>
      <c r="L84" s="1828"/>
      <c r="M84" s="1828"/>
      <c r="N84" s="1828"/>
    </row>
    <row r="85" spans="6:14" s="1716" customFormat="1" ht="11.25">
      <c r="F85" s="1828"/>
      <c r="G85" s="1828"/>
      <c r="H85" s="1828"/>
      <c r="I85" s="1828"/>
      <c r="J85" s="1828"/>
      <c r="K85" s="1828"/>
      <c r="L85" s="1828"/>
      <c r="M85" s="1828"/>
      <c r="N85" s="1828"/>
    </row>
    <row r="86" spans="6:14" s="1716" customFormat="1" ht="11.25">
      <c r="F86" s="1828"/>
      <c r="G86" s="1828"/>
      <c r="H86" s="1828"/>
      <c r="I86" s="1828"/>
      <c r="J86" s="1828"/>
      <c r="K86" s="1828"/>
      <c r="L86" s="1828"/>
      <c r="M86" s="1828"/>
      <c r="N86" s="1828"/>
    </row>
    <row r="87" spans="6:14" s="1716" customFormat="1" ht="11.25">
      <c r="F87" s="1828"/>
      <c r="G87" s="1828"/>
      <c r="H87" s="1828"/>
      <c r="I87" s="1828"/>
      <c r="J87" s="1828"/>
      <c r="K87" s="1828"/>
      <c r="L87" s="1828"/>
      <c r="M87" s="1828"/>
      <c r="N87" s="1828"/>
    </row>
    <row r="88" spans="6:14" s="1716" customFormat="1" ht="11.25">
      <c r="F88" s="1828"/>
      <c r="G88" s="1828"/>
      <c r="H88" s="1828"/>
      <c r="I88" s="1828"/>
      <c r="J88" s="1828"/>
      <c r="K88" s="1828"/>
      <c r="L88" s="1828"/>
      <c r="M88" s="1828"/>
      <c r="N88" s="1828"/>
    </row>
    <row r="89" spans="6:14" s="1716" customFormat="1" ht="11.25">
      <c r="F89" s="1828"/>
      <c r="G89" s="1828"/>
      <c r="H89" s="1828"/>
      <c r="I89" s="1828"/>
      <c r="J89" s="1828"/>
      <c r="K89" s="1828"/>
      <c r="L89" s="1828"/>
      <c r="M89" s="1828"/>
      <c r="N89" s="1828"/>
    </row>
    <row r="90" spans="6:14" s="1716" customFormat="1" ht="11.25">
      <c r="F90" s="1828"/>
      <c r="G90" s="1828"/>
      <c r="H90" s="1828"/>
      <c r="I90" s="1828"/>
      <c r="J90" s="1828"/>
      <c r="K90" s="1828"/>
      <c r="L90" s="1828"/>
      <c r="M90" s="1828"/>
      <c r="N90" s="1828"/>
    </row>
    <row r="91" spans="6:14" s="1716" customFormat="1" ht="11.25">
      <c r="F91" s="1828"/>
      <c r="G91" s="1828"/>
      <c r="H91" s="1828"/>
      <c r="I91" s="1828"/>
      <c r="J91" s="1828"/>
      <c r="K91" s="1828"/>
      <c r="L91" s="1828"/>
      <c r="M91" s="1828"/>
      <c r="N91" s="1828"/>
    </row>
    <row r="92" spans="6:14" s="1716" customFormat="1" ht="11.25">
      <c r="F92" s="1828"/>
      <c r="G92" s="1828"/>
      <c r="H92" s="1828"/>
      <c r="I92" s="1828"/>
      <c r="J92" s="1828"/>
      <c r="K92" s="1828"/>
      <c r="L92" s="1828"/>
      <c r="M92" s="1828"/>
      <c r="N92" s="1828"/>
    </row>
    <row r="93" spans="6:14" s="1716" customFormat="1" ht="11.25">
      <c r="F93" s="1828"/>
      <c r="G93" s="1828"/>
      <c r="H93" s="1828"/>
      <c r="I93" s="1828"/>
      <c r="J93" s="1828"/>
      <c r="K93" s="1828"/>
      <c r="L93" s="1828"/>
      <c r="M93" s="1828"/>
      <c r="N93" s="1828"/>
    </row>
    <row r="94" spans="6:14" s="1716" customFormat="1" ht="11.25">
      <c r="F94" s="1828"/>
      <c r="G94" s="1828"/>
      <c r="H94" s="1828"/>
      <c r="I94" s="1828"/>
      <c r="J94" s="1828"/>
      <c r="K94" s="1828"/>
      <c r="L94" s="1828"/>
      <c r="M94" s="1828"/>
      <c r="N94" s="1828"/>
    </row>
    <row r="95" spans="6:14" s="1716" customFormat="1" ht="11.25">
      <c r="F95" s="1828"/>
      <c r="G95" s="1828"/>
      <c r="H95" s="1828"/>
      <c r="I95" s="1828"/>
      <c r="J95" s="1828"/>
      <c r="K95" s="1828"/>
      <c r="L95" s="1828"/>
      <c r="M95" s="1828"/>
      <c r="N95" s="1828"/>
    </row>
    <row r="96" spans="6:14" s="1716" customFormat="1" ht="11.25">
      <c r="F96" s="1828"/>
      <c r="G96" s="1828"/>
      <c r="H96" s="1828"/>
      <c r="I96" s="1828"/>
      <c r="J96" s="1828"/>
      <c r="K96" s="1828"/>
      <c r="L96" s="1828"/>
      <c r="M96" s="1828"/>
      <c r="N96" s="1828"/>
    </row>
    <row r="97" spans="6:14" s="1716" customFormat="1" ht="11.25">
      <c r="F97" s="1828"/>
      <c r="G97" s="1828"/>
      <c r="H97" s="1828"/>
      <c r="I97" s="1828"/>
      <c r="J97" s="1828"/>
      <c r="K97" s="1828"/>
      <c r="L97" s="1828"/>
      <c r="M97" s="1828"/>
      <c r="N97" s="1828"/>
    </row>
    <row r="98" spans="6:14" s="1716" customFormat="1" ht="11.25">
      <c r="F98" s="1828"/>
      <c r="G98" s="1828"/>
      <c r="H98" s="1828"/>
      <c r="I98" s="1828"/>
      <c r="J98" s="1828"/>
      <c r="K98" s="1828"/>
      <c r="L98" s="1828"/>
      <c r="M98" s="1828"/>
      <c r="N98" s="1828"/>
    </row>
    <row r="99" spans="6:14" s="1716" customFormat="1" ht="11.25">
      <c r="F99" s="1828"/>
      <c r="G99" s="1828"/>
      <c r="H99" s="1828"/>
      <c r="I99" s="1828"/>
      <c r="J99" s="1828"/>
      <c r="K99" s="1828"/>
      <c r="L99" s="1828"/>
      <c r="M99" s="1828"/>
      <c r="N99" s="1828"/>
    </row>
    <row r="100" spans="6:14" s="1716" customFormat="1" ht="11.25">
      <c r="F100" s="1828"/>
      <c r="G100" s="1828"/>
      <c r="H100" s="1828"/>
      <c r="I100" s="1828"/>
      <c r="J100" s="1828"/>
      <c r="K100" s="1828"/>
      <c r="L100" s="1828"/>
      <c r="M100" s="1828"/>
      <c r="N100" s="1828"/>
    </row>
    <row r="101" spans="6:14" s="1716" customFormat="1" ht="11.25">
      <c r="F101" s="1828"/>
      <c r="G101" s="1828"/>
      <c r="H101" s="1828"/>
      <c r="I101" s="1828"/>
      <c r="J101" s="1828"/>
      <c r="K101" s="1828"/>
      <c r="L101" s="1828"/>
      <c r="M101" s="1828"/>
      <c r="N101" s="1828"/>
    </row>
    <row r="102" spans="6:14" s="1716" customFormat="1" ht="11.25">
      <c r="F102" s="1828"/>
      <c r="G102" s="1828"/>
      <c r="H102" s="1828"/>
      <c r="I102" s="1828"/>
      <c r="J102" s="1828"/>
      <c r="K102" s="1828"/>
      <c r="L102" s="1828"/>
      <c r="M102" s="1828"/>
      <c r="N102" s="1828"/>
    </row>
    <row r="103" spans="6:14" s="1716" customFormat="1" ht="11.25">
      <c r="F103" s="1828"/>
      <c r="G103" s="1828"/>
      <c r="H103" s="1828"/>
      <c r="I103" s="1828"/>
      <c r="J103" s="1828"/>
      <c r="K103" s="1828"/>
      <c r="L103" s="1828"/>
      <c r="M103" s="1828"/>
      <c r="N103" s="1828"/>
    </row>
    <row r="104" spans="6:14" s="1716" customFormat="1" ht="11.25">
      <c r="F104" s="1828"/>
      <c r="G104" s="1828"/>
      <c r="H104" s="1828"/>
      <c r="I104" s="1828"/>
      <c r="J104" s="1828"/>
      <c r="K104" s="1828"/>
      <c r="L104" s="1828"/>
      <c r="M104" s="1828"/>
      <c r="N104" s="1828"/>
    </row>
    <row r="105" spans="6:14" s="1716" customFormat="1" ht="11.25">
      <c r="F105" s="1828"/>
      <c r="G105" s="1828"/>
      <c r="H105" s="1828"/>
      <c r="I105" s="1828"/>
      <c r="J105" s="1828"/>
      <c r="K105" s="1828"/>
      <c r="L105" s="1828"/>
      <c r="M105" s="1828"/>
      <c r="N105" s="1828"/>
    </row>
    <row r="106" spans="6:14" s="1716" customFormat="1" ht="11.25">
      <c r="F106" s="1828"/>
      <c r="G106" s="1828"/>
      <c r="H106" s="1828"/>
      <c r="I106" s="1828"/>
      <c r="J106" s="1828"/>
      <c r="K106" s="1828"/>
      <c r="L106" s="1828"/>
      <c r="M106" s="1828"/>
      <c r="N106" s="1828"/>
    </row>
    <row r="107" spans="6:14" s="1716" customFormat="1" ht="11.25">
      <c r="F107" s="1828"/>
      <c r="G107" s="1828"/>
      <c r="H107" s="1828"/>
      <c r="I107" s="1828"/>
      <c r="J107" s="1828"/>
      <c r="K107" s="1828"/>
      <c r="L107" s="1828"/>
      <c r="M107" s="1828"/>
      <c r="N107" s="1828"/>
    </row>
    <row r="108" spans="6:14" s="1716" customFormat="1" ht="11.25">
      <c r="F108" s="1828"/>
      <c r="G108" s="1828"/>
      <c r="H108" s="1828"/>
      <c r="I108" s="1828"/>
      <c r="J108" s="1828"/>
      <c r="K108" s="1828"/>
      <c r="L108" s="1828"/>
      <c r="M108" s="1828"/>
      <c r="N108" s="1828"/>
    </row>
    <row r="109" spans="6:14" s="1716" customFormat="1" ht="11.25">
      <c r="F109" s="1828"/>
      <c r="G109" s="1828"/>
      <c r="H109" s="1828"/>
      <c r="I109" s="1828"/>
      <c r="J109" s="1828"/>
      <c r="K109" s="1828"/>
      <c r="L109" s="1828"/>
      <c r="M109" s="1828"/>
      <c r="N109" s="1828"/>
    </row>
    <row r="110" spans="6:14" s="1716" customFormat="1" ht="11.25">
      <c r="F110" s="1828"/>
      <c r="G110" s="1828"/>
      <c r="H110" s="1828"/>
      <c r="I110" s="1828"/>
      <c r="J110" s="1828"/>
      <c r="K110" s="1828"/>
      <c r="L110" s="1828"/>
      <c r="M110" s="1828"/>
      <c r="N110" s="1828"/>
    </row>
    <row r="111" spans="6:14" s="1716" customFormat="1" ht="11.25">
      <c r="F111" s="1828"/>
      <c r="G111" s="1828"/>
      <c r="H111" s="1828"/>
      <c r="I111" s="1828"/>
      <c r="J111" s="1828"/>
      <c r="K111" s="1828"/>
      <c r="L111" s="1828"/>
      <c r="M111" s="1828"/>
      <c r="N111" s="1828"/>
    </row>
    <row r="112" spans="6:14" s="1716" customFormat="1" ht="11.25">
      <c r="F112" s="1828"/>
      <c r="G112" s="1828"/>
      <c r="H112" s="1828"/>
      <c r="I112" s="1828"/>
      <c r="J112" s="1828"/>
      <c r="K112" s="1828"/>
      <c r="L112" s="1828"/>
      <c r="M112" s="1828"/>
      <c r="N112" s="1828"/>
    </row>
    <row r="113" spans="6:14" s="1716" customFormat="1" ht="11.25">
      <c r="F113" s="1828"/>
      <c r="G113" s="1828"/>
      <c r="H113" s="1828"/>
      <c r="I113" s="1828"/>
      <c r="J113" s="1828"/>
      <c r="K113" s="1828"/>
      <c r="L113" s="1828"/>
      <c r="M113" s="1828"/>
      <c r="N113" s="1828"/>
    </row>
    <row r="114" spans="6:14" s="1716" customFormat="1" ht="11.25">
      <c r="F114" s="1828"/>
      <c r="G114" s="1828"/>
      <c r="H114" s="1828"/>
      <c r="I114" s="1828"/>
      <c r="J114" s="1828"/>
      <c r="K114" s="1828"/>
      <c r="L114" s="1828"/>
      <c r="M114" s="1828"/>
      <c r="N114" s="1828"/>
    </row>
    <row r="115" spans="6:14" s="1716" customFormat="1" ht="11.25">
      <c r="F115" s="1828"/>
      <c r="G115" s="1828"/>
      <c r="H115" s="1828"/>
      <c r="I115" s="1828"/>
      <c r="J115" s="1828"/>
      <c r="K115" s="1828"/>
      <c r="L115" s="1828"/>
      <c r="M115" s="1828"/>
      <c r="N115" s="1828"/>
    </row>
    <row r="116" spans="6:14" s="1716" customFormat="1" ht="11.25">
      <c r="F116" s="1828"/>
      <c r="G116" s="1828"/>
      <c r="H116" s="1828"/>
      <c r="I116" s="1828"/>
      <c r="J116" s="1828"/>
      <c r="K116" s="1828"/>
      <c r="L116" s="1828"/>
      <c r="M116" s="1828"/>
      <c r="N116" s="1828"/>
    </row>
    <row r="117" spans="6:14" s="1716" customFormat="1" ht="11.25">
      <c r="F117" s="1828"/>
      <c r="G117" s="1828"/>
      <c r="H117" s="1828"/>
      <c r="I117" s="1828"/>
      <c r="J117" s="1828"/>
      <c r="K117" s="1828"/>
      <c r="L117" s="1828"/>
      <c r="M117" s="1828"/>
      <c r="N117" s="1828"/>
    </row>
    <row r="118" spans="6:14" s="1716" customFormat="1" ht="11.25">
      <c r="F118" s="1828"/>
      <c r="G118" s="1828"/>
      <c r="H118" s="1828"/>
      <c r="I118" s="1828"/>
      <c r="J118" s="1828"/>
      <c r="K118" s="1828"/>
      <c r="L118" s="1828"/>
      <c r="M118" s="1828"/>
      <c r="N118" s="1828"/>
    </row>
    <row r="119" spans="6:14" s="1716" customFormat="1" ht="11.25">
      <c r="F119" s="1828"/>
      <c r="G119" s="1828"/>
      <c r="H119" s="1828"/>
      <c r="I119" s="1828"/>
      <c r="J119" s="1828"/>
      <c r="K119" s="1828"/>
      <c r="L119" s="1828"/>
      <c r="M119" s="1828"/>
      <c r="N119" s="1828"/>
    </row>
    <row r="120" spans="6:14" s="1716" customFormat="1" ht="11.25">
      <c r="F120" s="1828"/>
      <c r="G120" s="1828"/>
      <c r="H120" s="1828"/>
      <c r="I120" s="1828"/>
      <c r="J120" s="1828"/>
      <c r="K120" s="1828"/>
      <c r="L120" s="1828"/>
      <c r="M120" s="1828"/>
      <c r="N120" s="1828"/>
    </row>
    <row r="121" spans="6:14" s="1716" customFormat="1" ht="11.25">
      <c r="F121" s="1828"/>
      <c r="G121" s="1828"/>
      <c r="H121" s="1828"/>
      <c r="I121" s="1828"/>
      <c r="J121" s="1828"/>
      <c r="K121" s="1828"/>
      <c r="L121" s="1828"/>
      <c r="M121" s="1828"/>
      <c r="N121" s="1828"/>
    </row>
    <row r="122" spans="6:14" s="1716" customFormat="1" ht="11.25">
      <c r="F122" s="1828"/>
      <c r="G122" s="1828"/>
      <c r="H122" s="1828"/>
      <c r="I122" s="1828"/>
      <c r="J122" s="1828"/>
      <c r="K122" s="1828"/>
      <c r="L122" s="1828"/>
      <c r="M122" s="1828"/>
      <c r="N122" s="1828"/>
    </row>
    <row r="123" spans="6:14" s="1716" customFormat="1" ht="11.25">
      <c r="F123" s="1828"/>
      <c r="G123" s="1828"/>
      <c r="H123" s="1828"/>
      <c r="I123" s="1828"/>
      <c r="J123" s="1828"/>
      <c r="K123" s="1828"/>
      <c r="L123" s="1828"/>
      <c r="M123" s="1828"/>
      <c r="N123" s="1828"/>
    </row>
  </sheetData>
  <mergeCells count="25">
    <mergeCell ref="I10:I11"/>
    <mergeCell ref="B10:C11"/>
    <mergeCell ref="D10:D11"/>
    <mergeCell ref="E10:E11"/>
    <mergeCell ref="G10:G11"/>
    <mergeCell ref="H10:H11"/>
    <mergeCell ref="I8:I9"/>
    <mergeCell ref="A6:C7"/>
    <mergeCell ref="D6:D7"/>
    <mergeCell ref="E6:E7"/>
    <mergeCell ref="G6:G7"/>
    <mergeCell ref="H6:H7"/>
    <mergeCell ref="I6:I7"/>
    <mergeCell ref="B8:C9"/>
    <mergeCell ref="D8:D9"/>
    <mergeCell ref="E8:E9"/>
    <mergeCell ref="G8:G9"/>
    <mergeCell ref="H8:H9"/>
    <mergeCell ref="A1:I1"/>
    <mergeCell ref="A4:C5"/>
    <mergeCell ref="D4:D5"/>
    <mergeCell ref="E4:E5"/>
    <mergeCell ref="G4:G5"/>
    <mergeCell ref="H4:H5"/>
    <mergeCell ref="I4:I5"/>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w6_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C000"/>
  </sheetPr>
  <dimension ref="A1:W125"/>
  <sheetViews>
    <sheetView view="pageBreakPreview" zoomScale="85" zoomScaleNormal="80" zoomScaleSheetLayoutView="85" workbookViewId="0">
      <pane xSplit="3" ySplit="7" topLeftCell="D8" activePane="bottomRight" state="frozen"/>
      <selection activeCell="F11" sqref="F11"/>
      <selection pane="topRight" activeCell="F11" sqref="F11"/>
      <selection pane="bottomLeft" activeCell="F11" sqref="F11"/>
      <selection pane="bottomRight" activeCell="F46" sqref="D46:F47"/>
    </sheetView>
  </sheetViews>
  <sheetFormatPr defaultColWidth="9" defaultRowHeight="13.5" outlineLevelRow="1"/>
  <cols>
    <col min="1" max="1" width="1.875" style="1783" customWidth="1"/>
    <col min="2" max="2" width="4.125" style="1783" customWidth="1"/>
    <col min="3" max="3" width="12.625" style="1783" customWidth="1"/>
    <col min="4" max="5" width="22.625" style="1783" customWidth="1"/>
    <col min="6" max="6" width="13.75" style="1959" customWidth="1"/>
    <col min="7" max="9" width="13.75" style="1788" customWidth="1"/>
    <col min="10" max="11" width="7.75" style="1788" customWidth="1"/>
    <col min="12" max="14" width="12.625" style="1788" customWidth="1"/>
    <col min="15" max="15" width="9" style="1783"/>
    <col min="16" max="16" width="14.375" style="1783" customWidth="1"/>
    <col min="17" max="23" width="12.375" style="1783" customWidth="1"/>
    <col min="24" max="24" width="12.625" style="1783" customWidth="1"/>
    <col min="25" max="16384" width="9" style="1783"/>
  </cols>
  <sheetData>
    <row r="1" spans="1:23" ht="17.25" customHeight="1">
      <c r="A1" s="2222" t="str">
        <f>+"令和"&amp;MID('総括表(不課税)'!A2,3,1)&amp;"年度決算(その他の収入)"</f>
        <v>令和５年度決算(その他の収入)</v>
      </c>
      <c r="B1" s="2222"/>
      <c r="C1" s="2222"/>
      <c r="D1" s="2222"/>
      <c r="E1" s="2222"/>
      <c r="F1" s="2222"/>
      <c r="G1" s="2222"/>
      <c r="H1" s="2222"/>
      <c r="I1" s="2222"/>
      <c r="J1" s="1932"/>
      <c r="K1" s="1932" t="str">
        <f>+IFERROR(VLOOKUP($E1,$P$2:$W$5,5,0),"-")</f>
        <v>-</v>
      </c>
      <c r="L1" s="1932" t="str">
        <f>+IFERROR(VLOOKUP($E1,$P$2:$W$5,6,0),"-")</f>
        <v>-</v>
      </c>
      <c r="M1" s="1932" t="str">
        <f>+IFERROR(VLOOKUP($E1,$P$2:$W$5,7,0),"-")</f>
        <v>-</v>
      </c>
      <c r="N1" s="1932" t="str">
        <f>+IFERROR(VLOOKUP($E1,$P$2:$W$5,8,0),"-")</f>
        <v>-</v>
      </c>
      <c r="O1" s="1783" t="s">
        <v>5196</v>
      </c>
      <c r="P1" s="1716" t="s">
        <v>5190</v>
      </c>
      <c r="Q1" s="1716" t="s">
        <v>5191</v>
      </c>
      <c r="R1" s="1716" t="s">
        <v>5192</v>
      </c>
      <c r="S1" s="1937">
        <v>0.03</v>
      </c>
      <c r="T1" s="1937">
        <v>0.05</v>
      </c>
      <c r="U1" s="1937">
        <v>0.08</v>
      </c>
      <c r="V1" s="2059">
        <v>0.08</v>
      </c>
      <c r="W1" s="1940">
        <v>0.1</v>
      </c>
    </row>
    <row r="2" spans="1:23" ht="17.25" customHeight="1">
      <c r="A2" s="1644"/>
      <c r="B2" s="1644"/>
      <c r="C2" s="1644"/>
      <c r="D2" s="1644"/>
      <c r="E2" s="1644"/>
      <c r="F2" s="1816"/>
      <c r="G2" s="1815"/>
      <c r="H2" s="1815"/>
      <c r="I2" s="1815"/>
      <c r="P2" s="1716" t="s">
        <v>5188</v>
      </c>
      <c r="Q2" s="1934">
        <f>+'3条支出'!$K$41</f>
        <v>9108565869</v>
      </c>
      <c r="R2" s="1934">
        <f>+'3条支出'!$E$41</f>
        <v>42643669657</v>
      </c>
      <c r="S2" s="1932">
        <v>0</v>
      </c>
      <c r="T2" s="1932">
        <v>0</v>
      </c>
      <c r="U2" s="1934">
        <f>+SUM('3条支出'!$F$41:$G$41)+'3条支出'!H$41</f>
        <v>1236141</v>
      </c>
      <c r="V2" s="1934">
        <f>+'3条支出'!I$41</f>
        <v>500878</v>
      </c>
      <c r="W2" s="1934">
        <f>+'3条支出'!J$41</f>
        <v>9106828850</v>
      </c>
    </row>
    <row r="3" spans="1:23" ht="17.25" customHeight="1" thickBot="1">
      <c r="A3" s="1644"/>
      <c r="B3" s="1644"/>
      <c r="C3" s="1644"/>
      <c r="D3" s="1644"/>
      <c r="E3" s="1644"/>
      <c r="F3" s="1816"/>
      <c r="G3" s="1815"/>
      <c r="H3" s="1815"/>
      <c r="I3" s="1816" t="s">
        <v>4891</v>
      </c>
      <c r="P3" s="1716" t="s">
        <v>5189</v>
      </c>
      <c r="Q3" s="1954">
        <v>1</v>
      </c>
      <c r="R3" s="1954">
        <v>1</v>
      </c>
      <c r="S3" s="1962" t="s">
        <v>5197</v>
      </c>
      <c r="T3" s="1962" t="s">
        <v>5197</v>
      </c>
      <c r="U3" s="1955" t="s">
        <v>5195</v>
      </c>
      <c r="V3" s="1955" t="s">
        <v>5195</v>
      </c>
      <c r="W3" s="1955" t="s">
        <v>5195</v>
      </c>
    </row>
    <row r="4" spans="1:23" s="1716" customFormat="1" ht="20.100000000000001" customHeight="1">
      <c r="A4" s="2230" t="s">
        <v>4792</v>
      </c>
      <c r="B4" s="2225"/>
      <c r="C4" s="2231"/>
      <c r="D4" s="2231" t="s">
        <v>4892</v>
      </c>
      <c r="E4" s="2225" t="s">
        <v>4893</v>
      </c>
      <c r="F4" s="1969" t="s">
        <v>4894</v>
      </c>
      <c r="G4" s="2421" t="s">
        <v>4824</v>
      </c>
      <c r="H4" s="2421" t="s">
        <v>4826</v>
      </c>
      <c r="I4" s="2415" t="s">
        <v>4827</v>
      </c>
      <c r="J4" s="1935" t="s">
        <v>5161</v>
      </c>
      <c r="K4" s="1936"/>
      <c r="L4" s="1936"/>
      <c r="M4" s="1936"/>
      <c r="N4" s="1828"/>
      <c r="P4" s="1716" t="s">
        <v>5184</v>
      </c>
      <c r="Q4" s="1954" t="s">
        <v>5193</v>
      </c>
      <c r="R4" s="1954" t="s">
        <v>5193</v>
      </c>
      <c r="S4" s="1954" t="s">
        <v>5193</v>
      </c>
      <c r="T4" s="1954" t="s">
        <v>5193</v>
      </c>
      <c r="U4" s="1954" t="s">
        <v>5193</v>
      </c>
      <c r="V4" s="1954" t="s">
        <v>5193</v>
      </c>
      <c r="W4" s="1954" t="s">
        <v>5193</v>
      </c>
    </row>
    <row r="5" spans="1:23" s="1716" customFormat="1" ht="20.100000000000001" customHeight="1">
      <c r="A5" s="2232"/>
      <c r="B5" s="2226"/>
      <c r="C5" s="2233"/>
      <c r="D5" s="2233"/>
      <c r="E5" s="2226"/>
      <c r="F5" s="1970" t="s">
        <v>4846</v>
      </c>
      <c r="G5" s="2422"/>
      <c r="H5" s="2422"/>
      <c r="I5" s="2416"/>
      <c r="J5" s="1968">
        <v>0.03</v>
      </c>
      <c r="K5" s="2064">
        <v>0.05</v>
      </c>
      <c r="L5" s="1937">
        <v>0.08</v>
      </c>
      <c r="M5" s="2059">
        <v>0.08</v>
      </c>
      <c r="N5" s="1940">
        <v>0.1</v>
      </c>
      <c r="P5" s="1716" t="s">
        <v>5194</v>
      </c>
      <c r="Q5" s="1954" t="s">
        <v>5193</v>
      </c>
      <c r="R5" s="1954" t="s">
        <v>5193</v>
      </c>
      <c r="S5" s="1954" t="s">
        <v>5193</v>
      </c>
      <c r="T5" s="1954" t="s">
        <v>5193</v>
      </c>
      <c r="U5" s="1954" t="s">
        <v>5193</v>
      </c>
      <c r="V5" s="1954" t="s">
        <v>5193</v>
      </c>
      <c r="W5" s="1954" t="s">
        <v>5193</v>
      </c>
    </row>
    <row r="6" spans="1:23" s="1716" customFormat="1" ht="20.100000000000001" customHeight="1">
      <c r="A6" s="2514" t="s">
        <v>5163</v>
      </c>
      <c r="B6" s="2515"/>
      <c r="C6" s="2516"/>
      <c r="D6" s="2495"/>
      <c r="E6" s="2495"/>
      <c r="F6" s="2526"/>
      <c r="G6" s="2430">
        <f>+G18+G32+G48</f>
        <v>3786818</v>
      </c>
      <c r="H6" s="2430">
        <f>+H18+H32+H48</f>
        <v>256789</v>
      </c>
      <c r="I6" s="2433">
        <f>+I18+I32+I48</f>
        <v>3530029</v>
      </c>
      <c r="J6" s="1963"/>
      <c r="K6" s="1963"/>
      <c r="L6" s="1963">
        <f>+SUM(L19,L33,L21,L49)</f>
        <v>35</v>
      </c>
      <c r="M6" s="1963">
        <f>+SUM(M19,M33,M21,M49)</f>
        <v>14</v>
      </c>
      <c r="N6" s="1963">
        <f>+SUM(N19,N33,N21,N49)</f>
        <v>256740</v>
      </c>
    </row>
    <row r="7" spans="1:23" s="1716" customFormat="1" ht="20.100000000000001" customHeight="1">
      <c r="A7" s="2232"/>
      <c r="B7" s="2226"/>
      <c r="C7" s="2233"/>
      <c r="D7" s="2496"/>
      <c r="E7" s="2496"/>
      <c r="F7" s="2527"/>
      <c r="G7" s="2494"/>
      <c r="H7" s="2494"/>
      <c r="I7" s="2517"/>
      <c r="J7" s="1828"/>
      <c r="K7" s="1828"/>
      <c r="L7" s="1828"/>
      <c r="M7" s="1828"/>
      <c r="N7" s="1828"/>
    </row>
    <row r="8" spans="1:23" s="1716" customFormat="1" ht="20.100000000000001" customHeight="1">
      <c r="A8" s="2488" t="s">
        <v>4985</v>
      </c>
      <c r="B8" s="2523" t="s">
        <v>5186</v>
      </c>
      <c r="C8" s="2524"/>
      <c r="D8" s="2490"/>
      <c r="E8" s="2490" t="s">
        <v>5188</v>
      </c>
      <c r="F8" s="1960">
        <f>+IFERROR(VLOOKUP($E8,$P$2:$W$5,2,0),"-")</f>
        <v>9108565869</v>
      </c>
      <c r="G8" s="2501">
        <v>1202214</v>
      </c>
      <c r="H8" s="2445">
        <f>IFERROR(ROUND((G8)*F8/F9,0),0)</f>
        <v>256789</v>
      </c>
      <c r="I8" s="2487">
        <f>G8-H8</f>
        <v>945425</v>
      </c>
      <c r="J8" s="1932"/>
      <c r="K8" s="1932"/>
      <c r="L8" s="1932">
        <f>+IFERROR(VLOOKUP($E8,$P$2:$W$5,6,0),"-")</f>
        <v>1236141</v>
      </c>
      <c r="M8" s="1932">
        <f>+IFERROR(VLOOKUP($E8,$P$2:$W$5,7,0),"-")</f>
        <v>500878</v>
      </c>
      <c r="N8" s="1932">
        <f>+IFERROR(VLOOKUP($E8,$P$2:$W$5,8,0),"-")</f>
        <v>9106828850</v>
      </c>
    </row>
    <row r="9" spans="1:23" s="1716" customFormat="1" ht="20.100000000000001" customHeight="1">
      <c r="A9" s="2489"/>
      <c r="B9" s="2525"/>
      <c r="C9" s="2524"/>
      <c r="D9" s="2491"/>
      <c r="E9" s="2491"/>
      <c r="F9" s="1960">
        <f>+IFERROR(VLOOKUP($E8,$P$2:$W$5,3,0),"-")</f>
        <v>42643669657</v>
      </c>
      <c r="G9" s="2501"/>
      <c r="H9" s="2445"/>
      <c r="I9" s="2487"/>
      <c r="J9" s="1964"/>
      <c r="K9" s="1964"/>
      <c r="L9" s="1964">
        <f>+H8-SUM(J9:K9,M9:N9)</f>
        <v>35</v>
      </c>
      <c r="M9" s="1964">
        <f>IFERROR(ROUND(M8/$F8*$H8,0),0)</f>
        <v>14</v>
      </c>
      <c r="N9" s="1964">
        <f>IFERROR(ROUND(N8/$F8*$H8,0),0)</f>
        <v>256740</v>
      </c>
    </row>
    <row r="10" spans="1:23" s="1716" customFormat="1" ht="20.100000000000001" hidden="1" customHeight="1" outlineLevel="1">
      <c r="A10" s="2489"/>
      <c r="B10" s="2502" t="s">
        <v>5187</v>
      </c>
      <c r="C10" s="2503"/>
      <c r="D10" s="2506"/>
      <c r="E10" s="2508" t="s">
        <v>4896</v>
      </c>
      <c r="F10" s="1960">
        <f>+IFERROR(VLOOKUP($E10,$P$2:$W$5,2,0),"-")</f>
        <v>9108565869</v>
      </c>
      <c r="G10" s="2492">
        <v>0</v>
      </c>
      <c r="H10" s="2424">
        <f>IFERROR(ROUND((G10)*F10/F11,0),0)</f>
        <v>0</v>
      </c>
      <c r="I10" s="2497">
        <f>G10-H10</f>
        <v>0</v>
      </c>
      <c r="J10" s="1932"/>
      <c r="K10" s="1932"/>
      <c r="L10" s="1932">
        <f>+IFERROR(VLOOKUP($E10,$P$2:$W$5,6,0),"-")</f>
        <v>1236141</v>
      </c>
      <c r="M10" s="1932">
        <f>+IFERROR(VLOOKUP($E10,$P$2:$W$5,7,0),"-")</f>
        <v>500878</v>
      </c>
      <c r="N10" s="1932">
        <f>+IFERROR(VLOOKUP($E10,$P$2:$W$5,8,0),"-")</f>
        <v>9106828850</v>
      </c>
    </row>
    <row r="11" spans="1:23" s="1716" customFormat="1" ht="20.100000000000001" hidden="1" customHeight="1" outlineLevel="1">
      <c r="A11" s="2489"/>
      <c r="B11" s="2504"/>
      <c r="C11" s="2505"/>
      <c r="D11" s="2507"/>
      <c r="E11" s="2509"/>
      <c r="F11" s="1960">
        <f>+IFERROR(VLOOKUP($E10,$P$2:$W$5,3,0),"-")</f>
        <v>42643669657</v>
      </c>
      <c r="G11" s="2493"/>
      <c r="H11" s="2425"/>
      <c r="I11" s="2498"/>
      <c r="J11" s="1964"/>
      <c r="K11" s="1964"/>
      <c r="L11" s="1964">
        <f>+H10-SUM(J11:K11,M11:N11)</f>
        <v>0</v>
      </c>
      <c r="M11" s="1964">
        <f>IFERROR(ROUND(M10/$F10*$H10,0),0)</f>
        <v>0</v>
      </c>
      <c r="N11" s="1964">
        <f>IFERROR(ROUND(N10/$F10*$H10,0),0)</f>
        <v>0</v>
      </c>
    </row>
    <row r="12" spans="1:23" s="1716" customFormat="1" ht="20.100000000000001" hidden="1" customHeight="1" outlineLevel="1">
      <c r="A12" s="2489"/>
      <c r="B12" s="2502" t="s">
        <v>5177</v>
      </c>
      <c r="C12" s="2503"/>
      <c r="D12" s="2506"/>
      <c r="E12" s="2508" t="s">
        <v>5188</v>
      </c>
      <c r="F12" s="1956">
        <f>+IFERROR(VLOOKUP($E12,$P$2:$W$5,2,0),"-")</f>
        <v>9108565869</v>
      </c>
      <c r="G12" s="2492">
        <v>0</v>
      </c>
      <c r="H12" s="2424">
        <f>IFERROR(ROUND((G12)*F12/F13,0),0)</f>
        <v>0</v>
      </c>
      <c r="I12" s="2497">
        <f t="shared" ref="I12" si="0">G12-H12</f>
        <v>0</v>
      </c>
      <c r="J12" s="1932"/>
      <c r="K12" s="1932"/>
      <c r="L12" s="1932">
        <f>+IFERROR(VLOOKUP($E12,$P$2:$W$5,6,0),"-")</f>
        <v>1236141</v>
      </c>
      <c r="M12" s="1932">
        <f>+IFERROR(VLOOKUP($E12,$P$2:$W$5,7,0),"-")</f>
        <v>500878</v>
      </c>
      <c r="N12" s="1932">
        <f>+IFERROR(VLOOKUP($E12,$P$2:$W$5,8,0),"-")</f>
        <v>9106828850</v>
      </c>
    </row>
    <row r="13" spans="1:23" s="1716" customFormat="1" ht="20.100000000000001" hidden="1" customHeight="1" outlineLevel="1">
      <c r="A13" s="2489"/>
      <c r="B13" s="2504"/>
      <c r="C13" s="2505"/>
      <c r="D13" s="2507"/>
      <c r="E13" s="2507"/>
      <c r="F13" s="1956">
        <f>+IFERROR(VLOOKUP($E12,$P$2:$W$5,3,0),"-")</f>
        <v>42643669657</v>
      </c>
      <c r="G13" s="2493"/>
      <c r="H13" s="2425"/>
      <c r="I13" s="2498"/>
      <c r="J13" s="1964"/>
      <c r="K13" s="1964"/>
      <c r="L13" s="1964">
        <f>+H12-SUM(J13:K13,M13:N13)</f>
        <v>0</v>
      </c>
      <c r="M13" s="1964">
        <f>IFERROR(ROUND(M12/$F12*$H12,0),0)</f>
        <v>0</v>
      </c>
      <c r="N13" s="1964">
        <f>IFERROR(ROUND(N12/$F12*$H12,0),0)</f>
        <v>0</v>
      </c>
    </row>
    <row r="14" spans="1:23" s="1716" customFormat="1" ht="20.100000000000001" hidden="1" customHeight="1" outlineLevel="1">
      <c r="A14" s="2489"/>
      <c r="B14" s="2502" t="s">
        <v>5241</v>
      </c>
      <c r="C14" s="2503"/>
      <c r="D14" s="2508"/>
      <c r="E14" s="2508" t="s">
        <v>5194</v>
      </c>
      <c r="F14" s="1956" t="str">
        <f>+IFERROR(VLOOKUP($E14,$P$2:$W$5,2,0),"-")</f>
        <v>-</v>
      </c>
      <c r="G14" s="2492">
        <v>0</v>
      </c>
      <c r="H14" s="2424">
        <f>IFERROR(ROUND((G14)*F14/F15,0),0)</f>
        <v>0</v>
      </c>
      <c r="I14" s="2497">
        <f t="shared" ref="I14" si="1">G14-H14</f>
        <v>0</v>
      </c>
      <c r="J14" s="1932"/>
      <c r="K14" s="1932"/>
      <c r="L14" s="1932" t="str">
        <f>+IFERROR(VLOOKUP($E14,$P$2:$W$5,6,0),"-")</f>
        <v>-</v>
      </c>
      <c r="M14" s="1932" t="str">
        <f>+IFERROR(VLOOKUP($E14,$P$2:$W$5,7,0),"-")</f>
        <v>-</v>
      </c>
      <c r="N14" s="1932" t="str">
        <f>+IFERROR(VLOOKUP($E14,$P$2:$W$5,8,0),"-")</f>
        <v>-</v>
      </c>
    </row>
    <row r="15" spans="1:23" s="1716" customFormat="1" ht="20.100000000000001" hidden="1" customHeight="1" outlineLevel="1">
      <c r="A15" s="2489"/>
      <c r="B15" s="2504"/>
      <c r="C15" s="2505"/>
      <c r="D15" s="2507"/>
      <c r="E15" s="2509"/>
      <c r="F15" s="1956" t="str">
        <f>+IFERROR(VLOOKUP($E14,$P$2:$W$5,3,0),"-")</f>
        <v>-</v>
      </c>
      <c r="G15" s="2493"/>
      <c r="H15" s="2425"/>
      <c r="I15" s="2498"/>
      <c r="J15" s="1964"/>
      <c r="K15" s="1964"/>
      <c r="L15" s="1964">
        <f>+H14-SUM(J15:K15,M15:N15)</f>
        <v>0</v>
      </c>
      <c r="M15" s="1964">
        <f>IFERROR(ROUND(M14/$F14*$H14,0),0)</f>
        <v>0</v>
      </c>
      <c r="N15" s="1964">
        <f>IFERROR(ROUND(N14/$F14*$H14,0),0)</f>
        <v>0</v>
      </c>
    </row>
    <row r="16" spans="1:23" s="1716" customFormat="1" ht="20.100000000000001" customHeight="1" collapsed="1">
      <c r="A16" s="2489"/>
      <c r="B16" s="2502" t="s">
        <v>5240</v>
      </c>
      <c r="C16" s="2529"/>
      <c r="D16" s="2506"/>
      <c r="E16" s="2508" t="s">
        <v>5184</v>
      </c>
      <c r="F16" s="1956" t="str">
        <f>+IFERROR(VLOOKUP($E16,$P$2:$W$5,2,0),"-")</f>
        <v>-</v>
      </c>
      <c r="G16" s="2492">
        <v>0</v>
      </c>
      <c r="H16" s="2424">
        <f>IFERROR(ROUND((G16)*F16/F17,0),0)</f>
        <v>0</v>
      </c>
      <c r="I16" s="2497">
        <f t="shared" ref="I16" si="2">G16-H16</f>
        <v>0</v>
      </c>
      <c r="J16" s="1932"/>
      <c r="K16" s="1932"/>
      <c r="L16" s="1932" t="str">
        <f>+IFERROR(VLOOKUP($E16,$P$2:$W$5,6,0),"-")</f>
        <v>-</v>
      </c>
      <c r="M16" s="1932" t="str">
        <f>+IFERROR(VLOOKUP($E16,$P$2:$W$5,7,0),"-")</f>
        <v>-</v>
      </c>
      <c r="N16" s="1932" t="str">
        <f>+IFERROR(VLOOKUP($E16,$P$2:$W$5,8,0),"-")</f>
        <v>-</v>
      </c>
    </row>
    <row r="17" spans="1:14" s="1716" customFormat="1" ht="20.100000000000001" customHeight="1">
      <c r="A17" s="2489"/>
      <c r="B17" s="2530"/>
      <c r="C17" s="2531"/>
      <c r="D17" s="2507"/>
      <c r="E17" s="2509"/>
      <c r="F17" s="1956" t="str">
        <f>+IFERROR(VLOOKUP($E16,$P$2:$W$5,3,0),"-")</f>
        <v>-</v>
      </c>
      <c r="G17" s="2493"/>
      <c r="H17" s="2425"/>
      <c r="I17" s="2498"/>
      <c r="J17" s="1964"/>
      <c r="K17" s="1964"/>
      <c r="L17" s="1964">
        <f>+H16-SUM(J17:K17,M17:N17)</f>
        <v>0</v>
      </c>
      <c r="M17" s="1964">
        <f>IFERROR(ROUND(M16/$F16*$H16,0),0)</f>
        <v>0</v>
      </c>
      <c r="N17" s="1964">
        <f>IFERROR(ROUND(N16/$F16*$H16,0),0)</f>
        <v>0</v>
      </c>
    </row>
    <row r="18" spans="1:14" s="1716" customFormat="1" ht="20.100000000000001" customHeight="1">
      <c r="A18" s="2489"/>
      <c r="B18" s="2234" t="s">
        <v>4895</v>
      </c>
      <c r="C18" s="2235"/>
      <c r="D18" s="2470"/>
      <c r="E18" s="2470"/>
      <c r="F18" s="2499"/>
      <c r="G18" s="2445">
        <f>SUM(G8:G17)</f>
        <v>1202214</v>
      </c>
      <c r="H18" s="2445">
        <f>+SUM(H8:H17)</f>
        <v>256789</v>
      </c>
      <c r="I18" s="2435">
        <f>G18-H18</f>
        <v>945425</v>
      </c>
      <c r="J18" s="1828"/>
      <c r="K18" s="1828"/>
      <c r="L18" s="1828"/>
      <c r="M18" s="1828"/>
      <c r="N18" s="1828"/>
    </row>
    <row r="19" spans="1:14" s="1716" customFormat="1" ht="20.100000000000001" customHeight="1">
      <c r="A19" s="2489"/>
      <c r="B19" s="2234"/>
      <c r="C19" s="2235"/>
      <c r="D19" s="2470"/>
      <c r="E19" s="2470"/>
      <c r="F19" s="2500"/>
      <c r="G19" s="2445"/>
      <c r="H19" s="2445"/>
      <c r="I19" s="2437"/>
      <c r="J19" s="1963"/>
      <c r="K19" s="1963"/>
      <c r="L19" s="1963">
        <f>+SUM(L9,L11,L13,L15,L17)</f>
        <v>35</v>
      </c>
      <c r="M19" s="1963">
        <f t="shared" ref="M19" si="3">+SUM(M9,M11,M13,M15,M17)</f>
        <v>14</v>
      </c>
      <c r="N19" s="1963">
        <f t="shared" ref="N19" si="4">+SUM(N9,N11,N13,N15,N17)</f>
        <v>256740</v>
      </c>
    </row>
    <row r="20" spans="1:14" s="1716" customFormat="1" ht="20.100000000000001" customHeight="1">
      <c r="A20" s="2546" t="s">
        <v>5166</v>
      </c>
      <c r="B20" s="2547"/>
      <c r="C20" s="2548"/>
      <c r="D20" s="2495"/>
      <c r="E20" s="2534" t="s">
        <v>5176</v>
      </c>
      <c r="F20" s="1958" t="str">
        <f>+IFERROR(VLOOKUP($E20,$P$2:$W$5,2,0),"-")</f>
        <v>-</v>
      </c>
      <c r="G20" s="2553">
        <f>+'3条収入'!$E$50</f>
        <v>0</v>
      </c>
      <c r="H20" s="2430">
        <f>IFERROR(ROUND((G20)*F20/F21,0),0)</f>
        <v>0</v>
      </c>
      <c r="I20" s="2518">
        <f t="shared" ref="I20" si="5">G20-H20</f>
        <v>0</v>
      </c>
      <c r="J20" s="1932"/>
      <c r="K20" s="1932"/>
      <c r="L20" s="1932" t="str">
        <f>+IFERROR(VLOOKUP($E20,$P$2:$W$5,6,0),"-")</f>
        <v>-</v>
      </c>
      <c r="M20" s="1932" t="str">
        <f>+IFERROR(VLOOKUP($E20,$P$2:$W$5,7,0),"-")</f>
        <v>-</v>
      </c>
      <c r="N20" s="1932" t="str">
        <f>+IFERROR(VLOOKUP($E20,$P$2:$W$5,8,0),"-")</f>
        <v>-</v>
      </c>
    </row>
    <row r="21" spans="1:14" s="1716" customFormat="1" ht="20.100000000000001" customHeight="1">
      <c r="A21" s="2549"/>
      <c r="B21" s="2550"/>
      <c r="C21" s="2551"/>
      <c r="D21" s="2496"/>
      <c r="E21" s="2496"/>
      <c r="F21" s="1961" t="str">
        <f>+IFERROR(VLOOKUP($E20,$P$2:$W$5,3,0),"-")</f>
        <v>-</v>
      </c>
      <c r="G21" s="2554"/>
      <c r="H21" s="2494"/>
      <c r="I21" s="2545"/>
      <c r="J21" s="1964"/>
      <c r="K21" s="1964"/>
      <c r="L21" s="1964">
        <f>+H20-SUM(J21:K21,M21:N21)</f>
        <v>0</v>
      </c>
      <c r="M21" s="1964">
        <f>IFERROR(ROUND(M20/$F20*$H20,0),0)</f>
        <v>0</v>
      </c>
      <c r="N21" s="1964">
        <f>IFERROR(ROUND(N20/$F20*$H20,0),0)</f>
        <v>0</v>
      </c>
    </row>
    <row r="22" spans="1:14" s="1716" customFormat="1" ht="20.100000000000001" customHeight="1">
      <c r="A22" s="2488" t="s">
        <v>5158</v>
      </c>
      <c r="B22" s="2523" t="s">
        <v>5154</v>
      </c>
      <c r="C22" s="2524"/>
      <c r="D22" s="2491" t="s">
        <v>5198</v>
      </c>
      <c r="E22" s="2490" t="s">
        <v>5185</v>
      </c>
      <c r="F22" s="1957" t="str">
        <f>+IFERROR(VLOOKUP($E22,$P$2:$W$5,2,0),"-")</f>
        <v>-</v>
      </c>
      <c r="G22" s="2501">
        <v>820795</v>
      </c>
      <c r="H22" s="2445">
        <f>IFERROR(ROUND((G22)*F22/F23,0),0)</f>
        <v>0</v>
      </c>
      <c r="I22" s="2487">
        <f>G22-H22</f>
        <v>820795</v>
      </c>
      <c r="J22" s="1932"/>
      <c r="K22" s="1932"/>
      <c r="L22" s="1932" t="str">
        <f>+IFERROR(VLOOKUP($E22,$P$2:$W$5,6,0),"-")</f>
        <v>-</v>
      </c>
      <c r="M22" s="1932" t="str">
        <f>+IFERROR(VLOOKUP($E22,$P$2:$W$5,7,0),"-")</f>
        <v>-</v>
      </c>
      <c r="N22" s="1932" t="str">
        <f>+IFERROR(VLOOKUP($E22,$P$2:$W$5,8,0),"-")</f>
        <v>-</v>
      </c>
    </row>
    <row r="23" spans="1:14" s="1716" customFormat="1" ht="20.100000000000001" customHeight="1">
      <c r="A23" s="2488"/>
      <c r="B23" s="2525"/>
      <c r="C23" s="2524"/>
      <c r="D23" s="2491"/>
      <c r="E23" s="2491"/>
      <c r="F23" s="1956" t="str">
        <f>+IFERROR(VLOOKUP($E22,$P$2:$W$5,3,0),"-")</f>
        <v>-</v>
      </c>
      <c r="G23" s="2501"/>
      <c r="H23" s="2445"/>
      <c r="I23" s="2487"/>
      <c r="J23" s="1964"/>
      <c r="K23" s="1964"/>
      <c r="L23" s="1964">
        <f>+H22-SUM(J23:K23,M23:N23)</f>
        <v>0</v>
      </c>
      <c r="M23" s="1964">
        <f>IFERROR(ROUND(M22/$F22*$H22,0),0)</f>
        <v>0</v>
      </c>
      <c r="N23" s="1964">
        <f>IFERROR(ROUND(N22/$F22*$H22,0),0)</f>
        <v>0</v>
      </c>
    </row>
    <row r="24" spans="1:14" s="1716" customFormat="1" ht="19.5" customHeight="1">
      <c r="A24" s="2488"/>
      <c r="B24" s="2502" t="s">
        <v>5270</v>
      </c>
      <c r="C24" s="2503"/>
      <c r="D24" s="2538"/>
      <c r="E24" s="2508" t="s">
        <v>5176</v>
      </c>
      <c r="F24" s="1956" t="str">
        <f>+IFERROR(VLOOKUP($E24,$P$2:$W$5,2,0),"-")</f>
        <v>-</v>
      </c>
      <c r="G24" s="2492">
        <v>160</v>
      </c>
      <c r="H24" s="2424">
        <f t="shared" ref="H24" si="6">IFERROR(ROUND((G24)*F24/F25,0),0)</f>
        <v>0</v>
      </c>
      <c r="I24" s="2497">
        <f>G24-H24</f>
        <v>160</v>
      </c>
      <c r="J24" s="1932"/>
      <c r="K24" s="1932"/>
      <c r="L24" s="1932" t="str">
        <f>+IFERROR(VLOOKUP($E24,$P$2:$W$5,6,0),"-")</f>
        <v>-</v>
      </c>
      <c r="M24" s="1932" t="str">
        <f>+IFERROR(VLOOKUP($E24,$P$2:$W$5,7,0),"-")</f>
        <v>-</v>
      </c>
      <c r="N24" s="1932" t="str">
        <f>+IFERROR(VLOOKUP($E24,$P$2:$W$5,8,0),"-")</f>
        <v>-</v>
      </c>
    </row>
    <row r="25" spans="1:14" s="1716" customFormat="1" ht="20.100000000000001" customHeight="1">
      <c r="A25" s="2488"/>
      <c r="B25" s="2504"/>
      <c r="C25" s="2505"/>
      <c r="D25" s="2539"/>
      <c r="E25" s="2507"/>
      <c r="F25" s="1956" t="str">
        <f>+IFERROR(VLOOKUP($E24,$P$2:$W$5,3,0),"-")</f>
        <v>-</v>
      </c>
      <c r="G25" s="2493"/>
      <c r="H25" s="2425"/>
      <c r="I25" s="2498"/>
      <c r="J25" s="1964"/>
      <c r="K25" s="1964"/>
      <c r="L25" s="1964">
        <f>+H24-SUM(J25:K25,M25:N25)</f>
        <v>0</v>
      </c>
      <c r="M25" s="1964">
        <f>IFERROR(ROUND(M24/$F24*$H24,0),0)</f>
        <v>0</v>
      </c>
      <c r="N25" s="1964">
        <f>IFERROR(ROUND(N24/$F24*$H24,0),0)</f>
        <v>0</v>
      </c>
    </row>
    <row r="26" spans="1:14" s="1716" customFormat="1" ht="20.100000000000001" hidden="1" customHeight="1" outlineLevel="1">
      <c r="A26" s="2488"/>
      <c r="B26" s="2502" t="s">
        <v>5309</v>
      </c>
      <c r="C26" s="2503"/>
      <c r="D26" s="2506"/>
      <c r="E26" s="2508" t="s">
        <v>5184</v>
      </c>
      <c r="F26" s="1956" t="str">
        <f>+IFERROR(VLOOKUP($E26,$P$2:$W$5,2,0),"-")</f>
        <v>-</v>
      </c>
      <c r="G26" s="2492">
        <v>0</v>
      </c>
      <c r="H26" s="2424">
        <f>IFERROR(ROUND((G26)*F26/F27,0),0)</f>
        <v>0</v>
      </c>
      <c r="I26" s="2497">
        <f t="shared" ref="I26" si="7">G26-H26</f>
        <v>0</v>
      </c>
      <c r="J26" s="1932"/>
      <c r="K26" s="1932"/>
      <c r="L26" s="1932" t="str">
        <f>+IFERROR(VLOOKUP($E26,$P$2:$W$5,6,0),"-")</f>
        <v>-</v>
      </c>
      <c r="M26" s="1932" t="str">
        <f>+IFERROR(VLOOKUP($E26,$P$2:$W$5,7,0),"-")</f>
        <v>-</v>
      </c>
      <c r="N26" s="1932" t="str">
        <f>+IFERROR(VLOOKUP($E26,$P$2:$W$5,7,0),"-")</f>
        <v>-</v>
      </c>
    </row>
    <row r="27" spans="1:14" s="1716" customFormat="1" ht="20.100000000000001" hidden="1" customHeight="1" outlineLevel="1">
      <c r="A27" s="2488"/>
      <c r="B27" s="2504"/>
      <c r="C27" s="2505"/>
      <c r="D27" s="2507"/>
      <c r="E27" s="2507"/>
      <c r="F27" s="1956" t="str">
        <f>+IFERROR(VLOOKUP($E26,$P$2:$W$5,3,0),"-")</f>
        <v>-</v>
      </c>
      <c r="G27" s="2493"/>
      <c r="H27" s="2425"/>
      <c r="I27" s="2498"/>
      <c r="J27" s="1964"/>
      <c r="K27" s="1964"/>
      <c r="L27" s="1964">
        <f>+H26-SUM(J27:K27,N27)</f>
        <v>0</v>
      </c>
      <c r="M27" s="1964">
        <f>IFERROR(ROUND(M26/E26*G26,0),0)</f>
        <v>0</v>
      </c>
      <c r="N27" s="1964">
        <f>IFERROR(ROUND(N26/F26*H26,0),0)</f>
        <v>0</v>
      </c>
    </row>
    <row r="28" spans="1:14" s="1716" customFormat="1" ht="20.100000000000001" customHeight="1" collapsed="1">
      <c r="A28" s="2488"/>
      <c r="B28" s="2502" t="s">
        <v>5348</v>
      </c>
      <c r="C28" s="2503"/>
      <c r="D28" s="2506"/>
      <c r="E28" s="2508" t="s">
        <v>5194</v>
      </c>
      <c r="F28" s="1956" t="str">
        <f>+IFERROR(VLOOKUP($E28,$P$2:$W$5,2,0),"-")</f>
        <v>-</v>
      </c>
      <c r="G28" s="2492">
        <v>334220</v>
      </c>
      <c r="H28" s="2424">
        <f>IFERROR(ROUND((G28)*F28/F29,0),0)</f>
        <v>0</v>
      </c>
      <c r="I28" s="2497">
        <f t="shared" ref="I28" si="8">G28-H28</f>
        <v>334220</v>
      </c>
      <c r="J28" s="1932"/>
      <c r="K28" s="1932"/>
      <c r="L28" s="1932" t="str">
        <f>+IFERROR(VLOOKUP($E28,$P$2:$W$5,6,0),"-")</f>
        <v>-</v>
      </c>
      <c r="M28" s="1932" t="str">
        <f>+IFERROR(VLOOKUP($E28,$P$2:$W$5,7,0),"-")</f>
        <v>-</v>
      </c>
      <c r="N28" s="1932" t="str">
        <f>+IFERROR(VLOOKUP($E28,$P$2:$W$5,7,0),"-")</f>
        <v>-</v>
      </c>
    </row>
    <row r="29" spans="1:14" s="1716" customFormat="1" ht="20.100000000000001" customHeight="1">
      <c r="A29" s="2488"/>
      <c r="B29" s="2504"/>
      <c r="C29" s="2505"/>
      <c r="D29" s="2507"/>
      <c r="E29" s="2507"/>
      <c r="F29" s="1956" t="str">
        <f>+IFERROR(VLOOKUP($E28,$P$2:$W$5,3,0),"-")</f>
        <v>-</v>
      </c>
      <c r="G29" s="2493"/>
      <c r="H29" s="2425"/>
      <c r="I29" s="2498"/>
      <c r="J29" s="1964"/>
      <c r="K29" s="1964"/>
      <c r="L29" s="1964">
        <f>+H28-SUM(J29:K29,N29)</f>
        <v>0</v>
      </c>
      <c r="M29" s="1964">
        <f>IFERROR(ROUND(M28/E28*G28,0),0)</f>
        <v>0</v>
      </c>
      <c r="N29" s="1964">
        <f>IFERROR(ROUND(N28/F28*H28,0),0)</f>
        <v>0</v>
      </c>
    </row>
    <row r="30" spans="1:14" s="1716" customFormat="1" ht="20.100000000000001" hidden="1" customHeight="1" outlineLevel="1">
      <c r="A30" s="2488"/>
      <c r="B30" s="2502"/>
      <c r="C30" s="2503"/>
      <c r="D30" s="2506"/>
      <c r="E30" s="2508"/>
      <c r="F30" s="1956" t="str">
        <f>+IFERROR(VLOOKUP($E30,$P$2:$W$5,2,0),"-")</f>
        <v>-</v>
      </c>
      <c r="G30" s="2492"/>
      <c r="H30" s="2424">
        <f>IFERROR(ROUND((G30)*F30/F31,0),0)</f>
        <v>0</v>
      </c>
      <c r="I30" s="2497">
        <f t="shared" ref="I30" si="9">G30-H30</f>
        <v>0</v>
      </c>
      <c r="J30" s="1932"/>
      <c r="K30" s="1932"/>
      <c r="L30" s="1932" t="str">
        <f>+IFERROR(VLOOKUP($E30,$P$2:$W$5,6,0),"-")</f>
        <v>-</v>
      </c>
      <c r="M30" s="1932" t="str">
        <f>+IFERROR(VLOOKUP($E30,$P$2:$W$5,7,0),"-")</f>
        <v>-</v>
      </c>
      <c r="N30" s="1932" t="str">
        <f>+IFERROR(VLOOKUP($E30,$P$2:$W$5,7,0),"-")</f>
        <v>-</v>
      </c>
    </row>
    <row r="31" spans="1:14" s="1716" customFormat="1" ht="20.100000000000001" hidden="1" customHeight="1" outlineLevel="1">
      <c r="A31" s="2488"/>
      <c r="B31" s="2504"/>
      <c r="C31" s="2505"/>
      <c r="D31" s="2507"/>
      <c r="E31" s="2507"/>
      <c r="F31" s="1956" t="str">
        <f>+IFERROR(VLOOKUP($E30,$P$2:$W$5,3,0),"-")</f>
        <v>-</v>
      </c>
      <c r="G31" s="2501"/>
      <c r="H31" s="2425"/>
      <c r="I31" s="2498"/>
      <c r="J31" s="1964"/>
      <c r="K31" s="1964"/>
      <c r="L31" s="1964">
        <f>+H30-SUM(J31:K31,N31)</f>
        <v>0</v>
      </c>
      <c r="M31" s="1964">
        <f>IFERROR(ROUND(M30/E30*G30,0),0)</f>
        <v>0</v>
      </c>
      <c r="N31" s="1964">
        <f>IFERROR(ROUND(N30/F30*H30,0),0)</f>
        <v>0</v>
      </c>
    </row>
    <row r="32" spans="1:14" s="1716" customFormat="1" ht="20.100000000000001" customHeight="1" collapsed="1">
      <c r="A32" s="2488"/>
      <c r="B32" s="2510" t="s">
        <v>4803</v>
      </c>
      <c r="C32" s="2511"/>
      <c r="D32" s="2470"/>
      <c r="E32" s="2248"/>
      <c r="F32" s="2521"/>
      <c r="G32" s="2424">
        <f>SUM(G22:G31)</f>
        <v>1155175</v>
      </c>
      <c r="H32" s="2445">
        <f>+SUM(H22:H31)</f>
        <v>0</v>
      </c>
      <c r="I32" s="2435">
        <f>G32-H32</f>
        <v>1155175</v>
      </c>
      <c r="J32" s="1828"/>
      <c r="K32" s="1828"/>
      <c r="L32" s="1828"/>
      <c r="M32" s="1828"/>
      <c r="N32" s="1828"/>
    </row>
    <row r="33" spans="1:14" s="1716" customFormat="1" ht="20.100000000000001" customHeight="1">
      <c r="A33" s="2552"/>
      <c r="B33" s="2536"/>
      <c r="C33" s="2537"/>
      <c r="D33" s="2496"/>
      <c r="E33" s="2496"/>
      <c r="F33" s="2555"/>
      <c r="G33" s="2494"/>
      <c r="H33" s="2494"/>
      <c r="I33" s="2517"/>
      <c r="J33" s="1963"/>
      <c r="K33" s="1963"/>
      <c r="L33" s="1963">
        <f t="shared" ref="L33:N33" si="10">+SUM(L23,L25,L27,L29,L31)</f>
        <v>0</v>
      </c>
      <c r="M33" s="1963">
        <f t="shared" ref="M33" si="11">+SUM(M23,M25,M27,M29,M31)</f>
        <v>0</v>
      </c>
      <c r="N33" s="1963">
        <f t="shared" si="10"/>
        <v>0</v>
      </c>
    </row>
    <row r="34" spans="1:14" s="1716" customFormat="1" ht="20.100000000000001" hidden="1" customHeight="1" outlineLevel="1">
      <c r="A34" s="2540" t="s">
        <v>5159</v>
      </c>
      <c r="B34" s="2532" t="s">
        <v>5242</v>
      </c>
      <c r="C34" s="2533"/>
      <c r="D34" s="2528"/>
      <c r="E34" s="2535" t="s">
        <v>5320</v>
      </c>
      <c r="F34" s="1958" t="str">
        <f>+IFERROR(VLOOKUP($E34,$P$2:$W$5,2,0),"-")</f>
        <v>-</v>
      </c>
      <c r="G34" s="2520">
        <v>0</v>
      </c>
      <c r="H34" s="2430">
        <f t="shared" ref="H34" si="12">IFERROR(ROUND((G34)*F34/F35,0),0)</f>
        <v>0</v>
      </c>
      <c r="I34" s="2518">
        <f>G34-H34</f>
        <v>0</v>
      </c>
      <c r="J34" s="1932"/>
      <c r="K34" s="1932"/>
      <c r="L34" s="1932" t="str">
        <f>+IFERROR(VLOOKUP($E34,$P$2:$W$5,6,0),"-")</f>
        <v>-</v>
      </c>
      <c r="M34" s="1932" t="str">
        <f>+IFERROR(VLOOKUP($E34,$P$2:$W$5,7,0),"-")</f>
        <v>-</v>
      </c>
      <c r="N34" s="1932" t="str">
        <f>+IFERROR(VLOOKUP($E34,$P$2:$W$5,8,0),"-")</f>
        <v>-</v>
      </c>
    </row>
    <row r="35" spans="1:14" s="1716" customFormat="1" ht="20.100000000000001" hidden="1" customHeight="1" outlineLevel="1">
      <c r="A35" s="2488"/>
      <c r="B35" s="2525"/>
      <c r="C35" s="2524"/>
      <c r="D35" s="2491"/>
      <c r="E35" s="2491"/>
      <c r="F35" s="1956" t="str">
        <f>+IFERROR(VLOOKUP($E34,$P$2:$W$5,3,0),"-")</f>
        <v>-</v>
      </c>
      <c r="G35" s="2501"/>
      <c r="H35" s="2445"/>
      <c r="I35" s="2487"/>
      <c r="J35" s="1964"/>
      <c r="K35" s="1964"/>
      <c r="L35" s="1964">
        <f>+H34-SUM(J35:K35,M35:N35)</f>
        <v>0</v>
      </c>
      <c r="M35" s="1964">
        <f>IFERROR(ROUND(M34/$F34*$H34,0),0)</f>
        <v>0</v>
      </c>
      <c r="N35" s="1964">
        <f>IFERROR(ROUND(N34/$F34*$H34,0),0)</f>
        <v>0</v>
      </c>
    </row>
    <row r="36" spans="1:14" s="1716" customFormat="1" ht="20.100000000000001" hidden="1" customHeight="1" outlineLevel="1">
      <c r="A36" s="2488"/>
      <c r="B36" s="2502" t="s">
        <v>5155</v>
      </c>
      <c r="C36" s="2503"/>
      <c r="D36" s="2538"/>
      <c r="E36" s="2508" t="s">
        <v>5194</v>
      </c>
      <c r="F36" s="1956" t="str">
        <f>+IFERROR(VLOOKUP($E36,$P$2:$W$5,2,0),"-")</f>
        <v>-</v>
      </c>
      <c r="G36" s="2492">
        <v>0</v>
      </c>
      <c r="H36" s="2424">
        <f t="shared" ref="H36" si="13">IFERROR(ROUND((G36)*F36/F37,0),0)</f>
        <v>0</v>
      </c>
      <c r="I36" s="2497">
        <f>G36-H36</f>
        <v>0</v>
      </c>
      <c r="J36" s="1932"/>
      <c r="K36" s="1932"/>
      <c r="L36" s="1932" t="str">
        <f>+IFERROR(VLOOKUP($E36,$P$2:$W$5,6,0),"-")</f>
        <v>-</v>
      </c>
      <c r="M36" s="1932" t="str">
        <f>+IFERROR(VLOOKUP($E36,$P$2:$W$5,7,0),"-")</f>
        <v>-</v>
      </c>
      <c r="N36" s="1932" t="str">
        <f>+IFERROR(VLOOKUP($E36,$P$2:$W$5,8,0),"-")</f>
        <v>-</v>
      </c>
    </row>
    <row r="37" spans="1:14" s="1716" customFormat="1" ht="20.100000000000001" hidden="1" customHeight="1" outlineLevel="1">
      <c r="A37" s="2488"/>
      <c r="B37" s="2504"/>
      <c r="C37" s="2505"/>
      <c r="D37" s="2539"/>
      <c r="E37" s="2507"/>
      <c r="F37" s="1956" t="str">
        <f>+IFERROR(VLOOKUP($E36,$P$2:$W$5,3,0),"-")</f>
        <v>-</v>
      </c>
      <c r="G37" s="2493"/>
      <c r="H37" s="2425"/>
      <c r="I37" s="2498"/>
      <c r="J37" s="1964"/>
      <c r="K37" s="1964"/>
      <c r="L37" s="1964">
        <f>+H36-SUM(J37:K37,M37:N37)</f>
        <v>0</v>
      </c>
      <c r="M37" s="1964">
        <f>IFERROR(ROUND(M36/$F36*$H36,0),0)</f>
        <v>0</v>
      </c>
      <c r="N37" s="1964">
        <f>IFERROR(ROUND(N36/$F36*$H36,0),0)</f>
        <v>0</v>
      </c>
    </row>
    <row r="38" spans="1:14" s="1716" customFormat="1" ht="20.100000000000001" hidden="1" customHeight="1" outlineLevel="1">
      <c r="A38" s="2488"/>
      <c r="B38" s="2502" t="s">
        <v>5310</v>
      </c>
      <c r="C38" s="2503"/>
      <c r="D38" s="2538"/>
      <c r="E38" s="2508" t="s">
        <v>5194</v>
      </c>
      <c r="F38" s="1956" t="str">
        <f>+IFERROR(VLOOKUP($E38,$P$2:$W$5,2,0),"-")</f>
        <v>-</v>
      </c>
      <c r="G38" s="2492">
        <v>0</v>
      </c>
      <c r="H38" s="2424">
        <f t="shared" ref="H38" si="14">IFERROR(ROUND((G38)*F38/F39,0),0)</f>
        <v>0</v>
      </c>
      <c r="I38" s="2497">
        <f>G38-H38</f>
        <v>0</v>
      </c>
      <c r="J38" s="1932"/>
      <c r="K38" s="1932"/>
      <c r="L38" s="1932" t="str">
        <f>+IFERROR(VLOOKUP($E38,$P$2:$W$5,6,0),"-")</f>
        <v>-</v>
      </c>
      <c r="M38" s="1932" t="str">
        <f>+IFERROR(VLOOKUP($E38,$P$2:$W$5,7,0),"-")</f>
        <v>-</v>
      </c>
      <c r="N38" s="1932" t="str">
        <f>+IFERROR(VLOOKUP($E38,$P$2:$W$5,8,0),"-")</f>
        <v>-</v>
      </c>
    </row>
    <row r="39" spans="1:14" s="1716" customFormat="1" ht="20.100000000000001" hidden="1" customHeight="1" outlineLevel="1">
      <c r="A39" s="2488"/>
      <c r="B39" s="2504"/>
      <c r="C39" s="2505"/>
      <c r="D39" s="2539"/>
      <c r="E39" s="2507"/>
      <c r="F39" s="1956" t="str">
        <f>+IFERROR(VLOOKUP($E38,$P$2:$W$5,3,0),"-")</f>
        <v>-</v>
      </c>
      <c r="G39" s="2493"/>
      <c r="H39" s="2425"/>
      <c r="I39" s="2498"/>
      <c r="J39" s="1964"/>
      <c r="K39" s="1964"/>
      <c r="L39" s="1964">
        <f>+H38-SUM(J39:K39,M39:N39)</f>
        <v>0</v>
      </c>
      <c r="M39" s="1964">
        <f>IFERROR(ROUND(M38/$F38*$H38,0),0)</f>
        <v>0</v>
      </c>
      <c r="N39" s="1964">
        <f>IFERROR(ROUND(N38/$F38*$H38,0),0)</f>
        <v>0</v>
      </c>
    </row>
    <row r="40" spans="1:14" s="1716" customFormat="1" ht="20.100000000000001" customHeight="1" collapsed="1">
      <c r="A40" s="2488"/>
      <c r="B40" s="2502" t="s">
        <v>5349</v>
      </c>
      <c r="C40" s="2503"/>
      <c r="D40" s="2506"/>
      <c r="E40" s="2508" t="s">
        <v>5194</v>
      </c>
      <c r="F40" s="1956"/>
      <c r="G40" s="2492">
        <v>864807</v>
      </c>
      <c r="H40" s="2424">
        <f>IFERROR(ROUND((G40)*F40/F41,0),0)</f>
        <v>0</v>
      </c>
      <c r="I40" s="2497">
        <f t="shared" ref="I40" si="15">G40-H40</f>
        <v>864807</v>
      </c>
      <c r="J40" s="1964"/>
      <c r="K40" s="1964"/>
      <c r="L40" s="1932" t="str">
        <f>+IFERROR(VLOOKUP($E40,$P$2:$W$5,6,0),"-")</f>
        <v>-</v>
      </c>
      <c r="M40" s="1932" t="str">
        <f>+IFERROR(VLOOKUP($E40,$P$2:$W$5,7,0),"-")</f>
        <v>-</v>
      </c>
      <c r="N40" s="1932" t="str">
        <f>+IFERROR(VLOOKUP($E40,$P$2:$W$5,8,0),"-")</f>
        <v>-</v>
      </c>
    </row>
    <row r="41" spans="1:14" s="1716" customFormat="1" ht="20.100000000000001" customHeight="1">
      <c r="A41" s="2488"/>
      <c r="B41" s="2504"/>
      <c r="C41" s="2505"/>
      <c r="D41" s="2507"/>
      <c r="E41" s="2507"/>
      <c r="F41" s="1956"/>
      <c r="G41" s="2493"/>
      <c r="H41" s="2425"/>
      <c r="I41" s="2498"/>
      <c r="J41" s="1964"/>
      <c r="K41" s="1964"/>
      <c r="L41" s="1964">
        <f>+H40-SUM(J41:K41,M41:N41)</f>
        <v>0</v>
      </c>
      <c r="M41" s="1964">
        <f>IFERROR(ROUND(M40/$F40*$H40,0),0)</f>
        <v>0</v>
      </c>
      <c r="N41" s="1964">
        <f>IFERROR(ROUND(N40/$F40*$H40,0),0)</f>
        <v>0</v>
      </c>
    </row>
    <row r="42" spans="1:14" s="1716" customFormat="1" ht="20.100000000000001" customHeight="1">
      <c r="A42" s="2488"/>
      <c r="B42" s="2519" t="s">
        <v>5160</v>
      </c>
      <c r="C42" s="2263"/>
      <c r="D42" s="2248"/>
      <c r="E42" s="2274"/>
      <c r="F42" s="2521"/>
      <c r="G42" s="2424">
        <f t="shared" ref="G42:I42" si="16">SUM(G34:G41)</f>
        <v>864807</v>
      </c>
      <c r="H42" s="2424">
        <f t="shared" si="16"/>
        <v>0</v>
      </c>
      <c r="I42" s="2435">
        <f t="shared" si="16"/>
        <v>864807</v>
      </c>
      <c r="J42" s="1828"/>
      <c r="K42" s="1828"/>
      <c r="L42" s="1828"/>
      <c r="M42" s="1828"/>
      <c r="N42" s="1828"/>
    </row>
    <row r="43" spans="1:14" s="1716" customFormat="1" ht="20.100000000000001" customHeight="1">
      <c r="A43" s="2488"/>
      <c r="B43" s="2264"/>
      <c r="C43" s="2265"/>
      <c r="D43" s="2472"/>
      <c r="E43" s="2472"/>
      <c r="F43" s="2521"/>
      <c r="G43" s="2425"/>
      <c r="H43" s="2425"/>
      <c r="I43" s="2434"/>
      <c r="J43" s="1963"/>
      <c r="K43" s="1963"/>
      <c r="L43" s="1963">
        <f t="shared" ref="L43:N43" si="17">+SUM(L35,L37,L39)</f>
        <v>0</v>
      </c>
      <c r="M43" s="1963">
        <f t="shared" ref="M43" si="18">+SUM(M35,M37,M39)</f>
        <v>0</v>
      </c>
      <c r="N43" s="1963">
        <f t="shared" si="17"/>
        <v>0</v>
      </c>
    </row>
    <row r="44" spans="1:14" s="1716" customFormat="1" ht="20.100000000000001" customHeight="1">
      <c r="A44" s="2488"/>
      <c r="B44" s="2519" t="s">
        <v>5156</v>
      </c>
      <c r="C44" s="2263"/>
      <c r="D44" s="2274" t="s">
        <v>5199</v>
      </c>
      <c r="E44" s="2274" t="s">
        <v>5184</v>
      </c>
      <c r="F44" s="1956" t="str">
        <f>+IFERROR(VLOOKUP($E44,$P$2:$W$5,2,0),"-")</f>
        <v>-</v>
      </c>
      <c r="G44" s="2542">
        <f>+'3条収入'!$E$64</f>
        <v>455622</v>
      </c>
      <c r="H44" s="2445">
        <f t="shared" ref="H44" si="19">IFERROR(ROUND((G44)*F44/F45,0),0)</f>
        <v>0</v>
      </c>
      <c r="I44" s="2487">
        <f t="shared" ref="I44" si="20">G44-H44</f>
        <v>455622</v>
      </c>
      <c r="J44" s="1932"/>
      <c r="K44" s="1932"/>
      <c r="L44" s="1932" t="str">
        <f>+IFERROR(VLOOKUP($E44,$P$2:$W$5,6,0),"-")</f>
        <v>-</v>
      </c>
      <c r="M44" s="1932" t="str">
        <f>+IFERROR(VLOOKUP($E44,$P$2:$W$5,7,0),"-")</f>
        <v>-</v>
      </c>
      <c r="N44" s="1932" t="str">
        <f>+IFERROR(VLOOKUP($E44,$P$2:$W$5,8,0),"-")</f>
        <v>-</v>
      </c>
    </row>
    <row r="45" spans="1:14" s="1716" customFormat="1" ht="20.100000000000001" customHeight="1">
      <c r="A45" s="2488"/>
      <c r="B45" s="2264"/>
      <c r="C45" s="2265"/>
      <c r="D45" s="2472"/>
      <c r="E45" s="2472"/>
      <c r="F45" s="1956" t="str">
        <f>+IFERROR(VLOOKUP($E44,$P$2:$W$5,3,0),"-")</f>
        <v>-</v>
      </c>
      <c r="G45" s="2543"/>
      <c r="H45" s="2425"/>
      <c r="I45" s="2498"/>
      <c r="J45" s="1964"/>
      <c r="K45" s="1964"/>
      <c r="L45" s="1964">
        <f>+H44-SUM(J45:K45,M45:N45)</f>
        <v>0</v>
      </c>
      <c r="M45" s="1964">
        <f>IFERROR(ROUND(M44/$F44*$H44,0),0)</f>
        <v>0</v>
      </c>
      <c r="N45" s="1964">
        <f>IFERROR(ROUND(N44/$F44*$H44,0),0)</f>
        <v>0</v>
      </c>
    </row>
    <row r="46" spans="1:14" s="1716" customFormat="1" ht="20.100000000000001" customHeight="1">
      <c r="A46" s="2488"/>
      <c r="B46" s="2519" t="s">
        <v>5157</v>
      </c>
      <c r="C46" s="2263"/>
      <c r="D46" s="2274" t="s">
        <v>5200</v>
      </c>
      <c r="E46" s="2274" t="s">
        <v>5185</v>
      </c>
      <c r="F46" s="1956" t="str">
        <f>+IFERROR(VLOOKUP($E46,$P$2:$W$5,2,0),"-")</f>
        <v>-</v>
      </c>
      <c r="G46" s="2544">
        <f>+'3条収入'!$E$65</f>
        <v>109000</v>
      </c>
      <c r="H46" s="2424">
        <f t="shared" ref="H46" si="21">IFERROR(ROUND((G46)*F46/F47,0),0)</f>
        <v>0</v>
      </c>
      <c r="I46" s="2497">
        <f t="shared" ref="I46" si="22">G46-H46</f>
        <v>109000</v>
      </c>
      <c r="J46" s="1932"/>
      <c r="K46" s="1932"/>
      <c r="L46" s="1932" t="str">
        <f>+IFERROR(VLOOKUP($E46,$P$2:$W$5,6,0),"-")</f>
        <v>-</v>
      </c>
      <c r="M46" s="1932" t="str">
        <f>+IFERROR(VLOOKUP($E46,$P$2:$W$5,7,0),"-")</f>
        <v>-</v>
      </c>
      <c r="N46" s="1932" t="str">
        <f>+IFERROR(VLOOKUP($E46,$P$2:$W$5,8,0),"-")</f>
        <v>-</v>
      </c>
    </row>
    <row r="47" spans="1:14" s="1716" customFormat="1" ht="20.100000000000001" customHeight="1">
      <c r="A47" s="2488"/>
      <c r="B47" s="2264"/>
      <c r="C47" s="2265"/>
      <c r="D47" s="2472"/>
      <c r="E47" s="2472"/>
      <c r="F47" s="1956" t="str">
        <f>+IFERROR(VLOOKUP($E46,$P$2:$W$5,3,0),"-")</f>
        <v>-</v>
      </c>
      <c r="G47" s="2542"/>
      <c r="H47" s="2445"/>
      <c r="I47" s="2487"/>
      <c r="J47" s="1964"/>
      <c r="K47" s="1964"/>
      <c r="L47" s="1964">
        <f>+H46-SUM(J47:K47,M47:N47)</f>
        <v>0</v>
      </c>
      <c r="M47" s="1964">
        <f>IFERROR(ROUND(M46/$F46*$H46,0),0)</f>
        <v>0</v>
      </c>
      <c r="N47" s="1964">
        <f>IFERROR(ROUND(N46/$F46*$H46,0),0)</f>
        <v>0</v>
      </c>
    </row>
    <row r="48" spans="1:14" s="1716" customFormat="1" ht="20.100000000000001" customHeight="1">
      <c r="A48" s="2488"/>
      <c r="B48" s="2510" t="s">
        <v>4895</v>
      </c>
      <c r="C48" s="2511"/>
      <c r="D48" s="2470"/>
      <c r="E48" s="2248"/>
      <c r="F48" s="2521"/>
      <c r="G48" s="2424">
        <f>SUM(G42:G47)</f>
        <v>1429429</v>
      </c>
      <c r="H48" s="2424">
        <f t="shared" ref="H48:I48" si="23">SUM(H42:H47)</f>
        <v>0</v>
      </c>
      <c r="I48" s="2435">
        <f t="shared" si="23"/>
        <v>1429429</v>
      </c>
      <c r="J48" s="1828"/>
      <c r="K48" s="1828"/>
      <c r="L48" s="1828"/>
      <c r="M48" s="1828"/>
      <c r="N48" s="1828"/>
    </row>
    <row r="49" spans="1:14" s="1716" customFormat="1" ht="20.100000000000001" customHeight="1" thickBot="1">
      <c r="A49" s="2541"/>
      <c r="B49" s="2512"/>
      <c r="C49" s="2513"/>
      <c r="D49" s="2249"/>
      <c r="E49" s="2249"/>
      <c r="F49" s="2522"/>
      <c r="G49" s="2465"/>
      <c r="H49" s="2465"/>
      <c r="I49" s="2466"/>
      <c r="J49" s="1963"/>
      <c r="K49" s="1963"/>
      <c r="L49" s="1963">
        <f t="shared" ref="L49:N49" si="24">+SUM(L43,L45,L47)</f>
        <v>0</v>
      </c>
      <c r="M49" s="1963">
        <f t="shared" ref="M49" si="25">+SUM(M43,M45,M47)</f>
        <v>0</v>
      </c>
      <c r="N49" s="1963">
        <f t="shared" si="24"/>
        <v>0</v>
      </c>
    </row>
    <row r="50" spans="1:14" s="1716" customFormat="1" ht="11.25">
      <c r="F50" s="1932"/>
      <c r="G50" s="1828" t="s">
        <v>5170</v>
      </c>
      <c r="H50" s="1933" t="s">
        <v>5168</v>
      </c>
      <c r="I50" s="1828"/>
      <c r="J50" s="1828"/>
      <c r="K50" s="1828"/>
      <c r="L50" s="1828"/>
      <c r="M50" s="1828"/>
      <c r="N50" s="1828"/>
    </row>
    <row r="51" spans="1:14" s="1716" customFormat="1" ht="11.25">
      <c r="F51" s="1932" t="s">
        <v>5171</v>
      </c>
      <c r="G51" s="1815">
        <f>+'3条収入'!$V$51</f>
        <v>1202214</v>
      </c>
      <c r="H51" s="1815">
        <f>+G18-G51</f>
        <v>0</v>
      </c>
      <c r="I51" s="1828"/>
      <c r="J51" s="1828"/>
      <c r="K51" s="1828"/>
      <c r="L51" s="1828"/>
      <c r="M51" s="1828"/>
      <c r="N51" s="1828"/>
    </row>
    <row r="52" spans="1:14" s="1716" customFormat="1" ht="11.25">
      <c r="F52" s="1932" t="s">
        <v>5172</v>
      </c>
      <c r="G52" s="1815">
        <f>+'3条収入'!$V$49</f>
        <v>0</v>
      </c>
      <c r="H52" s="1815">
        <f>+G20-G52</f>
        <v>0</v>
      </c>
      <c r="I52" s="1828"/>
      <c r="J52" s="1828"/>
      <c r="K52" s="1828"/>
      <c r="L52" s="1828"/>
      <c r="M52" s="1828"/>
      <c r="N52" s="1828"/>
    </row>
    <row r="53" spans="1:14" s="1716" customFormat="1" ht="11.25">
      <c r="F53" s="1932" t="s">
        <v>5173</v>
      </c>
      <c r="G53" s="1815">
        <f>+'3条収入'!$V$60</f>
        <v>1155175</v>
      </c>
      <c r="H53" s="1815">
        <f>+G32-G53</f>
        <v>0</v>
      </c>
      <c r="I53" s="1828"/>
      <c r="J53" s="1828"/>
      <c r="K53" s="1828"/>
      <c r="L53" s="1828"/>
      <c r="M53" s="1828"/>
      <c r="N53" s="1828"/>
    </row>
    <row r="54" spans="1:14" s="1716" customFormat="1" ht="11.25">
      <c r="F54" s="1932" t="s">
        <v>5174</v>
      </c>
      <c r="G54" s="1815">
        <f>+'3条収入'!$V$62</f>
        <v>1429429</v>
      </c>
      <c r="H54" s="1815">
        <f>+G48-G54</f>
        <v>0</v>
      </c>
      <c r="I54" s="1828"/>
      <c r="J54" s="1828"/>
      <c r="K54" s="1828"/>
      <c r="L54" s="1828"/>
      <c r="M54" s="1828"/>
      <c r="N54" s="1828"/>
    </row>
    <row r="55" spans="1:14" s="1716" customFormat="1" ht="11.25">
      <c r="F55" s="1932" t="s">
        <v>5175</v>
      </c>
      <c r="G55" s="1815">
        <f>SUM(G51:G54)</f>
        <v>3786818</v>
      </c>
      <c r="H55" s="1815">
        <f>+G6-G55</f>
        <v>0</v>
      </c>
      <c r="I55" s="1828"/>
      <c r="J55" s="1828"/>
      <c r="K55" s="1828"/>
      <c r="L55" s="1828"/>
      <c r="M55" s="1828"/>
      <c r="N55" s="1828"/>
    </row>
    <row r="56" spans="1:14" s="1716" customFormat="1" ht="11.25">
      <c r="F56" s="1932"/>
      <c r="G56" s="1828"/>
      <c r="H56" s="1828"/>
      <c r="I56" s="1828"/>
      <c r="J56" s="1828"/>
      <c r="K56" s="1828"/>
      <c r="L56" s="1828"/>
      <c r="M56" s="1828"/>
      <c r="N56" s="1828"/>
    </row>
    <row r="57" spans="1:14" s="1716" customFormat="1" ht="11.25">
      <c r="F57" s="1932"/>
      <c r="G57" s="1828"/>
      <c r="H57" s="1828"/>
      <c r="I57" s="1828"/>
      <c r="J57" s="1828"/>
      <c r="K57" s="1828"/>
      <c r="L57" s="1828"/>
      <c r="M57" s="1828"/>
      <c r="N57" s="1828"/>
    </row>
    <row r="58" spans="1:14" s="1716" customFormat="1" ht="11.25">
      <c r="F58" s="1932"/>
      <c r="G58" s="1828"/>
      <c r="H58" s="1828"/>
      <c r="I58" s="1828"/>
      <c r="J58" s="1828"/>
      <c r="K58" s="1828"/>
      <c r="L58" s="1828"/>
      <c r="M58" s="1828"/>
      <c r="N58" s="1828"/>
    </row>
    <row r="59" spans="1:14" s="1716" customFormat="1" ht="11.25">
      <c r="F59" s="1932"/>
      <c r="G59" s="1828"/>
      <c r="H59" s="1828"/>
      <c r="I59" s="1828"/>
      <c r="J59" s="1828"/>
      <c r="K59" s="1828"/>
      <c r="L59" s="1828"/>
      <c r="M59" s="1828"/>
      <c r="N59" s="1828"/>
    </row>
    <row r="60" spans="1:14" s="1716" customFormat="1" ht="11.25">
      <c r="F60" s="1932"/>
      <c r="G60" s="1828"/>
      <c r="H60" s="1828"/>
      <c r="I60" s="1828"/>
      <c r="J60" s="1828"/>
      <c r="K60" s="1828"/>
      <c r="L60" s="1828"/>
      <c r="M60" s="1828"/>
      <c r="N60" s="1828"/>
    </row>
    <row r="61" spans="1:14" s="1716" customFormat="1" ht="11.25">
      <c r="F61" s="1932"/>
      <c r="G61" s="1828"/>
      <c r="H61" s="1828"/>
      <c r="I61" s="1828"/>
      <c r="J61" s="1828"/>
      <c r="K61" s="1828"/>
      <c r="L61" s="1828"/>
      <c r="M61" s="1828"/>
      <c r="N61" s="1828"/>
    </row>
    <row r="62" spans="1:14" s="1716" customFormat="1" ht="11.25">
      <c r="F62" s="1932"/>
      <c r="G62" s="1828"/>
      <c r="H62" s="1828"/>
      <c r="I62" s="1828"/>
      <c r="J62" s="1828"/>
      <c r="K62" s="1828"/>
      <c r="L62" s="1828"/>
      <c r="M62" s="1828"/>
      <c r="N62" s="1828"/>
    </row>
    <row r="63" spans="1:14" s="1716" customFormat="1" ht="11.25">
      <c r="F63" s="1932"/>
      <c r="G63" s="1828"/>
      <c r="H63" s="1828"/>
      <c r="I63" s="1828"/>
      <c r="J63" s="1828"/>
      <c r="K63" s="1828"/>
      <c r="L63" s="1828"/>
      <c r="M63" s="1828"/>
      <c r="N63" s="1828"/>
    </row>
    <row r="64" spans="1:14" s="1716" customFormat="1" ht="11.25">
      <c r="F64" s="1932"/>
      <c r="G64" s="1828"/>
      <c r="H64" s="1828"/>
      <c r="I64" s="1828"/>
      <c r="J64" s="1828"/>
      <c r="K64" s="1828"/>
      <c r="L64" s="1828"/>
      <c r="M64" s="1828"/>
      <c r="N64" s="1828"/>
    </row>
    <row r="65" spans="6:14" s="1716" customFormat="1" ht="11.25">
      <c r="F65" s="1932"/>
      <c r="G65" s="1828"/>
      <c r="H65" s="1828"/>
      <c r="I65" s="1828"/>
      <c r="J65" s="1828"/>
      <c r="K65" s="1828"/>
      <c r="L65" s="1828"/>
      <c r="M65" s="1828"/>
      <c r="N65" s="1828"/>
    </row>
    <row r="66" spans="6:14" s="1716" customFormat="1" ht="11.25">
      <c r="F66" s="1932"/>
      <c r="G66" s="1828"/>
      <c r="H66" s="1828"/>
      <c r="I66" s="1828"/>
      <c r="J66" s="1828"/>
      <c r="K66" s="1828"/>
      <c r="L66" s="1828"/>
      <c r="M66" s="1828"/>
      <c r="N66" s="1828"/>
    </row>
    <row r="67" spans="6:14" s="1716" customFormat="1" ht="11.25">
      <c r="F67" s="1932"/>
      <c r="G67" s="1828"/>
      <c r="H67" s="1828"/>
      <c r="I67" s="1828"/>
      <c r="J67" s="1828"/>
      <c r="K67" s="1828"/>
      <c r="L67" s="1828"/>
      <c r="M67" s="1828"/>
      <c r="N67" s="1828"/>
    </row>
    <row r="68" spans="6:14" s="1716" customFormat="1" ht="11.25">
      <c r="F68" s="1932"/>
      <c r="G68" s="1828"/>
      <c r="H68" s="1828"/>
      <c r="I68" s="1828"/>
      <c r="J68" s="1828"/>
      <c r="K68" s="1828"/>
      <c r="L68" s="1828"/>
      <c r="M68" s="1828"/>
      <c r="N68" s="1828"/>
    </row>
    <row r="69" spans="6:14" s="1716" customFormat="1" ht="11.25">
      <c r="F69" s="1932"/>
      <c r="G69" s="1828"/>
      <c r="H69" s="1828"/>
      <c r="I69" s="1828"/>
      <c r="J69" s="1828"/>
      <c r="K69" s="1828"/>
      <c r="L69" s="1828"/>
      <c r="M69" s="1828"/>
      <c r="N69" s="1828"/>
    </row>
    <row r="70" spans="6:14" s="1716" customFormat="1" ht="11.25">
      <c r="F70" s="1932"/>
      <c r="G70" s="1828"/>
      <c r="H70" s="1828"/>
      <c r="I70" s="1828"/>
      <c r="J70" s="1828"/>
      <c r="K70" s="1828"/>
      <c r="L70" s="1828"/>
      <c r="M70" s="1828"/>
      <c r="N70" s="1828"/>
    </row>
    <row r="71" spans="6:14" s="1716" customFormat="1" ht="11.25">
      <c r="F71" s="1932"/>
      <c r="G71" s="1828"/>
      <c r="H71" s="1828"/>
      <c r="I71" s="1828"/>
      <c r="J71" s="1828"/>
      <c r="K71" s="1828"/>
      <c r="L71" s="1828"/>
      <c r="M71" s="1828"/>
      <c r="N71" s="1828"/>
    </row>
    <row r="72" spans="6:14" s="1716" customFormat="1" ht="11.25">
      <c r="F72" s="1932"/>
      <c r="G72" s="1828"/>
      <c r="H72" s="1828"/>
      <c r="I72" s="1828"/>
      <c r="J72" s="1828"/>
      <c r="K72" s="1828"/>
      <c r="L72" s="1828"/>
      <c r="M72" s="1828"/>
      <c r="N72" s="1828"/>
    </row>
    <row r="73" spans="6:14" s="1716" customFormat="1" ht="11.25">
      <c r="F73" s="1932"/>
      <c r="G73" s="1828"/>
      <c r="H73" s="1828"/>
      <c r="I73" s="1828"/>
      <c r="J73" s="1828"/>
      <c r="K73" s="1828"/>
      <c r="L73" s="1828"/>
      <c r="M73" s="1828"/>
      <c r="N73" s="1828"/>
    </row>
    <row r="74" spans="6:14" s="1716" customFormat="1" ht="11.25">
      <c r="F74" s="1932"/>
      <c r="G74" s="1828"/>
      <c r="H74" s="1828"/>
      <c r="I74" s="1828"/>
      <c r="J74" s="1828"/>
      <c r="K74" s="1828"/>
      <c r="L74" s="1828"/>
      <c r="M74" s="1828"/>
      <c r="N74" s="1828"/>
    </row>
    <row r="75" spans="6:14" s="1716" customFormat="1" ht="11.25">
      <c r="F75" s="1932"/>
      <c r="G75" s="1828"/>
      <c r="H75" s="1828"/>
      <c r="I75" s="1828"/>
      <c r="J75" s="1828"/>
      <c r="K75" s="1828"/>
      <c r="L75" s="1828"/>
      <c r="M75" s="1828"/>
      <c r="N75" s="1828"/>
    </row>
    <row r="76" spans="6:14" s="1716" customFormat="1" ht="11.25">
      <c r="F76" s="1932"/>
      <c r="G76" s="1828"/>
      <c r="H76" s="1828"/>
      <c r="I76" s="1828"/>
      <c r="J76" s="1828"/>
      <c r="K76" s="1828"/>
      <c r="L76" s="1828"/>
      <c r="M76" s="1828"/>
      <c r="N76" s="1828"/>
    </row>
    <row r="77" spans="6:14" s="1716" customFormat="1" ht="11.25">
      <c r="F77" s="1932"/>
      <c r="G77" s="1828"/>
      <c r="H77" s="1828"/>
      <c r="I77" s="1828"/>
      <c r="J77" s="1828"/>
      <c r="K77" s="1828"/>
      <c r="L77" s="1828"/>
      <c r="M77" s="1828"/>
      <c r="N77" s="1828"/>
    </row>
    <row r="78" spans="6:14" s="1716" customFormat="1" ht="11.25">
      <c r="F78" s="1932"/>
      <c r="G78" s="1828"/>
      <c r="H78" s="1828"/>
      <c r="I78" s="1828"/>
      <c r="J78" s="1828"/>
      <c r="K78" s="1828"/>
      <c r="L78" s="1828"/>
      <c r="M78" s="1828"/>
      <c r="N78" s="1828"/>
    </row>
    <row r="79" spans="6:14" s="1716" customFormat="1" ht="11.25">
      <c r="F79" s="1932"/>
      <c r="G79" s="1828"/>
      <c r="H79" s="1828"/>
      <c r="I79" s="1828"/>
      <c r="J79" s="1828"/>
      <c r="K79" s="1828"/>
      <c r="L79" s="1828"/>
      <c r="M79" s="1828"/>
      <c r="N79" s="1828"/>
    </row>
    <row r="80" spans="6:14" s="1716" customFormat="1" ht="11.25">
      <c r="F80" s="1932"/>
      <c r="G80" s="1828"/>
      <c r="H80" s="1828"/>
      <c r="I80" s="1828"/>
      <c r="J80" s="1828"/>
      <c r="K80" s="1828"/>
      <c r="L80" s="1828"/>
      <c r="M80" s="1828"/>
      <c r="N80" s="1828"/>
    </row>
    <row r="81" spans="6:14" s="1716" customFormat="1" ht="11.25">
      <c r="F81" s="1932"/>
      <c r="G81" s="1828"/>
      <c r="H81" s="1828"/>
      <c r="I81" s="1828"/>
      <c r="J81" s="1828"/>
      <c r="K81" s="1828"/>
      <c r="L81" s="1828"/>
      <c r="M81" s="1828"/>
      <c r="N81" s="1828"/>
    </row>
    <row r="82" spans="6:14" s="1716" customFormat="1" ht="11.25">
      <c r="F82" s="1932"/>
      <c r="G82" s="1828"/>
      <c r="H82" s="1828"/>
      <c r="I82" s="1828"/>
      <c r="J82" s="1828"/>
      <c r="K82" s="1828"/>
      <c r="L82" s="1828"/>
      <c r="M82" s="1828"/>
      <c r="N82" s="1828"/>
    </row>
    <row r="83" spans="6:14" s="1716" customFormat="1" ht="11.25">
      <c r="F83" s="1932"/>
      <c r="G83" s="1828"/>
      <c r="H83" s="1828"/>
      <c r="I83" s="1828"/>
      <c r="J83" s="1828"/>
      <c r="K83" s="1828"/>
      <c r="L83" s="1828"/>
      <c r="M83" s="1828"/>
      <c r="N83" s="1828"/>
    </row>
    <row r="84" spans="6:14" s="1716" customFormat="1" ht="11.25">
      <c r="F84" s="1932"/>
      <c r="G84" s="1828"/>
      <c r="H84" s="1828"/>
      <c r="I84" s="1828"/>
      <c r="J84" s="1828"/>
      <c r="K84" s="1828"/>
      <c r="L84" s="1828"/>
      <c r="M84" s="1828"/>
      <c r="N84" s="1828"/>
    </row>
    <row r="85" spans="6:14" s="1716" customFormat="1" ht="11.25">
      <c r="F85" s="1932"/>
      <c r="G85" s="1828"/>
      <c r="H85" s="1828"/>
      <c r="I85" s="1828"/>
      <c r="J85" s="1828"/>
      <c r="K85" s="1828"/>
      <c r="L85" s="1828"/>
      <c r="M85" s="1828"/>
      <c r="N85" s="1828"/>
    </row>
    <row r="86" spans="6:14" s="1716" customFormat="1" ht="11.25">
      <c r="F86" s="1932"/>
      <c r="G86" s="1828"/>
      <c r="H86" s="1828"/>
      <c r="I86" s="1828"/>
      <c r="J86" s="1828"/>
      <c r="K86" s="1828"/>
      <c r="L86" s="1828"/>
      <c r="M86" s="1828"/>
      <c r="N86" s="1828"/>
    </row>
    <row r="87" spans="6:14" s="1716" customFormat="1" ht="11.25">
      <c r="F87" s="1932"/>
      <c r="G87" s="1828"/>
      <c r="H87" s="1828"/>
      <c r="I87" s="1828"/>
      <c r="J87" s="1828"/>
      <c r="K87" s="1828"/>
      <c r="L87" s="1828"/>
      <c r="M87" s="1828"/>
      <c r="N87" s="1828"/>
    </row>
    <row r="88" spans="6:14" s="1716" customFormat="1" ht="11.25">
      <c r="F88" s="1932"/>
      <c r="G88" s="1828"/>
      <c r="H88" s="1828"/>
      <c r="I88" s="1828"/>
      <c r="J88" s="1828"/>
      <c r="K88" s="1828"/>
      <c r="L88" s="1828"/>
      <c r="M88" s="1828"/>
      <c r="N88" s="1828"/>
    </row>
    <row r="89" spans="6:14" s="1716" customFormat="1" ht="11.25">
      <c r="F89" s="1932"/>
      <c r="G89" s="1828"/>
      <c r="H89" s="1828"/>
      <c r="I89" s="1828"/>
      <c r="J89" s="1828"/>
      <c r="K89" s="1828"/>
      <c r="L89" s="1828"/>
      <c r="M89" s="1828"/>
      <c r="N89" s="1828"/>
    </row>
    <row r="90" spans="6:14" s="1716" customFormat="1" ht="11.25">
      <c r="F90" s="1932"/>
      <c r="G90" s="1828"/>
      <c r="H90" s="1828"/>
      <c r="I90" s="1828"/>
      <c r="J90" s="1828"/>
      <c r="K90" s="1828"/>
      <c r="L90" s="1828"/>
      <c r="M90" s="1828"/>
      <c r="N90" s="1828"/>
    </row>
    <row r="91" spans="6:14" s="1716" customFormat="1" ht="11.25">
      <c r="F91" s="1932"/>
      <c r="G91" s="1828"/>
      <c r="H91" s="1828"/>
      <c r="I91" s="1828"/>
      <c r="J91" s="1828"/>
      <c r="K91" s="1828"/>
      <c r="L91" s="1828"/>
      <c r="M91" s="1828"/>
      <c r="N91" s="1828"/>
    </row>
    <row r="92" spans="6:14" s="1716" customFormat="1" ht="11.25">
      <c r="F92" s="1932"/>
      <c r="G92" s="1828"/>
      <c r="H92" s="1828"/>
      <c r="I92" s="1828"/>
      <c r="J92" s="1828"/>
      <c r="K92" s="1828"/>
      <c r="L92" s="1828"/>
      <c r="M92" s="1828"/>
      <c r="N92" s="1828"/>
    </row>
    <row r="93" spans="6:14" s="1716" customFormat="1" ht="11.25">
      <c r="F93" s="1932"/>
      <c r="G93" s="1828"/>
      <c r="H93" s="1828"/>
      <c r="I93" s="1828"/>
      <c r="J93" s="1828"/>
      <c r="K93" s="1828"/>
      <c r="L93" s="1828"/>
      <c r="M93" s="1828"/>
      <c r="N93" s="1828"/>
    </row>
    <row r="94" spans="6:14" s="1716" customFormat="1" ht="11.25">
      <c r="F94" s="1932"/>
      <c r="G94" s="1828"/>
      <c r="H94" s="1828"/>
      <c r="I94" s="1828"/>
      <c r="J94" s="1828"/>
      <c r="K94" s="1828"/>
      <c r="L94" s="1828"/>
      <c r="M94" s="1828"/>
      <c r="N94" s="1828"/>
    </row>
    <row r="95" spans="6:14" s="1716" customFormat="1" ht="11.25">
      <c r="F95" s="1932"/>
      <c r="G95" s="1828"/>
      <c r="H95" s="1828"/>
      <c r="I95" s="1828"/>
      <c r="J95" s="1828"/>
      <c r="K95" s="1828"/>
      <c r="L95" s="1828"/>
      <c r="M95" s="1828"/>
      <c r="N95" s="1828"/>
    </row>
    <row r="96" spans="6:14" s="1716" customFormat="1" ht="11.25">
      <c r="F96" s="1932"/>
      <c r="G96" s="1828"/>
      <c r="H96" s="1828"/>
      <c r="I96" s="1828"/>
      <c r="J96" s="1828"/>
      <c r="K96" s="1828"/>
      <c r="L96" s="1828"/>
      <c r="M96" s="1828"/>
      <c r="N96" s="1828"/>
    </row>
    <row r="97" spans="6:14" s="1716" customFormat="1" ht="11.25">
      <c r="F97" s="1932"/>
      <c r="G97" s="1828"/>
      <c r="H97" s="1828"/>
      <c r="I97" s="1828"/>
      <c r="J97" s="1828"/>
      <c r="K97" s="1828"/>
      <c r="L97" s="1828"/>
      <c r="M97" s="1828"/>
      <c r="N97" s="1828"/>
    </row>
    <row r="98" spans="6:14" s="1716" customFormat="1" ht="11.25">
      <c r="F98" s="1932"/>
      <c r="G98" s="1828"/>
      <c r="H98" s="1828"/>
      <c r="I98" s="1828"/>
      <c r="J98" s="1828"/>
      <c r="K98" s="1828"/>
      <c r="L98" s="1828"/>
      <c r="M98" s="1828"/>
      <c r="N98" s="1828"/>
    </row>
    <row r="99" spans="6:14" s="1716" customFormat="1" ht="11.25">
      <c r="F99" s="1932"/>
      <c r="G99" s="1828"/>
      <c r="H99" s="1828"/>
      <c r="I99" s="1828"/>
      <c r="J99" s="1828"/>
      <c r="K99" s="1828"/>
      <c r="L99" s="1828"/>
      <c r="M99" s="1828"/>
      <c r="N99" s="1828"/>
    </row>
    <row r="100" spans="6:14" s="1716" customFormat="1" ht="11.25">
      <c r="F100" s="1932"/>
      <c r="G100" s="1828"/>
      <c r="H100" s="1828"/>
      <c r="I100" s="1828"/>
      <c r="J100" s="1828"/>
      <c r="K100" s="1828"/>
      <c r="L100" s="1828"/>
      <c r="M100" s="1828"/>
      <c r="N100" s="1828"/>
    </row>
    <row r="101" spans="6:14" s="1716" customFormat="1" ht="11.25">
      <c r="F101" s="1932"/>
      <c r="G101" s="1828"/>
      <c r="H101" s="1828"/>
      <c r="I101" s="1828"/>
      <c r="J101" s="1828"/>
      <c r="K101" s="1828"/>
      <c r="L101" s="1828"/>
      <c r="M101" s="1828"/>
      <c r="N101" s="1828"/>
    </row>
    <row r="102" spans="6:14" s="1716" customFormat="1" ht="11.25">
      <c r="F102" s="1932"/>
      <c r="G102" s="1828"/>
      <c r="H102" s="1828"/>
      <c r="I102" s="1828"/>
      <c r="J102" s="1828"/>
      <c r="K102" s="1828"/>
      <c r="L102" s="1828"/>
      <c r="M102" s="1828"/>
      <c r="N102" s="1828"/>
    </row>
    <row r="103" spans="6:14" s="1716" customFormat="1" ht="11.25">
      <c r="F103" s="1932"/>
      <c r="G103" s="1828"/>
      <c r="H103" s="1828"/>
      <c r="I103" s="1828"/>
      <c r="J103" s="1828"/>
      <c r="K103" s="1828"/>
      <c r="L103" s="1828"/>
      <c r="M103" s="1828"/>
      <c r="N103" s="1828"/>
    </row>
    <row r="104" spans="6:14" s="1716" customFormat="1" ht="11.25">
      <c r="F104" s="1932"/>
      <c r="G104" s="1828"/>
      <c r="H104" s="1828"/>
      <c r="I104" s="1828"/>
      <c r="J104" s="1828"/>
      <c r="K104" s="1828"/>
      <c r="L104" s="1828"/>
      <c r="M104" s="1828"/>
      <c r="N104" s="1828"/>
    </row>
    <row r="105" spans="6:14" s="1716" customFormat="1" ht="11.25">
      <c r="F105" s="1932"/>
      <c r="G105" s="1828"/>
      <c r="H105" s="1828"/>
      <c r="I105" s="1828"/>
      <c r="J105" s="1828"/>
      <c r="K105" s="1828"/>
      <c r="L105" s="1828"/>
      <c r="M105" s="1828"/>
      <c r="N105" s="1828"/>
    </row>
    <row r="106" spans="6:14" s="1716" customFormat="1" ht="11.25">
      <c r="F106" s="1932"/>
      <c r="G106" s="1828"/>
      <c r="H106" s="1828"/>
      <c r="I106" s="1828"/>
      <c r="J106" s="1828"/>
      <c r="K106" s="1828"/>
      <c r="L106" s="1828"/>
      <c r="M106" s="1828"/>
      <c r="N106" s="1828"/>
    </row>
    <row r="107" spans="6:14" s="1716" customFormat="1" ht="11.25">
      <c r="F107" s="1932"/>
      <c r="G107" s="1828"/>
      <c r="H107" s="1828"/>
      <c r="I107" s="1828"/>
      <c r="J107" s="1828"/>
      <c r="K107" s="1828"/>
      <c r="L107" s="1828"/>
      <c r="M107" s="1828"/>
      <c r="N107" s="1828"/>
    </row>
    <row r="108" spans="6:14" s="1716" customFormat="1" ht="11.25">
      <c r="F108" s="1932"/>
      <c r="G108" s="1828"/>
      <c r="H108" s="1828"/>
      <c r="I108" s="1828"/>
      <c r="J108" s="1828"/>
      <c r="K108" s="1828"/>
      <c r="L108" s="1828"/>
      <c r="M108" s="1828"/>
      <c r="N108" s="1828"/>
    </row>
    <row r="109" spans="6:14" s="1716" customFormat="1" ht="11.25">
      <c r="F109" s="1932"/>
      <c r="G109" s="1828"/>
      <c r="H109" s="1828"/>
      <c r="I109" s="1828"/>
      <c r="J109" s="1828"/>
      <c r="K109" s="1828"/>
      <c r="L109" s="1828"/>
      <c r="M109" s="1828"/>
      <c r="N109" s="1828"/>
    </row>
    <row r="110" spans="6:14" s="1716" customFormat="1" ht="11.25">
      <c r="F110" s="1932"/>
      <c r="G110" s="1828"/>
      <c r="H110" s="1828"/>
      <c r="I110" s="1828"/>
      <c r="J110" s="1828"/>
      <c r="K110" s="1828"/>
      <c r="L110" s="1828"/>
      <c r="M110" s="1828"/>
      <c r="N110" s="1828"/>
    </row>
    <row r="111" spans="6:14" s="1716" customFormat="1" ht="11.25">
      <c r="F111" s="1932"/>
      <c r="G111" s="1828"/>
      <c r="H111" s="1828"/>
      <c r="I111" s="1828"/>
      <c r="J111" s="1828"/>
      <c r="K111" s="1828"/>
      <c r="L111" s="1828"/>
      <c r="M111" s="1828"/>
      <c r="N111" s="1828"/>
    </row>
    <row r="112" spans="6:14" s="1716" customFormat="1" ht="11.25">
      <c r="F112" s="1932"/>
      <c r="G112" s="1828"/>
      <c r="H112" s="1828"/>
      <c r="I112" s="1828"/>
      <c r="J112" s="1828"/>
      <c r="K112" s="1828"/>
      <c r="L112" s="1828"/>
      <c r="M112" s="1828"/>
      <c r="N112" s="1828"/>
    </row>
    <row r="113" spans="6:14" s="1716" customFormat="1" ht="11.25">
      <c r="F113" s="1932"/>
      <c r="G113" s="1828"/>
      <c r="H113" s="1828"/>
      <c r="I113" s="1828"/>
      <c r="J113" s="1828"/>
      <c r="K113" s="1828"/>
      <c r="L113" s="1828"/>
      <c r="M113" s="1828"/>
      <c r="N113" s="1828"/>
    </row>
    <row r="114" spans="6:14" s="1716" customFormat="1" ht="11.25">
      <c r="F114" s="1932"/>
      <c r="G114" s="1828"/>
      <c r="H114" s="1828"/>
      <c r="I114" s="1828"/>
      <c r="J114" s="1828"/>
      <c r="K114" s="1828"/>
      <c r="L114" s="1828"/>
      <c r="M114" s="1828"/>
      <c r="N114" s="1828"/>
    </row>
    <row r="115" spans="6:14" s="1716" customFormat="1" ht="11.25">
      <c r="F115" s="1932"/>
      <c r="G115" s="1828"/>
      <c r="H115" s="1828"/>
      <c r="I115" s="1828"/>
      <c r="J115" s="1828"/>
      <c r="K115" s="1828"/>
      <c r="L115" s="1828"/>
      <c r="M115" s="1828"/>
      <c r="N115" s="1828"/>
    </row>
    <row r="116" spans="6:14" s="1716" customFormat="1" ht="11.25">
      <c r="F116" s="1932"/>
      <c r="G116" s="1828"/>
      <c r="H116" s="1828"/>
      <c r="I116" s="1828"/>
      <c r="J116" s="1828"/>
      <c r="K116" s="1828"/>
      <c r="L116" s="1828"/>
      <c r="M116" s="1828"/>
      <c r="N116" s="1828"/>
    </row>
    <row r="117" spans="6:14" s="1716" customFormat="1" ht="11.25">
      <c r="F117" s="1932"/>
      <c r="G117" s="1828"/>
      <c r="H117" s="1828"/>
      <c r="I117" s="1828"/>
      <c r="J117" s="1828"/>
      <c r="K117" s="1828"/>
      <c r="L117" s="1828"/>
      <c r="M117" s="1828"/>
      <c r="N117" s="1828"/>
    </row>
    <row r="118" spans="6:14" s="1716" customFormat="1" ht="11.25">
      <c r="F118" s="1932"/>
      <c r="G118" s="1828"/>
      <c r="H118" s="1828"/>
      <c r="I118" s="1828"/>
      <c r="J118" s="1828"/>
      <c r="K118" s="1828"/>
      <c r="L118" s="1828"/>
      <c r="M118" s="1828"/>
      <c r="N118" s="1828"/>
    </row>
    <row r="119" spans="6:14" s="1716" customFormat="1" ht="11.25">
      <c r="F119" s="1932"/>
      <c r="G119" s="1828"/>
      <c r="H119" s="1828"/>
      <c r="I119" s="1828"/>
      <c r="J119" s="1828"/>
      <c r="K119" s="1828"/>
      <c r="L119" s="1828"/>
      <c r="M119" s="1828"/>
      <c r="N119" s="1828"/>
    </row>
    <row r="120" spans="6:14" s="1716" customFormat="1" ht="11.25">
      <c r="F120" s="1932"/>
      <c r="G120" s="1828"/>
      <c r="H120" s="1828"/>
      <c r="I120" s="1828"/>
      <c r="J120" s="1828"/>
      <c r="K120" s="1828"/>
      <c r="L120" s="1828"/>
      <c r="M120" s="1828"/>
      <c r="N120" s="1828"/>
    </row>
    <row r="121" spans="6:14" s="1716" customFormat="1" ht="11.25">
      <c r="F121" s="1932"/>
      <c r="G121" s="1828"/>
      <c r="H121" s="1828"/>
      <c r="I121" s="1828"/>
      <c r="J121" s="1828"/>
      <c r="K121" s="1828"/>
      <c r="L121" s="1828"/>
      <c r="M121" s="1828"/>
      <c r="N121" s="1828"/>
    </row>
    <row r="122" spans="6:14" s="1716" customFormat="1" ht="11.25">
      <c r="F122" s="1932"/>
      <c r="G122" s="1828"/>
      <c r="H122" s="1828"/>
      <c r="I122" s="1828"/>
      <c r="J122" s="1828"/>
      <c r="K122" s="1828"/>
      <c r="L122" s="1828"/>
      <c r="M122" s="1828"/>
      <c r="N122" s="1828"/>
    </row>
    <row r="123" spans="6:14" s="1716" customFormat="1" ht="11.25">
      <c r="F123" s="1932"/>
      <c r="G123" s="1828"/>
      <c r="H123" s="1828"/>
      <c r="I123" s="1828"/>
      <c r="J123" s="1828"/>
      <c r="K123" s="1828"/>
      <c r="L123" s="1828"/>
      <c r="M123" s="1828"/>
      <c r="N123" s="1828"/>
    </row>
    <row r="124" spans="6:14" s="1716" customFormat="1" ht="11.25">
      <c r="F124" s="1932"/>
      <c r="G124" s="1828"/>
      <c r="H124" s="1828"/>
      <c r="I124" s="1828"/>
      <c r="J124" s="1828"/>
      <c r="K124" s="1828"/>
      <c r="L124" s="1828"/>
      <c r="M124" s="1828"/>
      <c r="N124" s="1828"/>
    </row>
    <row r="125" spans="6:14" s="1716" customFormat="1" ht="11.25">
      <c r="F125" s="1932"/>
      <c r="G125" s="1828"/>
      <c r="H125" s="1828"/>
      <c r="I125" s="1828"/>
      <c r="J125" s="1828"/>
      <c r="K125" s="1828"/>
      <c r="L125" s="1828"/>
      <c r="M125" s="1828"/>
      <c r="N125" s="1828"/>
    </row>
  </sheetData>
  <mergeCells count="147">
    <mergeCell ref="I40:I41"/>
    <mergeCell ref="G20:G21"/>
    <mergeCell ref="H28:H29"/>
    <mergeCell ref="I28:I29"/>
    <mergeCell ref="H32:H33"/>
    <mergeCell ref="I32:I33"/>
    <mergeCell ref="F32:F33"/>
    <mergeCell ref="G28:G29"/>
    <mergeCell ref="G30:G31"/>
    <mergeCell ref="I24:I25"/>
    <mergeCell ref="G26:G27"/>
    <mergeCell ref="H38:H39"/>
    <mergeCell ref="I38:I39"/>
    <mergeCell ref="G32:G33"/>
    <mergeCell ref="H26:H27"/>
    <mergeCell ref="I26:I27"/>
    <mergeCell ref="G38:G39"/>
    <mergeCell ref="I42:I43"/>
    <mergeCell ref="G12:G13"/>
    <mergeCell ref="H12:H13"/>
    <mergeCell ref="I12:I13"/>
    <mergeCell ref="B14:C15"/>
    <mergeCell ref="D14:D15"/>
    <mergeCell ref="E14:E15"/>
    <mergeCell ref="G14:G15"/>
    <mergeCell ref="H14:H15"/>
    <mergeCell ref="I14:I15"/>
    <mergeCell ref="I36:I37"/>
    <mergeCell ref="G16:G17"/>
    <mergeCell ref="G22:G23"/>
    <mergeCell ref="H22:H23"/>
    <mergeCell ref="I22:I23"/>
    <mergeCell ref="G24:G25"/>
    <mergeCell ref="H24:H25"/>
    <mergeCell ref="H20:H21"/>
    <mergeCell ref="I20:I21"/>
    <mergeCell ref="A20:C21"/>
    <mergeCell ref="H30:H31"/>
    <mergeCell ref="I30:I31"/>
    <mergeCell ref="D38:D39"/>
    <mergeCell ref="A22:A33"/>
    <mergeCell ref="A34:A49"/>
    <mergeCell ref="B12:C13"/>
    <mergeCell ref="D12:D13"/>
    <mergeCell ref="E12:E13"/>
    <mergeCell ref="D48:D49"/>
    <mergeCell ref="E48:E49"/>
    <mergeCell ref="G48:G49"/>
    <mergeCell ref="G36:G37"/>
    <mergeCell ref="G44:G45"/>
    <mergeCell ref="G46:G47"/>
    <mergeCell ref="F42:F43"/>
    <mergeCell ref="G42:G43"/>
    <mergeCell ref="B22:C23"/>
    <mergeCell ref="D22:D23"/>
    <mergeCell ref="E22:E23"/>
    <mergeCell ref="B26:C27"/>
    <mergeCell ref="D26:D27"/>
    <mergeCell ref="E26:E27"/>
    <mergeCell ref="B24:C25"/>
    <mergeCell ref="D24:D25"/>
    <mergeCell ref="E24:E25"/>
    <mergeCell ref="E28:E29"/>
    <mergeCell ref="B28:C29"/>
    <mergeCell ref="D28:D29"/>
    <mergeCell ref="E20:E21"/>
    <mergeCell ref="D44:D45"/>
    <mergeCell ref="B42:C43"/>
    <mergeCell ref="E36:E37"/>
    <mergeCell ref="E44:E45"/>
    <mergeCell ref="H36:H37"/>
    <mergeCell ref="E34:E35"/>
    <mergeCell ref="B32:C33"/>
    <mergeCell ref="D32:D33"/>
    <mergeCell ref="E32:E33"/>
    <mergeCell ref="H44:H45"/>
    <mergeCell ref="H42:H43"/>
    <mergeCell ref="B30:C31"/>
    <mergeCell ref="D30:D31"/>
    <mergeCell ref="E30:E31"/>
    <mergeCell ref="B40:C41"/>
    <mergeCell ref="D40:D41"/>
    <mergeCell ref="E40:E41"/>
    <mergeCell ref="G40:G41"/>
    <mergeCell ref="H40:H41"/>
    <mergeCell ref="B38:C39"/>
    <mergeCell ref="E38:E39"/>
    <mergeCell ref="B36:C37"/>
    <mergeCell ref="D36:D37"/>
    <mergeCell ref="D16:D17"/>
    <mergeCell ref="D18:D19"/>
    <mergeCell ref="D34:D35"/>
    <mergeCell ref="D46:D47"/>
    <mergeCell ref="D42:D43"/>
    <mergeCell ref="B16:C17"/>
    <mergeCell ref="B18:C19"/>
    <mergeCell ref="B44:C45"/>
    <mergeCell ref="B34:C35"/>
    <mergeCell ref="D20:D21"/>
    <mergeCell ref="I44:I45"/>
    <mergeCell ref="H18:H19"/>
    <mergeCell ref="I16:I17"/>
    <mergeCell ref="B48:C49"/>
    <mergeCell ref="A6:C7"/>
    <mergeCell ref="H16:H17"/>
    <mergeCell ref="H46:H47"/>
    <mergeCell ref="E42:E43"/>
    <mergeCell ref="H34:H35"/>
    <mergeCell ref="D6:D7"/>
    <mergeCell ref="I18:I19"/>
    <mergeCell ref="H48:H49"/>
    <mergeCell ref="I6:I7"/>
    <mergeCell ref="I34:I35"/>
    <mergeCell ref="I48:I49"/>
    <mergeCell ref="I46:I47"/>
    <mergeCell ref="B46:C47"/>
    <mergeCell ref="G18:G19"/>
    <mergeCell ref="G34:G35"/>
    <mergeCell ref="F48:F49"/>
    <mergeCell ref="B8:C9"/>
    <mergeCell ref="F6:F7"/>
    <mergeCell ref="E46:E47"/>
    <mergeCell ref="H8:H9"/>
    <mergeCell ref="I8:I9"/>
    <mergeCell ref="A8:A19"/>
    <mergeCell ref="D8:D9"/>
    <mergeCell ref="A1:I1"/>
    <mergeCell ref="A4:C5"/>
    <mergeCell ref="D4:D5"/>
    <mergeCell ref="E4:E5"/>
    <mergeCell ref="G4:G5"/>
    <mergeCell ref="H4:H5"/>
    <mergeCell ref="I4:I5"/>
    <mergeCell ref="G10:G11"/>
    <mergeCell ref="H10:H11"/>
    <mergeCell ref="H6:H7"/>
    <mergeCell ref="E6:E7"/>
    <mergeCell ref="G6:G7"/>
    <mergeCell ref="I10:I11"/>
    <mergeCell ref="E8:E9"/>
    <mergeCell ref="E18:E19"/>
    <mergeCell ref="F18:F19"/>
    <mergeCell ref="G8:G9"/>
    <mergeCell ref="B10:C11"/>
    <mergeCell ref="D10:D11"/>
    <mergeCell ref="E10:E11"/>
    <mergeCell ref="E16:E17"/>
  </mergeCells>
  <phoneticPr fontId="2"/>
  <conditionalFormatting sqref="J46:N46 J38:N38 J36:N36 J30:N30 J28:N28 J26:N26 J24:N24 J22:N22 J16:N16 J14:N14 J12:N12 J8:N8 J1:N1">
    <cfRule type="expression" dxfId="517" priority="27">
      <formula>$E1=$P$3</formula>
    </cfRule>
  </conditionalFormatting>
  <conditionalFormatting sqref="J8:N8">
    <cfRule type="expression" dxfId="516" priority="13">
      <formula>$E8=$P$3</formula>
    </cfRule>
  </conditionalFormatting>
  <conditionalFormatting sqref="J10:N10">
    <cfRule type="expression" dxfId="515" priority="9">
      <formula>$E10=$P$3</formula>
    </cfRule>
  </conditionalFormatting>
  <conditionalFormatting sqref="J10:N10">
    <cfRule type="expression" dxfId="514" priority="8">
      <formula>$E10=$P$3</formula>
    </cfRule>
  </conditionalFormatting>
  <conditionalFormatting sqref="J20:N20">
    <cfRule type="expression" dxfId="513" priority="7">
      <formula>$E20=$P$3</formula>
    </cfRule>
  </conditionalFormatting>
  <conditionalFormatting sqref="J20:N20">
    <cfRule type="expression" dxfId="512" priority="6">
      <formula>$E20=$P$3</formula>
    </cfRule>
  </conditionalFormatting>
  <conditionalFormatting sqref="J34:N34">
    <cfRule type="expression" dxfId="511" priority="5">
      <formula>$E34=$P$3</formula>
    </cfRule>
  </conditionalFormatting>
  <conditionalFormatting sqref="J34:N34">
    <cfRule type="expression" dxfId="510" priority="4">
      <formula>$E34=$P$3</formula>
    </cfRule>
  </conditionalFormatting>
  <conditionalFormatting sqref="J44:N44">
    <cfRule type="expression" dxfId="509" priority="3">
      <formula>$E44=$P$3</formula>
    </cfRule>
  </conditionalFormatting>
  <conditionalFormatting sqref="J44:N44">
    <cfRule type="expression" dxfId="508" priority="2">
      <formula>$E44=$P$3</formula>
    </cfRule>
  </conditionalFormatting>
  <conditionalFormatting sqref="L40:N40">
    <cfRule type="expression" dxfId="507" priority="1">
      <formula>$E40=$P$3</formula>
    </cfRule>
  </conditionalFormatting>
  <dataValidations count="1">
    <dataValidation type="list" allowBlank="1" showInputMessage="1" showErrorMessage="1" sqref="E6:E49">
      <formula1>$P$2:$P$5</formula1>
    </dataValidation>
  </dataValidations>
  <printOptions horizontalCentered="1"/>
  <pageMargins left="0.59055118110236227" right="0.39370078740157483" top="0.78740157480314965" bottom="0.39370078740157483" header="0.39370078740157483" footer="0.19685039370078741"/>
  <pageSetup paperSize="9" scale="77" fitToHeight="2" orientation="landscape" blackAndWhite="1" r:id="rId1"/>
  <headerFooter alignWithMargins="0">
    <oddFooter>&amp;L&amp;6&amp;F &amp;A&amp;R&amp;6&amp;D &amp;T</oddFooter>
  </headerFooter>
  <drawing r:id="rId2"/>
  <legacyDrawing r:id="rId3"/>
</worksheet>
</file>

<file path=xl/worksheets/w6_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tabColor rgb="FFFFC000"/>
    <pageSetUpPr fitToPage="1"/>
  </sheetPr>
  <dimension ref="A1:N123"/>
  <sheetViews>
    <sheetView topLeftCell="A25" zoomScale="85" zoomScaleNormal="85" workbookViewId="0">
      <selection activeCell="F11" sqref="F11"/>
    </sheetView>
  </sheetViews>
  <sheetFormatPr defaultColWidth="9" defaultRowHeight="13.5"/>
  <cols>
    <col min="1" max="1" width="1.875" style="1783" customWidth="1"/>
    <col min="2" max="2" width="4.125" style="1783" customWidth="1"/>
    <col min="3" max="3" width="19.375" style="1783" customWidth="1"/>
    <col min="4" max="5" width="22.625" style="1783" customWidth="1"/>
    <col min="6" max="9" width="13.75" style="1783" customWidth="1"/>
    <col min="10" max="11" width="7.75" style="1783" customWidth="1"/>
    <col min="12" max="14" width="13.125" style="1783" customWidth="1"/>
    <col min="15" max="16384" width="9" style="1783"/>
  </cols>
  <sheetData>
    <row r="1" spans="1:14" ht="17.25" customHeight="1">
      <c r="A1" s="2222" t="str">
        <f>+"令和"&amp;MID('総括表(不課税)'!A2,3,1)&amp;"年度決算　不課税収入区分表（国庫補助金〔３条〕）"</f>
        <v>令和５年度決算　不課税収入区分表（国庫補助金〔３条〕）</v>
      </c>
      <c r="B1" s="2222"/>
      <c r="C1" s="2222"/>
      <c r="D1" s="2222"/>
      <c r="E1" s="2222"/>
      <c r="F1" s="2222"/>
      <c r="G1" s="2222"/>
      <c r="H1" s="2222"/>
      <c r="I1" s="2222"/>
    </row>
    <row r="2" spans="1:14" ht="17.25" customHeight="1">
      <c r="A2" s="1644"/>
      <c r="B2" s="1644"/>
      <c r="C2" s="1644"/>
      <c r="D2" s="1644"/>
      <c r="E2" s="1644"/>
      <c r="F2" s="1644"/>
      <c r="G2" s="1644"/>
      <c r="H2" s="1644"/>
      <c r="I2" s="1644"/>
    </row>
    <row r="3" spans="1:14" ht="17.25" customHeight="1" thickBot="1">
      <c r="A3" s="1644"/>
      <c r="B3" s="1644"/>
      <c r="C3" s="1644"/>
      <c r="D3" s="1644"/>
      <c r="E3" s="1644"/>
      <c r="F3" s="1644"/>
      <c r="G3" s="1644"/>
      <c r="H3" s="1644"/>
      <c r="I3" s="1665" t="s">
        <v>4990</v>
      </c>
    </row>
    <row r="4" spans="1:14" s="1716" customFormat="1" ht="21" customHeight="1">
      <c r="A4" s="2230" t="s">
        <v>4947</v>
      </c>
      <c r="B4" s="2225"/>
      <c r="C4" s="2231"/>
      <c r="D4" s="2231" t="s">
        <v>4991</v>
      </c>
      <c r="E4" s="2225" t="s">
        <v>4992</v>
      </c>
      <c r="F4" s="1920" t="s">
        <v>4942</v>
      </c>
      <c r="G4" s="2227" t="s">
        <v>4993</v>
      </c>
      <c r="H4" s="2227" t="s">
        <v>4994</v>
      </c>
      <c r="I4" s="2223" t="s">
        <v>4995</v>
      </c>
      <c r="J4" s="1935" t="s">
        <v>5161</v>
      </c>
      <c r="K4" s="1936"/>
      <c r="L4" s="1936"/>
      <c r="M4" s="1936"/>
      <c r="N4" s="1828"/>
    </row>
    <row r="5" spans="1:14" s="1716" customFormat="1" ht="21" customHeight="1">
      <c r="A5" s="2232"/>
      <c r="B5" s="2226"/>
      <c r="C5" s="2233"/>
      <c r="D5" s="2233"/>
      <c r="E5" s="2226"/>
      <c r="F5" s="1667" t="s">
        <v>4943</v>
      </c>
      <c r="G5" s="2228"/>
      <c r="H5" s="2228"/>
      <c r="I5" s="2224"/>
      <c r="J5" s="1968">
        <v>0.03</v>
      </c>
      <c r="K5" s="2064">
        <v>0.05</v>
      </c>
      <c r="L5" s="1937">
        <v>0.08</v>
      </c>
      <c r="M5" s="2059">
        <v>0.08</v>
      </c>
      <c r="N5" s="1940">
        <v>0.1</v>
      </c>
    </row>
    <row r="6" spans="1:14" s="1716" customFormat="1" ht="12" customHeight="1">
      <c r="A6" s="2585" t="s">
        <v>5088</v>
      </c>
      <c r="B6" s="2586"/>
      <c r="C6" s="2235"/>
      <c r="D6" s="2461"/>
      <c r="E6" s="2483"/>
      <c r="F6" s="1692"/>
      <c r="G6" s="2589">
        <f>SUM(G8,G22,G36,G50)</f>
        <v>0</v>
      </c>
      <c r="H6" s="2589">
        <f t="shared" ref="H6:I6" si="0">SUM(H8,H22,H36,H50)</f>
        <v>0</v>
      </c>
      <c r="I6" s="2561">
        <f t="shared" si="0"/>
        <v>0</v>
      </c>
      <c r="J6" s="1967">
        <f t="shared" ref="J6" si="1">SUM(J9,J23,J37,J51)</f>
        <v>0</v>
      </c>
      <c r="K6" s="2046">
        <f>SUM(K9,K23,K37,K51)</f>
        <v>0</v>
      </c>
      <c r="L6" s="1967">
        <f t="shared" ref="L6:N6" si="2">SUM(L9,L23,L37,L51)</f>
        <v>0</v>
      </c>
      <c r="M6" s="1967">
        <f t="shared" ref="M6" si="3">SUM(M9,M23,M37,M51)</f>
        <v>0</v>
      </c>
      <c r="N6" s="1967">
        <f t="shared" si="2"/>
        <v>0</v>
      </c>
    </row>
    <row r="7" spans="1:14" s="1716" customFormat="1" ht="12" customHeight="1">
      <c r="A7" s="2585"/>
      <c r="B7" s="2586"/>
      <c r="C7" s="2235"/>
      <c r="D7" s="2587"/>
      <c r="E7" s="2588"/>
      <c r="F7" s="2047"/>
      <c r="G7" s="2589"/>
      <c r="H7" s="2589"/>
      <c r="I7" s="2584"/>
      <c r="J7" s="1643"/>
      <c r="K7" s="1643"/>
      <c r="L7" s="1643"/>
      <c r="M7" s="1643"/>
      <c r="N7" s="1643"/>
    </row>
    <row r="8" spans="1:14" s="1716" customFormat="1" ht="12" customHeight="1">
      <c r="A8" s="2035"/>
      <c r="B8" s="2572" t="s">
        <v>5243</v>
      </c>
      <c r="C8" s="2573"/>
      <c r="D8" s="2461"/>
      <c r="E8" s="2483"/>
      <c r="F8" s="1692"/>
      <c r="G8" s="2229">
        <f>SUM(G10:G21)</f>
        <v>0</v>
      </c>
      <c r="H8" s="2229">
        <f t="shared" ref="H8:I8" si="4">SUM(H10:H21)</f>
        <v>0</v>
      </c>
      <c r="I8" s="2561">
        <f t="shared" si="4"/>
        <v>0</v>
      </c>
      <c r="J8" s="1643"/>
      <c r="K8" s="1643"/>
      <c r="L8" s="1643"/>
      <c r="M8" s="1643"/>
      <c r="N8" s="1643"/>
    </row>
    <row r="9" spans="1:14" s="1716" customFormat="1" ht="12" customHeight="1">
      <c r="A9" s="2036"/>
      <c r="B9" s="2574"/>
      <c r="C9" s="2575"/>
      <c r="D9" s="2576"/>
      <c r="E9" s="2577"/>
      <c r="F9" s="2037"/>
      <c r="G9" s="2578"/>
      <c r="H9" s="2578"/>
      <c r="I9" s="2562"/>
      <c r="J9" s="1643"/>
      <c r="K9" s="1643"/>
      <c r="L9" s="2038">
        <f t="shared" ref="L9:N9" si="5">+L13+L19</f>
        <v>0</v>
      </c>
      <c r="M9" s="2038">
        <f t="shared" ref="M9" si="6">+M13+M19</f>
        <v>0</v>
      </c>
      <c r="N9" s="2038">
        <f t="shared" si="5"/>
        <v>0</v>
      </c>
    </row>
    <row r="10" spans="1:14" s="1716" customFormat="1" ht="12" customHeight="1">
      <c r="A10" s="2036"/>
      <c r="B10" s="2563" t="s">
        <v>5244</v>
      </c>
      <c r="C10" s="2582" t="s">
        <v>5245</v>
      </c>
      <c r="D10" s="2566" t="s">
        <v>5246</v>
      </c>
      <c r="E10" s="2567" t="s">
        <v>5299</v>
      </c>
      <c r="F10" s="1671"/>
      <c r="G10" s="2569">
        <v>0</v>
      </c>
      <c r="H10" s="2031"/>
      <c r="I10" s="2030"/>
      <c r="J10" s="1643"/>
      <c r="K10" s="1643"/>
      <c r="L10" s="1643"/>
      <c r="M10" s="1643"/>
      <c r="N10" s="1643"/>
    </row>
    <row r="11" spans="1:14" s="1716" customFormat="1" ht="12" customHeight="1">
      <c r="A11" s="2036"/>
      <c r="B11" s="2564"/>
      <c r="C11" s="2472"/>
      <c r="D11" s="2140"/>
      <c r="E11" s="2568"/>
      <c r="F11" s="1966"/>
      <c r="G11" s="2570"/>
      <c r="H11" s="2033"/>
      <c r="I11" s="2025"/>
      <c r="J11" s="1643"/>
      <c r="K11" s="1643"/>
      <c r="L11" s="1643"/>
      <c r="M11" s="1643"/>
      <c r="N11" s="1643"/>
    </row>
    <row r="12" spans="1:14" s="1716" customFormat="1" ht="12" customHeight="1">
      <c r="A12" s="2036"/>
      <c r="B12" s="2564"/>
      <c r="C12" s="2274"/>
      <c r="D12" s="2141" t="s">
        <v>5089</v>
      </c>
      <c r="E12" s="2568"/>
      <c r="F12" s="2048">
        <f>+SUM('3条支出'!$K$88:$K$90)</f>
        <v>0</v>
      </c>
      <c r="G12" s="2040"/>
      <c r="H12" s="2557">
        <f>IFERROR(ROUND(SUM(G10:G15)*F12/F13,0),0)</f>
        <v>0</v>
      </c>
      <c r="I12" s="2558">
        <f>SUM(G10:G15)-H12</f>
        <v>0</v>
      </c>
      <c r="J12" s="1643"/>
      <c r="K12" s="1643"/>
      <c r="L12" s="2063">
        <f>SUM('3条支出'!$F$88:$G$90)+SUM('3条支出'!H88:H90)</f>
        <v>0</v>
      </c>
      <c r="M12" s="2010">
        <f>SUM('3条支出'!I88:I90)</f>
        <v>0</v>
      </c>
      <c r="N12" s="2010">
        <f>SUM('3条支出'!J88:J90)</f>
        <v>0</v>
      </c>
    </row>
    <row r="13" spans="1:14" s="1716" customFormat="1" ht="12" customHeight="1">
      <c r="A13" s="2036"/>
      <c r="B13" s="2564"/>
      <c r="C13" s="2472"/>
      <c r="D13" s="2143"/>
      <c r="E13" s="2568"/>
      <c r="F13" s="2049">
        <f>+SUM('3条支出'!$E$88:$E$90)</f>
        <v>0</v>
      </c>
      <c r="G13" s="2029"/>
      <c r="H13" s="2557"/>
      <c r="I13" s="2558"/>
      <c r="J13" s="1643"/>
      <c r="K13" s="1643"/>
      <c r="L13" s="1790">
        <f>+H12-SUM(J13:K13,M13:N13)</f>
        <v>0</v>
      </c>
      <c r="M13" s="1790">
        <f>IFERROR(ROUND(M12/F12*H12,0),0)</f>
        <v>0</v>
      </c>
      <c r="N13" s="1790">
        <f>IFERROR(ROUND(N12/F12*H12,0),0)</f>
        <v>0</v>
      </c>
    </row>
    <row r="14" spans="1:14" s="1716" customFormat="1" ht="12" customHeight="1">
      <c r="A14" s="2036"/>
      <c r="B14" s="2564"/>
      <c r="C14" s="2248" t="s">
        <v>5089</v>
      </c>
      <c r="D14" s="2141" t="s">
        <v>5089</v>
      </c>
      <c r="E14" s="2568"/>
      <c r="F14" s="1966"/>
      <c r="G14" s="2023"/>
      <c r="H14" s="2033"/>
      <c r="I14" s="2025"/>
      <c r="J14" s="1643"/>
      <c r="K14" s="1643"/>
      <c r="L14" s="1643"/>
      <c r="M14" s="1643"/>
      <c r="N14" s="1643"/>
    </row>
    <row r="15" spans="1:14" s="1716" customFormat="1" ht="12" customHeight="1">
      <c r="A15" s="2036"/>
      <c r="B15" s="2564"/>
      <c r="C15" s="2470"/>
      <c r="D15" s="2142"/>
      <c r="E15" s="2568"/>
      <c r="F15" s="1966"/>
      <c r="G15" s="2040"/>
      <c r="H15" s="2033"/>
      <c r="I15" s="2025"/>
      <c r="J15" s="1643"/>
      <c r="K15" s="1643"/>
      <c r="L15" s="1643"/>
      <c r="M15" s="1643"/>
      <c r="N15" s="1643"/>
    </row>
    <row r="16" spans="1:14" s="1716" customFormat="1" ht="12" customHeight="1">
      <c r="A16" s="2036"/>
      <c r="B16" s="2564"/>
      <c r="C16" s="2582" t="s">
        <v>5245</v>
      </c>
      <c r="D16" s="2566" t="s">
        <v>5246</v>
      </c>
      <c r="E16" s="2567" t="s">
        <v>5300</v>
      </c>
      <c r="F16" s="2042"/>
      <c r="G16" s="2569"/>
      <c r="H16" s="2031"/>
      <c r="I16" s="2030"/>
      <c r="J16" s="1643"/>
      <c r="K16" s="1643"/>
      <c r="L16" s="1643"/>
      <c r="M16" s="1643"/>
      <c r="N16" s="1643"/>
    </row>
    <row r="17" spans="1:14" s="1716" customFormat="1" ht="12" customHeight="1">
      <c r="A17" s="2036"/>
      <c r="B17" s="2564"/>
      <c r="C17" s="2472"/>
      <c r="D17" s="2140"/>
      <c r="E17" s="2568"/>
      <c r="F17" s="1966"/>
      <c r="G17" s="2570"/>
      <c r="H17" s="2033"/>
      <c r="I17" s="2025"/>
      <c r="J17" s="1643"/>
      <c r="K17" s="1643"/>
      <c r="L17" s="1643"/>
      <c r="M17" s="1643"/>
      <c r="N17" s="1643"/>
    </row>
    <row r="18" spans="1:14" s="1716" customFormat="1" ht="12" customHeight="1">
      <c r="A18" s="2036"/>
      <c r="B18" s="2564"/>
      <c r="C18" s="2556" t="s">
        <v>5089</v>
      </c>
      <c r="D18" s="2140" t="s">
        <v>5089</v>
      </c>
      <c r="E18" s="2568"/>
      <c r="F18" s="2048">
        <f>+SUM('3条支出'!$K$101:$K$103)</f>
        <v>0</v>
      </c>
      <c r="G18" s="2023"/>
      <c r="H18" s="2557">
        <f>IFERROR(ROUND(SUM(G16:G21)*F18/F19,0),0)</f>
        <v>0</v>
      </c>
      <c r="I18" s="2558">
        <f>SUM(G16:G21)-H18</f>
        <v>0</v>
      </c>
      <c r="J18" s="1643"/>
      <c r="K18" s="1643"/>
      <c r="L18" s="2063">
        <f>SUM('3条支出'!$F$101:$G$103)+SUM('3条支出'!H101:H103)</f>
        <v>0</v>
      </c>
      <c r="M18" s="2010">
        <f>SUM('3条支出'!I101:I103)</f>
        <v>0</v>
      </c>
      <c r="N18" s="2010">
        <f>SUM('3条支出'!J101:J103)</f>
        <v>0</v>
      </c>
    </row>
    <row r="19" spans="1:14" s="1716" customFormat="1" ht="12" customHeight="1">
      <c r="A19" s="2036"/>
      <c r="B19" s="2564"/>
      <c r="C19" s="2556"/>
      <c r="D19" s="2140"/>
      <c r="E19" s="2568"/>
      <c r="F19" s="2049">
        <f>+SUM('3条支出'!$E$101:$E$103)</f>
        <v>0</v>
      </c>
      <c r="G19" s="2029"/>
      <c r="H19" s="2557"/>
      <c r="I19" s="2558"/>
      <c r="J19" s="1643"/>
      <c r="K19" s="1643"/>
      <c r="L19" s="1790">
        <f>+H18-SUM(J19:K19,M19:N19)</f>
        <v>0</v>
      </c>
      <c r="M19" s="1790">
        <f>IFERROR(ROUND(M18/F18*H18,0),0)</f>
        <v>0</v>
      </c>
      <c r="N19" s="1790">
        <f>IFERROR(ROUND(N18/F18*H18,0),0)</f>
        <v>0</v>
      </c>
    </row>
    <row r="20" spans="1:14" s="1716" customFormat="1" ht="12" customHeight="1">
      <c r="A20" s="2036"/>
      <c r="B20" s="2564"/>
      <c r="C20" s="2556" t="s">
        <v>5089</v>
      </c>
      <c r="D20" s="2140" t="s">
        <v>5248</v>
      </c>
      <c r="E20" s="2568"/>
      <c r="F20" s="1966"/>
      <c r="G20" s="2023"/>
      <c r="H20" s="2033"/>
      <c r="I20" s="2025"/>
      <c r="J20" s="1643"/>
      <c r="K20" s="1643"/>
      <c r="L20" s="1643"/>
      <c r="M20" s="1643"/>
      <c r="N20" s="1643"/>
    </row>
    <row r="21" spans="1:14" s="1716" customFormat="1" ht="12" customHeight="1">
      <c r="A21" s="2036"/>
      <c r="B21" s="2581"/>
      <c r="C21" s="2579"/>
      <c r="D21" s="2580"/>
      <c r="E21" s="2583"/>
      <c r="F21" s="2043"/>
      <c r="G21" s="2024"/>
      <c r="H21" s="1850"/>
      <c r="I21" s="1851"/>
      <c r="J21" s="1788"/>
      <c r="K21" s="1643"/>
      <c r="L21" s="1643"/>
      <c r="M21" s="1643"/>
      <c r="N21" s="1643"/>
    </row>
    <row r="22" spans="1:14" s="1716" customFormat="1" ht="12" customHeight="1">
      <c r="A22" s="2036"/>
      <c r="B22" s="2572" t="s">
        <v>5249</v>
      </c>
      <c r="C22" s="2573"/>
      <c r="D22" s="2461"/>
      <c r="E22" s="2483"/>
      <c r="F22" s="1692"/>
      <c r="G22" s="2229">
        <f>SUM(G24:G35)</f>
        <v>0</v>
      </c>
      <c r="H22" s="2229">
        <f t="shared" ref="H22:I22" si="7">SUM(H24:H35)</f>
        <v>0</v>
      </c>
      <c r="I22" s="2561">
        <f t="shared" si="7"/>
        <v>0</v>
      </c>
      <c r="J22" s="1788"/>
      <c r="K22" s="1643"/>
      <c r="L22" s="1643"/>
      <c r="M22" s="1643"/>
      <c r="N22" s="1643"/>
    </row>
    <row r="23" spans="1:14" s="1716" customFormat="1" ht="12" customHeight="1">
      <c r="A23" s="2036"/>
      <c r="B23" s="2574"/>
      <c r="C23" s="2575"/>
      <c r="D23" s="2576"/>
      <c r="E23" s="2577"/>
      <c r="F23" s="2037"/>
      <c r="G23" s="2578"/>
      <c r="H23" s="2578"/>
      <c r="I23" s="2562"/>
      <c r="J23" s="1788"/>
      <c r="K23" s="1643"/>
      <c r="L23" s="2038">
        <f t="shared" ref="L23:N23" si="8">+L27+L33</f>
        <v>0</v>
      </c>
      <c r="M23" s="2038">
        <f t="shared" si="8"/>
        <v>0</v>
      </c>
      <c r="N23" s="2038">
        <f t="shared" si="8"/>
        <v>0</v>
      </c>
    </row>
    <row r="24" spans="1:14" s="1716" customFormat="1" ht="12" customHeight="1">
      <c r="A24" s="2036"/>
      <c r="B24" s="2563" t="s">
        <v>5250</v>
      </c>
      <c r="C24" s="2582" t="s">
        <v>5245</v>
      </c>
      <c r="D24" s="2566" t="s">
        <v>5246</v>
      </c>
      <c r="E24" s="2567" t="str">
        <f>+E10</f>
        <v>3年度分
公共土木施設災害復旧事業費(補助事業現年分)の課税支出割合</v>
      </c>
      <c r="F24" s="1671"/>
      <c r="G24" s="2569">
        <v>0</v>
      </c>
      <c r="H24" s="2031"/>
      <c r="I24" s="2030"/>
      <c r="J24" s="1643"/>
      <c r="K24" s="1643"/>
      <c r="L24" s="1643"/>
      <c r="M24" s="1643"/>
      <c r="N24" s="1643"/>
    </row>
    <row r="25" spans="1:14" s="1716" customFormat="1" ht="12" customHeight="1">
      <c r="A25" s="2036"/>
      <c r="B25" s="2564"/>
      <c r="C25" s="2472"/>
      <c r="D25" s="2140"/>
      <c r="E25" s="2568"/>
      <c r="F25" s="1966"/>
      <c r="G25" s="2570"/>
      <c r="H25" s="2033"/>
      <c r="I25" s="2025"/>
      <c r="J25" s="1643"/>
      <c r="K25" s="1643"/>
      <c r="L25" s="1643"/>
      <c r="M25" s="1643"/>
      <c r="N25" s="1643"/>
    </row>
    <row r="26" spans="1:14" s="1716" customFormat="1" ht="12" customHeight="1">
      <c r="A26" s="2036"/>
      <c r="B26" s="2564"/>
      <c r="C26" s="2274"/>
      <c r="D26" s="2141" t="s">
        <v>5261</v>
      </c>
      <c r="E26" s="2568"/>
      <c r="F26" s="2048">
        <f>+'3条支出'!$K$91</f>
        <v>0</v>
      </c>
      <c r="G26" s="2023"/>
      <c r="H26" s="2557">
        <f>IFERROR(ROUND(SUM(G24:G29)*F26/F27,0),0)</f>
        <v>0</v>
      </c>
      <c r="I26" s="2558">
        <f>SUM(G24:G29)-H26</f>
        <v>0</v>
      </c>
      <c r="J26" s="1643"/>
      <c r="K26" s="1643"/>
      <c r="L26" s="2063">
        <f>SUM('3条支出'!$F$91:$G$91)+SUM('3条支出'!H91)</f>
        <v>0</v>
      </c>
      <c r="M26" s="2010">
        <f>SUM('3条支出'!I91)</f>
        <v>0</v>
      </c>
      <c r="N26" s="2010">
        <f>SUM('3条支出'!J91)</f>
        <v>0</v>
      </c>
    </row>
    <row r="27" spans="1:14" s="1716" customFormat="1" ht="12" customHeight="1">
      <c r="A27" s="2036"/>
      <c r="B27" s="2564"/>
      <c r="C27" s="2472"/>
      <c r="D27" s="2143"/>
      <c r="E27" s="2568"/>
      <c r="F27" s="2049">
        <f>+'3条支出'!$E$91</f>
        <v>0</v>
      </c>
      <c r="G27" s="2029"/>
      <c r="H27" s="2557"/>
      <c r="I27" s="2558"/>
      <c r="J27" s="1643"/>
      <c r="K27" s="1643"/>
      <c r="L27" s="1790">
        <f>+H26-SUM(J27:K27,M27:N27)</f>
        <v>0</v>
      </c>
      <c r="M27" s="1790">
        <f>IFERROR(ROUND(M26/F26*H26,0),0)</f>
        <v>0</v>
      </c>
      <c r="N27" s="1790">
        <f>IFERROR(ROUND(N26/F26*H26,0),0)</f>
        <v>0</v>
      </c>
    </row>
    <row r="28" spans="1:14" s="1716" customFormat="1" ht="12" customHeight="1">
      <c r="A28" s="2036"/>
      <c r="B28" s="2564"/>
      <c r="C28" s="2248" t="s">
        <v>5261</v>
      </c>
      <c r="D28" s="2141" t="s">
        <v>5261</v>
      </c>
      <c r="E28" s="2568"/>
      <c r="F28" s="1966"/>
      <c r="G28" s="2023"/>
      <c r="H28" s="2033"/>
      <c r="I28" s="2025"/>
      <c r="J28" s="1643"/>
      <c r="K28" s="1643"/>
      <c r="L28" s="1643"/>
      <c r="M28" s="1643"/>
      <c r="N28" s="1643"/>
    </row>
    <row r="29" spans="1:14" s="1716" customFormat="1" ht="12" customHeight="1">
      <c r="A29" s="2036"/>
      <c r="B29" s="2564"/>
      <c r="C29" s="2470"/>
      <c r="D29" s="2142"/>
      <c r="E29" s="2568"/>
      <c r="F29" s="1966"/>
      <c r="G29" s="2040"/>
      <c r="H29" s="2033"/>
      <c r="I29" s="2025"/>
      <c r="J29" s="1643"/>
      <c r="K29" s="1643"/>
      <c r="L29" s="1643"/>
      <c r="M29" s="1643"/>
      <c r="N29" s="1643"/>
    </row>
    <row r="30" spans="1:14" s="1716" customFormat="1" ht="12" customHeight="1">
      <c r="A30" s="2036"/>
      <c r="B30" s="2564"/>
      <c r="C30" s="2582" t="s">
        <v>5245</v>
      </c>
      <c r="D30" s="2566" t="s">
        <v>5246</v>
      </c>
      <c r="E30" s="2567" t="str">
        <f>+E16</f>
        <v>2年度分
公共土木施設災害復旧事業費(補助事業繰越分)の課税支出割合</v>
      </c>
      <c r="F30" s="2042"/>
      <c r="G30" s="2569"/>
      <c r="H30" s="2031"/>
      <c r="I30" s="2030"/>
      <c r="J30" s="1643"/>
      <c r="K30" s="1643"/>
      <c r="L30" s="1643"/>
      <c r="M30" s="1643"/>
      <c r="N30" s="1643"/>
    </row>
    <row r="31" spans="1:14" s="1716" customFormat="1" ht="12" customHeight="1">
      <c r="A31" s="2036"/>
      <c r="B31" s="2564"/>
      <c r="C31" s="2472"/>
      <c r="D31" s="2140"/>
      <c r="E31" s="2568"/>
      <c r="F31" s="1966"/>
      <c r="G31" s="2570"/>
      <c r="H31" s="2033"/>
      <c r="I31" s="2025"/>
      <c r="J31" s="1643"/>
      <c r="K31" s="1643"/>
      <c r="L31" s="1643"/>
      <c r="M31" s="1643"/>
      <c r="N31" s="1643"/>
    </row>
    <row r="32" spans="1:14" s="1716" customFormat="1" ht="12" customHeight="1">
      <c r="A32" s="2036"/>
      <c r="B32" s="2564"/>
      <c r="C32" s="2556" t="s">
        <v>5261</v>
      </c>
      <c r="D32" s="2140" t="s">
        <v>5261</v>
      </c>
      <c r="E32" s="2568"/>
      <c r="F32" s="2048">
        <f>+'3条支出'!$K$104</f>
        <v>0</v>
      </c>
      <c r="G32" s="2023"/>
      <c r="H32" s="2557">
        <f>IFERROR(ROUND(SUM(G30:G35)*F32/F33,0),0)</f>
        <v>0</v>
      </c>
      <c r="I32" s="2558">
        <f>SUM(G30:G35)-H32</f>
        <v>0</v>
      </c>
      <c r="J32" s="1643"/>
      <c r="K32" s="1643"/>
      <c r="L32" s="2063">
        <f>SUM('3条支出'!$F$104:$G$104)+SUM('3条支出'!H104)</f>
        <v>0</v>
      </c>
      <c r="M32" s="2010">
        <f>SUM('3条支出'!I104)</f>
        <v>0</v>
      </c>
      <c r="N32" s="2010">
        <f>SUM('3条支出'!J104)</f>
        <v>0</v>
      </c>
    </row>
    <row r="33" spans="1:14" s="1716" customFormat="1" ht="12" customHeight="1">
      <c r="A33" s="2036"/>
      <c r="B33" s="2564"/>
      <c r="C33" s="2556"/>
      <c r="D33" s="2140"/>
      <c r="E33" s="2568"/>
      <c r="F33" s="2049">
        <f>+'3条支出'!$E$104</f>
        <v>0</v>
      </c>
      <c r="G33" s="2029"/>
      <c r="H33" s="2557"/>
      <c r="I33" s="2558"/>
      <c r="J33" s="1643"/>
      <c r="K33" s="1643"/>
      <c r="L33" s="1790">
        <f>+H32-SUM(J33:K33,M33:N33)</f>
        <v>0</v>
      </c>
      <c r="M33" s="1790">
        <f>IFERROR(ROUND(M32/F32*H32,0),0)</f>
        <v>0</v>
      </c>
      <c r="N33" s="1790">
        <f>IFERROR(ROUND(N32/F32*H32,0),0)</f>
        <v>0</v>
      </c>
    </row>
    <row r="34" spans="1:14" s="1716" customFormat="1" ht="12" customHeight="1">
      <c r="A34" s="2036"/>
      <c r="B34" s="2564"/>
      <c r="C34" s="2556" t="s">
        <v>5261</v>
      </c>
      <c r="D34" s="2140" t="s">
        <v>5262</v>
      </c>
      <c r="E34" s="2568"/>
      <c r="F34" s="1966"/>
      <c r="G34" s="2023"/>
      <c r="H34" s="2033"/>
      <c r="I34" s="2025"/>
      <c r="J34" s="1643"/>
      <c r="K34" s="1643"/>
      <c r="L34" s="1643"/>
      <c r="M34" s="1643"/>
      <c r="N34" s="1643"/>
    </row>
    <row r="35" spans="1:14" s="1716" customFormat="1" ht="12" customHeight="1">
      <c r="A35" s="2036"/>
      <c r="B35" s="2581"/>
      <c r="C35" s="2579"/>
      <c r="D35" s="2580"/>
      <c r="E35" s="2583"/>
      <c r="F35" s="2043"/>
      <c r="G35" s="2024"/>
      <c r="H35" s="1850"/>
      <c r="I35" s="1851"/>
      <c r="J35" s="1788"/>
      <c r="K35" s="1643"/>
      <c r="L35" s="1643"/>
      <c r="M35" s="1643"/>
      <c r="N35" s="1643"/>
    </row>
    <row r="36" spans="1:14" s="1716" customFormat="1" ht="12" customHeight="1">
      <c r="A36" s="2036"/>
      <c r="B36" s="2572" t="s">
        <v>5251</v>
      </c>
      <c r="C36" s="2573"/>
      <c r="D36" s="2461"/>
      <c r="E36" s="2483"/>
      <c r="F36" s="1692"/>
      <c r="G36" s="2229">
        <f>SUM(G38:G49)</f>
        <v>0</v>
      </c>
      <c r="H36" s="2229">
        <f t="shared" ref="H36:I36" si="9">SUM(H38:H49)</f>
        <v>0</v>
      </c>
      <c r="I36" s="2561">
        <f t="shared" si="9"/>
        <v>0</v>
      </c>
      <c r="J36" s="1788"/>
      <c r="K36" s="1643"/>
      <c r="L36" s="1643"/>
      <c r="M36" s="1643"/>
      <c r="N36" s="1643"/>
    </row>
    <row r="37" spans="1:14" s="1716" customFormat="1" ht="12" customHeight="1">
      <c r="A37" s="2036"/>
      <c r="B37" s="2574"/>
      <c r="C37" s="2575"/>
      <c r="D37" s="2576"/>
      <c r="E37" s="2577"/>
      <c r="F37" s="2037"/>
      <c r="G37" s="2578"/>
      <c r="H37" s="2578"/>
      <c r="I37" s="2562"/>
      <c r="J37" s="1788"/>
      <c r="K37" s="1643"/>
      <c r="L37" s="2038">
        <f t="shared" ref="L37:N37" si="10">+L41+L47</f>
        <v>0</v>
      </c>
      <c r="M37" s="2038">
        <f t="shared" si="10"/>
        <v>0</v>
      </c>
      <c r="N37" s="2038">
        <f t="shared" si="10"/>
        <v>0</v>
      </c>
    </row>
    <row r="38" spans="1:14" s="1716" customFormat="1" ht="12" customHeight="1">
      <c r="A38" s="2036"/>
      <c r="B38" s="2563" t="s">
        <v>5252</v>
      </c>
      <c r="C38" s="2534" t="s">
        <v>5253</v>
      </c>
      <c r="D38" s="2566"/>
      <c r="E38" s="2567" t="s">
        <v>5301</v>
      </c>
      <c r="F38" s="1671"/>
      <c r="G38" s="2569"/>
      <c r="H38" s="2031"/>
      <c r="I38" s="2030"/>
      <c r="J38" s="1643"/>
      <c r="K38" s="1643"/>
      <c r="L38" s="1643"/>
      <c r="M38" s="1643"/>
      <c r="N38" s="1643"/>
    </row>
    <row r="39" spans="1:14" s="1716" customFormat="1" ht="12" customHeight="1">
      <c r="A39" s="2036"/>
      <c r="B39" s="2564"/>
      <c r="C39" s="2275"/>
      <c r="D39" s="2140"/>
      <c r="E39" s="2568"/>
      <c r="F39" s="1966"/>
      <c r="G39" s="2570"/>
      <c r="H39" s="2033"/>
      <c r="I39" s="2025"/>
      <c r="J39" s="1643"/>
      <c r="K39" s="1643"/>
      <c r="L39" s="1643"/>
      <c r="M39" s="1643"/>
      <c r="N39" s="1643"/>
    </row>
    <row r="40" spans="1:14" s="1716" customFormat="1" ht="12" customHeight="1">
      <c r="A40" s="2036"/>
      <c r="B40" s="2564"/>
      <c r="C40" s="2274"/>
      <c r="D40" s="2141" t="s">
        <v>5261</v>
      </c>
      <c r="E40" s="2568"/>
      <c r="F40" s="2048">
        <f>+'3条支出'!$K$92</f>
        <v>0</v>
      </c>
      <c r="G40" s="2023"/>
      <c r="H40" s="2557">
        <f>IFERROR(ROUND(SUM(G38:G43)*F40/F41,0),0)</f>
        <v>0</v>
      </c>
      <c r="I40" s="2558">
        <f>SUM(G38:G43)-H40</f>
        <v>0</v>
      </c>
      <c r="J40" s="1643"/>
      <c r="K40" s="1643"/>
      <c r="L40" s="2063">
        <f>SUM('3条支出'!$F$92:$G$92)+SUM('3条支出'!H92)</f>
        <v>0</v>
      </c>
      <c r="M40" s="2010">
        <f>SUM('3条支出'!I92)</f>
        <v>0</v>
      </c>
      <c r="N40" s="2010">
        <f>SUM('3条支出'!J92)</f>
        <v>0</v>
      </c>
    </row>
    <row r="41" spans="1:14" s="1716" customFormat="1" ht="12" customHeight="1">
      <c r="A41" s="2036"/>
      <c r="B41" s="2564"/>
      <c r="C41" s="2472"/>
      <c r="D41" s="2143"/>
      <c r="E41" s="2568"/>
      <c r="F41" s="2049">
        <f>+'3条支出'!$E$92</f>
        <v>0</v>
      </c>
      <c r="G41" s="2029"/>
      <c r="H41" s="2557"/>
      <c r="I41" s="2558"/>
      <c r="J41" s="1643"/>
      <c r="K41" s="1643"/>
      <c r="L41" s="1790">
        <f>+H40-SUM(J41:K41,M41:N41)</f>
        <v>0</v>
      </c>
      <c r="M41" s="1790">
        <f>IFERROR(ROUND(M40/F40*H40,0),0)</f>
        <v>0</v>
      </c>
      <c r="N41" s="1790">
        <f>IFERROR(ROUND(N40/F40*H40,0),0)</f>
        <v>0</v>
      </c>
    </row>
    <row r="42" spans="1:14" s="1716" customFormat="1" ht="12" customHeight="1">
      <c r="A42" s="2036"/>
      <c r="B42" s="2564"/>
      <c r="C42" s="2248" t="s">
        <v>5261</v>
      </c>
      <c r="D42" s="2141" t="s">
        <v>5261</v>
      </c>
      <c r="E42" s="2568"/>
      <c r="F42" s="1966"/>
      <c r="G42" s="2023"/>
      <c r="H42" s="2033"/>
      <c r="I42" s="2025"/>
      <c r="J42" s="1643"/>
      <c r="K42" s="1643"/>
      <c r="L42" s="1643"/>
      <c r="M42" s="1643"/>
      <c r="N42" s="1643"/>
    </row>
    <row r="43" spans="1:14" s="1716" customFormat="1" ht="12" customHeight="1">
      <c r="A43" s="2036"/>
      <c r="B43" s="2564"/>
      <c r="C43" s="2470"/>
      <c r="D43" s="2142"/>
      <c r="E43" s="2568"/>
      <c r="F43" s="1966"/>
      <c r="G43" s="2040"/>
      <c r="H43" s="2033"/>
      <c r="I43" s="2025"/>
      <c r="J43" s="1643"/>
      <c r="K43" s="1643"/>
      <c r="L43" s="1643"/>
      <c r="M43" s="1643"/>
      <c r="N43" s="1643"/>
    </row>
    <row r="44" spans="1:14" s="1716" customFormat="1" ht="12" customHeight="1">
      <c r="A44" s="2036"/>
      <c r="B44" s="2564"/>
      <c r="C44" s="2534" t="s">
        <v>5253</v>
      </c>
      <c r="D44" s="2566" t="s">
        <v>5254</v>
      </c>
      <c r="E44" s="2567" t="s">
        <v>5302</v>
      </c>
      <c r="F44" s="2042"/>
      <c r="G44" s="2569"/>
      <c r="H44" s="2031"/>
      <c r="I44" s="2030"/>
      <c r="J44" s="1643"/>
      <c r="K44" s="1643"/>
      <c r="L44" s="1643"/>
      <c r="M44" s="1643"/>
      <c r="N44" s="1643"/>
    </row>
    <row r="45" spans="1:14" s="1716" customFormat="1" ht="12" customHeight="1">
      <c r="A45" s="2036"/>
      <c r="B45" s="2564"/>
      <c r="C45" s="2275"/>
      <c r="D45" s="2140"/>
      <c r="E45" s="2568"/>
      <c r="F45" s="1966"/>
      <c r="G45" s="2570"/>
      <c r="H45" s="2033"/>
      <c r="I45" s="2025"/>
      <c r="J45" s="1643"/>
      <c r="K45" s="1643"/>
      <c r="L45" s="1643"/>
      <c r="M45" s="1643"/>
      <c r="N45" s="1643"/>
    </row>
    <row r="46" spans="1:14" s="1716" customFormat="1" ht="12" customHeight="1">
      <c r="A46" s="2036"/>
      <c r="B46" s="2564"/>
      <c r="C46" s="2556" t="s">
        <v>5261</v>
      </c>
      <c r="D46" s="2140" t="s">
        <v>5261</v>
      </c>
      <c r="E46" s="2568"/>
      <c r="F46" s="2048">
        <f>+'3条支出'!$K$105</f>
        <v>0</v>
      </c>
      <c r="G46" s="2023"/>
      <c r="H46" s="2557">
        <f>IFERROR(ROUND(SUM(G44:G49)*F46/F47,0),0)</f>
        <v>0</v>
      </c>
      <c r="I46" s="2558">
        <f>SUM(G44:G49)-H46</f>
        <v>0</v>
      </c>
      <c r="J46" s="1643"/>
      <c r="K46" s="1643"/>
      <c r="L46" s="2063">
        <f>SUM('3条支出'!$F$105:$G$105)+SUM('3条支出'!H105)</f>
        <v>0</v>
      </c>
      <c r="M46" s="2010">
        <f>SUM('3条支出'!I105)</f>
        <v>0</v>
      </c>
      <c r="N46" s="2010">
        <f>SUM('3条支出'!J105)</f>
        <v>0</v>
      </c>
    </row>
    <row r="47" spans="1:14" s="1716" customFormat="1" ht="12" customHeight="1">
      <c r="A47" s="2036"/>
      <c r="B47" s="2564"/>
      <c r="C47" s="2556"/>
      <c r="D47" s="2140"/>
      <c r="E47" s="2568"/>
      <c r="F47" s="2049">
        <f>+'3条支出'!$E$105</f>
        <v>0</v>
      </c>
      <c r="G47" s="2029"/>
      <c r="H47" s="2557"/>
      <c r="I47" s="2558"/>
      <c r="J47" s="1643"/>
      <c r="K47" s="1643"/>
      <c r="L47" s="1790">
        <f>+H46-SUM(J47:K47,M47:N47)</f>
        <v>0</v>
      </c>
      <c r="M47" s="1790">
        <f>IFERROR(ROUND(M46/F46*H46,0),0)</f>
        <v>0</v>
      </c>
      <c r="N47" s="1790">
        <f>IFERROR(ROUND(N46/F46*H46,0),0)</f>
        <v>0</v>
      </c>
    </row>
    <row r="48" spans="1:14" s="1716" customFormat="1" ht="12" customHeight="1">
      <c r="A48" s="2036"/>
      <c r="B48" s="2564"/>
      <c r="C48" s="2556" t="s">
        <v>5261</v>
      </c>
      <c r="D48" s="2140" t="s">
        <v>5262</v>
      </c>
      <c r="E48" s="2568"/>
      <c r="F48" s="1966"/>
      <c r="G48" s="2023"/>
      <c r="H48" s="2033"/>
      <c r="I48" s="2025"/>
      <c r="J48" s="1643"/>
      <c r="K48" s="1643"/>
      <c r="L48" s="1643"/>
      <c r="M48" s="1643"/>
      <c r="N48" s="1643"/>
    </row>
    <row r="49" spans="1:14" s="1716" customFormat="1" ht="12" customHeight="1">
      <c r="A49" s="2036"/>
      <c r="B49" s="2564"/>
      <c r="C49" s="2248"/>
      <c r="D49" s="2141"/>
      <c r="E49" s="2568"/>
      <c r="F49" s="1966"/>
      <c r="G49" s="2040"/>
      <c r="H49" s="2032"/>
      <c r="I49" s="1847"/>
      <c r="J49" s="1788"/>
      <c r="K49" s="1643"/>
      <c r="L49" s="1643"/>
      <c r="M49" s="1643"/>
      <c r="N49" s="1643"/>
    </row>
    <row r="50" spans="1:14" s="1716" customFormat="1" ht="12" customHeight="1">
      <c r="A50" s="2036"/>
      <c r="B50" s="2572" t="s">
        <v>5255</v>
      </c>
      <c r="C50" s="2573"/>
      <c r="D50" s="2461"/>
      <c r="E50" s="2483"/>
      <c r="F50" s="1692"/>
      <c r="G50" s="2229">
        <f>SUM(G52:G63)</f>
        <v>0</v>
      </c>
      <c r="H50" s="2229">
        <f t="shared" ref="H50:I50" si="11">SUM(H52:H63)</f>
        <v>0</v>
      </c>
      <c r="I50" s="2561">
        <f t="shared" si="11"/>
        <v>0</v>
      </c>
      <c r="J50" s="1788"/>
      <c r="K50" s="1643"/>
      <c r="L50" s="1643"/>
      <c r="M50" s="1643"/>
      <c r="N50" s="1643"/>
    </row>
    <row r="51" spans="1:14" s="1716" customFormat="1" ht="12" customHeight="1">
      <c r="A51" s="2036"/>
      <c r="B51" s="2574"/>
      <c r="C51" s="2575"/>
      <c r="D51" s="2576"/>
      <c r="E51" s="2577"/>
      <c r="F51" s="2037"/>
      <c r="G51" s="2578"/>
      <c r="H51" s="2578"/>
      <c r="I51" s="2562"/>
      <c r="J51" s="1788"/>
      <c r="K51" s="1643"/>
      <c r="L51" s="2038">
        <f t="shared" ref="L51:N51" si="12">+L55+L61</f>
        <v>0</v>
      </c>
      <c r="M51" s="2038">
        <f t="shared" ref="M51" si="13">+M55+M61</f>
        <v>0</v>
      </c>
      <c r="N51" s="2038">
        <f t="shared" si="12"/>
        <v>0</v>
      </c>
    </row>
    <row r="52" spans="1:14" s="1716" customFormat="1" ht="12" customHeight="1">
      <c r="A52" s="2036"/>
      <c r="B52" s="2563" t="s">
        <v>5256</v>
      </c>
      <c r="C52" s="2534"/>
      <c r="D52" s="2566"/>
      <c r="E52" s="2567"/>
      <c r="F52" s="1671"/>
      <c r="G52" s="2569"/>
      <c r="H52" s="2031"/>
      <c r="I52" s="2030"/>
      <c r="J52" s="1643"/>
      <c r="K52" s="1643"/>
      <c r="L52" s="1643"/>
      <c r="M52" s="1643"/>
      <c r="N52" s="1643"/>
    </row>
    <row r="53" spans="1:14" s="1716" customFormat="1" ht="12" customHeight="1">
      <c r="A53" s="2036"/>
      <c r="B53" s="2564"/>
      <c r="C53" s="2275"/>
      <c r="D53" s="2140"/>
      <c r="E53" s="2568"/>
      <c r="F53" s="1966"/>
      <c r="G53" s="2570"/>
      <c r="H53" s="2033"/>
      <c r="I53" s="2025"/>
      <c r="J53" s="1643"/>
      <c r="K53" s="1643"/>
      <c r="L53" s="1643"/>
      <c r="M53" s="1643"/>
      <c r="N53" s="1643"/>
    </row>
    <row r="54" spans="1:14" s="1716" customFormat="1" ht="12" customHeight="1">
      <c r="A54" s="2036"/>
      <c r="B54" s="2564"/>
      <c r="C54" s="2274"/>
      <c r="D54" s="2141"/>
      <c r="E54" s="2568"/>
      <c r="F54" s="2048">
        <f>+'3条支出'!$K$93</f>
        <v>0</v>
      </c>
      <c r="G54" s="2023"/>
      <c r="H54" s="2557">
        <f>IFERROR(ROUND(SUM(G52:G57)*F54/F55,0),0)</f>
        <v>0</v>
      </c>
      <c r="I54" s="2558">
        <f>SUM(G52:G57)-H54</f>
        <v>0</v>
      </c>
      <c r="J54" s="1643"/>
      <c r="K54" s="1643"/>
      <c r="L54" s="2063">
        <f>SUM('3条支出'!$F$93:$G$93)+SUM('3条支出'!H93)</f>
        <v>0</v>
      </c>
      <c r="M54" s="2010">
        <f>SUM('3条支出'!I93)</f>
        <v>0</v>
      </c>
      <c r="N54" s="2010">
        <f>SUM('3条支出'!J93)</f>
        <v>0</v>
      </c>
    </row>
    <row r="55" spans="1:14" s="1716" customFormat="1" ht="12" customHeight="1">
      <c r="A55" s="2036"/>
      <c r="B55" s="2564"/>
      <c r="C55" s="2472"/>
      <c r="D55" s="2143"/>
      <c r="E55" s="2568"/>
      <c r="F55" s="2049">
        <f>+'3条支出'!$E$93</f>
        <v>0</v>
      </c>
      <c r="G55" s="2029"/>
      <c r="H55" s="2557"/>
      <c r="I55" s="2558"/>
      <c r="J55" s="1643"/>
      <c r="K55" s="1643"/>
      <c r="L55" s="1790">
        <f>+H54-SUM(J55:K55,M55:N55)</f>
        <v>0</v>
      </c>
      <c r="M55" s="1790">
        <f>IFERROR(ROUND(M54/F54*H54,0),0)</f>
        <v>0</v>
      </c>
      <c r="N55" s="1790">
        <f>IFERROR(ROUND(N54/F54*H54,0),0)</f>
        <v>0</v>
      </c>
    </row>
    <row r="56" spans="1:14" s="1716" customFormat="1" ht="12" customHeight="1">
      <c r="A56" s="2036"/>
      <c r="B56" s="2564"/>
      <c r="C56" s="2248"/>
      <c r="D56" s="2141"/>
      <c r="E56" s="2568"/>
      <c r="F56" s="1966"/>
      <c r="G56" s="2023"/>
      <c r="H56" s="2033"/>
      <c r="I56" s="2025"/>
      <c r="J56" s="1643"/>
      <c r="K56" s="1643"/>
      <c r="L56" s="1643"/>
      <c r="M56" s="1643"/>
      <c r="N56" s="1643"/>
    </row>
    <row r="57" spans="1:14" s="1716" customFormat="1" ht="12" customHeight="1">
      <c r="A57" s="2036"/>
      <c r="B57" s="2564"/>
      <c r="C57" s="2470"/>
      <c r="D57" s="2142"/>
      <c r="E57" s="2568"/>
      <c r="F57" s="1966"/>
      <c r="G57" s="2040"/>
      <c r="H57" s="2033"/>
      <c r="I57" s="2025"/>
      <c r="J57" s="1643"/>
      <c r="K57" s="1643"/>
      <c r="L57" s="1643"/>
      <c r="M57" s="1643"/>
      <c r="N57" s="1643"/>
    </row>
    <row r="58" spans="1:14" s="1716" customFormat="1" ht="12" customHeight="1">
      <c r="A58" s="2036"/>
      <c r="B58" s="2564"/>
      <c r="C58" s="2534"/>
      <c r="D58" s="2566"/>
      <c r="E58" s="2567"/>
      <c r="F58" s="2042"/>
      <c r="G58" s="2569"/>
      <c r="H58" s="2031"/>
      <c r="I58" s="2030"/>
      <c r="J58" s="1643"/>
      <c r="K58" s="1643"/>
      <c r="L58" s="1643"/>
      <c r="M58" s="1643"/>
      <c r="N58" s="1643"/>
    </row>
    <row r="59" spans="1:14" s="1716" customFormat="1" ht="12" customHeight="1">
      <c r="A59" s="2036"/>
      <c r="B59" s="2564"/>
      <c r="C59" s="2275"/>
      <c r="D59" s="2140"/>
      <c r="E59" s="2568"/>
      <c r="F59" s="1966"/>
      <c r="G59" s="2570"/>
      <c r="H59" s="2033"/>
      <c r="I59" s="2025"/>
      <c r="J59" s="1643"/>
      <c r="K59" s="1643"/>
      <c r="L59" s="1643"/>
      <c r="M59" s="1643"/>
      <c r="N59" s="1643"/>
    </row>
    <row r="60" spans="1:14" s="1716" customFormat="1" ht="12" customHeight="1">
      <c r="A60" s="2036"/>
      <c r="B60" s="2564"/>
      <c r="C60" s="2556" t="s">
        <v>5261</v>
      </c>
      <c r="D60" s="2140" t="s">
        <v>5261</v>
      </c>
      <c r="E60" s="2568"/>
      <c r="F60" s="2048">
        <f>+'3条支出'!$K$106</f>
        <v>0</v>
      </c>
      <c r="G60" s="2023"/>
      <c r="H60" s="2557">
        <f>IFERROR(ROUND(SUM(G58:G63)*F60/F61,0),0)</f>
        <v>0</v>
      </c>
      <c r="I60" s="2558">
        <f>SUM(G58:G63)-H60</f>
        <v>0</v>
      </c>
      <c r="J60" s="1643"/>
      <c r="K60" s="1643"/>
      <c r="L60" s="2063">
        <f>SUM('3条支出'!$F$106:$G$106)+SUM('3条支出'!H106)</f>
        <v>0</v>
      </c>
      <c r="M60" s="2010">
        <f>SUM('3条支出'!I106)</f>
        <v>0</v>
      </c>
      <c r="N60" s="2010">
        <f>SUM('3条支出'!J106)</f>
        <v>0</v>
      </c>
    </row>
    <row r="61" spans="1:14" s="1716" customFormat="1" ht="12" customHeight="1">
      <c r="A61" s="2036"/>
      <c r="B61" s="2564"/>
      <c r="C61" s="2556"/>
      <c r="D61" s="2140"/>
      <c r="E61" s="2568"/>
      <c r="F61" s="2049">
        <f>+'3条支出'!$E$106</f>
        <v>0</v>
      </c>
      <c r="G61" s="2029"/>
      <c r="H61" s="2557"/>
      <c r="I61" s="2558"/>
      <c r="J61" s="1643"/>
      <c r="K61" s="1643"/>
      <c r="L61" s="1790">
        <f>+H60-SUM(J61:K61,M61:N61)</f>
        <v>0</v>
      </c>
      <c r="M61" s="1790">
        <f>IFERROR(ROUND(M60/F60*H60,0),0)</f>
        <v>0</v>
      </c>
      <c r="N61" s="1790">
        <f>IFERROR(ROUND(N60/F60*H60,0),0)</f>
        <v>0</v>
      </c>
    </row>
    <row r="62" spans="1:14" s="1716" customFormat="1" ht="12" customHeight="1">
      <c r="A62" s="2036"/>
      <c r="B62" s="2564"/>
      <c r="C62" s="2556" t="s">
        <v>5261</v>
      </c>
      <c r="D62" s="2140" t="s">
        <v>5262</v>
      </c>
      <c r="E62" s="2568"/>
      <c r="F62" s="1966"/>
      <c r="G62" s="2023"/>
      <c r="H62" s="2033"/>
      <c r="I62" s="2025"/>
      <c r="J62" s="1643"/>
      <c r="K62" s="1643"/>
      <c r="L62" s="1643"/>
      <c r="M62" s="1643"/>
      <c r="N62" s="1643"/>
    </row>
    <row r="63" spans="1:14" s="1716" customFormat="1" ht="12" customHeight="1" thickBot="1">
      <c r="A63" s="2044"/>
      <c r="B63" s="2565"/>
      <c r="C63" s="2559"/>
      <c r="D63" s="2560"/>
      <c r="E63" s="2571"/>
      <c r="F63" s="2045"/>
      <c r="G63" s="2026"/>
      <c r="H63" s="1857"/>
      <c r="I63" s="1858"/>
      <c r="J63" s="1788"/>
      <c r="K63" s="1643"/>
      <c r="L63" s="1643"/>
      <c r="M63" s="1643"/>
      <c r="N63" s="1643"/>
    </row>
    <row r="64" spans="1:14" s="1716" customFormat="1" ht="12" customHeight="1">
      <c r="F64" s="1932" t="s">
        <v>5263</v>
      </c>
      <c r="G64" s="1815">
        <f>+'3条収入'!$E$34</f>
        <v>0</v>
      </c>
    </row>
    <row r="65" spans="6:7" s="1716" customFormat="1" ht="12" customHeight="1">
      <c r="F65" s="1932" t="s">
        <v>5264</v>
      </c>
      <c r="G65" s="1815">
        <f>+G6-G64</f>
        <v>0</v>
      </c>
    </row>
    <row r="66" spans="6:7" s="1716" customFormat="1" ht="11.25"/>
    <row r="67" spans="6:7" s="1716" customFormat="1" ht="11.25"/>
    <row r="68" spans="6:7" s="1716" customFormat="1" ht="11.25"/>
    <row r="69" spans="6:7" s="1716" customFormat="1" ht="11.25"/>
    <row r="70" spans="6:7" s="1716" customFormat="1" ht="11.25"/>
    <row r="71" spans="6:7" s="1716" customFormat="1" ht="11.25"/>
    <row r="72" spans="6:7" s="1716" customFormat="1" ht="11.25"/>
    <row r="73" spans="6:7" s="1716" customFormat="1" ht="11.25"/>
    <row r="74" spans="6:7" s="1716" customFormat="1" ht="11.25"/>
    <row r="75" spans="6:7" s="1716" customFormat="1" ht="11.25"/>
    <row r="76" spans="6:7" s="1716" customFormat="1" ht="11.25"/>
    <row r="77" spans="6:7" s="1716" customFormat="1" ht="11.25"/>
    <row r="78" spans="6:7" s="1716" customFormat="1" ht="11.25"/>
    <row r="79" spans="6:7" s="1716" customFormat="1" ht="11.25"/>
    <row r="80" spans="6:7" s="1716" customFormat="1" ht="11.25"/>
    <row r="81" s="1716" customFormat="1" ht="11.25"/>
    <row r="82" s="1716" customFormat="1" ht="11.25"/>
    <row r="83" s="1716" customFormat="1" ht="11.25"/>
    <row r="84" s="1716" customFormat="1" ht="11.25"/>
    <row r="85" s="1716" customFormat="1" ht="11.25"/>
    <row r="86" s="1716" customFormat="1" ht="11.25"/>
    <row r="87" s="1716" customFormat="1" ht="11.25"/>
    <row r="88" s="1716" customFormat="1" ht="11.25"/>
    <row r="89" s="1716" customFormat="1" ht="11.25"/>
    <row r="90" s="1716" customFormat="1" ht="11.25"/>
    <row r="91" s="1716" customFormat="1" ht="11.25"/>
    <row r="92" s="1716" customFormat="1" ht="11.25"/>
    <row r="93" s="1716" customFormat="1" ht="11.25"/>
    <row r="94" s="1716" customFormat="1" ht="11.25"/>
    <row r="95" s="1716" customFormat="1" ht="11.25"/>
    <row r="96" s="1716" customFormat="1" ht="11.25"/>
    <row r="97" s="1716" customFormat="1" ht="11.25"/>
    <row r="98" s="1716" customFormat="1" ht="11.25"/>
    <row r="99" s="1716" customFormat="1" ht="11.25"/>
    <row r="100" s="1716" customFormat="1" ht="11.25"/>
    <row r="101" s="1716" customFormat="1" ht="11.25"/>
    <row r="102" s="1716" customFormat="1" ht="11.25"/>
    <row r="103" s="1716" customFormat="1" ht="11.25"/>
    <row r="104" s="1716" customFormat="1" ht="11.25"/>
    <row r="105" s="1716" customFormat="1" ht="11.25"/>
    <row r="106" s="1716" customFormat="1" ht="11.25"/>
    <row r="107" s="1716" customFormat="1" ht="11.25"/>
    <row r="108" s="1716" customFormat="1" ht="11.25"/>
    <row r="109" s="1716" customFormat="1" ht="11.25"/>
    <row r="110" s="1716" customFormat="1" ht="11.25"/>
    <row r="111" s="1716" customFormat="1" ht="11.25"/>
    <row r="112" s="1716" customFormat="1" ht="11.25"/>
    <row r="113" s="1716" customFormat="1" ht="11.25"/>
    <row r="114" s="1716" customFormat="1" ht="11.25"/>
    <row r="115" s="1716" customFormat="1" ht="11.25"/>
    <row r="116" s="1716" customFormat="1" ht="11.25"/>
    <row r="117" s="1716" customFormat="1" ht="11.25"/>
    <row r="118" s="1716" customFormat="1" ht="11.25"/>
    <row r="119" s="1716" customFormat="1" ht="11.25"/>
    <row r="120" s="1716" customFormat="1" ht="11.25"/>
    <row r="121" s="1716" customFormat="1" ht="11.25"/>
    <row r="122" s="1716" customFormat="1" ht="11.25"/>
    <row r="123" s="1716" customFormat="1" ht="11.25"/>
  </sheetData>
  <mergeCells count="121">
    <mergeCell ref="A1:I1"/>
    <mergeCell ref="A4:C5"/>
    <mergeCell ref="D4:D5"/>
    <mergeCell ref="E4:E5"/>
    <mergeCell ref="G4:G5"/>
    <mergeCell ref="H4:H5"/>
    <mergeCell ref="I4:I5"/>
    <mergeCell ref="I6:I7"/>
    <mergeCell ref="A6:C7"/>
    <mergeCell ref="D6:D7"/>
    <mergeCell ref="E6:E7"/>
    <mergeCell ref="G6:G7"/>
    <mergeCell ref="H6:H7"/>
    <mergeCell ref="B10:B21"/>
    <mergeCell ref="C10:C11"/>
    <mergeCell ref="D10:D11"/>
    <mergeCell ref="E10:E15"/>
    <mergeCell ref="G10:G11"/>
    <mergeCell ref="C12:C13"/>
    <mergeCell ref="D12:D13"/>
    <mergeCell ref="B8:C9"/>
    <mergeCell ref="I8:I9"/>
    <mergeCell ref="D8:D9"/>
    <mergeCell ref="E8:E9"/>
    <mergeCell ref="G8:G9"/>
    <mergeCell ref="H8:H9"/>
    <mergeCell ref="E22:E23"/>
    <mergeCell ref="G22:G23"/>
    <mergeCell ref="H22:H23"/>
    <mergeCell ref="H12:H13"/>
    <mergeCell ref="I12:I13"/>
    <mergeCell ref="C14:C15"/>
    <mergeCell ref="D14:D15"/>
    <mergeCell ref="C16:C17"/>
    <mergeCell ref="D16:D17"/>
    <mergeCell ref="E16:E21"/>
    <mergeCell ref="G16:G17"/>
    <mergeCell ref="C18:C19"/>
    <mergeCell ref="D18:D19"/>
    <mergeCell ref="H18:H19"/>
    <mergeCell ref="I18:I19"/>
    <mergeCell ref="C20:C21"/>
    <mergeCell ref="D20:D21"/>
    <mergeCell ref="C32:C33"/>
    <mergeCell ref="D32:D33"/>
    <mergeCell ref="H32:H33"/>
    <mergeCell ref="I32:I33"/>
    <mergeCell ref="C34:C35"/>
    <mergeCell ref="D34:D35"/>
    <mergeCell ref="I22:I23"/>
    <mergeCell ref="B24:B35"/>
    <mergeCell ref="C24:C25"/>
    <mergeCell ref="D24:D25"/>
    <mergeCell ref="E24:E29"/>
    <mergeCell ref="G24:G25"/>
    <mergeCell ref="C26:C27"/>
    <mergeCell ref="D26:D27"/>
    <mergeCell ref="H26:H27"/>
    <mergeCell ref="I26:I27"/>
    <mergeCell ref="C28:C29"/>
    <mergeCell ref="D28:D29"/>
    <mergeCell ref="C30:C31"/>
    <mergeCell ref="D30:D31"/>
    <mergeCell ref="E30:E35"/>
    <mergeCell ref="G30:G31"/>
    <mergeCell ref="B22:C23"/>
    <mergeCell ref="D22:D23"/>
    <mergeCell ref="I36:I37"/>
    <mergeCell ref="B38:B49"/>
    <mergeCell ref="C38:C39"/>
    <mergeCell ref="D38:D39"/>
    <mergeCell ref="E38:E43"/>
    <mergeCell ref="G38:G39"/>
    <mergeCell ref="C40:C41"/>
    <mergeCell ref="D40:D41"/>
    <mergeCell ref="H40:H41"/>
    <mergeCell ref="I40:I41"/>
    <mergeCell ref="C42:C43"/>
    <mergeCell ref="D42:D43"/>
    <mergeCell ref="C44:C45"/>
    <mergeCell ref="D44:D45"/>
    <mergeCell ref="E44:E49"/>
    <mergeCell ref="G44:G45"/>
    <mergeCell ref="B36:C37"/>
    <mergeCell ref="D36:D37"/>
    <mergeCell ref="E36:E37"/>
    <mergeCell ref="G36:G37"/>
    <mergeCell ref="H36:H37"/>
    <mergeCell ref="E50:E51"/>
    <mergeCell ref="G50:G51"/>
    <mergeCell ref="H50:H51"/>
    <mergeCell ref="C46:C47"/>
    <mergeCell ref="D46:D47"/>
    <mergeCell ref="H46:H47"/>
    <mergeCell ref="I46:I47"/>
    <mergeCell ref="C48:C49"/>
    <mergeCell ref="D48:D49"/>
    <mergeCell ref="C60:C61"/>
    <mergeCell ref="D60:D61"/>
    <mergeCell ref="H60:H61"/>
    <mergeCell ref="I60:I61"/>
    <mergeCell ref="C62:C63"/>
    <mergeCell ref="D62:D63"/>
    <mergeCell ref="I50:I51"/>
    <mergeCell ref="B52:B63"/>
    <mergeCell ref="C52:C53"/>
    <mergeCell ref="D52:D53"/>
    <mergeCell ref="E52:E57"/>
    <mergeCell ref="G52:G53"/>
    <mergeCell ref="C54:C55"/>
    <mergeCell ref="D54:D55"/>
    <mergeCell ref="H54:H55"/>
    <mergeCell ref="I54:I55"/>
    <mergeCell ref="C56:C57"/>
    <mergeCell ref="D56:D57"/>
    <mergeCell ref="C58:C59"/>
    <mergeCell ref="D58:D59"/>
    <mergeCell ref="E58:E63"/>
    <mergeCell ref="G58:G59"/>
    <mergeCell ref="B50:C51"/>
    <mergeCell ref="D50:D51"/>
  </mergeCells>
  <phoneticPr fontId="2"/>
  <dataValidations disablePrompts="1" count="1">
    <dataValidation type="list" allowBlank="1" showInputMessage="1" showErrorMessage="1" sqref="E6:E7">
      <formula1>$P$2:$P$5</formula1>
    </dataValidation>
  </dataValidations>
  <printOptions horizontalCentered="1"/>
  <pageMargins left="0.59055118110236227" right="0.39370078740157483" top="0.78740157480314965" bottom="0.39370078740157483" header="0.39370078740157483" footer="0.19685039370078741"/>
  <pageSetup paperSize="9" scale="52" fitToHeight="2" orientation="portrait" blackAndWhite="1" r:id="rId1"/>
  <headerFooter alignWithMargins="0">
    <oddFooter>&amp;L&amp;6&amp;F &amp;A&amp;R&amp;6&amp;D &amp;T</oddFooter>
  </headerFooter>
  <drawing r:id="rId2"/>
  <legacyDrawing r:id="rId3"/>
</worksheet>
</file>

<file path=xl/worksheets/w6_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FFFF"/>
    <pageSetUpPr fitToPage="1"/>
  </sheetPr>
  <dimension ref="A1:U46"/>
  <sheetViews>
    <sheetView view="pageBreakPreview" zoomScale="85" zoomScaleNormal="85" zoomScaleSheetLayoutView="85" workbookViewId="0">
      <pane xSplit="3" ySplit="5" topLeftCell="D6" activePane="bottomRight" state="frozen"/>
      <selection activeCell="S30" sqref="S30"/>
      <selection pane="topRight" activeCell="S30" sqref="S30"/>
      <selection pane="bottomLeft" activeCell="S30" sqref="S30"/>
      <selection pane="bottomRight" activeCell="E8" sqref="E8:E31"/>
    </sheetView>
  </sheetViews>
  <sheetFormatPr defaultColWidth="9" defaultRowHeight="13.5"/>
  <cols>
    <col min="1" max="1" width="1.625" style="1789" customWidth="1"/>
    <col min="2" max="2" width="4.625" style="1789" customWidth="1"/>
    <col min="3" max="3" width="19.625" style="1789" customWidth="1"/>
    <col min="4" max="5" width="23.625" style="1789" customWidth="1"/>
    <col min="6" max="6" width="13.125" style="1788" customWidth="1"/>
    <col min="7" max="9" width="12.625" style="1788" customWidth="1"/>
    <col min="10" max="13" width="6.375" style="1788" customWidth="1"/>
    <col min="14" max="14" width="12.625" style="1788" customWidth="1"/>
    <col min="15" max="15" width="9" style="1789"/>
    <col min="16" max="18" width="6.375" style="1789" customWidth="1"/>
    <col min="19" max="20" width="12.625" style="1789" customWidth="1"/>
    <col min="21" max="21" width="22.375" style="1789" bestFit="1" customWidth="1"/>
    <col min="22" max="23" width="14.875" style="1789" customWidth="1"/>
    <col min="24" max="16384" width="9" style="1789"/>
  </cols>
  <sheetData>
    <row r="1" spans="1:21" ht="17.25" customHeight="1">
      <c r="A1" s="2302" t="str">
        <f>+"令和"&amp;MID('総括表(不課税)'!A2,3,1)&amp;"年度決算　不課税収入区分表(公共下水道整備国庫補助金)"</f>
        <v>令和５年度決算　不課税収入区分表(公共下水道整備国庫補助金)</v>
      </c>
      <c r="B1" s="2302"/>
      <c r="C1" s="2302"/>
      <c r="D1" s="2302"/>
      <c r="E1" s="2302"/>
      <c r="F1" s="2302"/>
      <c r="G1" s="2302"/>
      <c r="H1" s="2302"/>
      <c r="I1" s="2302"/>
    </row>
    <row r="2" spans="1:21" ht="17.25" customHeight="1">
      <c r="A2" s="1744"/>
      <c r="B2" s="1744"/>
      <c r="C2" s="1744"/>
      <c r="D2" s="1744"/>
      <c r="E2" s="1744"/>
      <c r="F2" s="1815"/>
      <c r="G2" s="1815"/>
      <c r="H2" s="1815"/>
      <c r="I2" s="1815"/>
    </row>
    <row r="3" spans="1:21" ht="17.25" customHeight="1" thickBot="1">
      <c r="A3" s="1744"/>
      <c r="B3" s="1744"/>
      <c r="C3" s="1744"/>
      <c r="D3" s="1744"/>
      <c r="E3" s="1744"/>
      <c r="F3" s="1815"/>
      <c r="G3" s="1815"/>
      <c r="H3" s="1815"/>
      <c r="I3" s="1816" t="s">
        <v>4898</v>
      </c>
    </row>
    <row r="4" spans="1:21">
      <c r="A4" s="2616" t="s">
        <v>4792</v>
      </c>
      <c r="B4" s="2617"/>
      <c r="C4" s="2618"/>
      <c r="D4" s="2622" t="s">
        <v>4899</v>
      </c>
      <c r="E4" s="2617" t="s">
        <v>4900</v>
      </c>
      <c r="F4" s="1836" t="s">
        <v>4901</v>
      </c>
      <c r="G4" s="2421" t="s">
        <v>4824</v>
      </c>
      <c r="H4" s="2421" t="s">
        <v>4826</v>
      </c>
      <c r="I4" s="2415" t="s">
        <v>4827</v>
      </c>
      <c r="J4" s="1818" t="s">
        <v>5161</v>
      </c>
      <c r="K4" s="1819"/>
      <c r="L4" s="1819"/>
      <c r="M4" s="1819"/>
      <c r="P4" s="1789" t="s">
        <v>5265</v>
      </c>
    </row>
    <row r="5" spans="1:21">
      <c r="A5" s="2619"/>
      <c r="B5" s="2620"/>
      <c r="C5" s="2621"/>
      <c r="D5" s="2623"/>
      <c r="E5" s="2620"/>
      <c r="F5" s="1837" t="s">
        <v>4846</v>
      </c>
      <c r="G5" s="2422"/>
      <c r="H5" s="2422"/>
      <c r="I5" s="2416"/>
      <c r="J5" s="1968">
        <v>0.03</v>
      </c>
      <c r="K5" s="2065">
        <v>0.05</v>
      </c>
      <c r="L5" s="1829">
        <v>0.08</v>
      </c>
      <c r="M5" s="2059">
        <v>0.08</v>
      </c>
      <c r="N5" s="1840">
        <v>0.1</v>
      </c>
      <c r="P5" s="1829">
        <v>0.05</v>
      </c>
      <c r="Q5" s="1829">
        <v>0.08</v>
      </c>
      <c r="R5" s="2059">
        <v>0.08</v>
      </c>
      <c r="S5" s="1840">
        <v>0.1</v>
      </c>
      <c r="T5" s="2051" t="s">
        <v>5266</v>
      </c>
      <c r="U5" s="1789" t="s">
        <v>5267</v>
      </c>
    </row>
    <row r="6" spans="1:21">
      <c r="A6" s="2604" t="s">
        <v>4902</v>
      </c>
      <c r="B6" s="2605"/>
      <c r="C6" s="2606"/>
      <c r="D6" s="2613"/>
      <c r="E6" s="2602"/>
      <c r="F6" s="1843"/>
      <c r="G6" s="2445">
        <f>SUM(G8:G43)</f>
        <v>5683800000</v>
      </c>
      <c r="H6" s="2445">
        <f>H19+H37</f>
        <v>5678297006</v>
      </c>
      <c r="I6" s="2518">
        <f>I19+I37</f>
        <v>5502994</v>
      </c>
      <c r="J6" s="1788">
        <f t="shared" ref="J6:K6" si="0">+J20+J38</f>
        <v>0</v>
      </c>
      <c r="K6" s="1788">
        <f t="shared" si="0"/>
        <v>0</v>
      </c>
      <c r="L6" s="1788">
        <f>+L20+L38</f>
        <v>0</v>
      </c>
      <c r="M6" s="1788">
        <f>+M20+M38</f>
        <v>0</v>
      </c>
      <c r="N6" s="1788">
        <f t="shared" ref="N6" si="1">+N20+N38</f>
        <v>5678297006</v>
      </c>
      <c r="P6" s="1788">
        <f t="shared" ref="P6" si="2">+P20+P38</f>
        <v>0</v>
      </c>
      <c r="Q6" s="1788">
        <f>+Q20+Q38</f>
        <v>0</v>
      </c>
      <c r="R6" s="1788">
        <f>+R20+R38</f>
        <v>0</v>
      </c>
      <c r="S6" s="1788">
        <f t="shared" ref="S6:T6" si="3">+S20+S38</f>
        <v>516208819</v>
      </c>
      <c r="T6" s="1788">
        <f t="shared" si="3"/>
        <v>516208819</v>
      </c>
      <c r="U6" s="2054">
        <f>+T6-'4条収入'!$AH$25</f>
        <v>0</v>
      </c>
    </row>
    <row r="7" spans="1:21">
      <c r="A7" s="2607"/>
      <c r="B7" s="2608"/>
      <c r="C7" s="2265"/>
      <c r="D7" s="2614"/>
      <c r="E7" s="2603"/>
      <c r="F7" s="1844"/>
      <c r="G7" s="2425"/>
      <c r="H7" s="2425"/>
      <c r="I7" s="2498"/>
    </row>
    <row r="8" spans="1:21">
      <c r="A8" s="1845"/>
      <c r="B8" s="2609" t="s">
        <v>4903</v>
      </c>
      <c r="C8" s="2598" t="s">
        <v>4904</v>
      </c>
      <c r="D8" s="2600" t="s">
        <v>5343</v>
      </c>
      <c r="E8" s="2594" t="s">
        <v>5361</v>
      </c>
      <c r="F8" s="1846"/>
      <c r="G8" s="2596">
        <f>4762313.15*1000*5/10+60735.85*1000*5/10+1500</f>
        <v>2411526000</v>
      </c>
      <c r="H8" s="1824"/>
      <c r="I8" s="1860"/>
    </row>
    <row r="9" spans="1:21">
      <c r="A9" s="1845"/>
      <c r="B9" s="2610"/>
      <c r="C9" s="2598"/>
      <c r="D9" s="2600"/>
      <c r="E9" s="2595"/>
      <c r="F9" s="1846"/>
      <c r="G9" s="2597"/>
      <c r="H9" s="1824"/>
      <c r="I9" s="1860"/>
    </row>
    <row r="10" spans="1:21">
      <c r="A10" s="1845"/>
      <c r="B10" s="2610"/>
      <c r="C10" s="2598" t="s">
        <v>5279</v>
      </c>
      <c r="D10" s="2600" t="s">
        <v>5344</v>
      </c>
      <c r="E10" s="2595"/>
      <c r="F10" s="1846"/>
      <c r="G10" s="2591"/>
      <c r="H10" s="1824"/>
      <c r="I10" s="1860"/>
    </row>
    <row r="11" spans="1:21">
      <c r="A11" s="1845"/>
      <c r="B11" s="2610"/>
      <c r="C11" s="2598"/>
      <c r="D11" s="2600"/>
      <c r="E11" s="2595"/>
      <c r="F11" s="1846"/>
      <c r="G11" s="2592"/>
      <c r="H11" s="1824"/>
      <c r="I11" s="1860"/>
    </row>
    <row r="12" spans="1:21">
      <c r="A12" s="1845"/>
      <c r="B12" s="2610"/>
      <c r="C12" s="2598" t="s">
        <v>5090</v>
      </c>
      <c r="D12" s="2590"/>
      <c r="E12" s="2595"/>
      <c r="F12" s="1846"/>
      <c r="G12" s="2591"/>
      <c r="H12" s="1824"/>
      <c r="I12" s="1860"/>
    </row>
    <row r="13" spans="1:21">
      <c r="A13" s="1845"/>
      <c r="B13" s="2610"/>
      <c r="C13" s="2598"/>
      <c r="D13" s="2590"/>
      <c r="E13" s="2595"/>
      <c r="F13" s="1846"/>
      <c r="G13" s="2592"/>
      <c r="H13" s="1824"/>
      <c r="I13" s="1860"/>
    </row>
    <row r="14" spans="1:21">
      <c r="A14" s="1845"/>
      <c r="B14" s="2610"/>
      <c r="C14" s="2598" t="s">
        <v>4784</v>
      </c>
      <c r="D14" s="2590"/>
      <c r="E14" s="2595"/>
      <c r="F14" s="1846"/>
      <c r="G14" s="2591"/>
      <c r="H14" s="1824"/>
      <c r="I14" s="1860"/>
    </row>
    <row r="15" spans="1:21">
      <c r="A15" s="1845"/>
      <c r="B15" s="2610"/>
      <c r="C15" s="2598"/>
      <c r="D15" s="2590"/>
      <c r="E15" s="2595"/>
      <c r="F15" s="1846"/>
      <c r="G15" s="2592"/>
      <c r="H15" s="1824"/>
      <c r="I15" s="1860"/>
    </row>
    <row r="16" spans="1:21">
      <c r="A16" s="1845"/>
      <c r="B16" s="2610"/>
      <c r="C16" s="2598" t="s">
        <v>5065</v>
      </c>
      <c r="D16" s="2590"/>
      <c r="E16" s="2595"/>
      <c r="F16" s="1846"/>
      <c r="G16" s="2591"/>
      <c r="H16" s="1824"/>
      <c r="I16" s="1860"/>
    </row>
    <row r="17" spans="1:21">
      <c r="A17" s="1845"/>
      <c r="B17" s="2610"/>
      <c r="C17" s="2598"/>
      <c r="D17" s="2590"/>
      <c r="E17" s="2595"/>
      <c r="F17" s="1846"/>
      <c r="G17" s="2592"/>
      <c r="H17" s="1824"/>
      <c r="I17" s="1860"/>
    </row>
    <row r="18" spans="1:21">
      <c r="A18" s="1845"/>
      <c r="B18" s="2610"/>
      <c r="C18" s="2598" t="s">
        <v>4905</v>
      </c>
      <c r="D18" s="2590"/>
      <c r="E18" s="2595"/>
      <c r="F18" s="1846"/>
      <c r="G18" s="2591"/>
      <c r="H18" s="1824"/>
      <c r="I18" s="1860"/>
      <c r="K18" s="1821"/>
      <c r="L18" s="1821"/>
      <c r="M18" s="1821"/>
    </row>
    <row r="19" spans="1:21">
      <c r="A19" s="1845"/>
      <c r="B19" s="2610"/>
      <c r="C19" s="2598"/>
      <c r="D19" s="2590"/>
      <c r="E19" s="2595"/>
      <c r="F19" s="1997">
        <v>5036234000</v>
      </c>
      <c r="G19" s="2592"/>
      <c r="H19" s="2439">
        <f>IFERROR(ROUND(SUM(G8:G31)*F19/F20,0),0)</f>
        <v>2527700000</v>
      </c>
      <c r="I19" s="2442">
        <f>SUM(G8:G31)-H19</f>
        <v>0</v>
      </c>
      <c r="K19" s="1821"/>
      <c r="L19" s="2010">
        <v>0</v>
      </c>
      <c r="M19" s="2010"/>
      <c r="N19" s="1882">
        <f>F19-SUM(L19:M19)</f>
        <v>5036234000</v>
      </c>
    </row>
    <row r="20" spans="1:21">
      <c r="A20" s="1845"/>
      <c r="B20" s="2610"/>
      <c r="C20" s="2598" t="s">
        <v>4785</v>
      </c>
      <c r="D20" s="2600" t="s">
        <v>5345</v>
      </c>
      <c r="E20" s="2595"/>
      <c r="F20" s="1996">
        <v>5036234000</v>
      </c>
      <c r="G20" s="2492">
        <f>191660*1000*5.5/10</f>
        <v>105413000</v>
      </c>
      <c r="H20" s="2439"/>
      <c r="I20" s="2442"/>
      <c r="K20" s="1821"/>
      <c r="L20" s="1788">
        <f>+H19-SUM(J20:K20,M20:N20)</f>
        <v>0</v>
      </c>
      <c r="M20" s="1788">
        <f>IFERROR(ROUND(M19/F19*H19,0),0)</f>
        <v>0</v>
      </c>
      <c r="N20" s="1788">
        <f>IFERROR(ROUND(N19/F19*H19,0),0)</f>
        <v>2527700000</v>
      </c>
      <c r="P20" s="1788">
        <f>+ROUND(K20*P$5/(1+P$5),0)</f>
        <v>0</v>
      </c>
      <c r="Q20" s="2068">
        <f>+ROUND(L20*Q$5/(1+Q$5),0)</f>
        <v>0</v>
      </c>
      <c r="R20" s="1788">
        <f>+ROUND(M20*R$5/(1+R$5),0)</f>
        <v>0</v>
      </c>
      <c r="S20" s="1788">
        <f>+ROUND(N20*S$5/(1+S$5),0)</f>
        <v>229790909</v>
      </c>
      <c r="T20" s="2054">
        <f>SUM(P20:S20)</f>
        <v>229790909</v>
      </c>
      <c r="U20" s="2054"/>
    </row>
    <row r="21" spans="1:21">
      <c r="A21" s="1845"/>
      <c r="B21" s="2610"/>
      <c r="C21" s="2598"/>
      <c r="D21" s="2600"/>
      <c r="E21" s="2595"/>
      <c r="F21" s="1848"/>
      <c r="G21" s="2493"/>
      <c r="H21" s="1824"/>
      <c r="I21" s="1860"/>
      <c r="K21" s="1821"/>
    </row>
    <row r="22" spans="1:21">
      <c r="A22" s="1845"/>
      <c r="B22" s="2610"/>
      <c r="C22" s="2598" t="s">
        <v>4786</v>
      </c>
      <c r="D22" s="2600" t="s">
        <v>5346</v>
      </c>
      <c r="E22" s="2595"/>
      <c r="F22" s="1848"/>
      <c r="G22" s="2492">
        <f>21525*1000*5/10-1500</f>
        <v>10761000</v>
      </c>
      <c r="H22" s="1824"/>
      <c r="I22" s="1860"/>
      <c r="K22" s="1821"/>
    </row>
    <row r="23" spans="1:21">
      <c r="A23" s="1845"/>
      <c r="B23" s="2610"/>
      <c r="C23" s="2598"/>
      <c r="D23" s="2600"/>
      <c r="E23" s="2595"/>
      <c r="F23" s="1848"/>
      <c r="G23" s="2493"/>
      <c r="H23" s="1824"/>
      <c r="I23" s="1860"/>
      <c r="K23" s="1821"/>
    </row>
    <row r="24" spans="1:21">
      <c r="A24" s="1845"/>
      <c r="B24" s="2610"/>
      <c r="C24" s="2598" t="s">
        <v>4787</v>
      </c>
      <c r="D24" s="2590"/>
      <c r="E24" s="2595"/>
      <c r="F24" s="1848"/>
      <c r="G24" s="2591"/>
      <c r="H24" s="1824"/>
      <c r="I24" s="1860"/>
      <c r="K24" s="1821"/>
    </row>
    <row r="25" spans="1:21">
      <c r="A25" s="1845"/>
      <c r="B25" s="2610"/>
      <c r="C25" s="2598"/>
      <c r="D25" s="2590"/>
      <c r="E25" s="2595"/>
      <c r="F25" s="1848"/>
      <c r="G25" s="2592"/>
      <c r="H25" s="1824"/>
      <c r="I25" s="1860"/>
      <c r="K25" s="1821"/>
    </row>
    <row r="26" spans="1:21">
      <c r="A26" s="1845"/>
      <c r="B26" s="2610"/>
      <c r="C26" s="2598" t="s">
        <v>4788</v>
      </c>
      <c r="D26" s="2590"/>
      <c r="E26" s="2595"/>
      <c r="F26" s="1848"/>
      <c r="G26" s="2591"/>
      <c r="H26" s="1824"/>
      <c r="I26" s="1860"/>
      <c r="K26" s="1821"/>
    </row>
    <row r="27" spans="1:21">
      <c r="A27" s="1845"/>
      <c r="B27" s="2610"/>
      <c r="C27" s="2598"/>
      <c r="D27" s="2590"/>
      <c r="E27" s="2595"/>
      <c r="F27" s="1848"/>
      <c r="G27" s="2592"/>
      <c r="H27" s="1824"/>
      <c r="I27" s="1860"/>
      <c r="K27" s="1821"/>
    </row>
    <row r="28" spans="1:21">
      <c r="A28" s="1845"/>
      <c r="B28" s="2610"/>
      <c r="C28" s="2598" t="s">
        <v>4789</v>
      </c>
      <c r="D28" s="2590"/>
      <c r="E28" s="2595"/>
      <c r="F28" s="1848"/>
      <c r="G28" s="2591"/>
      <c r="H28" s="1824"/>
      <c r="I28" s="1860"/>
      <c r="K28" s="1821"/>
    </row>
    <row r="29" spans="1:21">
      <c r="A29" s="1845"/>
      <c r="B29" s="2610"/>
      <c r="C29" s="2598"/>
      <c r="D29" s="2590"/>
      <c r="E29" s="2595"/>
      <c r="F29" s="1848"/>
      <c r="G29" s="2592"/>
      <c r="H29" s="1824"/>
      <c r="I29" s="1860"/>
      <c r="K29" s="1821"/>
    </row>
    <row r="30" spans="1:21">
      <c r="A30" s="1845"/>
      <c r="B30" s="2610"/>
      <c r="C30" s="2598" t="s">
        <v>4790</v>
      </c>
      <c r="D30" s="1971"/>
      <c r="E30" s="2595"/>
      <c r="F30" s="1848"/>
      <c r="G30" s="2591"/>
      <c r="H30" s="1824"/>
      <c r="I30" s="1860"/>
      <c r="K30" s="1821"/>
    </row>
    <row r="31" spans="1:21">
      <c r="A31" s="1845"/>
      <c r="B31" s="2610"/>
      <c r="C31" s="2191"/>
      <c r="D31" s="1972"/>
      <c r="E31" s="2595"/>
      <c r="F31" s="1849"/>
      <c r="G31" s="2592"/>
      <c r="H31" s="1861"/>
      <c r="I31" s="1862"/>
      <c r="K31" s="1821"/>
    </row>
    <row r="32" spans="1:21">
      <c r="A32" s="1852"/>
      <c r="B32" s="2610"/>
      <c r="C32" s="2612" t="s">
        <v>4906</v>
      </c>
      <c r="D32" s="2601" t="s">
        <v>5337</v>
      </c>
      <c r="E32" s="2626" t="s">
        <v>5336</v>
      </c>
      <c r="F32" s="1846"/>
      <c r="G32" s="2628">
        <f>(3089012.1+103800+1197000)*1000*5/10+13187900*5/10</f>
        <v>2201500000</v>
      </c>
      <c r="H32" s="1853"/>
      <c r="I32" s="1854"/>
      <c r="K32" s="1821"/>
    </row>
    <row r="33" spans="1:20">
      <c r="A33" s="1852"/>
      <c r="B33" s="2610"/>
      <c r="C33" s="2598"/>
      <c r="D33" s="2600"/>
      <c r="E33" s="2595"/>
      <c r="F33" s="1846"/>
      <c r="G33" s="2629"/>
      <c r="H33" s="1824"/>
      <c r="I33" s="1860"/>
      <c r="K33" s="1821"/>
    </row>
    <row r="34" spans="1:20">
      <c r="A34" s="1845"/>
      <c r="B34" s="2610"/>
      <c r="C34" s="2599" t="s">
        <v>5280</v>
      </c>
      <c r="D34" s="2600" t="s">
        <v>5338</v>
      </c>
      <c r="E34" s="2595"/>
      <c r="F34" s="1846"/>
      <c r="G34" s="2591"/>
      <c r="H34" s="1824"/>
      <c r="I34" s="1860"/>
      <c r="K34" s="1821"/>
    </row>
    <row r="35" spans="1:20">
      <c r="A35" s="1845"/>
      <c r="B35" s="2610"/>
      <c r="C35" s="2598"/>
      <c r="D35" s="2600"/>
      <c r="E35" s="2595"/>
      <c r="F35" s="1846"/>
      <c r="G35" s="2592"/>
      <c r="H35" s="1824"/>
      <c r="I35" s="1860"/>
      <c r="K35" s="1821"/>
    </row>
    <row r="36" spans="1:20">
      <c r="A36" s="1852"/>
      <c r="B36" s="2610"/>
      <c r="C36" s="2598" t="s">
        <v>5313</v>
      </c>
      <c r="D36" s="2600"/>
      <c r="E36" s="2595"/>
      <c r="F36" s="1846"/>
      <c r="G36" s="2591"/>
      <c r="H36" s="1824"/>
      <c r="I36" s="1860"/>
      <c r="K36" s="1821"/>
      <c r="L36" s="1821"/>
      <c r="M36" s="1821"/>
    </row>
    <row r="37" spans="1:20">
      <c r="A37" s="1852"/>
      <c r="B37" s="2610"/>
      <c r="C37" s="2598"/>
      <c r="D37" s="2600"/>
      <c r="E37" s="2595"/>
      <c r="F37" s="1999">
        <v>6172219286</v>
      </c>
      <c r="G37" s="2592"/>
      <c r="H37" s="2439">
        <f>IFERROR(ROUND(SUM(G32:G43)*F37/F38,0),0)</f>
        <v>3150597006</v>
      </c>
      <c r="I37" s="2442">
        <f>SUM(G32:G43)-H37</f>
        <v>5502994</v>
      </c>
      <c r="K37" s="1821"/>
      <c r="L37" s="2010">
        <v>0</v>
      </c>
      <c r="M37" s="2010">
        <v>0</v>
      </c>
      <c r="N37" s="1882">
        <f>F37-SUM(L37:M37)</f>
        <v>6172219286</v>
      </c>
    </row>
    <row r="38" spans="1:20">
      <c r="A38" s="1852"/>
      <c r="B38" s="2610"/>
      <c r="C38" s="2599" t="s">
        <v>4907</v>
      </c>
      <c r="D38" s="2600" t="s">
        <v>5340</v>
      </c>
      <c r="E38" s="2595"/>
      <c r="F38" s="1998">
        <v>6183000000</v>
      </c>
      <c r="G38" s="2593">
        <f>(1142500+149500)*1000*5.5/10</f>
        <v>710600000</v>
      </c>
      <c r="H38" s="2439"/>
      <c r="I38" s="2442"/>
      <c r="K38" s="1821"/>
      <c r="L38" s="1788">
        <f>+H37-SUM(J38:K38,M38:N38)</f>
        <v>0</v>
      </c>
      <c r="M38" s="1788">
        <f>IFERROR(ROUND(M37/F37*H37,0),0)</f>
        <v>0</v>
      </c>
      <c r="N38" s="1788">
        <f>IFERROR(ROUND(N37/F37*H37,0),0)</f>
        <v>3150597006</v>
      </c>
      <c r="P38" s="1788">
        <f>+ROUND(K38*P$5/(1+P$5),0)</f>
        <v>0</v>
      </c>
      <c r="Q38" s="1788">
        <f t="shared" ref="Q38:R38" si="4">+ROUND(L38*Q$5/(1+Q$5),0)</f>
        <v>0</v>
      </c>
      <c r="R38" s="1788">
        <f t="shared" si="4"/>
        <v>0</v>
      </c>
      <c r="S38" s="1788">
        <f t="shared" ref="S38" si="5">+ROUND(N38*S$5/(1+S$5),0)</f>
        <v>286417910</v>
      </c>
      <c r="T38" s="2054">
        <f>SUM(P38:S38)</f>
        <v>286417910</v>
      </c>
    </row>
    <row r="39" spans="1:20">
      <c r="A39" s="1852"/>
      <c r="B39" s="2610"/>
      <c r="C39" s="2598"/>
      <c r="D39" s="2600"/>
      <c r="E39" s="2595"/>
      <c r="F39" s="1848"/>
      <c r="G39" s="2593"/>
      <c r="H39" s="1824"/>
      <c r="I39" s="1860"/>
      <c r="K39" s="1821"/>
    </row>
    <row r="40" spans="1:20">
      <c r="A40" s="1852"/>
      <c r="B40" s="2610"/>
      <c r="C40" s="2599" t="s">
        <v>4998</v>
      </c>
      <c r="D40" s="2600" t="s">
        <v>5339</v>
      </c>
      <c r="E40" s="2595"/>
      <c r="F40" s="1848"/>
      <c r="G40" s="2593">
        <f>488000000*5/10</f>
        <v>244000000</v>
      </c>
      <c r="H40" s="1824"/>
      <c r="I40" s="1860"/>
      <c r="K40" s="1821"/>
    </row>
    <row r="41" spans="1:20">
      <c r="A41" s="1852"/>
      <c r="B41" s="2610"/>
      <c r="C41" s="2598"/>
      <c r="D41" s="2600"/>
      <c r="E41" s="2595"/>
      <c r="F41" s="1848"/>
      <c r="G41" s="2593"/>
      <c r="H41" s="1824"/>
      <c r="I41" s="1860"/>
      <c r="K41" s="1821"/>
    </row>
    <row r="42" spans="1:20">
      <c r="A42" s="1852"/>
      <c r="B42" s="2610"/>
      <c r="C42" s="2599" t="s">
        <v>4897</v>
      </c>
      <c r="D42" s="2590"/>
      <c r="E42" s="2595"/>
      <c r="F42" s="1848"/>
      <c r="G42" s="2591"/>
      <c r="H42" s="1824"/>
      <c r="I42" s="1860"/>
      <c r="K42" s="1821"/>
    </row>
    <row r="43" spans="1:20" ht="14.25" thickBot="1">
      <c r="A43" s="1855"/>
      <c r="B43" s="2611"/>
      <c r="C43" s="2615"/>
      <c r="D43" s="2625"/>
      <c r="E43" s="2627"/>
      <c r="F43" s="1856"/>
      <c r="G43" s="2624"/>
      <c r="H43" s="1863"/>
      <c r="I43" s="1864"/>
    </row>
    <row r="44" spans="1:20" ht="14.25">
      <c r="F44" s="1865"/>
    </row>
    <row r="45" spans="1:20" ht="14.25">
      <c r="F45" s="1865"/>
    </row>
    <row r="46" spans="1:20" ht="14.25">
      <c r="F46" s="1865"/>
    </row>
  </sheetData>
  <mergeCells count="73">
    <mergeCell ref="C22:C23"/>
    <mergeCell ref="G40:G41"/>
    <mergeCell ref="G42:G43"/>
    <mergeCell ref="D42:D43"/>
    <mergeCell ref="D40:D41"/>
    <mergeCell ref="G34:G35"/>
    <mergeCell ref="E32:E43"/>
    <mergeCell ref="G32:G33"/>
    <mergeCell ref="D38:D39"/>
    <mergeCell ref="D36:D37"/>
    <mergeCell ref="C38:C39"/>
    <mergeCell ref="G22:G23"/>
    <mergeCell ref="A1:I1"/>
    <mergeCell ref="A4:C5"/>
    <mergeCell ref="D4:D5"/>
    <mergeCell ref="E4:E5"/>
    <mergeCell ref="G4:G5"/>
    <mergeCell ref="H4:H5"/>
    <mergeCell ref="I4:I5"/>
    <mergeCell ref="E6:E7"/>
    <mergeCell ref="A6:C7"/>
    <mergeCell ref="B8:B43"/>
    <mergeCell ref="D26:D27"/>
    <mergeCell ref="D28:D29"/>
    <mergeCell ref="C28:C29"/>
    <mergeCell ref="D24:D25"/>
    <mergeCell ref="C20:C21"/>
    <mergeCell ref="C32:C33"/>
    <mergeCell ref="C36:C37"/>
    <mergeCell ref="D6:D7"/>
    <mergeCell ref="D14:D15"/>
    <mergeCell ref="C14:C15"/>
    <mergeCell ref="C40:C41"/>
    <mergeCell ref="C42:C43"/>
    <mergeCell ref="D8:D9"/>
    <mergeCell ref="I6:I7"/>
    <mergeCell ref="H6:H7"/>
    <mergeCell ref="G6:G7"/>
    <mergeCell ref="G10:G11"/>
    <mergeCell ref="I19:I20"/>
    <mergeCell ref="H19:H20"/>
    <mergeCell ref="C8:C9"/>
    <mergeCell ref="C12:C13"/>
    <mergeCell ref="C24:C25"/>
    <mergeCell ref="C34:C35"/>
    <mergeCell ref="D22:D23"/>
    <mergeCell ref="D32:D33"/>
    <mergeCell ref="D34:D35"/>
    <mergeCell ref="D20:D21"/>
    <mergeCell ref="D12:D13"/>
    <mergeCell ref="D16:D17"/>
    <mergeCell ref="C16:C17"/>
    <mergeCell ref="C30:C31"/>
    <mergeCell ref="C10:C11"/>
    <mergeCell ref="D10:D11"/>
    <mergeCell ref="C18:C19"/>
    <mergeCell ref="C26:C27"/>
    <mergeCell ref="I37:I38"/>
    <mergeCell ref="H37:H38"/>
    <mergeCell ref="D18:D19"/>
    <mergeCell ref="G24:G25"/>
    <mergeCell ref="G36:G37"/>
    <mergeCell ref="G38:G39"/>
    <mergeCell ref="G26:G27"/>
    <mergeCell ref="G28:G29"/>
    <mergeCell ref="G18:G19"/>
    <mergeCell ref="G20:G21"/>
    <mergeCell ref="E8:E31"/>
    <mergeCell ref="G8:G9"/>
    <mergeCell ref="G12:G13"/>
    <mergeCell ref="G14:G15"/>
    <mergeCell ref="G16:G17"/>
    <mergeCell ref="G30:G31"/>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w6_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FFFF"/>
    <pageSetUpPr fitToPage="1"/>
  </sheetPr>
  <dimension ref="A1:U46"/>
  <sheetViews>
    <sheetView view="pageBreakPreview" zoomScale="85" zoomScaleNormal="85" zoomScaleSheetLayoutView="85" workbookViewId="0">
      <pane xSplit="5" ySplit="5" topLeftCell="F6" activePane="bottomRight" state="frozen"/>
      <selection activeCell="S30" sqref="S30"/>
      <selection pane="topRight" activeCell="S30" sqref="S30"/>
      <selection pane="bottomLeft" activeCell="S30" sqref="S30"/>
      <selection pane="bottomRight" activeCell="G10" sqref="G10:G11"/>
    </sheetView>
  </sheetViews>
  <sheetFormatPr defaultColWidth="9" defaultRowHeight="13.5"/>
  <cols>
    <col min="1" max="1" width="1.625" style="1789" customWidth="1"/>
    <col min="2" max="2" width="4.625" style="1789" customWidth="1"/>
    <col min="3" max="3" width="19.625" style="1789" customWidth="1"/>
    <col min="4" max="5" width="23.625" style="1789" customWidth="1"/>
    <col min="6" max="6" width="13.125" style="1788" customWidth="1"/>
    <col min="7" max="9" width="12.625" style="1788" customWidth="1"/>
    <col min="10" max="13" width="6.5" style="1788" customWidth="1"/>
    <col min="14" max="14" width="12.625" style="1788" customWidth="1"/>
    <col min="15" max="15" width="9" style="1789"/>
    <col min="16" max="18" width="6.625" style="1789" customWidth="1"/>
    <col min="19" max="20" width="12.625" style="1789" customWidth="1"/>
    <col min="21" max="21" width="22.375" style="1789" bestFit="1" customWidth="1"/>
    <col min="22" max="23" width="14.875" style="1789" customWidth="1"/>
    <col min="24" max="16384" width="9" style="1789"/>
  </cols>
  <sheetData>
    <row r="1" spans="1:21" ht="17.25" customHeight="1">
      <c r="A1" s="2302" t="str">
        <f>+"令和"&amp;MID('総括表(不課税)'!A2,3,1)&amp;"年度決算　不課税収入区分表(汚水処理施設整備交付金)（特環）"</f>
        <v>令和５年度決算　不課税収入区分表(汚水処理施設整備交付金)（特環）</v>
      </c>
      <c r="B1" s="2302"/>
      <c r="C1" s="2302"/>
      <c r="D1" s="2302"/>
      <c r="E1" s="2302"/>
      <c r="F1" s="2302"/>
      <c r="G1" s="2302"/>
      <c r="H1" s="2302"/>
      <c r="I1" s="2302"/>
    </row>
    <row r="2" spans="1:21" ht="17.25" customHeight="1">
      <c r="A2" s="1744"/>
      <c r="B2" s="1744"/>
      <c r="C2" s="1744"/>
      <c r="D2" s="1744"/>
      <c r="E2" s="1744"/>
      <c r="F2" s="1815"/>
      <c r="G2" s="1815"/>
      <c r="H2" s="1815"/>
      <c r="I2" s="1815"/>
    </row>
    <row r="3" spans="1:21" ht="17.25" customHeight="1" thickBot="1">
      <c r="A3" s="1744"/>
      <c r="B3" s="1744"/>
      <c r="C3" s="1744"/>
      <c r="D3" s="1744"/>
      <c r="E3" s="1744"/>
      <c r="F3" s="1815"/>
      <c r="G3" s="1815"/>
      <c r="H3" s="1815"/>
      <c r="I3" s="1816" t="s">
        <v>4990</v>
      </c>
    </row>
    <row r="4" spans="1:21">
      <c r="A4" s="2616" t="s">
        <v>4947</v>
      </c>
      <c r="B4" s="2617"/>
      <c r="C4" s="2618"/>
      <c r="D4" s="2622" t="s">
        <v>4991</v>
      </c>
      <c r="E4" s="2617" t="s">
        <v>4992</v>
      </c>
      <c r="F4" s="1836" t="s">
        <v>4942</v>
      </c>
      <c r="G4" s="2421" t="s">
        <v>4993</v>
      </c>
      <c r="H4" s="2421" t="s">
        <v>4994</v>
      </c>
      <c r="I4" s="2415" t="s">
        <v>4995</v>
      </c>
      <c r="J4" s="1818" t="s">
        <v>5161</v>
      </c>
      <c r="K4" s="1819"/>
      <c r="L4" s="1819"/>
      <c r="M4" s="1819"/>
      <c r="P4" s="1789" t="s">
        <v>5265</v>
      </c>
    </row>
    <row r="5" spans="1:21">
      <c r="A5" s="2619"/>
      <c r="B5" s="2620"/>
      <c r="C5" s="2621"/>
      <c r="D5" s="2623"/>
      <c r="E5" s="2620"/>
      <c r="F5" s="1837" t="s">
        <v>4943</v>
      </c>
      <c r="G5" s="2422"/>
      <c r="H5" s="2422"/>
      <c r="I5" s="2416"/>
      <c r="J5" s="1968">
        <v>0.03</v>
      </c>
      <c r="K5" s="2065">
        <v>0.05</v>
      </c>
      <c r="L5" s="1829">
        <v>0.08</v>
      </c>
      <c r="M5" s="2059">
        <v>0.08</v>
      </c>
      <c r="N5" s="1840">
        <v>0.1</v>
      </c>
      <c r="P5" s="1829">
        <v>0.05</v>
      </c>
      <c r="Q5" s="1829">
        <v>0.08</v>
      </c>
      <c r="R5" s="2059">
        <v>0.08</v>
      </c>
      <c r="S5" s="1840">
        <v>0.1</v>
      </c>
      <c r="T5" s="2051" t="s">
        <v>5266</v>
      </c>
      <c r="U5" s="1789" t="s">
        <v>5267</v>
      </c>
    </row>
    <row r="6" spans="1:21">
      <c r="A6" s="2604" t="s">
        <v>5021</v>
      </c>
      <c r="B6" s="2605"/>
      <c r="C6" s="2606"/>
      <c r="D6" s="2613"/>
      <c r="E6" s="2602"/>
      <c r="F6" s="1843"/>
      <c r="G6" s="2445">
        <f>SUM(G8:G43)</f>
        <v>30500000</v>
      </c>
      <c r="H6" s="2445">
        <f>H19+H37</f>
        <v>30500000</v>
      </c>
      <c r="I6" s="2518">
        <f>I19+I37</f>
        <v>0</v>
      </c>
      <c r="J6" s="1788">
        <f t="shared" ref="J6:K6" si="0">+J20+J38</f>
        <v>0</v>
      </c>
      <c r="K6" s="1788">
        <f t="shared" si="0"/>
        <v>0</v>
      </c>
      <c r="L6" s="1788">
        <f>+L20+L38</f>
        <v>0</v>
      </c>
      <c r="M6" s="1788">
        <f>+M20+M38</f>
        <v>0</v>
      </c>
      <c r="N6" s="1788">
        <f t="shared" ref="N6" si="1">+N20+N38</f>
        <v>30500000</v>
      </c>
      <c r="P6" s="1788">
        <f t="shared" ref="P6" si="2">+P20+P38</f>
        <v>0</v>
      </c>
      <c r="Q6" s="1788">
        <f>+Q20+Q38</f>
        <v>0</v>
      </c>
      <c r="R6" s="1788">
        <f>+R20+R38</f>
        <v>0</v>
      </c>
      <c r="S6" s="1788">
        <f t="shared" ref="S6:T6" si="3">+S20+S38</f>
        <v>2772727</v>
      </c>
      <c r="T6" s="1788">
        <f t="shared" si="3"/>
        <v>2772727</v>
      </c>
      <c r="U6" s="2054">
        <f>+T6-'4条収入'!$AH$32</f>
        <v>0</v>
      </c>
    </row>
    <row r="7" spans="1:21">
      <c r="A7" s="2607"/>
      <c r="B7" s="2608"/>
      <c r="C7" s="2265"/>
      <c r="D7" s="2614"/>
      <c r="E7" s="2603"/>
      <c r="F7" s="1844"/>
      <c r="G7" s="2425"/>
      <c r="H7" s="2425"/>
      <c r="I7" s="2498"/>
    </row>
    <row r="8" spans="1:21" ht="13.5" customHeight="1">
      <c r="A8" s="1845"/>
      <c r="B8" s="2609" t="s">
        <v>5070</v>
      </c>
      <c r="C8" s="2598" t="s">
        <v>5038</v>
      </c>
      <c r="D8" s="2590" t="s">
        <v>5357</v>
      </c>
      <c r="E8" s="2594" t="s">
        <v>5327</v>
      </c>
      <c r="F8" s="1846"/>
      <c r="G8" s="2492">
        <f>659000+11941000</f>
        <v>12600000</v>
      </c>
      <c r="H8" s="1974"/>
      <c r="I8" s="1973"/>
    </row>
    <row r="9" spans="1:21">
      <c r="A9" s="1845"/>
      <c r="B9" s="2610"/>
      <c r="C9" s="2598"/>
      <c r="D9" s="2590"/>
      <c r="E9" s="2595"/>
      <c r="F9" s="1846"/>
      <c r="G9" s="2493"/>
      <c r="H9" s="1974"/>
      <c r="I9" s="1973"/>
    </row>
    <row r="10" spans="1:21">
      <c r="A10" s="1845"/>
      <c r="B10" s="2610"/>
      <c r="C10" s="2598" t="s">
        <v>5038</v>
      </c>
      <c r="D10" s="2590"/>
      <c r="E10" s="2595"/>
      <c r="F10" s="1846"/>
      <c r="G10" s="2591"/>
      <c r="H10" s="1974"/>
      <c r="I10" s="1973"/>
    </row>
    <row r="11" spans="1:21">
      <c r="A11" s="1845"/>
      <c r="B11" s="2610"/>
      <c r="C11" s="2598"/>
      <c r="D11" s="2590"/>
      <c r="E11" s="2595"/>
      <c r="F11" s="1846"/>
      <c r="G11" s="2592"/>
      <c r="H11" s="1974"/>
      <c r="I11" s="1973"/>
    </row>
    <row r="12" spans="1:21">
      <c r="A12" s="1845"/>
      <c r="B12" s="2610"/>
      <c r="C12" s="2598" t="s">
        <v>5039</v>
      </c>
      <c r="D12" s="2590"/>
      <c r="E12" s="2595"/>
      <c r="F12" s="1846"/>
      <c r="G12" s="2591"/>
      <c r="H12" s="1974"/>
      <c r="I12" s="1973"/>
    </row>
    <row r="13" spans="1:21">
      <c r="A13" s="1845"/>
      <c r="B13" s="2610"/>
      <c r="C13" s="2598"/>
      <c r="D13" s="2590"/>
      <c r="E13" s="2595"/>
      <c r="F13" s="1846"/>
      <c r="G13" s="2592"/>
      <c r="H13" s="1974"/>
      <c r="I13" s="1973"/>
    </row>
    <row r="14" spans="1:21">
      <c r="A14" s="1845"/>
      <c r="B14" s="2610"/>
      <c r="C14" s="2598" t="s">
        <v>5040</v>
      </c>
      <c r="D14" s="2590"/>
      <c r="E14" s="2595"/>
      <c r="F14" s="1846"/>
      <c r="G14" s="2591"/>
      <c r="H14" s="1974"/>
      <c r="I14" s="1973"/>
    </row>
    <row r="15" spans="1:21">
      <c r="A15" s="1845"/>
      <c r="B15" s="2610"/>
      <c r="C15" s="2598"/>
      <c r="D15" s="2590"/>
      <c r="E15" s="2595"/>
      <c r="F15" s="1846"/>
      <c r="G15" s="2592"/>
      <c r="H15" s="1974"/>
      <c r="I15" s="1973"/>
    </row>
    <row r="16" spans="1:21">
      <c r="A16" s="1845"/>
      <c r="B16" s="2610"/>
      <c r="C16" s="2598" t="s">
        <v>5065</v>
      </c>
      <c r="D16" s="2590"/>
      <c r="E16" s="2595"/>
      <c r="F16" s="1846"/>
      <c r="G16" s="2591"/>
      <c r="H16" s="1974"/>
      <c r="I16" s="1973"/>
    </row>
    <row r="17" spans="1:20">
      <c r="A17" s="1845"/>
      <c r="B17" s="2610"/>
      <c r="C17" s="2598"/>
      <c r="D17" s="2590"/>
      <c r="E17" s="2595"/>
      <c r="F17" s="1846"/>
      <c r="G17" s="2592"/>
      <c r="H17" s="1974"/>
      <c r="I17" s="1973"/>
    </row>
    <row r="18" spans="1:20">
      <c r="A18" s="1845"/>
      <c r="B18" s="2610"/>
      <c r="C18" s="2598" t="s">
        <v>5041</v>
      </c>
      <c r="D18" s="2590"/>
      <c r="E18" s="2595"/>
      <c r="F18" s="1846"/>
      <c r="G18" s="2591"/>
      <c r="H18" s="1974"/>
      <c r="I18" s="1973"/>
      <c r="K18" s="1821"/>
      <c r="L18" s="1821"/>
      <c r="M18" s="1821"/>
    </row>
    <row r="19" spans="1:20">
      <c r="A19" s="1845"/>
      <c r="B19" s="2610"/>
      <c r="C19" s="2598"/>
      <c r="D19" s="2590"/>
      <c r="E19" s="2595"/>
      <c r="F19" s="2003">
        <v>25200000</v>
      </c>
      <c r="G19" s="2592"/>
      <c r="H19" s="2439">
        <f>IFERROR(ROUND(SUM(G8:G21)*F19/F20,0),0)</f>
        <v>12600000</v>
      </c>
      <c r="I19" s="2442">
        <f>SUM(G8:G31)-H19</f>
        <v>0</v>
      </c>
      <c r="K19" s="1821"/>
      <c r="L19" s="2010">
        <v>0</v>
      </c>
      <c r="M19" s="2010">
        <v>0</v>
      </c>
      <c r="N19" s="1882">
        <f>F19-SUM(L19:M19)</f>
        <v>25200000</v>
      </c>
    </row>
    <row r="20" spans="1:20">
      <c r="A20" s="1845"/>
      <c r="B20" s="2610"/>
      <c r="C20" s="2598" t="s">
        <v>5072</v>
      </c>
      <c r="D20" s="2590"/>
      <c r="E20" s="2595"/>
      <c r="F20" s="2002">
        <v>25200000</v>
      </c>
      <c r="G20" s="2591"/>
      <c r="H20" s="2439"/>
      <c r="I20" s="2442"/>
      <c r="K20" s="1821"/>
      <c r="L20" s="1788">
        <f>+H19-SUM(J20:K20,M20:N20)</f>
        <v>0</v>
      </c>
      <c r="M20" s="1788">
        <f>IFERROR(ROUND(M19/F19*H19,0),0)</f>
        <v>0</v>
      </c>
      <c r="N20" s="1788">
        <f>IFERROR(ROUND(N19/F19*H19,0),0)</f>
        <v>12600000</v>
      </c>
      <c r="P20" s="1788">
        <f>+ROUND(K20*P$5/(1+P$5),0)</f>
        <v>0</v>
      </c>
      <c r="Q20" s="1788">
        <f>+ROUND(L20*Q$5/(1+Q$5),0)</f>
        <v>0</v>
      </c>
      <c r="R20" s="1788">
        <f>+ROUND(M20*R$5/(1+R$5),0)</f>
        <v>0</v>
      </c>
      <c r="S20" s="2010">
        <f>+ROUND(N20*S$5/(1+S$5),0)-1</f>
        <v>1145454</v>
      </c>
      <c r="T20" s="2054">
        <f>SUM(P20:S20)</f>
        <v>1145454</v>
      </c>
    </row>
    <row r="21" spans="1:20">
      <c r="A21" s="1845"/>
      <c r="B21" s="2610"/>
      <c r="C21" s="2598"/>
      <c r="D21" s="2590"/>
      <c r="E21" s="2595"/>
      <c r="F21" s="2000"/>
      <c r="G21" s="2592"/>
      <c r="H21" s="1974"/>
      <c r="I21" s="1973"/>
      <c r="K21" s="1821"/>
    </row>
    <row r="22" spans="1:20">
      <c r="A22" s="1845"/>
      <c r="B22" s="2610"/>
      <c r="C22" s="2598" t="s">
        <v>5072</v>
      </c>
      <c r="D22" s="2590"/>
      <c r="E22" s="2595"/>
      <c r="F22" s="2000"/>
      <c r="G22" s="2591"/>
      <c r="H22" s="1974"/>
      <c r="I22" s="1973"/>
      <c r="K22" s="1821"/>
    </row>
    <row r="23" spans="1:20">
      <c r="A23" s="1845"/>
      <c r="B23" s="2610"/>
      <c r="C23" s="2598"/>
      <c r="D23" s="2590"/>
      <c r="E23" s="2595"/>
      <c r="F23" s="2000"/>
      <c r="G23" s="2592"/>
      <c r="H23" s="1974"/>
      <c r="I23" s="1973"/>
      <c r="K23" s="1821"/>
    </row>
    <row r="24" spans="1:20">
      <c r="A24" s="1845"/>
      <c r="B24" s="2610"/>
      <c r="C24" s="2598" t="s">
        <v>5042</v>
      </c>
      <c r="D24" s="2590"/>
      <c r="E24" s="2595"/>
      <c r="F24" s="2000"/>
      <c r="G24" s="2591"/>
      <c r="H24" s="1974"/>
      <c r="I24" s="1973"/>
      <c r="K24" s="1821"/>
    </row>
    <row r="25" spans="1:20">
      <c r="A25" s="1845"/>
      <c r="B25" s="2610"/>
      <c r="C25" s="2598"/>
      <c r="D25" s="2590"/>
      <c r="E25" s="2595"/>
      <c r="F25" s="2000"/>
      <c r="G25" s="2592"/>
      <c r="H25" s="1974"/>
      <c r="I25" s="1973"/>
      <c r="K25" s="1821"/>
    </row>
    <row r="26" spans="1:20">
      <c r="A26" s="1845"/>
      <c r="B26" s="2610"/>
      <c r="C26" s="2598" t="s">
        <v>5043</v>
      </c>
      <c r="D26" s="2590"/>
      <c r="E26" s="2595"/>
      <c r="F26" s="2000"/>
      <c r="G26" s="2591"/>
      <c r="H26" s="1974"/>
      <c r="I26" s="1973"/>
      <c r="K26" s="1821"/>
    </row>
    <row r="27" spans="1:20">
      <c r="A27" s="1845"/>
      <c r="B27" s="2610"/>
      <c r="C27" s="2598"/>
      <c r="D27" s="2590"/>
      <c r="E27" s="2595"/>
      <c r="F27" s="2000"/>
      <c r="G27" s="2592"/>
      <c r="H27" s="1974"/>
      <c r="I27" s="1973"/>
      <c r="K27" s="1821"/>
    </row>
    <row r="28" spans="1:20">
      <c r="A28" s="1845"/>
      <c r="B28" s="2610"/>
      <c r="C28" s="2598" t="s">
        <v>5044</v>
      </c>
      <c r="D28" s="2590"/>
      <c r="E28" s="2595"/>
      <c r="F28" s="2000"/>
      <c r="G28" s="2591"/>
      <c r="H28" s="1974"/>
      <c r="I28" s="1973"/>
      <c r="K28" s="1821"/>
    </row>
    <row r="29" spans="1:20">
      <c r="A29" s="1845"/>
      <c r="B29" s="2610"/>
      <c r="C29" s="2598"/>
      <c r="D29" s="2590"/>
      <c r="E29" s="2595"/>
      <c r="F29" s="2000"/>
      <c r="G29" s="2592"/>
      <c r="H29" s="1974"/>
      <c r="I29" s="1973"/>
      <c r="K29" s="1821"/>
    </row>
    <row r="30" spans="1:20">
      <c r="A30" s="1845"/>
      <c r="B30" s="2610"/>
      <c r="C30" s="2598" t="s">
        <v>5045</v>
      </c>
      <c r="D30" s="2590"/>
      <c r="E30" s="2595"/>
      <c r="F30" s="2000"/>
      <c r="G30" s="2591"/>
      <c r="H30" s="1974"/>
      <c r="I30" s="1973"/>
      <c r="K30" s="1821"/>
    </row>
    <row r="31" spans="1:20">
      <c r="A31" s="1845"/>
      <c r="B31" s="2610"/>
      <c r="C31" s="2191"/>
      <c r="D31" s="2632"/>
      <c r="E31" s="2595"/>
      <c r="F31" s="2001"/>
      <c r="G31" s="2630"/>
      <c r="H31" s="1977"/>
      <c r="I31" s="1978"/>
      <c r="K31" s="1821"/>
    </row>
    <row r="32" spans="1:20" ht="13.5" customHeight="1">
      <c r="A32" s="1852"/>
      <c r="B32" s="2610"/>
      <c r="C32" s="2612" t="s">
        <v>5046</v>
      </c>
      <c r="D32" s="2590" t="s">
        <v>5329</v>
      </c>
      <c r="E32" s="2626" t="s">
        <v>5328</v>
      </c>
      <c r="F32" s="2004"/>
      <c r="G32" s="2492">
        <v>2500000</v>
      </c>
      <c r="H32" s="1974"/>
      <c r="I32" s="1973"/>
      <c r="K32" s="1821"/>
    </row>
    <row r="33" spans="1:20">
      <c r="A33" s="1852"/>
      <c r="B33" s="2610"/>
      <c r="C33" s="2598"/>
      <c r="D33" s="2590"/>
      <c r="E33" s="2595"/>
      <c r="F33" s="2005"/>
      <c r="G33" s="2493"/>
      <c r="H33" s="1974"/>
      <c r="I33" s="1973"/>
      <c r="K33" s="1821"/>
    </row>
    <row r="34" spans="1:20">
      <c r="A34" s="1845"/>
      <c r="B34" s="2610"/>
      <c r="C34" s="2598" t="s">
        <v>5065</v>
      </c>
      <c r="D34" s="2590"/>
      <c r="E34" s="2595"/>
      <c r="F34" s="2005"/>
      <c r="G34" s="2591"/>
      <c r="H34" s="1974"/>
      <c r="I34" s="1973"/>
      <c r="K34" s="1821"/>
    </row>
    <row r="35" spans="1:20">
      <c r="A35" s="1845"/>
      <c r="B35" s="2610"/>
      <c r="C35" s="2598"/>
      <c r="D35" s="2590"/>
      <c r="E35" s="2595"/>
      <c r="F35" s="2005"/>
      <c r="G35" s="2592"/>
      <c r="H35" s="1974"/>
      <c r="I35" s="1973"/>
      <c r="K35" s="1821"/>
    </row>
    <row r="36" spans="1:20">
      <c r="A36" s="1852"/>
      <c r="B36" s="2610"/>
      <c r="C36" s="2598" t="s">
        <v>5047</v>
      </c>
      <c r="D36" s="2590"/>
      <c r="E36" s="2595"/>
      <c r="F36" s="2005"/>
      <c r="G36" s="2631"/>
      <c r="H36" s="1974"/>
      <c r="I36" s="1973"/>
      <c r="K36" s="1821"/>
      <c r="L36" s="1821"/>
      <c r="M36" s="1821"/>
    </row>
    <row r="37" spans="1:20">
      <c r="A37" s="1852"/>
      <c r="B37" s="2610"/>
      <c r="C37" s="2598"/>
      <c r="D37" s="2590"/>
      <c r="E37" s="2595"/>
      <c r="F37" s="2007">
        <v>33015490</v>
      </c>
      <c r="G37" s="2631"/>
      <c r="H37" s="2439">
        <f>IFERROR(ROUND(SUM(G32:G39)*F37/F38,0),0)</f>
        <v>17900000</v>
      </c>
      <c r="I37" s="2442">
        <f>SUM(G32:G43)-H37</f>
        <v>0</v>
      </c>
      <c r="K37" s="1821"/>
      <c r="L37" s="2010">
        <v>0</v>
      </c>
      <c r="M37" s="2010">
        <v>0</v>
      </c>
      <c r="N37" s="1882">
        <f>F37-SUM(L37:M37)</f>
        <v>33015490</v>
      </c>
    </row>
    <row r="38" spans="1:20">
      <c r="A38" s="1852"/>
      <c r="B38" s="2610"/>
      <c r="C38" s="2599" t="s">
        <v>5048</v>
      </c>
      <c r="D38" s="2590" t="s">
        <v>5330</v>
      </c>
      <c r="E38" s="2595"/>
      <c r="F38" s="2006">
        <v>33015490</v>
      </c>
      <c r="G38" s="2492">
        <v>15400000</v>
      </c>
      <c r="H38" s="2439"/>
      <c r="I38" s="2442"/>
      <c r="K38" s="1821"/>
      <c r="L38" s="1788">
        <f>+H37-SUM(J38:K38,M38:N38)</f>
        <v>0</v>
      </c>
      <c r="M38" s="1788">
        <f>IFERROR(ROUND(M37/F37*H37,0),0)</f>
        <v>0</v>
      </c>
      <c r="N38" s="1788">
        <f>IFERROR(ROUND(N37/F37*H37,0),0)</f>
        <v>17900000</v>
      </c>
      <c r="P38" s="1788">
        <f>+ROUND(K38*P$5/(1+P$5),0)</f>
        <v>0</v>
      </c>
      <c r="Q38" s="1788">
        <f t="shared" ref="Q38:R38" si="4">+ROUND(L38*Q$5/(1+Q$5),0)</f>
        <v>0</v>
      </c>
      <c r="R38" s="1788">
        <f t="shared" si="4"/>
        <v>0</v>
      </c>
      <c r="S38" s="1788">
        <f>+ROUND(N38*S$5/(1+S$5),0)</f>
        <v>1627273</v>
      </c>
      <c r="T38" s="2054">
        <f>SUM(P38:S38)</f>
        <v>1627273</v>
      </c>
    </row>
    <row r="39" spans="1:20">
      <c r="A39" s="1852"/>
      <c r="B39" s="2610"/>
      <c r="C39" s="2598"/>
      <c r="D39" s="2590"/>
      <c r="E39" s="2595"/>
      <c r="F39" s="1867"/>
      <c r="G39" s="2493"/>
      <c r="H39" s="1974"/>
      <c r="I39" s="1973"/>
      <c r="K39" s="1821"/>
    </row>
    <row r="40" spans="1:20">
      <c r="A40" s="1852"/>
      <c r="B40" s="2610"/>
      <c r="C40" s="2599" t="s">
        <v>4998</v>
      </c>
      <c r="D40" s="2590"/>
      <c r="E40" s="2595"/>
      <c r="F40" s="1867"/>
      <c r="G40" s="2631"/>
      <c r="H40" s="1974"/>
      <c r="I40" s="1973"/>
      <c r="K40" s="1821"/>
    </row>
    <row r="41" spans="1:20">
      <c r="A41" s="1852"/>
      <c r="B41" s="2610"/>
      <c r="C41" s="2598"/>
      <c r="D41" s="2590"/>
      <c r="E41" s="2595"/>
      <c r="F41" s="1867"/>
      <c r="G41" s="2631"/>
      <c r="H41" s="1974"/>
      <c r="I41" s="1973"/>
      <c r="K41" s="1821"/>
    </row>
    <row r="42" spans="1:20">
      <c r="A42" s="1852"/>
      <c r="B42" s="2610"/>
      <c r="C42" s="2599" t="s">
        <v>5049</v>
      </c>
      <c r="D42" s="2590"/>
      <c r="E42" s="2595"/>
      <c r="F42" s="1867"/>
      <c r="G42" s="2591"/>
      <c r="H42" s="1974"/>
      <c r="I42" s="1973"/>
      <c r="K42" s="1821"/>
    </row>
    <row r="43" spans="1:20" ht="14.25" thickBot="1">
      <c r="A43" s="1855"/>
      <c r="B43" s="2611"/>
      <c r="C43" s="2615"/>
      <c r="D43" s="2625"/>
      <c r="E43" s="2627"/>
      <c r="F43" s="1869"/>
      <c r="G43" s="2624"/>
      <c r="H43" s="1975"/>
      <c r="I43" s="1976"/>
      <c r="K43" s="1821"/>
    </row>
    <row r="44" spans="1:20" ht="14.25">
      <c r="F44" s="1865"/>
    </row>
    <row r="45" spans="1:20" ht="14.25">
      <c r="F45" s="1865"/>
    </row>
    <row r="46" spans="1:20" ht="14.25">
      <c r="F46" s="1865"/>
    </row>
  </sheetData>
  <mergeCells count="74">
    <mergeCell ref="C30:C31"/>
    <mergeCell ref="G12:G13"/>
    <mergeCell ref="G28:G29"/>
    <mergeCell ref="C16:C17"/>
    <mergeCell ref="G22:G23"/>
    <mergeCell ref="G24:G25"/>
    <mergeCell ref="C18:C19"/>
    <mergeCell ref="D20:D21"/>
    <mergeCell ref="G16:G17"/>
    <mergeCell ref="E8:E31"/>
    <mergeCell ref="C14:C15"/>
    <mergeCell ref="C12:C13"/>
    <mergeCell ref="D30:D31"/>
    <mergeCell ref="D28:D29"/>
    <mergeCell ref="D22:D23"/>
    <mergeCell ref="D18:D19"/>
    <mergeCell ref="I19:I20"/>
    <mergeCell ref="H19:H20"/>
    <mergeCell ref="A1:I1"/>
    <mergeCell ref="A4:C5"/>
    <mergeCell ref="D4:D5"/>
    <mergeCell ref="E4:E5"/>
    <mergeCell ref="G4:G5"/>
    <mergeCell ref="E6:E7"/>
    <mergeCell ref="C10:C11"/>
    <mergeCell ref="A6:C7"/>
    <mergeCell ref="C8:C9"/>
    <mergeCell ref="H6:H7"/>
    <mergeCell ref="G6:G7"/>
    <mergeCell ref="G10:G11"/>
    <mergeCell ref="G8:G9"/>
    <mergeCell ref="G14:G15"/>
    <mergeCell ref="D16:D17"/>
    <mergeCell ref="D26:D27"/>
    <mergeCell ref="D10:D11"/>
    <mergeCell ref="D14:D15"/>
    <mergeCell ref="D12:D13"/>
    <mergeCell ref="D8:D9"/>
    <mergeCell ref="B8:B43"/>
    <mergeCell ref="H4:H5"/>
    <mergeCell ref="I4:I5"/>
    <mergeCell ref="C28:C29"/>
    <mergeCell ref="C26:C27"/>
    <mergeCell ref="C22:C23"/>
    <mergeCell ref="C24:C25"/>
    <mergeCell ref="G34:G35"/>
    <mergeCell ref="G40:G41"/>
    <mergeCell ref="D42:D43"/>
    <mergeCell ref="D40:D41"/>
    <mergeCell ref="I6:I7"/>
    <mergeCell ref="D6:D7"/>
    <mergeCell ref="C20:C21"/>
    <mergeCell ref="G18:G19"/>
    <mergeCell ref="G20:G21"/>
    <mergeCell ref="C32:C33"/>
    <mergeCell ref="C36:C37"/>
    <mergeCell ref="D36:D37"/>
    <mergeCell ref="G32:G33"/>
    <mergeCell ref="G36:G37"/>
    <mergeCell ref="E32:E43"/>
    <mergeCell ref="C38:C39"/>
    <mergeCell ref="D38:D39"/>
    <mergeCell ref="C40:C41"/>
    <mergeCell ref="C42:C43"/>
    <mergeCell ref="C34:C35"/>
    <mergeCell ref="D34:D35"/>
    <mergeCell ref="D24:D25"/>
    <mergeCell ref="D32:D33"/>
    <mergeCell ref="G26:G27"/>
    <mergeCell ref="I37:I38"/>
    <mergeCell ref="H37:H38"/>
    <mergeCell ref="G42:G43"/>
    <mergeCell ref="G38:G39"/>
    <mergeCell ref="G30:G31"/>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w6_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FFFF"/>
    <pageSetUpPr fitToPage="1"/>
  </sheetPr>
  <dimension ref="A1:U46"/>
  <sheetViews>
    <sheetView view="pageBreakPreview" zoomScale="60" zoomScaleNormal="80" workbookViewId="0">
      <pane xSplit="5" ySplit="5" topLeftCell="F6" activePane="bottomRight" state="frozen"/>
      <selection activeCell="S30" sqref="S30"/>
      <selection pane="topRight" activeCell="S30" sqref="S30"/>
      <selection pane="bottomLeft" activeCell="S30" sqref="S30"/>
      <selection pane="bottomRight" activeCell="S30" sqref="S30"/>
    </sheetView>
  </sheetViews>
  <sheetFormatPr defaultColWidth="9" defaultRowHeight="13.5"/>
  <cols>
    <col min="1" max="1" width="1.625" style="1730" customWidth="1"/>
    <col min="2" max="2" width="4.625" style="1730" customWidth="1"/>
    <col min="3" max="3" width="19.625" style="1730" customWidth="1"/>
    <col min="4" max="5" width="23.625" style="1730" customWidth="1"/>
    <col min="6" max="6" width="13.125" style="1788" customWidth="1"/>
    <col min="7" max="9" width="12.625" style="1788" customWidth="1"/>
    <col min="10" max="11" width="8.25" style="1788" customWidth="1"/>
    <col min="12" max="14" width="12.625" style="1788" customWidth="1"/>
    <col min="15" max="15" width="9" style="1730"/>
    <col min="16" max="16" width="11" style="1730" customWidth="1"/>
    <col min="17" max="18" width="4.5" style="1730" bestFit="1" customWidth="1"/>
    <col min="19" max="19" width="5.5" style="1730" bestFit="1" customWidth="1"/>
    <col min="20" max="20" width="4.25" style="1730" bestFit="1" customWidth="1"/>
    <col min="21" max="21" width="22.375" style="1730" bestFit="1" customWidth="1"/>
    <col min="22" max="23" width="14.875" style="1730" customWidth="1"/>
    <col min="24" max="16384" width="9" style="1730"/>
  </cols>
  <sheetData>
    <row r="1" spans="1:21" ht="17.25" customHeight="1">
      <c r="A1" s="2302" t="str">
        <f>+"令和"&amp;MID('総括表(不課税)'!A2,3,1)&amp;"年度決算　不課税収入区分表(汚水処理施設整備交付金)（農集）"</f>
        <v>令和５年度決算　不課税収入区分表(汚水処理施設整備交付金)（農集）</v>
      </c>
      <c r="B1" s="2302"/>
      <c r="C1" s="2302"/>
      <c r="D1" s="2302"/>
      <c r="E1" s="2302"/>
      <c r="F1" s="2302"/>
      <c r="G1" s="2302"/>
      <c r="H1" s="2302"/>
      <c r="I1" s="2302"/>
    </row>
    <row r="2" spans="1:21" ht="17.25" customHeight="1">
      <c r="A2" s="1744"/>
      <c r="B2" s="1744"/>
      <c r="C2" s="1744"/>
      <c r="D2" s="1744"/>
      <c r="E2" s="1744"/>
      <c r="F2" s="1815"/>
      <c r="G2" s="1815"/>
      <c r="H2" s="1815"/>
      <c r="I2" s="1815"/>
    </row>
    <row r="3" spans="1:21" ht="17.25" customHeight="1" thickBot="1">
      <c r="A3" s="1744"/>
      <c r="B3" s="1744"/>
      <c r="C3" s="1744"/>
      <c r="D3" s="1744"/>
      <c r="E3" s="1744"/>
      <c r="F3" s="1815"/>
      <c r="G3" s="1815"/>
      <c r="H3" s="1815"/>
      <c r="I3" s="1816" t="s">
        <v>4990</v>
      </c>
    </row>
    <row r="4" spans="1:21">
      <c r="A4" s="2616" t="s">
        <v>4947</v>
      </c>
      <c r="B4" s="2617"/>
      <c r="C4" s="2618"/>
      <c r="D4" s="2622" t="s">
        <v>4991</v>
      </c>
      <c r="E4" s="2617" t="s">
        <v>4992</v>
      </c>
      <c r="F4" s="1836" t="s">
        <v>4942</v>
      </c>
      <c r="G4" s="2421" t="s">
        <v>4993</v>
      </c>
      <c r="H4" s="2421" t="s">
        <v>4994</v>
      </c>
      <c r="I4" s="2415" t="s">
        <v>4995</v>
      </c>
      <c r="J4" s="1818" t="s">
        <v>5161</v>
      </c>
      <c r="K4" s="1819"/>
      <c r="L4" s="1819"/>
      <c r="M4" s="1819"/>
      <c r="P4" s="1789" t="s">
        <v>5265</v>
      </c>
      <c r="Q4" s="1789"/>
      <c r="R4" s="1789"/>
      <c r="S4" s="1789"/>
    </row>
    <row r="5" spans="1:21">
      <c r="A5" s="2619"/>
      <c r="B5" s="2620"/>
      <c r="C5" s="2621"/>
      <c r="D5" s="2623"/>
      <c r="E5" s="2620"/>
      <c r="F5" s="1837" t="s">
        <v>4943</v>
      </c>
      <c r="G5" s="2422"/>
      <c r="H5" s="2422"/>
      <c r="I5" s="2416"/>
      <c r="J5" s="1968">
        <v>0.03</v>
      </c>
      <c r="K5" s="2065">
        <v>0.05</v>
      </c>
      <c r="L5" s="1829">
        <v>0.08</v>
      </c>
      <c r="M5" s="2059">
        <v>0.08</v>
      </c>
      <c r="N5" s="1840">
        <v>0.1</v>
      </c>
      <c r="P5" s="1829">
        <v>0.05</v>
      </c>
      <c r="Q5" s="1829">
        <v>0.08</v>
      </c>
      <c r="R5" s="2059">
        <v>0.08</v>
      </c>
      <c r="S5" s="1840">
        <v>0.1</v>
      </c>
      <c r="T5" s="2053" t="s">
        <v>5266</v>
      </c>
      <c r="U5" s="1730" t="s">
        <v>5267</v>
      </c>
    </row>
    <row r="6" spans="1:21">
      <c r="A6" s="2604" t="s">
        <v>5021</v>
      </c>
      <c r="B6" s="2605"/>
      <c r="C6" s="2606"/>
      <c r="D6" s="2613"/>
      <c r="E6" s="2602"/>
      <c r="F6" s="1843"/>
      <c r="G6" s="2640">
        <f>SUM(G8:G43)</f>
        <v>0</v>
      </c>
      <c r="H6" s="2640">
        <f>H19+H37</f>
        <v>0</v>
      </c>
      <c r="I6" s="2638">
        <f>I19+I37</f>
        <v>0</v>
      </c>
      <c r="J6" s="1788">
        <f t="shared" ref="J6:K6" si="0">+J20+J38</f>
        <v>0</v>
      </c>
      <c r="K6" s="1788">
        <f t="shared" si="0"/>
        <v>0</v>
      </c>
      <c r="L6" s="1788">
        <f>+L20+L38</f>
        <v>0</v>
      </c>
      <c r="M6" s="1788">
        <f>+M20+M38</f>
        <v>0</v>
      </c>
      <c r="N6" s="1788">
        <f t="shared" ref="N6" si="1">+N20+N38</f>
        <v>0</v>
      </c>
      <c r="P6" s="1788">
        <f t="shared" ref="P6" si="2">+P20+P38</f>
        <v>0</v>
      </c>
      <c r="Q6" s="1788">
        <f>+Q20+Q38</f>
        <v>0</v>
      </c>
      <c r="R6" s="1788">
        <f>+R20+R38</f>
        <v>0</v>
      </c>
      <c r="S6" s="1788">
        <f t="shared" ref="S6:T6" si="3">+S20+S38</f>
        <v>0</v>
      </c>
      <c r="T6" s="1788">
        <f t="shared" si="3"/>
        <v>0</v>
      </c>
      <c r="U6" s="2055">
        <f>+T6-'4条収入'!$AH$33</f>
        <v>0</v>
      </c>
    </row>
    <row r="7" spans="1:21">
      <c r="A7" s="2607"/>
      <c r="B7" s="2608"/>
      <c r="C7" s="2265"/>
      <c r="D7" s="2614"/>
      <c r="E7" s="2603"/>
      <c r="F7" s="1844"/>
      <c r="G7" s="2641"/>
      <c r="H7" s="2641"/>
      <c r="I7" s="2639"/>
    </row>
    <row r="8" spans="1:21" ht="13.5" customHeight="1">
      <c r="A8" s="1845"/>
      <c r="B8" s="2609" t="s">
        <v>5071</v>
      </c>
      <c r="C8" s="2598" t="s">
        <v>5038</v>
      </c>
      <c r="D8" s="2600"/>
      <c r="E8" s="2594" t="s">
        <v>5331</v>
      </c>
      <c r="F8" s="1848"/>
      <c r="G8" s="2642"/>
      <c r="H8" s="1979"/>
      <c r="I8" s="1847"/>
    </row>
    <row r="9" spans="1:21">
      <c r="A9" s="1845"/>
      <c r="B9" s="2610"/>
      <c r="C9" s="2598"/>
      <c r="D9" s="2600"/>
      <c r="E9" s="2595"/>
      <c r="F9" s="1846"/>
      <c r="G9" s="2636"/>
      <c r="H9" s="1979"/>
      <c r="I9" s="1847"/>
    </row>
    <row r="10" spans="1:21">
      <c r="A10" s="1845"/>
      <c r="B10" s="2610"/>
      <c r="C10" s="2598" t="s">
        <v>5038</v>
      </c>
      <c r="D10" s="2600" t="s">
        <v>5281</v>
      </c>
      <c r="E10" s="2595"/>
      <c r="F10" s="1846"/>
      <c r="G10" s="2591"/>
      <c r="H10" s="1979"/>
      <c r="I10" s="1847"/>
    </row>
    <row r="11" spans="1:21">
      <c r="A11" s="1845"/>
      <c r="B11" s="2610"/>
      <c r="C11" s="2598"/>
      <c r="D11" s="2600"/>
      <c r="E11" s="2595"/>
      <c r="F11" s="1846"/>
      <c r="G11" s="2592"/>
      <c r="H11" s="1979"/>
      <c r="I11" s="1847"/>
    </row>
    <row r="12" spans="1:21">
      <c r="A12" s="1845"/>
      <c r="B12" s="2610"/>
      <c r="C12" s="2598" t="s">
        <v>5039</v>
      </c>
      <c r="D12" s="2590"/>
      <c r="E12" s="2595"/>
      <c r="F12" s="1846"/>
      <c r="G12" s="2591"/>
      <c r="H12" s="1979"/>
      <c r="I12" s="1847"/>
    </row>
    <row r="13" spans="1:21">
      <c r="A13" s="1845"/>
      <c r="B13" s="2610"/>
      <c r="C13" s="2598"/>
      <c r="D13" s="2590"/>
      <c r="E13" s="2595"/>
      <c r="F13" s="1846"/>
      <c r="G13" s="2592"/>
      <c r="H13" s="1979"/>
      <c r="I13" s="1847"/>
    </row>
    <row r="14" spans="1:21">
      <c r="A14" s="1845"/>
      <c r="B14" s="2610"/>
      <c r="C14" s="2598" t="s">
        <v>5040</v>
      </c>
      <c r="D14" s="2590"/>
      <c r="E14" s="2595"/>
      <c r="F14" s="1846"/>
      <c r="G14" s="2591"/>
      <c r="H14" s="1979"/>
      <c r="I14" s="1847"/>
    </row>
    <row r="15" spans="1:21">
      <c r="A15" s="1845"/>
      <c r="B15" s="2610"/>
      <c r="C15" s="2598"/>
      <c r="D15" s="2590"/>
      <c r="E15" s="2595"/>
      <c r="F15" s="1846"/>
      <c r="G15" s="2592"/>
      <c r="H15" s="1979"/>
      <c r="I15" s="1847"/>
    </row>
    <row r="16" spans="1:21">
      <c r="A16" s="1845"/>
      <c r="B16" s="2610"/>
      <c r="C16" s="2598" t="s">
        <v>5065</v>
      </c>
      <c r="D16" s="2590"/>
      <c r="E16" s="2595"/>
      <c r="F16" s="1846"/>
      <c r="G16" s="2591"/>
      <c r="H16" s="1979"/>
      <c r="I16" s="1847"/>
    </row>
    <row r="17" spans="1:20">
      <c r="A17" s="1845"/>
      <c r="B17" s="2610"/>
      <c r="C17" s="2598"/>
      <c r="D17" s="2590"/>
      <c r="E17" s="2595"/>
      <c r="F17" s="1846"/>
      <c r="G17" s="2592"/>
      <c r="H17" s="1979"/>
      <c r="I17" s="1847"/>
    </row>
    <row r="18" spans="1:20">
      <c r="A18" s="1845"/>
      <c r="B18" s="2610"/>
      <c r="C18" s="2598" t="s">
        <v>5041</v>
      </c>
      <c r="D18" s="2590"/>
      <c r="E18" s="2595"/>
      <c r="F18" s="1846"/>
      <c r="G18" s="2591"/>
      <c r="H18" s="1979"/>
      <c r="I18" s="1847"/>
      <c r="L18" s="1821"/>
      <c r="M18" s="1821"/>
    </row>
    <row r="19" spans="1:20">
      <c r="A19" s="1845"/>
      <c r="B19" s="2610"/>
      <c r="C19" s="2598"/>
      <c r="D19" s="2590"/>
      <c r="E19" s="2595"/>
      <c r="F19" s="2012"/>
      <c r="G19" s="2592"/>
      <c r="H19" s="2557">
        <f>IFERROR(ROUND(SUM(G8:G21)*F19/F20,0),0)</f>
        <v>0</v>
      </c>
      <c r="I19" s="2558">
        <f>SUM(G8:G31)-H19</f>
        <v>0</v>
      </c>
      <c r="L19" s="2010">
        <v>0</v>
      </c>
      <c r="M19" s="2010">
        <v>0</v>
      </c>
      <c r="N19" s="1882">
        <f>F19-SUM(L19:M19)</f>
        <v>0</v>
      </c>
    </row>
    <row r="20" spans="1:20">
      <c r="A20" s="1845"/>
      <c r="B20" s="2610"/>
      <c r="C20" s="2598" t="s">
        <v>5072</v>
      </c>
      <c r="D20" s="2590"/>
      <c r="E20" s="2595"/>
      <c r="F20" s="2013"/>
      <c r="G20" s="2633"/>
      <c r="H20" s="2557"/>
      <c r="I20" s="2558"/>
      <c r="L20" s="1790">
        <f>+H19-SUM(J20:K20,M20:N20)</f>
        <v>0</v>
      </c>
      <c r="M20" s="1790">
        <f>IFERROR(ROUND(M19/F19*H19,0),0)</f>
        <v>0</v>
      </c>
      <c r="N20" s="1790">
        <f>IFERROR(ROUND(N19/F19*H19,0),0)</f>
        <v>0</v>
      </c>
      <c r="P20" s="1788">
        <f>+ROUND(K20*P$5/(1+P$5),0)</f>
        <v>0</v>
      </c>
      <c r="Q20" s="1788">
        <f t="shared" ref="Q20:R20" si="4">+ROUND(L20*Q$5/(1+Q$5),0)</f>
        <v>0</v>
      </c>
      <c r="R20" s="1788">
        <f t="shared" si="4"/>
        <v>0</v>
      </c>
      <c r="S20" s="1788">
        <f>+ROUND(N20*S$5/(1+S$5),0)</f>
        <v>0</v>
      </c>
      <c r="T20" s="2054">
        <f>SUM(P20:S20)</f>
        <v>0</v>
      </c>
    </row>
    <row r="21" spans="1:20">
      <c r="A21" s="1845"/>
      <c r="B21" s="2610"/>
      <c r="C21" s="2598"/>
      <c r="D21" s="2590"/>
      <c r="E21" s="2595"/>
      <c r="F21" s="2008"/>
      <c r="G21" s="2634"/>
      <c r="H21" s="1979"/>
      <c r="I21" s="1847"/>
    </row>
    <row r="22" spans="1:20">
      <c r="A22" s="1845"/>
      <c r="B22" s="2610"/>
      <c r="C22" s="2598" t="s">
        <v>5072</v>
      </c>
      <c r="D22" s="2590"/>
      <c r="E22" s="2595"/>
      <c r="F22" s="2008"/>
      <c r="G22" s="2591"/>
      <c r="H22" s="1979"/>
      <c r="I22" s="1847"/>
    </row>
    <row r="23" spans="1:20">
      <c r="A23" s="1845"/>
      <c r="B23" s="2610"/>
      <c r="C23" s="2598"/>
      <c r="D23" s="2590"/>
      <c r="E23" s="2595"/>
      <c r="F23" s="2008"/>
      <c r="G23" s="2592"/>
      <c r="H23" s="1979"/>
      <c r="I23" s="1847"/>
    </row>
    <row r="24" spans="1:20">
      <c r="A24" s="1845"/>
      <c r="B24" s="2610"/>
      <c r="C24" s="2598" t="s">
        <v>5042</v>
      </c>
      <c r="D24" s="2590"/>
      <c r="E24" s="2595"/>
      <c r="F24" s="2008"/>
      <c r="G24" s="2591"/>
      <c r="H24" s="1979"/>
      <c r="I24" s="1847"/>
    </row>
    <row r="25" spans="1:20">
      <c r="A25" s="1845"/>
      <c r="B25" s="2610"/>
      <c r="C25" s="2598"/>
      <c r="D25" s="2590"/>
      <c r="E25" s="2595"/>
      <c r="F25" s="2008"/>
      <c r="G25" s="2592"/>
      <c r="H25" s="1979"/>
      <c r="I25" s="1847"/>
    </row>
    <row r="26" spans="1:20">
      <c r="A26" s="1845"/>
      <c r="B26" s="2610"/>
      <c r="C26" s="2598" t="s">
        <v>5043</v>
      </c>
      <c r="D26" s="2590"/>
      <c r="E26" s="2595"/>
      <c r="F26" s="2008"/>
      <c r="G26" s="2591"/>
      <c r="H26" s="1979"/>
      <c r="I26" s="1847"/>
    </row>
    <row r="27" spans="1:20">
      <c r="A27" s="1845"/>
      <c r="B27" s="2610"/>
      <c r="C27" s="2598"/>
      <c r="D27" s="2590"/>
      <c r="E27" s="2595"/>
      <c r="F27" s="2008"/>
      <c r="G27" s="2592"/>
      <c r="H27" s="1979"/>
      <c r="I27" s="1847"/>
    </row>
    <row r="28" spans="1:20">
      <c r="A28" s="1845"/>
      <c r="B28" s="2610"/>
      <c r="C28" s="2598" t="s">
        <v>5044</v>
      </c>
      <c r="D28" s="2590"/>
      <c r="E28" s="2595"/>
      <c r="F28" s="2008"/>
      <c r="G28" s="2591"/>
      <c r="H28" s="1979"/>
      <c r="I28" s="1847"/>
    </row>
    <row r="29" spans="1:20">
      <c r="A29" s="1845"/>
      <c r="B29" s="2610"/>
      <c r="C29" s="2598"/>
      <c r="D29" s="2590"/>
      <c r="E29" s="2595"/>
      <c r="F29" s="2008"/>
      <c r="G29" s="2592"/>
      <c r="H29" s="1979"/>
      <c r="I29" s="1847"/>
    </row>
    <row r="30" spans="1:20">
      <c r="A30" s="1845"/>
      <c r="B30" s="2610"/>
      <c r="C30" s="2598" t="s">
        <v>5045</v>
      </c>
      <c r="D30" s="2590"/>
      <c r="E30" s="2595"/>
      <c r="F30" s="2008"/>
      <c r="G30" s="2591"/>
      <c r="H30" s="1979"/>
      <c r="I30" s="1847"/>
    </row>
    <row r="31" spans="1:20">
      <c r="A31" s="1845"/>
      <c r="B31" s="2610"/>
      <c r="C31" s="2191"/>
      <c r="D31" s="2632"/>
      <c r="E31" s="2595"/>
      <c r="F31" s="2009"/>
      <c r="G31" s="2630"/>
      <c r="H31" s="1850"/>
      <c r="I31" s="1851"/>
    </row>
    <row r="32" spans="1:20" ht="13.5" customHeight="1">
      <c r="A32" s="1852"/>
      <c r="B32" s="2610"/>
      <c r="C32" s="2612" t="s">
        <v>5046</v>
      </c>
      <c r="D32" s="2637" t="s">
        <v>5314</v>
      </c>
      <c r="E32" s="2626" t="s">
        <v>5332</v>
      </c>
      <c r="F32" s="2011"/>
      <c r="G32" s="2635"/>
      <c r="H32" s="1979"/>
      <c r="I32" s="1847"/>
    </row>
    <row r="33" spans="1:20">
      <c r="A33" s="1852"/>
      <c r="B33" s="2610"/>
      <c r="C33" s="2598"/>
      <c r="D33" s="2600"/>
      <c r="E33" s="2595"/>
      <c r="F33" s="2011"/>
      <c r="G33" s="2636"/>
      <c r="H33" s="1979"/>
      <c r="I33" s="1847"/>
    </row>
    <row r="34" spans="1:20">
      <c r="A34" s="1845"/>
      <c r="B34" s="2610"/>
      <c r="C34" s="2598" t="s">
        <v>5315</v>
      </c>
      <c r="D34" s="2637"/>
      <c r="E34" s="2595"/>
      <c r="F34" s="2011"/>
      <c r="G34" s="2591"/>
      <c r="H34" s="1979"/>
      <c r="I34" s="1847"/>
    </row>
    <row r="35" spans="1:20">
      <c r="A35" s="1845"/>
      <c r="B35" s="2610"/>
      <c r="C35" s="2598"/>
      <c r="D35" s="2600"/>
      <c r="E35" s="2595"/>
      <c r="F35" s="2011"/>
      <c r="G35" s="2592"/>
      <c r="H35" s="1979"/>
      <c r="I35" s="1847"/>
    </row>
    <row r="36" spans="1:20">
      <c r="A36" s="1852"/>
      <c r="B36" s="2610"/>
      <c r="C36" s="2598" t="s">
        <v>5047</v>
      </c>
      <c r="D36" s="2590"/>
      <c r="E36" s="2595"/>
      <c r="F36" s="2011"/>
      <c r="G36" s="2631"/>
      <c r="H36" s="1979"/>
      <c r="I36" s="1847"/>
      <c r="L36" s="1821"/>
      <c r="M36" s="1821"/>
    </row>
    <row r="37" spans="1:20">
      <c r="A37" s="1852"/>
      <c r="B37" s="2610"/>
      <c r="C37" s="2598"/>
      <c r="D37" s="2590"/>
      <c r="E37" s="2595"/>
      <c r="F37" s="2014"/>
      <c r="G37" s="2631"/>
      <c r="H37" s="2557">
        <f>IFERROR(ROUND(SUM(G32:G39)*F37/F38,0),0)</f>
        <v>0</v>
      </c>
      <c r="I37" s="2558">
        <f>SUM(G32:G43)-H37</f>
        <v>0</v>
      </c>
      <c r="L37" s="2010">
        <v>0</v>
      </c>
      <c r="M37" s="2010">
        <v>0</v>
      </c>
      <c r="N37" s="1882">
        <f>F37-SUM(L37:M37)</f>
        <v>0</v>
      </c>
    </row>
    <row r="38" spans="1:20">
      <c r="A38" s="1852"/>
      <c r="B38" s="2610"/>
      <c r="C38" s="2599" t="s">
        <v>5073</v>
      </c>
      <c r="D38" s="2590"/>
      <c r="E38" s="2595"/>
      <c r="F38" s="2015"/>
      <c r="G38" s="2631"/>
      <c r="H38" s="2557"/>
      <c r="I38" s="2558"/>
      <c r="L38" s="1790">
        <f>+H37-SUM(J38:K38,M38:N38)</f>
        <v>0</v>
      </c>
      <c r="M38" s="1790">
        <f>IFERROR(ROUND(M37/F37*H37,0),0)</f>
        <v>0</v>
      </c>
      <c r="N38" s="1790">
        <f>IFERROR(ROUND(N37/F37*H37,0),0)</f>
        <v>0</v>
      </c>
      <c r="P38" s="1788">
        <f>+ROUND(K38*P$5/(1+P$5),0)</f>
        <v>0</v>
      </c>
      <c r="Q38" s="1788">
        <f t="shared" ref="Q38:R38" si="5">+ROUND(L38*Q$5/(1+Q$5),0)</f>
        <v>0</v>
      </c>
      <c r="R38" s="1788">
        <f t="shared" si="5"/>
        <v>0</v>
      </c>
      <c r="S38" s="1788">
        <f>+ROUND(N38*S$5/(1+S$5),0)</f>
        <v>0</v>
      </c>
      <c r="T38" s="2054">
        <f>SUM(P38:S38)</f>
        <v>0</v>
      </c>
    </row>
    <row r="39" spans="1:20">
      <c r="A39" s="1852"/>
      <c r="B39" s="2610"/>
      <c r="C39" s="2598"/>
      <c r="D39" s="2590"/>
      <c r="E39" s="2595"/>
      <c r="F39" s="1868"/>
      <c r="G39" s="2631"/>
      <c r="H39" s="1979"/>
      <c r="I39" s="1847"/>
    </row>
    <row r="40" spans="1:20">
      <c r="A40" s="1852"/>
      <c r="B40" s="2610"/>
      <c r="C40" s="2599" t="s">
        <v>5073</v>
      </c>
      <c r="D40" s="2637" t="s">
        <v>5308</v>
      </c>
      <c r="E40" s="2595"/>
      <c r="F40" s="1867"/>
      <c r="G40" s="2631"/>
      <c r="H40" s="1979"/>
      <c r="I40" s="1847"/>
    </row>
    <row r="41" spans="1:20">
      <c r="A41" s="1852"/>
      <c r="B41" s="2610"/>
      <c r="C41" s="2598"/>
      <c r="D41" s="2600"/>
      <c r="E41" s="2595"/>
      <c r="F41" s="1867"/>
      <c r="G41" s="2631"/>
      <c r="H41" s="1979"/>
      <c r="I41" s="1847"/>
    </row>
    <row r="42" spans="1:20">
      <c r="A42" s="1852"/>
      <c r="B42" s="2610"/>
      <c r="C42" s="2599" t="s">
        <v>5049</v>
      </c>
      <c r="D42" s="2590"/>
      <c r="E42" s="2595"/>
      <c r="F42" s="1867"/>
      <c r="G42" s="2591"/>
      <c r="H42" s="1979"/>
      <c r="I42" s="1847"/>
    </row>
    <row r="43" spans="1:20" ht="14.25" thickBot="1">
      <c r="A43" s="1855"/>
      <c r="B43" s="2611"/>
      <c r="C43" s="2615"/>
      <c r="D43" s="2625"/>
      <c r="E43" s="2627"/>
      <c r="F43" s="1869"/>
      <c r="G43" s="2624"/>
      <c r="H43" s="1857"/>
      <c r="I43" s="1858"/>
    </row>
    <row r="44" spans="1:20" ht="14.25">
      <c r="F44" s="1859"/>
    </row>
    <row r="45" spans="1:20" ht="14.25">
      <c r="F45" s="1859"/>
    </row>
    <row r="46" spans="1:20" ht="14.25">
      <c r="F46" s="1859"/>
    </row>
  </sheetData>
  <mergeCells count="74">
    <mergeCell ref="A6:C7"/>
    <mergeCell ref="C8:C9"/>
    <mergeCell ref="B8:B43"/>
    <mergeCell ref="H6:H7"/>
    <mergeCell ref="G6:G7"/>
    <mergeCell ref="G16:G17"/>
    <mergeCell ref="G30:G31"/>
    <mergeCell ref="G10:G11"/>
    <mergeCell ref="G26:G27"/>
    <mergeCell ref="G12:G13"/>
    <mergeCell ref="G28:G29"/>
    <mergeCell ref="G22:G23"/>
    <mergeCell ref="G24:G25"/>
    <mergeCell ref="G8:G9"/>
    <mergeCell ref="G14:G15"/>
    <mergeCell ref="C38:C39"/>
    <mergeCell ref="C40:C41"/>
    <mergeCell ref="C42:C43"/>
    <mergeCell ref="C14:C15"/>
    <mergeCell ref="C34:C35"/>
    <mergeCell ref="C16:C17"/>
    <mergeCell ref="C28:C29"/>
    <mergeCell ref="C26:C27"/>
    <mergeCell ref="C22:C23"/>
    <mergeCell ref="C18:C19"/>
    <mergeCell ref="C24:C25"/>
    <mergeCell ref="C20:C21"/>
    <mergeCell ref="C32:C33"/>
    <mergeCell ref="C36:C37"/>
    <mergeCell ref="D30:D31"/>
    <mergeCell ref="D34:D35"/>
    <mergeCell ref="C12:C13"/>
    <mergeCell ref="C30:C31"/>
    <mergeCell ref="A1:I1"/>
    <mergeCell ref="A4:C5"/>
    <mergeCell ref="D4:D5"/>
    <mergeCell ref="E4:E5"/>
    <mergeCell ref="G4:G5"/>
    <mergeCell ref="H4:H5"/>
    <mergeCell ref="I4:I5"/>
    <mergeCell ref="I6:I7"/>
    <mergeCell ref="D6:D7"/>
    <mergeCell ref="E8:E31"/>
    <mergeCell ref="E6:E7"/>
    <mergeCell ref="C10:C11"/>
    <mergeCell ref="E32:E43"/>
    <mergeCell ref="D38:D39"/>
    <mergeCell ref="G42:G43"/>
    <mergeCell ref="D42:D43"/>
    <mergeCell ref="D40:D41"/>
    <mergeCell ref="D36:D37"/>
    <mergeCell ref="D32:D33"/>
    <mergeCell ref="G40:G41"/>
    <mergeCell ref="I37:I38"/>
    <mergeCell ref="H37:H38"/>
    <mergeCell ref="I19:I20"/>
    <mergeCell ref="H19:H20"/>
    <mergeCell ref="G38:G39"/>
    <mergeCell ref="G18:G19"/>
    <mergeCell ref="G20:G21"/>
    <mergeCell ref="G34:G35"/>
    <mergeCell ref="G32:G33"/>
    <mergeCell ref="G36:G37"/>
    <mergeCell ref="D8:D9"/>
    <mergeCell ref="D20:D21"/>
    <mergeCell ref="D14:D15"/>
    <mergeCell ref="D28:D29"/>
    <mergeCell ref="D22:D23"/>
    <mergeCell ref="D26:D27"/>
    <mergeCell ref="D24:D25"/>
    <mergeCell ref="D12:D13"/>
    <mergeCell ref="D10:D11"/>
    <mergeCell ref="D18:D19"/>
    <mergeCell ref="D16:D17"/>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w6_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FFFF"/>
    <pageSetUpPr fitToPage="1"/>
  </sheetPr>
  <dimension ref="A1:U46"/>
  <sheetViews>
    <sheetView view="pageBreakPreview" zoomScale="85" zoomScaleNormal="85" zoomScaleSheetLayoutView="85" workbookViewId="0">
      <pane xSplit="5" ySplit="5" topLeftCell="F6" activePane="bottomRight" state="frozen"/>
      <selection activeCell="S30" sqref="S30"/>
      <selection pane="topRight" activeCell="S30" sqref="S30"/>
      <selection pane="bottomLeft" activeCell="S30" sqref="S30"/>
      <selection pane="bottomRight" activeCell="D8" sqref="D8:D9"/>
    </sheetView>
  </sheetViews>
  <sheetFormatPr defaultColWidth="9" defaultRowHeight="13.5"/>
  <cols>
    <col min="1" max="1" width="1.625" style="1730" customWidth="1"/>
    <col min="2" max="2" width="4.625" style="1730" customWidth="1"/>
    <col min="3" max="3" width="19.625" style="1730" customWidth="1"/>
    <col min="4" max="5" width="23.625" style="1730" customWidth="1"/>
    <col min="6" max="6" width="13.125" style="1788" customWidth="1"/>
    <col min="7" max="9" width="12.625" style="1788" customWidth="1"/>
    <col min="10" max="13" width="7.125" style="1788" customWidth="1"/>
    <col min="14" max="14" width="12.625" style="1788" customWidth="1"/>
    <col min="15" max="15" width="9.875" style="1730" bestFit="1" customWidth="1"/>
    <col min="16" max="18" width="7.125" style="1730" customWidth="1"/>
    <col min="19" max="20" width="12.625" style="1730" customWidth="1"/>
    <col min="21" max="21" width="20.25" style="1730" bestFit="1" customWidth="1"/>
    <col min="22" max="23" width="14.875" style="1730" customWidth="1"/>
    <col min="24" max="16384" width="9" style="1730"/>
  </cols>
  <sheetData>
    <row r="1" spans="1:21" ht="17.25" customHeight="1">
      <c r="A1" s="2302" t="str">
        <f>+"令和"&amp;MID('総括表(不課税)'!A2,3,1)&amp;"年度決算　不課税収入区分表(汚水処理施設整備交付金)（浄化槽）"</f>
        <v>令和５年度決算　不課税収入区分表(汚水処理施設整備交付金)（浄化槽）</v>
      </c>
      <c r="B1" s="2302"/>
      <c r="C1" s="2302"/>
      <c r="D1" s="2302"/>
      <c r="E1" s="2302"/>
      <c r="F1" s="2302"/>
      <c r="G1" s="2302"/>
      <c r="H1" s="2302"/>
      <c r="I1" s="2302"/>
    </row>
    <row r="2" spans="1:21" ht="17.25" customHeight="1">
      <c r="A2" s="1744"/>
      <c r="B2" s="1744"/>
      <c r="C2" s="1744"/>
      <c r="D2" s="1744"/>
      <c r="E2" s="1744"/>
      <c r="F2" s="1815"/>
      <c r="G2" s="1815"/>
      <c r="H2" s="1815"/>
      <c r="I2" s="1815"/>
    </row>
    <row r="3" spans="1:21" ht="17.25" customHeight="1" thickBot="1">
      <c r="A3" s="1744"/>
      <c r="B3" s="1744"/>
      <c r="C3" s="1744"/>
      <c r="D3" s="1744"/>
      <c r="E3" s="1744"/>
      <c r="F3" s="1815"/>
      <c r="G3" s="1815"/>
      <c r="H3" s="1815"/>
      <c r="I3" s="1816" t="s">
        <v>4990</v>
      </c>
    </row>
    <row r="4" spans="1:21">
      <c r="A4" s="2616" t="s">
        <v>4947</v>
      </c>
      <c r="B4" s="2617"/>
      <c r="C4" s="2618"/>
      <c r="D4" s="2622" t="s">
        <v>4991</v>
      </c>
      <c r="E4" s="2617" t="s">
        <v>4992</v>
      </c>
      <c r="F4" s="1836" t="s">
        <v>4942</v>
      </c>
      <c r="G4" s="2421" t="s">
        <v>4993</v>
      </c>
      <c r="H4" s="2421" t="s">
        <v>4994</v>
      </c>
      <c r="I4" s="2415" t="s">
        <v>4995</v>
      </c>
      <c r="J4" s="1818" t="s">
        <v>5161</v>
      </c>
      <c r="K4" s="1819"/>
      <c r="L4" s="1819"/>
      <c r="M4" s="1819"/>
      <c r="P4" s="1789" t="s">
        <v>5265</v>
      </c>
      <c r="Q4" s="1789"/>
      <c r="R4" s="1789"/>
      <c r="S4" s="1789"/>
    </row>
    <row r="5" spans="1:21">
      <c r="A5" s="2619"/>
      <c r="B5" s="2620"/>
      <c r="C5" s="2621"/>
      <c r="D5" s="2623"/>
      <c r="E5" s="2620"/>
      <c r="F5" s="1837" t="s">
        <v>4943</v>
      </c>
      <c r="G5" s="2422"/>
      <c r="H5" s="2422"/>
      <c r="I5" s="2416"/>
      <c r="J5" s="1968">
        <v>0.03</v>
      </c>
      <c r="K5" s="2065">
        <v>0.05</v>
      </c>
      <c r="L5" s="1829">
        <v>0.08</v>
      </c>
      <c r="M5" s="2059">
        <v>0.08</v>
      </c>
      <c r="N5" s="1840">
        <v>0.1</v>
      </c>
      <c r="P5" s="1829">
        <v>0.05</v>
      </c>
      <c r="Q5" s="1829">
        <v>0.08</v>
      </c>
      <c r="R5" s="2059">
        <v>0.08</v>
      </c>
      <c r="S5" s="1840">
        <v>0.1</v>
      </c>
      <c r="T5" s="2053" t="s">
        <v>5266</v>
      </c>
      <c r="U5" s="1730" t="s">
        <v>5267</v>
      </c>
    </row>
    <row r="6" spans="1:21">
      <c r="A6" s="2604" t="s">
        <v>5021</v>
      </c>
      <c r="B6" s="2605"/>
      <c r="C6" s="2606"/>
      <c r="D6" s="2613"/>
      <c r="E6" s="2602"/>
      <c r="F6" s="1843"/>
      <c r="G6" s="2640">
        <f>SUM(G8:G43)</f>
        <v>3488000</v>
      </c>
      <c r="H6" s="2640">
        <f>H19+H37</f>
        <v>3488000</v>
      </c>
      <c r="I6" s="2638">
        <f>I19+I37</f>
        <v>0</v>
      </c>
      <c r="J6" s="1788">
        <f t="shared" ref="J6:K6" si="0">+J20+J38</f>
        <v>0</v>
      </c>
      <c r="K6" s="1788">
        <f t="shared" si="0"/>
        <v>0</v>
      </c>
      <c r="L6" s="1788">
        <f>+L20+L38</f>
        <v>0</v>
      </c>
      <c r="M6" s="1788">
        <f>+M20+M38</f>
        <v>0</v>
      </c>
      <c r="N6" s="1788">
        <f t="shared" ref="N6" si="1">+N20+N38</f>
        <v>3488000</v>
      </c>
      <c r="P6" s="1788">
        <f t="shared" ref="P6" si="2">+P20+P38</f>
        <v>0</v>
      </c>
      <c r="Q6" s="1788">
        <f>+Q20+Q38</f>
        <v>0</v>
      </c>
      <c r="R6" s="1788">
        <f>+R20+R38</f>
        <v>0</v>
      </c>
      <c r="S6" s="1788">
        <f t="shared" ref="S6:T6" si="3">+S20+S38</f>
        <v>317091</v>
      </c>
      <c r="T6" s="1788">
        <f t="shared" si="3"/>
        <v>317091</v>
      </c>
      <c r="U6" s="2055">
        <f>+T6-'4条収入'!$AH$34</f>
        <v>0</v>
      </c>
    </row>
    <row r="7" spans="1:21">
      <c r="A7" s="2607"/>
      <c r="B7" s="2608"/>
      <c r="C7" s="2265"/>
      <c r="D7" s="2614"/>
      <c r="E7" s="2603"/>
      <c r="F7" s="1844"/>
      <c r="G7" s="2641"/>
      <c r="H7" s="2641"/>
      <c r="I7" s="2639"/>
    </row>
    <row r="8" spans="1:21" ht="13.5" customHeight="1">
      <c r="A8" s="1845"/>
      <c r="B8" s="2609" t="s">
        <v>5075</v>
      </c>
      <c r="C8" s="2598" t="s">
        <v>5074</v>
      </c>
      <c r="D8" s="2643" t="s">
        <v>5359</v>
      </c>
      <c r="E8" s="2594" t="s">
        <v>5333</v>
      </c>
      <c r="F8" s="1848"/>
      <c r="G8" s="2642">
        <v>3488000</v>
      </c>
      <c r="H8" s="1979"/>
      <c r="I8" s="1847"/>
      <c r="O8" s="1875"/>
      <c r="P8" s="1875"/>
    </row>
    <row r="9" spans="1:21">
      <c r="A9" s="1845"/>
      <c r="B9" s="2610"/>
      <c r="C9" s="2598"/>
      <c r="D9" s="2643"/>
      <c r="E9" s="2595"/>
      <c r="F9" s="1846"/>
      <c r="G9" s="2636"/>
      <c r="H9" s="1979"/>
      <c r="I9" s="1847"/>
    </row>
    <row r="10" spans="1:21">
      <c r="A10" s="1845"/>
      <c r="B10" s="2610"/>
      <c r="C10" s="2598"/>
      <c r="D10" s="2590"/>
      <c r="E10" s="2595"/>
      <c r="F10" s="1846"/>
      <c r="G10" s="2591"/>
      <c r="H10" s="1979"/>
      <c r="I10" s="1847"/>
    </row>
    <row r="11" spans="1:21">
      <c r="A11" s="1845"/>
      <c r="B11" s="2610"/>
      <c r="C11" s="2598"/>
      <c r="D11" s="2590"/>
      <c r="E11" s="2595"/>
      <c r="F11" s="1846"/>
      <c r="G11" s="2592"/>
      <c r="H11" s="1979"/>
      <c r="I11" s="1847"/>
    </row>
    <row r="12" spans="1:21">
      <c r="A12" s="1845"/>
      <c r="B12" s="2610"/>
      <c r="C12" s="2598"/>
      <c r="D12" s="2590"/>
      <c r="E12" s="2595"/>
      <c r="F12" s="1846"/>
      <c r="G12" s="2591"/>
      <c r="H12" s="1979"/>
      <c r="I12" s="1847"/>
    </row>
    <row r="13" spans="1:21">
      <c r="A13" s="1845"/>
      <c r="B13" s="2610"/>
      <c r="C13" s="2598"/>
      <c r="D13" s="2590"/>
      <c r="E13" s="2595"/>
      <c r="F13" s="1846"/>
      <c r="G13" s="2592"/>
      <c r="H13" s="1979"/>
      <c r="I13" s="1847"/>
    </row>
    <row r="14" spans="1:21">
      <c r="A14" s="1845"/>
      <c r="B14" s="2610"/>
      <c r="C14" s="2598"/>
      <c r="D14" s="2590"/>
      <c r="E14" s="2595"/>
      <c r="F14" s="1846"/>
      <c r="G14" s="2591"/>
      <c r="H14" s="1979"/>
      <c r="I14" s="1847"/>
    </row>
    <row r="15" spans="1:21">
      <c r="A15" s="1845"/>
      <c r="B15" s="2610"/>
      <c r="C15" s="2598"/>
      <c r="D15" s="2590"/>
      <c r="E15" s="2595"/>
      <c r="F15" s="1846"/>
      <c r="G15" s="2592"/>
      <c r="H15" s="1979"/>
      <c r="I15" s="1847"/>
    </row>
    <row r="16" spans="1:21">
      <c r="A16" s="1845"/>
      <c r="B16" s="2610"/>
      <c r="C16" s="2598"/>
      <c r="D16" s="2590"/>
      <c r="E16" s="2595"/>
      <c r="F16" s="1846"/>
      <c r="G16" s="2591"/>
      <c r="H16" s="1979"/>
      <c r="I16" s="1847"/>
    </row>
    <row r="17" spans="1:20">
      <c r="A17" s="1845"/>
      <c r="B17" s="2610"/>
      <c r="C17" s="2598"/>
      <c r="D17" s="2590"/>
      <c r="E17" s="2595"/>
      <c r="F17" s="1846"/>
      <c r="G17" s="2592"/>
      <c r="H17" s="1979"/>
      <c r="I17" s="1847"/>
    </row>
    <row r="18" spans="1:20">
      <c r="A18" s="1845"/>
      <c r="B18" s="2610"/>
      <c r="C18" s="2598"/>
      <c r="D18" s="2590"/>
      <c r="E18" s="2595"/>
      <c r="F18" s="1846"/>
      <c r="G18" s="2591"/>
      <c r="H18" s="1979"/>
      <c r="I18" s="1847"/>
    </row>
    <row r="19" spans="1:20">
      <c r="A19" s="1845"/>
      <c r="B19" s="2610"/>
      <c r="C19" s="2598"/>
      <c r="D19" s="2590"/>
      <c r="E19" s="2595"/>
      <c r="F19" s="1870">
        <v>12760200</v>
      </c>
      <c r="G19" s="2592"/>
      <c r="H19" s="2557">
        <f>IFERROR(ROUND(SUM(G8:G21)*F19/F20,0),0)</f>
        <v>3488000</v>
      </c>
      <c r="I19" s="2558">
        <f>SUM(G8:G31)-H19</f>
        <v>0</v>
      </c>
      <c r="L19" s="1874">
        <v>0</v>
      </c>
      <c r="M19" s="1874">
        <v>0</v>
      </c>
      <c r="N19" s="1866">
        <f>F19-SUM(L19:M19)</f>
        <v>12760200</v>
      </c>
    </row>
    <row r="20" spans="1:20">
      <c r="A20" s="1845"/>
      <c r="B20" s="2610"/>
      <c r="C20" s="2598"/>
      <c r="D20" s="2590"/>
      <c r="E20" s="2595"/>
      <c r="F20" s="1871">
        <v>12760200</v>
      </c>
      <c r="G20" s="2591"/>
      <c r="H20" s="2557"/>
      <c r="I20" s="2558"/>
      <c r="L20" s="1790">
        <f>+H19-SUM(J20:K20,M20:N20)</f>
        <v>0</v>
      </c>
      <c r="M20" s="1790">
        <f>IFERROR(ROUND(M19/F19*H19,0),0)</f>
        <v>0</v>
      </c>
      <c r="N20" s="1790">
        <f>IFERROR(ROUND(N19/F19*H19,0),0)</f>
        <v>3488000</v>
      </c>
      <c r="P20" s="1788">
        <f>+ROUND(K20*P$5/(1+P$5),0)</f>
        <v>0</v>
      </c>
      <c r="Q20" s="1788">
        <f t="shared" ref="Q20" si="4">+ROUND(L20*Q$5/(1+Q$5),0)</f>
        <v>0</v>
      </c>
      <c r="R20" s="1788">
        <f>+ROUND(M20*R$5/(1+R$5),0)</f>
        <v>0</v>
      </c>
      <c r="S20" s="1788">
        <f>+ROUND(N20*S$5/(1+S$5),0)</f>
        <v>317091</v>
      </c>
      <c r="T20" s="2054">
        <f>SUM(P20:S20)</f>
        <v>317091</v>
      </c>
    </row>
    <row r="21" spans="1:20">
      <c r="A21" s="1845"/>
      <c r="B21" s="2610"/>
      <c r="C21" s="2598"/>
      <c r="D21" s="2590"/>
      <c r="E21" s="2595"/>
      <c r="F21" s="1848"/>
      <c r="G21" s="2592"/>
      <c r="H21" s="1979"/>
      <c r="I21" s="1847"/>
    </row>
    <row r="22" spans="1:20">
      <c r="A22" s="1845"/>
      <c r="B22" s="2610"/>
      <c r="C22" s="2598"/>
      <c r="D22" s="2590"/>
      <c r="E22" s="2595"/>
      <c r="F22" s="1848"/>
      <c r="G22" s="2591"/>
      <c r="H22" s="1979"/>
      <c r="I22" s="1847"/>
    </row>
    <row r="23" spans="1:20">
      <c r="A23" s="1845"/>
      <c r="B23" s="2610"/>
      <c r="C23" s="2598"/>
      <c r="D23" s="2590"/>
      <c r="E23" s="2595"/>
      <c r="F23" s="1848"/>
      <c r="G23" s="2592"/>
      <c r="H23" s="1979"/>
      <c r="I23" s="1847"/>
    </row>
    <row r="24" spans="1:20">
      <c r="A24" s="1845"/>
      <c r="B24" s="2610"/>
      <c r="C24" s="2598"/>
      <c r="D24" s="2590"/>
      <c r="E24" s="2595"/>
      <c r="F24" s="1848"/>
      <c r="G24" s="2591"/>
      <c r="H24" s="1979"/>
      <c r="I24" s="1847"/>
    </row>
    <row r="25" spans="1:20">
      <c r="A25" s="1845"/>
      <c r="B25" s="2610"/>
      <c r="C25" s="2598"/>
      <c r="D25" s="2590"/>
      <c r="E25" s="2595"/>
      <c r="F25" s="1848"/>
      <c r="G25" s="2592"/>
      <c r="H25" s="1979"/>
      <c r="I25" s="1847"/>
    </row>
    <row r="26" spans="1:20">
      <c r="A26" s="1845"/>
      <c r="B26" s="2610"/>
      <c r="C26" s="2598"/>
      <c r="D26" s="2590"/>
      <c r="E26" s="2595"/>
      <c r="F26" s="1848"/>
      <c r="G26" s="2591"/>
      <c r="H26" s="1979"/>
      <c r="I26" s="1847"/>
    </row>
    <row r="27" spans="1:20">
      <c r="A27" s="1845"/>
      <c r="B27" s="2610"/>
      <c r="C27" s="2598"/>
      <c r="D27" s="2590"/>
      <c r="E27" s="2595"/>
      <c r="F27" s="1848"/>
      <c r="G27" s="2592"/>
      <c r="H27" s="1979"/>
      <c r="I27" s="1847"/>
    </row>
    <row r="28" spans="1:20">
      <c r="A28" s="1845"/>
      <c r="B28" s="2610"/>
      <c r="C28" s="2598"/>
      <c r="D28" s="2590"/>
      <c r="E28" s="2595"/>
      <c r="F28" s="1848"/>
      <c r="G28" s="2591"/>
      <c r="H28" s="1979"/>
      <c r="I28" s="1847"/>
    </row>
    <row r="29" spans="1:20">
      <c r="A29" s="1845"/>
      <c r="B29" s="2610"/>
      <c r="C29" s="2598"/>
      <c r="D29" s="2590"/>
      <c r="E29" s="2595"/>
      <c r="F29" s="1848"/>
      <c r="G29" s="2592"/>
      <c r="H29" s="1979"/>
      <c r="I29" s="1847"/>
    </row>
    <row r="30" spans="1:20">
      <c r="A30" s="1845"/>
      <c r="B30" s="2610"/>
      <c r="C30" s="2598"/>
      <c r="D30" s="2016"/>
      <c r="E30" s="2595"/>
      <c r="F30" s="1848"/>
      <c r="G30" s="2591"/>
      <c r="H30" s="1979"/>
      <c r="I30" s="1847"/>
    </row>
    <row r="31" spans="1:20">
      <c r="A31" s="1845"/>
      <c r="B31" s="2610"/>
      <c r="C31" s="2191"/>
      <c r="D31" s="2017"/>
      <c r="E31" s="2595"/>
      <c r="F31" s="1849"/>
      <c r="G31" s="2630"/>
      <c r="H31" s="1850"/>
      <c r="I31" s="1851"/>
    </row>
    <row r="32" spans="1:20" ht="13.5" customHeight="1">
      <c r="A32" s="1852"/>
      <c r="B32" s="2610"/>
      <c r="C32" s="2612" t="s">
        <v>5074</v>
      </c>
      <c r="D32" s="2601" t="s">
        <v>5335</v>
      </c>
      <c r="E32" s="2626" t="s">
        <v>5334</v>
      </c>
      <c r="F32" s="1868"/>
      <c r="G32" s="2635">
        <v>0</v>
      </c>
      <c r="H32" s="1979"/>
      <c r="I32" s="1847"/>
    </row>
    <row r="33" spans="1:20">
      <c r="A33" s="1852"/>
      <c r="B33" s="2610"/>
      <c r="C33" s="2598"/>
      <c r="D33" s="2600"/>
      <c r="E33" s="2595"/>
      <c r="F33" s="1868"/>
      <c r="G33" s="2636"/>
      <c r="H33" s="1979"/>
      <c r="I33" s="1847"/>
    </row>
    <row r="34" spans="1:20">
      <c r="A34" s="1845"/>
      <c r="B34" s="2610"/>
      <c r="C34" s="2598"/>
      <c r="D34" s="2136"/>
      <c r="E34" s="2595"/>
      <c r="F34" s="1868"/>
      <c r="G34" s="2591"/>
      <c r="H34" s="1979"/>
      <c r="I34" s="1847"/>
    </row>
    <row r="35" spans="1:20">
      <c r="A35" s="1845"/>
      <c r="B35" s="2610"/>
      <c r="C35" s="2598"/>
      <c r="D35" s="2590"/>
      <c r="E35" s="2595"/>
      <c r="F35" s="1868"/>
      <c r="G35" s="2592"/>
      <c r="H35" s="1979"/>
      <c r="I35" s="1847"/>
    </row>
    <row r="36" spans="1:20">
      <c r="A36" s="1852"/>
      <c r="B36" s="2610"/>
      <c r="C36" s="2598"/>
      <c r="D36" s="2590"/>
      <c r="E36" s="2595"/>
      <c r="F36" s="1868"/>
      <c r="G36" s="2631"/>
      <c r="H36" s="1979"/>
      <c r="I36" s="1847"/>
      <c r="L36" s="1821"/>
      <c r="M36" s="1821"/>
    </row>
    <row r="37" spans="1:20">
      <c r="A37" s="1852"/>
      <c r="B37" s="2610"/>
      <c r="C37" s="2598"/>
      <c r="D37" s="2590"/>
      <c r="E37" s="2595"/>
      <c r="F37" s="1872">
        <v>0</v>
      </c>
      <c r="G37" s="2631"/>
      <c r="H37" s="2557">
        <f>IFERROR(ROUND(SUM(G32:G39)*F37/F38,0),0)</f>
        <v>0</v>
      </c>
      <c r="I37" s="2558">
        <f>SUM(G32:G43)-H37</f>
        <v>0</v>
      </c>
      <c r="L37" s="1874">
        <f>+F37-SUM(J37:K37,M37:N37)</f>
        <v>0</v>
      </c>
      <c r="M37" s="1874"/>
      <c r="N37" s="1866"/>
    </row>
    <row r="38" spans="1:20">
      <c r="A38" s="1852"/>
      <c r="B38" s="2610"/>
      <c r="C38" s="2599"/>
      <c r="D38" s="2590"/>
      <c r="E38" s="2595"/>
      <c r="F38" s="1873">
        <v>0</v>
      </c>
      <c r="G38" s="2631"/>
      <c r="H38" s="2557"/>
      <c r="I38" s="2558"/>
      <c r="L38" s="1790">
        <f>+H37-SUM(J38:K38,M38:N38)</f>
        <v>0</v>
      </c>
      <c r="M38" s="1790">
        <f>IFERROR(ROUND(M37/F37*H37,0),0)</f>
        <v>0</v>
      </c>
      <c r="N38" s="1790">
        <f>IFERROR(ROUND(N37/F37*H37,0),0)</f>
        <v>0</v>
      </c>
      <c r="P38" s="1788">
        <f>+ROUND(K38*P$5/(1+P$5),0)</f>
        <v>0</v>
      </c>
      <c r="Q38" s="1788">
        <f t="shared" ref="Q38:R38" si="5">+ROUND(L38*Q$5/(1+Q$5),0)</f>
        <v>0</v>
      </c>
      <c r="R38" s="1788">
        <f t="shared" si="5"/>
        <v>0</v>
      </c>
      <c r="S38" s="1788">
        <f>+ROUND(N38*S$5/(1+S$5),0)</f>
        <v>0</v>
      </c>
      <c r="T38" s="2054">
        <f>SUM(P38:S38)</f>
        <v>0</v>
      </c>
    </row>
    <row r="39" spans="1:20">
      <c r="A39" s="1852"/>
      <c r="B39" s="2610"/>
      <c r="C39" s="2598"/>
      <c r="D39" s="2590"/>
      <c r="E39" s="2595"/>
      <c r="F39" s="1868"/>
      <c r="G39" s="2631"/>
      <c r="H39" s="1979"/>
      <c r="I39" s="1847"/>
    </row>
    <row r="40" spans="1:20">
      <c r="A40" s="1852"/>
      <c r="B40" s="2610"/>
      <c r="C40" s="2599"/>
      <c r="D40" s="2590"/>
      <c r="E40" s="2595"/>
      <c r="F40" s="1867"/>
      <c r="G40" s="2631"/>
      <c r="H40" s="1979"/>
      <c r="I40" s="1847"/>
    </row>
    <row r="41" spans="1:20">
      <c r="A41" s="1852"/>
      <c r="B41" s="2610"/>
      <c r="C41" s="2598"/>
      <c r="D41" s="2590"/>
      <c r="E41" s="2595"/>
      <c r="F41" s="1867"/>
      <c r="G41" s="2631"/>
      <c r="H41" s="1979"/>
      <c r="I41" s="1847"/>
    </row>
    <row r="42" spans="1:20">
      <c r="A42" s="1852"/>
      <c r="B42" s="2610"/>
      <c r="C42" s="2599"/>
      <c r="D42" s="2590"/>
      <c r="E42" s="2595"/>
      <c r="F42" s="1867"/>
      <c r="G42" s="2591"/>
      <c r="H42" s="1979"/>
      <c r="I42" s="1847"/>
    </row>
    <row r="43" spans="1:20" ht="14.25" thickBot="1">
      <c r="A43" s="1855"/>
      <c r="B43" s="2611"/>
      <c r="C43" s="2615"/>
      <c r="D43" s="2625"/>
      <c r="E43" s="2627"/>
      <c r="F43" s="1869"/>
      <c r="G43" s="2624"/>
      <c r="H43" s="1857"/>
      <c r="I43" s="1858"/>
    </row>
    <row r="44" spans="1:20" ht="14.25">
      <c r="F44" s="1859"/>
    </row>
    <row r="45" spans="1:20" ht="14.25">
      <c r="F45" s="1859"/>
    </row>
    <row r="46" spans="1:20" ht="14.25">
      <c r="F46" s="1859"/>
    </row>
  </sheetData>
  <mergeCells count="73">
    <mergeCell ref="A1:I1"/>
    <mergeCell ref="A4:C5"/>
    <mergeCell ref="D4:D5"/>
    <mergeCell ref="E4:E5"/>
    <mergeCell ref="G4:G5"/>
    <mergeCell ref="H4:H5"/>
    <mergeCell ref="I4:I5"/>
    <mergeCell ref="D6:D7"/>
    <mergeCell ref="C42:C43"/>
    <mergeCell ref="G42:G43"/>
    <mergeCell ref="E32:E43"/>
    <mergeCell ref="C38:C39"/>
    <mergeCell ref="G38:G39"/>
    <mergeCell ref="C40:C41"/>
    <mergeCell ref="G36:G37"/>
    <mergeCell ref="G34:G35"/>
    <mergeCell ref="C30:C31"/>
    <mergeCell ref="G28:G29"/>
    <mergeCell ref="E8:E31"/>
    <mergeCell ref="G6:G7"/>
    <mergeCell ref="C10:C11"/>
    <mergeCell ref="C16:C17"/>
    <mergeCell ref="G26:G27"/>
    <mergeCell ref="D42:D43"/>
    <mergeCell ref="D40:D41"/>
    <mergeCell ref="C36:C37"/>
    <mergeCell ref="D36:D37"/>
    <mergeCell ref="D38:D39"/>
    <mergeCell ref="D34:D35"/>
    <mergeCell ref="C14:C15"/>
    <mergeCell ref="C32:C33"/>
    <mergeCell ref="C22:C23"/>
    <mergeCell ref="C24:C25"/>
    <mergeCell ref="C20:C21"/>
    <mergeCell ref="C18:C19"/>
    <mergeCell ref="C26:C27"/>
    <mergeCell ref="A6:C7"/>
    <mergeCell ref="C8:C9"/>
    <mergeCell ref="C12:C13"/>
    <mergeCell ref="B8:B43"/>
    <mergeCell ref="C28:C29"/>
    <mergeCell ref="C34:C35"/>
    <mergeCell ref="G40:G41"/>
    <mergeCell ref="H37:H38"/>
    <mergeCell ref="I37:I38"/>
    <mergeCell ref="H19:H20"/>
    <mergeCell ref="I19:I20"/>
    <mergeCell ref="G32:G33"/>
    <mergeCell ref="G18:G19"/>
    <mergeCell ref="G20:G21"/>
    <mergeCell ref="G22:G23"/>
    <mergeCell ref="G24:G25"/>
    <mergeCell ref="E6:E7"/>
    <mergeCell ref="I6:I7"/>
    <mergeCell ref="H6:H7"/>
    <mergeCell ref="G8:G9"/>
    <mergeCell ref="G30:G31"/>
    <mergeCell ref="G12:G13"/>
    <mergeCell ref="G14:G15"/>
    <mergeCell ref="G16:G17"/>
    <mergeCell ref="G10:G11"/>
    <mergeCell ref="D8:D9"/>
    <mergeCell ref="D12:D13"/>
    <mergeCell ref="D28:D29"/>
    <mergeCell ref="D22:D23"/>
    <mergeCell ref="D32:D33"/>
    <mergeCell ref="D10:D11"/>
    <mergeCell ref="D18:D19"/>
    <mergeCell ref="D16:D17"/>
    <mergeCell ref="D26:D27"/>
    <mergeCell ref="D14:D15"/>
    <mergeCell ref="D20:D21"/>
    <mergeCell ref="D24:D25"/>
  </mergeCells>
  <phoneticPr fontId="2"/>
  <printOptions horizontalCentered="1"/>
  <pageMargins left="0.59055118110236227" right="0.39370078740157483" top="0.98425196850393704" bottom="0.98425196850393704" header="0.51181102362204722" footer="0.51181102362204722"/>
  <pageSetup paperSize="9" scale="57" fitToHeight="0" orientation="landscape" r:id="rId1"/>
  <headerFooter alignWithMargins="0">
    <oddFooter>&amp;L&amp;6&amp;F &amp;A&amp;R&amp;6&amp;D &amp;T</oddFooter>
  </headerFooter>
  <drawing r:id="rId2"/>
  <legacyDrawing r:id="rId3"/>
</worksheet>
</file>

<file path=xl/worksheets/w6_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FFFF"/>
    <pageSetUpPr fitToPage="1"/>
  </sheetPr>
  <dimension ref="A1:U18"/>
  <sheetViews>
    <sheetView view="pageBreakPreview" zoomScale="60" zoomScaleNormal="85" workbookViewId="0">
      <pane xSplit="3" ySplit="5" topLeftCell="E6" activePane="bottomRight" state="frozen"/>
      <selection activeCell="S7" sqref="S7"/>
      <selection pane="topRight" activeCell="S7" sqref="S7"/>
      <selection pane="bottomLeft" activeCell="S7" sqref="S7"/>
      <selection pane="bottomRight" activeCell="Z22" sqref="Z22"/>
    </sheetView>
  </sheetViews>
  <sheetFormatPr defaultColWidth="9" defaultRowHeight="13.5"/>
  <cols>
    <col min="1" max="1" width="2.625" style="1783" customWidth="1"/>
    <col min="2" max="2" width="4.625" style="1783" customWidth="1"/>
    <col min="3" max="3" width="19.625" style="1783" customWidth="1"/>
    <col min="4" max="5" width="22.625" style="1783" customWidth="1"/>
    <col min="6" max="6" width="15.625" style="1715" customWidth="1"/>
    <col min="7" max="9" width="12.625" style="1715" customWidth="1"/>
    <col min="10" max="11" width="7.875" style="1715" customWidth="1"/>
    <col min="12" max="14" width="12.625" style="1715" customWidth="1"/>
    <col min="15" max="15" width="9" style="1783"/>
    <col min="16" max="20" width="12.625" style="1783" customWidth="1"/>
    <col min="21" max="23" width="14.875" style="1783" customWidth="1"/>
    <col min="24" max="16384" width="9" style="1783"/>
  </cols>
  <sheetData>
    <row r="1" spans="1:21" ht="17.25" customHeight="1">
      <c r="A1" s="2222" t="str">
        <f>+"令和"&amp;MID('総括表(不課税)'!A2,3,1)&amp;"年度決算　不課税収入区分表(受益者負担金)"</f>
        <v>令和５年度決算　不課税収入区分表(受益者負担金)</v>
      </c>
      <c r="B1" s="2222"/>
      <c r="C1" s="2222"/>
      <c r="D1" s="2222"/>
      <c r="E1" s="2222"/>
      <c r="F1" s="2222"/>
      <c r="G1" s="2222"/>
      <c r="H1" s="2222"/>
      <c r="I1" s="2222"/>
    </row>
    <row r="2" spans="1:21" ht="17.25" customHeight="1">
      <c r="A2" s="1644"/>
      <c r="B2" s="1644"/>
      <c r="C2" s="1644"/>
      <c r="D2" s="1644"/>
      <c r="E2" s="1644"/>
      <c r="F2" s="1814"/>
      <c r="G2" s="1814"/>
      <c r="H2" s="1814"/>
      <c r="I2" s="1814"/>
    </row>
    <row r="3" spans="1:21" ht="17.25" customHeight="1" thickBot="1">
      <c r="A3" s="1644"/>
      <c r="B3" s="1644"/>
      <c r="C3" s="1644"/>
      <c r="D3" s="1644"/>
      <c r="E3" s="1644"/>
      <c r="F3" s="1814"/>
      <c r="G3" s="1814"/>
      <c r="H3" s="1814"/>
      <c r="I3" s="1830" t="s">
        <v>4910</v>
      </c>
    </row>
    <row r="4" spans="1:21" ht="24.95" customHeight="1">
      <c r="A4" s="2230" t="s">
        <v>4792</v>
      </c>
      <c r="B4" s="2225"/>
      <c r="C4" s="2231"/>
      <c r="D4" s="2227" t="s">
        <v>4851</v>
      </c>
      <c r="E4" s="2225" t="s">
        <v>4852</v>
      </c>
      <c r="F4" s="1817" t="s">
        <v>4843</v>
      </c>
      <c r="G4" s="2421" t="s">
        <v>4911</v>
      </c>
      <c r="H4" s="2421" t="s">
        <v>4826</v>
      </c>
      <c r="I4" s="2415" t="s">
        <v>4827</v>
      </c>
      <c r="J4" s="1786" t="s">
        <v>5161</v>
      </c>
      <c r="K4" s="1787"/>
      <c r="L4" s="1787"/>
      <c r="M4" s="1787"/>
      <c r="P4" s="1789" t="s">
        <v>5265</v>
      </c>
      <c r="Q4" s="1789"/>
      <c r="R4" s="1789"/>
      <c r="S4" s="1789"/>
    </row>
    <row r="5" spans="1:21" ht="24.95" customHeight="1">
      <c r="A5" s="2232"/>
      <c r="B5" s="2226"/>
      <c r="C5" s="2233"/>
      <c r="D5" s="2228"/>
      <c r="E5" s="2226"/>
      <c r="F5" s="1831" t="s">
        <v>4846</v>
      </c>
      <c r="G5" s="2422"/>
      <c r="H5" s="2422"/>
      <c r="I5" s="2416"/>
      <c r="J5" s="1968">
        <v>0.03</v>
      </c>
      <c r="K5" s="2065">
        <v>0.05</v>
      </c>
      <c r="L5" s="1839">
        <v>0.08</v>
      </c>
      <c r="M5" s="2059">
        <v>0.08</v>
      </c>
      <c r="N5" s="1840">
        <v>0.1</v>
      </c>
      <c r="P5" s="1829">
        <v>0.05</v>
      </c>
      <c r="Q5" s="1829">
        <v>0.08</v>
      </c>
      <c r="R5" s="2059">
        <v>0.08</v>
      </c>
      <c r="S5" s="1840">
        <v>0.1</v>
      </c>
      <c r="T5" s="2052" t="s">
        <v>5266</v>
      </c>
      <c r="U5" s="1783" t="s">
        <v>5267</v>
      </c>
    </row>
    <row r="6" spans="1:21" ht="24.95" customHeight="1">
      <c r="A6" s="2459" t="s">
        <v>4912</v>
      </c>
      <c r="B6" s="2148"/>
      <c r="C6" s="2147"/>
      <c r="D6" s="2461"/>
      <c r="E6" s="2483"/>
      <c r="F6" s="1833"/>
      <c r="G6" s="2648">
        <f>G10+G8</f>
        <v>8799605</v>
      </c>
      <c r="H6" s="2648">
        <f>H10+H8</f>
        <v>8525089</v>
      </c>
      <c r="I6" s="2649">
        <f>I10+I8</f>
        <v>274516</v>
      </c>
      <c r="K6" s="1715">
        <f>K9+K11</f>
        <v>0</v>
      </c>
      <c r="L6" s="1715">
        <f>L9+L11</f>
        <v>338</v>
      </c>
      <c r="M6" s="1715">
        <f>M9+M11</f>
        <v>99</v>
      </c>
      <c r="N6" s="1715">
        <f>N9+N11</f>
        <v>8524652</v>
      </c>
      <c r="P6" s="1788">
        <f t="shared" ref="P6:T6" si="0">P9+P11</f>
        <v>0</v>
      </c>
      <c r="Q6" s="1788">
        <f t="shared" si="0"/>
        <v>25</v>
      </c>
      <c r="R6" s="1788">
        <f t="shared" si="0"/>
        <v>7</v>
      </c>
      <c r="S6" s="1788">
        <f t="shared" si="0"/>
        <v>774968</v>
      </c>
      <c r="T6" s="2054">
        <f t="shared" si="0"/>
        <v>775000</v>
      </c>
      <c r="U6" s="1929">
        <f>+T6-'4条収入'!$AH$44</f>
        <v>0</v>
      </c>
    </row>
    <row r="7" spans="1:21" ht="24.95" customHeight="1">
      <c r="A7" s="2460"/>
      <c r="B7" s="2175"/>
      <c r="C7" s="2176"/>
      <c r="D7" s="2462"/>
      <c r="E7" s="2484"/>
      <c r="F7" s="1834"/>
      <c r="G7" s="2644"/>
      <c r="H7" s="2644"/>
      <c r="I7" s="2646"/>
      <c r="K7" s="1788"/>
      <c r="L7" s="1788"/>
      <c r="M7" s="1788"/>
      <c r="N7" s="1788"/>
    </row>
    <row r="8" spans="1:21" ht="24.95" customHeight="1">
      <c r="A8" s="1797"/>
      <c r="B8" s="2654" t="s">
        <v>4913</v>
      </c>
      <c r="C8" s="2145"/>
      <c r="D8" s="2140"/>
      <c r="E8" s="2477" t="s">
        <v>5341</v>
      </c>
      <c r="F8" s="1878">
        <f>'4条補助（公）'!F19</f>
        <v>5036234000</v>
      </c>
      <c r="G8" s="2652">
        <f>E15</f>
        <v>5005000</v>
      </c>
      <c r="H8" s="2652">
        <f>IFERROR(ROUND(F8/F9*G8,0),0)</f>
        <v>5005000</v>
      </c>
      <c r="I8" s="2650">
        <f>G8-H8</f>
        <v>0</v>
      </c>
      <c r="K8" s="1788"/>
      <c r="L8" s="1882">
        <f>'4条補助（公）'!K19+'4条補助（公）'!L19</f>
        <v>0</v>
      </c>
      <c r="M8" s="1882">
        <f>'4条補助（公）'!M19</f>
        <v>0</v>
      </c>
      <c r="N8" s="1882">
        <f>'4条補助（公）'!N19</f>
        <v>5036234000</v>
      </c>
    </row>
    <row r="9" spans="1:21" ht="24.95" customHeight="1">
      <c r="A9" s="1797"/>
      <c r="B9" s="2144"/>
      <c r="C9" s="2145"/>
      <c r="D9" s="2140"/>
      <c r="E9" s="2190"/>
      <c r="F9" s="1879">
        <f>D15</f>
        <v>5036234000</v>
      </c>
      <c r="G9" s="2653"/>
      <c r="H9" s="2653"/>
      <c r="I9" s="2651"/>
      <c r="K9" s="1788"/>
      <c r="L9" s="1788">
        <f>+H8-SUM(J9:K9,M9:N9)</f>
        <v>0</v>
      </c>
      <c r="M9" s="1788">
        <f>IFERROR(ROUND(M8/F8*H8,0),0)</f>
        <v>0</v>
      </c>
      <c r="N9" s="1788">
        <f>IFERROR(ROUND(N8/F8*H8,0),0)</f>
        <v>5005000</v>
      </c>
      <c r="P9" s="1788">
        <f>+ROUND(K9*P$5/(1+P$5),0)</f>
        <v>0</v>
      </c>
      <c r="Q9" s="1788">
        <f t="shared" ref="Q9" si="1">+ROUND(L9*Q$5/(1+Q$5),0)</f>
        <v>0</v>
      </c>
      <c r="R9" s="1788">
        <f>+ROUND(M9*R$5/(1+R$5),0)</f>
        <v>0</v>
      </c>
      <c r="S9" s="1788">
        <f>+ROUND(N9*S$5/(1+S$5),0)</f>
        <v>455000</v>
      </c>
      <c r="T9" s="2054">
        <f>SUM(P9:S9)</f>
        <v>455000</v>
      </c>
    </row>
    <row r="10" spans="1:21" ht="24.95" customHeight="1">
      <c r="A10" s="1797"/>
      <c r="B10" s="2654" t="s">
        <v>4808</v>
      </c>
      <c r="C10" s="2145"/>
      <c r="D10" s="2140"/>
      <c r="E10" s="2477" t="s">
        <v>5342</v>
      </c>
      <c r="F10" s="1883">
        <v>1308137124</v>
      </c>
      <c r="G10" s="2644">
        <f>E16</f>
        <v>3794605</v>
      </c>
      <c r="H10" s="2644">
        <f>IFERROR(ROUND(F10/F11*G10,0),0)</f>
        <v>3520089</v>
      </c>
      <c r="I10" s="2646">
        <f>G10-H10</f>
        <v>274516</v>
      </c>
      <c r="K10" s="1788"/>
      <c r="L10" s="2010">
        <v>125712</v>
      </c>
      <c r="M10" s="2010">
        <v>36840</v>
      </c>
      <c r="N10" s="1882">
        <f>F10-SUM(L10:M10)</f>
        <v>1307974572</v>
      </c>
    </row>
    <row r="11" spans="1:21" ht="24.95" customHeight="1" thickBot="1">
      <c r="A11" s="1794"/>
      <c r="B11" s="2655"/>
      <c r="C11" s="2656"/>
      <c r="D11" s="2560"/>
      <c r="E11" s="2486"/>
      <c r="F11" s="1880">
        <f>D16</f>
        <v>1410153000</v>
      </c>
      <c r="G11" s="2645"/>
      <c r="H11" s="2645"/>
      <c r="I11" s="2647"/>
      <c r="K11" s="1788"/>
      <c r="L11" s="1788">
        <f>+H10-SUM(J11:K11,M11:N11)</f>
        <v>338</v>
      </c>
      <c r="M11" s="1788">
        <f>IFERROR(ROUND(M10/F10*H10,0),0)</f>
        <v>99</v>
      </c>
      <c r="N11" s="1788">
        <f>IFERROR(ROUND(N10/F10*H10,0),0)</f>
        <v>3519652</v>
      </c>
      <c r="P11" s="1788">
        <f>+ROUND(K11*P$5/(1+P$5),0)</f>
        <v>0</v>
      </c>
      <c r="Q11" s="1788">
        <f t="shared" ref="Q11:R11" si="2">+ROUND(L11*Q$5/(1+Q$5),0)</f>
        <v>25</v>
      </c>
      <c r="R11" s="1788">
        <f t="shared" si="2"/>
        <v>7</v>
      </c>
      <c r="S11" s="1788">
        <f>+ROUND(N11*S$5/(1+S$5),0)</f>
        <v>319968</v>
      </c>
      <c r="T11" s="2054">
        <f>SUM(P11:S11)</f>
        <v>320000</v>
      </c>
    </row>
    <row r="12" spans="1:21">
      <c r="A12" s="1666"/>
      <c r="B12" s="1666"/>
      <c r="C12" s="1666"/>
      <c r="D12" s="1666"/>
      <c r="E12" s="1666"/>
      <c r="F12" s="1835"/>
      <c r="G12" s="1835"/>
      <c r="H12" s="1835"/>
      <c r="I12" s="1835"/>
      <c r="K12" s="1788"/>
    </row>
    <row r="13" spans="1:21" ht="14.25" thickBot="1">
      <c r="A13" s="1666"/>
      <c r="B13" s="1666"/>
      <c r="C13" s="1666"/>
      <c r="D13" s="1666"/>
      <c r="E13" s="1666"/>
      <c r="F13" s="1835"/>
      <c r="G13" s="1835"/>
      <c r="H13" s="1835"/>
      <c r="I13" s="1835"/>
    </row>
    <row r="14" spans="1:21">
      <c r="A14" s="1666"/>
      <c r="B14" s="1666"/>
      <c r="C14" s="1694" t="s">
        <v>4914</v>
      </c>
      <c r="D14" s="1749" t="s">
        <v>4915</v>
      </c>
      <c r="E14" s="1748" t="s">
        <v>4916</v>
      </c>
      <c r="F14" s="1835"/>
      <c r="G14" s="1835"/>
      <c r="H14" s="1835"/>
      <c r="I14" s="1835"/>
    </row>
    <row r="15" spans="1:21">
      <c r="A15" s="1666"/>
      <c r="B15" s="1666"/>
      <c r="C15" s="1695" t="s">
        <v>4908</v>
      </c>
      <c r="D15" s="1881">
        <f>'4条補助（公）'!F20</f>
        <v>5036234000</v>
      </c>
      <c r="E15" s="1877">
        <v>5005000</v>
      </c>
      <c r="F15" s="1835"/>
      <c r="G15" s="1835"/>
      <c r="H15" s="1835"/>
      <c r="I15" s="1835"/>
    </row>
    <row r="16" spans="1:21">
      <c r="A16" s="1666"/>
      <c r="B16" s="1666"/>
      <c r="C16" s="1695" t="s">
        <v>4909</v>
      </c>
      <c r="D16" s="1876">
        <v>1410153000</v>
      </c>
      <c r="E16" s="1877">
        <f>3390885+403720</f>
        <v>3794605</v>
      </c>
      <c r="F16" s="1835"/>
      <c r="G16" s="1835"/>
      <c r="H16" s="1835"/>
      <c r="I16" s="1835"/>
    </row>
    <row r="17" spans="1:14" ht="14.25" thickBot="1">
      <c r="A17" s="1666"/>
      <c r="B17" s="1666"/>
      <c r="C17" s="1696" t="s">
        <v>4803</v>
      </c>
      <c r="D17" s="1731">
        <f>D15+D16</f>
        <v>6446387000</v>
      </c>
      <c r="E17" s="1732">
        <f>E15+E16</f>
        <v>8799605</v>
      </c>
      <c r="F17" s="1835"/>
      <c r="G17" s="1835"/>
      <c r="H17" s="1835"/>
      <c r="I17" s="1835"/>
      <c r="J17" s="1783"/>
      <c r="K17" s="1783"/>
      <c r="L17" s="1783"/>
      <c r="M17" s="1783"/>
      <c r="N17" s="1783"/>
    </row>
    <row r="18" spans="1:14">
      <c r="E18" s="1697">
        <f>E17-E15-E16</f>
        <v>0</v>
      </c>
      <c r="J18" s="1783"/>
      <c r="K18" s="1783"/>
      <c r="L18" s="1783"/>
      <c r="M18" s="1783"/>
      <c r="N18" s="1783"/>
    </row>
  </sheetData>
  <mergeCells count="25">
    <mergeCell ref="A1:I1"/>
    <mergeCell ref="A4:C5"/>
    <mergeCell ref="D4:D5"/>
    <mergeCell ref="E4:E5"/>
    <mergeCell ref="G4:G5"/>
    <mergeCell ref="H4:H5"/>
    <mergeCell ref="I4:I5"/>
    <mergeCell ref="B10:C11"/>
    <mergeCell ref="D10:D11"/>
    <mergeCell ref="E10:E11"/>
    <mergeCell ref="D6:D7"/>
    <mergeCell ref="E6:E7"/>
    <mergeCell ref="A6:C7"/>
    <mergeCell ref="B8:C9"/>
    <mergeCell ref="D8:D9"/>
    <mergeCell ref="E8:E9"/>
    <mergeCell ref="G10:G11"/>
    <mergeCell ref="H10:H11"/>
    <mergeCell ref="I10:I11"/>
    <mergeCell ref="G6:G7"/>
    <mergeCell ref="H6:H7"/>
    <mergeCell ref="I6:I7"/>
    <mergeCell ref="I8:I9"/>
    <mergeCell ref="H8:H9"/>
    <mergeCell ref="G8:G9"/>
  </mergeCells>
  <phoneticPr fontId="2"/>
  <printOptions horizontalCentered="1"/>
  <pageMargins left="0.59055118110236227" right="0.39370078740157483" top="0.98425196850393704" bottom="0.98425196850393704" header="0.51181102362204722" footer="0.51181102362204722"/>
  <pageSetup paperSize="9" scale="52" fitToHeight="0" orientation="landscape" r:id="rId1"/>
  <headerFooter alignWithMargins="0">
    <oddFooter>&amp;L&amp;6&amp;F　&amp;A&amp;R&amp;6&amp;D　&amp;T</oddFooter>
  </headerFooter>
  <drawing r:id="rId2"/>
  <legacyDrawing r:id="rId3"/>
</worksheet>
</file>

<file path=xl/worksheets/w6_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FFFF"/>
    <pageSetUpPr fitToPage="1"/>
  </sheetPr>
  <dimension ref="A1:U78"/>
  <sheetViews>
    <sheetView view="pageBreakPreview" zoomScale="85" zoomScaleNormal="85" zoomScaleSheetLayoutView="85" workbookViewId="0">
      <pane xSplit="5" ySplit="5" topLeftCell="F30" activePane="bottomRight" state="frozen"/>
      <selection activeCell="D10" sqref="D10:D11"/>
      <selection pane="topRight" activeCell="D10" sqref="D10:D11"/>
      <selection pane="bottomLeft" activeCell="D10" sqref="D10:D11"/>
      <selection pane="bottomRight" activeCell="I46" sqref="I46:I47"/>
    </sheetView>
  </sheetViews>
  <sheetFormatPr defaultColWidth="9" defaultRowHeight="13.5"/>
  <cols>
    <col min="1" max="1" width="2.625" style="1789" customWidth="1"/>
    <col min="2" max="2" width="4.625" style="1789" customWidth="1"/>
    <col min="3" max="3" width="19.625" style="1789" customWidth="1"/>
    <col min="4" max="5" width="22.625" style="1789" customWidth="1"/>
    <col min="6" max="6" width="15.625" style="1788" customWidth="1"/>
    <col min="7" max="9" width="12.625" style="1788" customWidth="1"/>
    <col min="10" max="11" width="4.875" style="1788" customWidth="1"/>
    <col min="12" max="14" width="12.75" style="1788" customWidth="1"/>
    <col min="15" max="15" width="9" style="1789"/>
    <col min="16" max="20" width="12.625" style="1789" customWidth="1"/>
    <col min="21" max="21" width="22.375" style="1789" bestFit="1" customWidth="1"/>
    <col min="22" max="23" width="14.875" style="1789" customWidth="1"/>
    <col min="24" max="16384" width="9" style="1789"/>
  </cols>
  <sheetData>
    <row r="1" spans="1:21" ht="17.25" customHeight="1">
      <c r="A1" s="2302" t="str">
        <f>+"令和"&amp;MID('総括表(不課税)'!A2,3,1)&amp;"年度決算　不課税収入区分表(受益者分担金)（汚水処理施設整備）全体"</f>
        <v>令和５年度決算　不課税収入区分表(受益者分担金)（汚水処理施設整備）全体</v>
      </c>
      <c r="B1" s="2302"/>
      <c r="C1" s="2302"/>
      <c r="D1" s="2302"/>
      <c r="E1" s="2302"/>
      <c r="F1" s="2302"/>
      <c r="G1" s="2302"/>
      <c r="H1" s="2302"/>
      <c r="I1" s="2302"/>
    </row>
    <row r="2" spans="1:21" ht="17.25" customHeight="1">
      <c r="A2" s="1744"/>
      <c r="B2" s="1744"/>
      <c r="C2" s="1744"/>
      <c r="D2" s="1744"/>
      <c r="E2" s="1744"/>
      <c r="F2" s="1815"/>
      <c r="G2" s="1815"/>
      <c r="H2" s="1815"/>
      <c r="I2" s="1815"/>
    </row>
    <row r="3" spans="1:21" ht="17.25" customHeight="1" thickBot="1">
      <c r="A3" s="1744"/>
      <c r="B3" s="1744"/>
      <c r="C3" s="1744"/>
      <c r="D3" s="1744"/>
      <c r="E3" s="1744"/>
      <c r="F3" s="1815"/>
      <c r="G3" s="1815"/>
      <c r="H3" s="1815"/>
      <c r="I3" s="1816" t="s">
        <v>4990</v>
      </c>
    </row>
    <row r="4" spans="1:21" ht="24.95" customHeight="1">
      <c r="A4" s="2616" t="s">
        <v>4947</v>
      </c>
      <c r="B4" s="2617"/>
      <c r="C4" s="2618"/>
      <c r="D4" s="2622" t="s">
        <v>4991</v>
      </c>
      <c r="E4" s="2617" t="s">
        <v>4992</v>
      </c>
      <c r="F4" s="1817" t="s">
        <v>4942</v>
      </c>
      <c r="G4" s="2421" t="s">
        <v>4993</v>
      </c>
      <c r="H4" s="2421" t="s">
        <v>4994</v>
      </c>
      <c r="I4" s="2415" t="s">
        <v>4995</v>
      </c>
      <c r="J4" s="1818" t="s">
        <v>5161</v>
      </c>
      <c r="K4" s="1819"/>
      <c r="L4" s="1819"/>
      <c r="M4" s="1819"/>
      <c r="P4" s="1789" t="s">
        <v>5265</v>
      </c>
    </row>
    <row r="5" spans="1:21" ht="24.95" customHeight="1">
      <c r="A5" s="2619"/>
      <c r="B5" s="2620"/>
      <c r="C5" s="2621"/>
      <c r="D5" s="2623"/>
      <c r="E5" s="2620"/>
      <c r="F5" s="1820" t="s">
        <v>4943</v>
      </c>
      <c r="G5" s="2422"/>
      <c r="H5" s="2422"/>
      <c r="I5" s="2416"/>
      <c r="J5" s="1968">
        <v>0.03</v>
      </c>
      <c r="K5" s="2065">
        <v>0.05</v>
      </c>
      <c r="L5" s="1829">
        <v>0.08</v>
      </c>
      <c r="M5" s="2059">
        <v>0.08</v>
      </c>
      <c r="N5" s="1840">
        <v>0.1</v>
      </c>
      <c r="P5" s="1829">
        <v>0.05</v>
      </c>
      <c r="Q5" s="1829">
        <v>0.08</v>
      </c>
      <c r="R5" s="2059">
        <v>0.08</v>
      </c>
      <c r="S5" s="1840">
        <v>0.1</v>
      </c>
      <c r="T5" s="2051" t="s">
        <v>5266</v>
      </c>
      <c r="U5" s="1789" t="s">
        <v>5267</v>
      </c>
    </row>
    <row r="6" spans="1:21" ht="24.95" customHeight="1">
      <c r="A6" s="2676" t="s">
        <v>5077</v>
      </c>
      <c r="B6" s="2677"/>
      <c r="C6" s="2263"/>
      <c r="D6" s="2613"/>
      <c r="E6" s="2602"/>
      <c r="F6" s="1884"/>
      <c r="G6" s="2678">
        <f>G10+G8</f>
        <v>35218280</v>
      </c>
      <c r="H6" s="2679">
        <f>H10+H8</f>
        <v>33459431</v>
      </c>
      <c r="I6" s="2667">
        <f>I10+I8</f>
        <v>1758849</v>
      </c>
      <c r="J6" s="1788">
        <f t="shared" ref="J6:T8" si="0">SUM(J26,J46,J66)</f>
        <v>0</v>
      </c>
      <c r="K6" s="1788">
        <f t="shared" si="0"/>
        <v>0</v>
      </c>
      <c r="L6" s="1788">
        <f t="shared" si="0"/>
        <v>0</v>
      </c>
      <c r="M6" s="1788">
        <f t="shared" si="0"/>
        <v>0</v>
      </c>
      <c r="N6" s="1788">
        <f t="shared" si="0"/>
        <v>33459431</v>
      </c>
      <c r="P6" s="1788">
        <f t="shared" si="0"/>
        <v>0</v>
      </c>
      <c r="Q6" s="1788">
        <f t="shared" si="0"/>
        <v>0</v>
      </c>
      <c r="R6" s="1788">
        <f t="shared" si="0"/>
        <v>0</v>
      </c>
      <c r="S6" s="1788">
        <f t="shared" si="0"/>
        <v>3041767</v>
      </c>
      <c r="T6" s="1788">
        <f t="shared" si="0"/>
        <v>3041767</v>
      </c>
      <c r="U6" s="2054">
        <f>+T6-'4条収入'!$AH$46</f>
        <v>0</v>
      </c>
    </row>
    <row r="7" spans="1:21" ht="24.95" customHeight="1">
      <c r="A7" s="2607"/>
      <c r="B7" s="2608"/>
      <c r="C7" s="2265"/>
      <c r="D7" s="2614"/>
      <c r="E7" s="2603"/>
      <c r="F7" s="1885"/>
      <c r="G7" s="2663"/>
      <c r="H7" s="2665"/>
      <c r="I7" s="2657"/>
      <c r="K7" s="1821"/>
      <c r="L7" s="1821"/>
      <c r="M7" s="1821"/>
    </row>
    <row r="8" spans="1:21" ht="24.95" customHeight="1">
      <c r="A8" s="1845"/>
      <c r="B8" s="2659" t="s">
        <v>5092</v>
      </c>
      <c r="C8" s="2660"/>
      <c r="D8" s="2590"/>
      <c r="E8" s="2475" t="s">
        <v>5341</v>
      </c>
      <c r="F8" s="1878">
        <f>SUM(F28,F48,F68)</f>
        <v>37960200</v>
      </c>
      <c r="G8" s="2670">
        <f>SUM(G28,G48,G68)</f>
        <v>1842000</v>
      </c>
      <c r="H8" s="2670">
        <f>SUM(H28,H48,H68)</f>
        <v>1842000</v>
      </c>
      <c r="I8" s="2674">
        <f>G8-H8</f>
        <v>0</v>
      </c>
      <c r="J8" s="1788">
        <f t="shared" si="0"/>
        <v>0</v>
      </c>
      <c r="K8" s="1788">
        <f t="shared" si="0"/>
        <v>0</v>
      </c>
      <c r="L8" s="1788">
        <f t="shared" si="0"/>
        <v>0</v>
      </c>
      <c r="M8" s="1788">
        <f t="shared" ref="M8" si="1">SUM(M28,M48,M68)</f>
        <v>0</v>
      </c>
      <c r="N8" s="1788">
        <f t="shared" si="0"/>
        <v>37960200</v>
      </c>
    </row>
    <row r="9" spans="1:21" ht="24.95" customHeight="1">
      <c r="A9" s="1845"/>
      <c r="B9" s="2668"/>
      <c r="C9" s="2660"/>
      <c r="D9" s="2590"/>
      <c r="E9" s="2669"/>
      <c r="F9" s="1878">
        <f>D15</f>
        <v>37960200</v>
      </c>
      <c r="G9" s="2671"/>
      <c r="H9" s="2671"/>
      <c r="I9" s="2675"/>
      <c r="J9" s="1788">
        <f t="shared" ref="J9" si="2">SUM(J29,J49,J69)</f>
        <v>0</v>
      </c>
      <c r="K9" s="1788">
        <f>SUM(K29,K49,K69)</f>
        <v>0</v>
      </c>
      <c r="L9" s="1788">
        <f t="shared" ref="L9:N9" si="3">SUM(L29,L49,L69)</f>
        <v>0</v>
      </c>
      <c r="M9" s="1788">
        <f t="shared" ref="M9" si="4">SUM(M29,M49,M69)</f>
        <v>0</v>
      </c>
      <c r="N9" s="1788">
        <f t="shared" si="3"/>
        <v>1842000</v>
      </c>
      <c r="P9" s="1788">
        <f t="shared" ref="P9" si="5">SUM(P29,P49,P69)</f>
        <v>0</v>
      </c>
      <c r="Q9" s="1788">
        <f>SUM(Q29,Q49,Q69)</f>
        <v>0</v>
      </c>
      <c r="R9" s="1788">
        <f>SUM(R29,R49,R69)</f>
        <v>0</v>
      </c>
      <c r="S9" s="1788">
        <f t="shared" ref="S9:T9" si="6">SUM(S29,S49,S69)</f>
        <v>167455</v>
      </c>
      <c r="T9" s="1788">
        <f t="shared" si="6"/>
        <v>167455</v>
      </c>
    </row>
    <row r="10" spans="1:21" ht="24.95" customHeight="1">
      <c r="A10" s="1845"/>
      <c r="B10" s="2659" t="s">
        <v>5095</v>
      </c>
      <c r="C10" s="2660"/>
      <c r="D10" s="2590"/>
      <c r="E10" s="2475" t="s">
        <v>5342</v>
      </c>
      <c r="F10" s="1878">
        <f>SUM(F30,F50,F70)</f>
        <v>222348632</v>
      </c>
      <c r="G10" s="2663">
        <f>SUM(G30,G50,G70)</f>
        <v>33376280</v>
      </c>
      <c r="H10" s="2665">
        <f>SUM(H30,H50,H70)</f>
        <v>31617431</v>
      </c>
      <c r="I10" s="2657">
        <f>G10-H10</f>
        <v>1758849</v>
      </c>
      <c r="J10" s="1788">
        <f t="shared" ref="J10:N10" si="7">SUM(J30,J50,J70)</f>
        <v>0</v>
      </c>
      <c r="K10" s="1788">
        <f t="shared" si="7"/>
        <v>0</v>
      </c>
      <c r="L10" s="1788">
        <f t="shared" si="7"/>
        <v>0</v>
      </c>
      <c r="M10" s="1788">
        <f t="shared" ref="M10" si="8">SUM(M30,M50,M70)</f>
        <v>0</v>
      </c>
      <c r="N10" s="1788">
        <f t="shared" si="7"/>
        <v>222348632</v>
      </c>
    </row>
    <row r="11" spans="1:21" ht="24.95" customHeight="1" thickBot="1">
      <c r="A11" s="1886"/>
      <c r="B11" s="2661"/>
      <c r="C11" s="2662"/>
      <c r="D11" s="2625"/>
      <c r="E11" s="2476"/>
      <c r="F11" s="1893">
        <f>D16</f>
        <v>235300000</v>
      </c>
      <c r="G11" s="2664"/>
      <c r="H11" s="2666"/>
      <c r="I11" s="2658"/>
      <c r="J11" s="1788">
        <f t="shared" ref="J11:N11" si="9">SUM(J31,J51,J71)</f>
        <v>0</v>
      </c>
      <c r="K11" s="1788">
        <f t="shared" si="9"/>
        <v>0</v>
      </c>
      <c r="L11" s="1788">
        <f t="shared" si="9"/>
        <v>0</v>
      </c>
      <c r="M11" s="1788">
        <f t="shared" ref="M11" si="10">SUM(M31,M51,M71)</f>
        <v>0</v>
      </c>
      <c r="N11" s="1788">
        <f t="shared" si="9"/>
        <v>31617431</v>
      </c>
      <c r="P11" s="1788">
        <f t="shared" ref="P11" si="11">SUM(P31,P51,P71)</f>
        <v>0</v>
      </c>
      <c r="Q11" s="1788">
        <f>SUM(Q31,Q51,Q71)</f>
        <v>0</v>
      </c>
      <c r="R11" s="1788">
        <f>SUM(R31,R51,R71)</f>
        <v>0</v>
      </c>
      <c r="S11" s="1788">
        <f t="shared" ref="S11:T11" si="12">SUM(S31,S51,S71)</f>
        <v>2874312</v>
      </c>
      <c r="T11" s="1788">
        <f t="shared" si="12"/>
        <v>2874312</v>
      </c>
    </row>
    <row r="12" spans="1:21">
      <c r="A12" s="1745"/>
      <c r="B12" s="1745"/>
      <c r="C12" s="1745"/>
      <c r="D12" s="1745"/>
      <c r="E12" s="1745"/>
      <c r="F12" s="1887"/>
      <c r="G12" s="1887"/>
      <c r="H12" s="1887"/>
      <c r="I12" s="1887"/>
    </row>
    <row r="13" spans="1:21" ht="14.25" thickBot="1">
      <c r="A13" s="1745"/>
      <c r="B13" s="1745"/>
      <c r="C13" s="1745"/>
      <c r="D13" s="1745"/>
      <c r="E13" s="1745" t="s">
        <v>5089</v>
      </c>
      <c r="F13" s="1887"/>
      <c r="G13" s="1887"/>
      <c r="H13" s="1887"/>
      <c r="I13" s="1887"/>
    </row>
    <row r="14" spans="1:21">
      <c r="A14" s="1745"/>
      <c r="B14" s="1745"/>
      <c r="C14" s="1888" t="s">
        <v>4947</v>
      </c>
      <c r="D14" s="1749" t="s">
        <v>5067</v>
      </c>
      <c r="E14" s="1748" t="s">
        <v>5076</v>
      </c>
      <c r="F14" s="1887"/>
      <c r="G14" s="1887"/>
      <c r="H14" s="1887"/>
      <c r="I14" s="1887"/>
    </row>
    <row r="15" spans="1:21">
      <c r="A15" s="1745"/>
      <c r="B15" s="1745"/>
      <c r="C15" s="1889" t="s">
        <v>5068</v>
      </c>
      <c r="D15" s="1892">
        <f>SUM(D35,D55,D75)</f>
        <v>37960200</v>
      </c>
      <c r="E15" s="1891">
        <f>SUM(E35,E55,E75)</f>
        <v>1842000</v>
      </c>
      <c r="F15" s="1887"/>
      <c r="G15" s="1887"/>
      <c r="H15" s="1887"/>
      <c r="I15" s="1887"/>
    </row>
    <row r="16" spans="1:21">
      <c r="A16" s="1745"/>
      <c r="B16" s="1745"/>
      <c r="C16" s="1889" t="s">
        <v>5069</v>
      </c>
      <c r="D16" s="1892">
        <f>SUM(D36,D56,D76)</f>
        <v>235300000</v>
      </c>
      <c r="E16" s="1891">
        <f>SUM(E36,E56,E76)</f>
        <v>33376280</v>
      </c>
      <c r="F16" s="1887"/>
      <c r="G16" s="1887"/>
      <c r="H16" s="1887"/>
      <c r="I16" s="1887"/>
    </row>
    <row r="17" spans="1:21" ht="14.25" thickBot="1">
      <c r="A17" s="1745"/>
      <c r="B17" s="1745"/>
      <c r="C17" s="1890" t="s">
        <v>4951</v>
      </c>
      <c r="D17" s="1731">
        <f>D15+D16</f>
        <v>273260200</v>
      </c>
      <c r="E17" s="1732">
        <f>E15+E16</f>
        <v>35218280</v>
      </c>
      <c r="F17" s="1887"/>
      <c r="G17" s="1887"/>
      <c r="H17" s="1887"/>
      <c r="I17" s="1887"/>
    </row>
    <row r="18" spans="1:21">
      <c r="E18" s="1746">
        <f>E17-E15-E16</f>
        <v>0</v>
      </c>
    </row>
    <row r="21" spans="1:21">
      <c r="A21" s="2302" t="str">
        <f>+"令和"&amp;MID('総括表(不課税)'!A2,3,2)&amp;"年度決算　不課税収入区分表(受益者分担金)（汚水処理施設整備）特環"</f>
        <v>令和５年年度決算　不課税収入区分表(受益者分担金)（汚水処理施設整備）特環</v>
      </c>
      <c r="B21" s="2302"/>
      <c r="C21" s="2302"/>
      <c r="D21" s="2302"/>
      <c r="E21" s="2302"/>
      <c r="F21" s="2302"/>
      <c r="G21" s="2302"/>
      <c r="H21" s="2302"/>
      <c r="I21" s="2302"/>
    </row>
    <row r="22" spans="1:21">
      <c r="A22" s="1744"/>
      <c r="B22" s="1744"/>
      <c r="C22" s="1744"/>
      <c r="D22" s="1744"/>
      <c r="E22" s="1744"/>
      <c r="F22" s="1815"/>
      <c r="G22" s="1815"/>
      <c r="H22" s="1815"/>
      <c r="I22" s="1815"/>
    </row>
    <row r="23" spans="1:21" ht="14.25" thickBot="1">
      <c r="A23" s="1744"/>
      <c r="B23" s="1744"/>
      <c r="C23" s="1744"/>
      <c r="D23" s="1744"/>
      <c r="E23" s="1744"/>
      <c r="F23" s="1815"/>
      <c r="G23" s="1815"/>
      <c r="H23" s="1815"/>
      <c r="I23" s="1816" t="s">
        <v>4990</v>
      </c>
    </row>
    <row r="24" spans="1:21" ht="24.95" customHeight="1">
      <c r="A24" s="2616" t="s">
        <v>4947</v>
      </c>
      <c r="B24" s="2617"/>
      <c r="C24" s="2618"/>
      <c r="D24" s="2622" t="s">
        <v>4991</v>
      </c>
      <c r="E24" s="2617" t="s">
        <v>4992</v>
      </c>
      <c r="F24" s="1817" t="s">
        <v>4942</v>
      </c>
      <c r="G24" s="2421" t="s">
        <v>4993</v>
      </c>
      <c r="H24" s="2421" t="s">
        <v>4994</v>
      </c>
      <c r="I24" s="2415" t="s">
        <v>4995</v>
      </c>
    </row>
    <row r="25" spans="1:21" ht="24.95" customHeight="1">
      <c r="A25" s="2619"/>
      <c r="B25" s="2620"/>
      <c r="C25" s="2621"/>
      <c r="D25" s="2623"/>
      <c r="E25" s="2620"/>
      <c r="F25" s="1820" t="s">
        <v>4943</v>
      </c>
      <c r="G25" s="2422"/>
      <c r="H25" s="2422"/>
      <c r="I25" s="2416"/>
    </row>
    <row r="26" spans="1:21" ht="24.95" customHeight="1">
      <c r="A26" s="2676" t="s">
        <v>5077</v>
      </c>
      <c r="B26" s="2677"/>
      <c r="C26" s="2263"/>
      <c r="D26" s="2613"/>
      <c r="E26" s="2602"/>
      <c r="F26" s="1884"/>
      <c r="G26" s="2678">
        <f>G30+G28</f>
        <v>17022400</v>
      </c>
      <c r="H26" s="2679">
        <f>H30+H28</f>
        <v>15741150</v>
      </c>
      <c r="I26" s="2667">
        <f>I30+I28</f>
        <v>1281250</v>
      </c>
      <c r="L26" s="1788">
        <f t="shared" ref="L26:N26" si="13">L29+L31</f>
        <v>0</v>
      </c>
      <c r="M26" s="1788">
        <f t="shared" si="13"/>
        <v>0</v>
      </c>
      <c r="N26" s="1788">
        <f t="shared" si="13"/>
        <v>15741150</v>
      </c>
      <c r="P26" s="1788">
        <f>P29+P31</f>
        <v>0</v>
      </c>
      <c r="Q26" s="1788">
        <f t="shared" ref="Q26:T26" si="14">Q29+Q31</f>
        <v>0</v>
      </c>
      <c r="R26" s="1788">
        <f t="shared" si="14"/>
        <v>0</v>
      </c>
      <c r="S26" s="1788">
        <f t="shared" si="14"/>
        <v>1431014</v>
      </c>
      <c r="T26" s="1788">
        <f t="shared" si="14"/>
        <v>1431014</v>
      </c>
      <c r="U26" s="2054">
        <f>+T26-'4条収入'!$AH$47</f>
        <v>0</v>
      </c>
    </row>
    <row r="27" spans="1:21" ht="24.95" customHeight="1">
      <c r="A27" s="2607"/>
      <c r="B27" s="2608"/>
      <c r="C27" s="2265"/>
      <c r="D27" s="2614"/>
      <c r="E27" s="2603"/>
      <c r="F27" s="1885"/>
      <c r="G27" s="2663"/>
      <c r="H27" s="2665"/>
      <c r="I27" s="2657"/>
      <c r="L27" s="1821"/>
      <c r="M27" s="1821"/>
    </row>
    <row r="28" spans="1:21" ht="24.95" customHeight="1">
      <c r="A28" s="1845"/>
      <c r="B28" s="2659" t="s">
        <v>5092</v>
      </c>
      <c r="C28" s="2660"/>
      <c r="D28" s="2590"/>
      <c r="E28" s="2475" t="str">
        <f>+$E$8</f>
        <v>5年度分補助事業
の課税支出割合
（現年）</v>
      </c>
      <c r="F28" s="1878">
        <f>'4条補助（特）'!F19</f>
        <v>25200000</v>
      </c>
      <c r="G28" s="2670">
        <f>E35</f>
        <v>1246000</v>
      </c>
      <c r="H28" s="2672">
        <f>IFERROR(ROUND(F28/F29*G28,0),0)</f>
        <v>1246000</v>
      </c>
      <c r="I28" s="2674">
        <f>G28-H28</f>
        <v>0</v>
      </c>
      <c r="L28" s="1882">
        <f>+'4条補助（特）'!K19+'4条補助（特）'!L19</f>
        <v>0</v>
      </c>
      <c r="M28" s="1882">
        <f>+'4条補助（特）'!M19</f>
        <v>0</v>
      </c>
      <c r="N28" s="1882">
        <f>+'4条補助（特）'!N19</f>
        <v>25200000</v>
      </c>
      <c r="P28" s="1788"/>
      <c r="Q28" s="1788"/>
      <c r="R28" s="1788"/>
      <c r="S28" s="1788"/>
      <c r="T28" s="2054"/>
    </row>
    <row r="29" spans="1:21" ht="24.95" customHeight="1">
      <c r="A29" s="1845"/>
      <c r="B29" s="2668"/>
      <c r="C29" s="2660"/>
      <c r="D29" s="2590"/>
      <c r="E29" s="2669"/>
      <c r="F29" s="1878">
        <f>D35</f>
        <v>25200000</v>
      </c>
      <c r="G29" s="2671"/>
      <c r="H29" s="2673"/>
      <c r="I29" s="2675"/>
      <c r="L29" s="1788">
        <f>+H28-SUM(J29:K29,M29:N29)</f>
        <v>0</v>
      </c>
      <c r="M29" s="1788">
        <f>IFERROR(ROUND(M28/F28*H28,0),0)</f>
        <v>0</v>
      </c>
      <c r="N29" s="1788">
        <f>IFERROR(ROUND(N28/F28*H28,0),0)</f>
        <v>1246000</v>
      </c>
      <c r="P29" s="1788">
        <f>+ROUND(K29*P$5/(1+P$5),0)</f>
        <v>0</v>
      </c>
      <c r="Q29" s="1788">
        <f>+ROUND(L29*Q$5/(1+Q$5),0)</f>
        <v>0</v>
      </c>
      <c r="R29" s="1788">
        <f>+ROUND(M29*R$5/(1+R$5),0)</f>
        <v>0</v>
      </c>
      <c r="S29" s="1788">
        <f>+ROUND(N29*S$5/(1+S$5),0)</f>
        <v>113273</v>
      </c>
      <c r="T29" s="2054">
        <f>SUM(P29:S29)</f>
        <v>113273</v>
      </c>
    </row>
    <row r="30" spans="1:21" ht="24.95" customHeight="1">
      <c r="A30" s="1845"/>
      <c r="B30" s="2659" t="s">
        <v>5095</v>
      </c>
      <c r="C30" s="2660"/>
      <c r="D30" s="2590"/>
      <c r="E30" s="2475" t="str">
        <f>+$E$10</f>
        <v>5年度分起債事業
の課税支出割合
（現年）</v>
      </c>
      <c r="F30" s="1883">
        <v>105752376</v>
      </c>
      <c r="G30" s="2663">
        <f>E36</f>
        <v>15776400</v>
      </c>
      <c r="H30" s="2665">
        <f>IFERROR(ROUND(F30/F31*G30,0),0)</f>
        <v>14495150</v>
      </c>
      <c r="I30" s="2657">
        <f>G30-H30</f>
        <v>1281250</v>
      </c>
      <c r="L30" s="1866">
        <v>0</v>
      </c>
      <c r="M30" s="2010">
        <v>0</v>
      </c>
      <c r="N30" s="1882">
        <f>F30-SUM(L30:M30)</f>
        <v>105752376</v>
      </c>
    </row>
    <row r="31" spans="1:21" ht="24.95" customHeight="1" thickBot="1">
      <c r="A31" s="1886"/>
      <c r="B31" s="2661"/>
      <c r="C31" s="2662"/>
      <c r="D31" s="2625"/>
      <c r="E31" s="2476"/>
      <c r="F31" s="1893">
        <f>D36</f>
        <v>115100000</v>
      </c>
      <c r="G31" s="2664"/>
      <c r="H31" s="2666"/>
      <c r="I31" s="2658"/>
      <c r="L31" s="1788">
        <f>+H30-SUM(J31:K31,M31:N31)</f>
        <v>0</v>
      </c>
      <c r="M31" s="1788">
        <f>IFERROR(ROUND(M30/F30*H30,0),0)</f>
        <v>0</v>
      </c>
      <c r="N31" s="1788">
        <f>IFERROR(ROUND(N30/F30*H30,0),0)</f>
        <v>14495150</v>
      </c>
      <c r="P31" s="1788">
        <f>+ROUND(K31*P$5/(1+P$5),0)</f>
        <v>0</v>
      </c>
      <c r="Q31" s="1788">
        <f t="shared" ref="Q31:R31" si="15">+ROUND(L31*Q$5/(1+Q$5),0)</f>
        <v>0</v>
      </c>
      <c r="R31" s="1788">
        <f t="shared" si="15"/>
        <v>0</v>
      </c>
      <c r="S31" s="1788">
        <f>+ROUND(N31*S$5/(1+S$5),0)</f>
        <v>1317741</v>
      </c>
      <c r="T31" s="2054">
        <f>SUM(P31:S31)</f>
        <v>1317741</v>
      </c>
    </row>
    <row r="32" spans="1:21">
      <c r="A32" s="1745"/>
      <c r="B32" s="1745"/>
      <c r="C32" s="1745"/>
      <c r="D32" s="1745"/>
      <c r="E32" s="1745"/>
      <c r="F32" s="1887"/>
      <c r="G32" s="1887"/>
      <c r="H32" s="1887"/>
      <c r="I32" s="1887"/>
    </row>
    <row r="33" spans="1:21" ht="14.25" thickBot="1">
      <c r="A33" s="1745"/>
      <c r="B33" s="1745"/>
      <c r="C33" s="1745"/>
      <c r="D33" s="1745"/>
      <c r="E33" s="1745"/>
      <c r="F33" s="1887"/>
      <c r="G33" s="1887"/>
      <c r="H33" s="1887"/>
      <c r="I33" s="1887"/>
    </row>
    <row r="34" spans="1:21">
      <c r="A34" s="1745"/>
      <c r="B34" s="1745"/>
      <c r="C34" s="1888" t="s">
        <v>4947</v>
      </c>
      <c r="D34" s="1749" t="s">
        <v>5067</v>
      </c>
      <c r="E34" s="1748" t="s">
        <v>5076</v>
      </c>
      <c r="F34" s="1887"/>
      <c r="G34" s="1887"/>
      <c r="H34" s="1887"/>
      <c r="I34" s="1887"/>
    </row>
    <row r="35" spans="1:21">
      <c r="A35" s="1745"/>
      <c r="B35" s="1745"/>
      <c r="C35" s="1889" t="s">
        <v>5068</v>
      </c>
      <c r="D35" s="1881">
        <f>'4条補助（特）'!F20</f>
        <v>25200000</v>
      </c>
      <c r="E35" s="1877">
        <f>223000+1023000</f>
        <v>1246000</v>
      </c>
      <c r="F35" s="1887"/>
      <c r="G35" s="1887"/>
      <c r="H35" s="1887"/>
      <c r="I35" s="1887"/>
    </row>
    <row r="36" spans="1:21">
      <c r="A36" s="1745"/>
      <c r="B36" s="1745"/>
      <c r="C36" s="1889" t="s">
        <v>5069</v>
      </c>
      <c r="D36" s="1876">
        <v>115100000</v>
      </c>
      <c r="E36" s="1877">
        <f>431600+15344800</f>
        <v>15776400</v>
      </c>
      <c r="F36" s="1887"/>
      <c r="G36" s="1887"/>
      <c r="H36" s="1887"/>
      <c r="I36" s="1887"/>
    </row>
    <row r="37" spans="1:21" ht="14.25" thickBot="1">
      <c r="A37" s="1745"/>
      <c r="B37" s="1745"/>
      <c r="C37" s="1890" t="s">
        <v>4951</v>
      </c>
      <c r="D37" s="1731">
        <f>D35+D36</f>
        <v>140300000</v>
      </c>
      <c r="E37" s="1732">
        <f>E35+E36</f>
        <v>17022400</v>
      </c>
      <c r="F37" s="1887"/>
      <c r="G37" s="1887"/>
      <c r="H37" s="1887"/>
      <c r="I37" s="1887"/>
    </row>
    <row r="38" spans="1:21">
      <c r="E38" s="1746">
        <f>E37-E35-E36</f>
        <v>0</v>
      </c>
    </row>
    <row r="41" spans="1:21">
      <c r="A41" s="2302" t="str">
        <f>+"令和"&amp;MID('総括表(不課税)'!A2,3,2)&amp;"度決算　不課税収入区分表(受益者分担金)（汚水処理施設整備）農集"</f>
        <v>令和５年度決算　不課税収入区分表(受益者分担金)（汚水処理施設整備）農集</v>
      </c>
      <c r="B41" s="2302"/>
      <c r="C41" s="2302"/>
      <c r="D41" s="2302"/>
      <c r="E41" s="2302"/>
      <c r="F41" s="2302"/>
      <c r="G41" s="2302"/>
      <c r="H41" s="2302"/>
      <c r="I41" s="2302"/>
    </row>
    <row r="42" spans="1:21">
      <c r="A42" s="1744"/>
      <c r="B42" s="1744"/>
      <c r="C42" s="1744"/>
      <c r="D42" s="1744"/>
      <c r="E42" s="1744"/>
      <c r="F42" s="1815"/>
      <c r="G42" s="1815"/>
      <c r="H42" s="1815"/>
      <c r="I42" s="1815"/>
    </row>
    <row r="43" spans="1:21" ht="14.25" thickBot="1">
      <c r="A43" s="1744"/>
      <c r="B43" s="1744"/>
      <c r="C43" s="1744"/>
      <c r="D43" s="1744"/>
      <c r="E43" s="1744"/>
      <c r="F43" s="1815"/>
      <c r="G43" s="1815"/>
      <c r="H43" s="1815"/>
      <c r="I43" s="1816" t="s">
        <v>4990</v>
      </c>
    </row>
    <row r="44" spans="1:21" ht="24.95" customHeight="1">
      <c r="A44" s="2616" t="s">
        <v>4947</v>
      </c>
      <c r="B44" s="2617"/>
      <c r="C44" s="2618"/>
      <c r="D44" s="2622" t="s">
        <v>4991</v>
      </c>
      <c r="E44" s="2617" t="s">
        <v>4992</v>
      </c>
      <c r="F44" s="1817" t="s">
        <v>4942</v>
      </c>
      <c r="G44" s="2421" t="s">
        <v>4993</v>
      </c>
      <c r="H44" s="2421" t="s">
        <v>4994</v>
      </c>
      <c r="I44" s="2415" t="s">
        <v>4995</v>
      </c>
    </row>
    <row r="45" spans="1:21" ht="24.95" customHeight="1">
      <c r="A45" s="2619"/>
      <c r="B45" s="2620"/>
      <c r="C45" s="2621"/>
      <c r="D45" s="2623"/>
      <c r="E45" s="2620"/>
      <c r="F45" s="1820" t="s">
        <v>4943</v>
      </c>
      <c r="G45" s="2422"/>
      <c r="H45" s="2422"/>
      <c r="I45" s="2416"/>
    </row>
    <row r="46" spans="1:21" ht="24.95" customHeight="1">
      <c r="A46" s="2676" t="s">
        <v>5077</v>
      </c>
      <c r="B46" s="2677"/>
      <c r="C46" s="2263"/>
      <c r="D46" s="2613"/>
      <c r="E46" s="2602"/>
      <c r="F46" s="1884"/>
      <c r="G46" s="2678">
        <f>G50+G48</f>
        <v>14115880</v>
      </c>
      <c r="H46" s="2679">
        <f>H50+H48</f>
        <v>13788037</v>
      </c>
      <c r="I46" s="2667">
        <f>I50+I48</f>
        <v>327843</v>
      </c>
      <c r="L46" s="1788">
        <f t="shared" ref="L46:N46" si="16">L49+L51</f>
        <v>0</v>
      </c>
      <c r="M46" s="1788">
        <f t="shared" si="16"/>
        <v>0</v>
      </c>
      <c r="N46" s="1788">
        <f t="shared" si="16"/>
        <v>13788037</v>
      </c>
      <c r="P46" s="1788">
        <f>P49+P51</f>
        <v>0</v>
      </c>
      <c r="Q46" s="1788">
        <f t="shared" ref="Q46:T46" si="17">Q49+Q51</f>
        <v>0</v>
      </c>
      <c r="R46" s="1788">
        <f t="shared" si="17"/>
        <v>0</v>
      </c>
      <c r="S46" s="1788">
        <f>S49+S51</f>
        <v>1253458</v>
      </c>
      <c r="T46" s="1788">
        <f t="shared" si="17"/>
        <v>1253458</v>
      </c>
      <c r="U46" s="2054">
        <f>+T46-'4条収入'!$AH$48</f>
        <v>0</v>
      </c>
    </row>
    <row r="47" spans="1:21" ht="24.95" customHeight="1">
      <c r="A47" s="2607"/>
      <c r="B47" s="2608"/>
      <c r="C47" s="2265"/>
      <c r="D47" s="2614"/>
      <c r="E47" s="2603"/>
      <c r="F47" s="1885"/>
      <c r="G47" s="2663"/>
      <c r="H47" s="2665"/>
      <c r="I47" s="2657"/>
    </row>
    <row r="48" spans="1:21" ht="24.95" customHeight="1">
      <c r="A48" s="1845"/>
      <c r="B48" s="2659" t="s">
        <v>5092</v>
      </c>
      <c r="C48" s="2660"/>
      <c r="D48" s="2590"/>
      <c r="E48" s="2475" t="str">
        <f>+$E$8</f>
        <v>5年度分補助事業
の課税支出割合
（現年）</v>
      </c>
      <c r="F48" s="1878">
        <f>'4条補助（農）'!F19</f>
        <v>0</v>
      </c>
      <c r="G48" s="2670">
        <f>E55</f>
        <v>0</v>
      </c>
      <c r="H48" s="2672">
        <f>IFERROR(ROUND(F48/F49*G48,0),0)</f>
        <v>0</v>
      </c>
      <c r="I48" s="2674">
        <f>G48-H48</f>
        <v>0</v>
      </c>
      <c r="L48" s="1882">
        <f>+'4条補助（農）'!K19+'4条補助（農）'!L19</f>
        <v>0</v>
      </c>
      <c r="M48" s="1882">
        <f>+'4条補助（農）'!M19</f>
        <v>0</v>
      </c>
      <c r="N48" s="1882">
        <f>+'4条補助（農）'!N19</f>
        <v>0</v>
      </c>
    </row>
    <row r="49" spans="1:20" ht="24.95" customHeight="1">
      <c r="A49" s="1845"/>
      <c r="B49" s="2668"/>
      <c r="C49" s="2660"/>
      <c r="D49" s="2590"/>
      <c r="E49" s="2669"/>
      <c r="F49" s="1878">
        <f>D55</f>
        <v>0</v>
      </c>
      <c r="G49" s="2671"/>
      <c r="H49" s="2673"/>
      <c r="I49" s="2675"/>
      <c r="L49" s="1788">
        <f>+H48-SUM(J49:K49,M49:N49)</f>
        <v>0</v>
      </c>
      <c r="M49" s="1788">
        <f>IFERROR(ROUND(M48/F48*H48,0),0)</f>
        <v>0</v>
      </c>
      <c r="N49" s="1788">
        <f>IFERROR(ROUND(N48/F48*H48,0),0)</f>
        <v>0</v>
      </c>
      <c r="P49" s="1788">
        <f>+ROUND(K49*P$5/(1+P$5),0)</f>
        <v>0</v>
      </c>
      <c r="Q49" s="1788">
        <f t="shared" ref="Q49:R49" si="18">+ROUND(L49*Q$5/(1+Q$5),0)</f>
        <v>0</v>
      </c>
      <c r="R49" s="1788">
        <f t="shared" si="18"/>
        <v>0</v>
      </c>
      <c r="S49" s="1788">
        <f>+ROUND(N49*S$5/(1+S$5),0)</f>
        <v>0</v>
      </c>
      <c r="T49" s="2054">
        <f>SUM(P49:S49)</f>
        <v>0</v>
      </c>
    </row>
    <row r="50" spans="1:20" ht="24.95" customHeight="1">
      <c r="A50" s="1845"/>
      <c r="B50" s="2659" t="s">
        <v>5095</v>
      </c>
      <c r="C50" s="2660"/>
      <c r="D50" s="2590"/>
      <c r="E50" s="2475" t="str">
        <f>+$E$10</f>
        <v>5年度分起債事業
の課税支出割合
（現年）</v>
      </c>
      <c r="F50" s="1883">
        <v>77262892</v>
      </c>
      <c r="G50" s="2663">
        <f>E56</f>
        <v>14115880</v>
      </c>
      <c r="H50" s="2665">
        <f>IFERROR(ROUND(F50/F51*G50,0),0)</f>
        <v>13788037</v>
      </c>
      <c r="I50" s="2657">
        <f>G50-H50</f>
        <v>327843</v>
      </c>
      <c r="L50" s="1866">
        <v>0</v>
      </c>
      <c r="M50" s="2010">
        <v>0</v>
      </c>
      <c r="N50" s="1882">
        <f>F50-SUM(L50:M50)</f>
        <v>77262892</v>
      </c>
    </row>
    <row r="51" spans="1:20" ht="24.95" customHeight="1" thickBot="1">
      <c r="A51" s="1886"/>
      <c r="B51" s="2661"/>
      <c r="C51" s="2662"/>
      <c r="D51" s="2625"/>
      <c r="E51" s="2476"/>
      <c r="F51" s="1893">
        <f>D56</f>
        <v>79100000</v>
      </c>
      <c r="G51" s="2664"/>
      <c r="H51" s="2666"/>
      <c r="I51" s="2658"/>
      <c r="L51" s="1788">
        <f>+H50-SUM(J51:K51,M51:N51)</f>
        <v>0</v>
      </c>
      <c r="M51" s="1788">
        <f>IFERROR(ROUND(M50/F50*H50,0),0)</f>
        <v>0</v>
      </c>
      <c r="N51" s="1788">
        <f>IFERROR(ROUND(N50/F50*H50,0),0)</f>
        <v>13788037</v>
      </c>
      <c r="P51" s="1788">
        <f>+ROUND(K51*P$5/(1+P$5),0)</f>
        <v>0</v>
      </c>
      <c r="Q51" s="1788">
        <f t="shared" ref="Q51:R51" si="19">+ROUND(L51*Q$5/(1+Q$5),0)</f>
        <v>0</v>
      </c>
      <c r="R51" s="1788">
        <f t="shared" si="19"/>
        <v>0</v>
      </c>
      <c r="S51" s="1788">
        <f>+ROUND(N51*S$5/(1+S$5),0)</f>
        <v>1253458</v>
      </c>
      <c r="T51" s="2054">
        <f>SUM(P51:S51)</f>
        <v>1253458</v>
      </c>
    </row>
    <row r="52" spans="1:20">
      <c r="A52" s="1745"/>
      <c r="B52" s="1745"/>
      <c r="C52" s="1745"/>
      <c r="D52" s="1745"/>
      <c r="E52" s="1745"/>
      <c r="F52" s="1887"/>
      <c r="G52" s="1887"/>
      <c r="H52" s="1887"/>
      <c r="I52" s="1887"/>
    </row>
    <row r="53" spans="1:20" ht="14.25" thickBot="1">
      <c r="A53" s="1745"/>
      <c r="B53" s="1745"/>
      <c r="C53" s="1745"/>
      <c r="D53" s="1745"/>
      <c r="E53" s="1745"/>
      <c r="F53" s="1887"/>
      <c r="G53" s="1887"/>
      <c r="H53" s="1887"/>
      <c r="I53" s="1887"/>
    </row>
    <row r="54" spans="1:20">
      <c r="A54" s="1745"/>
      <c r="B54" s="1745"/>
      <c r="C54" s="1888" t="s">
        <v>4947</v>
      </c>
      <c r="D54" s="1749" t="s">
        <v>5067</v>
      </c>
      <c r="E54" s="1748" t="s">
        <v>5076</v>
      </c>
      <c r="F54" s="1887"/>
      <c r="G54" s="1887"/>
      <c r="H54" s="1887"/>
      <c r="I54" s="1887"/>
    </row>
    <row r="55" spans="1:20">
      <c r="A55" s="1745"/>
      <c r="B55" s="1745"/>
      <c r="C55" s="1889" t="s">
        <v>5068</v>
      </c>
      <c r="D55" s="1881">
        <f>'4条補助（農）'!F20</f>
        <v>0</v>
      </c>
      <c r="E55" s="1877">
        <v>0</v>
      </c>
      <c r="F55" s="1887"/>
      <c r="G55" s="1887"/>
      <c r="H55" s="1887"/>
      <c r="I55" s="1887"/>
    </row>
    <row r="56" spans="1:20">
      <c r="A56" s="1745"/>
      <c r="B56" s="1745"/>
      <c r="C56" s="1889" t="s">
        <v>5069</v>
      </c>
      <c r="D56" s="1876">
        <v>79100000</v>
      </c>
      <c r="E56" s="1877">
        <v>14115880</v>
      </c>
      <c r="F56" s="1887"/>
      <c r="G56" s="1887"/>
      <c r="H56" s="1887"/>
      <c r="I56" s="1887"/>
    </row>
    <row r="57" spans="1:20" ht="14.25" thickBot="1">
      <c r="A57" s="1745"/>
      <c r="B57" s="1745"/>
      <c r="C57" s="1890" t="s">
        <v>4951</v>
      </c>
      <c r="D57" s="1731">
        <f>D55+D56</f>
        <v>79100000</v>
      </c>
      <c r="E57" s="1732">
        <f>E55+E56</f>
        <v>14115880</v>
      </c>
      <c r="F57" s="1887"/>
      <c r="G57" s="1887"/>
      <c r="H57" s="1887"/>
      <c r="I57" s="1887"/>
    </row>
    <row r="58" spans="1:20">
      <c r="E58" s="1746">
        <f>E57-E55-E56</f>
        <v>0</v>
      </c>
    </row>
    <row r="61" spans="1:20">
      <c r="A61" s="2302" t="str">
        <f>+"令和"&amp;MID('総括表(不課税)'!A2,3,2)&amp;"度決算　不課税収入区分表(受益者分担金)（汚水処理施設整備）浄化槽"</f>
        <v>令和５年度決算　不課税収入区分表(受益者分担金)（汚水処理施設整備）浄化槽</v>
      </c>
      <c r="B61" s="2302"/>
      <c r="C61" s="2302"/>
      <c r="D61" s="2302"/>
      <c r="E61" s="2302"/>
      <c r="F61" s="2302"/>
      <c r="G61" s="2302"/>
      <c r="H61" s="2302"/>
      <c r="I61" s="2302"/>
    </row>
    <row r="62" spans="1:20">
      <c r="A62" s="1744"/>
      <c r="B62" s="1744"/>
      <c r="C62" s="1744"/>
      <c r="D62" s="1744"/>
      <c r="E62" s="1744"/>
      <c r="F62" s="1815"/>
      <c r="G62" s="1815"/>
      <c r="H62" s="1815"/>
      <c r="I62" s="1815"/>
    </row>
    <row r="63" spans="1:20" ht="14.25" thickBot="1">
      <c r="A63" s="1744"/>
      <c r="B63" s="1744"/>
      <c r="C63" s="1744"/>
      <c r="D63" s="1744"/>
      <c r="E63" s="1744"/>
      <c r="F63" s="1815"/>
      <c r="G63" s="1815"/>
      <c r="H63" s="1815"/>
      <c r="I63" s="1816" t="s">
        <v>4990</v>
      </c>
    </row>
    <row r="64" spans="1:20" ht="24.95" customHeight="1">
      <c r="A64" s="2616" t="s">
        <v>4947</v>
      </c>
      <c r="B64" s="2617"/>
      <c r="C64" s="2618"/>
      <c r="D64" s="2622" t="s">
        <v>4991</v>
      </c>
      <c r="E64" s="2617" t="s">
        <v>4992</v>
      </c>
      <c r="F64" s="1817" t="s">
        <v>4942</v>
      </c>
      <c r="G64" s="2421" t="s">
        <v>4993</v>
      </c>
      <c r="H64" s="2421" t="s">
        <v>4994</v>
      </c>
      <c r="I64" s="2415" t="s">
        <v>4995</v>
      </c>
    </row>
    <row r="65" spans="1:21" ht="24.95" customHeight="1">
      <c r="A65" s="2619"/>
      <c r="B65" s="2620"/>
      <c r="C65" s="2621"/>
      <c r="D65" s="2623"/>
      <c r="E65" s="2620"/>
      <c r="F65" s="1820" t="s">
        <v>4943</v>
      </c>
      <c r="G65" s="2422"/>
      <c r="H65" s="2422"/>
      <c r="I65" s="2416"/>
    </row>
    <row r="66" spans="1:21" ht="24.95" customHeight="1">
      <c r="A66" s="2676" t="s">
        <v>5077</v>
      </c>
      <c r="B66" s="2677"/>
      <c r="C66" s="2263"/>
      <c r="D66" s="2613"/>
      <c r="E66" s="2602"/>
      <c r="F66" s="1884"/>
      <c r="G66" s="2678">
        <f>G70+G68</f>
        <v>4080000</v>
      </c>
      <c r="H66" s="2679">
        <f>H70+H68</f>
        <v>3930244</v>
      </c>
      <c r="I66" s="2667">
        <f>I70+I68</f>
        <v>149756</v>
      </c>
      <c r="L66" s="1788">
        <f t="shared" ref="L66:N66" si="20">L69+L71</f>
        <v>0</v>
      </c>
      <c r="M66" s="1788">
        <f t="shared" si="20"/>
        <v>0</v>
      </c>
      <c r="N66" s="1788">
        <f t="shared" si="20"/>
        <v>3930244</v>
      </c>
      <c r="P66" s="1788">
        <f>P69+P71</f>
        <v>0</v>
      </c>
      <c r="Q66" s="1788">
        <f t="shared" ref="Q66:S66" si="21">Q69+Q71</f>
        <v>0</v>
      </c>
      <c r="R66" s="1788">
        <f t="shared" si="21"/>
        <v>0</v>
      </c>
      <c r="S66" s="1788">
        <f t="shared" si="21"/>
        <v>357295</v>
      </c>
      <c r="T66" s="1788">
        <f>T69+T71</f>
        <v>357295</v>
      </c>
      <c r="U66" s="2054">
        <f>+T66-'4条収入'!$AH$49</f>
        <v>0</v>
      </c>
    </row>
    <row r="67" spans="1:21" ht="24.95" customHeight="1">
      <c r="A67" s="2607"/>
      <c r="B67" s="2608"/>
      <c r="C67" s="2265"/>
      <c r="D67" s="2614"/>
      <c r="E67" s="2603"/>
      <c r="F67" s="1885"/>
      <c r="G67" s="2663"/>
      <c r="H67" s="2665"/>
      <c r="I67" s="2657"/>
      <c r="L67" s="1821"/>
      <c r="M67" s="1821"/>
    </row>
    <row r="68" spans="1:21" ht="24.95" customHeight="1">
      <c r="A68" s="1845"/>
      <c r="B68" s="2659" t="s">
        <v>5092</v>
      </c>
      <c r="C68" s="2660"/>
      <c r="D68" s="2590"/>
      <c r="E68" s="2475" t="str">
        <f>+$E$8</f>
        <v>5年度分補助事業
の課税支出割合
（現年）</v>
      </c>
      <c r="F68" s="1878">
        <f>'4条補助（浄）'!F19</f>
        <v>12760200</v>
      </c>
      <c r="G68" s="2670">
        <f>E75</f>
        <v>596000</v>
      </c>
      <c r="H68" s="2672">
        <f>IFERROR(ROUND(F68/F69*G68,0),0)</f>
        <v>596000</v>
      </c>
      <c r="I68" s="2674">
        <f>G68-H68</f>
        <v>0</v>
      </c>
      <c r="L68" s="1882">
        <f>+'4条補助（浄）'!K19+'4条補助（浄）'!L19</f>
        <v>0</v>
      </c>
      <c r="M68" s="1882">
        <f>+'4条補助（浄）'!M19</f>
        <v>0</v>
      </c>
      <c r="N68" s="1882">
        <f>+'4条補助（浄）'!N19</f>
        <v>12760200</v>
      </c>
    </row>
    <row r="69" spans="1:21" ht="24.95" customHeight="1">
      <c r="A69" s="1845"/>
      <c r="B69" s="2668"/>
      <c r="C69" s="2660"/>
      <c r="D69" s="2590"/>
      <c r="E69" s="2669"/>
      <c r="F69" s="1878">
        <f>D75</f>
        <v>12760200</v>
      </c>
      <c r="G69" s="2671"/>
      <c r="H69" s="2673"/>
      <c r="I69" s="2675"/>
      <c r="L69" s="1788">
        <f>+H68-SUM(J69:K69,M69:N69)</f>
        <v>0</v>
      </c>
      <c r="M69" s="1788">
        <f>IFERROR(ROUND(M68/F68*H68,0),0)</f>
        <v>0</v>
      </c>
      <c r="N69" s="1788">
        <f>IFERROR(ROUND(N68/F68*H68,0),0)</f>
        <v>596000</v>
      </c>
      <c r="P69" s="1788">
        <f>+ROUND(K69*P$5/(1+P$5),0)</f>
        <v>0</v>
      </c>
      <c r="Q69" s="1788">
        <f t="shared" ref="Q69:R69" si="22">+ROUND(L69*Q$5/(1+Q$5),0)</f>
        <v>0</v>
      </c>
      <c r="R69" s="1788">
        <f t="shared" si="22"/>
        <v>0</v>
      </c>
      <c r="S69" s="1788">
        <f>+ROUND(N69*S$5/(1+S$5),0)</f>
        <v>54182</v>
      </c>
      <c r="T69" s="2054">
        <f>SUM(P69:S69)</f>
        <v>54182</v>
      </c>
    </row>
    <row r="70" spans="1:21" ht="24.95" customHeight="1">
      <c r="A70" s="1845"/>
      <c r="B70" s="2659" t="s">
        <v>5095</v>
      </c>
      <c r="C70" s="2660"/>
      <c r="D70" s="2590"/>
      <c r="E70" s="2475" t="str">
        <f>+$E$10</f>
        <v>5年度分起債事業
の課税支出割合
（現年）</v>
      </c>
      <c r="F70" s="1883">
        <v>39333364</v>
      </c>
      <c r="G70" s="2663">
        <f>E76</f>
        <v>3484000</v>
      </c>
      <c r="H70" s="2665">
        <f>IFERROR(ROUND(F70/F71*G70,0),0)</f>
        <v>3334244</v>
      </c>
      <c r="I70" s="2657">
        <f>G70-H70</f>
        <v>149756</v>
      </c>
      <c r="L70" s="1866">
        <v>0</v>
      </c>
      <c r="M70" s="2010">
        <v>0</v>
      </c>
      <c r="N70" s="1882">
        <f>F70-SUM(L70:M70)</f>
        <v>39333364</v>
      </c>
    </row>
    <row r="71" spans="1:21" ht="24.95" customHeight="1" thickBot="1">
      <c r="A71" s="1886"/>
      <c r="B71" s="2661"/>
      <c r="C71" s="2662"/>
      <c r="D71" s="2625"/>
      <c r="E71" s="2476"/>
      <c r="F71" s="1893">
        <f>D76</f>
        <v>41100000</v>
      </c>
      <c r="G71" s="2664"/>
      <c r="H71" s="2666"/>
      <c r="I71" s="2658"/>
      <c r="L71" s="1788">
        <f>+H70-SUM(J71:K71,M71:N71)</f>
        <v>0</v>
      </c>
      <c r="M71" s="1788">
        <f>IFERROR(ROUND(M70/F70*H70,0),0)</f>
        <v>0</v>
      </c>
      <c r="N71" s="1788">
        <f>IFERROR(ROUND(N70/F70*H70,0),0)</f>
        <v>3334244</v>
      </c>
      <c r="P71" s="1788">
        <f>+ROUND(K71*P$5/(1+P$5),0)</f>
        <v>0</v>
      </c>
      <c r="Q71" s="1788">
        <f t="shared" ref="Q71:R71" si="23">+ROUND(L71*Q$5/(1+Q$5),0)</f>
        <v>0</v>
      </c>
      <c r="R71" s="1788">
        <f t="shared" si="23"/>
        <v>0</v>
      </c>
      <c r="S71" s="2085">
        <f>+ROUND(N71*S$5/(1+S$5),0)</f>
        <v>303113</v>
      </c>
      <c r="T71" s="2054">
        <f>SUM(P71:S71)</f>
        <v>303113</v>
      </c>
    </row>
    <row r="72" spans="1:21">
      <c r="A72" s="1745"/>
      <c r="B72" s="1745"/>
      <c r="C72" s="1745"/>
      <c r="D72" s="1745"/>
      <c r="E72" s="1745"/>
      <c r="F72" s="1887"/>
      <c r="G72" s="1887"/>
      <c r="H72" s="1887"/>
      <c r="I72" s="1887"/>
    </row>
    <row r="73" spans="1:21" ht="14.25" thickBot="1">
      <c r="A73" s="1745"/>
      <c r="B73" s="1745"/>
      <c r="C73" s="1745"/>
      <c r="D73" s="1745"/>
      <c r="E73" s="1745"/>
      <c r="F73" s="1887"/>
      <c r="G73" s="1887"/>
      <c r="H73" s="1887"/>
      <c r="I73" s="1887"/>
    </row>
    <row r="74" spans="1:21">
      <c r="A74" s="1745"/>
      <c r="B74" s="1745"/>
      <c r="C74" s="1888" t="s">
        <v>4947</v>
      </c>
      <c r="D74" s="1749" t="s">
        <v>5067</v>
      </c>
      <c r="E74" s="1748" t="s">
        <v>5076</v>
      </c>
      <c r="F74" s="1887"/>
      <c r="G74" s="1887"/>
      <c r="H74" s="1887"/>
      <c r="I74" s="1887"/>
    </row>
    <row r="75" spans="1:21">
      <c r="A75" s="1745"/>
      <c r="B75" s="1745"/>
      <c r="C75" s="1889" t="s">
        <v>5068</v>
      </c>
      <c r="D75" s="1881">
        <f>'4条補助（浄）'!F20</f>
        <v>12760200</v>
      </c>
      <c r="E75" s="1877">
        <v>596000</v>
      </c>
      <c r="F75" s="1887"/>
      <c r="G75" s="1887"/>
      <c r="H75" s="1887"/>
      <c r="I75" s="1887"/>
    </row>
    <row r="76" spans="1:21">
      <c r="A76" s="1745"/>
      <c r="B76" s="1745"/>
      <c r="C76" s="1889" t="s">
        <v>5069</v>
      </c>
      <c r="D76" s="1876">
        <v>41100000</v>
      </c>
      <c r="E76" s="1877">
        <v>3484000</v>
      </c>
      <c r="F76" s="1887"/>
      <c r="G76" s="1887"/>
      <c r="H76" s="1887"/>
      <c r="I76" s="1887"/>
    </row>
    <row r="77" spans="1:21" ht="14.25" thickBot="1">
      <c r="A77" s="1745"/>
      <c r="B77" s="1745"/>
      <c r="C77" s="1890" t="s">
        <v>4951</v>
      </c>
      <c r="D77" s="1731">
        <f>D75+D76</f>
        <v>53860200</v>
      </c>
      <c r="E77" s="1732">
        <f>E75+E76</f>
        <v>4080000</v>
      </c>
      <c r="F77" s="1887"/>
      <c r="G77" s="1887"/>
      <c r="H77" s="1887"/>
      <c r="I77" s="1887"/>
    </row>
    <row r="78" spans="1:21">
      <c r="E78" s="1746"/>
    </row>
  </sheetData>
  <mergeCells count="100">
    <mergeCell ref="G10:G11"/>
    <mergeCell ref="H10:H11"/>
    <mergeCell ref="I10:I11"/>
    <mergeCell ref="G6:G7"/>
    <mergeCell ref="H6:H7"/>
    <mergeCell ref="I6:I7"/>
    <mergeCell ref="I8:I9"/>
    <mergeCell ref="H8:H9"/>
    <mergeCell ref="G8:G9"/>
    <mergeCell ref="B10:C11"/>
    <mergeCell ref="D10:D11"/>
    <mergeCell ref="E10:E11"/>
    <mergeCell ref="D6:D7"/>
    <mergeCell ref="E6:E7"/>
    <mergeCell ref="A6:C7"/>
    <mergeCell ref="B8:C9"/>
    <mergeCell ref="D8:D9"/>
    <mergeCell ref="E8:E9"/>
    <mergeCell ref="A1:I1"/>
    <mergeCell ref="A4:C5"/>
    <mergeCell ref="D4:D5"/>
    <mergeCell ref="E4:E5"/>
    <mergeCell ref="G4:G5"/>
    <mergeCell ref="H4:H5"/>
    <mergeCell ref="I4:I5"/>
    <mergeCell ref="A21:I21"/>
    <mergeCell ref="A24:C25"/>
    <mergeCell ref="D24:D25"/>
    <mergeCell ref="E24:E25"/>
    <mergeCell ref="G24:G25"/>
    <mergeCell ref="H24:H25"/>
    <mergeCell ref="I24:I25"/>
    <mergeCell ref="I26:I27"/>
    <mergeCell ref="B28:C29"/>
    <mergeCell ref="D28:D29"/>
    <mergeCell ref="E28:E29"/>
    <mergeCell ref="G28:G29"/>
    <mergeCell ref="H28:H29"/>
    <mergeCell ref="I28:I29"/>
    <mergeCell ref="A26:C27"/>
    <mergeCell ref="D26:D27"/>
    <mergeCell ref="E26:E27"/>
    <mergeCell ref="G26:G27"/>
    <mergeCell ref="H26:H27"/>
    <mergeCell ref="I30:I31"/>
    <mergeCell ref="A41:I41"/>
    <mergeCell ref="A44:C45"/>
    <mergeCell ref="D44:D45"/>
    <mergeCell ref="E44:E45"/>
    <mergeCell ref="G44:G45"/>
    <mergeCell ref="H44:H45"/>
    <mergeCell ref="I44:I45"/>
    <mergeCell ref="B30:C31"/>
    <mergeCell ref="D30:D31"/>
    <mergeCell ref="E30:E31"/>
    <mergeCell ref="G30:G31"/>
    <mergeCell ref="H30:H31"/>
    <mergeCell ref="I46:I47"/>
    <mergeCell ref="B48:C49"/>
    <mergeCell ref="D48:D49"/>
    <mergeCell ref="E48:E49"/>
    <mergeCell ref="G48:G49"/>
    <mergeCell ref="H48:H49"/>
    <mergeCell ref="I48:I49"/>
    <mergeCell ref="A46:C47"/>
    <mergeCell ref="D46:D47"/>
    <mergeCell ref="E46:E47"/>
    <mergeCell ref="G46:G47"/>
    <mergeCell ref="H46:H47"/>
    <mergeCell ref="I50:I51"/>
    <mergeCell ref="A61:I61"/>
    <mergeCell ref="A64:C65"/>
    <mergeCell ref="D64:D65"/>
    <mergeCell ref="E64:E65"/>
    <mergeCell ref="G64:G65"/>
    <mergeCell ref="H64:H65"/>
    <mergeCell ref="I64:I65"/>
    <mergeCell ref="B50:C51"/>
    <mergeCell ref="D50:D51"/>
    <mergeCell ref="E50:E51"/>
    <mergeCell ref="G50:G51"/>
    <mergeCell ref="H50:H51"/>
    <mergeCell ref="I66:I67"/>
    <mergeCell ref="B68:C69"/>
    <mergeCell ref="D68:D69"/>
    <mergeCell ref="E68:E69"/>
    <mergeCell ref="G68:G69"/>
    <mergeCell ref="H68:H69"/>
    <mergeCell ref="I68:I69"/>
    <mergeCell ref="A66:C67"/>
    <mergeCell ref="D66:D67"/>
    <mergeCell ref="E66:E67"/>
    <mergeCell ref="G66:G67"/>
    <mergeCell ref="H66:H67"/>
    <mergeCell ref="I70:I71"/>
    <mergeCell ref="B70:C71"/>
    <mergeCell ref="D70:D71"/>
    <mergeCell ref="E70:E71"/>
    <mergeCell ref="G70:G71"/>
    <mergeCell ref="H70:H71"/>
  </mergeCells>
  <phoneticPr fontId="2"/>
  <printOptions horizontalCentered="1"/>
  <pageMargins left="0.59055118110236227" right="0.39370078740157483" top="0.98425196850393704" bottom="0.59055118110236227" header="0.51181102362204722" footer="0.51181102362204722"/>
  <pageSetup paperSize="9" scale="52" fitToHeight="0" orientation="landscape" r:id="rId1"/>
  <headerFooter alignWithMargins="0">
    <oddFooter>&amp;L&amp;6&amp;F　&amp;A&amp;R&amp;6&amp;D　&amp;T</oddFooter>
  </headerFooter>
  <rowBreaks count="1" manualBreakCount="1">
    <brk id="40" max="20" man="1"/>
  </rowBreaks>
  <drawing r:id="rId2"/>
  <legacyDrawing r:id="rId3"/>
</worksheet>
</file>

<file path=xl/worksheets/w6_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tabColor rgb="FF00FFFF"/>
  </sheetPr>
  <dimension ref="A1:U65"/>
  <sheetViews>
    <sheetView zoomScale="85" zoomScaleNormal="85" workbookViewId="0">
      <pane xSplit="5" ySplit="5" topLeftCell="F6" activePane="bottomRight" state="frozen"/>
      <selection activeCell="D10" sqref="D10:D11"/>
      <selection pane="topRight" activeCell="D10" sqref="D10:D11"/>
      <selection pane="bottomLeft" activeCell="D10" sqref="D10:D11"/>
      <selection pane="bottomRight" activeCell="F12" sqref="F12"/>
    </sheetView>
  </sheetViews>
  <sheetFormatPr defaultRowHeight="13.5"/>
  <cols>
    <col min="1" max="1" width="1.625" customWidth="1" style="1643"/>
    <col min="2" max="2" width="4.625" customWidth="1" style="1643"/>
    <col min="3" max="3" width="19.625" customWidth="1" style="1643"/>
    <col min="4" max="5" width="23.625" customWidth="1" style="1643"/>
    <col min="6" max="6" width="13.125" customWidth="1" style="1643"/>
    <col min="7" max="9" width="12.625" customWidth="1" style="1643"/>
    <col min="10" max="11" width="8.125" customWidth="1" style="1643"/>
    <col min="12" max="14" width="12.375" customWidth="1" style="1643"/>
    <col min="16" max="20" width="12.625" customWidth="1" style="1643"/>
    <col min="21" max="23" width="14.875" customWidth="1" style="1643"/>
  </cols>
  <sheetData>
    <row r="1" spans="1:21" ht="17.25" customHeight="1">
      <c r="A1" s="2222" t="str">
        <f>+"令和"&amp;MID('総括表(不課税)'!A2,3,1)&amp;"年度決算　不課税収入区分表(その他国庫補金）"</f>
        <v>令和５年度決算　不課税収入区分表(その他国庫補金）</v>
      </c>
      <c r="B1" s="2222"/>
      <c r="C1" s="2222"/>
      <c r="D1" s="2222"/>
      <c r="E1" s="2222"/>
      <c r="F1" s="2222"/>
      <c r="G1" s="2222"/>
      <c r="H1" s="2222"/>
      <c r="I1" s="2222"/>
    </row>
    <row r="2" spans="1:21" ht="17.25" customHeight="1">
      <c r="A2" s="1644"/>
      <c r="B2" s="1644"/>
      <c r="C2" s="1644"/>
      <c r="D2" s="1644"/>
      <c r="E2" s="1644"/>
      <c r="F2" s="1644"/>
      <c r="G2" s="1644"/>
      <c r="H2" s="1644"/>
      <c r="I2" s="1644"/>
    </row>
    <row r="3" spans="1:21" ht="17.25" customHeight="1" thickBot="1">
      <c r="A3" s="1644"/>
      <c r="B3" s="1644"/>
      <c r="C3" s="1644"/>
      <c r="D3" s="1644"/>
      <c r="E3" s="1644"/>
      <c r="F3" s="1644"/>
      <c r="G3" s="1644"/>
      <c r="H3" s="1644"/>
      <c r="I3" s="1665" t="s">
        <v>4990</v>
      </c>
    </row>
    <row r="4" spans="1:21">
      <c r="A4" s="2230" t="s">
        <v>4947</v>
      </c>
      <c r="B4" s="2225"/>
      <c r="C4" s="2231"/>
      <c r="D4" s="2227" t="s">
        <v>4991</v>
      </c>
      <c r="E4" s="2225" t="s">
        <v>4992</v>
      </c>
      <c r="F4" s="1690" t="s">
        <v>4942</v>
      </c>
      <c r="G4" s="2227" t="s">
        <v>4993</v>
      </c>
      <c r="H4" s="2227" t="s">
        <v>4994</v>
      </c>
      <c r="I4" s="2223" t="s">
        <v>4995</v>
      </c>
      <c r="J4" s="1818" t="s">
        <v>5161</v>
      </c>
      <c r="K4" s="1819"/>
      <c r="L4" s="1819"/>
      <c r="M4" s="1819"/>
      <c r="N4" s="1788"/>
      <c r="P4" s="1789" t="s">
        <v>5265</v>
      </c>
      <c r="Q4" s="1789"/>
      <c r="R4" s="1789"/>
      <c r="S4" s="1789"/>
    </row>
    <row r="5" spans="1:21">
      <c r="A5" s="2232"/>
      <c r="B5" s="2226"/>
      <c r="C5" s="2233"/>
      <c r="D5" s="2228"/>
      <c r="E5" s="2226"/>
      <c r="F5" s="1691" t="s">
        <v>4943</v>
      </c>
      <c r="G5" s="2228"/>
      <c r="H5" s="2228"/>
      <c r="I5" s="2224"/>
      <c r="J5" s="1968">
        <v>0.03</v>
      </c>
      <c r="K5" s="2065">
        <v>0.05</v>
      </c>
      <c r="L5" s="1829">
        <v>0.08</v>
      </c>
      <c r="M5" s="2059">
        <v>0.08</v>
      </c>
      <c r="N5" s="1840">
        <v>0.1</v>
      </c>
      <c r="P5" s="1829">
        <v>0.05</v>
      </c>
      <c r="Q5" s="1829">
        <v>0.08</v>
      </c>
      <c r="R5" s="2059">
        <v>0.08</v>
      </c>
      <c r="S5" s="1840">
        <v>0.1</v>
      </c>
      <c r="T5" s="2050" t="s">
        <v>5266</v>
      </c>
      <c r="U5" t="s" s="1643">
        <v>5267</v>
      </c>
    </row>
    <row r="6" spans="1:21">
      <c r="A6" s="2585" t="s">
        <v>5088</v>
      </c>
      <c r="B6" s="2586"/>
      <c r="C6" s="2235"/>
      <c r="D6" s="2461"/>
      <c r="E6" s="2483"/>
      <c r="F6" s="1692"/>
      <c r="G6" s="2589">
        <f>SUM(G8,G22,G36,G50)</f>
        <v>0</v>
      </c>
      <c r="H6" s="2589">
        <f t="shared" ref="H6:I6" si="0">SUM(H8,H22,H36,H50)</f>
        <v>0</v>
      </c>
      <c r="I6" s="2561">
        <f t="shared" si="0"/>
        <v>0</v>
      </c>
      <c r="J6" s="1967">
        <f>SUM(J9,J23,J37,J51)</f>
        <v>0</v>
      </c>
      <c r="K6" s="2046">
        <f>SUM(K9,K23,K37,K51)</f>
        <v>0</v>
      </c>
      <c r="L6" s="1967">
        <f t="shared" ref="L6:N6" si="1">SUM(L9,L23,L37,L51)</f>
        <v>0</v>
      </c>
      <c r="M6" s="1967">
        <f t="shared" si="1"/>
        <v>0</v>
      </c>
      <c r="N6" s="1967">
        <f t="shared" si="1"/>
        <v>0</v>
      </c>
      <c r="P6" s="2046">
        <f>SUM(P9,P23,P37,P51)</f>
        <v>0</v>
      </c>
      <c r="Q6" s="1967">
        <f t="shared" ref="Q6:T6" si="2">SUM(Q9,Q23,Q37,Q51)</f>
        <v>0</v>
      </c>
      <c r="R6" s="1967">
        <f t="shared" si="2"/>
        <v>0</v>
      </c>
      <c r="S6" s="1967">
        <f t="shared" si="2"/>
        <v>0</v>
      </c>
      <c r="T6" s="1967">
        <f t="shared" si="2"/>
        <v>0</v>
      </c>
      <c r="U6" s="2056">
        <f>+T6-'4条収入'!$AH$26</f>
        <v>0</v>
      </c>
    </row>
    <row r="7" spans="1:21">
      <c r="A7" s="2460"/>
      <c r="B7" s="2175"/>
      <c r="C7" s="2176"/>
      <c r="D7" s="2462"/>
      <c r="E7" s="2484"/>
      <c r="F7" s="1693"/>
      <c r="G7" s="2158"/>
      <c r="H7" s="2158"/>
      <c r="I7" s="2680"/>
    </row>
    <row r="8" spans="1:21" ht="13.5" customHeight="1">
      <c r="A8" s="2035"/>
      <c r="B8" s="2572" t="s">
        <v>5243</v>
      </c>
      <c r="C8" s="2573"/>
      <c r="D8" s="2461"/>
      <c r="E8" s="2483"/>
      <c r="F8" s="1692"/>
      <c r="G8" s="2229">
        <f>SUM(G10:G21)</f>
        <v>0</v>
      </c>
      <c r="H8" s="2229">
        <f t="shared" ref="H8:I8" si="3">SUM(H10:H21)</f>
        <v>0</v>
      </c>
      <c r="I8" s="2561">
        <f t="shared" si="3"/>
        <v>0</v>
      </c>
    </row>
    <row r="9" spans="1:21">
      <c r="A9" s="2036"/>
      <c r="B9" s="2574"/>
      <c r="C9" s="2575"/>
      <c r="D9" s="2576"/>
      <c r="E9" s="2577"/>
      <c r="F9" s="2037"/>
      <c r="G9" s="2578"/>
      <c r="H9" s="2578"/>
      <c r="I9" s="2562"/>
      <c r="L9" s="2038">
        <f t="shared" ref="L9:N9" si="4">+L13+L19</f>
        <v>0</v>
      </c>
      <c r="M9" s="2038">
        <f t="shared" si="4"/>
        <v>0</v>
      </c>
      <c r="N9" s="2038">
        <f t="shared" si="4"/>
        <v>0</v>
      </c>
      <c r="P9" s="2038">
        <f>+P13+P19</f>
        <v>0</v>
      </c>
      <c r="Q9" s="2038">
        <f t="shared" ref="Q9:T9" si="5">+Q13+Q19</f>
        <v>0</v>
      </c>
      <c r="R9" s="2038">
        <f t="shared" si="5"/>
        <v>0</v>
      </c>
      <c r="S9" s="2038">
        <f t="shared" si="5"/>
        <v>0</v>
      </c>
      <c r="T9" s="2038">
        <f t="shared" si="5"/>
        <v>0</v>
      </c>
      <c r="U9" s="2056">
        <f>+T9-'4条収入'!$AH$27</f>
        <v>0</v>
      </c>
    </row>
    <row r="10" spans="1:21">
      <c r="A10" s="2036"/>
      <c r="B10" s="2563" t="s">
        <v>5244</v>
      </c>
      <c r="C10" s="2582" t="s">
        <v>5245</v>
      </c>
      <c r="D10" s="2566" t="s">
        <v>5246</v>
      </c>
      <c r="E10" s="2567" t="s">
        <v>5316</v>
      </c>
      <c r="F10" s="1671"/>
      <c r="G10" s="2569">
        <v>0</v>
      </c>
      <c r="H10" s="2020"/>
      <c r="I10" s="2021"/>
    </row>
    <row r="11" spans="1:21">
      <c r="A11" s="2036"/>
      <c r="B11" s="2564"/>
      <c r="C11" s="2472"/>
      <c r="D11" s="2140"/>
      <c r="E11" s="2568"/>
      <c r="F11" s="1966"/>
      <c r="G11" s="2570"/>
      <c r="H11" s="2027"/>
      <c r="I11" s="2025"/>
    </row>
    <row r="12" spans="1:21">
      <c r="A12" s="2036"/>
      <c r="B12" s="2564"/>
      <c r="C12" s="2274"/>
      <c r="D12" s="2141" t="s">
        <v>5247</v>
      </c>
      <c r="E12" s="2568"/>
      <c r="F12" s="2039">
        <v>0</v>
      </c>
      <c r="G12" s="2040"/>
      <c r="H12" s="2557">
        <f>IFERROR(ROUND(SUM(G10:G15)*F12/F13,0),0)</f>
        <v>0</v>
      </c>
      <c r="I12" s="2558">
        <f>SUM(G10:G15)-H12</f>
        <v>0</v>
      </c>
      <c r="L12" s="2010">
        <v>0</v>
      </c>
      <c r="M12" s="2010">
        <v>0</v>
      </c>
      <c r="N12" s="1882">
        <f>F12-SUM(L12:M12)</f>
        <v>0</v>
      </c>
    </row>
    <row r="13" spans="1:21">
      <c r="A13" s="2036"/>
      <c r="B13" s="2564"/>
      <c r="C13" s="2472"/>
      <c r="D13" s="2143"/>
      <c r="E13" s="2568"/>
      <c r="F13" s="2041">
        <v>0</v>
      </c>
      <c r="G13" s="2029"/>
      <c r="H13" s="2557"/>
      <c r="I13" s="2558"/>
      <c r="L13" s="1790">
        <f>+H12-SUM(J13:K13,M13:N13)</f>
        <v>0</v>
      </c>
      <c r="M13" s="1790">
        <f>IFERROR(ROUND(M12/F12*H12,0),0)</f>
        <v>0</v>
      </c>
      <c r="N13" s="1790">
        <f>IFERROR(ROUND(N12/F12*H12,0),0)</f>
        <v>0</v>
      </c>
      <c r="P13" s="1788">
        <f>+ROUND(K13*P$5/(1+P$5),0)</f>
        <v>0</v>
      </c>
      <c r="Q13" s="1788">
        <f>+ROUND(L13*Q$5/(1+Q$5),0)</f>
        <v>0</v>
      </c>
      <c r="R13" s="1788">
        <f>+ROUND(M13*R$5/(1+R$5),0)</f>
        <v>0</v>
      </c>
      <c r="S13" s="1788">
        <f>+ROUND(N13*S$5/(1+S$5),0)</f>
        <v>0</v>
      </c>
      <c r="T13" s="2054">
        <f>SUM(P13:S13)</f>
        <v>0</v>
      </c>
    </row>
    <row r="14" spans="1:21">
      <c r="A14" s="2036"/>
      <c r="B14" s="2564"/>
      <c r="C14" s="2248" t="s">
        <v>5247</v>
      </c>
      <c r="D14" s="2141" t="s">
        <v>5247</v>
      </c>
      <c r="E14" s="2568"/>
      <c r="F14" s="1966"/>
      <c r="G14" s="2023"/>
      <c r="H14" s="2027"/>
      <c r="I14" s="2025"/>
    </row>
    <row r="15" spans="1:21">
      <c r="A15" s="2036"/>
      <c r="B15" s="2564"/>
      <c r="C15" s="2470"/>
      <c r="D15" s="2142"/>
      <c r="E15" s="2568"/>
      <c r="F15" s="1966"/>
      <c r="G15" s="2040"/>
      <c r="H15" s="2027"/>
      <c r="I15" s="2025"/>
    </row>
    <row r="16" spans="1:21">
      <c r="A16" s="2036"/>
      <c r="B16" s="2564"/>
      <c r="C16" s="2582" t="s">
        <v>5245</v>
      </c>
      <c r="D16" s="2566" t="s">
        <v>5246</v>
      </c>
      <c r="E16" s="2567" t="s">
        <v>5317</v>
      </c>
      <c r="F16" s="2042"/>
      <c r="G16" s="2569">
        <v>0</v>
      </c>
      <c r="H16" s="2020"/>
      <c r="I16" s="2021"/>
    </row>
    <row r="17" spans="1:21">
      <c r="A17" s="2036"/>
      <c r="B17" s="2564"/>
      <c r="C17" s="2472"/>
      <c r="D17" s="2140"/>
      <c r="E17" s="2568"/>
      <c r="F17" s="1966"/>
      <c r="G17" s="2570"/>
      <c r="H17" s="2027"/>
      <c r="I17" s="2025"/>
    </row>
    <row r="18" spans="1:21">
      <c r="A18" s="2036"/>
      <c r="B18" s="2564"/>
      <c r="C18" s="2556" t="s">
        <v>5247</v>
      </c>
      <c r="D18" s="2140" t="s">
        <v>5247</v>
      </c>
      <c r="E18" s="2568"/>
      <c r="F18" s="2039">
        <v>0</v>
      </c>
      <c r="G18" s="2023"/>
      <c r="H18" s="2557">
        <f>IFERROR(ROUND(SUM(G16:G21)*F18/F19,0),0)</f>
        <v>0</v>
      </c>
      <c r="I18" s="2558">
        <f>SUM(G16:G21)-H18</f>
        <v>0</v>
      </c>
      <c r="L18" s="2010"/>
      <c r="M18" s="2010"/>
      <c r="N18" s="1882">
        <f>F18-SUM(L18:M18)</f>
        <v>0</v>
      </c>
    </row>
    <row r="19" spans="1:21">
      <c r="A19" s="2036"/>
      <c r="B19" s="2564"/>
      <c r="C19" s="2556"/>
      <c r="D19" s="2140"/>
      <c r="E19" s="2568"/>
      <c r="F19" s="2041">
        <v>0</v>
      </c>
      <c r="G19" s="2029"/>
      <c r="H19" s="2557"/>
      <c r="I19" s="2558"/>
      <c r="L19" s="1790">
        <f>+H18-SUM(J19:K19,M19:N19)</f>
        <v>0</v>
      </c>
      <c r="M19" s="1790">
        <f>IFERROR(ROUND(M18/F18*H18,0),0)</f>
        <v>0</v>
      </c>
      <c r="N19" s="1790">
        <f>IFERROR(ROUND(N18/F18*H18,0),0)</f>
        <v>0</v>
      </c>
      <c r="P19" s="1788">
        <f>+ROUND(K19*P$5/(1+P$5),0)</f>
        <v>0</v>
      </c>
      <c r="Q19" s="1788">
        <f t="shared" ref="Q19:R19" si="6">+ROUND(L19*Q$5/(1+Q$5),0)</f>
        <v>0</v>
      </c>
      <c r="R19" s="1788">
        <f t="shared" si="6"/>
        <v>0</v>
      </c>
      <c r="S19" s="1788">
        <f>+ROUND(N19*S$5/(1+S$5),0)</f>
        <v>0</v>
      </c>
      <c r="T19" s="2054">
        <f>SUM(P19:S19)</f>
        <v>0</v>
      </c>
    </row>
    <row r="20" spans="1:21">
      <c r="A20" s="2036"/>
      <c r="B20" s="2564"/>
      <c r="C20" s="2556" t="s">
        <v>5247</v>
      </c>
      <c r="D20" s="2140" t="s">
        <v>5248</v>
      </c>
      <c r="E20" s="2568"/>
      <c r="F20" s="1966"/>
      <c r="G20" s="2023"/>
      <c r="H20" s="2027"/>
      <c r="I20" s="2025"/>
    </row>
    <row r="21" spans="1:21">
      <c r="A21" s="2036"/>
      <c r="B21" s="2581"/>
      <c r="C21" s="2579"/>
      <c r="D21" s="2580"/>
      <c r="E21" s="2583"/>
      <c r="F21" s="2043"/>
      <c r="G21" s="2024"/>
      <c r="H21" s="1850"/>
      <c r="I21" s="1851"/>
      <c r="J21" s="1788"/>
    </row>
    <row r="22" spans="1:21">
      <c r="A22" s="2036"/>
      <c r="B22" s="2572" t="s">
        <v>5249</v>
      </c>
      <c r="C22" s="2573"/>
      <c r="D22" s="2461"/>
      <c r="E22" s="2483"/>
      <c r="F22" s="1692"/>
      <c r="G22" s="2229">
        <f>SUM(G24:G35)</f>
        <v>0</v>
      </c>
      <c r="H22" s="2229">
        <f t="shared" ref="H22:I22" si="7">SUM(H24:H35)</f>
        <v>0</v>
      </c>
      <c r="I22" s="2561">
        <f t="shared" si="7"/>
        <v>0</v>
      </c>
      <c r="J22" s="1788"/>
    </row>
    <row r="23" spans="1:21">
      <c r="A23" s="2036"/>
      <c r="B23" s="2574"/>
      <c r="C23" s="2575"/>
      <c r="D23" s="2576"/>
      <c r="E23" s="2577"/>
      <c r="F23" s="2037"/>
      <c r="G23" s="2578"/>
      <c r="H23" s="2578"/>
      <c r="I23" s="2562"/>
      <c r="J23" s="1788"/>
      <c r="L23" s="2038">
        <f t="shared" ref="L23:N23" si="8">+L27+L33</f>
        <v>0</v>
      </c>
      <c r="M23" s="2038">
        <f t="shared" si="8"/>
        <v>0</v>
      </c>
      <c r="N23" s="2038">
        <f t="shared" si="8"/>
        <v>0</v>
      </c>
      <c r="P23" s="2038">
        <f>+P27+P33</f>
        <v>0</v>
      </c>
      <c r="Q23" s="2038">
        <f t="shared" ref="Q23:T23" si="9">+Q27+Q33</f>
        <v>0</v>
      </c>
      <c r="R23" s="2038">
        <f t="shared" si="9"/>
        <v>0</v>
      </c>
      <c r="S23" s="2038">
        <f t="shared" si="9"/>
        <v>0</v>
      </c>
      <c r="T23" s="2038">
        <f t="shared" si="9"/>
        <v>0</v>
      </c>
      <c r="U23" s="2056">
        <f>+T23-'4条収入'!$AH$28</f>
        <v>0</v>
      </c>
    </row>
    <row r="24" spans="1:21">
      <c r="A24" s="2036"/>
      <c r="B24" s="2563" t="s">
        <v>5250</v>
      </c>
      <c r="C24" s="2582" t="s">
        <v>5245</v>
      </c>
      <c r="D24" s="2566" t="s">
        <v>5246</v>
      </c>
      <c r="E24" s="2567" t="str">
        <f>+E10</f>
        <v>4年度分
公共土木施設災害復旧事業費(補助事業現年分)の課税支出割合</v>
      </c>
      <c r="F24" s="1671"/>
      <c r="G24" s="2569">
        <v>0</v>
      </c>
      <c r="H24" s="2020"/>
      <c r="I24" s="2021"/>
    </row>
    <row r="25" spans="1:21">
      <c r="A25" s="2036"/>
      <c r="B25" s="2564"/>
      <c r="C25" s="2472"/>
      <c r="D25" s="2140"/>
      <c r="E25" s="2568"/>
      <c r="F25" s="1966"/>
      <c r="G25" s="2570"/>
      <c r="H25" s="2027"/>
      <c r="I25" s="2025"/>
    </row>
    <row r="26" spans="1:21">
      <c r="A26" s="2036"/>
      <c r="B26" s="2564"/>
      <c r="C26" s="2274"/>
      <c r="D26" s="2141" t="s">
        <v>5247</v>
      </c>
      <c r="E26" s="2568"/>
      <c r="F26" s="2039">
        <v>0</v>
      </c>
      <c r="G26" s="2023"/>
      <c r="H26" s="2557">
        <f>IFERROR(ROUND(SUM(G24:G29)*F26/F27,0),0)</f>
        <v>0</v>
      </c>
      <c r="I26" s="2558">
        <f>SUM(G24:G29)-H26</f>
        <v>0</v>
      </c>
      <c r="L26" s="2010"/>
      <c r="M26" s="2010"/>
      <c r="N26" s="1882">
        <f>F26-SUM(L26:M26)</f>
        <v>0</v>
      </c>
    </row>
    <row r="27" spans="1:21">
      <c r="A27" s="2036"/>
      <c r="B27" s="2564"/>
      <c r="C27" s="2472"/>
      <c r="D27" s="2143"/>
      <c r="E27" s="2568"/>
      <c r="F27" s="2039">
        <v>0</v>
      </c>
      <c r="G27" s="2029"/>
      <c r="H27" s="2557"/>
      <c r="I27" s="2558"/>
      <c r="L27" s="1790">
        <f>+H26-SUM(J27:K27,M27:N27)</f>
        <v>0</v>
      </c>
      <c r="M27" s="1790">
        <f>IFERROR(ROUND(M26/F26*H26,0),0)</f>
        <v>0</v>
      </c>
      <c r="N27" s="1790">
        <f>IFERROR(ROUND(N26/F26*H26,0),0)</f>
        <v>0</v>
      </c>
      <c r="P27" s="1788">
        <f>+ROUND(K27*P$5/(1+P$5),0)</f>
        <v>0</v>
      </c>
      <c r="Q27" s="1788">
        <f t="shared" ref="Q27:R27" si="10">+ROUND(L27*Q$5/(1+Q$5),0)</f>
        <v>0</v>
      </c>
      <c r="R27" s="1788">
        <f t="shared" si="10"/>
        <v>0</v>
      </c>
      <c r="S27" s="1788">
        <f>+ROUND(N27*S$5/(1+S$5),0)</f>
        <v>0</v>
      </c>
      <c r="T27" s="2054">
        <f>SUM(P27:S27)</f>
        <v>0</v>
      </c>
    </row>
    <row r="28" spans="1:21">
      <c r="A28" s="2036"/>
      <c r="B28" s="2564"/>
      <c r="C28" s="2248" t="s">
        <v>5247</v>
      </c>
      <c r="D28" s="2141" t="s">
        <v>5247</v>
      </c>
      <c r="E28" s="2568"/>
      <c r="F28" s="1966"/>
      <c r="G28" s="2023"/>
      <c r="H28" s="2027"/>
      <c r="I28" s="2025"/>
    </row>
    <row r="29" spans="1:21">
      <c r="A29" s="2036"/>
      <c r="B29" s="2564"/>
      <c r="C29" s="2470"/>
      <c r="D29" s="2142"/>
      <c r="E29" s="2568"/>
      <c r="F29" s="1966"/>
      <c r="G29" s="2040"/>
      <c r="H29" s="2027"/>
      <c r="I29" s="2025"/>
    </row>
    <row r="30" spans="1:21">
      <c r="A30" s="2036"/>
      <c r="B30" s="2564"/>
      <c r="C30" s="2582" t="s">
        <v>5245</v>
      </c>
      <c r="D30" s="2566" t="s">
        <v>5246</v>
      </c>
      <c r="E30" s="2567" t="str">
        <f>+E16</f>
        <v>3年度分
公共土木施設災害復旧事業費(補助事業繰越分)の課税支出割合</v>
      </c>
      <c r="F30" s="2042"/>
      <c r="G30" s="2569">
        <v>0</v>
      </c>
      <c r="H30" s="2020"/>
      <c r="I30" s="2021"/>
    </row>
    <row r="31" spans="1:21">
      <c r="A31" s="2036"/>
      <c r="B31" s="2564"/>
      <c r="C31" s="2472"/>
      <c r="D31" s="2140"/>
      <c r="E31" s="2568"/>
      <c r="F31" s="1966"/>
      <c r="G31" s="2570"/>
      <c r="H31" s="2027"/>
      <c r="I31" s="2025"/>
    </row>
    <row r="32" spans="1:21">
      <c r="A32" s="2036"/>
      <c r="B32" s="2564"/>
      <c r="C32" s="2556" t="s">
        <v>5247</v>
      </c>
      <c r="D32" s="2140" t="s">
        <v>5247</v>
      </c>
      <c r="E32" s="2568"/>
      <c r="F32" s="2039">
        <v>0</v>
      </c>
      <c r="G32" s="2023"/>
      <c r="H32" s="2557">
        <f>IFERROR(ROUND(SUM(G30:G35)*F32/F33,0),0)</f>
        <v>0</v>
      </c>
      <c r="I32" s="2558">
        <f>SUM(G30:G35)-H32</f>
        <v>0</v>
      </c>
      <c r="L32" s="2010"/>
      <c r="M32" s="2010"/>
      <c r="N32" s="1882">
        <f>F32-SUM(L32:M32)</f>
        <v>0</v>
      </c>
    </row>
    <row r="33" spans="1:21">
      <c r="A33" s="2036"/>
      <c r="B33" s="2564"/>
      <c r="C33" s="2556"/>
      <c r="D33" s="2140"/>
      <c r="E33" s="2568"/>
      <c r="F33" s="2041">
        <v>0</v>
      </c>
      <c r="G33" s="2029"/>
      <c r="H33" s="2557"/>
      <c r="I33" s="2558"/>
      <c r="L33" s="1790">
        <f>+H32-SUM(J33:K33,M33:N33)</f>
        <v>0</v>
      </c>
      <c r="M33" s="1790">
        <f>IFERROR(ROUND(M32/F32*H32,0),0)</f>
        <v>0</v>
      </c>
      <c r="N33" s="1790">
        <f>IFERROR(ROUND(N32/F32*H32,0),0)</f>
        <v>0</v>
      </c>
      <c r="P33" s="1788">
        <f>+ROUND(K33*P$5/(1+P$5),0)</f>
        <v>0</v>
      </c>
      <c r="Q33" s="1788">
        <f t="shared" ref="Q33:R33" si="11">+ROUND(L33*Q$5/(1+Q$5),0)</f>
        <v>0</v>
      </c>
      <c r="R33" s="1788">
        <f t="shared" si="11"/>
        <v>0</v>
      </c>
      <c r="S33" s="1788">
        <f>+ROUND(N33*S$5/(1+S$5),0)</f>
        <v>0</v>
      </c>
      <c r="T33" s="2054">
        <f>SUM(P33:S33)</f>
        <v>0</v>
      </c>
    </row>
    <row r="34" spans="1:21">
      <c r="A34" s="2036"/>
      <c r="B34" s="2564"/>
      <c r="C34" s="2556" t="s">
        <v>5247</v>
      </c>
      <c r="D34" s="2140" t="s">
        <v>5248</v>
      </c>
      <c r="E34" s="2568"/>
      <c r="F34" s="1966"/>
      <c r="G34" s="2023"/>
      <c r="H34" s="2027"/>
      <c r="I34" s="2025"/>
    </row>
    <row r="35" spans="1:21">
      <c r="A35" s="2036"/>
      <c r="B35" s="2581"/>
      <c r="C35" s="2579"/>
      <c r="D35" s="2580"/>
      <c r="E35" s="2583"/>
      <c r="F35" s="2043"/>
      <c r="G35" s="2024"/>
      <c r="H35" s="1850"/>
      <c r="I35" s="1851"/>
      <c r="J35" s="1788"/>
    </row>
    <row r="36" spans="1:21">
      <c r="A36" s="2036"/>
      <c r="B36" s="2572" t="s">
        <v>5251</v>
      </c>
      <c r="C36" s="2573"/>
      <c r="D36" s="2461"/>
      <c r="E36" s="2483"/>
      <c r="F36" s="1692"/>
      <c r="G36" s="2229">
        <f>SUM(G38:G49)</f>
        <v>0</v>
      </c>
      <c r="H36" s="2229">
        <f t="shared" ref="H36:I36" si="12">SUM(H38:H49)</f>
        <v>0</v>
      </c>
      <c r="I36" s="2561">
        <f t="shared" si="12"/>
        <v>0</v>
      </c>
      <c r="J36" s="1788"/>
    </row>
    <row r="37" spans="1:21">
      <c r="A37" s="2036"/>
      <c r="B37" s="2574"/>
      <c r="C37" s="2575"/>
      <c r="D37" s="2576"/>
      <c r="E37" s="2577"/>
      <c r="F37" s="2037"/>
      <c r="G37" s="2578"/>
      <c r="H37" s="2578"/>
      <c r="I37" s="2562"/>
      <c r="J37" s="1788"/>
      <c r="L37" s="2038">
        <f t="shared" ref="L37:N37" si="13">+L41+L47</f>
        <v>0</v>
      </c>
      <c r="M37" s="2038">
        <f t="shared" si="13"/>
        <v>0</v>
      </c>
      <c r="N37" s="2038">
        <f t="shared" si="13"/>
        <v>0</v>
      </c>
      <c r="P37" s="2038">
        <f>+P41+P47</f>
        <v>0</v>
      </c>
      <c r="Q37" s="2038">
        <f t="shared" ref="Q37:T37" si="14">+Q41+Q47</f>
        <v>0</v>
      </c>
      <c r="R37" s="2038">
        <f t="shared" si="14"/>
        <v>0</v>
      </c>
      <c r="S37" s="2038">
        <f t="shared" si="14"/>
        <v>0</v>
      </c>
      <c r="T37" s="2038">
        <f t="shared" si="14"/>
        <v>0</v>
      </c>
      <c r="U37" s="2056">
        <f>+T37-'4条収入'!$AH$29</f>
        <v>0</v>
      </c>
    </row>
    <row r="38" spans="1:21" ht="13.5" customHeight="1">
      <c r="A38" s="2036"/>
      <c r="B38" s="2563" t="s">
        <v>5252</v>
      </c>
      <c r="C38" s="2534" t="s">
        <v>5253</v>
      </c>
      <c r="D38" s="2566" t="s">
        <v>5254</v>
      </c>
      <c r="E38" s="2567" t="s">
        <v>5318</v>
      </c>
      <c r="F38" s="1671"/>
      <c r="G38" s="2569">
        <v>0</v>
      </c>
      <c r="H38" s="2020"/>
      <c r="I38" s="2021"/>
    </row>
    <row r="39" spans="1:21">
      <c r="A39" s="2036"/>
      <c r="B39" s="2564"/>
      <c r="C39" s="2275"/>
      <c r="D39" s="2140"/>
      <c r="E39" s="2568"/>
      <c r="F39" s="1966"/>
      <c r="G39" s="2570"/>
      <c r="H39" s="2027"/>
      <c r="I39" s="2025"/>
    </row>
    <row r="40" spans="1:21" ht="13.5" customHeight="1">
      <c r="A40" s="2036"/>
      <c r="B40" s="2564"/>
      <c r="C40" s="2274"/>
      <c r="D40" s="2141" t="s">
        <v>5247</v>
      </c>
      <c r="E40" s="2568"/>
      <c r="F40" s="2039">
        <v>0</v>
      </c>
      <c r="G40" s="2023"/>
      <c r="H40" s="2557">
        <f>IFERROR(ROUND(SUM(G38:G43)*F40/F41,0),0)</f>
        <v>0</v>
      </c>
      <c r="I40" s="2558">
        <f>SUM(G38:G43)-H40</f>
        <v>0</v>
      </c>
      <c r="L40" s="2010">
        <v>0</v>
      </c>
      <c r="M40" s="2010">
        <v>0</v>
      </c>
      <c r="N40" s="1882">
        <f>F40-SUM(L40:M40)</f>
        <v>0</v>
      </c>
    </row>
    <row r="41" spans="1:21">
      <c r="A41" s="2036"/>
      <c r="B41" s="2564"/>
      <c r="C41" s="2472"/>
      <c r="D41" s="2143"/>
      <c r="E41" s="2568"/>
      <c r="F41" s="2041">
        <v>0</v>
      </c>
      <c r="G41" s="2029"/>
      <c r="H41" s="2557"/>
      <c r="I41" s="2558"/>
      <c r="L41" s="1790">
        <f>+H40-SUM(J41:K41,M41:N41)</f>
        <v>0</v>
      </c>
      <c r="M41" s="1790">
        <f>IFERROR(ROUND(M40/F40*H40,0),0)</f>
        <v>0</v>
      </c>
      <c r="N41" s="1790">
        <f>IFERROR(ROUND(N40/F40*H40,0),0)</f>
        <v>0</v>
      </c>
      <c r="P41" s="1788">
        <f>+ROUND(K41*P$5/(1+P$5),0)</f>
        <v>0</v>
      </c>
      <c r="Q41" s="1788">
        <f t="shared" ref="Q41:R41" si="15">+ROUND(L41*Q$5/(1+Q$5),0)</f>
        <v>0</v>
      </c>
      <c r="R41" s="1788">
        <f t="shared" si="15"/>
        <v>0</v>
      </c>
      <c r="S41" s="1788">
        <f>+ROUND(N41*S$5/(1+S$5),0)</f>
        <v>0</v>
      </c>
      <c r="T41" s="2054">
        <f>SUM(P41:S41)</f>
        <v>0</v>
      </c>
    </row>
    <row r="42" spans="1:21" ht="13.5" customHeight="1">
      <c r="A42" s="2036"/>
      <c r="B42" s="2564"/>
      <c r="C42" s="2248" t="s">
        <v>5247</v>
      </c>
      <c r="D42" s="2141" t="s">
        <v>5247</v>
      </c>
      <c r="E42" s="2568"/>
      <c r="F42" s="1966"/>
      <c r="G42" s="2023"/>
      <c r="H42" s="2027"/>
      <c r="I42" s="2025"/>
    </row>
    <row r="43" spans="1:21">
      <c r="A43" s="2036"/>
      <c r="B43" s="2564"/>
      <c r="C43" s="2470"/>
      <c r="D43" s="2142"/>
      <c r="E43" s="2568"/>
      <c r="F43" s="1966"/>
      <c r="G43" s="2040"/>
      <c r="H43" s="2027"/>
      <c r="I43" s="2025"/>
    </row>
    <row r="44" spans="1:21">
      <c r="A44" s="2036"/>
      <c r="B44" s="2564"/>
      <c r="C44" s="2534" t="s">
        <v>5253</v>
      </c>
      <c r="D44" s="2566" t="s">
        <v>5254</v>
      </c>
      <c r="E44" s="2567" t="s">
        <v>5319</v>
      </c>
      <c r="F44" s="2042"/>
      <c r="G44" s="2569">
        <v>0</v>
      </c>
      <c r="H44" s="2020"/>
      <c r="I44" s="2021"/>
    </row>
    <row r="45" spans="1:21">
      <c r="A45" s="2036"/>
      <c r="B45" s="2564"/>
      <c r="C45" s="2275"/>
      <c r="D45" s="2140"/>
      <c r="E45" s="2568"/>
      <c r="F45" s="1966"/>
      <c r="G45" s="2570"/>
      <c r="H45" s="2027"/>
      <c r="I45" s="2025"/>
    </row>
    <row r="46" spans="1:21">
      <c r="A46" s="2036"/>
      <c r="B46" s="2564"/>
      <c r="C46" s="2556" t="s">
        <v>5247</v>
      </c>
      <c r="D46" s="2140" t="s">
        <v>5247</v>
      </c>
      <c r="E46" s="2568"/>
      <c r="F46" s="2039">
        <v>0</v>
      </c>
      <c r="G46" s="2023"/>
      <c r="H46" s="2557">
        <f>IFERROR(ROUND(SUM(G44:G49)*F46/F47,0),0)</f>
        <v>0</v>
      </c>
      <c r="I46" s="2558">
        <f>SUM(G44:G49)-H46</f>
        <v>0</v>
      </c>
      <c r="L46" s="2010"/>
      <c r="M46" s="2010"/>
      <c r="N46" s="1882">
        <f>F46-SUM(L46:M46)</f>
        <v>0</v>
      </c>
    </row>
    <row r="47" spans="1:21">
      <c r="A47" s="2036"/>
      <c r="B47" s="2564"/>
      <c r="C47" s="2556"/>
      <c r="D47" s="2140"/>
      <c r="E47" s="2568"/>
      <c r="F47" s="2039">
        <v>0</v>
      </c>
      <c r="G47" s="2029"/>
      <c r="H47" s="2557"/>
      <c r="I47" s="2558"/>
      <c r="L47" s="1790">
        <f>+H46-SUM(J47:K47,M47:N47)</f>
        <v>0</v>
      </c>
      <c r="M47" s="1790">
        <f>IFERROR(ROUND(M46/F46*H46,0),0)</f>
        <v>0</v>
      </c>
      <c r="N47" s="1790">
        <f>IFERROR(ROUND(N46/F46*H46,0),0)</f>
        <v>0</v>
      </c>
      <c r="P47" s="1788">
        <f>+ROUND(K47*P$5/(1+P$5),0)</f>
        <v>0</v>
      </c>
      <c r="Q47" s="1788">
        <f t="shared" ref="Q47:R47" si="16">+ROUND(L47*Q$5/(1+Q$5),0)</f>
        <v>0</v>
      </c>
      <c r="R47" s="1788">
        <f t="shared" si="16"/>
        <v>0</v>
      </c>
      <c r="S47" s="1788">
        <f>+ROUND(N47*S$5/(1+S$5),0)</f>
        <v>0</v>
      </c>
      <c r="T47" s="2054">
        <f>SUM(P47:S47)</f>
        <v>0</v>
      </c>
    </row>
    <row r="48" spans="1:21">
      <c r="A48" s="2036"/>
      <c r="B48" s="2564"/>
      <c r="C48" s="2556" t="s">
        <v>5247</v>
      </c>
      <c r="D48" s="2140" t="s">
        <v>5248</v>
      </c>
      <c r="E48" s="2568"/>
      <c r="F48" s="1966"/>
      <c r="G48" s="2023"/>
      <c r="H48" s="2027"/>
      <c r="I48" s="2025"/>
    </row>
    <row r="49" spans="1:21">
      <c r="A49" s="2036"/>
      <c r="B49" s="2564"/>
      <c r="C49" s="2248"/>
      <c r="D49" s="2141"/>
      <c r="E49" s="2568"/>
      <c r="F49" s="1966"/>
      <c r="G49" s="2040"/>
      <c r="H49" s="2022"/>
      <c r="I49" s="1847"/>
      <c r="J49" s="1788"/>
    </row>
    <row r="50" spans="1:21">
      <c r="A50" s="2036"/>
      <c r="B50" s="2572" t="s">
        <v>5255</v>
      </c>
      <c r="C50" s="2573"/>
      <c r="D50" s="2461"/>
      <c r="E50" s="2483"/>
      <c r="F50" s="1692"/>
      <c r="G50" s="2229">
        <f>SUM(G52:G63)</f>
        <v>0</v>
      </c>
      <c r="H50" s="2229">
        <f t="shared" ref="H50:I50" si="17">SUM(H52:H63)</f>
        <v>0</v>
      </c>
      <c r="I50" s="2561">
        <f t="shared" si="17"/>
        <v>0</v>
      </c>
      <c r="J50" s="1788"/>
    </row>
    <row r="51" spans="1:21">
      <c r="A51" s="2036"/>
      <c r="B51" s="2574"/>
      <c r="C51" s="2575"/>
      <c r="D51" s="2576"/>
      <c r="E51" s="2577"/>
      <c r="F51" s="2037"/>
      <c r="G51" s="2578"/>
      <c r="H51" s="2578"/>
      <c r="I51" s="2562"/>
      <c r="J51" s="1788"/>
      <c r="L51" s="2038">
        <f t="shared" ref="L51:N51" si="18">+L55+L61</f>
        <v>0</v>
      </c>
      <c r="M51" s="2038">
        <f t="shared" si="18"/>
        <v>0</v>
      </c>
      <c r="N51" s="2038">
        <f t="shared" si="18"/>
        <v>0</v>
      </c>
      <c r="P51" s="2038">
        <f>+P55+P61</f>
        <v>0</v>
      </c>
      <c r="Q51" s="2038">
        <f t="shared" ref="Q51:T51" si="19">+Q55+Q61</f>
        <v>0</v>
      </c>
      <c r="R51" s="2038">
        <f t="shared" si="19"/>
        <v>0</v>
      </c>
      <c r="S51" s="2038">
        <f t="shared" si="19"/>
        <v>0</v>
      </c>
      <c r="T51" s="2038">
        <f t="shared" si="19"/>
        <v>0</v>
      </c>
      <c r="U51" s="2056">
        <f>+T51-'4条収入'!$AH$30</f>
        <v>0</v>
      </c>
    </row>
    <row r="52" spans="1:21">
      <c r="A52" s="2036"/>
      <c r="B52" s="2563" t="s">
        <v>5256</v>
      </c>
      <c r="C52" s="2534"/>
      <c r="D52" s="2566"/>
      <c r="E52" s="2567"/>
      <c r="F52" s="1671"/>
      <c r="G52" s="2569"/>
      <c r="H52" s="2020"/>
      <c r="I52" s="2021"/>
    </row>
    <row r="53" spans="1:21">
      <c r="A53" s="2036"/>
      <c r="B53" s="2564"/>
      <c r="C53" s="2275"/>
      <c r="D53" s="2140"/>
      <c r="E53" s="2568"/>
      <c r="F53" s="1966"/>
      <c r="G53" s="2570"/>
      <c r="H53" s="2027"/>
      <c r="I53" s="2025"/>
    </row>
    <row r="54" spans="1:21">
      <c r="A54" s="2036"/>
      <c r="B54" s="2564"/>
      <c r="C54" s="2274"/>
      <c r="D54" s="2141"/>
      <c r="E54" s="2568"/>
      <c r="F54" s="2039"/>
      <c r="G54" s="2023"/>
      <c r="H54" s="2557">
        <f>IFERROR(ROUND(SUM(G52:G57)*F54/F55,0),0)</f>
        <v>0</v>
      </c>
      <c r="I54" s="2558">
        <f>SUM(G52:G57)-H54</f>
        <v>0</v>
      </c>
      <c r="L54" s="2010"/>
      <c r="M54" s="2010"/>
      <c r="N54" s="1882">
        <f>F54-SUM(L54:M54)</f>
        <v>0</v>
      </c>
    </row>
    <row r="55" spans="1:21">
      <c r="A55" s="2036"/>
      <c r="B55" s="2564"/>
      <c r="C55" s="2472"/>
      <c r="D55" s="2143"/>
      <c r="E55" s="2568"/>
      <c r="F55" s="2041"/>
      <c r="G55" s="2029"/>
      <c r="H55" s="2557"/>
      <c r="I55" s="2558"/>
      <c r="L55" s="1790">
        <f>+H54-SUM(J55:K55,M55:N55)</f>
        <v>0</v>
      </c>
      <c r="M55" s="1790">
        <f>IFERROR(ROUND(M54/F54*H54,0),0)</f>
        <v>0</v>
      </c>
      <c r="N55" s="1790">
        <f>IFERROR(ROUND(N54/F54*H54,0),0)</f>
        <v>0</v>
      </c>
      <c r="P55" s="1788">
        <f>+ROUND(K55*P$5/(1+P$5),0)</f>
        <v>0</v>
      </c>
      <c r="Q55" s="1788">
        <f t="shared" ref="Q55:R55" si="20">+ROUND(L55*Q$5/(1+Q$5),0)</f>
        <v>0</v>
      </c>
      <c r="R55" s="1788">
        <f t="shared" si="20"/>
        <v>0</v>
      </c>
      <c r="S55" s="1788">
        <f>+ROUND(N55*S$5/(1+S$5),0)</f>
        <v>0</v>
      </c>
      <c r="T55" s="2054">
        <f>SUM(P55:S55)</f>
        <v>0</v>
      </c>
    </row>
    <row r="56" spans="1:21">
      <c r="A56" s="2036"/>
      <c r="B56" s="2564"/>
      <c r="C56" s="2248"/>
      <c r="D56" s="2141"/>
      <c r="E56" s="2568"/>
      <c r="F56" s="1966"/>
      <c r="G56" s="2023"/>
      <c r="H56" s="2027"/>
      <c r="I56" s="2025"/>
    </row>
    <row r="57" spans="1:21">
      <c r="A57" s="2036"/>
      <c r="B57" s="2564"/>
      <c r="C57" s="2470"/>
      <c r="D57" s="2142"/>
      <c r="E57" s="2568"/>
      <c r="F57" s="1966"/>
      <c r="G57" s="2040"/>
      <c r="H57" s="2027"/>
      <c r="I57" s="2025"/>
    </row>
    <row r="58" spans="1:21">
      <c r="A58" s="2036"/>
      <c r="B58" s="2564"/>
      <c r="C58" s="2534"/>
      <c r="D58" s="2566"/>
      <c r="E58" s="2567"/>
      <c r="F58" s="2042"/>
      <c r="G58" s="2569"/>
      <c r="H58" s="2020"/>
      <c r="I58" s="2021"/>
    </row>
    <row r="59" spans="1:21">
      <c r="A59" s="2036"/>
      <c r="B59" s="2564"/>
      <c r="C59" s="2275"/>
      <c r="D59" s="2140"/>
      <c r="E59" s="2568"/>
      <c r="F59" s="1966"/>
      <c r="G59" s="2570"/>
      <c r="H59" s="2027"/>
      <c r="I59" s="2025"/>
    </row>
    <row r="60" spans="1:21">
      <c r="A60" s="2036"/>
      <c r="B60" s="2564"/>
      <c r="C60" s="2556" t="s">
        <v>5247</v>
      </c>
      <c r="D60" s="2140" t="s">
        <v>5247</v>
      </c>
      <c r="E60" s="2568"/>
      <c r="F60" s="2039"/>
      <c r="G60" s="2023"/>
      <c r="H60" s="2557">
        <f>IFERROR(ROUND(SUM(G58:G63)*F60/F61,0),0)</f>
        <v>0</v>
      </c>
      <c r="I60" s="2558">
        <f>SUM(G58:G63)-H60</f>
        <v>0</v>
      </c>
      <c r="L60" s="2010"/>
      <c r="M60" s="2010"/>
      <c r="N60" s="1882">
        <f>F60-SUM(L60:M60)</f>
        <v>0</v>
      </c>
    </row>
    <row r="61" spans="1:21">
      <c r="A61" s="2036"/>
      <c r="B61" s="2564"/>
      <c r="C61" s="2556"/>
      <c r="D61" s="2140"/>
      <c r="E61" s="2568"/>
      <c r="F61" s="2041"/>
      <c r="G61" s="2029"/>
      <c r="H61" s="2557"/>
      <c r="I61" s="2558"/>
      <c r="L61" s="1790">
        <f>+H60-SUM(J61:K61,M61:N61)</f>
        <v>0</v>
      </c>
      <c r="M61" s="1790">
        <f>IFERROR(ROUND(M60/F60*H60,0),0)</f>
        <v>0</v>
      </c>
      <c r="N61" s="1790">
        <f>IFERROR(ROUND(N60/F60*H60,0),0)</f>
        <v>0</v>
      </c>
      <c r="P61" s="1788">
        <f>+ROUND(K61*P$5/(1+P$5),0)</f>
        <v>0</v>
      </c>
      <c r="Q61" s="1788">
        <f t="shared" ref="Q61:R61" si="21">+ROUND(L61*Q$5/(1+Q$5),0)</f>
        <v>0</v>
      </c>
      <c r="R61" s="1788">
        <f t="shared" si="21"/>
        <v>0</v>
      </c>
      <c r="S61" s="1788">
        <f>+ROUND(N61*S$5/(1+S$5),0)</f>
        <v>0</v>
      </c>
      <c r="T61" s="2054">
        <f>SUM(P61:S61)</f>
        <v>0</v>
      </c>
    </row>
    <row r="62" spans="1:21">
      <c r="A62" s="2036"/>
      <c r="B62" s="2564"/>
      <c r="C62" s="2556" t="s">
        <v>5247</v>
      </c>
      <c r="D62" s="2140" t="s">
        <v>5248</v>
      </c>
      <c r="E62" s="2568"/>
      <c r="F62" s="1966"/>
      <c r="G62" s="2023"/>
      <c r="H62" s="2027"/>
      <c r="I62" s="2025"/>
    </row>
    <row r="63" spans="1:21" ht="14.25" thickBot="1">
      <c r="A63" s="2044"/>
      <c r="B63" s="2565"/>
      <c r="C63" s="2559"/>
      <c r="D63" s="2560"/>
      <c r="E63" s="2571"/>
      <c r="F63" s="2045"/>
      <c r="G63" s="2026"/>
      <c r="H63" s="1857"/>
      <c r="I63" s="1858"/>
      <c r="J63" s="1788"/>
    </row>
    <row r="64" spans="1:21">
      <c r="F64" s="1932" t="s">
        <v>5257</v>
      </c>
      <c r="G64" s="1815">
        <f>+'4条収入'!$E$26</f>
        <v>0</v>
      </c>
    </row>
    <row r="65" spans="6:7">
      <c r="F65" s="1932" t="s">
        <v>5258</v>
      </c>
      <c r="G65" s="1815">
        <f>+G6-G64</f>
        <v>0</v>
      </c>
    </row>
  </sheetData>
  <mergeCells count="121">
    <mergeCell ref="G50:G51"/>
    <mergeCell ref="H50:H51"/>
    <mergeCell ref="I50:I51"/>
    <mergeCell ref="B52:B63"/>
    <mergeCell ref="C52:C53"/>
    <mergeCell ref="D52:D53"/>
    <mergeCell ref="E52:E57"/>
    <mergeCell ref="G52:G53"/>
    <mergeCell ref="C54:C55"/>
    <mergeCell ref="D54:D55"/>
    <mergeCell ref="H54:H55"/>
    <mergeCell ref="I54:I55"/>
    <mergeCell ref="C56:C57"/>
    <mergeCell ref="D56:D57"/>
    <mergeCell ref="C58:C59"/>
    <mergeCell ref="D58:D59"/>
    <mergeCell ref="I60:I61"/>
    <mergeCell ref="C62:C63"/>
    <mergeCell ref="D62:D63"/>
    <mergeCell ref="E58:E63"/>
    <mergeCell ref="G58:G59"/>
    <mergeCell ref="C60:C61"/>
    <mergeCell ref="D60:D61"/>
    <mergeCell ref="H60:H61"/>
    <mergeCell ref="C48:C49"/>
    <mergeCell ref="D48:D49"/>
    <mergeCell ref="B50:C51"/>
    <mergeCell ref="D50:D51"/>
    <mergeCell ref="E50:E51"/>
    <mergeCell ref="B36:C37"/>
    <mergeCell ref="E36:E37"/>
    <mergeCell ref="H36:H37"/>
    <mergeCell ref="I36:I37"/>
    <mergeCell ref="B38:B49"/>
    <mergeCell ref="E38:E43"/>
    <mergeCell ref="H40:H41"/>
    <mergeCell ref="I40:I41"/>
    <mergeCell ref="C44:C45"/>
    <mergeCell ref="D44:D45"/>
    <mergeCell ref="E44:E49"/>
    <mergeCell ref="G44:G45"/>
    <mergeCell ref="C46:C47"/>
    <mergeCell ref="D46:D47"/>
    <mergeCell ref="H46:H47"/>
    <mergeCell ref="I46:I47"/>
    <mergeCell ref="G36:G37"/>
    <mergeCell ref="G38:G39"/>
    <mergeCell ref="D36:D37"/>
    <mergeCell ref="B24:B35"/>
    <mergeCell ref="E24:E29"/>
    <mergeCell ref="H26:H27"/>
    <mergeCell ref="I26:I27"/>
    <mergeCell ref="E30:E35"/>
    <mergeCell ref="H32:H33"/>
    <mergeCell ref="I32:I33"/>
    <mergeCell ref="G30:G31"/>
    <mergeCell ref="C32:C33"/>
    <mergeCell ref="D32:D33"/>
    <mergeCell ref="C26:C27"/>
    <mergeCell ref="C24:C25"/>
    <mergeCell ref="D24:D25"/>
    <mergeCell ref="G24:G25"/>
    <mergeCell ref="I18:I19"/>
    <mergeCell ref="D18:D19"/>
    <mergeCell ref="D16:D17"/>
    <mergeCell ref="C16:C17"/>
    <mergeCell ref="C20:C21"/>
    <mergeCell ref="B22:C23"/>
    <mergeCell ref="E22:E23"/>
    <mergeCell ref="H22:H23"/>
    <mergeCell ref="I22:I23"/>
    <mergeCell ref="D22:D23"/>
    <mergeCell ref="G22:G23"/>
    <mergeCell ref="D42:D43"/>
    <mergeCell ref="D40:D41"/>
    <mergeCell ref="C38:C39"/>
    <mergeCell ref="D38:D39"/>
    <mergeCell ref="C40:C41"/>
    <mergeCell ref="C42:C43"/>
    <mergeCell ref="A6:C7"/>
    <mergeCell ref="D8:D9"/>
    <mergeCell ref="C12:C13"/>
    <mergeCell ref="D12:D13"/>
    <mergeCell ref="D6:D7"/>
    <mergeCell ref="D26:D27"/>
    <mergeCell ref="D28:D29"/>
    <mergeCell ref="C28:C29"/>
    <mergeCell ref="C34:C35"/>
    <mergeCell ref="D34:D35"/>
    <mergeCell ref="D20:D21"/>
    <mergeCell ref="B8:C9"/>
    <mergeCell ref="C14:C15"/>
    <mergeCell ref="D14:D15"/>
    <mergeCell ref="C30:C31"/>
    <mergeCell ref="D30:D31"/>
    <mergeCell ref="C10:C11"/>
    <mergeCell ref="D10:D11"/>
    <mergeCell ref="A1:I1"/>
    <mergeCell ref="A4:C5"/>
    <mergeCell ref="D4:D5"/>
    <mergeCell ref="E4:E5"/>
    <mergeCell ref="G4:G5"/>
    <mergeCell ref="H4:H5"/>
    <mergeCell ref="I4:I5"/>
    <mergeCell ref="E6:E7"/>
    <mergeCell ref="C18:C19"/>
    <mergeCell ref="I6:I7"/>
    <mergeCell ref="G8:G9"/>
    <mergeCell ref="H6:H7"/>
    <mergeCell ref="G6:G7"/>
    <mergeCell ref="G16:G17"/>
    <mergeCell ref="G10:G11"/>
    <mergeCell ref="E8:E9"/>
    <mergeCell ref="H8:H9"/>
    <mergeCell ref="I8:I9"/>
    <mergeCell ref="B10:B21"/>
    <mergeCell ref="E10:E15"/>
    <mergeCell ref="H12:H13"/>
    <mergeCell ref="I12:I13"/>
    <mergeCell ref="E16:E21"/>
    <mergeCell ref="H18:H19"/>
  </mergeCells>
  <phoneticPr fontId="2"/>
  <printOptions horizontalCentered="1"/>
  <pageMargins left="0.59055118110236227" right="0.39370078740157483" top="0.98425196850393704" bottom="0.98425196850393704" header="0.51181102362204722" footer="0.51181102362204722"/>
  <pageSetup paperSize="9" scale="75" orientation="portrait" horizontalDpi="400" verticalDpi="400" r:id="rId1"/>
  <headerFooter alignWithMargins="0">
    <oddFooter>&amp;L&amp;6&amp;F &amp;A&amp;R&amp;6&amp;D &amp;T</oddFooter>
  </headerFooter>
  <drawing r:id="rId2"/>
  <legacyDrawing r:id="rId3"/>
</worksheet>
</file>

<file path=xl/worksheets/w6_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66FF33"/>
  </sheetPr>
  <dimension ref="A1:V46"/>
  <sheetViews>
    <sheetView view="pageBreakPreview" zoomScale="85" zoomScaleNormal="85" zoomScaleSheetLayoutView="85" workbookViewId="0">
      <pane xSplit="3" ySplit="5" topLeftCell="D6" activePane="bottomRight" state="frozen"/>
      <selection activeCell="S7" sqref="S7"/>
      <selection pane="topRight" activeCell="S7" sqref="S7"/>
      <selection pane="bottomLeft" activeCell="S7" sqref="S7"/>
      <selection pane="bottomRight" activeCell="G6" sqref="G6:G7"/>
    </sheetView>
  </sheetViews>
  <sheetFormatPr defaultColWidth="9" defaultRowHeight="13.5"/>
  <cols>
    <col min="1" max="1" width="3.625" style="1789" customWidth="1"/>
    <col min="2" max="2" width="4.625" style="1789" customWidth="1"/>
    <col min="3" max="3" width="19.625" style="1789" customWidth="1"/>
    <col min="4" max="5" width="23.625" style="1789" customWidth="1"/>
    <col min="6" max="6" width="15.875" style="1788" customWidth="1"/>
    <col min="7" max="9" width="12.625" style="1788" customWidth="1"/>
    <col min="10" max="10" width="7.875" style="1788" customWidth="1"/>
    <col min="11" max="14" width="12.625" style="1788" customWidth="1"/>
    <col min="15" max="15" width="9" style="1789"/>
    <col min="16" max="20" width="12.625" style="1789" customWidth="1"/>
    <col min="21" max="21" width="14.875" style="1789" customWidth="1"/>
    <col min="22" max="22" width="19" style="1789" customWidth="1"/>
    <col min="23" max="23" width="14.875" style="1789" customWidth="1"/>
    <col min="24" max="16384" width="9" style="1789"/>
  </cols>
  <sheetData>
    <row r="1" spans="1:22" ht="17.25" customHeight="1">
      <c r="A1" s="2302" t="str">
        <f>+"令和"&amp;MID('総括表(不課税)'!A2,3,1)&amp;"年度決算　不課税収入区分表(工事負担金)"</f>
        <v>令和５年度決算　不課税収入区分表(工事負担金)</v>
      </c>
      <c r="B1" s="2302"/>
      <c r="C1" s="2302"/>
      <c r="D1" s="2302"/>
      <c r="E1" s="2302"/>
      <c r="F1" s="2302"/>
      <c r="G1" s="2302"/>
      <c r="H1" s="2302"/>
      <c r="I1" s="2302"/>
    </row>
    <row r="2" spans="1:22" ht="17.25" customHeight="1">
      <c r="A2" s="1744"/>
      <c r="B2" s="1744"/>
      <c r="C2" s="1744"/>
      <c r="D2" s="1744"/>
      <c r="E2" s="1744"/>
      <c r="F2" s="1815"/>
      <c r="G2" s="1815"/>
      <c r="H2" s="1815"/>
      <c r="I2" s="1815"/>
    </row>
    <row r="3" spans="1:22" ht="17.25" customHeight="1" thickBot="1">
      <c r="A3" s="1744"/>
      <c r="B3" s="1744"/>
      <c r="C3" s="1744"/>
      <c r="D3" s="1744"/>
      <c r="E3" s="1744"/>
      <c r="F3" s="1815"/>
      <c r="G3" s="1815"/>
      <c r="H3" s="1815"/>
      <c r="I3" s="1816" t="s">
        <v>4850</v>
      </c>
    </row>
    <row r="4" spans="1:22" ht="24.95" customHeight="1">
      <c r="A4" s="2616" t="s">
        <v>4792</v>
      </c>
      <c r="B4" s="2617"/>
      <c r="C4" s="2618"/>
      <c r="D4" s="2622" t="s">
        <v>4851</v>
      </c>
      <c r="E4" s="2622" t="s">
        <v>4852</v>
      </c>
      <c r="F4" s="1817" t="s">
        <v>4853</v>
      </c>
      <c r="G4" s="2421" t="s">
        <v>4824</v>
      </c>
      <c r="H4" s="2421" t="s">
        <v>4826</v>
      </c>
      <c r="I4" s="2415" t="s">
        <v>4827</v>
      </c>
      <c r="J4" s="1818" t="s">
        <v>5161</v>
      </c>
      <c r="K4" s="1819"/>
      <c r="L4" s="1819"/>
      <c r="M4" s="1819"/>
      <c r="P4" s="1789" t="s">
        <v>5265</v>
      </c>
    </row>
    <row r="5" spans="1:22" ht="24.95" customHeight="1">
      <c r="A5" s="2619"/>
      <c r="B5" s="2620"/>
      <c r="C5" s="2621"/>
      <c r="D5" s="2623"/>
      <c r="E5" s="2623"/>
      <c r="F5" s="1820" t="s">
        <v>4846</v>
      </c>
      <c r="G5" s="2422"/>
      <c r="H5" s="2422"/>
      <c r="I5" s="2416"/>
      <c r="J5" s="1968">
        <v>0.03</v>
      </c>
      <c r="K5" s="1840">
        <v>0.05</v>
      </c>
      <c r="L5" s="1829">
        <v>0.08</v>
      </c>
      <c r="M5" s="2059">
        <v>0.08</v>
      </c>
      <c r="N5" s="1840">
        <v>0.1</v>
      </c>
      <c r="P5" s="1829">
        <v>0.05</v>
      </c>
      <c r="Q5" s="1829">
        <v>0.08</v>
      </c>
      <c r="R5" s="2059">
        <v>0.08</v>
      </c>
      <c r="S5" s="1840">
        <v>0.1</v>
      </c>
      <c r="T5" s="2051" t="s">
        <v>5266</v>
      </c>
      <c r="U5" s="1789" t="s">
        <v>5267</v>
      </c>
    </row>
    <row r="6" spans="1:22" ht="24.95" customHeight="1">
      <c r="A6" s="2604" t="s">
        <v>4809</v>
      </c>
      <c r="B6" s="2605"/>
      <c r="C6" s="2606"/>
      <c r="D6" s="2613"/>
      <c r="E6" s="2613"/>
      <c r="F6" s="1895"/>
      <c r="G6" s="2691">
        <f>SUM(G8:G17)</f>
        <v>514968182</v>
      </c>
      <c r="H6" s="2691">
        <f>SUM(H8:H17)</f>
        <v>351364357</v>
      </c>
      <c r="I6" s="2696">
        <f>SUM(I8:I17)</f>
        <v>163603825</v>
      </c>
      <c r="J6" s="1788">
        <f>+SUM(J9,J11,J13,J15,J17)</f>
        <v>0</v>
      </c>
      <c r="K6" s="1788">
        <f>+SUM(K9,K11,K13,K15,K17)</f>
        <v>131982078</v>
      </c>
      <c r="L6" s="1788">
        <f>+SUM(L9,L11,L13,L15,L17)</f>
        <v>1246566</v>
      </c>
      <c r="M6" s="1788">
        <f>+SUM(M9,M11,M13,M15,M17)</f>
        <v>0</v>
      </c>
      <c r="N6" s="1788">
        <f>+SUM(N9,N11,N13,N15,N17)</f>
        <v>218135713</v>
      </c>
      <c r="P6" s="1788">
        <f>+SUM(P9,P11,P13,P15,P17)</f>
        <v>6284861</v>
      </c>
      <c r="Q6" s="1788">
        <f>+SUM(Q9,Q11,Q13,Q15,Q17)</f>
        <v>92338</v>
      </c>
      <c r="R6" s="1788">
        <f>+SUM(R9,R11,R13,R15,R17)</f>
        <v>0</v>
      </c>
      <c r="S6" s="1788">
        <f>+SUM(S9,S11,S13,S15,S17)</f>
        <v>19830519</v>
      </c>
      <c r="T6" s="1788">
        <f>+SUM(T9,T11,T13,T15,T17)</f>
        <v>26207718</v>
      </c>
      <c r="U6" s="2054">
        <f>+T6-'4条収入'!$AH$50</f>
        <v>1</v>
      </c>
    </row>
    <row r="7" spans="1:22" ht="24.95" customHeight="1">
      <c r="A7" s="2607"/>
      <c r="B7" s="2608"/>
      <c r="C7" s="2265"/>
      <c r="D7" s="2614"/>
      <c r="E7" s="2614"/>
      <c r="F7" s="1832"/>
      <c r="G7" s="2692"/>
      <c r="H7" s="2692"/>
      <c r="I7" s="2697"/>
    </row>
    <row r="8" spans="1:22" ht="24.95" customHeight="1" thickBot="1">
      <c r="A8" s="2075"/>
      <c r="B8" s="2693" t="s">
        <v>4983</v>
      </c>
      <c r="C8" s="2598"/>
      <c r="D8" s="2590"/>
      <c r="E8" s="2473" t="s">
        <v>5350</v>
      </c>
      <c r="F8" s="1894">
        <f>F33</f>
        <v>465460043</v>
      </c>
      <c r="G8" s="2683">
        <f>'工事負担金（所属別内訳）'!G76</f>
        <v>0</v>
      </c>
      <c r="H8" s="2687">
        <f>IFERROR(ROUND(F8/F9*G8,0),0)</f>
        <v>0</v>
      </c>
      <c r="I8" s="2689">
        <f>G8-H8</f>
        <v>0</v>
      </c>
      <c r="L8" s="1866">
        <v>0</v>
      </c>
      <c r="M8" s="2010">
        <v>0</v>
      </c>
      <c r="N8" s="1882">
        <f>F8-SUM(L8:M8)</f>
        <v>465460043</v>
      </c>
    </row>
    <row r="9" spans="1:22" ht="24.95" customHeight="1" thickBot="1">
      <c r="A9" s="2076"/>
      <c r="B9" s="2694"/>
      <c r="C9" s="2598"/>
      <c r="D9" s="2590"/>
      <c r="E9" s="2695"/>
      <c r="F9" s="1894">
        <f>F34</f>
        <v>1093621564</v>
      </c>
      <c r="G9" s="2684"/>
      <c r="H9" s="2692"/>
      <c r="I9" s="2697"/>
      <c r="L9" s="1788">
        <f>+H8-SUM(J9:K9,M9:N9)</f>
        <v>0</v>
      </c>
      <c r="M9" s="1788">
        <f>IFERROR(ROUND(M8/F8*H8,0),0)</f>
        <v>0</v>
      </c>
      <c r="N9" s="1788">
        <f>IFERROR(ROUND(N8/F8*H8,0),0)</f>
        <v>0</v>
      </c>
      <c r="P9" s="1788">
        <f>+ROUND(K9*P$5/(1+P$5),0)</f>
        <v>0</v>
      </c>
      <c r="Q9" s="1788">
        <f>+ROUND(L9*Q$5/(1+Q$5),0)</f>
        <v>0</v>
      </c>
      <c r="R9" s="1788">
        <f>+ROUND(M9*R$5/(1+R$5),0)</f>
        <v>0</v>
      </c>
      <c r="S9" s="1788">
        <f>+ROUND(N9*S$5/(1+S$5),0)</f>
        <v>0</v>
      </c>
      <c r="T9" s="2054">
        <f>SUM(P9:S9)</f>
        <v>0</v>
      </c>
      <c r="U9" s="2057">
        <f>+SUM(T9:T13)+T17</f>
        <v>19830519</v>
      </c>
      <c r="V9" s="2058" t="s">
        <v>5268</v>
      </c>
    </row>
    <row r="10" spans="1:22" ht="24.95" customHeight="1">
      <c r="A10" s="2076"/>
      <c r="B10" s="2693" t="s">
        <v>4934</v>
      </c>
      <c r="C10" s="2598"/>
      <c r="D10" s="2699"/>
      <c r="E10" s="2473" t="s">
        <v>5351</v>
      </c>
      <c r="F10" s="1898">
        <f>+'4条支出'!$K$8</f>
        <v>518619849</v>
      </c>
      <c r="G10" s="2683">
        <f>'工事負担金（所属別内訳）'!G80</f>
        <v>279746516</v>
      </c>
      <c r="H10" s="2685">
        <f>IFERROR(ROUND(F10/F11*G10,0),0)</f>
        <v>218135713</v>
      </c>
      <c r="I10" s="2689">
        <f>G10-H10</f>
        <v>61610803</v>
      </c>
      <c r="L10" s="1943">
        <f>+排水!F$41+排水!G$41+排水!H$41</f>
        <v>0</v>
      </c>
      <c r="M10" s="1943">
        <f>+排水!I$41</f>
        <v>0</v>
      </c>
      <c r="N10" s="1943">
        <f>+排水!J$41</f>
        <v>518619849</v>
      </c>
    </row>
    <row r="11" spans="1:22" ht="24.95" customHeight="1">
      <c r="A11" s="2076"/>
      <c r="B11" s="2694"/>
      <c r="C11" s="2598"/>
      <c r="D11" s="2700"/>
      <c r="E11" s="2695"/>
      <c r="F11" s="1898">
        <f>+'4条支出'!$E$8</f>
        <v>665100151</v>
      </c>
      <c r="G11" s="2684"/>
      <c r="H11" s="2686"/>
      <c r="I11" s="2697"/>
      <c r="L11" s="1788">
        <f>+H10-SUM(J11:K11,M11:N11)</f>
        <v>0</v>
      </c>
      <c r="M11" s="1788">
        <f>IFERROR(ROUND(M10/F10*H10,0),0)</f>
        <v>0</v>
      </c>
      <c r="N11" s="1788">
        <f>IFERROR(ROUND(N10/F10*H10,0),0)</f>
        <v>218135713</v>
      </c>
      <c r="P11" s="1788">
        <f>+ROUND(K11*P$5/(1+P$5),0)</f>
        <v>0</v>
      </c>
      <c r="Q11" s="1788">
        <f t="shared" ref="Q11" si="0">+ROUND(L11*Q$5/(1+Q$5),0)</f>
        <v>0</v>
      </c>
      <c r="R11" s="1788">
        <f>+ROUND(M11*R$5/(1+R$5),0)</f>
        <v>0</v>
      </c>
      <c r="S11" s="1788">
        <f>+ROUND(N11*S$5/(1+S$5),0)</f>
        <v>19830519</v>
      </c>
      <c r="T11" s="2054">
        <f>SUM(P11:S11)</f>
        <v>19830519</v>
      </c>
    </row>
    <row r="12" spans="1:22" ht="24.95" customHeight="1">
      <c r="A12" s="2076"/>
      <c r="B12" s="2693" t="s">
        <v>4810</v>
      </c>
      <c r="C12" s="2598"/>
      <c r="D12" s="2590"/>
      <c r="E12" s="2473" t="s">
        <v>5352</v>
      </c>
      <c r="F12" s="1898">
        <f>+'4条支出'!$K$11</f>
        <v>59178010</v>
      </c>
      <c r="G12" s="2683">
        <f>'工事負担金（所属別内訳）'!G83</f>
        <v>0</v>
      </c>
      <c r="H12" s="2687">
        <f>IFERROR(ROUND(F12/F13*G12,0),0)</f>
        <v>0</v>
      </c>
      <c r="I12" s="2689">
        <f>G12-H12</f>
        <v>0</v>
      </c>
      <c r="L12" s="1943">
        <f>+諸公!F$41+諸公!G$41+諸公!H$41</f>
        <v>0</v>
      </c>
      <c r="M12" s="1943">
        <f>+諸公!I$41</f>
        <v>0</v>
      </c>
      <c r="N12" s="1943">
        <f>+諸公!J$41</f>
        <v>59178010</v>
      </c>
    </row>
    <row r="13" spans="1:22" ht="24.95" customHeight="1">
      <c r="A13" s="2076"/>
      <c r="B13" s="2701"/>
      <c r="C13" s="2191"/>
      <c r="D13" s="2134"/>
      <c r="E13" s="2702"/>
      <c r="F13" s="2074">
        <f>+'4条支出'!$E$11</f>
        <v>59178010</v>
      </c>
      <c r="G13" s="2698"/>
      <c r="H13" s="2688"/>
      <c r="I13" s="2690"/>
      <c r="L13" s="1788">
        <f>+H12-SUM(J13:K13,M13:N13)</f>
        <v>0</v>
      </c>
      <c r="M13" s="1788">
        <f>IFERROR(ROUND(M12/F12*H12,0),0)</f>
        <v>0</v>
      </c>
      <c r="N13" s="1788">
        <f>IFERROR(ROUND(N12/F12*H12,0),0)</f>
        <v>0</v>
      </c>
      <c r="P13" s="1788">
        <f>+ROUND(K13*P$5/(1+P$5),0)</f>
        <v>0</v>
      </c>
      <c r="Q13" s="1788">
        <f t="shared" ref="Q13:R13" si="1">+ROUND(L13*Q$5/(1+Q$5),0)</f>
        <v>0</v>
      </c>
      <c r="R13" s="1788">
        <f t="shared" si="1"/>
        <v>0</v>
      </c>
      <c r="S13" s="1788">
        <f>+ROUND(N13*S$5/(1+S$5),0)</f>
        <v>0</v>
      </c>
      <c r="T13" s="2054">
        <f>SUM(P13:S13)</f>
        <v>0</v>
      </c>
    </row>
    <row r="14" spans="1:22" ht="24.95" customHeight="1">
      <c r="A14" s="2076"/>
      <c r="B14" s="2694" t="s">
        <v>4815</v>
      </c>
      <c r="C14" s="2598"/>
      <c r="D14" s="2069"/>
      <c r="E14" s="2473" t="s">
        <v>4857</v>
      </c>
      <c r="F14" s="1832"/>
      <c r="G14" s="2683">
        <f>'工事負担金（元金償還分)'!G14</f>
        <v>235221666</v>
      </c>
      <c r="H14" s="2683">
        <f>'工事負担金（元金償還分)'!H14</f>
        <v>133228644</v>
      </c>
      <c r="I14" s="2681">
        <f>'工事負担金（元金償還分)'!I14</f>
        <v>101993022</v>
      </c>
    </row>
    <row r="15" spans="1:22" ht="24.95" customHeight="1">
      <c r="A15" s="2076"/>
      <c r="B15" s="2694"/>
      <c r="C15" s="2598"/>
      <c r="D15" s="2071"/>
      <c r="E15" s="2695"/>
      <c r="F15" s="1832"/>
      <c r="G15" s="2684"/>
      <c r="H15" s="2684"/>
      <c r="I15" s="2682"/>
      <c r="K15" s="1953">
        <f>+SUM(西風:廿日市!K51:K52)</f>
        <v>131982078</v>
      </c>
      <c r="L15" s="1953">
        <f>+SUM(西風:廿日市!K53)</f>
        <v>1246566</v>
      </c>
      <c r="M15" s="1953"/>
      <c r="N15" s="1953">
        <f>+SUM(西風:廿日市!K54)</f>
        <v>0</v>
      </c>
      <c r="P15" s="1788">
        <f>+ROUND(K15*P$5/(1+P$5),0)</f>
        <v>6284861</v>
      </c>
      <c r="Q15" s="1788">
        <f t="shared" ref="Q15:R15" si="2">+ROUND(L15*Q$5/(1+Q$5),0)</f>
        <v>92338</v>
      </c>
      <c r="R15" s="1788">
        <f t="shared" si="2"/>
        <v>0</v>
      </c>
      <c r="S15" s="1788">
        <f>+ROUND(N15*S$5/(1+S$5),0)</f>
        <v>0</v>
      </c>
      <c r="T15" s="2054">
        <f>SUM(P15:S15)</f>
        <v>6377199</v>
      </c>
    </row>
    <row r="16" spans="1:22" ht="24.95" customHeight="1">
      <c r="A16" s="2076"/>
      <c r="B16" s="2703" t="s">
        <v>5282</v>
      </c>
      <c r="C16" s="2193"/>
      <c r="D16" s="2070"/>
      <c r="E16" s="2704" t="s">
        <v>5353</v>
      </c>
      <c r="F16" s="2083"/>
      <c r="G16" s="2688">
        <f>SUM(G18:G23)</f>
        <v>0</v>
      </c>
      <c r="H16" s="2705">
        <f>SUM(H18:H23)</f>
        <v>0</v>
      </c>
      <c r="I16" s="2690">
        <f>G16-H16</f>
        <v>0</v>
      </c>
      <c r="L16" s="1943">
        <f>L18+L20+L22</f>
        <v>0</v>
      </c>
      <c r="M16" s="1943">
        <f t="shared" ref="M16:N16" si="3">M18+M20+M22</f>
        <v>0</v>
      </c>
      <c r="N16" s="1943">
        <f t="shared" si="3"/>
        <v>656665462</v>
      </c>
    </row>
    <row r="17" spans="1:20" ht="24.95" customHeight="1">
      <c r="A17" s="2076"/>
      <c r="B17" s="2701"/>
      <c r="C17" s="2191"/>
      <c r="D17" s="2070"/>
      <c r="E17" s="2702"/>
      <c r="F17" s="2083"/>
      <c r="G17" s="2688"/>
      <c r="H17" s="2705"/>
      <c r="I17" s="2690"/>
      <c r="L17" s="1788">
        <f>L19+L21+L23</f>
        <v>0</v>
      </c>
      <c r="M17" s="1788">
        <f t="shared" ref="M17:R17" si="4">M19+M21+M23</f>
        <v>0</v>
      </c>
      <c r="N17" s="1788">
        <f t="shared" si="4"/>
        <v>0</v>
      </c>
      <c r="P17" s="1788">
        <f t="shared" si="4"/>
        <v>0</v>
      </c>
      <c r="Q17" s="1788">
        <f t="shared" si="4"/>
        <v>0</v>
      </c>
      <c r="R17" s="1788">
        <f t="shared" si="4"/>
        <v>0</v>
      </c>
      <c r="S17" s="1788">
        <f>S19+S21+S23</f>
        <v>0</v>
      </c>
      <c r="T17" s="2054">
        <f>SUM(P17:S17)</f>
        <v>0</v>
      </c>
    </row>
    <row r="18" spans="1:20" ht="24.95" customHeight="1">
      <c r="A18" s="2076"/>
      <c r="B18" s="2082"/>
      <c r="C18" s="2711" t="s">
        <v>5288</v>
      </c>
      <c r="D18" s="2073"/>
      <c r="E18" s="2706" t="s">
        <v>5354</v>
      </c>
      <c r="F18" s="1898">
        <f>+'4条支出'!$K$17</f>
        <v>440688000</v>
      </c>
      <c r="G18" s="2708">
        <f>'工事負担金（所属別内訳）'!G87</f>
        <v>0</v>
      </c>
      <c r="H18" s="2709">
        <f>IFERROR(ROUND(F18/F19*G18,0),0)</f>
        <v>0</v>
      </c>
      <c r="I18" s="2710">
        <f>G18-H18</f>
        <v>0</v>
      </c>
      <c r="L18" s="1943">
        <f>+特整!F$41+特整!G$41+特整!H$41</f>
        <v>0</v>
      </c>
      <c r="M18" s="1943">
        <f>+特整!I$41</f>
        <v>0</v>
      </c>
      <c r="N18" s="1943">
        <f>+特整!J$41</f>
        <v>440688000</v>
      </c>
    </row>
    <row r="19" spans="1:20" ht="24.95" customHeight="1">
      <c r="A19" s="2076"/>
      <c r="B19" s="2081"/>
      <c r="C19" s="2711"/>
      <c r="D19" s="2073"/>
      <c r="E19" s="2707"/>
      <c r="F19" s="1898">
        <f>+'4条支出'!$E$17</f>
        <v>453738774</v>
      </c>
      <c r="G19" s="2708"/>
      <c r="H19" s="2709"/>
      <c r="I19" s="2710"/>
      <c r="L19" s="1788">
        <f>+H18-SUM(J19:K19,M19:N19)</f>
        <v>0</v>
      </c>
      <c r="M19" s="1788">
        <f>IFERROR(ROUND(M18/F18*H18,0),0)</f>
        <v>0</v>
      </c>
      <c r="N19" s="1788">
        <f>IFERROR(ROUND(N18/F18*H18,0),0)</f>
        <v>0</v>
      </c>
      <c r="P19" s="1788">
        <f>+ROUND(K19*P$5/(1+P$5),0)</f>
        <v>0</v>
      </c>
      <c r="Q19" s="1788">
        <f t="shared" ref="Q19" si="5">+ROUND(L19*Q$5/(1+Q$5),0)</f>
        <v>0</v>
      </c>
      <c r="R19" s="1788">
        <f>+ROUND(M19*R$5/(1+R$5),0)</f>
        <v>0</v>
      </c>
      <c r="S19" s="1788">
        <f>+ROUND(N19*S$5/(1+S$5),0)</f>
        <v>0</v>
      </c>
      <c r="T19" s="2054">
        <f>SUM(P19:S19)</f>
        <v>0</v>
      </c>
    </row>
    <row r="20" spans="1:20" ht="24.95" customHeight="1">
      <c r="A20" s="2076"/>
      <c r="B20" s="2082"/>
      <c r="C20" s="2711" t="s">
        <v>5289</v>
      </c>
      <c r="D20" s="2073"/>
      <c r="E20" s="2706" t="s">
        <v>5355</v>
      </c>
      <c r="F20" s="1898">
        <f>+'4条支出'!$K$18</f>
        <v>136580009</v>
      </c>
      <c r="G20" s="2708">
        <f>'工事負担金（所属別内訳）'!G91</f>
        <v>0</v>
      </c>
      <c r="H20" s="2709">
        <f>IFERROR(ROUND(F20/F21*G20,0),0)</f>
        <v>0</v>
      </c>
      <c r="I20" s="2710">
        <f>G20-H20</f>
        <v>0</v>
      </c>
      <c r="L20" s="1943">
        <f>+農整!F$41+農整!G$41+農整!H$41</f>
        <v>0</v>
      </c>
      <c r="M20" s="1943">
        <f>+農整!I$41</f>
        <v>0</v>
      </c>
      <c r="N20" s="1943">
        <f>+農整!J$41</f>
        <v>136580009</v>
      </c>
    </row>
    <row r="21" spans="1:20" ht="24.95" customHeight="1">
      <c r="A21" s="2076"/>
      <c r="B21" s="2081"/>
      <c r="C21" s="2711"/>
      <c r="D21" s="2073"/>
      <c r="E21" s="2707"/>
      <c r="F21" s="1898">
        <f>+'4条支出'!$E$18</f>
        <v>146106803</v>
      </c>
      <c r="G21" s="2708"/>
      <c r="H21" s="2709"/>
      <c r="I21" s="2710"/>
      <c r="L21" s="1788">
        <f>+H20-SUM(J21:K21,M21:N21)</f>
        <v>0</v>
      </c>
      <c r="M21" s="1788">
        <f>IFERROR(ROUND(M20/F20*H20,0),0)</f>
        <v>0</v>
      </c>
      <c r="N21" s="1788">
        <f>IFERROR(ROUND(N20/F20*H20,0),0)</f>
        <v>0</v>
      </c>
      <c r="P21" s="1788">
        <f>+ROUND(K21*P$5/(1+P$5),0)</f>
        <v>0</v>
      </c>
      <c r="Q21" s="1788">
        <f t="shared" ref="Q21" si="6">+ROUND(L21*Q$5/(1+Q$5),0)</f>
        <v>0</v>
      </c>
      <c r="R21" s="1788">
        <f>+ROUND(M21*R$5/(1+R$5),0)</f>
        <v>0</v>
      </c>
      <c r="S21" s="1788">
        <f>+ROUND(N21*S$5/(1+S$5),0)</f>
        <v>0</v>
      </c>
      <c r="T21" s="2054">
        <f>SUM(P21:S21)</f>
        <v>0</v>
      </c>
    </row>
    <row r="22" spans="1:20" ht="24.95" customHeight="1">
      <c r="A22" s="2076"/>
      <c r="B22" s="2082"/>
      <c r="C22" s="2716" t="s">
        <v>5284</v>
      </c>
      <c r="D22" s="2070"/>
      <c r="E22" s="2704" t="s">
        <v>5356</v>
      </c>
      <c r="F22" s="2079">
        <f>+'4条支出'!$K$19</f>
        <v>79397453</v>
      </c>
      <c r="G22" s="2698">
        <f>'工事負担金（所属別内訳）'!G95</f>
        <v>0</v>
      </c>
      <c r="H22" s="2713">
        <f>IFERROR(ROUND(F22/F23*G22,0),0)</f>
        <v>0</v>
      </c>
      <c r="I22" s="2690">
        <f>G22-H22</f>
        <v>0</v>
      </c>
      <c r="L22" s="1943">
        <f>+浄整!F$41+浄整!G$41+浄整!H$41</f>
        <v>0</v>
      </c>
      <c r="M22" s="1943">
        <f>+浄整!I$41</f>
        <v>0</v>
      </c>
      <c r="N22" s="1943">
        <f>+浄整!J$41</f>
        <v>79397453</v>
      </c>
    </row>
    <row r="23" spans="1:20" ht="24.95" customHeight="1" thickBot="1">
      <c r="A23" s="2077"/>
      <c r="B23" s="2080"/>
      <c r="C23" s="2717"/>
      <c r="D23" s="1896"/>
      <c r="E23" s="2474"/>
      <c r="F23" s="2078">
        <f>+'4条支出'!$E$19</f>
        <v>88399847</v>
      </c>
      <c r="G23" s="2712"/>
      <c r="H23" s="2714"/>
      <c r="I23" s="2715"/>
      <c r="L23" s="1788">
        <f>+H22-SUM(J23:K23,M23:N23)</f>
        <v>0</v>
      </c>
      <c r="M23" s="1788">
        <f>IFERROR(ROUND(M22/F22*H22,0),0)</f>
        <v>0</v>
      </c>
      <c r="N23" s="1788">
        <f>IFERROR(ROUND(N22/F22*H22,0),0)</f>
        <v>0</v>
      </c>
      <c r="P23" s="1788">
        <f>+ROUND(K23*P$5/(1+P$5),0)</f>
        <v>0</v>
      </c>
      <c r="Q23" s="1788">
        <f t="shared" ref="Q23" si="7">+ROUND(L23*Q$5/(1+Q$5),0)</f>
        <v>0</v>
      </c>
      <c r="R23" s="1788">
        <f>+ROUND(M23*R$5/(1+R$5),0)</f>
        <v>0</v>
      </c>
      <c r="S23" s="1788">
        <f>+ROUND(N23*S$5/(1+S$5),0)</f>
        <v>0</v>
      </c>
      <c r="T23" s="2054">
        <f>SUM(P23:S23)</f>
        <v>0</v>
      </c>
    </row>
    <row r="24" spans="1:20">
      <c r="F24" s="1932" t="s">
        <v>5178</v>
      </c>
      <c r="G24" s="1815">
        <f>+'4条収入'!$V$50</f>
        <v>514968182</v>
      </c>
    </row>
    <row r="25" spans="1:20">
      <c r="F25" s="1932" t="s">
        <v>5168</v>
      </c>
      <c r="G25" s="1815">
        <f>G6-G24</f>
        <v>0</v>
      </c>
    </row>
    <row r="27" spans="1:20">
      <c r="D27" s="1897" t="s">
        <v>4944</v>
      </c>
      <c r="E27" s="1897" t="s">
        <v>4942</v>
      </c>
      <c r="F27" s="1866">
        <v>229171001</v>
      </c>
      <c r="G27" s="1789"/>
      <c r="H27" s="1789"/>
      <c r="I27" s="1789"/>
      <c r="J27" s="1789"/>
      <c r="K27" s="1789"/>
      <c r="L27" s="1789"/>
      <c r="M27" s="1789"/>
      <c r="N27" s="1789"/>
    </row>
    <row r="28" spans="1:20">
      <c r="E28" s="1897" t="s">
        <v>4943</v>
      </c>
      <c r="F28" s="1866">
        <v>853309762</v>
      </c>
      <c r="G28" s="1789"/>
      <c r="H28" s="1789"/>
      <c r="I28" s="1789"/>
      <c r="J28" s="1789"/>
      <c r="K28" s="1789"/>
      <c r="L28" s="1789"/>
      <c r="M28" s="1789"/>
      <c r="N28" s="1789"/>
    </row>
    <row r="29" spans="1:20">
      <c r="E29" s="1897"/>
      <c r="G29" s="1789"/>
      <c r="H29" s="1789"/>
      <c r="I29" s="1789"/>
      <c r="J29" s="1789"/>
      <c r="K29" s="1789"/>
      <c r="L29" s="1789"/>
      <c r="M29" s="1789"/>
      <c r="N29" s="1789"/>
    </row>
    <row r="30" spans="1:20">
      <c r="D30" s="1897" t="s">
        <v>4945</v>
      </c>
      <c r="E30" s="1897" t="s">
        <v>4942</v>
      </c>
      <c r="F30" s="1866">
        <v>236289042</v>
      </c>
      <c r="G30" s="1789"/>
      <c r="H30" s="1789"/>
      <c r="I30" s="1789"/>
      <c r="J30" s="1789"/>
      <c r="K30" s="1789"/>
      <c r="L30" s="1789"/>
      <c r="M30" s="1789"/>
      <c r="N30" s="1789"/>
    </row>
    <row r="31" spans="1:20">
      <c r="E31" s="1897" t="s">
        <v>4943</v>
      </c>
      <c r="F31" s="1866">
        <v>240311802</v>
      </c>
      <c r="G31" s="1789"/>
      <c r="H31" s="1789"/>
      <c r="I31" s="1789"/>
      <c r="J31" s="1789"/>
      <c r="K31" s="1789"/>
      <c r="L31" s="1789"/>
      <c r="M31" s="1789"/>
      <c r="N31" s="1789"/>
    </row>
    <row r="32" spans="1:20">
      <c r="E32" s="1897"/>
      <c r="G32" s="1789"/>
      <c r="H32" s="1789"/>
      <c r="I32" s="1789"/>
      <c r="J32" s="1789"/>
      <c r="K32" s="1789"/>
      <c r="L32" s="1789"/>
      <c r="M32" s="1789"/>
      <c r="N32" s="1789"/>
    </row>
    <row r="33" spans="4:14">
      <c r="D33" s="1897" t="s">
        <v>4946</v>
      </c>
      <c r="E33" s="1897" t="s">
        <v>4942</v>
      </c>
      <c r="F33" s="1788">
        <f>F27+F30</f>
        <v>465460043</v>
      </c>
      <c r="G33" s="1789"/>
      <c r="H33" s="1789"/>
      <c r="I33" s="1789"/>
      <c r="J33" s="1789"/>
      <c r="K33" s="1789"/>
      <c r="L33" s="1789"/>
      <c r="M33" s="1789"/>
      <c r="N33" s="1789"/>
    </row>
    <row r="34" spans="4:14">
      <c r="E34" s="1897" t="s">
        <v>4943</v>
      </c>
      <c r="F34" s="1788">
        <f>F28+F31</f>
        <v>1093621564</v>
      </c>
      <c r="G34" s="1789"/>
      <c r="H34" s="1789"/>
      <c r="I34" s="1789"/>
      <c r="J34" s="1789"/>
      <c r="K34" s="1789"/>
      <c r="L34" s="1789"/>
      <c r="M34" s="1789"/>
      <c r="N34" s="1789"/>
    </row>
    <row r="35" spans="4:14">
      <c r="E35" s="1897"/>
      <c r="G35" s="1789"/>
      <c r="H35" s="1789"/>
      <c r="I35" s="1789"/>
      <c r="J35" s="1789"/>
      <c r="K35" s="1789"/>
      <c r="L35" s="1789"/>
      <c r="M35" s="1789"/>
      <c r="N35" s="1789"/>
    </row>
    <row r="36" spans="4:14">
      <c r="E36" s="1897"/>
      <c r="G36" s="1789"/>
      <c r="H36" s="1789"/>
      <c r="I36" s="1789"/>
      <c r="J36" s="1789"/>
      <c r="K36" s="1789"/>
      <c r="L36" s="1789"/>
      <c r="M36" s="1789"/>
      <c r="N36" s="1789"/>
    </row>
    <row r="37" spans="4:14">
      <c r="E37" s="1897"/>
      <c r="G37" s="1789"/>
      <c r="H37" s="1789"/>
      <c r="I37" s="1789"/>
      <c r="J37" s="1789"/>
      <c r="K37" s="1789"/>
      <c r="L37" s="1789"/>
      <c r="M37" s="1789"/>
      <c r="N37" s="1789"/>
    </row>
    <row r="38" spans="4:14">
      <c r="E38" s="1897"/>
      <c r="G38" s="1789"/>
      <c r="H38" s="1789"/>
      <c r="I38" s="1789"/>
      <c r="J38" s="1789"/>
      <c r="K38" s="1789"/>
      <c r="L38" s="1789"/>
      <c r="M38" s="1789"/>
      <c r="N38" s="1789"/>
    </row>
    <row r="39" spans="4:14">
      <c r="E39" s="1897"/>
      <c r="G39" s="1789"/>
      <c r="H39" s="1789"/>
      <c r="I39" s="1789"/>
      <c r="J39" s="1789"/>
      <c r="K39" s="1789"/>
      <c r="L39" s="1789"/>
      <c r="M39" s="1789"/>
      <c r="N39" s="1789"/>
    </row>
    <row r="40" spans="4:14">
      <c r="E40" s="1897"/>
      <c r="G40" s="1789"/>
      <c r="H40" s="1789"/>
      <c r="I40" s="1789"/>
      <c r="J40" s="1789"/>
      <c r="K40" s="1789"/>
      <c r="L40" s="1789"/>
      <c r="M40" s="1789"/>
      <c r="N40" s="1789"/>
    </row>
    <row r="41" spans="4:14">
      <c r="E41" s="1897"/>
      <c r="G41" s="1789"/>
      <c r="H41" s="1789"/>
      <c r="I41" s="1789"/>
      <c r="J41" s="1789"/>
      <c r="K41" s="1789"/>
      <c r="L41" s="1789"/>
      <c r="M41" s="1789"/>
      <c r="N41" s="1789"/>
    </row>
    <row r="42" spans="4:14">
      <c r="E42" s="1897"/>
      <c r="G42" s="1789"/>
      <c r="H42" s="1789"/>
      <c r="I42" s="1789"/>
      <c r="J42" s="1789"/>
      <c r="K42" s="1789"/>
      <c r="L42" s="1789"/>
      <c r="M42" s="1789"/>
      <c r="N42" s="1789"/>
    </row>
    <row r="43" spans="4:14">
      <c r="E43" s="1897"/>
      <c r="F43" s="1789"/>
      <c r="G43" s="1789"/>
      <c r="H43" s="1789"/>
      <c r="I43" s="1789"/>
      <c r="J43" s="1788">
        <f>+SUM(西風:廿日市!$K$50)</f>
        <v>0</v>
      </c>
      <c r="K43" s="1788">
        <f>+SUM(西風:廿日市!$K$51)</f>
        <v>115347434</v>
      </c>
      <c r="L43" s="1788">
        <f>+SUM(西風:廿日市!$K$52)</f>
        <v>16634644</v>
      </c>
      <c r="N43" s="1788">
        <f>+SUM(西風:廿日市!$K$53)</f>
        <v>1246566</v>
      </c>
    </row>
    <row r="44" spans="4:14">
      <c r="E44" s="1897"/>
      <c r="F44" s="1789"/>
      <c r="G44" s="1789"/>
      <c r="H44" s="1789"/>
      <c r="I44" s="1789"/>
      <c r="J44" s="1789"/>
      <c r="K44" s="1789"/>
      <c r="L44" s="1789"/>
      <c r="M44" s="1789"/>
      <c r="N44" s="1789"/>
    </row>
    <row r="45" spans="4:14">
      <c r="E45" s="1897"/>
      <c r="F45" s="1789"/>
      <c r="G45" s="1789"/>
      <c r="H45" s="1789"/>
      <c r="I45" s="1789"/>
      <c r="J45" s="1789"/>
      <c r="K45" s="1789"/>
      <c r="L45" s="1789"/>
      <c r="M45" s="1789"/>
      <c r="N45" s="1789"/>
    </row>
    <row r="46" spans="4:14">
      <c r="E46" s="1897"/>
      <c r="F46" s="1789"/>
      <c r="G46" s="1789"/>
      <c r="H46" s="1789"/>
      <c r="I46" s="1789"/>
      <c r="J46" s="1789"/>
      <c r="K46" s="1789"/>
      <c r="L46" s="1789"/>
      <c r="M46" s="1789"/>
      <c r="N46" s="1789"/>
    </row>
  </sheetData>
  <mergeCells count="56">
    <mergeCell ref="E22:E23"/>
    <mergeCell ref="G22:G23"/>
    <mergeCell ref="H22:H23"/>
    <mergeCell ref="I22:I23"/>
    <mergeCell ref="C22:C23"/>
    <mergeCell ref="E20:E21"/>
    <mergeCell ref="G20:G21"/>
    <mergeCell ref="H20:H21"/>
    <mergeCell ref="I20:I21"/>
    <mergeCell ref="C20:C21"/>
    <mergeCell ref="E18:E19"/>
    <mergeCell ref="G18:G19"/>
    <mergeCell ref="H18:H19"/>
    <mergeCell ref="I18:I19"/>
    <mergeCell ref="C18:C19"/>
    <mergeCell ref="B16:C17"/>
    <mergeCell ref="E16:E17"/>
    <mergeCell ref="G16:G17"/>
    <mergeCell ref="H16:H17"/>
    <mergeCell ref="I16:I17"/>
    <mergeCell ref="I6:I7"/>
    <mergeCell ref="B14:C15"/>
    <mergeCell ref="E14:E15"/>
    <mergeCell ref="E6:E7"/>
    <mergeCell ref="A6:C7"/>
    <mergeCell ref="I10:I11"/>
    <mergeCell ref="G12:G13"/>
    <mergeCell ref="B10:C11"/>
    <mergeCell ref="D10:D11"/>
    <mergeCell ref="E10:E11"/>
    <mergeCell ref="I8:I9"/>
    <mergeCell ref="B12:C13"/>
    <mergeCell ref="D12:D13"/>
    <mergeCell ref="E12:E13"/>
    <mergeCell ref="G14:G15"/>
    <mergeCell ref="H14:H15"/>
    <mergeCell ref="D6:D7"/>
    <mergeCell ref="G6:G7"/>
    <mergeCell ref="H6:H7"/>
    <mergeCell ref="B8:C9"/>
    <mergeCell ref="D8:D9"/>
    <mergeCell ref="E8:E9"/>
    <mergeCell ref="G8:G9"/>
    <mergeCell ref="H8:H9"/>
    <mergeCell ref="A1:I1"/>
    <mergeCell ref="A4:C5"/>
    <mergeCell ref="D4:D5"/>
    <mergeCell ref="E4:E5"/>
    <mergeCell ref="G4:G5"/>
    <mergeCell ref="I4:I5"/>
    <mergeCell ref="H4:H5"/>
    <mergeCell ref="I14:I15"/>
    <mergeCell ref="G10:G11"/>
    <mergeCell ref="H10:H11"/>
    <mergeCell ref="H12:H13"/>
    <mergeCell ref="I12:I13"/>
  </mergeCells>
  <phoneticPr fontId="2"/>
  <conditionalFormatting sqref="F8:F13">
    <cfRule type="cellIs" dxfId="506" priority="5" operator="equal">
      <formula>1</formula>
    </cfRule>
  </conditionalFormatting>
  <conditionalFormatting sqref="F16:F17">
    <cfRule type="cellIs" dxfId="505" priority="4" operator="equal">
      <formula>1</formula>
    </cfRule>
  </conditionalFormatting>
  <conditionalFormatting sqref="F18:F19">
    <cfRule type="cellIs" dxfId="504" priority="3" operator="equal">
      <formula>1</formula>
    </cfRule>
  </conditionalFormatting>
  <conditionalFormatting sqref="F20:F21">
    <cfRule type="cellIs" dxfId="503" priority="2" operator="equal">
      <formula>1</formula>
    </cfRule>
  </conditionalFormatting>
  <conditionalFormatting sqref="F22:F23">
    <cfRule type="cellIs" dxfId="502" priority="1" operator="equal">
      <formula>1</formula>
    </cfRule>
  </conditionalFormatting>
  <pageMargins left="0.59055118110236227" right="0.39370078740157483" top="0.98425196850393704" bottom="0.98425196850393704" header="0.51181102362204722" footer="0.51181102362204722"/>
  <pageSetup paperSize="9" scale="72" orientation="landscape" r:id="rId1"/>
  <headerFooter alignWithMargins="0">
    <oddFooter>&amp;L&amp;6&amp;F&amp;A&amp;R&amp;6&amp;D　&amp;T</oddFooter>
  </headerFooter>
  <drawing r:id="rId2"/>
  <legacyDrawing r:id="rId3"/>
</worksheet>
</file>

<file path=xl/worksheets/w6_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filterMode="1">
    <tabColor rgb="FF66FF33"/>
  </sheetPr>
  <dimension ref="A1:T141"/>
  <sheetViews>
    <sheetView zoomScale="115" zoomScaleNormal="115" workbookViewId="0">
      <pane xSplit="3" ySplit="5" topLeftCell="D16" activePane="bottomRight" state="frozen"/>
      <selection pane="topRight" activeCell="D1" sqref="D1"/>
      <selection pane="bottomLeft" activeCell="A6" sqref="A6"/>
      <selection pane="bottomRight" activeCell="D10" sqref="D10"/>
    </sheetView>
  </sheetViews>
  <sheetFormatPr defaultColWidth="9" defaultRowHeight="15" customHeight="1"/>
  <cols>
    <col min="1" max="1" width="9" style="1716"/>
    <col min="2" max="2" width="12.625" style="1716" customWidth="1"/>
    <col min="3" max="3" width="15.625" style="1716" customWidth="1"/>
    <col min="4" max="4" width="26.875" style="1743" customWidth="1"/>
    <col min="5" max="5" width="9.75" style="1716" bestFit="1" customWidth="1"/>
    <col min="6" max="6" width="9" style="1716"/>
    <col min="7" max="7" width="8.75" style="1716" customWidth="1"/>
    <col min="8" max="8" width="9" style="1716"/>
    <col min="9" max="9" width="8.125" style="1716" customWidth="1"/>
    <col min="10" max="12" width="9" style="1716"/>
    <col min="13" max="13" width="8.125" style="1716" customWidth="1"/>
    <col min="14" max="16" width="9" style="1716"/>
    <col min="17" max="18" width="9.75" style="1716" customWidth="1"/>
    <col min="19" max="16384" width="9" style="1716"/>
  </cols>
  <sheetData>
    <row r="1" spans="1:20" ht="15" customHeight="1">
      <c r="B1" s="1901"/>
      <c r="R1" s="1716" t="s">
        <v>4958</v>
      </c>
    </row>
    <row r="2" spans="1:20" ht="15" customHeight="1">
      <c r="A2" s="2718" t="s">
        <v>4967</v>
      </c>
      <c r="B2" s="2718" t="s">
        <v>4947</v>
      </c>
      <c r="C2" s="2720" t="s">
        <v>4972</v>
      </c>
      <c r="D2" s="2723" t="s">
        <v>4959</v>
      </c>
      <c r="E2" s="2718" t="s">
        <v>4948</v>
      </c>
      <c r="F2" s="2718" t="s">
        <v>4968</v>
      </c>
      <c r="G2" s="2718"/>
      <c r="H2" s="2718"/>
      <c r="I2" s="2718"/>
      <c r="J2" s="2718"/>
      <c r="K2" s="2718"/>
      <c r="L2" s="2718"/>
      <c r="M2" s="2718" t="s">
        <v>4956</v>
      </c>
      <c r="N2" s="2718"/>
      <c r="O2" s="2718"/>
      <c r="P2" s="2718" t="s">
        <v>4957</v>
      </c>
      <c r="Q2" s="2718"/>
      <c r="R2" s="2718"/>
    </row>
    <row r="3" spans="1:20" ht="15" customHeight="1">
      <c r="A3" s="2718"/>
      <c r="B3" s="2718"/>
      <c r="C3" s="2721"/>
      <c r="D3" s="2723"/>
      <c r="E3" s="2718"/>
      <c r="F3" s="2718" t="s">
        <v>4949</v>
      </c>
      <c r="G3" s="2718" t="s">
        <v>4950</v>
      </c>
      <c r="H3" s="2718" t="s">
        <v>4951</v>
      </c>
      <c r="I3" s="2718" t="s">
        <v>4952</v>
      </c>
      <c r="J3" s="2718"/>
      <c r="K3" s="2718"/>
      <c r="L3" s="2718"/>
      <c r="M3" s="2718" t="s">
        <v>4949</v>
      </c>
      <c r="N3" s="2718" t="s">
        <v>4950</v>
      </c>
      <c r="O3" s="2718" t="s">
        <v>4951</v>
      </c>
      <c r="P3" s="2718" t="s">
        <v>4949</v>
      </c>
      <c r="Q3" s="2718" t="s">
        <v>4950</v>
      </c>
      <c r="R3" s="2718" t="s">
        <v>4951</v>
      </c>
    </row>
    <row r="4" spans="1:20" ht="15" customHeight="1">
      <c r="A4" s="2719"/>
      <c r="B4" s="2719"/>
      <c r="C4" s="2722"/>
      <c r="D4" s="2724"/>
      <c r="E4" s="2719"/>
      <c r="F4" s="2719"/>
      <c r="G4" s="2719"/>
      <c r="H4" s="2719"/>
      <c r="I4" s="2093" t="s">
        <v>4953</v>
      </c>
      <c r="J4" s="2093" t="s">
        <v>4954</v>
      </c>
      <c r="K4" s="2093" t="s">
        <v>4955</v>
      </c>
      <c r="L4" s="2093" t="s">
        <v>4951</v>
      </c>
      <c r="M4" s="2719"/>
      <c r="N4" s="2719"/>
      <c r="O4" s="2719"/>
      <c r="P4" s="2719"/>
      <c r="Q4" s="2719"/>
      <c r="R4" s="2719"/>
    </row>
    <row r="5" spans="1:20" s="2096" customFormat="1" ht="15" customHeight="1">
      <c r="A5" s="2094"/>
      <c r="B5" s="2094"/>
      <c r="C5" s="2095"/>
      <c r="D5" s="2094"/>
      <c r="E5" s="2094"/>
      <c r="F5" s="2094"/>
      <c r="G5" s="2094"/>
      <c r="H5" s="2094"/>
      <c r="I5" s="2094"/>
      <c r="J5" s="2094"/>
      <c r="K5" s="2094"/>
      <c r="L5" s="2094"/>
      <c r="M5" s="2094"/>
      <c r="N5" s="2094"/>
      <c r="O5" s="2094"/>
      <c r="P5" s="2094"/>
      <c r="Q5" s="2094"/>
      <c r="R5" s="2094"/>
    </row>
    <row r="6" spans="1:20" ht="15" hidden="1" customHeight="1">
      <c r="A6" s="2718" t="s">
        <v>5064</v>
      </c>
      <c r="B6" s="2718" t="s">
        <v>4960</v>
      </c>
      <c r="C6" s="2725" t="s">
        <v>5066</v>
      </c>
      <c r="D6" s="1725"/>
      <c r="E6" s="1720"/>
      <c r="F6" s="1720"/>
      <c r="G6" s="1720"/>
      <c r="H6" s="1720">
        <f>SUM(F6:G6)</f>
        <v>0</v>
      </c>
      <c r="I6" s="1720"/>
      <c r="J6" s="1720"/>
      <c r="K6" s="1720"/>
      <c r="L6" s="1718">
        <f>SUM(I6:K6)</f>
        <v>0</v>
      </c>
      <c r="M6" s="1718"/>
      <c r="N6" s="1718"/>
      <c r="O6" s="1718">
        <f t="shared" ref="O6:O15" si="0">SUM(M6:N6)</f>
        <v>0</v>
      </c>
      <c r="P6" s="1718">
        <f>F6+M6</f>
        <v>0</v>
      </c>
      <c r="Q6" s="1718">
        <f>G6+N6</f>
        <v>0</v>
      </c>
      <c r="R6" s="1718">
        <f>SUM(P6:Q6)</f>
        <v>0</v>
      </c>
      <c r="S6" s="1902">
        <f t="shared" ref="S6:S16" si="1">H6-L6</f>
        <v>0</v>
      </c>
      <c r="T6" s="1902">
        <f>E6-R6</f>
        <v>0</v>
      </c>
    </row>
    <row r="7" spans="1:20" ht="15" hidden="1" customHeight="1">
      <c r="A7" s="2718"/>
      <c r="B7" s="2718"/>
      <c r="C7" s="2725"/>
      <c r="D7" s="1729"/>
      <c r="E7" s="1720"/>
      <c r="F7" s="1720"/>
      <c r="G7" s="1720"/>
      <c r="H7" s="1720">
        <f>SUM(F7:G7)</f>
        <v>0</v>
      </c>
      <c r="I7" s="1720"/>
      <c r="J7" s="1720"/>
      <c r="K7" s="1720"/>
      <c r="L7" s="1718">
        <f>SUM(I7:K7)</f>
        <v>0</v>
      </c>
      <c r="M7" s="1718"/>
      <c r="N7" s="1718"/>
      <c r="O7" s="1718">
        <f>SUM(M7:N7)</f>
        <v>0</v>
      </c>
      <c r="P7" s="1718">
        <f>F7+M7</f>
        <v>0</v>
      </c>
      <c r="Q7" s="1718">
        <f>G7+N7</f>
        <v>0</v>
      </c>
      <c r="R7" s="1718">
        <f>SUM(P7:Q7)</f>
        <v>0</v>
      </c>
      <c r="S7" s="1902">
        <f>H7-L7</f>
        <v>0</v>
      </c>
      <c r="T7" s="1902">
        <f>E7-R7</f>
        <v>0</v>
      </c>
    </row>
    <row r="8" spans="1:20" ht="15" hidden="1" customHeight="1">
      <c r="A8" s="2718"/>
      <c r="B8" s="2718"/>
      <c r="C8" s="2718"/>
      <c r="D8" s="1729"/>
      <c r="E8" s="1720"/>
      <c r="F8" s="1720"/>
      <c r="G8" s="1720"/>
      <c r="H8" s="1720">
        <f>SUM(F8:G8)</f>
        <v>0</v>
      </c>
      <c r="I8" s="1720" t="s">
        <v>5086</v>
      </c>
      <c r="J8" s="1720" t="s">
        <v>5086</v>
      </c>
      <c r="K8" s="1720"/>
      <c r="L8" s="1720">
        <f t="shared" ref="L8:L44" si="2">SUM(I8:K8)</f>
        <v>0</v>
      </c>
      <c r="M8" s="1720"/>
      <c r="N8" s="1720"/>
      <c r="O8" s="1720">
        <f t="shared" si="0"/>
        <v>0</v>
      </c>
      <c r="P8" s="1720">
        <f t="shared" ref="P8:P44" si="3">F8+M8</f>
        <v>0</v>
      </c>
      <c r="Q8" s="1720">
        <f t="shared" ref="Q8:Q44" si="4">G8+N8</f>
        <v>0</v>
      </c>
      <c r="R8" s="1720">
        <f t="shared" ref="R8:R44" si="5">SUM(P8:Q8)</f>
        <v>0</v>
      </c>
      <c r="S8" s="1902">
        <f t="shared" si="1"/>
        <v>0</v>
      </c>
      <c r="T8" s="1902">
        <f t="shared" ref="T8:T44" si="6">E8-R8</f>
        <v>0</v>
      </c>
    </row>
    <row r="9" spans="1:20" ht="15" hidden="1" customHeight="1">
      <c r="A9" s="2718"/>
      <c r="B9" s="2718"/>
      <c r="C9" s="2718"/>
      <c r="D9" s="1729"/>
      <c r="E9" s="1720"/>
      <c r="F9" s="1720"/>
      <c r="G9" s="1720"/>
      <c r="H9" s="1720">
        <f>SUM(F9:G9)</f>
        <v>0</v>
      </c>
      <c r="I9" s="1720" t="s">
        <v>5086</v>
      </c>
      <c r="J9" s="1720" t="s">
        <v>5086</v>
      </c>
      <c r="K9" s="1720"/>
      <c r="L9" s="1720">
        <f>SUM(I9:K9)</f>
        <v>0</v>
      </c>
      <c r="M9" s="1720"/>
      <c r="N9" s="1720"/>
      <c r="O9" s="1720">
        <f t="shared" si="0"/>
        <v>0</v>
      </c>
      <c r="P9" s="1720">
        <f>F9+M9</f>
        <v>0</v>
      </c>
      <c r="Q9" s="1720">
        <f>G9+N9</f>
        <v>0</v>
      </c>
      <c r="R9" s="1720">
        <f>SUM(P9:Q9)</f>
        <v>0</v>
      </c>
      <c r="S9" s="1902">
        <f>H9-L9</f>
        <v>0</v>
      </c>
      <c r="T9" s="1902">
        <f>E9-R9</f>
        <v>0</v>
      </c>
    </row>
    <row r="10" spans="1:20" ht="15" customHeight="1">
      <c r="A10" s="2718"/>
      <c r="B10" s="2718"/>
      <c r="C10" s="2718"/>
      <c r="D10" s="1899" t="s">
        <v>5305</v>
      </c>
      <c r="E10" s="1900">
        <v>951438</v>
      </c>
      <c r="F10" s="1900">
        <v>951438</v>
      </c>
      <c r="G10" s="1900"/>
      <c r="H10" s="1720">
        <f t="shared" ref="H10:H44" si="7">SUM(F10:G10)</f>
        <v>951438</v>
      </c>
      <c r="I10" s="1720"/>
      <c r="J10" s="1900">
        <v>951438</v>
      </c>
      <c r="K10" s="1900"/>
      <c r="L10" s="1718">
        <f t="shared" si="2"/>
        <v>951438</v>
      </c>
      <c r="M10" s="1718"/>
      <c r="N10" s="1720"/>
      <c r="O10" s="1718">
        <f t="shared" si="0"/>
        <v>0</v>
      </c>
      <c r="P10" s="1718">
        <f>F10+M10</f>
        <v>951438</v>
      </c>
      <c r="Q10" s="1718">
        <f t="shared" si="4"/>
        <v>0</v>
      </c>
      <c r="R10" s="1718">
        <f t="shared" si="5"/>
        <v>951438</v>
      </c>
      <c r="S10" s="1902">
        <f t="shared" si="1"/>
        <v>0</v>
      </c>
      <c r="T10" s="1902">
        <f t="shared" si="6"/>
        <v>0</v>
      </c>
    </row>
    <row r="11" spans="1:20" s="1743" customFormat="1" ht="15" customHeight="1">
      <c r="A11" s="2718"/>
      <c r="B11" s="2718"/>
      <c r="C11" s="2718"/>
      <c r="D11" s="1899" t="s">
        <v>5304</v>
      </c>
      <c r="E11" s="1900">
        <v>10295497</v>
      </c>
      <c r="F11" s="1900">
        <v>10295497</v>
      </c>
      <c r="G11" s="1900"/>
      <c r="H11" s="1720">
        <f t="shared" si="7"/>
        <v>10295497</v>
      </c>
      <c r="I11" s="1720"/>
      <c r="J11" s="1900"/>
      <c r="K11" s="1900">
        <v>10295497</v>
      </c>
      <c r="L11" s="1720">
        <f t="shared" si="2"/>
        <v>10295497</v>
      </c>
      <c r="M11" s="1720"/>
      <c r="N11" s="1720"/>
      <c r="O11" s="1720">
        <f t="shared" si="0"/>
        <v>0</v>
      </c>
      <c r="P11" s="1720">
        <f t="shared" si="3"/>
        <v>10295497</v>
      </c>
      <c r="Q11" s="1720">
        <f t="shared" si="4"/>
        <v>0</v>
      </c>
      <c r="R11" s="1720">
        <f t="shared" si="5"/>
        <v>10295497</v>
      </c>
      <c r="S11" s="1903">
        <f t="shared" si="1"/>
        <v>0</v>
      </c>
      <c r="T11" s="1903">
        <f t="shared" si="6"/>
        <v>0</v>
      </c>
    </row>
    <row r="12" spans="1:20" s="1743" customFormat="1" ht="15" hidden="1" customHeight="1">
      <c r="A12" s="2718"/>
      <c r="B12" s="2718"/>
      <c r="C12" s="2718"/>
      <c r="D12" s="1899" t="s">
        <v>5306</v>
      </c>
      <c r="E12" s="1900"/>
      <c r="F12" s="1900"/>
      <c r="G12" s="1900"/>
      <c r="H12" s="1720">
        <f t="shared" si="7"/>
        <v>0</v>
      </c>
      <c r="I12" s="1720"/>
      <c r="J12" s="1900"/>
      <c r="K12" s="1900"/>
      <c r="L12" s="1720">
        <f t="shared" si="2"/>
        <v>0</v>
      </c>
      <c r="M12" s="1720"/>
      <c r="N12" s="1720"/>
      <c r="O12" s="1720">
        <f t="shared" si="0"/>
        <v>0</v>
      </c>
      <c r="P12" s="1720">
        <f t="shared" ref="P12:Q14" si="8">F12+M12</f>
        <v>0</v>
      </c>
      <c r="Q12" s="1720">
        <f t="shared" si="8"/>
        <v>0</v>
      </c>
      <c r="R12" s="1720">
        <f>SUM(P12:Q12)</f>
        <v>0</v>
      </c>
      <c r="S12" s="1903">
        <f>H12-L12</f>
        <v>0</v>
      </c>
      <c r="T12" s="1903">
        <f>E12-R12</f>
        <v>0</v>
      </c>
    </row>
    <row r="13" spans="1:20" s="1743" customFormat="1" ht="15" hidden="1" customHeight="1">
      <c r="A13" s="2718"/>
      <c r="B13" s="2718"/>
      <c r="C13" s="2718"/>
      <c r="D13" s="1965" t="s">
        <v>5312</v>
      </c>
      <c r="E13" s="1900"/>
      <c r="F13" s="1900"/>
      <c r="G13" s="1900"/>
      <c r="H13" s="1720">
        <f t="shared" si="7"/>
        <v>0</v>
      </c>
      <c r="I13" s="1720"/>
      <c r="J13" s="1900"/>
      <c r="K13" s="1900"/>
      <c r="L13" s="1720">
        <f t="shared" si="2"/>
        <v>0</v>
      </c>
      <c r="M13" s="1720"/>
      <c r="N13" s="1720"/>
      <c r="O13" s="1720">
        <f t="shared" si="0"/>
        <v>0</v>
      </c>
      <c r="P13" s="1720">
        <f t="shared" si="8"/>
        <v>0</v>
      </c>
      <c r="Q13" s="1720">
        <f t="shared" si="8"/>
        <v>0</v>
      </c>
      <c r="R13" s="1720">
        <f>SUM(P13:Q13)</f>
        <v>0</v>
      </c>
      <c r="S13" s="1903">
        <f>H13-L13</f>
        <v>0</v>
      </c>
      <c r="T13" s="1903">
        <f>E13-R13</f>
        <v>0</v>
      </c>
    </row>
    <row r="14" spans="1:20" s="1743" customFormat="1" ht="15" hidden="1" customHeight="1">
      <c r="A14" s="2718"/>
      <c r="B14" s="2718"/>
      <c r="C14" s="2718"/>
      <c r="D14" s="1899" t="s">
        <v>5307</v>
      </c>
      <c r="E14" s="1900"/>
      <c r="F14" s="1900"/>
      <c r="G14" s="1900"/>
      <c r="H14" s="1720">
        <f>SUM(F14:G14)</f>
        <v>0</v>
      </c>
      <c r="I14" s="1720"/>
      <c r="J14" s="1900"/>
      <c r="K14" s="1900"/>
      <c r="L14" s="1720">
        <f t="shared" si="2"/>
        <v>0</v>
      </c>
      <c r="M14" s="1720"/>
      <c r="N14" s="1720"/>
      <c r="O14" s="1720">
        <f>SUM(M14:N14)</f>
        <v>0</v>
      </c>
      <c r="P14" s="1720">
        <f t="shared" si="8"/>
        <v>0</v>
      </c>
      <c r="Q14" s="1720">
        <f t="shared" si="8"/>
        <v>0</v>
      </c>
      <c r="R14" s="1720">
        <f>SUM(P14:Q14)</f>
        <v>0</v>
      </c>
      <c r="S14" s="1903">
        <f>H14-L14</f>
        <v>0</v>
      </c>
      <c r="T14" s="1903">
        <f>E14-R14</f>
        <v>0</v>
      </c>
    </row>
    <row r="15" spans="1:20" s="1743" customFormat="1" ht="15" hidden="1" customHeight="1">
      <c r="A15" s="2718"/>
      <c r="B15" s="2718"/>
      <c r="C15" s="2718"/>
      <c r="D15" s="1965"/>
      <c r="E15" s="1900"/>
      <c r="F15" s="1900"/>
      <c r="G15" s="1900"/>
      <c r="H15" s="1720">
        <f t="shared" si="7"/>
        <v>0</v>
      </c>
      <c r="I15" s="1720"/>
      <c r="J15" s="1900"/>
      <c r="K15" s="1900"/>
      <c r="L15" s="1720">
        <f t="shared" si="2"/>
        <v>0</v>
      </c>
      <c r="M15" s="1720"/>
      <c r="N15" s="1720"/>
      <c r="O15" s="1720">
        <f t="shared" si="0"/>
        <v>0</v>
      </c>
      <c r="P15" s="1720">
        <f t="shared" si="3"/>
        <v>0</v>
      </c>
      <c r="Q15" s="1720">
        <f t="shared" si="4"/>
        <v>0</v>
      </c>
      <c r="R15" s="1720">
        <f t="shared" si="5"/>
        <v>0</v>
      </c>
      <c r="S15" s="1903">
        <f t="shared" si="1"/>
        <v>0</v>
      </c>
      <c r="T15" s="1903">
        <f t="shared" si="6"/>
        <v>0</v>
      </c>
    </row>
    <row r="16" spans="1:20" ht="15" customHeight="1">
      <c r="A16" s="2718"/>
      <c r="B16" s="2718"/>
      <c r="C16" s="2718"/>
      <c r="D16" s="1725" t="s">
        <v>4951</v>
      </c>
      <c r="E16" s="1718">
        <f>SUM(E6:E15)</f>
        <v>11246935</v>
      </c>
      <c r="F16" s="1718">
        <f t="shared" ref="F16:R16" si="9">SUM(F6:F15)</f>
        <v>11246935</v>
      </c>
      <c r="G16" s="1718">
        <f t="shared" si="9"/>
        <v>0</v>
      </c>
      <c r="H16" s="1718">
        <f t="shared" si="9"/>
        <v>11246935</v>
      </c>
      <c r="I16" s="1718">
        <f t="shared" si="9"/>
        <v>0</v>
      </c>
      <c r="J16" s="1718">
        <f t="shared" si="9"/>
        <v>951438</v>
      </c>
      <c r="K16" s="1718">
        <f t="shared" si="9"/>
        <v>10295497</v>
      </c>
      <c r="L16" s="1718">
        <f t="shared" si="9"/>
        <v>11246935</v>
      </c>
      <c r="M16" s="1718">
        <f t="shared" si="9"/>
        <v>0</v>
      </c>
      <c r="N16" s="1718">
        <f t="shared" si="9"/>
        <v>0</v>
      </c>
      <c r="O16" s="1718">
        <f t="shared" si="9"/>
        <v>0</v>
      </c>
      <c r="P16" s="1718">
        <f t="shared" si="9"/>
        <v>11246935</v>
      </c>
      <c r="Q16" s="1718">
        <f t="shared" si="9"/>
        <v>0</v>
      </c>
      <c r="R16" s="1718">
        <f t="shared" si="9"/>
        <v>11246935</v>
      </c>
      <c r="S16" s="1902">
        <f t="shared" si="1"/>
        <v>0</v>
      </c>
      <c r="T16" s="1902">
        <f t="shared" si="6"/>
        <v>0</v>
      </c>
    </row>
    <row r="17" spans="1:20" ht="15" customHeight="1">
      <c r="A17" s="2718"/>
      <c r="B17" s="2723" t="s">
        <v>4963</v>
      </c>
      <c r="C17" s="2726"/>
      <c r="D17" s="1725" t="s">
        <v>4964</v>
      </c>
      <c r="E17" s="2019">
        <f>+'工事負担金（元金償還分)'!G12</f>
        <v>3167277</v>
      </c>
      <c r="F17" s="1718"/>
      <c r="G17" s="1718"/>
      <c r="H17" s="1718">
        <f t="shared" si="7"/>
        <v>0</v>
      </c>
      <c r="I17" s="1718"/>
      <c r="J17" s="1718"/>
      <c r="K17" s="1718"/>
      <c r="L17" s="1718">
        <f t="shared" si="2"/>
        <v>0</v>
      </c>
      <c r="M17" s="1718"/>
      <c r="N17" s="1718">
        <f>E17</f>
        <v>3167277</v>
      </c>
      <c r="O17" s="1718">
        <f>SUM(M17:N17)</f>
        <v>3167277</v>
      </c>
      <c r="P17" s="1718">
        <f t="shared" si="3"/>
        <v>0</v>
      </c>
      <c r="Q17" s="1718">
        <f t="shared" si="4"/>
        <v>3167277</v>
      </c>
      <c r="R17" s="1718">
        <f t="shared" si="5"/>
        <v>3167277</v>
      </c>
      <c r="S17" s="1902">
        <f>H17-L17</f>
        <v>0</v>
      </c>
      <c r="T17" s="1902">
        <f t="shared" si="6"/>
        <v>0</v>
      </c>
    </row>
    <row r="18" spans="1:20" ht="15" customHeight="1">
      <c r="A18" s="2718"/>
      <c r="B18" s="2723"/>
      <c r="C18" s="2726"/>
      <c r="D18" s="1725" t="s">
        <v>4965</v>
      </c>
      <c r="E18" s="2019">
        <f>+'工事負担金（元金償還分)'!G11</f>
        <v>3205201</v>
      </c>
      <c r="F18" s="1718"/>
      <c r="G18" s="1718"/>
      <c r="H18" s="1718">
        <f t="shared" si="7"/>
        <v>0</v>
      </c>
      <c r="I18" s="1718"/>
      <c r="J18" s="1718"/>
      <c r="K18" s="1718"/>
      <c r="L18" s="1718">
        <f t="shared" si="2"/>
        <v>0</v>
      </c>
      <c r="M18" s="1718"/>
      <c r="N18" s="1718">
        <f>E18</f>
        <v>3205201</v>
      </c>
      <c r="O18" s="1718">
        <f>SUM(M18:N18)</f>
        <v>3205201</v>
      </c>
      <c r="P18" s="1718">
        <f t="shared" si="3"/>
        <v>0</v>
      </c>
      <c r="Q18" s="1718">
        <f t="shared" si="4"/>
        <v>3205201</v>
      </c>
      <c r="R18" s="1718">
        <f t="shared" si="5"/>
        <v>3205201</v>
      </c>
      <c r="S18" s="1902">
        <f t="shared" ref="S18:S44" si="10">H18-L18</f>
        <v>0</v>
      </c>
      <c r="T18" s="1902">
        <f t="shared" si="6"/>
        <v>0</v>
      </c>
    </row>
    <row r="19" spans="1:20" ht="15" customHeight="1">
      <c r="A19" s="2718"/>
      <c r="B19" s="2723"/>
      <c r="C19" s="2726"/>
      <c r="D19" s="1725" t="s">
        <v>4966</v>
      </c>
      <c r="E19" s="2019">
        <f>+'工事負担金（元金償還分)'!G7</f>
        <v>31164274</v>
      </c>
      <c r="F19" s="1718"/>
      <c r="G19" s="1718"/>
      <c r="H19" s="1718">
        <f t="shared" si="7"/>
        <v>0</v>
      </c>
      <c r="I19" s="1718"/>
      <c r="J19" s="1718"/>
      <c r="K19" s="1718"/>
      <c r="L19" s="1718">
        <f t="shared" si="2"/>
        <v>0</v>
      </c>
      <c r="M19" s="1718"/>
      <c r="N19" s="1718">
        <f>E19</f>
        <v>31164274</v>
      </c>
      <c r="O19" s="1718">
        <f>SUM(M19:N19)</f>
        <v>31164274</v>
      </c>
      <c r="P19" s="1718">
        <f t="shared" si="3"/>
        <v>0</v>
      </c>
      <c r="Q19" s="1718">
        <f t="shared" si="4"/>
        <v>31164274</v>
      </c>
      <c r="R19" s="1718">
        <f t="shared" si="5"/>
        <v>31164274</v>
      </c>
      <c r="S19" s="1902">
        <f t="shared" si="10"/>
        <v>0</v>
      </c>
      <c r="T19" s="1902">
        <f t="shared" si="6"/>
        <v>0</v>
      </c>
    </row>
    <row r="20" spans="1:20" ht="15" customHeight="1">
      <c r="A20" s="2718"/>
      <c r="B20" s="2723"/>
      <c r="C20" s="2726"/>
      <c r="D20" s="1725" t="s">
        <v>4962</v>
      </c>
      <c r="E20" s="2019">
        <f>+'工事負担金（元金償還分)'!G13</f>
        <v>27021331</v>
      </c>
      <c r="F20" s="1718"/>
      <c r="G20" s="1718"/>
      <c r="H20" s="1718">
        <f t="shared" si="7"/>
        <v>0</v>
      </c>
      <c r="I20" s="1718"/>
      <c r="J20" s="1718"/>
      <c r="K20" s="1718"/>
      <c r="L20" s="1718">
        <f t="shared" si="2"/>
        <v>0</v>
      </c>
      <c r="M20" s="1718"/>
      <c r="N20" s="1718">
        <f>E20</f>
        <v>27021331</v>
      </c>
      <c r="O20" s="1718">
        <f>SUM(M20:N20)</f>
        <v>27021331</v>
      </c>
      <c r="P20" s="1718">
        <f t="shared" si="3"/>
        <v>0</v>
      </c>
      <c r="Q20" s="1718">
        <f t="shared" si="4"/>
        <v>27021331</v>
      </c>
      <c r="R20" s="1718">
        <f t="shared" si="5"/>
        <v>27021331</v>
      </c>
      <c r="S20" s="1902">
        <f t="shared" si="10"/>
        <v>0</v>
      </c>
      <c r="T20" s="1902">
        <f t="shared" si="6"/>
        <v>0</v>
      </c>
    </row>
    <row r="21" spans="1:20" ht="15" customHeight="1">
      <c r="A21" s="2718"/>
      <c r="B21" s="2723"/>
      <c r="C21" s="2726"/>
      <c r="D21" s="1725" t="s">
        <v>4970</v>
      </c>
      <c r="E21" s="2019">
        <f>+'工事負担金（元金償還分)'!G10</f>
        <v>7611447</v>
      </c>
      <c r="F21" s="1718"/>
      <c r="G21" s="1718"/>
      <c r="H21" s="1718">
        <f t="shared" si="7"/>
        <v>0</v>
      </c>
      <c r="I21" s="1718"/>
      <c r="J21" s="1718"/>
      <c r="K21" s="1718"/>
      <c r="L21" s="1718">
        <f t="shared" si="2"/>
        <v>0</v>
      </c>
      <c r="M21" s="1718"/>
      <c r="N21" s="1718">
        <f>E21</f>
        <v>7611447</v>
      </c>
      <c r="O21" s="1718">
        <f>SUM(M21:N21)</f>
        <v>7611447</v>
      </c>
      <c r="P21" s="1718">
        <f t="shared" si="3"/>
        <v>0</v>
      </c>
      <c r="Q21" s="1718">
        <f t="shared" si="4"/>
        <v>7611447</v>
      </c>
      <c r="R21" s="1718">
        <f t="shared" si="5"/>
        <v>7611447</v>
      </c>
      <c r="S21" s="1902">
        <f t="shared" si="10"/>
        <v>0</v>
      </c>
      <c r="T21" s="1902">
        <f t="shared" si="6"/>
        <v>0</v>
      </c>
    </row>
    <row r="22" spans="1:20" ht="15" customHeight="1">
      <c r="A22" s="2718"/>
      <c r="B22" s="2723"/>
      <c r="C22" s="2726"/>
      <c r="D22" s="1725" t="s">
        <v>4951</v>
      </c>
      <c r="E22" s="1718">
        <f>SUM(E17:E21)</f>
        <v>72169530</v>
      </c>
      <c r="F22" s="1718">
        <f t="shared" ref="F22:R22" si="11">SUM(F17:F21)</f>
        <v>0</v>
      </c>
      <c r="G22" s="1718">
        <f t="shared" si="11"/>
        <v>0</v>
      </c>
      <c r="H22" s="1718">
        <f t="shared" si="11"/>
        <v>0</v>
      </c>
      <c r="I22" s="1718">
        <f t="shared" si="11"/>
        <v>0</v>
      </c>
      <c r="J22" s="1718">
        <f t="shared" si="11"/>
        <v>0</v>
      </c>
      <c r="K22" s="1718">
        <f t="shared" si="11"/>
        <v>0</v>
      </c>
      <c r="L22" s="1718">
        <f t="shared" si="11"/>
        <v>0</v>
      </c>
      <c r="M22" s="1718">
        <f t="shared" si="11"/>
        <v>0</v>
      </c>
      <c r="N22" s="1718">
        <f>SUM(N17:N21)</f>
        <v>72169530</v>
      </c>
      <c r="O22" s="1718">
        <f t="shared" si="11"/>
        <v>72169530</v>
      </c>
      <c r="P22" s="1718">
        <f t="shared" si="11"/>
        <v>0</v>
      </c>
      <c r="Q22" s="1718">
        <f t="shared" si="11"/>
        <v>72169530</v>
      </c>
      <c r="R22" s="1718">
        <f t="shared" si="11"/>
        <v>72169530</v>
      </c>
      <c r="S22" s="1902">
        <f t="shared" si="10"/>
        <v>0</v>
      </c>
      <c r="T22" s="1902">
        <f t="shared" si="6"/>
        <v>0</v>
      </c>
    </row>
    <row r="23" spans="1:20" ht="15" customHeight="1">
      <c r="A23" s="2718"/>
      <c r="B23" s="2723" t="s">
        <v>4971</v>
      </c>
      <c r="C23" s="2723"/>
      <c r="D23" s="2723"/>
      <c r="E23" s="1718">
        <f>E16+E22</f>
        <v>83416465</v>
      </c>
      <c r="F23" s="1718">
        <f t="shared" ref="F23:R23" si="12">F16+F22</f>
        <v>11246935</v>
      </c>
      <c r="G23" s="1718">
        <f t="shared" si="12"/>
        <v>0</v>
      </c>
      <c r="H23" s="1718">
        <f t="shared" si="12"/>
        <v>11246935</v>
      </c>
      <c r="I23" s="1718">
        <f t="shared" si="12"/>
        <v>0</v>
      </c>
      <c r="J23" s="1718">
        <f t="shared" si="12"/>
        <v>951438</v>
      </c>
      <c r="K23" s="1718">
        <f t="shared" si="12"/>
        <v>10295497</v>
      </c>
      <c r="L23" s="1718">
        <f t="shared" si="12"/>
        <v>11246935</v>
      </c>
      <c r="M23" s="1718">
        <f t="shared" si="12"/>
        <v>0</v>
      </c>
      <c r="N23" s="1718">
        <f>N16+N22</f>
        <v>72169530</v>
      </c>
      <c r="O23" s="1718">
        <f t="shared" si="12"/>
        <v>72169530</v>
      </c>
      <c r="P23" s="1718">
        <f t="shared" si="12"/>
        <v>11246935</v>
      </c>
      <c r="Q23" s="1718">
        <f t="shared" si="12"/>
        <v>72169530</v>
      </c>
      <c r="R23" s="1718">
        <f t="shared" si="12"/>
        <v>83416465</v>
      </c>
      <c r="S23" s="1902">
        <f t="shared" si="10"/>
        <v>0</v>
      </c>
      <c r="T23" s="1902">
        <f t="shared" si="6"/>
        <v>0</v>
      </c>
    </row>
    <row r="24" spans="1:20" ht="15" hidden="1" customHeight="1">
      <c r="A24" s="2718" t="s">
        <v>4973</v>
      </c>
      <c r="B24" s="2723" t="s">
        <v>4960</v>
      </c>
      <c r="C24" s="2723" t="s">
        <v>4969</v>
      </c>
      <c r="D24" s="1725"/>
      <c r="E24" s="1718"/>
      <c r="F24" s="1718"/>
      <c r="G24" s="1718"/>
      <c r="H24" s="1718">
        <f t="shared" si="7"/>
        <v>0</v>
      </c>
      <c r="I24" s="1718"/>
      <c r="J24" s="1718"/>
      <c r="K24" s="1718"/>
      <c r="L24" s="1718">
        <f t="shared" si="2"/>
        <v>0</v>
      </c>
      <c r="M24" s="1718"/>
      <c r="N24" s="1718"/>
      <c r="O24" s="1718">
        <f t="shared" ref="O24:O44" si="13">SUM(M24:N24)</f>
        <v>0</v>
      </c>
      <c r="P24" s="1718">
        <f t="shared" si="3"/>
        <v>0</v>
      </c>
      <c r="Q24" s="1718">
        <f t="shared" si="4"/>
        <v>0</v>
      </c>
      <c r="R24" s="1718">
        <f t="shared" si="5"/>
        <v>0</v>
      </c>
      <c r="S24" s="1902">
        <f t="shared" si="10"/>
        <v>0</v>
      </c>
      <c r="T24" s="1902">
        <f t="shared" si="6"/>
        <v>0</v>
      </c>
    </row>
    <row r="25" spans="1:20" ht="15" hidden="1" customHeight="1">
      <c r="A25" s="2718"/>
      <c r="B25" s="2723"/>
      <c r="C25" s="2723"/>
      <c r="D25" s="1725"/>
      <c r="E25" s="1720"/>
      <c r="F25" s="1720"/>
      <c r="G25" s="1720"/>
      <c r="H25" s="1720">
        <f t="shared" si="7"/>
        <v>0</v>
      </c>
      <c r="I25" s="1720"/>
      <c r="J25" s="1720"/>
      <c r="K25" s="1720"/>
      <c r="L25" s="1720">
        <f t="shared" si="2"/>
        <v>0</v>
      </c>
      <c r="M25" s="1720"/>
      <c r="N25" s="1720"/>
      <c r="O25" s="1720">
        <f t="shared" si="13"/>
        <v>0</v>
      </c>
      <c r="P25" s="1720">
        <f t="shared" si="3"/>
        <v>0</v>
      </c>
      <c r="Q25" s="1720">
        <f t="shared" si="4"/>
        <v>0</v>
      </c>
      <c r="R25" s="1720">
        <f t="shared" si="5"/>
        <v>0</v>
      </c>
      <c r="S25" s="1902">
        <f t="shared" si="10"/>
        <v>0</v>
      </c>
      <c r="T25" s="1902">
        <f t="shared" si="6"/>
        <v>0</v>
      </c>
    </row>
    <row r="26" spans="1:20" ht="15" hidden="1" customHeight="1">
      <c r="A26" s="2718"/>
      <c r="B26" s="2723"/>
      <c r="C26" s="2723"/>
      <c r="D26" s="1725" t="s">
        <v>4975</v>
      </c>
      <c r="E26" s="1718">
        <f>SUM(E24:E25)</f>
        <v>0</v>
      </c>
      <c r="F26" s="1718">
        <f t="shared" ref="F26:R26" si="14">SUM(F24:F25)</f>
        <v>0</v>
      </c>
      <c r="G26" s="1718">
        <f t="shared" si="14"/>
        <v>0</v>
      </c>
      <c r="H26" s="1718">
        <f t="shared" si="14"/>
        <v>0</v>
      </c>
      <c r="I26" s="1718">
        <f t="shared" si="14"/>
        <v>0</v>
      </c>
      <c r="J26" s="1718">
        <f t="shared" si="14"/>
        <v>0</v>
      </c>
      <c r="K26" s="1718">
        <f t="shared" si="14"/>
        <v>0</v>
      </c>
      <c r="L26" s="1718">
        <f t="shared" si="14"/>
        <v>0</v>
      </c>
      <c r="M26" s="1718">
        <f t="shared" si="14"/>
        <v>0</v>
      </c>
      <c r="N26" s="1718">
        <f t="shared" si="14"/>
        <v>0</v>
      </c>
      <c r="O26" s="1718">
        <f t="shared" si="14"/>
        <v>0</v>
      </c>
      <c r="P26" s="1718">
        <f t="shared" si="14"/>
        <v>0</v>
      </c>
      <c r="Q26" s="1718">
        <f t="shared" si="14"/>
        <v>0</v>
      </c>
      <c r="R26" s="1718">
        <f t="shared" si="14"/>
        <v>0</v>
      </c>
      <c r="S26" s="1902">
        <f t="shared" si="10"/>
        <v>0</v>
      </c>
      <c r="T26" s="1902">
        <f t="shared" si="6"/>
        <v>0</v>
      </c>
    </row>
    <row r="27" spans="1:20" ht="15" customHeight="1">
      <c r="A27" s="2718"/>
      <c r="B27" s="2723" t="s">
        <v>4963</v>
      </c>
      <c r="C27" s="2723"/>
      <c r="D27" s="1725" t="s">
        <v>4974</v>
      </c>
      <c r="E27" s="2019">
        <f>'工事負担金（元金償還分)'!G6</f>
        <v>163052136</v>
      </c>
      <c r="F27" s="1720"/>
      <c r="G27" s="1720"/>
      <c r="H27" s="1720">
        <f t="shared" si="7"/>
        <v>0</v>
      </c>
      <c r="I27" s="1720"/>
      <c r="J27" s="1720"/>
      <c r="K27" s="1720"/>
      <c r="L27" s="1720">
        <f t="shared" si="2"/>
        <v>0</v>
      </c>
      <c r="M27" s="1720"/>
      <c r="N27" s="1720">
        <f>E27</f>
        <v>163052136</v>
      </c>
      <c r="O27" s="1720">
        <f t="shared" si="13"/>
        <v>163052136</v>
      </c>
      <c r="P27" s="1720">
        <f t="shared" si="3"/>
        <v>0</v>
      </c>
      <c r="Q27" s="1720">
        <f t="shared" si="4"/>
        <v>163052136</v>
      </c>
      <c r="R27" s="1720">
        <f t="shared" si="5"/>
        <v>163052136</v>
      </c>
      <c r="S27" s="1903">
        <f t="shared" si="10"/>
        <v>0</v>
      </c>
      <c r="T27" s="1903">
        <f t="shared" si="6"/>
        <v>0</v>
      </c>
    </row>
    <row r="28" spans="1:20" ht="15" customHeight="1">
      <c r="A28" s="2718"/>
      <c r="B28" s="2723"/>
      <c r="C28" s="2723"/>
      <c r="D28" s="1725" t="s">
        <v>4975</v>
      </c>
      <c r="E28" s="1720">
        <f>E27</f>
        <v>163052136</v>
      </c>
      <c r="F28" s="1720">
        <f t="shared" ref="F28:R28" si="15">F27</f>
        <v>0</v>
      </c>
      <c r="G28" s="1718">
        <f t="shared" si="15"/>
        <v>0</v>
      </c>
      <c r="H28" s="1718">
        <f t="shared" si="15"/>
        <v>0</v>
      </c>
      <c r="I28" s="1718">
        <f t="shared" si="15"/>
        <v>0</v>
      </c>
      <c r="J28" s="1718">
        <f t="shared" si="15"/>
        <v>0</v>
      </c>
      <c r="K28" s="1718">
        <f t="shared" si="15"/>
        <v>0</v>
      </c>
      <c r="L28" s="1718">
        <f t="shared" si="15"/>
        <v>0</v>
      </c>
      <c r="M28" s="1718">
        <f t="shared" si="15"/>
        <v>0</v>
      </c>
      <c r="N28" s="1718">
        <f t="shared" si="15"/>
        <v>163052136</v>
      </c>
      <c r="O28" s="1718">
        <f t="shared" si="15"/>
        <v>163052136</v>
      </c>
      <c r="P28" s="1718">
        <f t="shared" si="15"/>
        <v>0</v>
      </c>
      <c r="Q28" s="1718">
        <f t="shared" si="15"/>
        <v>163052136</v>
      </c>
      <c r="R28" s="1718">
        <f t="shared" si="15"/>
        <v>163052136</v>
      </c>
      <c r="S28" s="1902">
        <f t="shared" si="10"/>
        <v>0</v>
      </c>
      <c r="T28" s="1902">
        <f t="shared" si="6"/>
        <v>0</v>
      </c>
    </row>
    <row r="29" spans="1:20" ht="15" customHeight="1">
      <c r="A29" s="2718"/>
      <c r="B29" s="2718" t="s">
        <v>4971</v>
      </c>
      <c r="C29" s="2718"/>
      <c r="D29" s="2718"/>
      <c r="E29" s="1720">
        <f>E26+E28</f>
        <v>163052136</v>
      </c>
      <c r="F29" s="1720">
        <f t="shared" ref="F29:R29" si="16">F26+F28</f>
        <v>0</v>
      </c>
      <c r="G29" s="1718">
        <f t="shared" si="16"/>
        <v>0</v>
      </c>
      <c r="H29" s="1718">
        <f t="shared" si="16"/>
        <v>0</v>
      </c>
      <c r="I29" s="1718">
        <f t="shared" si="16"/>
        <v>0</v>
      </c>
      <c r="J29" s="1718">
        <f t="shared" si="16"/>
        <v>0</v>
      </c>
      <c r="K29" s="1718">
        <f t="shared" si="16"/>
        <v>0</v>
      </c>
      <c r="L29" s="1718">
        <f t="shared" si="16"/>
        <v>0</v>
      </c>
      <c r="M29" s="1718">
        <f t="shared" si="16"/>
        <v>0</v>
      </c>
      <c r="N29" s="1718">
        <f t="shared" si="16"/>
        <v>163052136</v>
      </c>
      <c r="O29" s="1718">
        <f t="shared" si="16"/>
        <v>163052136</v>
      </c>
      <c r="P29" s="1718">
        <f t="shared" si="16"/>
        <v>0</v>
      </c>
      <c r="Q29" s="1718">
        <f t="shared" si="16"/>
        <v>163052136</v>
      </c>
      <c r="R29" s="1718">
        <f t="shared" si="16"/>
        <v>163052136</v>
      </c>
      <c r="S29" s="1902">
        <f t="shared" si="10"/>
        <v>0</v>
      </c>
      <c r="T29" s="1902">
        <f t="shared" si="6"/>
        <v>0</v>
      </c>
    </row>
    <row r="30" spans="1:20" ht="15" customHeight="1">
      <c r="A30" s="2718" t="s">
        <v>4976</v>
      </c>
      <c r="B30" s="2718" t="s">
        <v>4960</v>
      </c>
      <c r="C30" s="2718" t="s">
        <v>4977</v>
      </c>
      <c r="D30" s="1725" t="s">
        <v>4961</v>
      </c>
      <c r="E30" s="1900">
        <v>4003456</v>
      </c>
      <c r="F30" s="1900">
        <v>4003456</v>
      </c>
      <c r="G30" s="1900"/>
      <c r="H30" s="1718">
        <f t="shared" si="7"/>
        <v>4003456</v>
      </c>
      <c r="I30" s="1718"/>
      <c r="J30" s="1718"/>
      <c r="K30" s="1900">
        <v>4003456</v>
      </c>
      <c r="L30" s="1718">
        <f t="shared" si="2"/>
        <v>4003456</v>
      </c>
      <c r="M30" s="1718"/>
      <c r="N30" s="1718"/>
      <c r="O30" s="1718">
        <f t="shared" si="13"/>
        <v>0</v>
      </c>
      <c r="P30" s="1718">
        <f t="shared" si="3"/>
        <v>4003456</v>
      </c>
      <c r="Q30" s="1718">
        <f t="shared" si="4"/>
        <v>0</v>
      </c>
      <c r="R30" s="1718">
        <f t="shared" si="5"/>
        <v>4003456</v>
      </c>
      <c r="S30" s="1902">
        <f t="shared" si="10"/>
        <v>0</v>
      </c>
      <c r="T30" s="1902">
        <f t="shared" si="6"/>
        <v>0</v>
      </c>
    </row>
    <row r="31" spans="1:20" ht="15" hidden="1" customHeight="1">
      <c r="A31" s="2718"/>
      <c r="B31" s="2718"/>
      <c r="C31" s="2718"/>
      <c r="D31" s="1725" t="s">
        <v>4984</v>
      </c>
      <c r="E31" s="1900">
        <v>0</v>
      </c>
      <c r="F31" s="1900">
        <v>0</v>
      </c>
      <c r="G31" s="1900"/>
      <c r="H31" s="1720">
        <f t="shared" si="7"/>
        <v>0</v>
      </c>
      <c r="I31" s="1720"/>
      <c r="J31" s="1720"/>
      <c r="K31" s="1900">
        <v>0</v>
      </c>
      <c r="L31" s="1720">
        <f t="shared" si="2"/>
        <v>0</v>
      </c>
      <c r="M31" s="1720"/>
      <c r="N31" s="1720"/>
      <c r="O31" s="1720">
        <f t="shared" ref="O31:O36" si="17">SUM(M31:N31)</f>
        <v>0</v>
      </c>
      <c r="P31" s="1720">
        <f t="shared" ref="P31:Q36" si="18">F31+M31</f>
        <v>0</v>
      </c>
      <c r="Q31" s="1720">
        <f t="shared" si="18"/>
        <v>0</v>
      </c>
      <c r="R31" s="1720">
        <f t="shared" ref="R31:R36" si="19">SUM(P31:Q31)</f>
        <v>0</v>
      </c>
      <c r="S31" s="1903">
        <f t="shared" ref="S31:S36" si="20">H31-L31</f>
        <v>0</v>
      </c>
      <c r="T31" s="1903">
        <f t="shared" ref="T31:T36" si="21">E31-R31</f>
        <v>0</v>
      </c>
    </row>
    <row r="32" spans="1:20" ht="15" customHeight="1">
      <c r="A32" s="2718"/>
      <c r="B32" s="2718"/>
      <c r="C32" s="2718"/>
      <c r="D32" s="1725" t="s">
        <v>4962</v>
      </c>
      <c r="E32" s="1900">
        <v>3161</v>
      </c>
      <c r="F32" s="1900">
        <v>3161</v>
      </c>
      <c r="G32" s="1900"/>
      <c r="H32" s="1718">
        <f t="shared" si="7"/>
        <v>3161</v>
      </c>
      <c r="I32" s="1718"/>
      <c r="J32" s="1718"/>
      <c r="K32" s="1900">
        <v>3161</v>
      </c>
      <c r="L32" s="1718">
        <f t="shared" si="2"/>
        <v>3161</v>
      </c>
      <c r="M32" s="1718"/>
      <c r="N32" s="1718"/>
      <c r="O32" s="1718">
        <f t="shared" si="17"/>
        <v>0</v>
      </c>
      <c r="P32" s="1718">
        <f t="shared" si="18"/>
        <v>3161</v>
      </c>
      <c r="Q32" s="1718">
        <f t="shared" si="18"/>
        <v>0</v>
      </c>
      <c r="R32" s="1718">
        <f t="shared" si="19"/>
        <v>3161</v>
      </c>
      <c r="S32" s="1902">
        <f t="shared" si="20"/>
        <v>0</v>
      </c>
      <c r="T32" s="1902">
        <f t="shared" si="21"/>
        <v>0</v>
      </c>
    </row>
    <row r="33" spans="1:20" ht="15" customHeight="1">
      <c r="A33" s="2718"/>
      <c r="B33" s="2718"/>
      <c r="C33" s="2718"/>
      <c r="D33" s="1725" t="s">
        <v>4978</v>
      </c>
      <c r="E33" s="1900">
        <v>947</v>
      </c>
      <c r="F33" s="1900">
        <v>947</v>
      </c>
      <c r="G33" s="1900"/>
      <c r="H33" s="1718">
        <f>SUM(F33:G33)</f>
        <v>947</v>
      </c>
      <c r="I33" s="1718"/>
      <c r="J33" s="1718"/>
      <c r="K33" s="1900">
        <v>947</v>
      </c>
      <c r="L33" s="1718">
        <f>SUM(I33:K33)</f>
        <v>947</v>
      </c>
      <c r="M33" s="1718"/>
      <c r="N33" s="1718"/>
      <c r="O33" s="1718">
        <f t="shared" si="17"/>
        <v>0</v>
      </c>
      <c r="P33" s="1718">
        <f t="shared" si="18"/>
        <v>947</v>
      </c>
      <c r="Q33" s="1718">
        <f t="shared" si="18"/>
        <v>0</v>
      </c>
      <c r="R33" s="1718">
        <f t="shared" si="19"/>
        <v>947</v>
      </c>
      <c r="S33" s="1902">
        <f t="shared" si="20"/>
        <v>0</v>
      </c>
      <c r="T33" s="1902">
        <f t="shared" si="21"/>
        <v>0</v>
      </c>
    </row>
    <row r="34" spans="1:20" ht="15" hidden="1" customHeight="1">
      <c r="A34" s="2718"/>
      <c r="B34" s="2718"/>
      <c r="C34" s="2718"/>
      <c r="D34" s="1899"/>
      <c r="E34" s="1900"/>
      <c r="F34" s="1900"/>
      <c r="G34" s="1900"/>
      <c r="H34" s="1718">
        <f>SUM(F34:G34)</f>
        <v>0</v>
      </c>
      <c r="I34" s="1718"/>
      <c r="J34" s="1718"/>
      <c r="K34" s="1900"/>
      <c r="L34" s="1718">
        <f>SUM(I34:K34)</f>
        <v>0</v>
      </c>
      <c r="M34" s="1718"/>
      <c r="N34" s="1720"/>
      <c r="O34" s="1718">
        <f t="shared" si="17"/>
        <v>0</v>
      </c>
      <c r="P34" s="1718">
        <f t="shared" si="18"/>
        <v>0</v>
      </c>
      <c r="Q34" s="1718">
        <f t="shared" si="18"/>
        <v>0</v>
      </c>
      <c r="R34" s="1718">
        <f t="shared" si="19"/>
        <v>0</v>
      </c>
      <c r="S34" s="1902">
        <f t="shared" si="20"/>
        <v>0</v>
      </c>
      <c r="T34" s="1902">
        <f t="shared" si="21"/>
        <v>0</v>
      </c>
    </row>
    <row r="35" spans="1:20" ht="15" hidden="1" customHeight="1">
      <c r="A35" s="2718"/>
      <c r="B35" s="2718"/>
      <c r="C35" s="2718"/>
      <c r="D35" s="1899"/>
      <c r="E35" s="1900"/>
      <c r="F35" s="1900"/>
      <c r="G35" s="1900"/>
      <c r="H35" s="1718">
        <f>SUM(F35:G35)</f>
        <v>0</v>
      </c>
      <c r="I35" s="1718"/>
      <c r="J35" s="1718"/>
      <c r="K35" s="1900"/>
      <c r="L35" s="1718">
        <f>SUM(I35:K35)</f>
        <v>0</v>
      </c>
      <c r="M35" s="1718"/>
      <c r="N35" s="1720"/>
      <c r="O35" s="1718">
        <f t="shared" si="17"/>
        <v>0</v>
      </c>
      <c r="P35" s="1718">
        <f t="shared" si="18"/>
        <v>0</v>
      </c>
      <c r="Q35" s="1718">
        <f t="shared" si="18"/>
        <v>0</v>
      </c>
      <c r="R35" s="1718">
        <f t="shared" si="19"/>
        <v>0</v>
      </c>
      <c r="S35" s="1902">
        <f t="shared" si="20"/>
        <v>0</v>
      </c>
      <c r="T35" s="1902">
        <f t="shared" si="21"/>
        <v>0</v>
      </c>
    </row>
    <row r="36" spans="1:20" ht="15" hidden="1" customHeight="1">
      <c r="A36" s="2718"/>
      <c r="B36" s="2718"/>
      <c r="C36" s="2718"/>
      <c r="D36" s="1899"/>
      <c r="E36" s="1900"/>
      <c r="F36" s="1900"/>
      <c r="G36" s="1900"/>
      <c r="H36" s="1718">
        <f>SUM(F36:G36)</f>
        <v>0</v>
      </c>
      <c r="I36" s="1718"/>
      <c r="J36" s="1718"/>
      <c r="K36" s="1900"/>
      <c r="L36" s="1718">
        <f>SUM(I36:K36)</f>
        <v>0</v>
      </c>
      <c r="M36" s="1718"/>
      <c r="N36" s="1720"/>
      <c r="O36" s="1718">
        <f t="shared" si="17"/>
        <v>0</v>
      </c>
      <c r="P36" s="1718">
        <f t="shared" si="18"/>
        <v>0</v>
      </c>
      <c r="Q36" s="1718">
        <f t="shared" si="18"/>
        <v>0</v>
      </c>
      <c r="R36" s="1718">
        <f t="shared" si="19"/>
        <v>0</v>
      </c>
      <c r="S36" s="1902">
        <f t="shared" si="20"/>
        <v>0</v>
      </c>
      <c r="T36" s="1902">
        <f t="shared" si="21"/>
        <v>0</v>
      </c>
    </row>
    <row r="37" spans="1:20" ht="15" hidden="1" customHeight="1">
      <c r="A37" s="2718"/>
      <c r="B37" s="2718"/>
      <c r="C37" s="2718"/>
      <c r="D37" s="1899"/>
      <c r="E37" s="1900"/>
      <c r="F37" s="1900"/>
      <c r="G37" s="1900"/>
      <c r="H37" s="1718">
        <f t="shared" si="7"/>
        <v>0</v>
      </c>
      <c r="I37" s="1718"/>
      <c r="J37" s="1718"/>
      <c r="K37" s="1900"/>
      <c r="L37" s="1718">
        <f t="shared" si="2"/>
        <v>0</v>
      </c>
      <c r="M37" s="1718"/>
      <c r="N37" s="1720"/>
      <c r="O37" s="1718">
        <f t="shared" si="13"/>
        <v>0</v>
      </c>
      <c r="P37" s="1718">
        <f t="shared" si="3"/>
        <v>0</v>
      </c>
      <c r="Q37" s="1718">
        <f t="shared" si="4"/>
        <v>0</v>
      </c>
      <c r="R37" s="1718">
        <f t="shared" si="5"/>
        <v>0</v>
      </c>
      <c r="S37" s="1902">
        <f t="shared" si="10"/>
        <v>0</v>
      </c>
      <c r="T37" s="1902">
        <f t="shared" si="6"/>
        <v>0</v>
      </c>
    </row>
    <row r="38" spans="1:20" ht="15" customHeight="1">
      <c r="A38" s="2718"/>
      <c r="B38" s="2718" t="s">
        <v>4971</v>
      </c>
      <c r="C38" s="2718"/>
      <c r="D38" s="2718"/>
      <c r="E38" s="1718">
        <f>SUM(E30:E37)</f>
        <v>4007564</v>
      </c>
      <c r="F38" s="1718">
        <f t="shared" ref="F38:R38" si="22">SUM(F30:F37)</f>
        <v>4007564</v>
      </c>
      <c r="G38" s="1718">
        <f t="shared" si="22"/>
        <v>0</v>
      </c>
      <c r="H38" s="1718">
        <f t="shared" si="22"/>
        <v>4007564</v>
      </c>
      <c r="I38" s="1718">
        <f t="shared" si="22"/>
        <v>0</v>
      </c>
      <c r="J38" s="1718">
        <f t="shared" si="22"/>
        <v>0</v>
      </c>
      <c r="K38" s="1718">
        <f t="shared" si="22"/>
        <v>4007564</v>
      </c>
      <c r="L38" s="1718">
        <f t="shared" si="22"/>
        <v>4007564</v>
      </c>
      <c r="M38" s="1718">
        <f t="shared" si="22"/>
        <v>0</v>
      </c>
      <c r="N38" s="1718">
        <f t="shared" si="22"/>
        <v>0</v>
      </c>
      <c r="O38" s="1718">
        <f t="shared" si="22"/>
        <v>0</v>
      </c>
      <c r="P38" s="1718">
        <f t="shared" si="22"/>
        <v>4007564</v>
      </c>
      <c r="Q38" s="1718">
        <f t="shared" si="22"/>
        <v>0</v>
      </c>
      <c r="R38" s="1718">
        <f t="shared" si="22"/>
        <v>4007564</v>
      </c>
      <c r="S38" s="1902">
        <f t="shared" si="10"/>
        <v>0</v>
      </c>
      <c r="T38" s="1902">
        <f t="shared" si="6"/>
        <v>0</v>
      </c>
    </row>
    <row r="39" spans="1:20" ht="15" hidden="1" customHeight="1">
      <c r="A39" s="2718" t="s">
        <v>5064</v>
      </c>
      <c r="B39" s="2718" t="s">
        <v>4960</v>
      </c>
      <c r="C39" s="2718" t="s">
        <v>4979</v>
      </c>
      <c r="D39" s="1899" t="s">
        <v>5269</v>
      </c>
      <c r="E39" s="1900">
        <v>0</v>
      </c>
      <c r="F39" s="1900"/>
      <c r="G39" s="1900"/>
      <c r="H39" s="1720">
        <f t="shared" si="7"/>
        <v>0</v>
      </c>
      <c r="I39" s="1720"/>
      <c r="J39" s="1720"/>
      <c r="K39" s="1900"/>
      <c r="L39" s="1720">
        <f t="shared" si="2"/>
        <v>0</v>
      </c>
      <c r="M39" s="1720"/>
      <c r="N39" s="1720"/>
      <c r="O39" s="1720">
        <f t="shared" si="13"/>
        <v>0</v>
      </c>
      <c r="P39" s="1720">
        <f t="shared" si="3"/>
        <v>0</v>
      </c>
      <c r="Q39" s="1720">
        <f t="shared" si="4"/>
        <v>0</v>
      </c>
      <c r="R39" s="1720">
        <f t="shared" si="5"/>
        <v>0</v>
      </c>
      <c r="S39" s="1902">
        <f t="shared" si="10"/>
        <v>0</v>
      </c>
      <c r="T39" s="1902">
        <f t="shared" si="6"/>
        <v>0</v>
      </c>
    </row>
    <row r="40" spans="1:20" s="1743" customFormat="1" ht="15" customHeight="1">
      <c r="A40" s="2718"/>
      <c r="B40" s="2718"/>
      <c r="C40" s="2718"/>
      <c r="D40" s="1899" t="s">
        <v>5325</v>
      </c>
      <c r="E40" s="1900">
        <v>8460015</v>
      </c>
      <c r="F40" s="1900"/>
      <c r="G40" s="1900">
        <v>8460015</v>
      </c>
      <c r="H40" s="1720">
        <f t="shared" si="7"/>
        <v>8460015</v>
      </c>
      <c r="I40" s="1720"/>
      <c r="J40" s="1720"/>
      <c r="K40" s="1900">
        <v>8460015</v>
      </c>
      <c r="L40" s="1720">
        <f t="shared" si="2"/>
        <v>8460015</v>
      </c>
      <c r="M40" s="1720"/>
      <c r="N40" s="1720"/>
      <c r="O40" s="1720">
        <f t="shared" si="13"/>
        <v>0</v>
      </c>
      <c r="P40" s="1720">
        <f t="shared" si="3"/>
        <v>0</v>
      </c>
      <c r="Q40" s="1720">
        <f t="shared" si="4"/>
        <v>8460015</v>
      </c>
      <c r="R40" s="1720">
        <f t="shared" si="5"/>
        <v>8460015</v>
      </c>
      <c r="S40" s="1903">
        <f t="shared" si="10"/>
        <v>0</v>
      </c>
      <c r="T40" s="1903">
        <f t="shared" si="6"/>
        <v>0</v>
      </c>
    </row>
    <row r="41" spans="1:20" s="1743" customFormat="1" ht="15" customHeight="1">
      <c r="A41" s="2718"/>
      <c r="B41" s="2718"/>
      <c r="C41" s="2718"/>
      <c r="D41" s="1899" t="s">
        <v>5324</v>
      </c>
      <c r="E41" s="1900">
        <v>80236477</v>
      </c>
      <c r="F41" s="1900"/>
      <c r="G41" s="1900">
        <v>80236477</v>
      </c>
      <c r="H41" s="1720">
        <f t="shared" si="7"/>
        <v>80236477</v>
      </c>
      <c r="I41" s="1720"/>
      <c r="J41" s="1720"/>
      <c r="K41" s="1900">
        <v>80236477</v>
      </c>
      <c r="L41" s="1720">
        <f t="shared" si="2"/>
        <v>80236477</v>
      </c>
      <c r="M41" s="1720"/>
      <c r="N41" s="1720"/>
      <c r="O41" s="1720">
        <f t="shared" si="13"/>
        <v>0</v>
      </c>
      <c r="P41" s="1720">
        <f t="shared" si="3"/>
        <v>0</v>
      </c>
      <c r="Q41" s="1720">
        <f t="shared" si="4"/>
        <v>80236477</v>
      </c>
      <c r="R41" s="1720">
        <f t="shared" si="5"/>
        <v>80236477</v>
      </c>
      <c r="S41" s="1903">
        <f t="shared" si="10"/>
        <v>0</v>
      </c>
      <c r="T41" s="1903">
        <f t="shared" si="6"/>
        <v>0</v>
      </c>
    </row>
    <row r="42" spans="1:20" s="1743" customFormat="1" ht="15" customHeight="1">
      <c r="A42" s="2718"/>
      <c r="B42" s="2718"/>
      <c r="C42" s="2718"/>
      <c r="D42" s="1899" t="s">
        <v>5323</v>
      </c>
      <c r="E42" s="1900">
        <v>177635024</v>
      </c>
      <c r="F42" s="1900"/>
      <c r="G42" s="1900">
        <v>177635024</v>
      </c>
      <c r="H42" s="1720">
        <f t="shared" ref="H42" si="23">SUM(F42:G42)</f>
        <v>177635024</v>
      </c>
      <c r="I42" s="1720"/>
      <c r="J42" s="1720"/>
      <c r="K42" s="1900">
        <v>177635024</v>
      </c>
      <c r="L42" s="1720">
        <f t="shared" ref="L42" si="24">SUM(I42:K42)</f>
        <v>177635024</v>
      </c>
      <c r="M42" s="1720"/>
      <c r="N42" s="1720"/>
      <c r="O42" s="1720">
        <f t="shared" ref="O42" si="25">SUM(M42:N42)</f>
        <v>0</v>
      </c>
      <c r="P42" s="1720">
        <f t="shared" ref="P42" si="26">F42+M42</f>
        <v>0</v>
      </c>
      <c r="Q42" s="1720">
        <f t="shared" ref="Q42" si="27">G42+N42</f>
        <v>177635024</v>
      </c>
      <c r="R42" s="1720">
        <f t="shared" ref="R42" si="28">SUM(P42:Q42)</f>
        <v>177635024</v>
      </c>
      <c r="S42" s="1903">
        <f t="shared" ref="S42" si="29">H42-L42</f>
        <v>0</v>
      </c>
      <c r="T42" s="1903">
        <f t="shared" si="6"/>
        <v>0</v>
      </c>
    </row>
    <row r="43" spans="1:20" s="1743" customFormat="1" ht="15" hidden="1" customHeight="1">
      <c r="A43" s="2718"/>
      <c r="B43" s="2718"/>
      <c r="C43" s="2718"/>
      <c r="D43" s="1899" t="s">
        <v>5303</v>
      </c>
      <c r="E43" s="1900"/>
      <c r="F43" s="1900"/>
      <c r="G43" s="1900"/>
      <c r="H43" s="1720">
        <f t="shared" si="7"/>
        <v>0</v>
      </c>
      <c r="I43" s="1720"/>
      <c r="J43" s="1720"/>
      <c r="K43" s="1900"/>
      <c r="L43" s="1720">
        <f t="shared" si="2"/>
        <v>0</v>
      </c>
      <c r="M43" s="1720"/>
      <c r="N43" s="1720"/>
      <c r="O43" s="1720">
        <f t="shared" si="13"/>
        <v>0</v>
      </c>
      <c r="P43" s="1720">
        <f t="shared" si="3"/>
        <v>0</v>
      </c>
      <c r="Q43" s="1720">
        <f t="shared" si="4"/>
        <v>0</v>
      </c>
      <c r="R43" s="1720">
        <f t="shared" si="5"/>
        <v>0</v>
      </c>
      <c r="S43" s="1903">
        <f t="shared" si="10"/>
        <v>0</v>
      </c>
      <c r="T43" s="1903">
        <f t="shared" si="6"/>
        <v>0</v>
      </c>
    </row>
    <row r="44" spans="1:20" ht="15" customHeight="1">
      <c r="A44" s="2718"/>
      <c r="B44" s="2718"/>
      <c r="C44" s="2718"/>
      <c r="D44" s="1899" t="s">
        <v>5311</v>
      </c>
      <c r="E44" s="1900">
        <v>63828</v>
      </c>
      <c r="F44" s="1900">
        <v>63828</v>
      </c>
      <c r="G44" s="1900"/>
      <c r="H44" s="1720">
        <f t="shared" si="7"/>
        <v>63828</v>
      </c>
      <c r="I44" s="1720"/>
      <c r="J44" s="1720"/>
      <c r="K44" s="1900">
        <v>63828</v>
      </c>
      <c r="L44" s="1720">
        <f t="shared" si="2"/>
        <v>63828</v>
      </c>
      <c r="M44" s="1720"/>
      <c r="N44" s="1720"/>
      <c r="O44" s="1720">
        <f t="shared" si="13"/>
        <v>0</v>
      </c>
      <c r="P44" s="1720">
        <f t="shared" si="3"/>
        <v>63828</v>
      </c>
      <c r="Q44" s="1720">
        <f t="shared" si="4"/>
        <v>0</v>
      </c>
      <c r="R44" s="1720">
        <f t="shared" si="5"/>
        <v>63828</v>
      </c>
      <c r="S44" s="1902">
        <f t="shared" si="10"/>
        <v>0</v>
      </c>
      <c r="T44" s="1902">
        <f t="shared" si="6"/>
        <v>0</v>
      </c>
    </row>
    <row r="45" spans="1:20" ht="15" customHeight="1">
      <c r="A45" s="2718"/>
      <c r="B45" s="2718"/>
      <c r="C45" s="2718"/>
      <c r="D45" s="1899" t="s">
        <v>5326</v>
      </c>
      <c r="E45" s="1900">
        <v>13415000</v>
      </c>
      <c r="F45" s="1900"/>
      <c r="G45" s="1900">
        <v>13415000</v>
      </c>
      <c r="H45" s="1720">
        <f>SUM(F45:G45)</f>
        <v>13415000</v>
      </c>
      <c r="I45" s="1720"/>
      <c r="J45" s="1720"/>
      <c r="K45" s="1900">
        <v>13415000</v>
      </c>
      <c r="L45" s="1720">
        <f t="shared" ref="L45:L52" si="30">SUM(I45:K45)</f>
        <v>13415000</v>
      </c>
      <c r="M45" s="1720"/>
      <c r="N45" s="1720"/>
      <c r="O45" s="1720">
        <f t="shared" ref="O45:O52" si="31">SUM(M45:N45)</f>
        <v>0</v>
      </c>
      <c r="P45" s="1720">
        <f t="shared" ref="P45:Q52" si="32">F45+M45</f>
        <v>0</v>
      </c>
      <c r="Q45" s="1720">
        <f t="shared" si="32"/>
        <v>13415000</v>
      </c>
      <c r="R45" s="1720">
        <f t="shared" ref="R45:R52" si="33">SUM(P45:Q45)</f>
        <v>13415000</v>
      </c>
      <c r="S45" s="1902">
        <f t="shared" ref="S45:S106" si="34">H45-L45</f>
        <v>0</v>
      </c>
      <c r="T45" s="1902">
        <f t="shared" ref="T45:T106" si="35">E45-R45</f>
        <v>0</v>
      </c>
    </row>
    <row r="46" spans="1:20" ht="15" hidden="1" customHeight="1">
      <c r="A46" s="2718"/>
      <c r="B46" s="2718"/>
      <c r="C46" s="2718"/>
      <c r="D46" s="1729"/>
      <c r="E46" s="1719"/>
      <c r="F46" s="1719"/>
      <c r="G46" s="1719"/>
      <c r="H46" s="1719">
        <f t="shared" ref="H46:H52" si="36">SUM(F46:G46)</f>
        <v>0</v>
      </c>
      <c r="I46" s="1719"/>
      <c r="J46" s="1719"/>
      <c r="K46" s="1719"/>
      <c r="L46" s="1719">
        <f t="shared" si="30"/>
        <v>0</v>
      </c>
      <c r="M46" s="1719"/>
      <c r="N46" s="1719"/>
      <c r="O46" s="1719">
        <f t="shared" si="31"/>
        <v>0</v>
      </c>
      <c r="P46" s="1719">
        <f t="shared" si="32"/>
        <v>0</v>
      </c>
      <c r="Q46" s="1719">
        <f t="shared" si="32"/>
        <v>0</v>
      </c>
      <c r="R46" s="1719">
        <f t="shared" si="33"/>
        <v>0</v>
      </c>
      <c r="S46" s="1902">
        <f t="shared" si="34"/>
        <v>0</v>
      </c>
      <c r="T46" s="1902">
        <f t="shared" si="35"/>
        <v>0</v>
      </c>
    </row>
    <row r="47" spans="1:20" ht="15" hidden="1" customHeight="1">
      <c r="A47" s="2718"/>
      <c r="B47" s="2718"/>
      <c r="C47" s="2718"/>
      <c r="D47" s="1729"/>
      <c r="E47" s="1720"/>
      <c r="F47" s="1718"/>
      <c r="G47" s="1719"/>
      <c r="H47" s="1719">
        <f t="shared" si="36"/>
        <v>0</v>
      </c>
      <c r="I47" s="1719"/>
      <c r="J47" s="1719"/>
      <c r="K47" s="1718"/>
      <c r="L47" s="1719">
        <f t="shared" si="30"/>
        <v>0</v>
      </c>
      <c r="M47" s="1719"/>
      <c r="N47" s="1719"/>
      <c r="O47" s="1719">
        <f t="shared" si="31"/>
        <v>0</v>
      </c>
      <c r="P47" s="1719">
        <f t="shared" si="32"/>
        <v>0</v>
      </c>
      <c r="Q47" s="1719">
        <f t="shared" si="32"/>
        <v>0</v>
      </c>
      <c r="R47" s="1719">
        <f t="shared" si="33"/>
        <v>0</v>
      </c>
      <c r="S47" s="1902">
        <f t="shared" si="34"/>
        <v>0</v>
      </c>
      <c r="T47" s="1902">
        <f t="shared" si="35"/>
        <v>0</v>
      </c>
    </row>
    <row r="48" spans="1:20" ht="15" hidden="1" customHeight="1">
      <c r="A48" s="2718"/>
      <c r="B48" s="2718"/>
      <c r="C48" s="2718"/>
      <c r="D48" s="1729"/>
      <c r="E48" s="1720"/>
      <c r="F48" s="1718"/>
      <c r="G48" s="1718"/>
      <c r="H48" s="1718">
        <f t="shared" si="36"/>
        <v>0</v>
      </c>
      <c r="I48" s="1718"/>
      <c r="J48" s="1718"/>
      <c r="K48" s="1718"/>
      <c r="L48" s="1718">
        <f t="shared" si="30"/>
        <v>0</v>
      </c>
      <c r="M48" s="1718"/>
      <c r="N48" s="1718"/>
      <c r="O48" s="1718">
        <f t="shared" si="31"/>
        <v>0</v>
      </c>
      <c r="P48" s="1718">
        <f t="shared" si="32"/>
        <v>0</v>
      </c>
      <c r="Q48" s="1718">
        <f t="shared" si="32"/>
        <v>0</v>
      </c>
      <c r="R48" s="1718">
        <f t="shared" si="33"/>
        <v>0</v>
      </c>
      <c r="S48" s="1902">
        <f t="shared" si="34"/>
        <v>0</v>
      </c>
      <c r="T48" s="1902">
        <f t="shared" si="35"/>
        <v>0</v>
      </c>
    </row>
    <row r="49" spans="1:20" ht="15" hidden="1" customHeight="1">
      <c r="A49" s="2718"/>
      <c r="B49" s="2718"/>
      <c r="C49" s="2718"/>
      <c r="D49" s="1729"/>
      <c r="E49" s="1720"/>
      <c r="F49" s="1720"/>
      <c r="G49" s="1718"/>
      <c r="H49" s="1718">
        <f t="shared" si="36"/>
        <v>0</v>
      </c>
      <c r="I49" s="1718"/>
      <c r="J49" s="1718"/>
      <c r="K49" s="1720"/>
      <c r="L49" s="1718">
        <f t="shared" si="30"/>
        <v>0</v>
      </c>
      <c r="M49" s="1718"/>
      <c r="N49" s="1718"/>
      <c r="O49" s="1718">
        <f t="shared" si="31"/>
        <v>0</v>
      </c>
      <c r="P49" s="1718">
        <f t="shared" si="32"/>
        <v>0</v>
      </c>
      <c r="Q49" s="1718">
        <f t="shared" si="32"/>
        <v>0</v>
      </c>
      <c r="R49" s="1718">
        <f t="shared" si="33"/>
        <v>0</v>
      </c>
      <c r="S49" s="1902">
        <f t="shared" si="34"/>
        <v>0</v>
      </c>
      <c r="T49" s="1902">
        <f t="shared" si="35"/>
        <v>0</v>
      </c>
    </row>
    <row r="50" spans="1:20" ht="15" hidden="1" customHeight="1">
      <c r="A50" s="2718"/>
      <c r="B50" s="2718"/>
      <c r="C50" s="2718"/>
      <c r="D50" s="1729"/>
      <c r="E50" s="1720"/>
      <c r="F50" s="1720"/>
      <c r="G50" s="1720"/>
      <c r="H50" s="1720">
        <f t="shared" si="36"/>
        <v>0</v>
      </c>
      <c r="I50" s="1720"/>
      <c r="J50" s="1720"/>
      <c r="K50" s="1720"/>
      <c r="L50" s="1720">
        <f t="shared" si="30"/>
        <v>0</v>
      </c>
      <c r="M50" s="1720"/>
      <c r="N50" s="1720"/>
      <c r="O50" s="1720">
        <f t="shared" si="31"/>
        <v>0</v>
      </c>
      <c r="P50" s="1720">
        <f t="shared" si="32"/>
        <v>0</v>
      </c>
      <c r="Q50" s="1720">
        <f t="shared" si="32"/>
        <v>0</v>
      </c>
      <c r="R50" s="1720">
        <f t="shared" si="33"/>
        <v>0</v>
      </c>
      <c r="S50" s="1902">
        <f t="shared" si="34"/>
        <v>0</v>
      </c>
      <c r="T50" s="1902">
        <f t="shared" si="35"/>
        <v>0</v>
      </c>
    </row>
    <row r="51" spans="1:20" ht="15" hidden="1" customHeight="1">
      <c r="A51" s="2718"/>
      <c r="B51" s="2718"/>
      <c r="C51" s="2718"/>
      <c r="D51" s="1729"/>
      <c r="E51" s="1720"/>
      <c r="F51" s="1720"/>
      <c r="G51" s="1720"/>
      <c r="H51" s="1720">
        <f t="shared" si="36"/>
        <v>0</v>
      </c>
      <c r="I51" s="1720"/>
      <c r="J51" s="1720"/>
      <c r="K51" s="1720"/>
      <c r="L51" s="1720">
        <f t="shared" si="30"/>
        <v>0</v>
      </c>
      <c r="M51" s="1720"/>
      <c r="N51" s="1720"/>
      <c r="O51" s="1720">
        <f t="shared" si="31"/>
        <v>0</v>
      </c>
      <c r="P51" s="1720">
        <f t="shared" si="32"/>
        <v>0</v>
      </c>
      <c r="Q51" s="1720">
        <f t="shared" si="32"/>
        <v>0</v>
      </c>
      <c r="R51" s="1720">
        <f t="shared" si="33"/>
        <v>0</v>
      </c>
      <c r="S51" s="1902">
        <f t="shared" si="34"/>
        <v>0</v>
      </c>
      <c r="T51" s="1902">
        <f t="shared" si="35"/>
        <v>0</v>
      </c>
    </row>
    <row r="52" spans="1:20" ht="15" hidden="1" customHeight="1">
      <c r="A52" s="2718"/>
      <c r="B52" s="2718"/>
      <c r="C52" s="2718"/>
      <c r="D52" s="1729"/>
      <c r="E52" s="1720"/>
      <c r="F52" s="1720"/>
      <c r="G52" s="1720"/>
      <c r="H52" s="1720">
        <f t="shared" si="36"/>
        <v>0</v>
      </c>
      <c r="I52" s="1720"/>
      <c r="J52" s="1720"/>
      <c r="K52" s="1720"/>
      <c r="L52" s="1720">
        <f t="shared" si="30"/>
        <v>0</v>
      </c>
      <c r="M52" s="1720"/>
      <c r="N52" s="1720"/>
      <c r="O52" s="1720">
        <f t="shared" si="31"/>
        <v>0</v>
      </c>
      <c r="P52" s="1720">
        <f t="shared" si="32"/>
        <v>0</v>
      </c>
      <c r="Q52" s="1720">
        <f t="shared" si="32"/>
        <v>0</v>
      </c>
      <c r="R52" s="1720">
        <f t="shared" si="33"/>
        <v>0</v>
      </c>
      <c r="S52" s="1902">
        <f t="shared" si="34"/>
        <v>0</v>
      </c>
      <c r="T52" s="1902">
        <f t="shared" si="35"/>
        <v>0</v>
      </c>
    </row>
    <row r="53" spans="1:20" ht="15" customHeight="1">
      <c r="A53" s="2718"/>
      <c r="B53" s="2718" t="s">
        <v>4971</v>
      </c>
      <c r="C53" s="2718"/>
      <c r="D53" s="2718"/>
      <c r="E53" s="1718">
        <f>SUM(E39:E52)</f>
        <v>279810344</v>
      </c>
      <c r="F53" s="1904">
        <f t="shared" ref="F53:R53" si="37">SUM(F39:F52)</f>
        <v>63828</v>
      </c>
      <c r="G53" s="1718">
        <f t="shared" si="37"/>
        <v>279746516</v>
      </c>
      <c r="H53" s="1905">
        <f t="shared" si="37"/>
        <v>279810344</v>
      </c>
      <c r="I53" s="1718">
        <f t="shared" si="37"/>
        <v>0</v>
      </c>
      <c r="J53" s="1718">
        <f t="shared" si="37"/>
        <v>0</v>
      </c>
      <c r="K53" s="1718">
        <f t="shared" si="37"/>
        <v>279810344</v>
      </c>
      <c r="L53" s="1718">
        <f t="shared" si="37"/>
        <v>279810344</v>
      </c>
      <c r="M53" s="1718">
        <f t="shared" si="37"/>
        <v>0</v>
      </c>
      <c r="N53" s="1718">
        <f t="shared" si="37"/>
        <v>0</v>
      </c>
      <c r="O53" s="1718">
        <f t="shared" si="37"/>
        <v>0</v>
      </c>
      <c r="P53" s="1718">
        <f t="shared" si="37"/>
        <v>63828</v>
      </c>
      <c r="Q53" s="1718">
        <f t="shared" si="37"/>
        <v>279746516</v>
      </c>
      <c r="R53" s="1718">
        <f t="shared" si="37"/>
        <v>279810344</v>
      </c>
      <c r="S53" s="1902">
        <f t="shared" si="34"/>
        <v>0</v>
      </c>
      <c r="T53" s="1902">
        <f t="shared" si="35"/>
        <v>0</v>
      </c>
    </row>
    <row r="54" spans="1:20" ht="15" hidden="1" customHeight="1">
      <c r="A54" s="2727" t="s">
        <v>5283</v>
      </c>
      <c r="B54" s="2718" t="s">
        <v>4960</v>
      </c>
      <c r="C54" s="2725" t="s">
        <v>5296</v>
      </c>
      <c r="D54" s="1899"/>
      <c r="E54" s="1900"/>
      <c r="F54" s="1900"/>
      <c r="G54" s="1900"/>
      <c r="H54" s="1720">
        <f t="shared" ref="H54:H58" si="38">SUM(F54:G54)</f>
        <v>0</v>
      </c>
      <c r="I54" s="1720"/>
      <c r="J54" s="1900"/>
      <c r="K54" s="1900"/>
      <c r="L54" s="1720">
        <f t="shared" ref="L54:L58" si="39">SUM(I54:K54)</f>
        <v>0</v>
      </c>
      <c r="M54" s="1720"/>
      <c r="N54" s="1720"/>
      <c r="O54" s="1720">
        <f t="shared" ref="O54:O58" si="40">SUM(M54:N54)</f>
        <v>0</v>
      </c>
      <c r="P54" s="1720">
        <f t="shared" ref="P54:P58" si="41">F54+M54</f>
        <v>0</v>
      </c>
      <c r="Q54" s="1720">
        <f t="shared" ref="Q54:Q58" si="42">G54+N54</f>
        <v>0</v>
      </c>
      <c r="R54" s="1720">
        <f t="shared" ref="R54:R58" si="43">SUM(P54:Q54)</f>
        <v>0</v>
      </c>
      <c r="S54" s="1902">
        <f t="shared" si="34"/>
        <v>0</v>
      </c>
      <c r="T54" s="1902">
        <f t="shared" si="35"/>
        <v>0</v>
      </c>
    </row>
    <row r="55" spans="1:20" s="1743" customFormat="1" ht="15" hidden="1" customHeight="1">
      <c r="A55" s="2728"/>
      <c r="B55" s="2718"/>
      <c r="C55" s="2718"/>
      <c r="D55" s="1899"/>
      <c r="E55" s="1900"/>
      <c r="F55" s="1900"/>
      <c r="G55" s="1900"/>
      <c r="H55" s="1720">
        <f t="shared" si="38"/>
        <v>0</v>
      </c>
      <c r="I55" s="1720"/>
      <c r="J55" s="1900"/>
      <c r="K55" s="1900"/>
      <c r="L55" s="1720">
        <f t="shared" si="39"/>
        <v>0</v>
      </c>
      <c r="M55" s="1720"/>
      <c r="N55" s="1720"/>
      <c r="O55" s="1720">
        <f t="shared" si="40"/>
        <v>0</v>
      </c>
      <c r="P55" s="1720">
        <f t="shared" si="41"/>
        <v>0</v>
      </c>
      <c r="Q55" s="1720">
        <f t="shared" si="42"/>
        <v>0</v>
      </c>
      <c r="R55" s="1720">
        <f t="shared" si="43"/>
        <v>0</v>
      </c>
      <c r="S55" s="1903">
        <f t="shared" si="34"/>
        <v>0</v>
      </c>
      <c r="T55" s="1903">
        <f t="shared" si="35"/>
        <v>0</v>
      </c>
    </row>
    <row r="56" spans="1:20" s="1743" customFormat="1" ht="15" hidden="1" customHeight="1">
      <c r="A56" s="2728"/>
      <c r="B56" s="2718"/>
      <c r="C56" s="2718"/>
      <c r="D56" s="1899"/>
      <c r="E56" s="1900"/>
      <c r="F56" s="1900"/>
      <c r="G56" s="1900"/>
      <c r="H56" s="1720">
        <f t="shared" si="38"/>
        <v>0</v>
      </c>
      <c r="I56" s="1720"/>
      <c r="J56" s="1900"/>
      <c r="K56" s="1900"/>
      <c r="L56" s="1720">
        <f t="shared" si="39"/>
        <v>0</v>
      </c>
      <c r="M56" s="1720"/>
      <c r="N56" s="1720"/>
      <c r="O56" s="1720">
        <f t="shared" si="40"/>
        <v>0</v>
      </c>
      <c r="P56" s="1720">
        <f t="shared" si="41"/>
        <v>0</v>
      </c>
      <c r="Q56" s="1720">
        <f t="shared" si="42"/>
        <v>0</v>
      </c>
      <c r="R56" s="1720">
        <f t="shared" si="43"/>
        <v>0</v>
      </c>
      <c r="S56" s="1903">
        <f t="shared" si="34"/>
        <v>0</v>
      </c>
      <c r="T56" s="1903">
        <f t="shared" si="35"/>
        <v>0</v>
      </c>
    </row>
    <row r="57" spans="1:20" s="1743" customFormat="1" ht="15" hidden="1" customHeight="1">
      <c r="A57" s="2728"/>
      <c r="B57" s="2718"/>
      <c r="C57" s="2718"/>
      <c r="D57" s="1899"/>
      <c r="E57" s="1900"/>
      <c r="F57" s="1900"/>
      <c r="G57" s="1900"/>
      <c r="H57" s="1720">
        <f t="shared" si="38"/>
        <v>0</v>
      </c>
      <c r="I57" s="1720"/>
      <c r="J57" s="1900"/>
      <c r="K57" s="1900"/>
      <c r="L57" s="1720">
        <f t="shared" si="39"/>
        <v>0</v>
      </c>
      <c r="M57" s="1720"/>
      <c r="N57" s="1720"/>
      <c r="O57" s="1720">
        <f t="shared" si="40"/>
        <v>0</v>
      </c>
      <c r="P57" s="1720">
        <f t="shared" si="41"/>
        <v>0</v>
      </c>
      <c r="Q57" s="1720">
        <f t="shared" si="42"/>
        <v>0</v>
      </c>
      <c r="R57" s="1720">
        <f t="shared" si="43"/>
        <v>0</v>
      </c>
      <c r="S57" s="1903">
        <f t="shared" si="34"/>
        <v>0</v>
      </c>
      <c r="T57" s="1903">
        <f t="shared" si="35"/>
        <v>0</v>
      </c>
    </row>
    <row r="58" spans="1:20" ht="15" hidden="1" customHeight="1">
      <c r="A58" s="2728"/>
      <c r="B58" s="2718"/>
      <c r="C58" s="2718"/>
      <c r="D58" s="1899"/>
      <c r="E58" s="1900"/>
      <c r="F58" s="1900"/>
      <c r="G58" s="1900"/>
      <c r="H58" s="1720">
        <f t="shared" si="38"/>
        <v>0</v>
      </c>
      <c r="I58" s="1720"/>
      <c r="J58" s="1900"/>
      <c r="K58" s="1900"/>
      <c r="L58" s="1720">
        <f t="shared" si="39"/>
        <v>0</v>
      </c>
      <c r="M58" s="1720"/>
      <c r="N58" s="1720"/>
      <c r="O58" s="1720">
        <f t="shared" si="40"/>
        <v>0</v>
      </c>
      <c r="P58" s="1720">
        <f t="shared" si="41"/>
        <v>0</v>
      </c>
      <c r="Q58" s="1720">
        <f t="shared" si="42"/>
        <v>0</v>
      </c>
      <c r="R58" s="1720">
        <f t="shared" si="43"/>
        <v>0</v>
      </c>
      <c r="S58" s="1902">
        <f t="shared" si="34"/>
        <v>0</v>
      </c>
      <c r="T58" s="1902">
        <f t="shared" si="35"/>
        <v>0</v>
      </c>
    </row>
    <row r="59" spans="1:20" ht="15" hidden="1" customHeight="1">
      <c r="A59" s="2728"/>
      <c r="B59" s="2718" t="s">
        <v>4971</v>
      </c>
      <c r="C59" s="2718"/>
      <c r="D59" s="2718"/>
      <c r="E59" s="1718">
        <f t="shared" ref="E59:R59" si="44">SUM(E54:E58)</f>
        <v>0</v>
      </c>
      <c r="F59" s="1904">
        <f t="shared" si="44"/>
        <v>0</v>
      </c>
      <c r="G59" s="1718">
        <f t="shared" si="44"/>
        <v>0</v>
      </c>
      <c r="H59" s="1905">
        <f t="shared" si="44"/>
        <v>0</v>
      </c>
      <c r="I59" s="1718">
        <f t="shared" si="44"/>
        <v>0</v>
      </c>
      <c r="J59" s="1718">
        <f t="shared" si="44"/>
        <v>0</v>
      </c>
      <c r="K59" s="1718">
        <f t="shared" si="44"/>
        <v>0</v>
      </c>
      <c r="L59" s="1718">
        <f t="shared" si="44"/>
        <v>0</v>
      </c>
      <c r="M59" s="1718">
        <f t="shared" si="44"/>
        <v>0</v>
      </c>
      <c r="N59" s="1718">
        <f t="shared" si="44"/>
        <v>0</v>
      </c>
      <c r="O59" s="1718">
        <f t="shared" si="44"/>
        <v>0</v>
      </c>
      <c r="P59" s="1718">
        <f t="shared" si="44"/>
        <v>0</v>
      </c>
      <c r="Q59" s="1718">
        <f t="shared" si="44"/>
        <v>0</v>
      </c>
      <c r="R59" s="1718">
        <f t="shared" si="44"/>
        <v>0</v>
      </c>
      <c r="S59" s="1902">
        <f t="shared" ref="S59:S64" si="45">H59-L59</f>
        <v>0</v>
      </c>
      <c r="T59" s="1902">
        <f t="shared" ref="T59:T64" si="46">E59-R59</f>
        <v>0</v>
      </c>
    </row>
    <row r="60" spans="1:20" ht="15" hidden="1" customHeight="1">
      <c r="A60" s="2728"/>
      <c r="B60" s="2718" t="s">
        <v>4960</v>
      </c>
      <c r="C60" s="2725" t="s">
        <v>5297</v>
      </c>
      <c r="D60" s="1899"/>
      <c r="E60" s="1900"/>
      <c r="F60" s="1900"/>
      <c r="G60" s="1900"/>
      <c r="H60" s="1720">
        <f t="shared" ref="H60:H64" si="47">SUM(F60:G60)</f>
        <v>0</v>
      </c>
      <c r="I60" s="1720"/>
      <c r="J60" s="1900"/>
      <c r="K60" s="1900"/>
      <c r="L60" s="1720">
        <f t="shared" ref="L60:L64" si="48">SUM(I60:K60)</f>
        <v>0</v>
      </c>
      <c r="M60" s="1720"/>
      <c r="N60" s="1720"/>
      <c r="O60" s="1720">
        <f t="shared" ref="O60:O64" si="49">SUM(M60:N60)</f>
        <v>0</v>
      </c>
      <c r="P60" s="1720">
        <f t="shared" ref="P60:P64" si="50">F60+M60</f>
        <v>0</v>
      </c>
      <c r="Q60" s="1720">
        <f t="shared" ref="Q60:Q64" si="51">G60+N60</f>
        <v>0</v>
      </c>
      <c r="R60" s="1720">
        <f t="shared" ref="R60:R64" si="52">SUM(P60:Q60)</f>
        <v>0</v>
      </c>
      <c r="S60" s="1902">
        <f t="shared" si="45"/>
        <v>0</v>
      </c>
      <c r="T60" s="1902">
        <f t="shared" si="46"/>
        <v>0</v>
      </c>
    </row>
    <row r="61" spans="1:20" s="1743" customFormat="1" ht="15" hidden="1" customHeight="1">
      <c r="A61" s="2728"/>
      <c r="B61" s="2718"/>
      <c r="C61" s="2718"/>
      <c r="D61" s="1899"/>
      <c r="E61" s="1900"/>
      <c r="F61" s="1900"/>
      <c r="G61" s="1900"/>
      <c r="H61" s="1720">
        <f t="shared" si="47"/>
        <v>0</v>
      </c>
      <c r="I61" s="1720"/>
      <c r="J61" s="1900"/>
      <c r="K61" s="1900"/>
      <c r="L61" s="1720">
        <f t="shared" si="48"/>
        <v>0</v>
      </c>
      <c r="M61" s="1720"/>
      <c r="N61" s="1720"/>
      <c r="O61" s="1720">
        <f t="shared" si="49"/>
        <v>0</v>
      </c>
      <c r="P61" s="1720">
        <f t="shared" si="50"/>
        <v>0</v>
      </c>
      <c r="Q61" s="1720">
        <f t="shared" si="51"/>
        <v>0</v>
      </c>
      <c r="R61" s="1720">
        <f t="shared" si="52"/>
        <v>0</v>
      </c>
      <c r="S61" s="1903">
        <f t="shared" si="45"/>
        <v>0</v>
      </c>
      <c r="T61" s="1903">
        <f t="shared" si="46"/>
        <v>0</v>
      </c>
    </row>
    <row r="62" spans="1:20" s="1743" customFormat="1" ht="15" hidden="1" customHeight="1">
      <c r="A62" s="2728"/>
      <c r="B62" s="2718"/>
      <c r="C62" s="2718"/>
      <c r="D62" s="1899"/>
      <c r="E62" s="1900"/>
      <c r="F62" s="1900"/>
      <c r="G62" s="1900"/>
      <c r="H62" s="1720">
        <f t="shared" si="47"/>
        <v>0</v>
      </c>
      <c r="I62" s="1720"/>
      <c r="J62" s="1900"/>
      <c r="K62" s="1900"/>
      <c r="L62" s="1720">
        <f t="shared" si="48"/>
        <v>0</v>
      </c>
      <c r="M62" s="1720"/>
      <c r="N62" s="1720"/>
      <c r="O62" s="1720">
        <f t="shared" si="49"/>
        <v>0</v>
      </c>
      <c r="P62" s="1720">
        <f t="shared" si="50"/>
        <v>0</v>
      </c>
      <c r="Q62" s="1720">
        <f t="shared" si="51"/>
        <v>0</v>
      </c>
      <c r="R62" s="1720">
        <f t="shared" si="52"/>
        <v>0</v>
      </c>
      <c r="S62" s="1903">
        <f t="shared" si="45"/>
        <v>0</v>
      </c>
      <c r="T62" s="1903">
        <f t="shared" si="46"/>
        <v>0</v>
      </c>
    </row>
    <row r="63" spans="1:20" s="1743" customFormat="1" ht="15" hidden="1" customHeight="1">
      <c r="A63" s="2728"/>
      <c r="B63" s="2718"/>
      <c r="C63" s="2718"/>
      <c r="D63" s="1899"/>
      <c r="E63" s="1900"/>
      <c r="F63" s="1900"/>
      <c r="G63" s="1900"/>
      <c r="H63" s="1720">
        <f t="shared" si="47"/>
        <v>0</v>
      </c>
      <c r="I63" s="1720"/>
      <c r="J63" s="1900"/>
      <c r="K63" s="1900"/>
      <c r="L63" s="1720">
        <f t="shared" si="48"/>
        <v>0</v>
      </c>
      <c r="M63" s="1720"/>
      <c r="N63" s="1720"/>
      <c r="O63" s="1720">
        <f t="shared" si="49"/>
        <v>0</v>
      </c>
      <c r="P63" s="1720">
        <f t="shared" si="50"/>
        <v>0</v>
      </c>
      <c r="Q63" s="1720">
        <f t="shared" si="51"/>
        <v>0</v>
      </c>
      <c r="R63" s="1720">
        <f t="shared" si="52"/>
        <v>0</v>
      </c>
      <c r="S63" s="1903">
        <f t="shared" si="45"/>
        <v>0</v>
      </c>
      <c r="T63" s="1903">
        <f t="shared" si="46"/>
        <v>0</v>
      </c>
    </row>
    <row r="64" spans="1:20" ht="15" hidden="1" customHeight="1">
      <c r="A64" s="2728"/>
      <c r="B64" s="2718"/>
      <c r="C64" s="2718"/>
      <c r="D64" s="1899"/>
      <c r="E64" s="1900"/>
      <c r="F64" s="1900"/>
      <c r="G64" s="1900"/>
      <c r="H64" s="1720">
        <f t="shared" si="47"/>
        <v>0</v>
      </c>
      <c r="I64" s="1720"/>
      <c r="J64" s="1900"/>
      <c r="K64" s="1900"/>
      <c r="L64" s="1720">
        <f t="shared" si="48"/>
        <v>0</v>
      </c>
      <c r="M64" s="1720"/>
      <c r="N64" s="1720"/>
      <c r="O64" s="1720">
        <f t="shared" si="49"/>
        <v>0</v>
      </c>
      <c r="P64" s="1720">
        <f t="shared" si="50"/>
        <v>0</v>
      </c>
      <c r="Q64" s="1720">
        <f t="shared" si="51"/>
        <v>0</v>
      </c>
      <c r="R64" s="1720">
        <f t="shared" si="52"/>
        <v>0</v>
      </c>
      <c r="S64" s="1902">
        <f t="shared" si="45"/>
        <v>0</v>
      </c>
      <c r="T64" s="1902">
        <f t="shared" si="46"/>
        <v>0</v>
      </c>
    </row>
    <row r="65" spans="1:20" ht="15" hidden="1" customHeight="1">
      <c r="A65" s="2728"/>
      <c r="B65" s="2718" t="s">
        <v>4971</v>
      </c>
      <c r="C65" s="2718"/>
      <c r="D65" s="2718"/>
      <c r="E65" s="1718">
        <f t="shared" ref="E65:R65" si="53">SUM(E60:E64)</f>
        <v>0</v>
      </c>
      <c r="F65" s="1904">
        <f t="shared" si="53"/>
        <v>0</v>
      </c>
      <c r="G65" s="1718">
        <f t="shared" si="53"/>
        <v>0</v>
      </c>
      <c r="H65" s="1905">
        <f t="shared" si="53"/>
        <v>0</v>
      </c>
      <c r="I65" s="1718">
        <f t="shared" si="53"/>
        <v>0</v>
      </c>
      <c r="J65" s="1718">
        <f t="shared" si="53"/>
        <v>0</v>
      </c>
      <c r="K65" s="1718">
        <f t="shared" si="53"/>
        <v>0</v>
      </c>
      <c r="L65" s="1718">
        <f t="shared" si="53"/>
        <v>0</v>
      </c>
      <c r="M65" s="1718">
        <f t="shared" si="53"/>
        <v>0</v>
      </c>
      <c r="N65" s="1718">
        <f t="shared" si="53"/>
        <v>0</v>
      </c>
      <c r="O65" s="1718">
        <f t="shared" si="53"/>
        <v>0</v>
      </c>
      <c r="P65" s="1718">
        <f t="shared" si="53"/>
        <v>0</v>
      </c>
      <c r="Q65" s="1718">
        <f t="shared" si="53"/>
        <v>0</v>
      </c>
      <c r="R65" s="1718">
        <f t="shared" si="53"/>
        <v>0</v>
      </c>
      <c r="S65" s="1902">
        <f t="shared" ref="S65:S70" si="54">H65-L65</f>
        <v>0</v>
      </c>
      <c r="T65" s="1902">
        <f t="shared" ref="T65:T70" si="55">E65-R65</f>
        <v>0</v>
      </c>
    </row>
    <row r="66" spans="1:20" ht="15" hidden="1" customHeight="1">
      <c r="A66" s="2728"/>
      <c r="B66" s="2718" t="s">
        <v>4960</v>
      </c>
      <c r="C66" s="2725" t="s">
        <v>5298</v>
      </c>
      <c r="D66" s="1899"/>
      <c r="E66" s="1900"/>
      <c r="F66" s="1900"/>
      <c r="G66" s="1900"/>
      <c r="H66" s="1720">
        <f t="shared" ref="H66:H70" si="56">SUM(F66:G66)</f>
        <v>0</v>
      </c>
      <c r="I66" s="1720"/>
      <c r="J66" s="1900"/>
      <c r="K66" s="1900"/>
      <c r="L66" s="1720">
        <f t="shared" ref="L66:L70" si="57">SUM(I66:K66)</f>
        <v>0</v>
      </c>
      <c r="M66" s="1720"/>
      <c r="N66" s="1720"/>
      <c r="O66" s="1720">
        <f t="shared" ref="O66:O70" si="58">SUM(M66:N66)</f>
        <v>0</v>
      </c>
      <c r="P66" s="1720">
        <f t="shared" ref="P66:P70" si="59">F66+M66</f>
        <v>0</v>
      </c>
      <c r="Q66" s="1720">
        <f t="shared" ref="Q66:Q70" si="60">G66+N66</f>
        <v>0</v>
      </c>
      <c r="R66" s="1720">
        <f t="shared" ref="R66:R70" si="61">SUM(P66:Q66)</f>
        <v>0</v>
      </c>
      <c r="S66" s="1902">
        <f t="shared" si="54"/>
        <v>0</v>
      </c>
      <c r="T66" s="1902">
        <f t="shared" si="55"/>
        <v>0</v>
      </c>
    </row>
    <row r="67" spans="1:20" s="1743" customFormat="1" ht="15" hidden="1" customHeight="1">
      <c r="A67" s="2728"/>
      <c r="B67" s="2718"/>
      <c r="C67" s="2718"/>
      <c r="D67" s="1899"/>
      <c r="E67" s="1900"/>
      <c r="F67" s="1900"/>
      <c r="G67" s="1900"/>
      <c r="H67" s="1720">
        <f t="shared" si="56"/>
        <v>0</v>
      </c>
      <c r="I67" s="1720"/>
      <c r="J67" s="1900"/>
      <c r="K67" s="1900"/>
      <c r="L67" s="1720">
        <f t="shared" si="57"/>
        <v>0</v>
      </c>
      <c r="M67" s="1720"/>
      <c r="N67" s="1720"/>
      <c r="O67" s="1720">
        <f t="shared" si="58"/>
        <v>0</v>
      </c>
      <c r="P67" s="1720">
        <f t="shared" si="59"/>
        <v>0</v>
      </c>
      <c r="Q67" s="1720">
        <f t="shared" si="60"/>
        <v>0</v>
      </c>
      <c r="R67" s="1720">
        <f t="shared" si="61"/>
        <v>0</v>
      </c>
      <c r="S67" s="1903">
        <f t="shared" si="54"/>
        <v>0</v>
      </c>
      <c r="T67" s="1903">
        <f t="shared" si="55"/>
        <v>0</v>
      </c>
    </row>
    <row r="68" spans="1:20" s="1743" customFormat="1" ht="15" hidden="1" customHeight="1">
      <c r="A68" s="2728"/>
      <c r="B68" s="2718"/>
      <c r="C68" s="2718"/>
      <c r="D68" s="1899"/>
      <c r="E68" s="1900"/>
      <c r="F68" s="1900"/>
      <c r="G68" s="1900"/>
      <c r="H68" s="1720">
        <f t="shared" si="56"/>
        <v>0</v>
      </c>
      <c r="I68" s="1720"/>
      <c r="J68" s="1900"/>
      <c r="K68" s="1900"/>
      <c r="L68" s="1720">
        <f t="shared" si="57"/>
        <v>0</v>
      </c>
      <c r="M68" s="1720"/>
      <c r="N68" s="1720"/>
      <c r="O68" s="1720">
        <f t="shared" si="58"/>
        <v>0</v>
      </c>
      <c r="P68" s="1720">
        <f t="shared" si="59"/>
        <v>0</v>
      </c>
      <c r="Q68" s="1720">
        <f t="shared" si="60"/>
        <v>0</v>
      </c>
      <c r="R68" s="1720">
        <f t="shared" si="61"/>
        <v>0</v>
      </c>
      <c r="S68" s="1903">
        <f t="shared" si="54"/>
        <v>0</v>
      </c>
      <c r="T68" s="1903">
        <f t="shared" si="55"/>
        <v>0</v>
      </c>
    </row>
    <row r="69" spans="1:20" s="1743" customFormat="1" ht="15" hidden="1" customHeight="1">
      <c r="A69" s="2728"/>
      <c r="B69" s="2718"/>
      <c r="C69" s="2718"/>
      <c r="D69" s="1899"/>
      <c r="E69" s="1900"/>
      <c r="F69" s="1900"/>
      <c r="G69" s="1900"/>
      <c r="H69" s="1720">
        <f t="shared" si="56"/>
        <v>0</v>
      </c>
      <c r="I69" s="1720"/>
      <c r="J69" s="1900"/>
      <c r="K69" s="1900"/>
      <c r="L69" s="1720">
        <f t="shared" si="57"/>
        <v>0</v>
      </c>
      <c r="M69" s="1720"/>
      <c r="N69" s="1720"/>
      <c r="O69" s="1720">
        <f t="shared" si="58"/>
        <v>0</v>
      </c>
      <c r="P69" s="1720">
        <f t="shared" si="59"/>
        <v>0</v>
      </c>
      <c r="Q69" s="1720">
        <f t="shared" si="60"/>
        <v>0</v>
      </c>
      <c r="R69" s="1720">
        <f t="shared" si="61"/>
        <v>0</v>
      </c>
      <c r="S69" s="1903">
        <f t="shared" si="54"/>
        <v>0</v>
      </c>
      <c r="T69" s="1903">
        <f t="shared" si="55"/>
        <v>0</v>
      </c>
    </row>
    <row r="70" spans="1:20" ht="15" hidden="1" customHeight="1">
      <c r="A70" s="2728"/>
      <c r="B70" s="2718"/>
      <c r="C70" s="2718"/>
      <c r="D70" s="1899"/>
      <c r="E70" s="1900"/>
      <c r="F70" s="1900"/>
      <c r="G70" s="1900"/>
      <c r="H70" s="1720">
        <f t="shared" si="56"/>
        <v>0</v>
      </c>
      <c r="I70" s="1720"/>
      <c r="J70" s="1900"/>
      <c r="K70" s="1900"/>
      <c r="L70" s="1720">
        <f t="shared" si="57"/>
        <v>0</v>
      </c>
      <c r="M70" s="1720"/>
      <c r="N70" s="1720"/>
      <c r="O70" s="1720">
        <f t="shared" si="58"/>
        <v>0</v>
      </c>
      <c r="P70" s="1720">
        <f t="shared" si="59"/>
        <v>0</v>
      </c>
      <c r="Q70" s="1720">
        <f t="shared" si="60"/>
        <v>0</v>
      </c>
      <c r="R70" s="1720">
        <f t="shared" si="61"/>
        <v>0</v>
      </c>
      <c r="S70" s="1902">
        <f t="shared" si="54"/>
        <v>0</v>
      </c>
      <c r="T70" s="1902">
        <f t="shared" si="55"/>
        <v>0</v>
      </c>
    </row>
    <row r="71" spans="1:20" ht="15" hidden="1" customHeight="1">
      <c r="A71" s="2729"/>
      <c r="B71" s="2718" t="s">
        <v>4971</v>
      </c>
      <c r="C71" s="2718"/>
      <c r="D71" s="2718"/>
      <c r="E71" s="1718">
        <f t="shared" ref="E71:R71" si="62">SUM(E66:E70)</f>
        <v>0</v>
      </c>
      <c r="F71" s="1904">
        <f t="shared" si="62"/>
        <v>0</v>
      </c>
      <c r="G71" s="1718">
        <f t="shared" si="62"/>
        <v>0</v>
      </c>
      <c r="H71" s="1905">
        <f t="shared" si="62"/>
        <v>0</v>
      </c>
      <c r="I71" s="1718">
        <f t="shared" si="62"/>
        <v>0</v>
      </c>
      <c r="J71" s="1718">
        <f t="shared" si="62"/>
        <v>0</v>
      </c>
      <c r="K71" s="1718">
        <f t="shared" si="62"/>
        <v>0</v>
      </c>
      <c r="L71" s="1718">
        <f t="shared" si="62"/>
        <v>0</v>
      </c>
      <c r="M71" s="1718">
        <f t="shared" si="62"/>
        <v>0</v>
      </c>
      <c r="N71" s="1718">
        <f t="shared" si="62"/>
        <v>0</v>
      </c>
      <c r="O71" s="1718">
        <f t="shared" si="62"/>
        <v>0</v>
      </c>
      <c r="P71" s="1718">
        <f t="shared" si="62"/>
        <v>0</v>
      </c>
      <c r="Q71" s="1718">
        <f t="shared" si="62"/>
        <v>0</v>
      </c>
      <c r="R71" s="1718">
        <f t="shared" si="62"/>
        <v>0</v>
      </c>
      <c r="S71" s="1902">
        <f t="shared" ref="S71" si="63">H71-L71</f>
        <v>0</v>
      </c>
      <c r="T71" s="1902">
        <f t="shared" ref="T71" si="64">E71-R71</f>
        <v>0</v>
      </c>
    </row>
    <row r="72" spans="1:20" ht="15" customHeight="1">
      <c r="A72" s="2718" t="s">
        <v>4980</v>
      </c>
      <c r="B72" s="2718"/>
      <c r="C72" s="2718"/>
      <c r="D72" s="2718"/>
      <c r="E72" s="1720">
        <f>E23+E29+E38+E53+E59+E65+E71</f>
        <v>530286509</v>
      </c>
      <c r="F72" s="1904">
        <f t="shared" ref="F72:R72" si="65">F23+F29+F38+F53+F59+F65+F71</f>
        <v>15318327</v>
      </c>
      <c r="G72" s="1718">
        <f t="shared" si="65"/>
        <v>279746516</v>
      </c>
      <c r="H72" s="1905">
        <f t="shared" si="65"/>
        <v>295064843</v>
      </c>
      <c r="I72" s="1718">
        <f t="shared" si="65"/>
        <v>0</v>
      </c>
      <c r="J72" s="1718">
        <f t="shared" si="65"/>
        <v>951438</v>
      </c>
      <c r="K72" s="1718">
        <f t="shared" si="65"/>
        <v>294113405</v>
      </c>
      <c r="L72" s="1718">
        <f t="shared" si="65"/>
        <v>295064843</v>
      </c>
      <c r="M72" s="1718">
        <f t="shared" si="65"/>
        <v>0</v>
      </c>
      <c r="N72" s="1718">
        <f t="shared" si="65"/>
        <v>235221666</v>
      </c>
      <c r="O72" s="1718">
        <f t="shared" si="65"/>
        <v>235221666</v>
      </c>
      <c r="P72" s="1718">
        <f t="shared" si="65"/>
        <v>15318327</v>
      </c>
      <c r="Q72" s="1718">
        <f t="shared" si="65"/>
        <v>514968182</v>
      </c>
      <c r="R72" s="1718">
        <f t="shared" si="65"/>
        <v>530286509</v>
      </c>
      <c r="S72" s="1902">
        <f t="shared" si="34"/>
        <v>0</v>
      </c>
      <c r="T72" s="1902">
        <f>E72-R72</f>
        <v>0</v>
      </c>
    </row>
    <row r="73" spans="1:20" ht="15" customHeight="1">
      <c r="A73" s="2730" t="s">
        <v>4982</v>
      </c>
      <c r="B73" s="2718" t="s">
        <v>4960</v>
      </c>
      <c r="C73" s="2725" t="s">
        <v>5066</v>
      </c>
      <c r="D73" s="1725" t="s">
        <v>4981</v>
      </c>
      <c r="E73" s="1718">
        <f>E76-E75-E74</f>
        <v>11246935</v>
      </c>
      <c r="F73" s="1904">
        <f t="shared" ref="F73:R73" si="66">F76-F75-F74</f>
        <v>11246935</v>
      </c>
      <c r="G73" s="1718">
        <f t="shared" si="66"/>
        <v>0</v>
      </c>
      <c r="H73" s="1905">
        <f t="shared" si="66"/>
        <v>11246935</v>
      </c>
      <c r="I73" s="1718">
        <f t="shared" si="66"/>
        <v>0</v>
      </c>
      <c r="J73" s="1718">
        <f t="shared" si="66"/>
        <v>951438</v>
      </c>
      <c r="K73" s="1718">
        <f t="shared" si="66"/>
        <v>10295497</v>
      </c>
      <c r="L73" s="1718">
        <f t="shared" si="66"/>
        <v>11246935</v>
      </c>
      <c r="M73" s="1718">
        <f t="shared" si="66"/>
        <v>0</v>
      </c>
      <c r="N73" s="1718">
        <f t="shared" si="66"/>
        <v>0</v>
      </c>
      <c r="O73" s="1718">
        <f t="shared" si="66"/>
        <v>0</v>
      </c>
      <c r="P73" s="1718">
        <f t="shared" si="66"/>
        <v>11246935</v>
      </c>
      <c r="Q73" s="1718">
        <f t="shared" si="66"/>
        <v>0</v>
      </c>
      <c r="R73" s="1718">
        <f t="shared" si="66"/>
        <v>11246935</v>
      </c>
      <c r="S73" s="1902">
        <f t="shared" si="34"/>
        <v>0</v>
      </c>
      <c r="T73" s="1902">
        <f>E73-R73</f>
        <v>0</v>
      </c>
    </row>
    <row r="74" spans="1:20" ht="15" hidden="1" customHeight="1">
      <c r="A74" s="2731"/>
      <c r="B74" s="2718"/>
      <c r="C74" s="2718"/>
      <c r="D74" s="1725" t="s">
        <v>5099</v>
      </c>
      <c r="E74" s="1718">
        <v>0</v>
      </c>
      <c r="F74" s="1904">
        <v>0</v>
      </c>
      <c r="G74" s="1718">
        <f>SUM(G10,G12)</f>
        <v>0</v>
      </c>
      <c r="H74" s="1905">
        <v>0</v>
      </c>
      <c r="I74" s="1718">
        <f>SUM(I10,I12)</f>
        <v>0</v>
      </c>
      <c r="J74" s="1718">
        <v>0</v>
      </c>
      <c r="K74" s="1718">
        <f>SUM(K10,K12)</f>
        <v>0</v>
      </c>
      <c r="L74" s="1718">
        <v>0</v>
      </c>
      <c r="M74" s="1718">
        <f>SUM(M10,M12)</f>
        <v>0</v>
      </c>
      <c r="N74" s="1718">
        <f>SUM(N10,N12)</f>
        <v>0</v>
      </c>
      <c r="O74" s="1718">
        <f>SUM(O10,O12)</f>
        <v>0</v>
      </c>
      <c r="P74" s="1718">
        <v>0</v>
      </c>
      <c r="Q74" s="1718">
        <f>SUM(Q10,Q12)</f>
        <v>0</v>
      </c>
      <c r="R74" s="1718">
        <v>0</v>
      </c>
      <c r="S74" s="1902">
        <f t="shared" si="34"/>
        <v>0</v>
      </c>
      <c r="T74" s="1902">
        <f t="shared" si="35"/>
        <v>0</v>
      </c>
    </row>
    <row r="75" spans="1:20" ht="15" hidden="1" customHeight="1">
      <c r="A75" s="2731"/>
      <c r="B75" s="2718"/>
      <c r="C75" s="2718"/>
      <c r="D75" s="1725" t="s">
        <v>5100</v>
      </c>
      <c r="E75" s="1718"/>
      <c r="F75" s="1904"/>
      <c r="G75" s="1718"/>
      <c r="H75" s="1905"/>
      <c r="I75" s="1718"/>
      <c r="J75" s="1718"/>
      <c r="K75" s="1718"/>
      <c r="L75" s="1718"/>
      <c r="M75" s="1718"/>
      <c r="N75" s="1718"/>
      <c r="O75" s="1718"/>
      <c r="P75" s="1718"/>
      <c r="Q75" s="1718"/>
      <c r="R75" s="1718"/>
      <c r="S75" s="1902">
        <f t="shared" si="34"/>
        <v>0</v>
      </c>
      <c r="T75" s="1902">
        <f t="shared" si="35"/>
        <v>0</v>
      </c>
    </row>
    <row r="76" spans="1:20" ht="15" customHeight="1">
      <c r="A76" s="2731"/>
      <c r="B76" s="2718"/>
      <c r="C76" s="2718"/>
      <c r="D76" s="1725" t="s">
        <v>4951</v>
      </c>
      <c r="E76" s="1718">
        <f t="shared" ref="E76:R76" si="67">E16+E26</f>
        <v>11246935</v>
      </c>
      <c r="F76" s="1904">
        <f t="shared" si="67"/>
        <v>11246935</v>
      </c>
      <c r="G76" s="1718">
        <f t="shared" si="67"/>
        <v>0</v>
      </c>
      <c r="H76" s="1905">
        <f t="shared" si="67"/>
        <v>11246935</v>
      </c>
      <c r="I76" s="1718">
        <f t="shared" si="67"/>
        <v>0</v>
      </c>
      <c r="J76" s="1718">
        <f t="shared" si="67"/>
        <v>951438</v>
      </c>
      <c r="K76" s="1718">
        <f t="shared" si="67"/>
        <v>10295497</v>
      </c>
      <c r="L76" s="1718">
        <f t="shared" si="67"/>
        <v>11246935</v>
      </c>
      <c r="M76" s="1718">
        <f t="shared" si="67"/>
        <v>0</v>
      </c>
      <c r="N76" s="1718">
        <f t="shared" si="67"/>
        <v>0</v>
      </c>
      <c r="O76" s="1718">
        <f t="shared" si="67"/>
        <v>0</v>
      </c>
      <c r="P76" s="1718">
        <f t="shared" si="67"/>
        <v>11246935</v>
      </c>
      <c r="Q76" s="1718">
        <f t="shared" si="67"/>
        <v>0</v>
      </c>
      <c r="R76" s="1718">
        <f t="shared" si="67"/>
        <v>11246935</v>
      </c>
      <c r="S76" s="1902">
        <f t="shared" si="34"/>
        <v>0</v>
      </c>
      <c r="T76" s="1902">
        <f t="shared" si="35"/>
        <v>0</v>
      </c>
    </row>
    <row r="77" spans="1:20" ht="15" customHeight="1">
      <c r="A77" s="2731"/>
      <c r="B77" s="2718"/>
      <c r="C77" s="2718" t="s">
        <v>4979</v>
      </c>
      <c r="D77" s="1725" t="s">
        <v>4981</v>
      </c>
      <c r="E77" s="1718">
        <f>E80-E79-E78</f>
        <v>279810344</v>
      </c>
      <c r="F77" s="1904">
        <f t="shared" ref="F77:R77" si="68">F80-F79-F78</f>
        <v>63828</v>
      </c>
      <c r="G77" s="1718">
        <f t="shared" si="68"/>
        <v>279746516</v>
      </c>
      <c r="H77" s="1905">
        <f t="shared" si="68"/>
        <v>279810344</v>
      </c>
      <c r="I77" s="1718">
        <f t="shared" si="68"/>
        <v>0</v>
      </c>
      <c r="J77" s="1718">
        <f t="shared" si="68"/>
        <v>0</v>
      </c>
      <c r="K77" s="1718">
        <f t="shared" si="68"/>
        <v>279810344</v>
      </c>
      <c r="L77" s="1718">
        <f t="shared" si="68"/>
        <v>279810344</v>
      </c>
      <c r="M77" s="1718">
        <f t="shared" si="68"/>
        <v>0</v>
      </c>
      <c r="N77" s="1718">
        <f t="shared" si="68"/>
        <v>0</v>
      </c>
      <c r="O77" s="1718">
        <f t="shared" si="68"/>
        <v>0</v>
      </c>
      <c r="P77" s="1718">
        <f t="shared" si="68"/>
        <v>63828</v>
      </c>
      <c r="Q77" s="1718">
        <f t="shared" si="68"/>
        <v>279746516</v>
      </c>
      <c r="R77" s="1718">
        <f t="shared" si="68"/>
        <v>279810344</v>
      </c>
      <c r="S77" s="1902">
        <f t="shared" si="34"/>
        <v>0</v>
      </c>
      <c r="T77" s="1902">
        <f t="shared" si="35"/>
        <v>0</v>
      </c>
    </row>
    <row r="78" spans="1:20" ht="15" hidden="1" customHeight="1">
      <c r="A78" s="2731"/>
      <c r="B78" s="2718"/>
      <c r="C78" s="2718"/>
      <c r="D78" s="1725" t="s">
        <v>5099</v>
      </c>
      <c r="E78" s="1718"/>
      <c r="F78" s="1904"/>
      <c r="G78" s="1718"/>
      <c r="H78" s="1905"/>
      <c r="I78" s="1718"/>
      <c r="J78" s="1718"/>
      <c r="K78" s="1718"/>
      <c r="L78" s="1718"/>
      <c r="M78" s="1718"/>
      <c r="N78" s="1718"/>
      <c r="O78" s="1718"/>
      <c r="P78" s="1718"/>
      <c r="Q78" s="1718"/>
      <c r="R78" s="1718"/>
      <c r="S78" s="1902">
        <f t="shared" si="34"/>
        <v>0</v>
      </c>
      <c r="T78" s="1902">
        <f t="shared" si="35"/>
        <v>0</v>
      </c>
    </row>
    <row r="79" spans="1:20" ht="15" hidden="1" customHeight="1">
      <c r="A79" s="2731"/>
      <c r="B79" s="2718"/>
      <c r="C79" s="2718"/>
      <c r="D79" s="1725" t="s">
        <v>5100</v>
      </c>
      <c r="E79" s="1718"/>
      <c r="F79" s="1904"/>
      <c r="G79" s="1718"/>
      <c r="H79" s="1905"/>
      <c r="I79" s="1718"/>
      <c r="J79" s="1718"/>
      <c r="K79" s="1718"/>
      <c r="L79" s="1718"/>
      <c r="M79" s="1718"/>
      <c r="N79" s="1718"/>
      <c r="O79" s="1718"/>
      <c r="P79" s="1718"/>
      <c r="Q79" s="1718"/>
      <c r="R79" s="1718"/>
      <c r="S79" s="1902">
        <f t="shared" si="34"/>
        <v>0</v>
      </c>
      <c r="T79" s="1902">
        <f t="shared" si="35"/>
        <v>0</v>
      </c>
    </row>
    <row r="80" spans="1:20" ht="15" customHeight="1">
      <c r="A80" s="2731"/>
      <c r="B80" s="2718"/>
      <c r="C80" s="2718"/>
      <c r="D80" s="1725" t="s">
        <v>4951</v>
      </c>
      <c r="E80" s="1718">
        <f t="shared" ref="E80:R80" si="69">E53</f>
        <v>279810344</v>
      </c>
      <c r="F80" s="1904">
        <f t="shared" si="69"/>
        <v>63828</v>
      </c>
      <c r="G80" s="1718">
        <f t="shared" si="69"/>
        <v>279746516</v>
      </c>
      <c r="H80" s="1905">
        <f t="shared" si="69"/>
        <v>279810344</v>
      </c>
      <c r="I80" s="1718">
        <f t="shared" si="69"/>
        <v>0</v>
      </c>
      <c r="J80" s="1718">
        <f t="shared" si="69"/>
        <v>0</v>
      </c>
      <c r="K80" s="1718">
        <f t="shared" si="69"/>
        <v>279810344</v>
      </c>
      <c r="L80" s="1718">
        <f t="shared" si="69"/>
        <v>279810344</v>
      </c>
      <c r="M80" s="1718">
        <f t="shared" si="69"/>
        <v>0</v>
      </c>
      <c r="N80" s="1718">
        <f t="shared" si="69"/>
        <v>0</v>
      </c>
      <c r="O80" s="1718">
        <f t="shared" si="69"/>
        <v>0</v>
      </c>
      <c r="P80" s="1718">
        <f t="shared" si="69"/>
        <v>63828</v>
      </c>
      <c r="Q80" s="1718">
        <f t="shared" si="69"/>
        <v>279746516</v>
      </c>
      <c r="R80" s="1718">
        <f t="shared" si="69"/>
        <v>279810344</v>
      </c>
      <c r="S80" s="1902">
        <f t="shared" si="34"/>
        <v>0</v>
      </c>
      <c r="T80" s="1902">
        <f t="shared" si="35"/>
        <v>0</v>
      </c>
    </row>
    <row r="81" spans="1:20" ht="15" customHeight="1">
      <c r="A81" s="2731"/>
      <c r="B81" s="2718"/>
      <c r="C81" s="2718" t="s">
        <v>4977</v>
      </c>
      <c r="D81" s="1725" t="s">
        <v>4981</v>
      </c>
      <c r="E81" s="1718">
        <f t="shared" ref="E81:R81" si="70">E38</f>
        <v>4007564</v>
      </c>
      <c r="F81" s="1904">
        <f t="shared" si="70"/>
        <v>4007564</v>
      </c>
      <c r="G81" s="1718">
        <f t="shared" si="70"/>
        <v>0</v>
      </c>
      <c r="H81" s="1905">
        <f t="shared" si="70"/>
        <v>4007564</v>
      </c>
      <c r="I81" s="1718">
        <f t="shared" si="70"/>
        <v>0</v>
      </c>
      <c r="J81" s="1718">
        <f t="shared" si="70"/>
        <v>0</v>
      </c>
      <c r="K81" s="1718">
        <f t="shared" si="70"/>
        <v>4007564</v>
      </c>
      <c r="L81" s="1718">
        <f t="shared" si="70"/>
        <v>4007564</v>
      </c>
      <c r="M81" s="1718">
        <f t="shared" si="70"/>
        <v>0</v>
      </c>
      <c r="N81" s="1718">
        <f t="shared" si="70"/>
        <v>0</v>
      </c>
      <c r="O81" s="1718">
        <f t="shared" si="70"/>
        <v>0</v>
      </c>
      <c r="P81" s="1718">
        <f t="shared" si="70"/>
        <v>4007564</v>
      </c>
      <c r="Q81" s="1718">
        <f t="shared" si="70"/>
        <v>0</v>
      </c>
      <c r="R81" s="1718">
        <f t="shared" si="70"/>
        <v>4007564</v>
      </c>
      <c r="S81" s="1902">
        <f t="shared" si="34"/>
        <v>0</v>
      </c>
      <c r="T81" s="1902">
        <f t="shared" si="35"/>
        <v>0</v>
      </c>
    </row>
    <row r="82" spans="1:20" ht="15" hidden="1" customHeight="1">
      <c r="A82" s="2731"/>
      <c r="B82" s="2718"/>
      <c r="C82" s="2718"/>
      <c r="D82" s="1725"/>
      <c r="E82" s="1718"/>
      <c r="F82" s="1904"/>
      <c r="G82" s="1718"/>
      <c r="H82" s="1905"/>
      <c r="I82" s="1718"/>
      <c r="J82" s="1718"/>
      <c r="K82" s="1718"/>
      <c r="L82" s="1718"/>
      <c r="M82" s="1718"/>
      <c r="N82" s="1718"/>
      <c r="O82" s="1718"/>
      <c r="P82" s="1718"/>
      <c r="Q82" s="1718"/>
      <c r="R82" s="1718"/>
      <c r="S82" s="1902">
        <f t="shared" si="34"/>
        <v>0</v>
      </c>
      <c r="T82" s="1902">
        <f t="shared" si="35"/>
        <v>0</v>
      </c>
    </row>
    <row r="83" spans="1:20" ht="15" customHeight="1">
      <c r="A83" s="2731"/>
      <c r="B83" s="2718"/>
      <c r="C83" s="2718"/>
      <c r="D83" s="1725" t="s">
        <v>4951</v>
      </c>
      <c r="E83" s="1718">
        <f>E81+E82</f>
        <v>4007564</v>
      </c>
      <c r="F83" s="1904">
        <f t="shared" ref="F83:R83" si="71">F81+F82</f>
        <v>4007564</v>
      </c>
      <c r="G83" s="1718">
        <f t="shared" si="71"/>
        <v>0</v>
      </c>
      <c r="H83" s="1905">
        <f t="shared" si="71"/>
        <v>4007564</v>
      </c>
      <c r="I83" s="1718">
        <f t="shared" si="71"/>
        <v>0</v>
      </c>
      <c r="J83" s="1718">
        <f t="shared" si="71"/>
        <v>0</v>
      </c>
      <c r="K83" s="1718">
        <f t="shared" si="71"/>
        <v>4007564</v>
      </c>
      <c r="L83" s="1718">
        <f t="shared" si="71"/>
        <v>4007564</v>
      </c>
      <c r="M83" s="1718">
        <f t="shared" si="71"/>
        <v>0</v>
      </c>
      <c r="N83" s="1718">
        <f t="shared" si="71"/>
        <v>0</v>
      </c>
      <c r="O83" s="1718">
        <f t="shared" si="71"/>
        <v>0</v>
      </c>
      <c r="P83" s="1718">
        <f t="shared" si="71"/>
        <v>4007564</v>
      </c>
      <c r="Q83" s="1718">
        <f t="shared" si="71"/>
        <v>0</v>
      </c>
      <c r="R83" s="1718">
        <f t="shared" si="71"/>
        <v>4007564</v>
      </c>
      <c r="S83" s="1902">
        <f t="shared" si="34"/>
        <v>0</v>
      </c>
      <c r="T83" s="1902">
        <f t="shared" si="35"/>
        <v>0</v>
      </c>
    </row>
    <row r="84" spans="1:20" ht="15" hidden="1" customHeight="1">
      <c r="A84" s="2731"/>
      <c r="B84" s="2718"/>
      <c r="C84" s="2725" t="s">
        <v>5285</v>
      </c>
      <c r="D84" s="1725" t="s">
        <v>4981</v>
      </c>
      <c r="E84" s="1718">
        <f>E87-E86-E85</f>
        <v>0</v>
      </c>
      <c r="F84" s="1904">
        <f t="shared" ref="F84:R84" si="72">F87-F86-F85</f>
        <v>0</v>
      </c>
      <c r="G84" s="1718">
        <f t="shared" si="72"/>
        <v>0</v>
      </c>
      <c r="H84" s="1905">
        <f t="shared" si="72"/>
        <v>0</v>
      </c>
      <c r="I84" s="1718">
        <f t="shared" si="72"/>
        <v>0</v>
      </c>
      <c r="J84" s="1718">
        <f t="shared" si="72"/>
        <v>0</v>
      </c>
      <c r="K84" s="1718">
        <f t="shared" si="72"/>
        <v>0</v>
      </c>
      <c r="L84" s="1718">
        <f t="shared" si="72"/>
        <v>0</v>
      </c>
      <c r="M84" s="1718">
        <f t="shared" si="72"/>
        <v>0</v>
      </c>
      <c r="N84" s="1718">
        <f t="shared" si="72"/>
        <v>0</v>
      </c>
      <c r="O84" s="1718">
        <f t="shared" si="72"/>
        <v>0</v>
      </c>
      <c r="P84" s="1718">
        <f t="shared" si="72"/>
        <v>0</v>
      </c>
      <c r="Q84" s="1718">
        <f t="shared" si="72"/>
        <v>0</v>
      </c>
      <c r="R84" s="1718">
        <f t="shared" si="72"/>
        <v>0</v>
      </c>
      <c r="S84" s="1902">
        <f t="shared" ref="S84:S87" si="73">H84-L84</f>
        <v>0</v>
      </c>
      <c r="T84" s="1902">
        <f t="shared" ref="T84:T87" si="74">E84-R84</f>
        <v>0</v>
      </c>
    </row>
    <row r="85" spans="1:20" ht="15" hidden="1" customHeight="1">
      <c r="A85" s="2731"/>
      <c r="B85" s="2718"/>
      <c r="C85" s="2718"/>
      <c r="D85" s="1725" t="s">
        <v>5099</v>
      </c>
      <c r="E85" s="1718"/>
      <c r="F85" s="1904"/>
      <c r="G85" s="1718"/>
      <c r="H85" s="1905"/>
      <c r="I85" s="1718"/>
      <c r="J85" s="1718"/>
      <c r="K85" s="1718"/>
      <c r="L85" s="1718"/>
      <c r="M85" s="1718"/>
      <c r="N85" s="1718"/>
      <c r="O85" s="1718"/>
      <c r="P85" s="1718"/>
      <c r="Q85" s="1718"/>
      <c r="R85" s="1718"/>
      <c r="S85" s="1902">
        <f t="shared" si="73"/>
        <v>0</v>
      </c>
      <c r="T85" s="1902">
        <f t="shared" si="74"/>
        <v>0</v>
      </c>
    </row>
    <row r="86" spans="1:20" ht="15" hidden="1" customHeight="1">
      <c r="A86" s="2731"/>
      <c r="B86" s="2718"/>
      <c r="C86" s="2718"/>
      <c r="D86" s="1725" t="s">
        <v>5100</v>
      </c>
      <c r="E86" s="1718"/>
      <c r="F86" s="1904"/>
      <c r="G86" s="1718"/>
      <c r="H86" s="1905"/>
      <c r="I86" s="1718"/>
      <c r="J86" s="1718"/>
      <c r="K86" s="1718"/>
      <c r="L86" s="1718"/>
      <c r="M86" s="1718"/>
      <c r="N86" s="1718"/>
      <c r="O86" s="1718"/>
      <c r="P86" s="1718"/>
      <c r="Q86" s="1718"/>
      <c r="R86" s="1718"/>
      <c r="S86" s="1902">
        <f t="shared" si="73"/>
        <v>0</v>
      </c>
      <c r="T86" s="1902">
        <f t="shared" si="74"/>
        <v>0</v>
      </c>
    </row>
    <row r="87" spans="1:20" ht="15" hidden="1" customHeight="1">
      <c r="A87" s="2731"/>
      <c r="B87" s="2718"/>
      <c r="C87" s="2718"/>
      <c r="D87" s="1725" t="s">
        <v>4803</v>
      </c>
      <c r="E87" s="1718">
        <f>E59</f>
        <v>0</v>
      </c>
      <c r="F87" s="1904">
        <f t="shared" ref="F87:R87" si="75">F59</f>
        <v>0</v>
      </c>
      <c r="G87" s="1718">
        <f t="shared" si="75"/>
        <v>0</v>
      </c>
      <c r="H87" s="1905">
        <f t="shared" si="75"/>
        <v>0</v>
      </c>
      <c r="I87" s="1718">
        <f t="shared" si="75"/>
        <v>0</v>
      </c>
      <c r="J87" s="1718">
        <f t="shared" si="75"/>
        <v>0</v>
      </c>
      <c r="K87" s="1718">
        <f t="shared" si="75"/>
        <v>0</v>
      </c>
      <c r="L87" s="1718">
        <f t="shared" si="75"/>
        <v>0</v>
      </c>
      <c r="M87" s="1718">
        <f t="shared" si="75"/>
        <v>0</v>
      </c>
      <c r="N87" s="1718">
        <f t="shared" si="75"/>
        <v>0</v>
      </c>
      <c r="O87" s="1718">
        <f t="shared" si="75"/>
        <v>0</v>
      </c>
      <c r="P87" s="1718">
        <f t="shared" si="75"/>
        <v>0</v>
      </c>
      <c r="Q87" s="1718">
        <f t="shared" si="75"/>
        <v>0</v>
      </c>
      <c r="R87" s="1718">
        <f t="shared" si="75"/>
        <v>0</v>
      </c>
      <c r="S87" s="1902">
        <f t="shared" si="73"/>
        <v>0</v>
      </c>
      <c r="T87" s="1902">
        <f t="shared" si="74"/>
        <v>0</v>
      </c>
    </row>
    <row r="88" spans="1:20" ht="15" hidden="1" customHeight="1">
      <c r="A88" s="2731"/>
      <c r="B88" s="2718"/>
      <c r="C88" s="2725" t="s">
        <v>5286</v>
      </c>
      <c r="D88" s="1725" t="s">
        <v>4981</v>
      </c>
      <c r="E88" s="1718">
        <f>E91-E90-E89</f>
        <v>0</v>
      </c>
      <c r="F88" s="1904">
        <f t="shared" ref="F88:R88" si="76">F91-F90-F89</f>
        <v>0</v>
      </c>
      <c r="G88" s="1718">
        <f t="shared" si="76"/>
        <v>0</v>
      </c>
      <c r="H88" s="1905">
        <f t="shared" si="76"/>
        <v>0</v>
      </c>
      <c r="I88" s="1718">
        <f t="shared" si="76"/>
        <v>0</v>
      </c>
      <c r="J88" s="1718">
        <f t="shared" si="76"/>
        <v>0</v>
      </c>
      <c r="K88" s="1718">
        <f t="shared" si="76"/>
        <v>0</v>
      </c>
      <c r="L88" s="1718">
        <f t="shared" si="76"/>
        <v>0</v>
      </c>
      <c r="M88" s="1718">
        <f t="shared" si="76"/>
        <v>0</v>
      </c>
      <c r="N88" s="1718">
        <f t="shared" si="76"/>
        <v>0</v>
      </c>
      <c r="O88" s="1718">
        <f t="shared" si="76"/>
        <v>0</v>
      </c>
      <c r="P88" s="1718">
        <f t="shared" si="76"/>
        <v>0</v>
      </c>
      <c r="Q88" s="1718">
        <f t="shared" si="76"/>
        <v>0</v>
      </c>
      <c r="R88" s="1718">
        <f t="shared" si="76"/>
        <v>0</v>
      </c>
      <c r="S88" s="1902">
        <f t="shared" ref="S88:S91" si="77">H88-L88</f>
        <v>0</v>
      </c>
      <c r="T88" s="1902">
        <f t="shared" ref="T88:T91" si="78">E88-R88</f>
        <v>0</v>
      </c>
    </row>
    <row r="89" spans="1:20" ht="15" hidden="1" customHeight="1">
      <c r="A89" s="2731"/>
      <c r="B89" s="2718"/>
      <c r="C89" s="2718"/>
      <c r="D89" s="1725" t="s">
        <v>5099</v>
      </c>
      <c r="E89" s="1718"/>
      <c r="F89" s="1904"/>
      <c r="G89" s="1718"/>
      <c r="H89" s="1905"/>
      <c r="I89" s="1718"/>
      <c r="J89" s="1718"/>
      <c r="K89" s="1718"/>
      <c r="L89" s="1718"/>
      <c r="M89" s="1718"/>
      <c r="N89" s="1718"/>
      <c r="O89" s="1718"/>
      <c r="P89" s="1718"/>
      <c r="Q89" s="1718"/>
      <c r="R89" s="1718"/>
      <c r="S89" s="1902">
        <f t="shared" si="77"/>
        <v>0</v>
      </c>
      <c r="T89" s="1902">
        <f t="shared" si="78"/>
        <v>0</v>
      </c>
    </row>
    <row r="90" spans="1:20" ht="15" hidden="1" customHeight="1">
      <c r="A90" s="2731"/>
      <c r="B90" s="2718"/>
      <c r="C90" s="2718"/>
      <c r="D90" s="1725" t="s">
        <v>5100</v>
      </c>
      <c r="E90" s="1718"/>
      <c r="F90" s="1904"/>
      <c r="G90" s="1718"/>
      <c r="H90" s="1905"/>
      <c r="I90" s="1718"/>
      <c r="J90" s="1718"/>
      <c r="K90" s="1718"/>
      <c r="L90" s="1718"/>
      <c r="M90" s="1718"/>
      <c r="N90" s="1718"/>
      <c r="O90" s="1718"/>
      <c r="P90" s="1718"/>
      <c r="Q90" s="1718"/>
      <c r="R90" s="1718"/>
      <c r="S90" s="1902">
        <f t="shared" si="77"/>
        <v>0</v>
      </c>
      <c r="T90" s="1902">
        <f t="shared" si="78"/>
        <v>0</v>
      </c>
    </row>
    <row r="91" spans="1:20" ht="15" hidden="1" customHeight="1">
      <c r="A91" s="2731"/>
      <c r="B91" s="2718"/>
      <c r="C91" s="2718"/>
      <c r="D91" s="1725" t="s">
        <v>4803</v>
      </c>
      <c r="E91" s="1718">
        <f>E65</f>
        <v>0</v>
      </c>
      <c r="F91" s="1904">
        <f t="shared" ref="F91:R91" si="79">F65</f>
        <v>0</v>
      </c>
      <c r="G91" s="1718">
        <f t="shared" si="79"/>
        <v>0</v>
      </c>
      <c r="H91" s="1905">
        <f t="shared" si="79"/>
        <v>0</v>
      </c>
      <c r="I91" s="1718">
        <f t="shared" si="79"/>
        <v>0</v>
      </c>
      <c r="J91" s="1718">
        <f t="shared" si="79"/>
        <v>0</v>
      </c>
      <c r="K91" s="1718">
        <f t="shared" si="79"/>
        <v>0</v>
      </c>
      <c r="L91" s="1718">
        <f t="shared" si="79"/>
        <v>0</v>
      </c>
      <c r="M91" s="1718">
        <f t="shared" si="79"/>
        <v>0</v>
      </c>
      <c r="N91" s="1718">
        <f t="shared" si="79"/>
        <v>0</v>
      </c>
      <c r="O91" s="1718">
        <f t="shared" si="79"/>
        <v>0</v>
      </c>
      <c r="P91" s="1718">
        <f t="shared" si="79"/>
        <v>0</v>
      </c>
      <c r="Q91" s="1718">
        <f t="shared" si="79"/>
        <v>0</v>
      </c>
      <c r="R91" s="1718">
        <f t="shared" si="79"/>
        <v>0</v>
      </c>
      <c r="S91" s="1902">
        <f t="shared" si="77"/>
        <v>0</v>
      </c>
      <c r="T91" s="1902">
        <f t="shared" si="78"/>
        <v>0</v>
      </c>
    </row>
    <row r="92" spans="1:20" ht="15" hidden="1" customHeight="1">
      <c r="A92" s="2731"/>
      <c r="B92" s="2718"/>
      <c r="C92" s="2725" t="s">
        <v>5287</v>
      </c>
      <c r="D92" s="1725" t="s">
        <v>4981</v>
      </c>
      <c r="E92" s="1718">
        <f>E95-E94-E93</f>
        <v>0</v>
      </c>
      <c r="F92" s="1904">
        <f t="shared" ref="F92:R92" si="80">F95-F94-F93</f>
        <v>0</v>
      </c>
      <c r="G92" s="1718">
        <f t="shared" si="80"/>
        <v>0</v>
      </c>
      <c r="H92" s="1905">
        <f t="shared" si="80"/>
        <v>0</v>
      </c>
      <c r="I92" s="1718">
        <f t="shared" si="80"/>
        <v>0</v>
      </c>
      <c r="J92" s="1718">
        <f t="shared" si="80"/>
        <v>0</v>
      </c>
      <c r="K92" s="1718">
        <f t="shared" si="80"/>
        <v>0</v>
      </c>
      <c r="L92" s="1718">
        <f t="shared" si="80"/>
        <v>0</v>
      </c>
      <c r="M92" s="1718">
        <f t="shared" si="80"/>
        <v>0</v>
      </c>
      <c r="N92" s="1718">
        <f t="shared" si="80"/>
        <v>0</v>
      </c>
      <c r="O92" s="1718">
        <f t="shared" si="80"/>
        <v>0</v>
      </c>
      <c r="P92" s="1718">
        <f t="shared" si="80"/>
        <v>0</v>
      </c>
      <c r="Q92" s="1718">
        <f t="shared" si="80"/>
        <v>0</v>
      </c>
      <c r="R92" s="1718">
        <f t="shared" si="80"/>
        <v>0</v>
      </c>
      <c r="S92" s="1902">
        <f t="shared" ref="S92:S95" si="81">H92-L92</f>
        <v>0</v>
      </c>
      <c r="T92" s="1902">
        <f t="shared" ref="T92:T95" si="82">E92-R92</f>
        <v>0</v>
      </c>
    </row>
    <row r="93" spans="1:20" ht="15" hidden="1" customHeight="1">
      <c r="A93" s="2731"/>
      <c r="B93" s="2718"/>
      <c r="C93" s="2718"/>
      <c r="D93" s="1725" t="s">
        <v>5099</v>
      </c>
      <c r="E93" s="1718"/>
      <c r="F93" s="1904"/>
      <c r="G93" s="1718"/>
      <c r="H93" s="1905"/>
      <c r="I93" s="1718"/>
      <c r="J93" s="1718"/>
      <c r="K93" s="1718"/>
      <c r="L93" s="1718"/>
      <c r="M93" s="1718"/>
      <c r="N93" s="1718"/>
      <c r="O93" s="1718"/>
      <c r="P93" s="1718"/>
      <c r="Q93" s="1718"/>
      <c r="R93" s="1718"/>
      <c r="S93" s="1902">
        <f t="shared" si="81"/>
        <v>0</v>
      </c>
      <c r="T93" s="1902">
        <f t="shared" si="82"/>
        <v>0</v>
      </c>
    </row>
    <row r="94" spans="1:20" ht="15" hidden="1" customHeight="1">
      <c r="A94" s="2731"/>
      <c r="B94" s="2718"/>
      <c r="C94" s="2718"/>
      <c r="D94" s="1725" t="s">
        <v>5100</v>
      </c>
      <c r="E94" s="1718"/>
      <c r="F94" s="1904"/>
      <c r="G94" s="1718"/>
      <c r="H94" s="1905"/>
      <c r="I94" s="1718"/>
      <c r="J94" s="1718"/>
      <c r="K94" s="1718"/>
      <c r="L94" s="1718"/>
      <c r="M94" s="1718"/>
      <c r="N94" s="1718"/>
      <c r="O94" s="1718"/>
      <c r="P94" s="1718"/>
      <c r="Q94" s="1718"/>
      <c r="R94" s="1718"/>
      <c r="S94" s="1902">
        <f t="shared" si="81"/>
        <v>0</v>
      </c>
      <c r="T94" s="1902">
        <f t="shared" si="82"/>
        <v>0</v>
      </c>
    </row>
    <row r="95" spans="1:20" ht="15" hidden="1" customHeight="1">
      <c r="A95" s="2731"/>
      <c r="B95" s="2718"/>
      <c r="C95" s="2718"/>
      <c r="D95" s="1725" t="s">
        <v>4803</v>
      </c>
      <c r="E95" s="1718">
        <f>E71</f>
        <v>0</v>
      </c>
      <c r="F95" s="1904">
        <f t="shared" ref="F95:R95" si="83">F71</f>
        <v>0</v>
      </c>
      <c r="G95" s="1718">
        <f t="shared" si="83"/>
        <v>0</v>
      </c>
      <c r="H95" s="1905">
        <f t="shared" si="83"/>
        <v>0</v>
      </c>
      <c r="I95" s="1718">
        <f t="shared" si="83"/>
        <v>0</v>
      </c>
      <c r="J95" s="1718">
        <f t="shared" si="83"/>
        <v>0</v>
      </c>
      <c r="K95" s="1718">
        <f t="shared" si="83"/>
        <v>0</v>
      </c>
      <c r="L95" s="1718">
        <f t="shared" si="83"/>
        <v>0</v>
      </c>
      <c r="M95" s="1718">
        <f t="shared" si="83"/>
        <v>0</v>
      </c>
      <c r="N95" s="1718">
        <f t="shared" si="83"/>
        <v>0</v>
      </c>
      <c r="O95" s="1718">
        <f t="shared" si="83"/>
        <v>0</v>
      </c>
      <c r="P95" s="1718">
        <f t="shared" si="83"/>
        <v>0</v>
      </c>
      <c r="Q95" s="1718">
        <f t="shared" si="83"/>
        <v>0</v>
      </c>
      <c r="R95" s="1718">
        <f t="shared" si="83"/>
        <v>0</v>
      </c>
      <c r="S95" s="1902">
        <f t="shared" si="81"/>
        <v>0</v>
      </c>
      <c r="T95" s="1902">
        <f t="shared" si="82"/>
        <v>0</v>
      </c>
    </row>
    <row r="96" spans="1:20" ht="15" customHeight="1">
      <c r="A96" s="2731"/>
      <c r="B96" s="2718"/>
      <c r="C96" s="2718" t="s">
        <v>4946</v>
      </c>
      <c r="D96" s="1725" t="s">
        <v>4981</v>
      </c>
      <c r="E96" s="1718">
        <f>E73+E77+E81+E84+E88+E92</f>
        <v>295064843</v>
      </c>
      <c r="F96" s="1904">
        <f t="shared" ref="F96:R96" si="84">F73+F77+F81+F84+F88+F92</f>
        <v>15318327</v>
      </c>
      <c r="G96" s="1718">
        <f t="shared" si="84"/>
        <v>279746516</v>
      </c>
      <c r="H96" s="1905">
        <f t="shared" si="84"/>
        <v>295064843</v>
      </c>
      <c r="I96" s="1718">
        <f t="shared" si="84"/>
        <v>0</v>
      </c>
      <c r="J96" s="1718">
        <f t="shared" si="84"/>
        <v>951438</v>
      </c>
      <c r="K96" s="1718">
        <f t="shared" si="84"/>
        <v>294113405</v>
      </c>
      <c r="L96" s="1718">
        <f t="shared" si="84"/>
        <v>295064843</v>
      </c>
      <c r="M96" s="1718">
        <f t="shared" si="84"/>
        <v>0</v>
      </c>
      <c r="N96" s="1718">
        <f t="shared" si="84"/>
        <v>0</v>
      </c>
      <c r="O96" s="1718">
        <f t="shared" si="84"/>
        <v>0</v>
      </c>
      <c r="P96" s="1718">
        <f t="shared" si="84"/>
        <v>15318327</v>
      </c>
      <c r="Q96" s="1718">
        <f t="shared" si="84"/>
        <v>279746516</v>
      </c>
      <c r="R96" s="1718">
        <f t="shared" si="84"/>
        <v>295064843</v>
      </c>
      <c r="S96" s="1902">
        <f t="shared" si="34"/>
        <v>0</v>
      </c>
      <c r="T96" s="1902">
        <f t="shared" si="35"/>
        <v>0</v>
      </c>
    </row>
    <row r="97" spans="1:20" ht="15" hidden="1" customHeight="1">
      <c r="A97" s="2731"/>
      <c r="B97" s="2718"/>
      <c r="C97" s="2718"/>
      <c r="D97" s="1725" t="s">
        <v>5099</v>
      </c>
      <c r="E97" s="1718">
        <f>E74+E78+E85+E89+E93</f>
        <v>0</v>
      </c>
      <c r="F97" s="1904">
        <f t="shared" ref="F97:R97" si="85">F74+F78+F85+F89+F93</f>
        <v>0</v>
      </c>
      <c r="G97" s="1718">
        <f t="shared" si="85"/>
        <v>0</v>
      </c>
      <c r="H97" s="1905">
        <f t="shared" si="85"/>
        <v>0</v>
      </c>
      <c r="I97" s="1718">
        <f t="shared" si="85"/>
        <v>0</v>
      </c>
      <c r="J97" s="1718">
        <f t="shared" si="85"/>
        <v>0</v>
      </c>
      <c r="K97" s="1718">
        <f t="shared" si="85"/>
        <v>0</v>
      </c>
      <c r="L97" s="1718">
        <f t="shared" si="85"/>
        <v>0</v>
      </c>
      <c r="M97" s="1718">
        <f t="shared" si="85"/>
        <v>0</v>
      </c>
      <c r="N97" s="1718">
        <f t="shared" si="85"/>
        <v>0</v>
      </c>
      <c r="O97" s="1718">
        <f t="shared" si="85"/>
        <v>0</v>
      </c>
      <c r="P97" s="1718">
        <f t="shared" si="85"/>
        <v>0</v>
      </c>
      <c r="Q97" s="1718">
        <f t="shared" si="85"/>
        <v>0</v>
      </c>
      <c r="R97" s="1718">
        <f t="shared" si="85"/>
        <v>0</v>
      </c>
      <c r="S97" s="1902">
        <f t="shared" si="34"/>
        <v>0</v>
      </c>
      <c r="T97" s="1902">
        <f t="shared" si="35"/>
        <v>0</v>
      </c>
    </row>
    <row r="98" spans="1:20" ht="15" hidden="1" customHeight="1">
      <c r="A98" s="2731"/>
      <c r="B98" s="2718"/>
      <c r="C98" s="2718"/>
      <c r="D98" s="1725" t="s">
        <v>5100</v>
      </c>
      <c r="E98" s="1718">
        <f>E75+E79+E86+E90+E94</f>
        <v>0</v>
      </c>
      <c r="F98" s="1904">
        <f t="shared" ref="F98:R98" si="86">F75+F79+F86+F90+F94</f>
        <v>0</v>
      </c>
      <c r="G98" s="1718">
        <f t="shared" si="86"/>
        <v>0</v>
      </c>
      <c r="H98" s="1905">
        <f t="shared" si="86"/>
        <v>0</v>
      </c>
      <c r="I98" s="1718">
        <f t="shared" si="86"/>
        <v>0</v>
      </c>
      <c r="J98" s="1718">
        <f t="shared" si="86"/>
        <v>0</v>
      </c>
      <c r="K98" s="1718">
        <f t="shared" si="86"/>
        <v>0</v>
      </c>
      <c r="L98" s="1718">
        <f t="shared" si="86"/>
        <v>0</v>
      </c>
      <c r="M98" s="1718">
        <f t="shared" si="86"/>
        <v>0</v>
      </c>
      <c r="N98" s="1718">
        <f t="shared" si="86"/>
        <v>0</v>
      </c>
      <c r="O98" s="1718">
        <f t="shared" si="86"/>
        <v>0</v>
      </c>
      <c r="P98" s="1718">
        <f t="shared" si="86"/>
        <v>0</v>
      </c>
      <c r="Q98" s="1718">
        <f t="shared" si="86"/>
        <v>0</v>
      </c>
      <c r="R98" s="1718">
        <f t="shared" si="86"/>
        <v>0</v>
      </c>
      <c r="S98" s="1902">
        <f t="shared" si="34"/>
        <v>0</v>
      </c>
      <c r="T98" s="1902">
        <f t="shared" si="35"/>
        <v>0</v>
      </c>
    </row>
    <row r="99" spans="1:20" ht="15" customHeight="1">
      <c r="A99" s="2731"/>
      <c r="B99" s="2718"/>
      <c r="C99" s="2718"/>
      <c r="D99" s="1725" t="s">
        <v>4951</v>
      </c>
      <c r="E99" s="1718">
        <f>SUM(E96:E98)</f>
        <v>295064843</v>
      </c>
      <c r="F99" s="1904">
        <f t="shared" ref="F99:R99" si="87">SUM(F96:F98)</f>
        <v>15318327</v>
      </c>
      <c r="G99" s="1718">
        <f t="shared" si="87"/>
        <v>279746516</v>
      </c>
      <c r="H99" s="1905">
        <f t="shared" si="87"/>
        <v>295064843</v>
      </c>
      <c r="I99" s="1718">
        <f t="shared" si="87"/>
        <v>0</v>
      </c>
      <c r="J99" s="1718">
        <f t="shared" si="87"/>
        <v>951438</v>
      </c>
      <c r="K99" s="1718">
        <f t="shared" si="87"/>
        <v>294113405</v>
      </c>
      <c r="L99" s="1718">
        <f t="shared" si="87"/>
        <v>295064843</v>
      </c>
      <c r="M99" s="1718">
        <f t="shared" si="87"/>
        <v>0</v>
      </c>
      <c r="N99" s="1718">
        <f t="shared" si="87"/>
        <v>0</v>
      </c>
      <c r="O99" s="1718">
        <f t="shared" si="87"/>
        <v>0</v>
      </c>
      <c r="P99" s="1718">
        <f t="shared" si="87"/>
        <v>15318327</v>
      </c>
      <c r="Q99" s="1718">
        <f t="shared" si="87"/>
        <v>279746516</v>
      </c>
      <c r="R99" s="1718">
        <f t="shared" si="87"/>
        <v>295064843</v>
      </c>
      <c r="S99" s="1902">
        <f t="shared" si="34"/>
        <v>0</v>
      </c>
      <c r="T99" s="1902">
        <f t="shared" si="35"/>
        <v>0</v>
      </c>
    </row>
    <row r="100" spans="1:20" ht="15" customHeight="1">
      <c r="A100" s="2731"/>
      <c r="B100" s="2718" t="s">
        <v>4963</v>
      </c>
      <c r="C100" s="2732"/>
      <c r="D100" s="1725" t="s">
        <v>4981</v>
      </c>
      <c r="E100" s="1718">
        <f t="shared" ref="E100:R100" si="88">E22+E28</f>
        <v>235221666</v>
      </c>
      <c r="F100" s="1904">
        <f t="shared" si="88"/>
        <v>0</v>
      </c>
      <c r="G100" s="1718">
        <f t="shared" si="88"/>
        <v>0</v>
      </c>
      <c r="H100" s="1905">
        <f t="shared" si="88"/>
        <v>0</v>
      </c>
      <c r="I100" s="1718">
        <f t="shared" si="88"/>
        <v>0</v>
      </c>
      <c r="J100" s="1718">
        <f t="shared" si="88"/>
        <v>0</v>
      </c>
      <c r="K100" s="1718">
        <f t="shared" si="88"/>
        <v>0</v>
      </c>
      <c r="L100" s="1718">
        <f t="shared" si="88"/>
        <v>0</v>
      </c>
      <c r="M100" s="1718">
        <f t="shared" si="88"/>
        <v>0</v>
      </c>
      <c r="N100" s="1718">
        <f t="shared" si="88"/>
        <v>235221666</v>
      </c>
      <c r="O100" s="1718">
        <f t="shared" si="88"/>
        <v>235221666</v>
      </c>
      <c r="P100" s="1718">
        <f t="shared" si="88"/>
        <v>0</v>
      </c>
      <c r="Q100" s="1718">
        <f t="shared" si="88"/>
        <v>235221666</v>
      </c>
      <c r="R100" s="1718">
        <f t="shared" si="88"/>
        <v>235221666</v>
      </c>
      <c r="S100" s="1902">
        <f t="shared" si="34"/>
        <v>0</v>
      </c>
      <c r="T100" s="1902">
        <f t="shared" si="35"/>
        <v>0</v>
      </c>
    </row>
    <row r="101" spans="1:20" ht="15" customHeight="1">
      <c r="A101" s="2731"/>
      <c r="B101" s="2718"/>
      <c r="C101" s="2732"/>
      <c r="D101" s="1725" t="s">
        <v>4951</v>
      </c>
      <c r="E101" s="1718">
        <f>E100</f>
        <v>235221666</v>
      </c>
      <c r="F101" s="1718">
        <f t="shared" ref="F101:R101" si="89">F100</f>
        <v>0</v>
      </c>
      <c r="G101" s="1718">
        <f t="shared" si="89"/>
        <v>0</v>
      </c>
      <c r="H101" s="1718">
        <f t="shared" si="89"/>
        <v>0</v>
      </c>
      <c r="I101" s="1718">
        <f t="shared" si="89"/>
        <v>0</v>
      </c>
      <c r="J101" s="1718">
        <f t="shared" si="89"/>
        <v>0</v>
      </c>
      <c r="K101" s="1718">
        <f t="shared" si="89"/>
        <v>0</v>
      </c>
      <c r="L101" s="1718">
        <f t="shared" si="89"/>
        <v>0</v>
      </c>
      <c r="M101" s="1718">
        <f t="shared" si="89"/>
        <v>0</v>
      </c>
      <c r="N101" s="1718">
        <f t="shared" si="89"/>
        <v>235221666</v>
      </c>
      <c r="O101" s="1718">
        <f t="shared" si="89"/>
        <v>235221666</v>
      </c>
      <c r="P101" s="1718">
        <f t="shared" si="89"/>
        <v>0</v>
      </c>
      <c r="Q101" s="1718">
        <f t="shared" si="89"/>
        <v>235221666</v>
      </c>
      <c r="R101" s="1718">
        <f t="shared" si="89"/>
        <v>235221666</v>
      </c>
      <c r="S101" s="1902">
        <f>H101-L101</f>
        <v>0</v>
      </c>
      <c r="T101" s="1902">
        <f>E101-R101</f>
        <v>0</v>
      </c>
    </row>
    <row r="102" spans="1:20" ht="15" customHeight="1">
      <c r="A102" s="2731"/>
      <c r="B102" s="2718" t="s">
        <v>4946</v>
      </c>
      <c r="C102" s="2718"/>
      <c r="D102" s="1725" t="s">
        <v>4981</v>
      </c>
      <c r="E102" s="1718">
        <f>E96+E101</f>
        <v>530286509</v>
      </c>
      <c r="F102" s="1718">
        <f t="shared" ref="F102:R102" si="90">F96+F101</f>
        <v>15318327</v>
      </c>
      <c r="G102" s="1718">
        <f t="shared" si="90"/>
        <v>279746516</v>
      </c>
      <c r="H102" s="1718">
        <f t="shared" si="90"/>
        <v>295064843</v>
      </c>
      <c r="I102" s="1718">
        <f t="shared" si="90"/>
        <v>0</v>
      </c>
      <c r="J102" s="1718">
        <f t="shared" si="90"/>
        <v>951438</v>
      </c>
      <c r="K102" s="1718">
        <f t="shared" si="90"/>
        <v>294113405</v>
      </c>
      <c r="L102" s="1718">
        <f t="shared" si="90"/>
        <v>295064843</v>
      </c>
      <c r="M102" s="1718">
        <f t="shared" si="90"/>
        <v>0</v>
      </c>
      <c r="N102" s="1718">
        <f t="shared" si="90"/>
        <v>235221666</v>
      </c>
      <c r="O102" s="1718">
        <f t="shared" si="90"/>
        <v>235221666</v>
      </c>
      <c r="P102" s="1718">
        <f t="shared" si="90"/>
        <v>15318327</v>
      </c>
      <c r="Q102" s="1718">
        <f t="shared" si="90"/>
        <v>514968182</v>
      </c>
      <c r="R102" s="1718">
        <f t="shared" si="90"/>
        <v>530286509</v>
      </c>
      <c r="S102" s="1902">
        <f t="shared" si="34"/>
        <v>0</v>
      </c>
      <c r="T102" s="1902">
        <f t="shared" si="35"/>
        <v>0</v>
      </c>
    </row>
    <row r="103" spans="1:20" ht="15" hidden="1" customHeight="1">
      <c r="A103" s="2731"/>
      <c r="B103" s="2718"/>
      <c r="C103" s="2718"/>
      <c r="D103" s="1725" t="s">
        <v>5099</v>
      </c>
      <c r="E103" s="1718">
        <f>E97</f>
        <v>0</v>
      </c>
      <c r="F103" s="1718">
        <f t="shared" ref="F103:R103" si="91">F97</f>
        <v>0</v>
      </c>
      <c r="G103" s="1718">
        <f t="shared" si="91"/>
        <v>0</v>
      </c>
      <c r="H103" s="1718">
        <f t="shared" si="91"/>
        <v>0</v>
      </c>
      <c r="I103" s="1718">
        <f t="shared" si="91"/>
        <v>0</v>
      </c>
      <c r="J103" s="1718">
        <f t="shared" si="91"/>
        <v>0</v>
      </c>
      <c r="K103" s="1718">
        <f t="shared" si="91"/>
        <v>0</v>
      </c>
      <c r="L103" s="1718">
        <f t="shared" si="91"/>
        <v>0</v>
      </c>
      <c r="M103" s="1718">
        <f t="shared" si="91"/>
        <v>0</v>
      </c>
      <c r="N103" s="1718">
        <f t="shared" si="91"/>
        <v>0</v>
      </c>
      <c r="O103" s="1718">
        <f t="shared" si="91"/>
        <v>0</v>
      </c>
      <c r="P103" s="1718">
        <f t="shared" si="91"/>
        <v>0</v>
      </c>
      <c r="Q103" s="1718">
        <f t="shared" si="91"/>
        <v>0</v>
      </c>
      <c r="R103" s="1718">
        <f t="shared" si="91"/>
        <v>0</v>
      </c>
      <c r="S103" s="1902">
        <f t="shared" si="34"/>
        <v>0</v>
      </c>
      <c r="T103" s="1902">
        <f t="shared" si="35"/>
        <v>0</v>
      </c>
    </row>
    <row r="104" spans="1:20" ht="15" hidden="1" customHeight="1">
      <c r="A104" s="2731"/>
      <c r="B104" s="2718"/>
      <c r="C104" s="2718"/>
      <c r="D104" s="1725" t="s">
        <v>5100</v>
      </c>
      <c r="E104" s="1718">
        <f>E98</f>
        <v>0</v>
      </c>
      <c r="F104" s="1718">
        <f t="shared" ref="F104:R104" si="92">F98</f>
        <v>0</v>
      </c>
      <c r="G104" s="1718">
        <f t="shared" si="92"/>
        <v>0</v>
      </c>
      <c r="H104" s="1718">
        <f t="shared" si="92"/>
        <v>0</v>
      </c>
      <c r="I104" s="1718">
        <f t="shared" si="92"/>
        <v>0</v>
      </c>
      <c r="J104" s="1718">
        <f t="shared" si="92"/>
        <v>0</v>
      </c>
      <c r="K104" s="1718">
        <f t="shared" si="92"/>
        <v>0</v>
      </c>
      <c r="L104" s="1718">
        <f t="shared" si="92"/>
        <v>0</v>
      </c>
      <c r="M104" s="1718">
        <f t="shared" si="92"/>
        <v>0</v>
      </c>
      <c r="N104" s="1718">
        <f t="shared" si="92"/>
        <v>0</v>
      </c>
      <c r="O104" s="1718">
        <f t="shared" si="92"/>
        <v>0</v>
      </c>
      <c r="P104" s="1718">
        <f t="shared" si="92"/>
        <v>0</v>
      </c>
      <c r="Q104" s="1718">
        <f t="shared" si="92"/>
        <v>0</v>
      </c>
      <c r="R104" s="1718">
        <f t="shared" si="92"/>
        <v>0</v>
      </c>
      <c r="S104" s="1902">
        <f t="shared" si="34"/>
        <v>0</v>
      </c>
      <c r="T104" s="1902">
        <f t="shared" si="35"/>
        <v>0</v>
      </c>
    </row>
    <row r="105" spans="1:20" ht="15" customHeight="1">
      <c r="A105" s="2731"/>
      <c r="B105" s="2718"/>
      <c r="C105" s="2718"/>
      <c r="D105" s="1725" t="s">
        <v>4951</v>
      </c>
      <c r="E105" s="1718">
        <f>SUM(E102:E104)</f>
        <v>530286509</v>
      </c>
      <c r="F105" s="1718">
        <f t="shared" ref="F105:R105" si="93">SUM(F102:F104)</f>
        <v>15318327</v>
      </c>
      <c r="G105" s="1718">
        <f t="shared" si="93"/>
        <v>279746516</v>
      </c>
      <c r="H105" s="1718">
        <f t="shared" si="93"/>
        <v>295064843</v>
      </c>
      <c r="I105" s="1718">
        <f t="shared" si="93"/>
        <v>0</v>
      </c>
      <c r="J105" s="1718">
        <f t="shared" si="93"/>
        <v>951438</v>
      </c>
      <c r="K105" s="1718">
        <f t="shared" si="93"/>
        <v>294113405</v>
      </c>
      <c r="L105" s="1718">
        <f t="shared" si="93"/>
        <v>295064843</v>
      </c>
      <c r="M105" s="1718">
        <f t="shared" si="93"/>
        <v>0</v>
      </c>
      <c r="N105" s="1718">
        <f t="shared" si="93"/>
        <v>235221666</v>
      </c>
      <c r="O105" s="1718">
        <f t="shared" si="93"/>
        <v>235221666</v>
      </c>
      <c r="P105" s="1718">
        <f t="shared" si="93"/>
        <v>15318327</v>
      </c>
      <c r="Q105" s="1718">
        <f t="shared" si="93"/>
        <v>514968182</v>
      </c>
      <c r="R105" s="1718">
        <f t="shared" si="93"/>
        <v>530286509</v>
      </c>
      <c r="S105" s="1902">
        <f t="shared" si="34"/>
        <v>0</v>
      </c>
      <c r="T105" s="1902">
        <f t="shared" si="35"/>
        <v>0</v>
      </c>
    </row>
    <row r="106" spans="1:20" ht="15" hidden="1" customHeight="1">
      <c r="E106" s="1717">
        <f>E72-E105</f>
        <v>0</v>
      </c>
      <c r="F106" s="1717">
        <f t="shared" ref="F106:R106" si="94">F72-F105</f>
        <v>0</v>
      </c>
      <c r="G106" s="1717">
        <f t="shared" si="94"/>
        <v>0</v>
      </c>
      <c r="H106" s="1717">
        <f>H72-H105</f>
        <v>0</v>
      </c>
      <c r="I106" s="1717">
        <f t="shared" si="94"/>
        <v>0</v>
      </c>
      <c r="J106" s="1717">
        <f t="shared" si="94"/>
        <v>0</v>
      </c>
      <c r="K106" s="1717">
        <f t="shared" si="94"/>
        <v>0</v>
      </c>
      <c r="L106" s="1717">
        <f t="shared" si="94"/>
        <v>0</v>
      </c>
      <c r="M106" s="1717">
        <f t="shared" si="94"/>
        <v>0</v>
      </c>
      <c r="N106" s="1717">
        <f t="shared" si="94"/>
        <v>0</v>
      </c>
      <c r="O106" s="1717">
        <f t="shared" si="94"/>
        <v>0</v>
      </c>
      <c r="P106" s="1717">
        <f t="shared" si="94"/>
        <v>0</v>
      </c>
      <c r="Q106" s="1717">
        <f t="shared" si="94"/>
        <v>0</v>
      </c>
      <c r="R106" s="1717">
        <f t="shared" si="94"/>
        <v>0</v>
      </c>
      <c r="S106" s="1902">
        <f t="shared" si="34"/>
        <v>0</v>
      </c>
      <c r="T106" s="1902">
        <f t="shared" si="35"/>
        <v>0</v>
      </c>
    </row>
    <row r="107" spans="1:20" ht="15" customHeight="1">
      <c r="E107" s="1717"/>
      <c r="F107" s="1717"/>
      <c r="G107" s="1717"/>
      <c r="H107" s="1717"/>
      <c r="I107" s="1717"/>
      <c r="J107" s="1717"/>
      <c r="K107" s="1717"/>
      <c r="L107" s="1717"/>
      <c r="M107" s="1717"/>
      <c r="N107" s="1717"/>
      <c r="O107" s="1717"/>
      <c r="P107" s="1717"/>
      <c r="Q107" s="1717"/>
      <c r="R107" s="1717"/>
      <c r="S107" s="1902"/>
      <c r="T107" s="1902"/>
    </row>
    <row r="108" spans="1:20" ht="15" customHeight="1">
      <c r="E108" s="1717"/>
      <c r="F108" s="1717"/>
      <c r="G108" s="1717"/>
      <c r="H108" s="1717"/>
      <c r="I108" s="1717"/>
      <c r="J108" s="1717"/>
      <c r="K108" s="1717"/>
      <c r="L108" s="1717"/>
      <c r="M108" s="1717"/>
      <c r="N108" s="1717"/>
      <c r="O108" s="1717"/>
      <c r="P108" s="1717"/>
      <c r="Q108" s="1717"/>
      <c r="R108" s="1717"/>
      <c r="S108" s="1902"/>
      <c r="T108" s="1902"/>
    </row>
    <row r="109" spans="1:20" ht="15" customHeight="1">
      <c r="E109" s="1717"/>
      <c r="F109" s="1717"/>
      <c r="G109" s="1717"/>
      <c r="H109" s="1717"/>
      <c r="I109" s="1717"/>
      <c r="J109" s="1717"/>
      <c r="K109" s="1717"/>
      <c r="L109" s="1717"/>
      <c r="M109" s="1717"/>
      <c r="N109" s="1717"/>
      <c r="O109" s="1717"/>
      <c r="P109" s="1717"/>
      <c r="Q109" s="1717"/>
      <c r="R109" s="1717"/>
    </row>
    <row r="110" spans="1:20" ht="15" customHeight="1">
      <c r="E110" s="1717"/>
      <c r="F110" s="1717"/>
      <c r="G110" s="1717"/>
      <c r="H110" s="1717"/>
      <c r="I110" s="1717"/>
      <c r="J110" s="1717"/>
      <c r="K110" s="1717"/>
      <c r="L110" s="1717"/>
      <c r="M110" s="1717"/>
      <c r="N110" s="1717"/>
      <c r="O110" s="1717"/>
      <c r="P110" s="1717"/>
      <c r="Q110" s="1717"/>
      <c r="R110" s="1717"/>
    </row>
    <row r="111" spans="1:20" ht="15" customHeight="1">
      <c r="E111" s="1717"/>
      <c r="F111" s="1717"/>
      <c r="G111" s="1717"/>
      <c r="H111" s="1717"/>
      <c r="I111" s="1717"/>
      <c r="J111" s="1717"/>
      <c r="K111" s="1717"/>
      <c r="L111" s="1717"/>
      <c r="M111" s="1717"/>
      <c r="N111" s="1717"/>
      <c r="O111" s="1717"/>
      <c r="P111" s="1717"/>
      <c r="Q111" s="1717"/>
      <c r="R111" s="1717"/>
    </row>
    <row r="112" spans="1:20" ht="15" customHeight="1">
      <c r="E112" s="1717"/>
      <c r="F112" s="1717"/>
      <c r="G112" s="1717"/>
      <c r="H112" s="1717"/>
      <c r="I112" s="1717"/>
      <c r="J112" s="1717"/>
      <c r="K112" s="1717"/>
      <c r="L112" s="1717"/>
      <c r="M112" s="1717"/>
      <c r="N112" s="1717"/>
      <c r="O112" s="1717"/>
      <c r="P112" s="1717"/>
      <c r="Q112" s="1717"/>
      <c r="R112" s="1717"/>
    </row>
    <row r="113" spans="4:18" ht="15" customHeight="1">
      <c r="D113" s="1716"/>
      <c r="E113" s="1717"/>
      <c r="F113" s="1717"/>
      <c r="G113" s="1717"/>
      <c r="H113" s="1717"/>
      <c r="I113" s="1717"/>
      <c r="J113" s="1717"/>
      <c r="K113" s="1717"/>
      <c r="L113" s="1717"/>
      <c r="M113" s="1717"/>
      <c r="N113" s="1717"/>
      <c r="O113" s="1717"/>
      <c r="P113" s="1717"/>
      <c r="Q113" s="1717"/>
      <c r="R113" s="1717"/>
    </row>
    <row r="114" spans="4:18" ht="15" customHeight="1">
      <c r="D114" s="1716"/>
      <c r="E114" s="1717"/>
      <c r="F114" s="1717"/>
      <c r="G114" s="1717"/>
      <c r="H114" s="1717"/>
      <c r="I114" s="1717"/>
      <c r="J114" s="1717"/>
      <c r="K114" s="1717"/>
      <c r="L114" s="1717"/>
      <c r="M114" s="1717"/>
      <c r="N114" s="1717"/>
      <c r="O114" s="1717"/>
      <c r="P114" s="1717"/>
      <c r="Q114" s="1717"/>
      <c r="R114" s="1717"/>
    </row>
    <row r="115" spans="4:18" ht="15" customHeight="1">
      <c r="D115" s="1716"/>
      <c r="E115" s="1717"/>
      <c r="F115" s="1717"/>
      <c r="G115" s="1717"/>
      <c r="H115" s="1717"/>
      <c r="I115" s="1717"/>
      <c r="J115" s="1717"/>
      <c r="K115" s="1717"/>
      <c r="L115" s="1717"/>
      <c r="M115" s="1717"/>
      <c r="N115" s="1717"/>
      <c r="O115" s="1717"/>
      <c r="P115" s="1717"/>
      <c r="Q115" s="1717"/>
      <c r="R115" s="1717"/>
    </row>
    <row r="116" spans="4:18" ht="15" customHeight="1">
      <c r="D116" s="1716"/>
      <c r="E116" s="1717"/>
      <c r="F116" s="1717"/>
      <c r="G116" s="1717"/>
      <c r="H116" s="1717"/>
      <c r="I116" s="1717"/>
      <c r="J116" s="1717"/>
      <c r="K116" s="1717"/>
      <c r="L116" s="1717"/>
      <c r="M116" s="1717"/>
      <c r="N116" s="1717"/>
      <c r="O116" s="1717"/>
      <c r="P116" s="1717"/>
      <c r="Q116" s="1717"/>
      <c r="R116" s="1717"/>
    </row>
    <row r="117" spans="4:18" ht="15" customHeight="1">
      <c r="D117" s="1716"/>
      <c r="E117" s="1717"/>
      <c r="F117" s="1717"/>
      <c r="G117" s="1717"/>
      <c r="H117" s="1717"/>
      <c r="I117" s="1717"/>
      <c r="J117" s="1717"/>
      <c r="K117" s="1717"/>
      <c r="L117" s="1717"/>
      <c r="M117" s="1717"/>
      <c r="N117" s="1717"/>
      <c r="O117" s="1717"/>
      <c r="P117" s="1717"/>
      <c r="Q117" s="1717"/>
      <c r="R117" s="1717"/>
    </row>
    <row r="118" spans="4:18" ht="15" customHeight="1">
      <c r="D118" s="1716"/>
      <c r="E118" s="1717"/>
      <c r="F118" s="1717"/>
      <c r="G118" s="1717"/>
      <c r="H118" s="1717"/>
      <c r="I118" s="1717"/>
      <c r="J118" s="1717"/>
      <c r="K118" s="1717"/>
      <c r="L118" s="1717"/>
      <c r="M118" s="1717"/>
      <c r="N118" s="1717"/>
      <c r="O118" s="1717"/>
      <c r="P118" s="1717"/>
      <c r="Q118" s="1717"/>
      <c r="R118" s="1717"/>
    </row>
    <row r="119" spans="4:18" ht="15" customHeight="1">
      <c r="D119" s="1716"/>
      <c r="E119" s="1717"/>
      <c r="F119" s="1717"/>
      <c r="G119" s="1717"/>
      <c r="H119" s="1717"/>
      <c r="I119" s="1717"/>
      <c r="J119" s="1717"/>
      <c r="K119" s="1717"/>
      <c r="L119" s="1717"/>
      <c r="M119" s="1717"/>
      <c r="N119" s="1717"/>
      <c r="O119" s="1717"/>
      <c r="P119" s="1717"/>
      <c r="Q119" s="1717"/>
      <c r="R119" s="1717"/>
    </row>
    <row r="120" spans="4:18" ht="15" customHeight="1">
      <c r="D120" s="1716"/>
      <c r="E120" s="1717"/>
      <c r="F120" s="1717"/>
      <c r="G120" s="1717"/>
      <c r="H120" s="1717"/>
      <c r="I120" s="1717"/>
      <c r="J120" s="1717"/>
      <c r="K120" s="1717"/>
      <c r="L120" s="1717"/>
      <c r="M120" s="1717"/>
      <c r="N120" s="1717"/>
      <c r="O120" s="1717"/>
      <c r="P120" s="1717"/>
      <c r="Q120" s="1717"/>
      <c r="R120" s="1717"/>
    </row>
    <row r="121" spans="4:18" ht="15" customHeight="1">
      <c r="D121" s="1716"/>
      <c r="E121" s="1717"/>
      <c r="F121" s="1717"/>
      <c r="G121" s="1717"/>
      <c r="H121" s="1717"/>
      <c r="I121" s="1717"/>
      <c r="J121" s="1717"/>
      <c r="K121" s="1717"/>
      <c r="L121" s="1717"/>
      <c r="M121" s="1717"/>
      <c r="N121" s="1717"/>
      <c r="O121" s="1717"/>
      <c r="P121" s="1717"/>
      <c r="Q121" s="1717"/>
      <c r="R121" s="1717"/>
    </row>
    <row r="122" spans="4:18" ht="15" customHeight="1">
      <c r="D122" s="1716"/>
      <c r="E122" s="1717"/>
      <c r="F122" s="1717"/>
      <c r="G122" s="1717"/>
      <c r="H122" s="1717"/>
      <c r="I122" s="1717"/>
      <c r="J122" s="1717"/>
      <c r="K122" s="1717"/>
      <c r="L122" s="1717"/>
      <c r="M122" s="1717"/>
      <c r="N122" s="1717"/>
      <c r="O122" s="1717"/>
      <c r="P122" s="1717"/>
      <c r="Q122" s="1717"/>
      <c r="R122" s="1717"/>
    </row>
    <row r="123" spans="4:18" ht="15" customHeight="1">
      <c r="D123" s="1716"/>
      <c r="E123" s="1717"/>
      <c r="F123" s="1717"/>
      <c r="G123" s="1717"/>
      <c r="H123" s="1717"/>
      <c r="I123" s="1717"/>
      <c r="J123" s="1717"/>
      <c r="K123" s="1717"/>
      <c r="L123" s="1717"/>
      <c r="M123" s="1717"/>
      <c r="N123" s="1717"/>
      <c r="O123" s="1717"/>
      <c r="P123" s="1717"/>
      <c r="Q123" s="1717"/>
      <c r="R123" s="1717"/>
    </row>
    <row r="124" spans="4:18" ht="15" customHeight="1">
      <c r="D124" s="1716"/>
      <c r="E124" s="1717"/>
      <c r="F124" s="1717"/>
      <c r="G124" s="1717"/>
      <c r="H124" s="1717"/>
      <c r="I124" s="1717"/>
      <c r="J124" s="1717"/>
      <c r="K124" s="1717"/>
      <c r="L124" s="1717"/>
      <c r="M124" s="1717"/>
      <c r="N124" s="1717"/>
      <c r="O124" s="1717"/>
      <c r="P124" s="1717"/>
      <c r="Q124" s="1717"/>
      <c r="R124" s="1717"/>
    </row>
    <row r="125" spans="4:18" ht="15" customHeight="1">
      <c r="D125" s="1716"/>
      <c r="E125" s="1717"/>
      <c r="F125" s="1717"/>
      <c r="G125" s="1717"/>
      <c r="H125" s="1717"/>
      <c r="I125" s="1717"/>
      <c r="J125" s="1717"/>
      <c r="K125" s="1717"/>
      <c r="L125" s="1717"/>
      <c r="M125" s="1717"/>
      <c r="N125" s="1717"/>
      <c r="O125" s="1717"/>
      <c r="P125" s="1717"/>
      <c r="Q125" s="1717"/>
      <c r="R125" s="1717"/>
    </row>
    <row r="126" spans="4:18" ht="15" customHeight="1">
      <c r="D126" s="1716"/>
      <c r="E126" s="1717"/>
      <c r="F126" s="1717"/>
      <c r="G126" s="1717"/>
      <c r="H126" s="1717"/>
      <c r="I126" s="1717"/>
      <c r="J126" s="1717"/>
      <c r="K126" s="1717"/>
      <c r="L126" s="1717"/>
      <c r="M126" s="1717"/>
      <c r="N126" s="1717"/>
      <c r="O126" s="1717"/>
      <c r="P126" s="1717"/>
      <c r="Q126" s="1717"/>
      <c r="R126" s="1717"/>
    </row>
    <row r="127" spans="4:18" ht="15" customHeight="1">
      <c r="D127" s="1716"/>
      <c r="E127" s="1717"/>
      <c r="F127" s="1717"/>
      <c r="G127" s="1717"/>
      <c r="H127" s="1717"/>
      <c r="I127" s="1717"/>
      <c r="J127" s="1717"/>
      <c r="K127" s="1717"/>
      <c r="L127" s="1717"/>
      <c r="M127" s="1717"/>
      <c r="N127" s="1717"/>
      <c r="O127" s="1717"/>
      <c r="P127" s="1717"/>
      <c r="Q127" s="1717"/>
      <c r="R127" s="1717"/>
    </row>
    <row r="128" spans="4:18" ht="15" customHeight="1">
      <c r="D128" s="1716"/>
      <c r="E128" s="1717"/>
      <c r="F128" s="1717"/>
      <c r="G128" s="1717"/>
      <c r="H128" s="1717"/>
      <c r="I128" s="1717"/>
      <c r="J128" s="1717"/>
      <c r="K128" s="1717"/>
      <c r="L128" s="1717"/>
      <c r="M128" s="1717"/>
      <c r="N128" s="1717"/>
      <c r="O128" s="1717"/>
      <c r="P128" s="1717"/>
      <c r="Q128" s="1717"/>
      <c r="R128" s="1717"/>
    </row>
    <row r="129" spans="4:18" ht="15" customHeight="1">
      <c r="D129" s="1716"/>
      <c r="E129" s="1717"/>
      <c r="F129" s="1717"/>
      <c r="G129" s="1717"/>
      <c r="H129" s="1717"/>
      <c r="I129" s="1717"/>
      <c r="J129" s="1717"/>
      <c r="K129" s="1717"/>
      <c r="L129" s="1717"/>
      <c r="M129" s="1717"/>
      <c r="N129" s="1717"/>
      <c r="O129" s="1717"/>
      <c r="P129" s="1717"/>
      <c r="Q129" s="1717"/>
      <c r="R129" s="1717"/>
    </row>
    <row r="130" spans="4:18" ht="15" customHeight="1">
      <c r="D130" s="1716"/>
      <c r="E130" s="1717"/>
      <c r="F130" s="1717"/>
      <c r="G130" s="1717"/>
      <c r="H130" s="1717"/>
      <c r="I130" s="1717"/>
      <c r="J130" s="1717"/>
      <c r="K130" s="1717"/>
      <c r="L130" s="1717"/>
      <c r="M130" s="1717"/>
      <c r="N130" s="1717"/>
      <c r="O130" s="1717"/>
      <c r="P130" s="1717"/>
      <c r="Q130" s="1717"/>
      <c r="R130" s="1717"/>
    </row>
    <row r="131" spans="4:18" ht="15" customHeight="1">
      <c r="D131" s="1716"/>
      <c r="E131" s="1717"/>
      <c r="F131" s="1717"/>
      <c r="G131" s="1717"/>
      <c r="H131" s="1717"/>
      <c r="I131" s="1717"/>
      <c r="J131" s="1717"/>
      <c r="K131" s="1717"/>
      <c r="L131" s="1717"/>
      <c r="M131" s="1717"/>
      <c r="N131" s="1717"/>
      <c r="O131" s="1717"/>
      <c r="P131" s="1717"/>
      <c r="Q131" s="1717"/>
      <c r="R131" s="1717"/>
    </row>
    <row r="132" spans="4:18" ht="15" customHeight="1">
      <c r="D132" s="1716"/>
      <c r="E132" s="1717"/>
      <c r="F132" s="1717"/>
      <c r="G132" s="1717"/>
      <c r="H132" s="1717"/>
      <c r="I132" s="1717"/>
      <c r="J132" s="1717"/>
      <c r="K132" s="1717"/>
      <c r="L132" s="1717"/>
      <c r="M132" s="1717"/>
      <c r="N132" s="1717"/>
      <c r="O132" s="1717"/>
      <c r="P132" s="1717"/>
      <c r="Q132" s="1717"/>
      <c r="R132" s="1717"/>
    </row>
    <row r="133" spans="4:18" ht="15" customHeight="1">
      <c r="D133" s="1716"/>
      <c r="E133" s="1717"/>
      <c r="F133" s="1717"/>
      <c r="G133" s="1717"/>
      <c r="H133" s="1717"/>
      <c r="I133" s="1717"/>
      <c r="J133" s="1717"/>
      <c r="K133" s="1717"/>
      <c r="L133" s="1717"/>
      <c r="M133" s="1717"/>
      <c r="N133" s="1717"/>
      <c r="O133" s="1717"/>
      <c r="P133" s="1717"/>
      <c r="Q133" s="1717"/>
      <c r="R133" s="1717"/>
    </row>
    <row r="134" spans="4:18" ht="15" customHeight="1">
      <c r="D134" s="1716"/>
      <c r="E134" s="1717"/>
      <c r="F134" s="1717"/>
      <c r="G134" s="1717"/>
      <c r="H134" s="1717"/>
      <c r="I134" s="1717"/>
      <c r="J134" s="1717"/>
      <c r="K134" s="1717"/>
      <c r="L134" s="1717"/>
      <c r="M134" s="1717"/>
      <c r="N134" s="1717"/>
      <c r="O134" s="1717"/>
      <c r="P134" s="1717"/>
      <c r="Q134" s="1717"/>
      <c r="R134" s="1717"/>
    </row>
    <row r="135" spans="4:18" ht="15" customHeight="1">
      <c r="D135" s="1716"/>
      <c r="E135" s="1717"/>
      <c r="F135" s="1717"/>
      <c r="G135" s="1717"/>
      <c r="H135" s="1717"/>
      <c r="I135" s="1717"/>
      <c r="J135" s="1717"/>
      <c r="K135" s="1717"/>
      <c r="L135" s="1717"/>
      <c r="M135" s="1717"/>
      <c r="N135" s="1717"/>
      <c r="O135" s="1717"/>
      <c r="P135" s="1717"/>
      <c r="Q135" s="1717"/>
      <c r="R135" s="1717"/>
    </row>
    <row r="136" spans="4:18" ht="15" customHeight="1">
      <c r="D136" s="1716"/>
      <c r="E136" s="1717"/>
      <c r="F136" s="1717"/>
      <c r="G136" s="1717"/>
      <c r="H136" s="1717"/>
      <c r="I136" s="1717"/>
      <c r="J136" s="1717"/>
      <c r="K136" s="1717"/>
      <c r="L136" s="1717"/>
      <c r="M136" s="1717"/>
      <c r="N136" s="1717"/>
      <c r="O136" s="1717"/>
      <c r="P136" s="1717"/>
      <c r="Q136" s="1717"/>
      <c r="R136" s="1717"/>
    </row>
    <row r="137" spans="4:18" ht="15" customHeight="1">
      <c r="D137" s="1716"/>
      <c r="E137" s="1717"/>
      <c r="F137" s="1717"/>
      <c r="G137" s="1717"/>
      <c r="H137" s="1717"/>
      <c r="I137" s="1717"/>
      <c r="J137" s="1717"/>
      <c r="K137" s="1717"/>
      <c r="L137" s="1717"/>
      <c r="M137" s="1717"/>
      <c r="N137" s="1717"/>
      <c r="O137" s="1717"/>
      <c r="P137" s="1717"/>
      <c r="Q137" s="1717"/>
      <c r="R137" s="1717"/>
    </row>
    <row r="138" spans="4:18" ht="15" customHeight="1">
      <c r="D138" s="1716"/>
      <c r="E138" s="1717"/>
      <c r="F138" s="1717"/>
      <c r="G138" s="1717"/>
      <c r="H138" s="1717"/>
      <c r="I138" s="1717"/>
      <c r="J138" s="1717"/>
      <c r="K138" s="1717"/>
      <c r="L138" s="1717"/>
      <c r="M138" s="1717"/>
      <c r="N138" s="1717"/>
      <c r="O138" s="1717"/>
      <c r="P138" s="1717"/>
      <c r="Q138" s="1717"/>
      <c r="R138" s="1717"/>
    </row>
    <row r="139" spans="4:18" ht="15" customHeight="1">
      <c r="D139" s="1716"/>
      <c r="E139" s="1717"/>
      <c r="F139" s="1717"/>
      <c r="G139" s="1717"/>
      <c r="H139" s="1717"/>
      <c r="I139" s="1717"/>
      <c r="J139" s="1717"/>
      <c r="K139" s="1717"/>
      <c r="L139" s="1717"/>
      <c r="M139" s="1717"/>
      <c r="N139" s="1717"/>
      <c r="O139" s="1717"/>
      <c r="P139" s="1717"/>
      <c r="Q139" s="1717"/>
      <c r="R139" s="1717"/>
    </row>
    <row r="140" spans="4:18" ht="15" customHeight="1">
      <c r="D140" s="1716"/>
      <c r="E140" s="1717"/>
      <c r="F140" s="1717"/>
      <c r="G140" s="1717"/>
      <c r="H140" s="1717"/>
      <c r="I140" s="1717"/>
      <c r="J140" s="1717"/>
      <c r="K140" s="1717"/>
      <c r="L140" s="1717"/>
      <c r="M140" s="1717"/>
      <c r="N140" s="1717"/>
      <c r="O140" s="1717"/>
      <c r="P140" s="1717"/>
      <c r="Q140" s="1717"/>
      <c r="R140" s="1717"/>
    </row>
    <row r="141" spans="4:18" ht="15" customHeight="1">
      <c r="D141" s="1716"/>
      <c r="E141" s="1717"/>
      <c r="F141" s="1717"/>
      <c r="G141" s="1717"/>
      <c r="H141" s="1717"/>
      <c r="I141" s="1717"/>
      <c r="J141" s="1717"/>
      <c r="K141" s="1717"/>
      <c r="L141" s="1717"/>
      <c r="M141" s="1717"/>
      <c r="N141" s="1717"/>
      <c r="O141" s="1717"/>
      <c r="P141" s="1717"/>
      <c r="Q141" s="1717"/>
      <c r="R141" s="1717"/>
    </row>
  </sheetData>
  <autoFilter ref="A5:T106">
    <filterColumn colId="17">
      <filters>
        <filter val="10,295,497"/>
        <filter val="11,246,935"/>
        <filter val="13,415,000"/>
        <filter val="163,052,136"/>
        <filter val="177,635,024"/>
        <filter val="235,221,666"/>
        <filter val="27,021,331"/>
        <filter val="279,810,344"/>
        <filter val="295,064,543"/>
        <filter val="3,161"/>
        <filter val="3,167,277"/>
        <filter val="3,205,201"/>
        <filter val="31,164,274"/>
        <filter val="4,003,456"/>
        <filter val="4,007,264"/>
        <filter val="530,286,209"/>
        <filter val="63,828"/>
        <filter val="647"/>
        <filter val="7,611,447"/>
        <filter val="72,169,530"/>
        <filter val="8,460,015"/>
        <filter val="80,236,477"/>
        <filter val="83,416,465"/>
        <filter val="951,438"/>
      </filters>
    </filterColumn>
  </autoFilter>
  <mergeCells count="61">
    <mergeCell ref="B100:B101"/>
    <mergeCell ref="A73:A105"/>
    <mergeCell ref="B102:C105"/>
    <mergeCell ref="C100:C101"/>
    <mergeCell ref="C73:C76"/>
    <mergeCell ref="C77:C80"/>
    <mergeCell ref="C81:C83"/>
    <mergeCell ref="C96:C99"/>
    <mergeCell ref="C84:C87"/>
    <mergeCell ref="C88:C91"/>
    <mergeCell ref="C92:C95"/>
    <mergeCell ref="B73:B99"/>
    <mergeCell ref="B53:D53"/>
    <mergeCell ref="A72:D72"/>
    <mergeCell ref="A39:A53"/>
    <mergeCell ref="B39:B52"/>
    <mergeCell ref="C39:C52"/>
    <mergeCell ref="B54:B58"/>
    <mergeCell ref="C54:C58"/>
    <mergeCell ref="B59:D59"/>
    <mergeCell ref="B60:B64"/>
    <mergeCell ref="C60:C64"/>
    <mergeCell ref="B65:D65"/>
    <mergeCell ref="B66:B70"/>
    <mergeCell ref="C66:C70"/>
    <mergeCell ref="B71:D71"/>
    <mergeCell ref="A54:A71"/>
    <mergeCell ref="B38:D38"/>
    <mergeCell ref="A30:A38"/>
    <mergeCell ref="B30:B37"/>
    <mergeCell ref="C30:C37"/>
    <mergeCell ref="B24:B26"/>
    <mergeCell ref="C24:C26"/>
    <mergeCell ref="A24:A29"/>
    <mergeCell ref="B27:B28"/>
    <mergeCell ref="B29:D29"/>
    <mergeCell ref="C27:C28"/>
    <mergeCell ref="B6:B16"/>
    <mergeCell ref="C6:C16"/>
    <mergeCell ref="B17:B22"/>
    <mergeCell ref="A6:A23"/>
    <mergeCell ref="B23:D23"/>
    <mergeCell ref="C17:C22"/>
    <mergeCell ref="A2:A4"/>
    <mergeCell ref="C2:C4"/>
    <mergeCell ref="P3:P4"/>
    <mergeCell ref="Q3:Q4"/>
    <mergeCell ref="B2:B4"/>
    <mergeCell ref="E2:E4"/>
    <mergeCell ref="F2:L2"/>
    <mergeCell ref="F3:F4"/>
    <mergeCell ref="G3:G4"/>
    <mergeCell ref="H3:H4"/>
    <mergeCell ref="I3:L3"/>
    <mergeCell ref="D2:D4"/>
    <mergeCell ref="R3:R4"/>
    <mergeCell ref="P2:R2"/>
    <mergeCell ref="M2:O2"/>
    <mergeCell ref="M3:M4"/>
    <mergeCell ref="N3:N4"/>
    <mergeCell ref="O3:O4"/>
  </mergeCells>
  <phoneticPr fontId="2"/>
  <printOptions horizontalCentered="1"/>
  <pageMargins left="0" right="0" top="0.6692913385826772" bottom="0.19685039370078741" header="0.59055118110236227" footer="0.19685039370078741"/>
  <pageSetup paperSize="9" scale="75" orientation="landscape" blackAndWhite="1" r:id="rId1"/>
  <headerFooter alignWithMargins="0">
    <oddHeader>&amp;C&amp;A</oddHeader>
    <oddFooter>&amp;L&amp;8&amp;F &amp;A&amp;R&amp;8&amp;D &amp;T</oddFooter>
  </headerFooter>
  <legacyDrawing r:id="rId2"/>
</worksheet>
</file>

<file path=xl/worksheets/w6_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66FF33"/>
  </sheetPr>
  <dimension ref="A1:J14"/>
  <sheetViews>
    <sheetView workbookViewId="0">
      <pane xSplit="2" ySplit="5" topLeftCell="C6" activePane="bottomRight" state="frozen"/>
      <selection sqref="A1:XFD1048576"/>
      <selection pane="topRight" sqref="A1:XFD1048576"/>
      <selection pane="bottomLeft" sqref="A1:XFD1048576"/>
      <selection pane="bottomRight" activeCell="C14" sqref="C14"/>
    </sheetView>
  </sheetViews>
  <sheetFormatPr defaultColWidth="9" defaultRowHeight="13.5"/>
  <cols>
    <col min="1" max="1" width="11.625" style="1783" customWidth="1"/>
    <col min="2" max="2" width="17.625" style="1783" customWidth="1"/>
    <col min="3" max="9" width="12.625" style="1783" customWidth="1"/>
    <col min="10" max="16384" width="9" style="1783"/>
  </cols>
  <sheetData>
    <row r="1" spans="1:10">
      <c r="A1" s="2222" t="str">
        <f>+"令和"&amp;MID('総括表(不課税)'!A2,3,1)&amp;"年度決算　不課税収入区分表(工事負担金・元金償還金分)"</f>
        <v>令和５年度決算　不課税収入区分表(工事負担金・元金償還金分)</v>
      </c>
      <c r="B1" s="2222"/>
      <c r="C1" s="2222"/>
      <c r="D1" s="2222"/>
      <c r="E1" s="2222"/>
      <c r="F1" s="2222"/>
      <c r="G1" s="2222"/>
      <c r="H1" s="2222"/>
      <c r="I1" s="2222"/>
    </row>
    <row r="2" spans="1:10">
      <c r="A2" s="1644"/>
      <c r="B2" s="1644"/>
      <c r="C2" s="1644"/>
      <c r="D2" s="1644"/>
      <c r="E2" s="1644"/>
      <c r="F2" s="1644"/>
      <c r="G2" s="1644"/>
      <c r="H2" s="1644"/>
      <c r="I2" s="1644"/>
    </row>
    <row r="3" spans="1:10">
      <c r="A3" s="1644"/>
      <c r="B3" s="1644"/>
      <c r="C3" s="1644"/>
      <c r="D3" s="1644"/>
      <c r="E3" s="1644"/>
      <c r="F3" s="1644"/>
      <c r="G3" s="1644"/>
      <c r="H3" s="1644"/>
      <c r="I3" s="1665" t="s">
        <v>4875</v>
      </c>
    </row>
    <row r="4" spans="1:10" ht="24.95" customHeight="1">
      <c r="A4" s="2733" t="s">
        <v>4792</v>
      </c>
      <c r="B4" s="2515"/>
      <c r="C4" s="2515" t="s">
        <v>4876</v>
      </c>
      <c r="D4" s="2515"/>
      <c r="E4" s="2534" t="s">
        <v>4877</v>
      </c>
      <c r="F4" s="2534" t="s">
        <v>4878</v>
      </c>
      <c r="G4" s="2534" t="s">
        <v>4919</v>
      </c>
      <c r="H4" s="2495" t="s">
        <v>4793</v>
      </c>
      <c r="I4" s="2534" t="s">
        <v>4827</v>
      </c>
    </row>
    <row r="5" spans="1:10" ht="24.95" customHeight="1">
      <c r="A5" s="2734"/>
      <c r="B5" s="2226"/>
      <c r="C5" s="1683" t="s">
        <v>4873</v>
      </c>
      <c r="D5" s="1683" t="s">
        <v>4874</v>
      </c>
      <c r="E5" s="2496"/>
      <c r="F5" s="2737"/>
      <c r="G5" s="2496"/>
      <c r="H5" s="2496"/>
      <c r="I5" s="2496"/>
    </row>
    <row r="6" spans="1:10" ht="24.95" customHeight="1">
      <c r="A6" s="1703" t="s">
        <v>4917</v>
      </c>
      <c r="B6" s="1704"/>
      <c r="C6" s="1700"/>
      <c r="D6" s="1700"/>
      <c r="E6" s="1701"/>
      <c r="F6" s="1702"/>
      <c r="G6" s="1912">
        <f>+西風!H48</f>
        <v>163052136</v>
      </c>
      <c r="H6" s="1912">
        <f>+西風!K48</f>
        <v>95865398</v>
      </c>
      <c r="I6" s="1912">
        <f>+西風!L48</f>
        <v>67186738</v>
      </c>
    </row>
    <row r="7" spans="1:10" ht="24.95" customHeight="1">
      <c r="A7" s="1698" t="s">
        <v>4879</v>
      </c>
      <c r="B7" s="1699"/>
      <c r="C7" s="1906">
        <f>C8</f>
        <v>33756370</v>
      </c>
      <c r="D7" s="1906">
        <f t="shared" ref="D7:I7" si="0">D8</f>
        <v>36370238</v>
      </c>
      <c r="E7" s="1906">
        <f t="shared" si="0"/>
        <v>2819794</v>
      </c>
      <c r="F7" s="1906">
        <f t="shared" si="0"/>
        <v>2592096</v>
      </c>
      <c r="G7" s="1906">
        <f t="shared" si="0"/>
        <v>31164274</v>
      </c>
      <c r="H7" s="1906">
        <f t="shared" si="0"/>
        <v>17621740</v>
      </c>
      <c r="I7" s="1906">
        <f t="shared" si="0"/>
        <v>13542534</v>
      </c>
      <c r="J7" s="1791">
        <f t="shared" ref="J7:J14" si="1">G7-H7-I7</f>
        <v>0</v>
      </c>
    </row>
    <row r="8" spans="1:10" ht="24.95" customHeight="1">
      <c r="A8" s="1668"/>
      <c r="B8" s="1728" t="s">
        <v>4880</v>
      </c>
      <c r="C8" s="1909">
        <f>+海田!C48</f>
        <v>33756370</v>
      </c>
      <c r="D8" s="1909">
        <f>+海田!E48</f>
        <v>36370238</v>
      </c>
      <c r="E8" s="1909">
        <f>+海田!F48</f>
        <v>2819794</v>
      </c>
      <c r="F8" s="1909">
        <f>+海田!G48</f>
        <v>2592096</v>
      </c>
      <c r="G8" s="1909">
        <f>+海田!H48</f>
        <v>31164274</v>
      </c>
      <c r="H8" s="1909">
        <f>+海田!K48</f>
        <v>17621740</v>
      </c>
      <c r="I8" s="1909">
        <f>+海田!L48</f>
        <v>13542534</v>
      </c>
      <c r="J8" s="1791">
        <f t="shared" si="1"/>
        <v>0</v>
      </c>
    </row>
    <row r="9" spans="1:10" ht="24.95" customHeight="1">
      <c r="A9" s="1793" t="s">
        <v>4881</v>
      </c>
      <c r="B9" s="1795"/>
      <c r="C9" s="1907">
        <f>SUM(C10:C12)</f>
        <v>15405363</v>
      </c>
      <c r="D9" s="1907">
        <f t="shared" ref="D9:I9" si="2">SUM(D10:D12)</f>
        <v>17852430</v>
      </c>
      <c r="E9" s="1907">
        <f t="shared" si="2"/>
        <v>1679862</v>
      </c>
      <c r="F9" s="1907">
        <f t="shared" si="2"/>
        <v>1421438</v>
      </c>
      <c r="G9" s="1907">
        <f t="shared" si="2"/>
        <v>13983925</v>
      </c>
      <c r="H9" s="1907">
        <f t="shared" si="2"/>
        <v>6307988</v>
      </c>
      <c r="I9" s="1907">
        <f t="shared" si="2"/>
        <v>7675937</v>
      </c>
      <c r="J9" s="1791">
        <f t="shared" si="1"/>
        <v>0</v>
      </c>
    </row>
    <row r="10" spans="1:10" ht="24.95" customHeight="1">
      <c r="A10" s="1793"/>
      <c r="B10" s="1792" t="s">
        <v>4882</v>
      </c>
      <c r="C10" s="1910">
        <f>+府中青崎!C48</f>
        <v>8328317</v>
      </c>
      <c r="D10" s="1910">
        <f>+府中青崎!E48</f>
        <v>9176829</v>
      </c>
      <c r="E10" s="1910">
        <f>+府中青崎!F48</f>
        <v>800620</v>
      </c>
      <c r="F10" s="1910">
        <f>+府中青崎!G48</f>
        <v>716870</v>
      </c>
      <c r="G10" s="1910">
        <f>+府中青崎!H48</f>
        <v>7611447</v>
      </c>
      <c r="H10" s="1910">
        <f>+府中青崎!K48</f>
        <v>4073632</v>
      </c>
      <c r="I10" s="1910">
        <f>+府中青崎!L48</f>
        <v>3537815</v>
      </c>
      <c r="J10" s="1791">
        <f t="shared" si="1"/>
        <v>0</v>
      </c>
    </row>
    <row r="11" spans="1:10" ht="24.95" customHeight="1">
      <c r="A11" s="1793"/>
      <c r="B11" s="1792" t="s">
        <v>4883</v>
      </c>
      <c r="C11" s="1910">
        <f>+府中大須!C48</f>
        <v>3610379</v>
      </c>
      <c r="D11" s="1910">
        <f>+府中大須!E48</f>
        <v>4777679</v>
      </c>
      <c r="E11" s="1910">
        <f>+府中大須!F48</f>
        <v>536182</v>
      </c>
      <c r="F11" s="1910">
        <f>+府中大須!G48</f>
        <v>405178</v>
      </c>
      <c r="G11" s="1910">
        <f>+府中大須!H48</f>
        <v>3205201</v>
      </c>
      <c r="H11" s="1910">
        <f>+府中大須!K48</f>
        <v>726081</v>
      </c>
      <c r="I11" s="1910">
        <f>+府中大須!L48</f>
        <v>2479120</v>
      </c>
      <c r="J11" s="1791">
        <f t="shared" si="1"/>
        <v>0</v>
      </c>
    </row>
    <row r="12" spans="1:10" ht="24.95" customHeight="1">
      <c r="A12" s="1668"/>
      <c r="B12" s="1685" t="s">
        <v>4886</v>
      </c>
      <c r="C12" s="1909">
        <f>+'大須（共通）'!C48</f>
        <v>3466667</v>
      </c>
      <c r="D12" s="1909">
        <f>+'大須（共通）'!E48</f>
        <v>3897922</v>
      </c>
      <c r="E12" s="1909">
        <f>+'大須（共通）'!F48</f>
        <v>343060</v>
      </c>
      <c r="F12" s="1909">
        <f>+'大須（共通）'!G48</f>
        <v>299390</v>
      </c>
      <c r="G12" s="1909">
        <f>+'大須（共通）'!H48</f>
        <v>3167277</v>
      </c>
      <c r="H12" s="1909">
        <f>+'大須（共通）'!K48</f>
        <v>1508275</v>
      </c>
      <c r="I12" s="1909">
        <f>+'大須（共通）'!L48</f>
        <v>1659002</v>
      </c>
      <c r="J12" s="1791">
        <f t="shared" si="1"/>
        <v>0</v>
      </c>
    </row>
    <row r="13" spans="1:10" ht="24.95" customHeight="1" thickBot="1">
      <c r="A13" s="1684" t="s">
        <v>4884</v>
      </c>
      <c r="B13" s="1682"/>
      <c r="C13" s="1911">
        <f>+廿日市!C48</f>
        <v>30103640</v>
      </c>
      <c r="D13" s="1911">
        <f>+廿日市!E48</f>
        <v>33354894</v>
      </c>
      <c r="E13" s="1911">
        <f>+廿日市!F48</f>
        <v>3428259</v>
      </c>
      <c r="F13" s="1911">
        <f>+廿日市!G48</f>
        <v>3082309</v>
      </c>
      <c r="G13" s="1911">
        <f>+廿日市!H48</f>
        <v>27021331</v>
      </c>
      <c r="H13" s="1911">
        <f>+廿日市!K48</f>
        <v>13433518</v>
      </c>
      <c r="I13" s="1911">
        <f>+廿日市!L48</f>
        <v>13587813</v>
      </c>
      <c r="J13" s="1791">
        <f t="shared" si="1"/>
        <v>0</v>
      </c>
    </row>
    <row r="14" spans="1:10" ht="24.95" customHeight="1" thickTop="1">
      <c r="A14" s="2735" t="s">
        <v>4885</v>
      </c>
      <c r="B14" s="2736"/>
      <c r="C14" s="1908">
        <f>C7+C9+C13</f>
        <v>79265373</v>
      </c>
      <c r="D14" s="1908">
        <f>D7+D9+D13</f>
        <v>87577562</v>
      </c>
      <c r="E14" s="1908">
        <f>E7+E9+E13</f>
        <v>7927915</v>
      </c>
      <c r="F14" s="1908">
        <f>F7+F9+F13</f>
        <v>7095843</v>
      </c>
      <c r="G14" s="1908">
        <f>G7+G9+G13+G6</f>
        <v>235221666</v>
      </c>
      <c r="H14" s="1908">
        <f t="shared" ref="H14:I14" si="3">H7+H9+H13+H6</f>
        <v>133228644</v>
      </c>
      <c r="I14" s="1908">
        <f t="shared" si="3"/>
        <v>101993022</v>
      </c>
      <c r="J14" s="1791">
        <f t="shared" si="1"/>
        <v>0</v>
      </c>
    </row>
  </sheetData>
  <mergeCells count="9">
    <mergeCell ref="I4:I5"/>
    <mergeCell ref="A4:B5"/>
    <mergeCell ref="A1:I1"/>
    <mergeCell ref="A14:B14"/>
    <mergeCell ref="C4:D4"/>
    <mergeCell ref="E4:E5"/>
    <mergeCell ref="F4:F5"/>
    <mergeCell ref="G4:G5"/>
    <mergeCell ref="H4:H5"/>
  </mergeCells>
  <phoneticPr fontId="2"/>
  <printOptions horizontalCentered="1"/>
  <pageMargins left="0" right="0" top="0.98425196850393704" bottom="0.98425196850393704" header="0.51181102362204722" footer="0.51181102362204722"/>
  <pageSetup paperSize="9" scale="75" orientation="portrait" r:id="rId1"/>
  <headerFooter alignWithMargins="0">
    <oddFooter>&amp;L&amp;6&amp;F　&amp;A&amp;R&amp;6&amp;D　&amp;T</oddFooter>
  </headerFooter>
</worksheet>
</file>

<file path=xl/worksheets/w6_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R56"/>
  <sheetViews>
    <sheetView zoomScale="90" zoomScaleNormal="90" zoomScaleSheetLayoutView="75" workbookViewId="0">
      <pane xSplit="2" ySplit="5" topLeftCell="H12" activePane="bottomRight" state="frozen"/>
      <selection sqref="A1:XFD1048576"/>
      <selection pane="topRight" sqref="A1:XFD1048576"/>
      <selection pane="bottomLeft" sqref="A1:XFD1048576"/>
      <selection pane="bottomRight" activeCell="H1" sqref="B1:H1048576"/>
    </sheetView>
  </sheetViews>
  <sheetFormatPr defaultRowHeight="13.5"/>
  <cols>
    <col min="1" max="1" width="2.625" customWidth="1" style="1643"/>
    <col min="2" max="2" width="11.625" bestFit="1" customWidth="1" style="1643"/>
    <col min="3" max="7" width="11.625" hidden="1" customWidth="1" style="1643"/>
    <col min="8" max="8" width="13.125" customWidth="1" style="1643"/>
    <col min="9" max="10" width="13.75" customWidth="1" style="1643"/>
    <col min="11" max="12" width="13.125" customWidth="1" style="1643"/>
    <col min="13" max="13" width="3.625" customWidth="1" style="1643"/>
    <col min="14" max="14" width="3.125" customWidth="1" style="1643"/>
    <col min="15" max="15" width="3.125" style="1730" customWidth="1"/>
    <col min="16" max="16" width="18.75" customWidth="1" style="1643"/>
    <col min="17" max="17" width="7.625" customWidth="1" style="1643"/>
    <col min="18" max="18" width="12.625" customWidth="1" style="1643"/>
  </cols>
  <sheetData>
    <row r="2" spans="1:18">
      <c r="A2" t="str" s="1643">
        <f>+"令和"&amp;MID('総括表(不課税)'!A2,3,1)&amp;"年度決算　西風新都開発者"</f>
        <v>令和５年度決算　西風新都開発者</v>
      </c>
    </row>
    <row r="3" spans="1:18" ht="14.25" thickBot="1">
      <c r="O3" s="1730" t="s">
        <v>5109</v>
      </c>
      <c r="P3" t="s" s="1643">
        <v>5110</v>
      </c>
    </row>
    <row r="4" spans="1:18" ht="13.5" customHeight="1">
      <c r="A4" s="2747" t="s">
        <v>4825</v>
      </c>
      <c r="B4" s="2747" t="s">
        <v>5108</v>
      </c>
      <c r="C4" s="1941"/>
      <c r="D4" s="1941"/>
      <c r="E4" s="1941"/>
      <c r="F4" s="1941"/>
      <c r="G4" s="1941"/>
      <c r="H4" s="2750" t="s">
        <v>4918</v>
      </c>
      <c r="I4" s="2739" t="s">
        <v>4842</v>
      </c>
      <c r="J4" s="2739" t="s">
        <v>4844</v>
      </c>
      <c r="K4" s="2741" t="s">
        <v>4868</v>
      </c>
      <c r="L4" s="2743" t="s">
        <v>4794</v>
      </c>
      <c r="M4" s="1944"/>
      <c r="N4" s="2745" t="s">
        <v>5179</v>
      </c>
      <c r="P4" s="2753" t="s">
        <v>5111</v>
      </c>
      <c r="Q4" s="2754"/>
      <c r="R4" s="2757" t="s">
        <v>5153</v>
      </c>
    </row>
    <row r="5" spans="1:18" ht="13.5" customHeight="1">
      <c r="A5" s="2748"/>
      <c r="B5" s="2749"/>
      <c r="C5" s="1942"/>
      <c r="D5" s="1942"/>
      <c r="E5" s="1942"/>
      <c r="F5" s="1942"/>
      <c r="G5" s="1942"/>
      <c r="H5" s="2742"/>
      <c r="I5" s="2740"/>
      <c r="J5" s="2740"/>
      <c r="K5" s="2742"/>
      <c r="L5" s="2744"/>
      <c r="M5" s="1945"/>
      <c r="N5" s="2746"/>
      <c r="P5" s="2755"/>
      <c r="Q5" s="2756"/>
      <c r="R5" s="2758"/>
    </row>
    <row r="6" spans="1:18" ht="13.5" customHeight="1">
      <c r="A6" s="2060" t="s">
        <v>5107</v>
      </c>
      <c r="B6" s="1759" t="s">
        <v>5232</v>
      </c>
      <c r="C6" s="1759"/>
      <c r="D6" s="1759"/>
      <c r="E6" s="1759"/>
      <c r="F6" s="1759"/>
      <c r="G6" s="1759"/>
      <c r="H6" s="1757"/>
      <c r="I6" s="1681"/>
      <c r="J6" s="1681"/>
      <c r="K6" s="1757">
        <f t="shared" ref="K6:K13" si="0">IFERROR(ROUND(H6*I6/J6,0),0)</f>
        <v>0</v>
      </c>
      <c r="L6" s="1757">
        <f t="shared" ref="L6:L13" si="1">H6-K6</f>
        <v>0</v>
      </c>
      <c r="M6" s="1946"/>
      <c r="N6" s="1948">
        <f>+海田!N6</f>
        <v>0</v>
      </c>
      <c r="P6" s="1767" t="s">
        <v>5112</v>
      </c>
      <c r="Q6" s="1768"/>
      <c r="R6" s="2759"/>
    </row>
    <row r="7" spans="1:18">
      <c r="A7" s="2061"/>
      <c r="B7" s="1759" t="s">
        <v>5233</v>
      </c>
      <c r="C7" s="1759"/>
      <c r="D7" s="1759"/>
      <c r="E7" s="1759"/>
      <c r="F7" s="1759"/>
      <c r="G7" s="1759"/>
      <c r="H7" s="1757"/>
      <c r="I7" s="1681"/>
      <c r="J7" s="1681"/>
      <c r="K7" s="1757">
        <f t="shared" si="0"/>
        <v>0</v>
      </c>
      <c r="L7" s="1757">
        <f t="shared" si="1"/>
        <v>0</v>
      </c>
      <c r="M7" s="1946"/>
      <c r="N7" s="1948">
        <f>+海田!N7</f>
        <v>0</v>
      </c>
      <c r="O7" s="1730" t="s">
        <v>5113</v>
      </c>
      <c r="P7" s="1769" t="s">
        <v>5114</v>
      </c>
      <c r="Q7" s="1770" t="s">
        <v>5115</v>
      </c>
      <c r="R7" s="2738"/>
    </row>
    <row r="8" spans="1:18">
      <c r="A8" s="2061"/>
      <c r="B8" s="1759" t="s">
        <v>5234</v>
      </c>
      <c r="C8" s="1759"/>
      <c r="D8" s="1759"/>
      <c r="E8" s="1759"/>
      <c r="F8" s="1759"/>
      <c r="G8" s="1759"/>
      <c r="H8" s="1757"/>
      <c r="I8" s="1681"/>
      <c r="J8" s="1681"/>
      <c r="K8" s="1757">
        <f t="shared" si="0"/>
        <v>0</v>
      </c>
      <c r="L8" s="1757">
        <f t="shared" si="1"/>
        <v>0</v>
      </c>
      <c r="M8" s="1946"/>
      <c r="N8" s="1948">
        <f>+海田!N8</f>
        <v>0</v>
      </c>
      <c r="P8" s="1771" t="s">
        <v>5116</v>
      </c>
      <c r="Q8" s="1772" t="s">
        <v>4871</v>
      </c>
      <c r="R8" s="2738"/>
    </row>
    <row r="9" spans="1:18">
      <c r="A9" s="2061"/>
      <c r="B9" s="1759" t="s">
        <v>5235</v>
      </c>
      <c r="C9" s="1759"/>
      <c r="D9" s="1759"/>
      <c r="E9" s="1759"/>
      <c r="F9" s="1759"/>
      <c r="G9" s="1759"/>
      <c r="H9" s="1757"/>
      <c r="I9" s="1681"/>
      <c r="J9" s="1681"/>
      <c r="K9" s="1757">
        <f t="shared" si="0"/>
        <v>0</v>
      </c>
      <c r="L9" s="1757">
        <f t="shared" si="1"/>
        <v>0</v>
      </c>
      <c r="M9" s="1946"/>
      <c r="N9" s="1948">
        <f>+海田!N9</f>
        <v>0</v>
      </c>
      <c r="P9" s="1773" t="s">
        <v>5117</v>
      </c>
      <c r="Q9" s="1768"/>
      <c r="R9" s="2738"/>
    </row>
    <row r="10" spans="1:18">
      <c r="A10" s="2061"/>
      <c r="B10" s="1759" t="s">
        <v>5236</v>
      </c>
      <c r="C10" s="1759"/>
      <c r="D10" s="1759"/>
      <c r="E10" s="1759"/>
      <c r="F10" s="1759"/>
      <c r="G10" s="1759"/>
      <c r="H10" s="1757"/>
      <c r="I10" s="1681"/>
      <c r="J10" s="1681"/>
      <c r="K10" s="1757">
        <f t="shared" si="0"/>
        <v>0</v>
      </c>
      <c r="L10" s="1757">
        <f t="shared" si="1"/>
        <v>0</v>
      </c>
      <c r="M10" s="1946"/>
      <c r="N10" s="1948">
        <f>+海田!N10</f>
        <v>0</v>
      </c>
      <c r="O10" s="1730" t="s">
        <v>5118</v>
      </c>
      <c r="P10" s="1774" t="s">
        <v>5114</v>
      </c>
      <c r="Q10" s="1770" t="s">
        <v>5115</v>
      </c>
      <c r="R10" s="2738"/>
    </row>
    <row r="11" spans="1:18">
      <c r="A11" s="2061"/>
      <c r="B11" s="1759" t="s">
        <v>5237</v>
      </c>
      <c r="C11" s="1759"/>
      <c r="D11" s="1759"/>
      <c r="E11" s="1759"/>
      <c r="F11" s="1759"/>
      <c r="G11" s="1759"/>
      <c r="H11" s="1757"/>
      <c r="I11" s="1681"/>
      <c r="J11" s="1681"/>
      <c r="K11" s="1757">
        <f t="shared" si="0"/>
        <v>0</v>
      </c>
      <c r="L11" s="1757">
        <f t="shared" si="1"/>
        <v>0</v>
      </c>
      <c r="M11" s="1946"/>
      <c r="N11" s="1948">
        <f>+海田!N11</f>
        <v>0</v>
      </c>
      <c r="P11" s="1775" t="s">
        <v>5116</v>
      </c>
      <c r="Q11" s="1772" t="s">
        <v>4871</v>
      </c>
      <c r="R11" s="2738"/>
    </row>
    <row r="12" spans="1:18">
      <c r="A12" s="2061"/>
      <c r="B12" s="1759" t="s">
        <v>5238</v>
      </c>
      <c r="C12" s="1759"/>
      <c r="D12" s="1759"/>
      <c r="E12" s="1759"/>
      <c r="F12" s="1759"/>
      <c r="G12" s="1759"/>
      <c r="H12" s="1757"/>
      <c r="I12" s="1681"/>
      <c r="J12" s="1681"/>
      <c r="K12" s="1757">
        <f t="shared" si="0"/>
        <v>0</v>
      </c>
      <c r="L12" s="1757">
        <f t="shared" si="1"/>
        <v>0</v>
      </c>
      <c r="M12" s="1946"/>
      <c r="N12" s="1948">
        <f>+海田!N12</f>
        <v>0</v>
      </c>
      <c r="P12" s="1773" t="s">
        <v>5119</v>
      </c>
      <c r="Q12" s="1768"/>
      <c r="R12" s="2738">
        <v>91516054</v>
      </c>
    </row>
    <row r="13" spans="1:18">
      <c r="A13" s="2061"/>
      <c r="B13" s="1760" t="s">
        <v>5202</v>
      </c>
      <c r="C13" s="1759"/>
      <c r="D13" s="1759"/>
      <c r="E13" s="1759"/>
      <c r="F13" s="1759"/>
      <c r="G13" s="1759"/>
      <c r="H13" s="1757"/>
      <c r="I13" s="1751">
        <f>+VLOOKUP($B13,年度別調書!$A$4:$M$37,10,0)</f>
        <v>30622955900</v>
      </c>
      <c r="J13" s="1751">
        <f>+VLOOKUP($B13,年度別調書!$A$4:$M$37,13,0)</f>
        <v>62903610340</v>
      </c>
      <c r="K13" s="1757">
        <f t="shared" si="0"/>
        <v>0</v>
      </c>
      <c r="L13" s="1757">
        <f t="shared" si="1"/>
        <v>0</v>
      </c>
      <c r="M13" s="1946"/>
      <c r="N13" s="1948">
        <f>+海田!N13</f>
        <v>3</v>
      </c>
      <c r="O13" s="1730" t="s">
        <v>5120</v>
      </c>
      <c r="P13" s="1774" t="s">
        <v>5114</v>
      </c>
      <c r="Q13" s="1770" t="s">
        <v>5115</v>
      </c>
      <c r="R13" s="2738"/>
    </row>
    <row r="14" spans="1:18">
      <c r="A14" s="2061"/>
      <c r="B14" s="1760" t="s">
        <v>5203</v>
      </c>
      <c r="C14" s="1760"/>
      <c r="D14" s="1760"/>
      <c r="E14" s="1760"/>
      <c r="F14" s="1760"/>
      <c r="G14" s="1760"/>
      <c r="H14" s="1758">
        <f>+R6</f>
        <v>0</v>
      </c>
      <c r="I14" s="1751">
        <f>+VLOOKUP($B14,年度別調書!$A$4:$M$37,10,0)</f>
        <v>36785805618</v>
      </c>
      <c r="J14" s="1751">
        <f>+VLOOKUP($B14,年度別調書!$A$4:$M$37,13,0)</f>
        <v>65207626364</v>
      </c>
      <c r="K14" s="1757">
        <f>IFERROR(ROUND(H14*I14/J14,0),0)</f>
        <v>0</v>
      </c>
      <c r="L14" s="1757">
        <f>H14-K14</f>
        <v>0</v>
      </c>
      <c r="M14" s="1946"/>
      <c r="N14" s="1948">
        <f>+海田!N14</f>
        <v>3</v>
      </c>
      <c r="P14" s="1775" t="s">
        <v>5116</v>
      </c>
      <c r="Q14" s="1772" t="s">
        <v>4871</v>
      </c>
      <c r="R14" s="2738"/>
    </row>
    <row r="15" spans="1:18">
      <c r="A15" s="2061"/>
      <c r="B15" s="1760" t="s">
        <v>5204</v>
      </c>
      <c r="C15" s="1760"/>
      <c r="D15" s="1760"/>
      <c r="E15" s="1760"/>
      <c r="F15" s="1760"/>
      <c r="G15" s="1760"/>
      <c r="H15" s="1758">
        <f>+R9</f>
        <v>0</v>
      </c>
      <c r="I15" s="1751">
        <f>+VLOOKUP($B15,年度別調書!$A$4:$M$37,10,0)</f>
        <v>42048127236</v>
      </c>
      <c r="J15" s="1751">
        <f>+VLOOKUP($B15,年度別調書!$A$4:$M$37,13,0)</f>
        <v>72538415314</v>
      </c>
      <c r="K15" s="1757">
        <f t="shared" ref="K15:K47" si="2">IFERROR(ROUND(H15*I15/J15,0),0)</f>
        <v>0</v>
      </c>
      <c r="L15" s="1757">
        <f t="shared" ref="L15:L47" si="3">H15-K15</f>
        <v>0</v>
      </c>
      <c r="M15" s="1946"/>
      <c r="N15" s="1948">
        <f>+海田!N15</f>
        <v>3</v>
      </c>
      <c r="P15" s="1773" t="s">
        <v>5121</v>
      </c>
      <c r="Q15" s="1768"/>
      <c r="R15" s="2738">
        <v>49292071</v>
      </c>
    </row>
    <row r="16" spans="1:18">
      <c r="A16" s="2061"/>
      <c r="B16" s="1760" t="s">
        <v>5205</v>
      </c>
      <c r="C16" s="1760"/>
      <c r="D16" s="1760"/>
      <c r="E16" s="1760"/>
      <c r="F16" s="1760"/>
      <c r="G16" s="1760"/>
      <c r="H16" s="1758">
        <f>+R12</f>
        <v>91516054</v>
      </c>
      <c r="I16" s="1751">
        <f>+VLOOKUP($B16,年度別調書!$A$4:$M$37,10,0)</f>
        <v>49320557603</v>
      </c>
      <c r="J16" s="1751">
        <f>+VLOOKUP($B16,年度別調書!$A$4:$M$37,13,0)</f>
        <v>82028053042</v>
      </c>
      <c r="K16" s="1757">
        <f t="shared" si="2"/>
        <v>55025356</v>
      </c>
      <c r="L16" s="1757">
        <f t="shared" si="3"/>
        <v>36490698</v>
      </c>
      <c r="M16" s="1946"/>
      <c r="N16" s="1948">
        <f>+海田!N16</f>
        <v>3</v>
      </c>
      <c r="O16" s="1730" t="s">
        <v>5122</v>
      </c>
      <c r="P16" s="1774" t="s">
        <v>5114</v>
      </c>
      <c r="Q16" s="1770" t="s">
        <v>5115</v>
      </c>
      <c r="R16" s="2738"/>
    </row>
    <row r="17" spans="1:18">
      <c r="A17" s="2061"/>
      <c r="B17" s="1760" t="s">
        <v>5206</v>
      </c>
      <c r="C17" s="1760"/>
      <c r="D17" s="1760"/>
      <c r="E17" s="1760"/>
      <c r="F17" s="1760"/>
      <c r="G17" s="1760"/>
      <c r="H17" s="1758">
        <f>+R15</f>
        <v>49292071</v>
      </c>
      <c r="I17" s="1751">
        <f>+VLOOKUP($B17,年度別調書!$A$4:$M$37,10,0)</f>
        <v>54853236126</v>
      </c>
      <c r="J17" s="1751">
        <f>+VLOOKUP($B17,年度別調書!$A$4:$M$37,13,0)</f>
        <v>94393962571</v>
      </c>
      <c r="K17" s="1757">
        <f t="shared" si="2"/>
        <v>28644095</v>
      </c>
      <c r="L17" s="1757">
        <f t="shared" si="3"/>
        <v>20647976</v>
      </c>
      <c r="M17" s="1946"/>
      <c r="N17" s="1948">
        <f>+海田!N17</f>
        <v>3</v>
      </c>
      <c r="P17" s="1775" t="s">
        <v>5116</v>
      </c>
      <c r="Q17" s="1772" t="s">
        <v>4871</v>
      </c>
      <c r="R17" s="2738"/>
    </row>
    <row r="18" spans="1:18">
      <c r="A18" s="2061"/>
      <c r="B18" s="1760" t="s">
        <v>5207</v>
      </c>
      <c r="C18" s="1760"/>
      <c r="D18" s="1760"/>
      <c r="E18" s="1760"/>
      <c r="F18" s="1760"/>
      <c r="G18" s="1760"/>
      <c r="H18" s="1758">
        <f>+R18</f>
        <v>10038016</v>
      </c>
      <c r="I18" s="1751">
        <f>+VLOOKUP($B18,年度別調書!$A$4:$M$37,10,0)</f>
        <v>52459905451</v>
      </c>
      <c r="J18" s="1751">
        <f>+VLOOKUP($B18,年度別調書!$A$4:$M$37,13,0)</f>
        <v>92179213936</v>
      </c>
      <c r="K18" s="1757">
        <f t="shared" si="2"/>
        <v>5712713</v>
      </c>
      <c r="L18" s="1757">
        <f t="shared" si="3"/>
        <v>4325303</v>
      </c>
      <c r="M18" s="1946"/>
      <c r="N18" s="1948">
        <f>+海田!N18</f>
        <v>3</v>
      </c>
      <c r="P18" s="1773" t="s">
        <v>5123</v>
      </c>
      <c r="Q18" s="1768"/>
      <c r="R18" s="2738">
        <v>10038016</v>
      </c>
    </row>
    <row r="19" spans="1:18">
      <c r="A19" s="2061"/>
      <c r="B19" s="1760" t="s">
        <v>5208</v>
      </c>
      <c r="C19" s="1760"/>
      <c r="D19" s="1760"/>
      <c r="E19" s="1760"/>
      <c r="F19" s="1760"/>
      <c r="G19" s="1760"/>
      <c r="H19" s="1758">
        <f>+R21</f>
        <v>3356773</v>
      </c>
      <c r="I19" s="1751">
        <f>+VLOOKUP($B19,年度別調書!$A$4:$M$37,10,0)</f>
        <v>58579778590</v>
      </c>
      <c r="J19" s="1751">
        <f>+VLOOKUP($B19,年度別調書!$A$4:$M$37,13,0)</f>
        <v>98916143476</v>
      </c>
      <c r="K19" s="1757">
        <f t="shared" si="2"/>
        <v>1987937</v>
      </c>
      <c r="L19" s="1757">
        <f t="shared" si="3"/>
        <v>1368836</v>
      </c>
      <c r="M19" s="1946"/>
      <c r="N19" s="1948">
        <f>+海田!N19</f>
        <v>3</v>
      </c>
      <c r="O19" s="1730" t="s">
        <v>5124</v>
      </c>
      <c r="P19" s="1774" t="s">
        <v>5114</v>
      </c>
      <c r="Q19" s="1770" t="s">
        <v>5115</v>
      </c>
      <c r="R19" s="2738"/>
    </row>
    <row r="20" spans="1:18">
      <c r="A20" s="2061"/>
      <c r="B20" s="1760" t="s">
        <v>5209</v>
      </c>
      <c r="C20" s="1760"/>
      <c r="D20" s="1760"/>
      <c r="E20" s="1760"/>
      <c r="F20" s="1760"/>
      <c r="G20" s="1760"/>
      <c r="H20" s="1758">
        <f>+R24</f>
        <v>2068736</v>
      </c>
      <c r="I20" s="1751">
        <f>+VLOOKUP($B20,年度別調書!$A$4:$M$37,10,0)</f>
        <v>59855732510</v>
      </c>
      <c r="J20" s="1751">
        <f>+VLOOKUP($B20,年度別調書!$A$4:$M$37,13,0)</f>
        <v>105086070753</v>
      </c>
      <c r="K20" s="1757">
        <f t="shared" si="2"/>
        <v>1178327</v>
      </c>
      <c r="L20" s="1757">
        <f t="shared" si="3"/>
        <v>890409</v>
      </c>
      <c r="M20" s="1946"/>
      <c r="N20" s="1948">
        <f>+海田!N20</f>
        <v>3</v>
      </c>
      <c r="P20" s="1775" t="s">
        <v>5116</v>
      </c>
      <c r="Q20" s="1772" t="s">
        <v>4871</v>
      </c>
      <c r="R20" s="2738"/>
    </row>
    <row r="21" spans="1:18">
      <c r="A21" s="2061"/>
      <c r="B21" s="1760" t="s">
        <v>5210</v>
      </c>
      <c r="C21" s="1760"/>
      <c r="D21" s="1760"/>
      <c r="E21" s="1760"/>
      <c r="F21" s="1760"/>
      <c r="G21" s="1760"/>
      <c r="H21" s="1758">
        <f>+R27</f>
        <v>420875</v>
      </c>
      <c r="I21" s="1751">
        <f>+VLOOKUP($B21,年度別調書!$A$4:$M$37,10,0)</f>
        <v>65491097789</v>
      </c>
      <c r="J21" s="1751">
        <f>+VLOOKUP($B21,年度別調書!$A$4:$M$37,13,0)</f>
        <v>112544371375</v>
      </c>
      <c r="K21" s="1757">
        <f t="shared" si="2"/>
        <v>244913</v>
      </c>
      <c r="L21" s="1757">
        <f t="shared" si="3"/>
        <v>175962</v>
      </c>
      <c r="M21" s="1946"/>
      <c r="N21" s="1948">
        <f>+海田!N21</f>
        <v>5</v>
      </c>
      <c r="P21" s="1773" t="s">
        <v>5125</v>
      </c>
      <c r="Q21" s="1768"/>
      <c r="R21" s="2738">
        <v>3356773</v>
      </c>
    </row>
    <row r="22" spans="1:18">
      <c r="A22" s="2061"/>
      <c r="B22" s="1760" t="s">
        <v>5211</v>
      </c>
      <c r="C22" s="1760"/>
      <c r="D22" s="1760"/>
      <c r="E22" s="1760"/>
      <c r="F22" s="1760"/>
      <c r="G22" s="1760"/>
      <c r="H22" s="1758">
        <f>+R30</f>
        <v>1634139</v>
      </c>
      <c r="I22" s="1751">
        <f>+VLOOKUP($B22,年度別調書!$A$4:$M$37,10,0)</f>
        <v>66701247191</v>
      </c>
      <c r="J22" s="1751">
        <f>+VLOOKUP($B22,年度別調書!$A$4:$M$37,13,0)</f>
        <v>118194473653</v>
      </c>
      <c r="K22" s="1757">
        <f t="shared" si="2"/>
        <v>922201</v>
      </c>
      <c r="L22" s="1757">
        <f t="shared" si="3"/>
        <v>711938</v>
      </c>
      <c r="M22" s="1946"/>
      <c r="N22" s="1948">
        <f>+海田!N22</f>
        <v>5</v>
      </c>
      <c r="O22" s="1730" t="s">
        <v>5126</v>
      </c>
      <c r="P22" s="1774" t="s">
        <v>5114</v>
      </c>
      <c r="Q22" s="1770" t="s">
        <v>5115</v>
      </c>
      <c r="R22" s="2738"/>
    </row>
    <row r="23" spans="1:18">
      <c r="A23" s="2061"/>
      <c r="B23" s="1760" t="s">
        <v>5212</v>
      </c>
      <c r="C23" s="1760"/>
      <c r="D23" s="1760"/>
      <c r="E23" s="1760"/>
      <c r="F23" s="1760"/>
      <c r="G23" s="1760"/>
      <c r="H23" s="1758">
        <f>+R33</f>
        <v>1507746</v>
      </c>
      <c r="I23" s="1751">
        <f>+VLOOKUP($B23,年度別調書!$A$4:$M$37,10,0)</f>
        <v>58274420372</v>
      </c>
      <c r="J23" s="1751">
        <f>+VLOOKUP($B23,年度別調書!$A$4:$M$37,13,0)</f>
        <v>110790062218</v>
      </c>
      <c r="K23" s="1757">
        <f t="shared" si="2"/>
        <v>793059</v>
      </c>
      <c r="L23" s="1757">
        <f t="shared" si="3"/>
        <v>714687</v>
      </c>
      <c r="M23" s="1946"/>
      <c r="N23" s="1948">
        <f>+海田!N23</f>
        <v>5</v>
      </c>
      <c r="P23" s="1775" t="s">
        <v>5116</v>
      </c>
      <c r="Q23" s="1772" t="s">
        <v>4871</v>
      </c>
      <c r="R23" s="2738"/>
    </row>
    <row r="24" spans="1:18">
      <c r="A24" s="2061"/>
      <c r="B24" s="1760" t="s">
        <v>5213</v>
      </c>
      <c r="C24" s="1760"/>
      <c r="D24" s="1760"/>
      <c r="E24" s="1760"/>
      <c r="F24" s="1760"/>
      <c r="G24" s="1760"/>
      <c r="H24" s="1758">
        <f>+R36+R39</f>
        <v>1433385</v>
      </c>
      <c r="I24" s="1751">
        <f>+VLOOKUP($B24,年度別調書!$A$4:$M$37,10,0)</f>
        <v>48353931386</v>
      </c>
      <c r="J24" s="1751">
        <f>+VLOOKUP($B24,年度別調書!$A$4:$M$37,13,0)</f>
        <v>104173607652</v>
      </c>
      <c r="K24" s="1757">
        <f t="shared" si="2"/>
        <v>665330</v>
      </c>
      <c r="L24" s="1757">
        <f t="shared" si="3"/>
        <v>768055</v>
      </c>
      <c r="M24" s="1946"/>
      <c r="N24" s="1948">
        <f>+海田!N24</f>
        <v>5</v>
      </c>
      <c r="P24" s="1773" t="s">
        <v>5127</v>
      </c>
      <c r="Q24" s="1768"/>
      <c r="R24" s="2738">
        <v>2068736</v>
      </c>
    </row>
    <row r="25" spans="1:18">
      <c r="A25" s="2061"/>
      <c r="B25" s="1760" t="s">
        <v>5214</v>
      </c>
      <c r="C25" s="1760"/>
      <c r="D25" s="1760"/>
      <c r="E25" s="1760"/>
      <c r="F25" s="1760"/>
      <c r="G25" s="1760"/>
      <c r="H25" s="1758">
        <f>+R42+R45</f>
        <v>1056567</v>
      </c>
      <c r="I25" s="1751">
        <f>+VLOOKUP($B25,年度別調書!$A$4:$M$37,10,0)</f>
        <v>42742028940</v>
      </c>
      <c r="J25" s="1751">
        <f>+VLOOKUP($B25,年度別調書!$A$4:$M$37,13,0)</f>
        <v>101075943440</v>
      </c>
      <c r="K25" s="1757">
        <f t="shared" si="2"/>
        <v>446791</v>
      </c>
      <c r="L25" s="1757">
        <f t="shared" si="3"/>
        <v>609776</v>
      </c>
      <c r="M25" s="1946"/>
      <c r="N25" s="1948">
        <f>+海田!N25</f>
        <v>5</v>
      </c>
      <c r="O25" s="1730" t="s">
        <v>5128</v>
      </c>
      <c r="P25" s="1774" t="s">
        <v>5114</v>
      </c>
      <c r="Q25" s="1770" t="s">
        <v>5115</v>
      </c>
      <c r="R25" s="2738"/>
    </row>
    <row r="26" spans="1:18">
      <c r="A26" s="2061"/>
      <c r="B26" s="1760" t="s">
        <v>5215</v>
      </c>
      <c r="C26" s="1760"/>
      <c r="D26" s="1760"/>
      <c r="E26" s="1760"/>
      <c r="F26" s="1760"/>
      <c r="G26" s="1760"/>
      <c r="H26" s="1758">
        <f>+R48</f>
        <v>480134</v>
      </c>
      <c r="I26" s="1751">
        <f>+VLOOKUP($B26,年度別調書!$A$4:$M$37,10,0)</f>
        <v>38694694218</v>
      </c>
      <c r="J26" s="1751">
        <f>+VLOOKUP($B26,年度別調書!$A$4:$M$37,13,0)</f>
        <v>98151426478</v>
      </c>
      <c r="K26" s="1757">
        <f t="shared" si="2"/>
        <v>189285</v>
      </c>
      <c r="L26" s="1757">
        <f t="shared" si="3"/>
        <v>290849</v>
      </c>
      <c r="M26" s="1946"/>
      <c r="N26" s="1948">
        <f>+海田!N26</f>
        <v>5</v>
      </c>
      <c r="P26" s="1775" t="s">
        <v>5116</v>
      </c>
      <c r="Q26" s="1772" t="s">
        <v>4871</v>
      </c>
      <c r="R26" s="2738"/>
    </row>
    <row r="27" spans="1:18">
      <c r="A27" s="2061"/>
      <c r="B27" s="1760" t="s">
        <v>5216</v>
      </c>
      <c r="C27" s="1760"/>
      <c r="D27" s="1760"/>
      <c r="E27" s="1760"/>
      <c r="F27" s="1760"/>
      <c r="G27" s="1760"/>
      <c r="H27" s="1758"/>
      <c r="I27" s="1751">
        <f>+VLOOKUP($B27,年度別調書!$A$4:$M$37,10,0)</f>
        <v>37621895854</v>
      </c>
      <c r="J27" s="1751">
        <f>+VLOOKUP($B27,年度別調書!$A$4:$M$37,13,0)</f>
        <v>100825076572</v>
      </c>
      <c r="K27" s="1757">
        <f t="shared" si="2"/>
        <v>0</v>
      </c>
      <c r="L27" s="1757">
        <f t="shared" si="3"/>
        <v>0</v>
      </c>
      <c r="M27" s="1946"/>
      <c r="N27" s="1948">
        <f>+海田!N27</f>
        <v>5</v>
      </c>
      <c r="P27" s="1773" t="s">
        <v>5129</v>
      </c>
      <c r="Q27" s="1768"/>
      <c r="R27" s="2738">
        <v>420875</v>
      </c>
    </row>
    <row r="28" spans="1:18">
      <c r="A28" s="2061"/>
      <c r="B28" s="1760" t="s">
        <v>5217</v>
      </c>
      <c r="C28" s="1760"/>
      <c r="D28" s="1760"/>
      <c r="E28" s="1760"/>
      <c r="F28" s="1760"/>
      <c r="G28" s="1760"/>
      <c r="H28" s="1758"/>
      <c r="I28" s="1751">
        <f>+VLOOKUP($B28,年度別調書!$A$4:$M$37,10,0)</f>
        <v>29085465357</v>
      </c>
      <c r="J28" s="1751">
        <f>+VLOOKUP($B28,年度別調書!$A$4:$M$37,13,0)</f>
        <v>101305165124</v>
      </c>
      <c r="K28" s="1757">
        <f t="shared" si="2"/>
        <v>0</v>
      </c>
      <c r="L28" s="1757">
        <f t="shared" si="3"/>
        <v>0</v>
      </c>
      <c r="M28" s="1946"/>
      <c r="N28" s="1948">
        <f>+海田!N28</f>
        <v>5</v>
      </c>
      <c r="O28" s="1730" t="s">
        <v>5130</v>
      </c>
      <c r="P28" s="1774" t="s">
        <v>5114</v>
      </c>
      <c r="Q28" s="1770" t="s">
        <v>5115</v>
      </c>
      <c r="R28" s="2738"/>
    </row>
    <row r="29" spans="1:18">
      <c r="A29" s="2061"/>
      <c r="B29" s="1760" t="s">
        <v>5218</v>
      </c>
      <c r="C29" s="1760"/>
      <c r="D29" s="1760"/>
      <c r="E29" s="1760"/>
      <c r="F29" s="1760"/>
      <c r="G29" s="1760"/>
      <c r="H29" s="1758"/>
      <c r="I29" s="1751">
        <f>+VLOOKUP($B29,年度別調書!$A$4:$M$37,10,0)</f>
        <v>25082997134</v>
      </c>
      <c r="J29" s="1751">
        <f>+VLOOKUP($B29,年度別調書!$A$4:$M$37,13,0)</f>
        <v>96528725584</v>
      </c>
      <c r="K29" s="1757">
        <f t="shared" si="2"/>
        <v>0</v>
      </c>
      <c r="L29" s="1757">
        <f t="shared" si="3"/>
        <v>0</v>
      </c>
      <c r="M29" s="1946"/>
      <c r="N29" s="1948">
        <f>+海田!N29</f>
        <v>5</v>
      </c>
      <c r="P29" s="1775" t="s">
        <v>5116</v>
      </c>
      <c r="Q29" s="1772" t="s">
        <v>4871</v>
      </c>
      <c r="R29" s="2738"/>
    </row>
    <row r="30" spans="1:18">
      <c r="A30" s="2061"/>
      <c r="B30" s="1760" t="s">
        <v>5219</v>
      </c>
      <c r="C30" s="1760"/>
      <c r="D30" s="1760"/>
      <c r="E30" s="1760"/>
      <c r="F30" s="1760"/>
      <c r="G30" s="1760"/>
      <c r="H30" s="1758"/>
      <c r="I30" s="1751">
        <f>+VLOOKUP($B30,年度別調書!$A$4:$M$37,10,0)</f>
        <v>21657707574</v>
      </c>
      <c r="J30" s="1751">
        <f>+VLOOKUP($B30,年度別調書!$A$4:$M$37,13,0)</f>
        <v>84768578867</v>
      </c>
      <c r="K30" s="1757">
        <f t="shared" si="2"/>
        <v>0</v>
      </c>
      <c r="L30" s="1757">
        <f t="shared" si="3"/>
        <v>0</v>
      </c>
      <c r="M30" s="1946"/>
      <c r="N30" s="1948">
        <f>+海田!N30</f>
        <v>5</v>
      </c>
      <c r="P30" s="1773" t="s">
        <v>5131</v>
      </c>
      <c r="Q30" s="1768"/>
      <c r="R30" s="2738">
        <v>1634139</v>
      </c>
    </row>
    <row r="31" spans="1:18">
      <c r="A31" s="2061"/>
      <c r="B31" s="1760" t="s">
        <v>5220</v>
      </c>
      <c r="C31" s="1760"/>
      <c r="D31" s="1760"/>
      <c r="E31" s="1760"/>
      <c r="F31" s="1760"/>
      <c r="G31" s="1760"/>
      <c r="H31" s="1758"/>
      <c r="I31" s="1751">
        <f>+VLOOKUP($B31,年度別調書!$A$4:$M$37,10,0)</f>
        <v>25422571996</v>
      </c>
      <c r="J31" s="1751">
        <f>+VLOOKUP($B31,年度別調書!$A$4:$M$37,13,0)</f>
        <v>105576318079</v>
      </c>
      <c r="K31" s="1757">
        <f t="shared" si="2"/>
        <v>0</v>
      </c>
      <c r="L31" s="1757">
        <f t="shared" si="3"/>
        <v>0</v>
      </c>
      <c r="M31" s="1946"/>
      <c r="N31" s="1948">
        <f>+海田!N31</f>
        <v>5</v>
      </c>
      <c r="O31" s="1730" t="s">
        <v>5132</v>
      </c>
      <c r="P31" s="1774" t="s">
        <v>5114</v>
      </c>
      <c r="Q31" s="1770" t="s">
        <v>5115</v>
      </c>
      <c r="R31" s="2738"/>
    </row>
    <row r="32" spans="1:18">
      <c r="A32" s="2061"/>
      <c r="B32" s="1760" t="s">
        <v>5221</v>
      </c>
      <c r="C32" s="1760"/>
      <c r="D32" s="1760"/>
      <c r="E32" s="1760"/>
      <c r="F32" s="1760"/>
      <c r="G32" s="1760"/>
      <c r="H32" s="1758">
        <f>+R51</f>
        <v>247640</v>
      </c>
      <c r="I32" s="1751">
        <f>+VLOOKUP($B32,年度別調書!$A$4:$M$37,10,0)</f>
        <v>24693835462</v>
      </c>
      <c r="J32" s="1751">
        <f>+VLOOKUP($B32,年度別調書!$A$4:$M$37,13,0)</f>
        <v>110401232854</v>
      </c>
      <c r="K32" s="1757">
        <f t="shared" si="2"/>
        <v>55391</v>
      </c>
      <c r="L32" s="1757">
        <f t="shared" si="3"/>
        <v>192249</v>
      </c>
      <c r="M32" s="1946"/>
      <c r="N32" s="1948">
        <f>+海田!N32</f>
        <v>5</v>
      </c>
      <c r="P32" s="1775" t="s">
        <v>5116</v>
      </c>
      <c r="Q32" s="1772" t="s">
        <v>4871</v>
      </c>
      <c r="R32" s="2738"/>
    </row>
    <row r="33" spans="1:18">
      <c r="A33" s="2061"/>
      <c r="B33" s="1760" t="s">
        <v>5222</v>
      </c>
      <c r="C33" s="1760"/>
      <c r="D33" s="1760"/>
      <c r="E33" s="1760"/>
      <c r="F33" s="1760"/>
      <c r="G33" s="1760"/>
      <c r="H33" s="1757"/>
      <c r="I33" s="1751">
        <f>+VLOOKUP($B33,年度別調書!$A$4:$M$37,10,0)</f>
        <v>22324372880</v>
      </c>
      <c r="J33" s="1751">
        <f>+VLOOKUP($B33,年度別調書!$A$4:$M$37,13,0)</f>
        <v>88097108350</v>
      </c>
      <c r="K33" s="1757">
        <f t="shared" si="2"/>
        <v>0</v>
      </c>
      <c r="L33" s="1757">
        <f t="shared" si="3"/>
        <v>0</v>
      </c>
      <c r="M33" s="1946"/>
      <c r="N33" s="1948">
        <f>+海田!N33</f>
        <v>5</v>
      </c>
      <c r="P33" s="1773" t="s">
        <v>5133</v>
      </c>
      <c r="Q33" s="1768"/>
      <c r="R33" s="2738">
        <v>1507746</v>
      </c>
    </row>
    <row r="34" spans="1:18">
      <c r="A34" s="2061"/>
      <c r="B34" s="1760" t="s">
        <v>5223</v>
      </c>
      <c r="C34" s="1760"/>
      <c r="D34" s="1760"/>
      <c r="E34" s="1760"/>
      <c r="F34" s="1760"/>
      <c r="G34" s="1760"/>
      <c r="H34" s="1757"/>
      <c r="I34" s="1751">
        <f>+VLOOKUP($B34,年度別調書!$A$4:$M$37,10,0)</f>
        <v>26326163485</v>
      </c>
      <c r="J34" s="1751">
        <f>+VLOOKUP($B34,年度別調書!$A$4:$M$37,13,0)</f>
        <v>102723057143</v>
      </c>
      <c r="K34" s="1757">
        <f t="shared" si="2"/>
        <v>0</v>
      </c>
      <c r="L34" s="1757">
        <f t="shared" si="3"/>
        <v>0</v>
      </c>
      <c r="M34" s="1946"/>
      <c r="N34" s="1948">
        <f>+海田!N34</f>
        <v>5</v>
      </c>
      <c r="O34" s="1730" t="s">
        <v>5134</v>
      </c>
      <c r="P34" s="1776" t="s">
        <v>5135</v>
      </c>
      <c r="Q34" s="1770" t="s">
        <v>5115</v>
      </c>
      <c r="R34" s="2738"/>
    </row>
    <row r="35" spans="1:18">
      <c r="A35" s="2061"/>
      <c r="B35" s="1760" t="s">
        <v>5224</v>
      </c>
      <c r="C35" s="1760"/>
      <c r="D35" s="1760"/>
      <c r="E35" s="1760"/>
      <c r="F35" s="1760"/>
      <c r="G35" s="1760"/>
      <c r="H35" s="1757"/>
      <c r="I35" s="1751">
        <f>+VLOOKUP($B35,年度別調書!$A$4:$M$37,10,0)</f>
        <v>26883440277</v>
      </c>
      <c r="J35" s="1751">
        <f>+VLOOKUP($B35,年度別調書!$A$4:$M$37,13,0)</f>
        <v>99758377045</v>
      </c>
      <c r="K35" s="1757">
        <f t="shared" si="2"/>
        <v>0</v>
      </c>
      <c r="L35" s="1757">
        <f t="shared" si="3"/>
        <v>0</v>
      </c>
      <c r="M35" s="1946"/>
      <c r="N35" s="1948">
        <f>+海田!N35</f>
        <v>5</v>
      </c>
      <c r="P35" s="1775" t="s">
        <v>5116</v>
      </c>
      <c r="Q35" s="1772" t="s">
        <v>4871</v>
      </c>
      <c r="R35" s="2738"/>
    </row>
    <row r="36" spans="1:18">
      <c r="A36" s="2061"/>
      <c r="B36" s="1760" t="s">
        <v>5225</v>
      </c>
      <c r="C36" s="1760"/>
      <c r="D36" s="1760"/>
      <c r="E36" s="1760"/>
      <c r="F36" s="1760"/>
      <c r="G36" s="1760"/>
      <c r="H36" s="1757"/>
      <c r="I36" s="1751">
        <f>+VLOOKUP($B36,年度別調書!$A$4:$M$37,10,0)</f>
        <v>20821234544</v>
      </c>
      <c r="J36" s="1751">
        <f>+VLOOKUP($B36,年度別調書!$A$4:$M$37,13,0)</f>
        <v>101115908424</v>
      </c>
      <c r="K36" s="1757">
        <f t="shared" si="2"/>
        <v>0</v>
      </c>
      <c r="L36" s="1757">
        <f t="shared" si="3"/>
        <v>0</v>
      </c>
      <c r="M36" s="1946"/>
      <c r="N36" s="1948">
        <f>+海田!N36</f>
        <v>5</v>
      </c>
      <c r="P36" s="1773" t="s">
        <v>5136</v>
      </c>
      <c r="Q36" s="1768"/>
      <c r="R36" s="2738">
        <v>760784</v>
      </c>
    </row>
    <row r="37" spans="1:18">
      <c r="A37" s="2061"/>
      <c r="B37" s="1760" t="s">
        <v>5226</v>
      </c>
      <c r="C37" s="1760"/>
      <c r="D37" s="1760"/>
      <c r="E37" s="1760"/>
      <c r="F37" s="1760"/>
      <c r="G37" s="1760"/>
      <c r="H37" s="1757"/>
      <c r="I37" s="1751">
        <f>+VLOOKUP($B37,年度別調書!$A$4:$M$37,10,0)</f>
        <v>22169870622</v>
      </c>
      <c r="J37" s="1751">
        <f>+VLOOKUP($B37,年度別調書!$A$4:$M$37,13,0)</f>
        <v>87897420767</v>
      </c>
      <c r="K37" s="1757">
        <f t="shared" si="2"/>
        <v>0</v>
      </c>
      <c r="L37" s="1757">
        <f t="shared" si="3"/>
        <v>0</v>
      </c>
      <c r="M37" s="1946"/>
      <c r="N37" s="1948">
        <f>+海田!N37</f>
        <v>5</v>
      </c>
      <c r="O37" s="1730" t="s">
        <v>5137</v>
      </c>
      <c r="P37" s="1776" t="s">
        <v>5138</v>
      </c>
      <c r="Q37" s="1770" t="s">
        <v>5115</v>
      </c>
      <c r="R37" s="2738"/>
    </row>
    <row r="38" spans="1:18">
      <c r="A38" s="2061"/>
      <c r="B38" s="1760" t="s">
        <v>5227</v>
      </c>
      <c r="C38" s="1760"/>
      <c r="D38" s="1760"/>
      <c r="E38" s="1760"/>
      <c r="F38" s="1760"/>
      <c r="G38" s="1760"/>
      <c r="H38" s="1757"/>
      <c r="I38" s="1751">
        <f>+VLOOKUP($B38,年度別調書!$A$4:$M$37,10,0)</f>
        <v>20924492616</v>
      </c>
      <c r="J38" s="1751">
        <f>+VLOOKUP($B38,年度別調書!$A$4:$M$37,13,0)</f>
        <v>99556890040</v>
      </c>
      <c r="K38" s="1757">
        <f t="shared" si="2"/>
        <v>0</v>
      </c>
      <c r="L38" s="1757">
        <f t="shared" si="3"/>
        <v>0</v>
      </c>
      <c r="M38" s="1946"/>
      <c r="N38" s="1948">
        <f>+海田!N38</f>
        <v>8</v>
      </c>
      <c r="P38" s="1775" t="s">
        <v>5139</v>
      </c>
      <c r="Q38" s="1772" t="s">
        <v>4871</v>
      </c>
      <c r="R38" s="2738"/>
    </row>
    <row r="39" spans="1:18">
      <c r="A39" s="2061"/>
      <c r="B39" s="1760" t="s">
        <v>5228</v>
      </c>
      <c r="C39" s="1760"/>
      <c r="D39" s="1760"/>
      <c r="E39" s="1760"/>
      <c r="F39" s="1760"/>
      <c r="G39" s="1760"/>
      <c r="H39" s="1757"/>
      <c r="I39" s="1751">
        <f>+VLOOKUP($B39,年度別調書!$A$4:$M$37,10,0)</f>
        <v>21176145645</v>
      </c>
      <c r="J39" s="1751">
        <f>+VLOOKUP($B39,年度別調書!$A$4:$M$37,13,0)</f>
        <v>104805589178</v>
      </c>
      <c r="K39" s="1757">
        <f t="shared" si="2"/>
        <v>0</v>
      </c>
      <c r="L39" s="1757">
        <f t="shared" si="3"/>
        <v>0</v>
      </c>
      <c r="M39" s="1946"/>
      <c r="N39" s="1948">
        <f>+海田!N39</f>
        <v>8</v>
      </c>
      <c r="P39" s="1773" t="s">
        <v>5140</v>
      </c>
      <c r="Q39" s="1768"/>
      <c r="R39" s="2738">
        <v>672601</v>
      </c>
    </row>
    <row r="40" spans="1:18">
      <c r="A40" s="2061"/>
      <c r="B40" s="1760" t="s">
        <v>5229</v>
      </c>
      <c r="C40" s="1760"/>
      <c r="D40" s="1760"/>
      <c r="E40" s="1760"/>
      <c r="F40" s="1760"/>
      <c r="G40" s="1760"/>
      <c r="H40" s="1757"/>
      <c r="I40" s="1751">
        <f>+VLOOKUP($B40,年度別調書!$A$4:$M$37,10,0)</f>
        <v>23487276785</v>
      </c>
      <c r="J40" s="1751">
        <f>+VLOOKUP($B40,年度別調書!$A$4:$M$37,13,0)</f>
        <v>105396818589</v>
      </c>
      <c r="K40" s="1757">
        <f t="shared" si="2"/>
        <v>0</v>
      </c>
      <c r="L40" s="1757">
        <f t="shared" si="3"/>
        <v>0</v>
      </c>
      <c r="M40" s="1946"/>
      <c r="N40" s="1948">
        <f>+海田!N40</f>
        <v>8</v>
      </c>
      <c r="O40" s="1730" t="s">
        <v>5141</v>
      </c>
      <c r="P40" s="1776" t="s">
        <v>5142</v>
      </c>
      <c r="Q40" s="1770" t="s">
        <v>5115</v>
      </c>
      <c r="R40" s="2738"/>
    </row>
    <row r="41" spans="1:18">
      <c r="A41" s="2061"/>
      <c r="B41" s="1760" t="s">
        <v>5230</v>
      </c>
      <c r="C41" s="1760"/>
      <c r="D41" s="1760"/>
      <c r="E41" s="1760"/>
      <c r="F41" s="1760"/>
      <c r="G41" s="1760"/>
      <c r="H41" s="1757"/>
      <c r="I41" s="1751">
        <f>+VLOOKUP($B41,年度別調書!$A$4:$M$37,10,0)</f>
        <v>19481573724</v>
      </c>
      <c r="J41" s="1751">
        <f>+VLOOKUP($B41,年度別調書!$A$4:$M$37,13,0)</f>
        <v>99607043975</v>
      </c>
      <c r="K41" s="1757">
        <f t="shared" si="2"/>
        <v>0</v>
      </c>
      <c r="L41" s="1757">
        <f t="shared" si="3"/>
        <v>0</v>
      </c>
      <c r="M41" s="1946"/>
      <c r="N41" s="1948">
        <f>+海田!N41</f>
        <v>8</v>
      </c>
      <c r="P41" s="1775" t="s">
        <v>5139</v>
      </c>
      <c r="Q41" s="1772" t="s">
        <v>4871</v>
      </c>
      <c r="R41" s="2738"/>
    </row>
    <row r="42" spans="1:18">
      <c r="A42" s="2061"/>
      <c r="B42" s="1760" t="s">
        <v>5231</v>
      </c>
      <c r="C42" s="1760"/>
      <c r="D42" s="1760"/>
      <c r="E42" s="1760"/>
      <c r="F42" s="1760"/>
      <c r="G42" s="1760"/>
      <c r="H42" s="1757"/>
      <c r="I42" s="1751">
        <f>+VLOOKUP($B42,年度別調書!$A$4:$M$37,10,0)</f>
        <v>19871916207</v>
      </c>
      <c r="J42" s="1751">
        <f>+VLOOKUP($B42,年度別調書!$A$4:$M$37,13,0)</f>
        <v>98551757388</v>
      </c>
      <c r="K42" s="1757">
        <f t="shared" si="2"/>
        <v>0</v>
      </c>
      <c r="L42" s="1757">
        <f t="shared" si="3"/>
        <v>0</v>
      </c>
      <c r="M42" s="1946"/>
      <c r="N42" s="1948">
        <f>+海田!N42</f>
        <v>8</v>
      </c>
      <c r="P42" s="1773" t="s">
        <v>5143</v>
      </c>
      <c r="Q42" s="1768"/>
      <c r="R42" s="2738">
        <v>372194</v>
      </c>
    </row>
    <row r="43" spans="1:18">
      <c r="A43" s="2061"/>
      <c r="B43" s="2751" t="s">
        <v>5275</v>
      </c>
      <c r="C43" s="1760"/>
      <c r="D43" s="1760"/>
      <c r="E43" s="1760"/>
      <c r="F43" s="1760"/>
      <c r="G43" s="1760"/>
      <c r="H43" s="1757"/>
      <c r="I43" s="1751">
        <f>+VLOOKUP($B43,年度別調書!$A$4:$M$37,10,0)</f>
        <v>21889958229</v>
      </c>
      <c r="J43" s="1751">
        <f>+VLOOKUP($B43,年度別調書!$A$4:$M$37,13,0)</f>
        <v>101214576030</v>
      </c>
      <c r="K43" s="1757">
        <f t="shared" si="2"/>
        <v>0</v>
      </c>
      <c r="L43" s="1757">
        <f t="shared" si="3"/>
        <v>0</v>
      </c>
      <c r="M43" s="1946"/>
      <c r="N43" s="1948">
        <f>+海田!N43</f>
        <v>8</v>
      </c>
      <c r="O43" s="1730" t="s">
        <v>5144</v>
      </c>
      <c r="P43" s="1776" t="s">
        <v>5145</v>
      </c>
      <c r="Q43" s="1770" t="s">
        <v>5115</v>
      </c>
      <c r="R43" s="2738"/>
    </row>
    <row r="44" spans="1:18">
      <c r="A44" s="2061"/>
      <c r="B44" s="2752"/>
      <c r="C44" s="1760"/>
      <c r="D44" s="1760"/>
      <c r="E44" s="1760"/>
      <c r="F44" s="1760"/>
      <c r="G44" s="1760"/>
      <c r="H44" s="1757"/>
      <c r="I44" s="1751">
        <f>+VLOOKUP($B43,年度別調書!$A$4:$M$37,10,0)</f>
        <v>21889958229</v>
      </c>
      <c r="J44" s="1751">
        <f>+VLOOKUP($B43,年度別調書!$A$4:$M$37,13,0)</f>
        <v>101214576030</v>
      </c>
      <c r="K44" s="1757">
        <f t="shared" ref="K44" si="4">IFERROR(ROUND(H44*I44/J44,0),0)</f>
        <v>0</v>
      </c>
      <c r="L44" s="1757">
        <f t="shared" ref="L44" si="5">H44-K44</f>
        <v>0</v>
      </c>
      <c r="M44" s="1946"/>
      <c r="N44" s="1948">
        <f>+海田!N44</f>
        <v>10</v>
      </c>
      <c r="P44" s="1775" t="s">
        <v>5139</v>
      </c>
      <c r="Q44" s="1772" t="s">
        <v>4871</v>
      </c>
      <c r="R44" s="2738"/>
    </row>
    <row r="45" spans="1:18">
      <c r="A45" s="2061"/>
      <c r="B45" s="1760" t="s">
        <v>5271</v>
      </c>
      <c r="C45" s="1760"/>
      <c r="D45" s="1760"/>
      <c r="E45" s="1760"/>
      <c r="F45" s="1760"/>
      <c r="G45" s="1760"/>
      <c r="H45" s="1757"/>
      <c r="I45" s="1751">
        <f>+VLOOKUP($B45,年度別調書!$A$4:$M$37,10,0)</f>
        <v>25568719436</v>
      </c>
      <c r="J45" s="1751">
        <f>+VLOOKUP($B45,年度別調書!$A$4:$M$37,13,0)</f>
        <v>105092548853</v>
      </c>
      <c r="K45" s="1757">
        <f t="shared" si="2"/>
        <v>0</v>
      </c>
      <c r="L45" s="1757">
        <f t="shared" si="3"/>
        <v>0</v>
      </c>
      <c r="M45" s="1946"/>
      <c r="N45" s="1948">
        <f>+海田!N45</f>
        <v>10</v>
      </c>
      <c r="P45" s="1773" t="s">
        <v>5146</v>
      </c>
      <c r="Q45" s="1768"/>
      <c r="R45" s="2738">
        <v>684373</v>
      </c>
    </row>
    <row r="46" spans="1:18">
      <c r="A46" s="2061"/>
      <c r="B46" s="1760" t="s">
        <v>5272</v>
      </c>
      <c r="C46" s="1760"/>
      <c r="D46" s="1760"/>
      <c r="E46" s="1760"/>
      <c r="F46" s="1760"/>
      <c r="G46" s="1760"/>
      <c r="H46" s="1757"/>
      <c r="I46" s="1751">
        <f>+VLOOKUP($B46,年度別調書!$A$4:$M$37,10,0)</f>
        <v>25732995336</v>
      </c>
      <c r="J46" s="1751">
        <f>+VLOOKUP($B46,年度別調書!$A$4:$M$37,13,0)</f>
        <v>106246537477</v>
      </c>
      <c r="K46" s="1757">
        <f t="shared" si="2"/>
        <v>0</v>
      </c>
      <c r="L46" s="1757">
        <f t="shared" si="3"/>
        <v>0</v>
      </c>
      <c r="M46" s="1946"/>
      <c r="N46" s="1948">
        <f>+海田!N46</f>
        <v>10</v>
      </c>
      <c r="O46" s="1730" t="s">
        <v>5147</v>
      </c>
      <c r="P46" s="1776" t="s">
        <v>5142</v>
      </c>
      <c r="Q46" s="1770" t="s">
        <v>5115</v>
      </c>
      <c r="R46" s="2738"/>
    </row>
    <row r="47" spans="1:18">
      <c r="A47" s="2061"/>
      <c r="B47" s="1760" t="s">
        <v>5273</v>
      </c>
      <c r="C47" s="1760"/>
      <c r="D47" s="1760"/>
      <c r="E47" s="1760"/>
      <c r="F47" s="1760"/>
      <c r="G47" s="1760"/>
      <c r="H47" s="1757"/>
      <c r="I47" s="1751">
        <f>+VLOOKUP($B47,年度別調書!$A$4:$M$37,10,0)</f>
        <v>22974897869</v>
      </c>
      <c r="J47" s="1751">
        <f>+VLOOKUP($B47,年度別調書!$A$4:$M$37,13,0)</f>
        <v>102361733085</v>
      </c>
      <c r="K47" s="1757">
        <f t="shared" si="2"/>
        <v>0</v>
      </c>
      <c r="L47" s="1757">
        <f t="shared" si="3"/>
        <v>0</v>
      </c>
      <c r="M47" s="1946"/>
      <c r="N47" s="1948">
        <f>+海田!N47</f>
        <v>10</v>
      </c>
      <c r="P47" s="1775" t="s">
        <v>5139</v>
      </c>
      <c r="Q47" s="1772" t="s">
        <v>4951</v>
      </c>
      <c r="R47" s="2738"/>
    </row>
    <row r="48" spans="1:18">
      <c r="A48" s="2062"/>
      <c r="B48" s="1761" t="s">
        <v>4871</v>
      </c>
      <c r="C48" s="1761"/>
      <c r="D48" s="1761"/>
      <c r="E48" s="1761"/>
      <c r="F48" s="1761"/>
      <c r="G48" s="1761"/>
      <c r="H48" s="1762">
        <f>SUM(H6:H47)</f>
        <v>163052136</v>
      </c>
      <c r="I48" s="1681"/>
      <c r="J48" s="1681"/>
      <c r="K48" s="1762">
        <f>SUM(K6:K47)</f>
        <v>95865398</v>
      </c>
      <c r="L48" s="1762">
        <f>SUM(L6:L47)</f>
        <v>67186738</v>
      </c>
      <c r="M48" s="1946"/>
      <c r="N48" s="1948">
        <f>+海田!N48</f>
        <v>0</v>
      </c>
      <c r="P48" s="1773" t="s">
        <v>5148</v>
      </c>
      <c r="Q48" s="1768"/>
      <c r="R48" s="2738">
        <v>480134</v>
      </c>
    </row>
    <row r="49" spans="10:18">
      <c r="K49" s="1715"/>
      <c r="O49" s="1730" t="s">
        <v>5149</v>
      </c>
      <c r="P49" s="1776" t="s">
        <v>5142</v>
      </c>
      <c r="Q49" s="1770" t="s">
        <v>5115</v>
      </c>
      <c r="R49" s="2738"/>
    </row>
    <row r="50" spans="10:18">
      <c r="J50" s="1949" t="s">
        <v>5181</v>
      </c>
      <c r="K50" s="1950" t="s">
        <v>5180</v>
      </c>
      <c r="P50" s="1775" t="s">
        <v>5139</v>
      </c>
      <c r="Q50" s="1772" t="s">
        <v>4871</v>
      </c>
      <c r="R50" s="2738"/>
    </row>
    <row r="51" spans="10:18">
      <c r="J51" s="1950">
        <v>3</v>
      </c>
      <c r="K51" s="1951">
        <f>+SUMIFS($K$4:$K$48,$N$4:$N$48,$J51)</f>
        <v>92548428</v>
      </c>
      <c r="P51" s="1767" t="s">
        <v>5150</v>
      </c>
      <c r="Q51" s="1768"/>
      <c r="R51" s="2738">
        <v>247640</v>
      </c>
    </row>
    <row r="52" spans="10:18">
      <c r="J52" s="1950">
        <v>5</v>
      </c>
      <c r="K52" s="1951">
        <f>+SUMIFS($K$4:$K$48,$N$4:$N$48,$J52)</f>
        <v>3316970</v>
      </c>
      <c r="O52" s="1730" t="s">
        <v>5151</v>
      </c>
      <c r="P52" s="1777" t="s">
        <v>5152</v>
      </c>
      <c r="Q52" s="1770" t="s">
        <v>5115</v>
      </c>
      <c r="R52" s="2738"/>
    </row>
    <row r="53" spans="10:18">
      <c r="J53" s="1950">
        <v>8</v>
      </c>
      <c r="K53" s="1951">
        <f>+SUMIFS($K$4:$K$48,$N$4:$N$48,$J53)</f>
        <v>0</v>
      </c>
      <c r="P53" s="1771" t="s">
        <v>5139</v>
      </c>
      <c r="Q53" s="1772" t="s">
        <v>4871</v>
      </c>
      <c r="R53" s="2738"/>
    </row>
    <row r="54" spans="10:18" ht="14.25" thickBot="1">
      <c r="J54" s="1950">
        <v>10</v>
      </c>
      <c r="K54" s="1951">
        <f>+SUMIFS($K$4:$K$48,$N$4:$N$48,$J54)</f>
        <v>0</v>
      </c>
      <c r="P54" s="1778"/>
      <c r="Q54" s="1768"/>
      <c r="R54" s="1995"/>
    </row>
    <row r="55" spans="10:18" ht="14.25" thickBot="1">
      <c r="J55" s="1949" t="s">
        <v>5182</v>
      </c>
      <c r="K55" s="1952">
        <f>SUM(K51:K54)</f>
        <v>95865398</v>
      </c>
      <c r="P55" s="1779" t="s">
        <v>4871</v>
      </c>
      <c r="Q55" s="1770" t="s">
        <v>5115</v>
      </c>
      <c r="R55" s="1994">
        <f>SUM(R6:R53)</f>
        <v>163052136</v>
      </c>
    </row>
    <row r="56" spans="10:18" ht="14.25" thickBot="1">
      <c r="J56" s="1949" t="s">
        <v>5183</v>
      </c>
      <c r="K56" s="1952">
        <f>+K48-K55</f>
        <v>0</v>
      </c>
      <c r="P56" s="1780"/>
      <c r="Q56" s="1781" t="s">
        <v>4871</v>
      </c>
      <c r="R56" s="1980"/>
    </row>
  </sheetData>
  <mergeCells count="27">
    <mergeCell ref="R51:R53"/>
    <mergeCell ref="R42:R44"/>
    <mergeCell ref="R45:R47"/>
    <mergeCell ref="P4:Q5"/>
    <mergeCell ref="R4:R5"/>
    <mergeCell ref="R48:R50"/>
    <mergeCell ref="R33:R35"/>
    <mergeCell ref="R36:R38"/>
    <mergeCell ref="R39:R41"/>
    <mergeCell ref="R6:R8"/>
    <mergeCell ref="R9:R11"/>
    <mergeCell ref="R12:R14"/>
    <mergeCell ref="R30:R32"/>
    <mergeCell ref="R15:R17"/>
    <mergeCell ref="R18:R20"/>
    <mergeCell ref="R21:R23"/>
    <mergeCell ref="A4:A5"/>
    <mergeCell ref="B4:B5"/>
    <mergeCell ref="H4:H5"/>
    <mergeCell ref="I4:I5"/>
    <mergeCell ref="B43:B44"/>
    <mergeCell ref="R24:R26"/>
    <mergeCell ref="R27:R29"/>
    <mergeCell ref="J4:J5"/>
    <mergeCell ref="K4:K5"/>
    <mergeCell ref="L4:L5"/>
    <mergeCell ref="N4:N5"/>
  </mergeCells>
  <phoneticPr fontId="2"/>
  <pageMargins left="0.78700000000000003" right="0.78700000000000003" top="0.63" bottom="0.82" header="0.3" footer="0.35"/>
  <pageSetup paperSize="9" scale="65" orientation="portrait" r:id="rId1"/>
  <headerFooter alignWithMargins="0"/>
  <legacyDrawing r:id="rId2"/>
</worksheet>
</file>

<file path=xl/worksheets/w6_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66FF33"/>
  </sheetPr>
  <dimension ref="A2:AE56"/>
  <sheetViews>
    <sheetView zoomScale="85" zoomScaleNormal="85" zoomScaleSheetLayoutView="85" workbookViewId="0">
      <pane xSplit="2" ySplit="5" topLeftCell="F15" activePane="bottomRight" state="frozen"/>
      <selection sqref="A1:XFD1048576"/>
      <selection pane="topRight" sqref="A1:XFD1048576"/>
      <selection pane="bottomLeft" sqref="A1:XFD1048576"/>
      <selection pane="bottomRight" activeCell="U50" activeCellId="1" sqref="AC50 U50"/>
    </sheetView>
  </sheetViews>
  <sheetFormatPr defaultRowHeight="13.5"/>
  <cols>
    <col min="1" max="1" width="2.625" customWidth="1" style="1643"/>
    <col min="2" max="2" width="11.625" bestFit="1" customWidth="1" style="1643"/>
    <col min="3" max="5" width="13.125" customWidth="1" style="1643"/>
    <col min="6" max="7" width="11.625" customWidth="1" style="1643"/>
    <col min="8" max="8" width="13.125" customWidth="1" style="1643"/>
    <col min="9" max="10" width="13.75" customWidth="1" style="1643"/>
    <col min="11" max="12" width="13.125" customWidth="1" style="1643"/>
    <col min="13" max="13" width="7.625" customWidth="1" style="1643"/>
    <col min="14" max="14" width="3.125" customWidth="1" style="1643"/>
    <col min="15" max="15" width="2.625" customWidth="1" style="1643"/>
    <col min="16" max="21" width="11.625" customWidth="1" style="1643"/>
    <col min="22" max="22" width="3.125" customWidth="1" style="1643"/>
    <col min="23" max="23" width="2.625" customWidth="1" style="1643"/>
    <col min="24" max="24" width="11.625" bestFit="1" customWidth="1" style="1643"/>
    <col min="25" max="29" width="11.625" customWidth="1" style="1643"/>
    <col min="30" max="30" width="3.125" customWidth="1" style="1643"/>
  </cols>
  <sheetData>
    <row r="2" spans="1:29">
      <c r="A2" t="str" s="1643">
        <f>+"令和"&amp;MID('総括表(不課税)'!A2,3,1)&amp;"年度決算　海田町海田地区"</f>
        <v>令和５年度決算　海田町海田地区</v>
      </c>
      <c r="O2" t="str" s="1643">
        <f>+A2</f>
        <v>令和５年度決算　海田町海田地区</v>
      </c>
      <c r="T2" s="1730"/>
      <c r="U2" s="1730"/>
    </row>
    <row r="4" spans="1:29" ht="13.5" customHeight="1">
      <c r="A4" s="2747" t="s">
        <v>4825</v>
      </c>
      <c r="B4" s="2747" t="s">
        <v>5108</v>
      </c>
      <c r="C4" s="2764" t="s">
        <v>4867</v>
      </c>
      <c r="D4" s="2764"/>
      <c r="E4" s="2764"/>
      <c r="F4" s="2750" t="s">
        <v>4869</v>
      </c>
      <c r="G4" s="2750" t="s">
        <v>4872</v>
      </c>
      <c r="H4" s="2750" t="s">
        <v>4918</v>
      </c>
      <c r="I4" s="2739" t="s">
        <v>4842</v>
      </c>
      <c r="J4" s="2739" t="s">
        <v>4844</v>
      </c>
      <c r="K4" s="2741" t="s">
        <v>4868</v>
      </c>
      <c r="L4" s="2743" t="s">
        <v>4794</v>
      </c>
      <c r="M4" s="2743" t="s">
        <v>5201</v>
      </c>
      <c r="N4" s="2765" t="s">
        <v>5179</v>
      </c>
      <c r="O4" s="2747" t="s">
        <v>4825</v>
      </c>
      <c r="P4" s="2747" t="s">
        <v>4870</v>
      </c>
      <c r="Q4" s="2764" t="s">
        <v>4867</v>
      </c>
      <c r="R4" s="2764"/>
      <c r="S4" s="2764"/>
      <c r="T4" s="2750" t="s">
        <v>4869</v>
      </c>
      <c r="U4" s="2750" t="s">
        <v>4872</v>
      </c>
      <c r="W4" s="2747" t="s">
        <v>4825</v>
      </c>
      <c r="X4" s="2747" t="s">
        <v>4870</v>
      </c>
      <c r="Y4" s="2764" t="s">
        <v>4867</v>
      </c>
      <c r="Z4" s="2764"/>
      <c r="AA4" s="2764"/>
      <c r="AB4" s="2750" t="s">
        <v>4869</v>
      </c>
      <c r="AC4" s="2750" t="s">
        <v>4872</v>
      </c>
    </row>
    <row r="5" spans="1:29" ht="13.5" customHeight="1">
      <c r="A5" s="2748"/>
      <c r="B5" s="2749"/>
      <c r="C5" s="1669" t="s">
        <v>4866</v>
      </c>
      <c r="D5" s="1669" t="s">
        <v>5105</v>
      </c>
      <c r="E5" s="1669" t="s">
        <v>4864</v>
      </c>
      <c r="F5" s="2742"/>
      <c r="G5" s="2760"/>
      <c r="H5" s="2742"/>
      <c r="I5" s="2740"/>
      <c r="J5" s="2740"/>
      <c r="K5" s="2742"/>
      <c r="L5" s="2744"/>
      <c r="M5" s="2744"/>
      <c r="N5" s="2766"/>
      <c r="O5" s="2748"/>
      <c r="P5" s="2749"/>
      <c r="Q5" s="1669" t="s">
        <v>4866</v>
      </c>
      <c r="R5" s="1669" t="s">
        <v>5105</v>
      </c>
      <c r="S5" s="1669" t="s">
        <v>4864</v>
      </c>
      <c r="T5" s="2742"/>
      <c r="U5" s="2760"/>
      <c r="V5" s="1756"/>
      <c r="W5" s="2748"/>
      <c r="X5" s="2749"/>
      <c r="Y5" s="1669" t="s">
        <v>4866</v>
      </c>
      <c r="Z5" s="1669" t="s">
        <v>5105</v>
      </c>
      <c r="AA5" s="1669" t="s">
        <v>4864</v>
      </c>
      <c r="AB5" s="2742"/>
      <c r="AC5" s="2760"/>
    </row>
    <row r="6" spans="1:29" ht="13.5" customHeight="1">
      <c r="A6" s="2761" t="s">
        <v>5107</v>
      </c>
      <c r="B6" s="1759" t="s">
        <v>5232</v>
      </c>
      <c r="C6" s="1758">
        <f t="shared" ref="C6:C47" si="0">+Q6+Y6</f>
        <v>0</v>
      </c>
      <c r="D6" s="1758">
        <f t="shared" ref="D6:D47" si="1">+R6+Z6</f>
        <v>0</v>
      </c>
      <c r="E6" s="1758">
        <f t="shared" ref="E6:E47" si="2">+S6+AA6</f>
        <v>0</v>
      </c>
      <c r="F6" s="1758">
        <f t="shared" ref="F6:F47" si="3">+T6+AB6</f>
        <v>0</v>
      </c>
      <c r="G6" s="1757">
        <f t="shared" ref="G6:G47" si="4">ROUND(C6/C$48*G$48,0)</f>
        <v>0</v>
      </c>
      <c r="H6" s="1757">
        <f t="shared" ref="H6:H47" si="5">C6-G6</f>
        <v>0</v>
      </c>
      <c r="I6" s="1681"/>
      <c r="J6" s="1681"/>
      <c r="K6" s="1757">
        <v>0</v>
      </c>
      <c r="L6" s="1757">
        <f t="shared" ref="L6:L12" si="6">H6-K6</f>
        <v>0</v>
      </c>
      <c r="M6" s="1763">
        <f>ROUND(C6/C$48*G$48,3)-ROUND(C6/C$48*G$48,0)</f>
        <v>0</v>
      </c>
      <c r="N6" s="1947">
        <v>0</v>
      </c>
      <c r="O6" s="2761" t="s">
        <v>4887</v>
      </c>
      <c r="P6" s="1759" t="str">
        <f>+B6</f>
        <v>昭和57年度</v>
      </c>
      <c r="Q6" s="1981">
        <v>0</v>
      </c>
      <c r="R6" s="1981">
        <v>0</v>
      </c>
      <c r="S6" s="1981">
        <v>0</v>
      </c>
      <c r="T6" s="1981">
        <v>0</v>
      </c>
      <c r="U6" s="1757"/>
      <c r="V6" s="1763"/>
      <c r="W6" s="2761" t="s">
        <v>5106</v>
      </c>
      <c r="X6" s="1759" t="str">
        <f>+B6</f>
        <v>昭和57年度</v>
      </c>
      <c r="Y6" s="1982">
        <v>0</v>
      </c>
      <c r="Z6" s="1982">
        <v>0</v>
      </c>
      <c r="AA6" s="1982">
        <v>0</v>
      </c>
      <c r="AB6" s="1982">
        <v>0</v>
      </c>
      <c r="AC6" s="1757"/>
    </row>
    <row r="7" spans="1:29">
      <c r="A7" s="2762"/>
      <c r="B7" s="1759" t="s">
        <v>5233</v>
      </c>
      <c r="C7" s="1758">
        <f t="shared" si="0"/>
        <v>0</v>
      </c>
      <c r="D7" s="1758">
        <f t="shared" si="1"/>
        <v>0</v>
      </c>
      <c r="E7" s="1758">
        <f t="shared" si="2"/>
        <v>0</v>
      </c>
      <c r="F7" s="1758">
        <f t="shared" si="3"/>
        <v>0</v>
      </c>
      <c r="G7" s="1757">
        <f t="shared" si="4"/>
        <v>0</v>
      </c>
      <c r="H7" s="1757">
        <f t="shared" si="5"/>
        <v>0</v>
      </c>
      <c r="I7" s="1681"/>
      <c r="J7" s="1681"/>
      <c r="K7" s="1757">
        <v>0</v>
      </c>
      <c r="L7" s="1757">
        <f t="shared" si="6"/>
        <v>0</v>
      </c>
      <c r="M7" s="1763">
        <f>ROUND(C7/C$48*G$48,3)-ROUND(C7/C$48*G$48,0)</f>
        <v>0</v>
      </c>
      <c r="N7" s="1947">
        <v>0</v>
      </c>
      <c r="O7" s="2762"/>
      <c r="P7" s="1759" t="str">
        <f t="shared" ref="P7:P47" si="7">+B7</f>
        <v>昭和58年度</v>
      </c>
      <c r="Q7" s="1981">
        <v>0</v>
      </c>
      <c r="R7" s="1981">
        <v>0</v>
      </c>
      <c r="S7" s="1981">
        <v>0</v>
      </c>
      <c r="T7" s="1981">
        <v>0</v>
      </c>
      <c r="U7" s="1757"/>
      <c r="V7" s="1764"/>
      <c r="W7" s="2762"/>
      <c r="X7" s="1759" t="str">
        <f t="shared" ref="X7:X47" si="8">+B7</f>
        <v>昭和58年度</v>
      </c>
      <c r="Y7" s="1982">
        <v>0</v>
      </c>
      <c r="Z7" s="1982">
        <v>0</v>
      </c>
      <c r="AA7" s="1982">
        <v>0</v>
      </c>
      <c r="AB7" s="1982">
        <v>0</v>
      </c>
      <c r="AC7" s="1757"/>
    </row>
    <row r="8" spans="1:29">
      <c r="A8" s="2762"/>
      <c r="B8" s="1759" t="s">
        <v>5234</v>
      </c>
      <c r="C8" s="1758">
        <f t="shared" si="0"/>
        <v>0</v>
      </c>
      <c r="D8" s="1758">
        <f t="shared" si="1"/>
        <v>0</v>
      </c>
      <c r="E8" s="1758">
        <f t="shared" si="2"/>
        <v>0</v>
      </c>
      <c r="F8" s="1758">
        <f t="shared" si="3"/>
        <v>0</v>
      </c>
      <c r="G8" s="1757">
        <f t="shared" si="4"/>
        <v>0</v>
      </c>
      <c r="H8" s="1757">
        <f t="shared" si="5"/>
        <v>0</v>
      </c>
      <c r="I8" s="1681"/>
      <c r="J8" s="1681"/>
      <c r="K8" s="1757">
        <v>0</v>
      </c>
      <c r="L8" s="1757">
        <f t="shared" si="6"/>
        <v>0</v>
      </c>
      <c r="M8" s="1763">
        <f>ROUND(C8/C$48*G$48,3)-ROUND(C8/C$48*G$48,0)</f>
        <v>0</v>
      </c>
      <c r="N8" s="1947">
        <v>0</v>
      </c>
      <c r="O8" s="2762"/>
      <c r="P8" s="1759" t="str">
        <f t="shared" si="7"/>
        <v>昭和59年度</v>
      </c>
      <c r="Q8" s="1981">
        <v>0</v>
      </c>
      <c r="R8" s="1981">
        <v>0</v>
      </c>
      <c r="S8" s="1981">
        <v>0</v>
      </c>
      <c r="T8" s="1981">
        <v>0</v>
      </c>
      <c r="U8" s="1757"/>
      <c r="V8" s="1764"/>
      <c r="W8" s="2762"/>
      <c r="X8" s="1759" t="str">
        <f t="shared" si="8"/>
        <v>昭和59年度</v>
      </c>
      <c r="Y8" s="1982">
        <v>0</v>
      </c>
      <c r="Z8" s="1982">
        <v>0</v>
      </c>
      <c r="AA8" s="1982">
        <v>0</v>
      </c>
      <c r="AB8" s="1982">
        <v>0</v>
      </c>
      <c r="AC8" s="1757"/>
    </row>
    <row r="9" spans="1:29">
      <c r="A9" s="2762"/>
      <c r="B9" s="1759" t="s">
        <v>5235</v>
      </c>
      <c r="C9" s="1758">
        <f t="shared" si="0"/>
        <v>0</v>
      </c>
      <c r="D9" s="1758">
        <f t="shared" si="1"/>
        <v>0</v>
      </c>
      <c r="E9" s="1758">
        <f t="shared" si="2"/>
        <v>0</v>
      </c>
      <c r="F9" s="1758">
        <f t="shared" si="3"/>
        <v>0</v>
      </c>
      <c r="G9" s="1757">
        <f t="shared" si="4"/>
        <v>0</v>
      </c>
      <c r="H9" s="1757">
        <f t="shared" si="5"/>
        <v>0</v>
      </c>
      <c r="I9" s="1681"/>
      <c r="J9" s="1681"/>
      <c r="K9" s="1757">
        <v>0</v>
      </c>
      <c r="L9" s="1757">
        <f t="shared" si="6"/>
        <v>0</v>
      </c>
      <c r="M9" s="1763">
        <f>ROUND(C9/C$48*G$48,3)-ROUND(C9/C$48*G$48,0)</f>
        <v>0</v>
      </c>
      <c r="N9" s="1947">
        <v>0</v>
      </c>
      <c r="O9" s="2762"/>
      <c r="P9" s="1759" t="str">
        <f t="shared" si="7"/>
        <v>昭和60年度</v>
      </c>
      <c r="Q9" s="1981">
        <v>0</v>
      </c>
      <c r="R9" s="1981">
        <v>0</v>
      </c>
      <c r="S9" s="1981">
        <v>0</v>
      </c>
      <c r="T9" s="1981">
        <v>0</v>
      </c>
      <c r="U9" s="1757"/>
      <c r="V9" s="1764"/>
      <c r="W9" s="2762"/>
      <c r="X9" s="1759" t="str">
        <f t="shared" si="8"/>
        <v>昭和60年度</v>
      </c>
      <c r="Y9" s="1982">
        <v>0</v>
      </c>
      <c r="Z9" s="1982">
        <v>0</v>
      </c>
      <c r="AA9" s="1982">
        <v>0</v>
      </c>
      <c r="AB9" s="1982">
        <v>0</v>
      </c>
      <c r="AC9" s="1757"/>
    </row>
    <row r="10" spans="1:29">
      <c r="A10" s="2762"/>
      <c r="B10" s="1759" t="s">
        <v>5236</v>
      </c>
      <c r="C10" s="1758">
        <f t="shared" si="0"/>
        <v>0</v>
      </c>
      <c r="D10" s="1758">
        <f t="shared" si="1"/>
        <v>0</v>
      </c>
      <c r="E10" s="1758">
        <f t="shared" si="2"/>
        <v>0</v>
      </c>
      <c r="F10" s="1758">
        <f t="shared" si="3"/>
        <v>0</v>
      </c>
      <c r="G10" s="2018">
        <f>ROUND(C10/C$48*G$48,0)</f>
        <v>0</v>
      </c>
      <c r="H10" s="1757">
        <f t="shared" si="5"/>
        <v>0</v>
      </c>
      <c r="I10" s="1681"/>
      <c r="J10" s="1681"/>
      <c r="K10" s="1757">
        <v>0</v>
      </c>
      <c r="L10" s="1757">
        <f t="shared" si="6"/>
        <v>0</v>
      </c>
      <c r="M10" s="1763">
        <f t="shared" ref="M10:M47" si="9">ROUND(C10/C$48*G$48,3)-ROUND(C10/C$48*G$48,0)</f>
        <v>0</v>
      </c>
      <c r="N10" s="1947">
        <v>0</v>
      </c>
      <c r="O10" s="2762"/>
      <c r="P10" s="1759" t="str">
        <f t="shared" si="7"/>
        <v>昭和61年度</v>
      </c>
      <c r="Q10" s="1981">
        <v>0</v>
      </c>
      <c r="R10" s="1981">
        <v>0</v>
      </c>
      <c r="S10" s="1981">
        <v>0</v>
      </c>
      <c r="T10" s="1981">
        <v>0</v>
      </c>
      <c r="U10" s="1757"/>
      <c r="V10" s="1764"/>
      <c r="W10" s="2762"/>
      <c r="X10" s="1759" t="str">
        <f t="shared" si="8"/>
        <v>昭和61年度</v>
      </c>
      <c r="Y10" s="1982">
        <v>0</v>
      </c>
      <c r="Z10" s="1982">
        <v>0</v>
      </c>
      <c r="AA10" s="1982">
        <v>0</v>
      </c>
      <c r="AB10" s="1982">
        <v>0</v>
      </c>
      <c r="AC10" s="1757"/>
    </row>
    <row r="11" spans="1:29">
      <c r="A11" s="2762"/>
      <c r="B11" s="1759" t="s">
        <v>5237</v>
      </c>
      <c r="C11" s="1758">
        <f t="shared" si="0"/>
        <v>0</v>
      </c>
      <c r="D11" s="1758">
        <f t="shared" si="1"/>
        <v>0</v>
      </c>
      <c r="E11" s="1758">
        <f t="shared" si="2"/>
        <v>0</v>
      </c>
      <c r="F11" s="1758">
        <f t="shared" si="3"/>
        <v>0</v>
      </c>
      <c r="G11" s="1757">
        <f t="shared" si="4"/>
        <v>0</v>
      </c>
      <c r="H11" s="1757">
        <f t="shared" si="5"/>
        <v>0</v>
      </c>
      <c r="I11" s="1681"/>
      <c r="J11" s="1681"/>
      <c r="K11" s="1757">
        <v>0</v>
      </c>
      <c r="L11" s="1757">
        <f t="shared" si="6"/>
        <v>0</v>
      </c>
      <c r="M11" s="1763">
        <f t="shared" si="9"/>
        <v>0</v>
      </c>
      <c r="N11" s="1947">
        <v>0</v>
      </c>
      <c r="O11" s="2762"/>
      <c r="P11" s="1759" t="str">
        <f t="shared" si="7"/>
        <v>昭和62年度</v>
      </c>
      <c r="Q11" s="1981">
        <v>0</v>
      </c>
      <c r="R11" s="1981">
        <v>0</v>
      </c>
      <c r="S11" s="1981">
        <v>0</v>
      </c>
      <c r="T11" s="1981">
        <v>0</v>
      </c>
      <c r="U11" s="1757"/>
      <c r="V11" s="1764"/>
      <c r="W11" s="2762"/>
      <c r="X11" s="1759" t="str">
        <f t="shared" si="8"/>
        <v>昭和62年度</v>
      </c>
      <c r="Y11" s="1982">
        <v>0</v>
      </c>
      <c r="Z11" s="1982">
        <v>0</v>
      </c>
      <c r="AA11" s="1982">
        <v>0</v>
      </c>
      <c r="AB11" s="1982">
        <v>0</v>
      </c>
      <c r="AC11" s="1757"/>
    </row>
    <row r="12" spans="1:29">
      <c r="A12" s="2762"/>
      <c r="B12" s="1759" t="s">
        <v>5238</v>
      </c>
      <c r="C12" s="1758">
        <f t="shared" si="0"/>
        <v>0</v>
      </c>
      <c r="D12" s="1758">
        <f t="shared" si="1"/>
        <v>0</v>
      </c>
      <c r="E12" s="1758">
        <f t="shared" si="2"/>
        <v>0</v>
      </c>
      <c r="F12" s="1758">
        <f t="shared" si="3"/>
        <v>0</v>
      </c>
      <c r="G12" s="1757">
        <f t="shared" si="4"/>
        <v>0</v>
      </c>
      <c r="H12" s="1757">
        <f t="shared" si="5"/>
        <v>0</v>
      </c>
      <c r="I12" s="1681"/>
      <c r="J12" s="1681"/>
      <c r="K12" s="1757">
        <v>0</v>
      </c>
      <c r="L12" s="1757">
        <f t="shared" si="6"/>
        <v>0</v>
      </c>
      <c r="M12" s="1763">
        <f t="shared" si="9"/>
        <v>0</v>
      </c>
      <c r="N12" s="1947">
        <v>0</v>
      </c>
      <c r="O12" s="2762"/>
      <c r="P12" s="1759" t="str">
        <f t="shared" si="7"/>
        <v>昭和63年度</v>
      </c>
      <c r="Q12" s="1981">
        <v>0</v>
      </c>
      <c r="R12" s="1981">
        <v>0</v>
      </c>
      <c r="S12" s="1981">
        <v>0</v>
      </c>
      <c r="T12" s="1981">
        <v>0</v>
      </c>
      <c r="U12" s="1757"/>
      <c r="V12" s="1764"/>
      <c r="W12" s="2762"/>
      <c r="X12" s="1759" t="str">
        <f t="shared" si="8"/>
        <v>昭和63年度</v>
      </c>
      <c r="Y12" s="1982">
        <v>0</v>
      </c>
      <c r="Z12" s="1982">
        <v>0</v>
      </c>
      <c r="AA12" s="1982">
        <v>0</v>
      </c>
      <c r="AB12" s="1982">
        <v>0</v>
      </c>
      <c r="AC12" s="1757"/>
    </row>
    <row r="13" spans="1:29">
      <c r="A13" s="2762"/>
      <c r="B13" s="1760" t="s">
        <v>5202</v>
      </c>
      <c r="C13" s="1758">
        <f t="shared" si="0"/>
        <v>0</v>
      </c>
      <c r="D13" s="1758">
        <f t="shared" si="1"/>
        <v>0</v>
      </c>
      <c r="E13" s="1758">
        <f t="shared" si="2"/>
        <v>0</v>
      </c>
      <c r="F13" s="1758">
        <f t="shared" si="3"/>
        <v>0</v>
      </c>
      <c r="G13" s="2018">
        <f>ROUND(C13/C$48*G$48,0)</f>
        <v>0</v>
      </c>
      <c r="H13" s="1757">
        <f t="shared" si="5"/>
        <v>0</v>
      </c>
      <c r="I13" s="1751">
        <f>+VLOOKUP($B13,年度別調書!$A$4:$M$37,10,0)</f>
        <v>30622955900</v>
      </c>
      <c r="J13" s="1751">
        <f>+VLOOKUP($B13,年度別調書!$A$4:$M$37,13,0)</f>
        <v>62903610340</v>
      </c>
      <c r="K13" s="1757">
        <f>IFERROR(ROUND(H13*I13/J13,0),0)</f>
        <v>0</v>
      </c>
      <c r="L13" s="1757">
        <f>H13-K13</f>
        <v>0</v>
      </c>
      <c r="M13" s="1763">
        <f t="shared" si="9"/>
        <v>0</v>
      </c>
      <c r="N13" s="1947">
        <v>3</v>
      </c>
      <c r="O13" s="2762"/>
      <c r="P13" s="1759" t="str">
        <f t="shared" si="7"/>
        <v>平成元年度</v>
      </c>
      <c r="Q13" s="1981">
        <v>0</v>
      </c>
      <c r="R13" s="1981">
        <v>0</v>
      </c>
      <c r="S13" s="1981">
        <v>0</v>
      </c>
      <c r="T13" s="1981">
        <v>0</v>
      </c>
      <c r="U13" s="1757"/>
      <c r="V13" s="1764"/>
      <c r="W13" s="2762"/>
      <c r="X13" s="1759" t="str">
        <f t="shared" si="8"/>
        <v>平成元年度</v>
      </c>
      <c r="Y13" s="1982">
        <v>0</v>
      </c>
      <c r="Z13" s="1982">
        <v>0</v>
      </c>
      <c r="AA13" s="1982">
        <v>0</v>
      </c>
      <c r="AB13" s="1982">
        <v>0</v>
      </c>
      <c r="AC13" s="1757"/>
    </row>
    <row r="14" spans="1:29">
      <c r="A14" s="2762"/>
      <c r="B14" s="1760" t="s">
        <v>5203</v>
      </c>
      <c r="C14" s="1758">
        <f>+Q14+Y14</f>
        <v>0</v>
      </c>
      <c r="D14" s="1758">
        <f t="shared" si="1"/>
        <v>0</v>
      </c>
      <c r="E14" s="1758">
        <f t="shared" si="2"/>
        <v>0</v>
      </c>
      <c r="F14" s="1758">
        <f t="shared" si="3"/>
        <v>0</v>
      </c>
      <c r="G14" s="2018">
        <f t="shared" si="4"/>
        <v>0</v>
      </c>
      <c r="H14" s="1757">
        <f t="shared" si="5"/>
        <v>0</v>
      </c>
      <c r="I14" s="1751">
        <f>+VLOOKUP($B14,年度別調書!$A$4:$M$37,10,0)</f>
        <v>36785805618</v>
      </c>
      <c r="J14" s="1751">
        <f>+VLOOKUP($B14,年度別調書!$A$4:$M$37,13,0)</f>
        <v>65207626364</v>
      </c>
      <c r="K14" s="1757">
        <f t="shared" ref="K14:K47" si="10">IFERROR(ROUND(H14*I14/J14,0),0)</f>
        <v>0</v>
      </c>
      <c r="L14" s="1757">
        <f>H14-K14</f>
        <v>0</v>
      </c>
      <c r="M14" s="1763">
        <f t="shared" si="9"/>
        <v>0</v>
      </c>
      <c r="N14" s="1947">
        <v>3</v>
      </c>
      <c r="O14" s="2762"/>
      <c r="P14" s="1759" t="str">
        <f t="shared" si="7"/>
        <v>平成2年度</v>
      </c>
      <c r="Q14" s="1981">
        <v>0</v>
      </c>
      <c r="R14" s="1981">
        <v>0</v>
      </c>
      <c r="S14" s="1981">
        <v>0</v>
      </c>
      <c r="T14" s="1981">
        <v>0</v>
      </c>
      <c r="U14" s="1757"/>
      <c r="V14" s="1764"/>
      <c r="W14" s="2762"/>
      <c r="X14" s="1759" t="str">
        <f t="shared" si="8"/>
        <v>平成2年度</v>
      </c>
      <c r="Y14" s="1982">
        <v>0</v>
      </c>
      <c r="Z14" s="1982">
        <v>0</v>
      </c>
      <c r="AA14" s="1982">
        <v>0</v>
      </c>
      <c r="AB14" s="1982">
        <v>0</v>
      </c>
      <c r="AC14" s="1757"/>
    </row>
    <row r="15" spans="1:29">
      <c r="A15" s="2762"/>
      <c r="B15" s="1760" t="s">
        <v>5204</v>
      </c>
      <c r="C15" s="1758">
        <f t="shared" si="0"/>
        <v>0</v>
      </c>
      <c r="D15" s="1758">
        <f t="shared" si="1"/>
        <v>0</v>
      </c>
      <c r="E15" s="1758">
        <f t="shared" si="2"/>
        <v>0</v>
      </c>
      <c r="F15" s="1758">
        <f t="shared" si="3"/>
        <v>0</v>
      </c>
      <c r="G15" s="2018">
        <f>ROUND(C15/C$48*G$48,0)</f>
        <v>0</v>
      </c>
      <c r="H15" s="1757">
        <f>C15-G15</f>
        <v>0</v>
      </c>
      <c r="I15" s="1751">
        <f>+VLOOKUP($B15,年度別調書!$A$4:$M$37,10,0)</f>
        <v>42048127236</v>
      </c>
      <c r="J15" s="1751">
        <f>+VLOOKUP($B15,年度別調書!$A$4:$M$37,13,0)</f>
        <v>72538415314</v>
      </c>
      <c r="K15" s="1757">
        <f t="shared" si="10"/>
        <v>0</v>
      </c>
      <c r="L15" s="1757">
        <f>H15-K15</f>
        <v>0</v>
      </c>
      <c r="M15" s="1763">
        <f t="shared" si="9"/>
        <v>0</v>
      </c>
      <c r="N15" s="1947">
        <v>3</v>
      </c>
      <c r="O15" s="2762"/>
      <c r="P15" s="1759" t="str">
        <f t="shared" si="7"/>
        <v>平成3年度</v>
      </c>
      <c r="Q15" s="1981">
        <v>0</v>
      </c>
      <c r="R15" s="1981">
        <v>0</v>
      </c>
      <c r="S15" s="1981">
        <v>0</v>
      </c>
      <c r="T15" s="1981">
        <v>0</v>
      </c>
      <c r="U15" s="1757"/>
      <c r="V15" s="1764"/>
      <c r="W15" s="2762"/>
      <c r="X15" s="1759" t="str">
        <f t="shared" si="8"/>
        <v>平成3年度</v>
      </c>
      <c r="Y15" s="1982">
        <v>0</v>
      </c>
      <c r="Z15" s="1982">
        <v>0</v>
      </c>
      <c r="AA15" s="1982">
        <v>0</v>
      </c>
      <c r="AB15" s="1982">
        <v>0</v>
      </c>
      <c r="AC15" s="1757"/>
    </row>
    <row r="16" spans="1:29">
      <c r="A16" s="2762"/>
      <c r="B16" s="1760" t="s">
        <v>5205</v>
      </c>
      <c r="C16" s="1758">
        <f t="shared" si="0"/>
        <v>2013138</v>
      </c>
      <c r="D16" s="1758">
        <f t="shared" si="1"/>
        <v>55276</v>
      </c>
      <c r="E16" s="1758">
        <f t="shared" si="2"/>
        <v>2068414</v>
      </c>
      <c r="F16" s="1758">
        <f t="shared" si="3"/>
        <v>161080</v>
      </c>
      <c r="G16" s="2018">
        <f>ROUND(C16/C$48*G$48,0)</f>
        <v>154586</v>
      </c>
      <c r="H16" s="1757">
        <f t="shared" si="5"/>
        <v>1858552</v>
      </c>
      <c r="I16" s="1751">
        <f>+VLOOKUP($B16,年度別調書!$A$4:$M$37,10,0)</f>
        <v>49320557603</v>
      </c>
      <c r="J16" s="1751">
        <f>+VLOOKUP($B16,年度別調書!$A$4:$M$37,13,0)</f>
        <v>82028053042</v>
      </c>
      <c r="K16" s="1757">
        <f t="shared" si="10"/>
        <v>1117481</v>
      </c>
      <c r="L16" s="1757">
        <f>H16-K16</f>
        <v>741071</v>
      </c>
      <c r="M16" s="1763">
        <f t="shared" si="9"/>
        <v>-0.45199999999022111</v>
      </c>
      <c r="N16" s="1947">
        <v>3</v>
      </c>
      <c r="O16" s="2762"/>
      <c r="P16" s="1759" t="str">
        <f t="shared" si="7"/>
        <v>平成4年度</v>
      </c>
      <c r="Q16" s="1981">
        <v>997467</v>
      </c>
      <c r="R16" s="1981">
        <v>36740</v>
      </c>
      <c r="S16" s="1981">
        <v>1034207</v>
      </c>
      <c r="T16" s="1981">
        <v>80540</v>
      </c>
      <c r="U16" s="1757"/>
      <c r="V16" s="1764"/>
      <c r="W16" s="2762"/>
      <c r="X16" s="1759" t="str">
        <f t="shared" si="8"/>
        <v>平成4年度</v>
      </c>
      <c r="Y16" s="1982">
        <v>1015671</v>
      </c>
      <c r="Z16" s="1982">
        <v>18536</v>
      </c>
      <c r="AA16" s="1982">
        <v>1034207</v>
      </c>
      <c r="AB16" s="1982">
        <v>80540</v>
      </c>
      <c r="AC16" s="1757"/>
    </row>
    <row r="17" spans="1:29">
      <c r="A17" s="2762"/>
      <c r="B17" s="1760" t="s">
        <v>5206</v>
      </c>
      <c r="C17" s="1758">
        <f t="shared" si="0"/>
        <v>0</v>
      </c>
      <c r="D17" s="1758">
        <f t="shared" si="1"/>
        <v>0</v>
      </c>
      <c r="E17" s="1758">
        <f t="shared" si="2"/>
        <v>0</v>
      </c>
      <c r="F17" s="1758">
        <f t="shared" si="3"/>
        <v>0</v>
      </c>
      <c r="G17" s="2018">
        <f t="shared" si="4"/>
        <v>0</v>
      </c>
      <c r="H17" s="1757">
        <f t="shared" si="5"/>
        <v>0</v>
      </c>
      <c r="I17" s="1751">
        <f>+VLOOKUP($B17,年度別調書!$A$4:$M$37,10,0)</f>
        <v>54853236126</v>
      </c>
      <c r="J17" s="1751">
        <f>+VLOOKUP($B17,年度別調書!$A$4:$M$37,13,0)</f>
        <v>94393962571</v>
      </c>
      <c r="K17" s="1757">
        <f t="shared" si="10"/>
        <v>0</v>
      </c>
      <c r="L17" s="1757">
        <f t="shared" ref="L17:L47" si="11">H17-K17</f>
        <v>0</v>
      </c>
      <c r="M17" s="1763">
        <f t="shared" si="9"/>
        <v>0</v>
      </c>
      <c r="N17" s="1947">
        <v>3</v>
      </c>
      <c r="O17" s="2762"/>
      <c r="P17" s="1759" t="str">
        <f t="shared" si="7"/>
        <v>平成5年度</v>
      </c>
      <c r="Q17" s="2084">
        <v>0</v>
      </c>
      <c r="R17" s="2084">
        <v>0</v>
      </c>
      <c r="S17" s="2084">
        <v>0</v>
      </c>
      <c r="T17" s="2084">
        <v>0</v>
      </c>
      <c r="U17" s="1757"/>
      <c r="V17" s="1764"/>
      <c r="W17" s="2762"/>
      <c r="X17" s="1759" t="str">
        <f t="shared" si="8"/>
        <v>平成5年度</v>
      </c>
      <c r="Y17" s="1982">
        <v>0</v>
      </c>
      <c r="Z17" s="1982">
        <v>0</v>
      </c>
      <c r="AA17" s="1982">
        <v>0</v>
      </c>
      <c r="AB17" s="1982">
        <v>0</v>
      </c>
      <c r="AC17" s="1757"/>
    </row>
    <row r="18" spans="1:29">
      <c r="A18" s="2762"/>
      <c r="B18" s="1760" t="s">
        <v>5207</v>
      </c>
      <c r="C18" s="1758">
        <f t="shared" si="0"/>
        <v>2836357</v>
      </c>
      <c r="D18" s="1758">
        <f t="shared" si="1"/>
        <v>223639</v>
      </c>
      <c r="E18" s="1758">
        <f t="shared" si="2"/>
        <v>3059996</v>
      </c>
      <c r="F18" s="1758">
        <f t="shared" si="3"/>
        <v>87342</v>
      </c>
      <c r="G18" s="2018">
        <f t="shared" si="4"/>
        <v>217799</v>
      </c>
      <c r="H18" s="1757">
        <f t="shared" si="5"/>
        <v>2618558</v>
      </c>
      <c r="I18" s="1751">
        <f>+VLOOKUP($B18,年度別調書!$A$4:$M$37,10,0)</f>
        <v>52459905451</v>
      </c>
      <c r="J18" s="1751">
        <f>+VLOOKUP($B18,年度別調書!$A$4:$M$37,13,0)</f>
        <v>92179213936</v>
      </c>
      <c r="K18" s="1757">
        <f t="shared" si="10"/>
        <v>1490242</v>
      </c>
      <c r="L18" s="1757">
        <f t="shared" si="11"/>
        <v>1128316</v>
      </c>
      <c r="M18" s="1763">
        <f t="shared" si="9"/>
        <v>0.1780000000144355</v>
      </c>
      <c r="N18" s="1947">
        <v>3</v>
      </c>
      <c r="O18" s="2762"/>
      <c r="P18" s="1759" t="str">
        <f t="shared" si="7"/>
        <v>平成6年度</v>
      </c>
      <c r="Q18" s="1981">
        <v>1404324</v>
      </c>
      <c r="R18" s="1981">
        <v>125674</v>
      </c>
      <c r="S18" s="1981">
        <v>1529998</v>
      </c>
      <c r="T18" s="1981">
        <v>43671</v>
      </c>
      <c r="U18" s="1757"/>
      <c r="V18" s="1764"/>
      <c r="W18" s="2762"/>
      <c r="X18" s="1759" t="str">
        <f t="shared" si="8"/>
        <v>平成6年度</v>
      </c>
      <c r="Y18" s="1982">
        <v>1432033</v>
      </c>
      <c r="Z18" s="1982">
        <v>97965</v>
      </c>
      <c r="AA18" s="1982">
        <v>1529998</v>
      </c>
      <c r="AB18" s="1982">
        <v>43671</v>
      </c>
      <c r="AC18" s="1757"/>
    </row>
    <row r="19" spans="1:29">
      <c r="A19" s="2762"/>
      <c r="B19" s="1760" t="s">
        <v>5208</v>
      </c>
      <c r="C19" s="1758">
        <f>+Q19+Y19</f>
        <v>15303179</v>
      </c>
      <c r="D19" s="1758">
        <f t="shared" si="1"/>
        <v>807691</v>
      </c>
      <c r="E19" s="1758">
        <f t="shared" si="2"/>
        <v>16110870</v>
      </c>
      <c r="F19" s="1758">
        <f t="shared" si="3"/>
        <v>848330</v>
      </c>
      <c r="G19" s="2018">
        <f>ROUND(C19/C$48*G$48,0)</f>
        <v>1175106</v>
      </c>
      <c r="H19" s="1757">
        <f>C19-G19</f>
        <v>14128073</v>
      </c>
      <c r="I19" s="1751">
        <f>+VLOOKUP($B19,年度別調書!$A$4:$M$37,10,0)</f>
        <v>58579778590</v>
      </c>
      <c r="J19" s="1751">
        <f>+VLOOKUP($B19,年度別調書!$A$4:$M$37,13,0)</f>
        <v>98916143476</v>
      </c>
      <c r="K19" s="1757">
        <f t="shared" si="10"/>
        <v>8366879</v>
      </c>
      <c r="L19" s="1757">
        <f t="shared" si="11"/>
        <v>5761194</v>
      </c>
      <c r="M19" s="1763">
        <f t="shared" si="9"/>
        <v>-0.11400000005960464</v>
      </c>
      <c r="N19" s="1947">
        <v>3</v>
      </c>
      <c r="O19" s="2762"/>
      <c r="P19" s="1759" t="str">
        <f t="shared" si="7"/>
        <v>平成7年度</v>
      </c>
      <c r="Q19" s="1981">
        <v>7590228</v>
      </c>
      <c r="R19" s="1981">
        <v>465207</v>
      </c>
      <c r="S19" s="1981">
        <v>8055435</v>
      </c>
      <c r="T19" s="1981">
        <v>424165</v>
      </c>
      <c r="U19" s="1757"/>
      <c r="V19" s="1764"/>
      <c r="W19" s="2762"/>
      <c r="X19" s="1759" t="str">
        <f t="shared" si="8"/>
        <v>平成7年度</v>
      </c>
      <c r="Y19" s="1982">
        <v>7712951</v>
      </c>
      <c r="Z19" s="1982">
        <v>342484</v>
      </c>
      <c r="AA19" s="1982">
        <v>8055435</v>
      </c>
      <c r="AB19" s="1982">
        <v>424165</v>
      </c>
      <c r="AC19" s="1757"/>
    </row>
    <row r="20" spans="1:29">
      <c r="A20" s="2762"/>
      <c r="B20" s="1760" t="s">
        <v>5209</v>
      </c>
      <c r="C20" s="1758">
        <f t="shared" si="0"/>
        <v>8628429</v>
      </c>
      <c r="D20" s="1758">
        <f t="shared" si="1"/>
        <v>679917</v>
      </c>
      <c r="E20" s="1758">
        <f t="shared" si="2"/>
        <v>9308346</v>
      </c>
      <c r="F20" s="1758">
        <f t="shared" si="3"/>
        <v>1075730</v>
      </c>
      <c r="G20" s="2018">
        <f t="shared" si="4"/>
        <v>662563</v>
      </c>
      <c r="H20" s="1757">
        <f t="shared" si="5"/>
        <v>7965866</v>
      </c>
      <c r="I20" s="1751">
        <f>+VLOOKUP($B20,年度別調書!$A$4:$M$37,10,0)</f>
        <v>59855732510</v>
      </c>
      <c r="J20" s="1751">
        <f>+VLOOKUP($B20,年度別調書!$A$4:$M$37,13,0)</f>
        <v>105086070753</v>
      </c>
      <c r="K20" s="1757">
        <f t="shared" si="10"/>
        <v>4537259</v>
      </c>
      <c r="L20" s="1757">
        <f t="shared" si="11"/>
        <v>3428607</v>
      </c>
      <c r="M20" s="1763">
        <f t="shared" si="9"/>
        <v>-0.16200000001117587</v>
      </c>
      <c r="N20" s="1947">
        <v>3</v>
      </c>
      <c r="O20" s="2762"/>
      <c r="P20" s="1759" t="str">
        <f t="shared" si="7"/>
        <v>平成8年度</v>
      </c>
      <c r="Q20" s="1981">
        <v>4285331</v>
      </c>
      <c r="R20" s="1981">
        <v>368842</v>
      </c>
      <c r="S20" s="1981">
        <v>4654173</v>
      </c>
      <c r="T20" s="1981">
        <v>537865</v>
      </c>
      <c r="U20" s="1757"/>
      <c r="V20" s="1764"/>
      <c r="W20" s="2762"/>
      <c r="X20" s="1759" t="str">
        <f t="shared" si="8"/>
        <v>平成8年度</v>
      </c>
      <c r="Y20" s="1982">
        <v>4343098</v>
      </c>
      <c r="Z20" s="1982">
        <v>311075</v>
      </c>
      <c r="AA20" s="1982">
        <v>4654173</v>
      </c>
      <c r="AB20" s="1982">
        <v>537865</v>
      </c>
      <c r="AC20" s="1757"/>
    </row>
    <row r="21" spans="1:29">
      <c r="A21" s="2762"/>
      <c r="B21" s="1760" t="s">
        <v>5210</v>
      </c>
      <c r="C21" s="1758">
        <f t="shared" si="0"/>
        <v>2641956</v>
      </c>
      <c r="D21" s="1758">
        <f t="shared" si="1"/>
        <v>238742</v>
      </c>
      <c r="E21" s="1758">
        <f t="shared" si="2"/>
        <v>2880698</v>
      </c>
      <c r="F21" s="1758">
        <f t="shared" si="3"/>
        <v>307086</v>
      </c>
      <c r="G21" s="2018">
        <f t="shared" si="4"/>
        <v>202871</v>
      </c>
      <c r="H21" s="1757">
        <f t="shared" si="5"/>
        <v>2439085</v>
      </c>
      <c r="I21" s="1751">
        <f>+VLOOKUP($B21,年度別調書!$A$4:$M$37,10,0)</f>
        <v>65491097789</v>
      </c>
      <c r="J21" s="1751">
        <f>+VLOOKUP($B21,年度別調書!$A$4:$M$37,13,0)</f>
        <v>112544371375</v>
      </c>
      <c r="K21" s="1757">
        <f t="shared" si="10"/>
        <v>1419337</v>
      </c>
      <c r="L21" s="1757">
        <f t="shared" si="11"/>
        <v>1019748</v>
      </c>
      <c r="M21" s="1763">
        <f t="shared" si="9"/>
        <v>0.44599999999627471</v>
      </c>
      <c r="N21" s="1947">
        <v>5</v>
      </c>
      <c r="O21" s="2762"/>
      <c r="P21" s="1759" t="str">
        <f t="shared" si="7"/>
        <v>平成9年度</v>
      </c>
      <c r="Q21" s="1981">
        <v>1314115</v>
      </c>
      <c r="R21" s="1981">
        <v>126234</v>
      </c>
      <c r="S21" s="1981">
        <v>1440349</v>
      </c>
      <c r="T21" s="1981">
        <v>153543</v>
      </c>
      <c r="U21" s="1757"/>
      <c r="V21" s="1764"/>
      <c r="W21" s="2762"/>
      <c r="X21" s="1759" t="str">
        <f t="shared" si="8"/>
        <v>平成9年度</v>
      </c>
      <c r="Y21" s="1982">
        <v>1327841</v>
      </c>
      <c r="Z21" s="1982">
        <v>112508</v>
      </c>
      <c r="AA21" s="1982">
        <v>1440349</v>
      </c>
      <c r="AB21" s="1982">
        <v>153543</v>
      </c>
      <c r="AC21" s="1757"/>
    </row>
    <row r="22" spans="1:29">
      <c r="A22" s="2762"/>
      <c r="B22" s="1760" t="s">
        <v>5211</v>
      </c>
      <c r="C22" s="1758">
        <f t="shared" si="0"/>
        <v>2423</v>
      </c>
      <c r="D22" s="1758">
        <f t="shared" si="1"/>
        <v>279</v>
      </c>
      <c r="E22" s="1758">
        <f t="shared" si="2"/>
        <v>2702</v>
      </c>
      <c r="F22" s="1758">
        <f t="shared" si="3"/>
        <v>296</v>
      </c>
      <c r="G22" s="2018">
        <f>ROUND(C22/C$48*G$48,0)</f>
        <v>186</v>
      </c>
      <c r="H22" s="1757">
        <f t="shared" si="5"/>
        <v>2237</v>
      </c>
      <c r="I22" s="1751">
        <f>+VLOOKUP($B22,年度別調書!$A$4:$M$37,10,0)</f>
        <v>66701247191</v>
      </c>
      <c r="J22" s="1751">
        <f>+VLOOKUP($B22,年度別調書!$A$4:$M$37,13,0)</f>
        <v>118194473653</v>
      </c>
      <c r="K22" s="1757">
        <f t="shared" si="10"/>
        <v>1262</v>
      </c>
      <c r="L22" s="1757">
        <f t="shared" si="11"/>
        <v>975</v>
      </c>
      <c r="M22" s="1763">
        <f t="shared" si="9"/>
        <v>5.7999999999992724E-2</v>
      </c>
      <c r="N22" s="1947">
        <v>5</v>
      </c>
      <c r="O22" s="2762"/>
      <c r="P22" s="1759" t="str">
        <f t="shared" si="7"/>
        <v>平成10年度</v>
      </c>
      <c r="Q22" s="1981">
        <v>1205</v>
      </c>
      <c r="R22" s="1981">
        <v>146</v>
      </c>
      <c r="S22" s="1981">
        <v>1351</v>
      </c>
      <c r="T22" s="1981">
        <v>148</v>
      </c>
      <c r="U22" s="1757"/>
      <c r="V22" s="1764"/>
      <c r="W22" s="2762"/>
      <c r="X22" s="1759" t="str">
        <f t="shared" si="8"/>
        <v>平成10年度</v>
      </c>
      <c r="Y22" s="1982">
        <v>1218</v>
      </c>
      <c r="Z22" s="1982">
        <v>133</v>
      </c>
      <c r="AA22" s="1982">
        <v>1351</v>
      </c>
      <c r="AB22" s="1982">
        <v>148</v>
      </c>
      <c r="AC22" s="1757"/>
    </row>
    <row r="23" spans="1:29">
      <c r="A23" s="2762"/>
      <c r="B23" s="1760" t="s">
        <v>5212</v>
      </c>
      <c r="C23" s="1758">
        <f t="shared" si="0"/>
        <v>0</v>
      </c>
      <c r="D23" s="1758">
        <f t="shared" si="1"/>
        <v>0</v>
      </c>
      <c r="E23" s="1758">
        <f t="shared" si="2"/>
        <v>0</v>
      </c>
      <c r="F23" s="1758">
        <f t="shared" si="3"/>
        <v>0</v>
      </c>
      <c r="G23" s="2018">
        <f t="shared" si="4"/>
        <v>0</v>
      </c>
      <c r="H23" s="1757">
        <f t="shared" si="5"/>
        <v>0</v>
      </c>
      <c r="I23" s="1751">
        <f>+VLOOKUP($B23,年度別調書!$A$4:$M$37,10,0)</f>
        <v>58274420372</v>
      </c>
      <c r="J23" s="1751">
        <f>+VLOOKUP($B23,年度別調書!$A$4:$M$37,13,0)</f>
        <v>110790062218</v>
      </c>
      <c r="K23" s="1757">
        <f t="shared" si="10"/>
        <v>0</v>
      </c>
      <c r="L23" s="1757">
        <f t="shared" si="11"/>
        <v>0</v>
      </c>
      <c r="M23" s="1763">
        <f t="shared" si="9"/>
        <v>0</v>
      </c>
      <c r="N23" s="1947">
        <v>5</v>
      </c>
      <c r="O23" s="2762"/>
      <c r="P23" s="1759" t="str">
        <f t="shared" si="7"/>
        <v>平成11年度</v>
      </c>
      <c r="Q23" s="2066">
        <v>0</v>
      </c>
      <c r="R23" s="2084">
        <v>0</v>
      </c>
      <c r="S23" s="2084">
        <v>0</v>
      </c>
      <c r="T23" s="2084">
        <v>0</v>
      </c>
      <c r="U23" s="1757"/>
      <c r="V23" s="1764"/>
      <c r="W23" s="2762"/>
      <c r="X23" s="1759" t="str">
        <f t="shared" si="8"/>
        <v>平成11年度</v>
      </c>
      <c r="Y23" s="2066">
        <v>0</v>
      </c>
      <c r="Z23" s="2066">
        <v>0</v>
      </c>
      <c r="AA23" s="2066">
        <v>0</v>
      </c>
      <c r="AB23" s="2066">
        <v>0</v>
      </c>
      <c r="AC23" s="1757"/>
    </row>
    <row r="24" spans="1:29">
      <c r="A24" s="2762"/>
      <c r="B24" s="1760" t="s">
        <v>5213</v>
      </c>
      <c r="C24" s="1758">
        <f t="shared" si="0"/>
        <v>0</v>
      </c>
      <c r="D24" s="1758">
        <f t="shared" si="1"/>
        <v>0</v>
      </c>
      <c r="E24" s="1758">
        <f t="shared" si="2"/>
        <v>0</v>
      </c>
      <c r="F24" s="1758">
        <f t="shared" si="3"/>
        <v>0</v>
      </c>
      <c r="G24" s="2018">
        <f t="shared" si="4"/>
        <v>0</v>
      </c>
      <c r="H24" s="1757">
        <f t="shared" si="5"/>
        <v>0</v>
      </c>
      <c r="I24" s="1751">
        <f>+VLOOKUP($B24,年度別調書!$A$4:$M$37,10,0)</f>
        <v>48353931386</v>
      </c>
      <c r="J24" s="1751">
        <f>+VLOOKUP($B24,年度別調書!$A$4:$M$37,13,0)</f>
        <v>104173607652</v>
      </c>
      <c r="K24" s="1757">
        <f t="shared" si="10"/>
        <v>0</v>
      </c>
      <c r="L24" s="1757">
        <f t="shared" si="11"/>
        <v>0</v>
      </c>
      <c r="M24" s="1763">
        <f t="shared" si="9"/>
        <v>0</v>
      </c>
      <c r="N24" s="1947">
        <v>5</v>
      </c>
      <c r="O24" s="2762"/>
      <c r="P24" s="1759" t="str">
        <f t="shared" si="7"/>
        <v>平成12年度</v>
      </c>
      <c r="Q24" s="2066">
        <v>0</v>
      </c>
      <c r="R24" s="2084">
        <v>0</v>
      </c>
      <c r="S24" s="2084">
        <v>0</v>
      </c>
      <c r="T24" s="2084">
        <v>0</v>
      </c>
      <c r="U24" s="1757"/>
      <c r="V24" s="1764"/>
      <c r="W24" s="2762"/>
      <c r="X24" s="1759" t="str">
        <f t="shared" si="8"/>
        <v>平成12年度</v>
      </c>
      <c r="Y24" s="2066">
        <v>0</v>
      </c>
      <c r="Z24" s="2066">
        <v>0</v>
      </c>
      <c r="AA24" s="2066">
        <v>0</v>
      </c>
      <c r="AB24" s="2066">
        <v>0</v>
      </c>
      <c r="AC24" s="1757"/>
    </row>
    <row r="25" spans="1:29">
      <c r="A25" s="2762"/>
      <c r="B25" s="1760" t="s">
        <v>5214</v>
      </c>
      <c r="C25" s="1758">
        <f t="shared" si="0"/>
        <v>183763</v>
      </c>
      <c r="D25" s="1758">
        <f t="shared" si="1"/>
        <v>26727</v>
      </c>
      <c r="E25" s="1758">
        <f t="shared" si="2"/>
        <v>210490</v>
      </c>
      <c r="F25" s="1758">
        <f t="shared" si="3"/>
        <v>24772</v>
      </c>
      <c r="G25" s="2018">
        <f t="shared" si="4"/>
        <v>14111</v>
      </c>
      <c r="H25" s="1757">
        <f t="shared" si="5"/>
        <v>169652</v>
      </c>
      <c r="I25" s="1751">
        <f>+VLOOKUP($B25,年度別調書!$A$4:$M$37,10,0)</f>
        <v>42742028940</v>
      </c>
      <c r="J25" s="1751">
        <f>+VLOOKUP($B25,年度別調書!$A$4:$M$37,13,0)</f>
        <v>101075943440</v>
      </c>
      <c r="K25" s="1757">
        <f t="shared" si="10"/>
        <v>71741</v>
      </c>
      <c r="L25" s="1757">
        <f t="shared" si="11"/>
        <v>97911</v>
      </c>
      <c r="M25" s="1763">
        <f t="shared" si="9"/>
        <v>-0.14199999999982538</v>
      </c>
      <c r="N25" s="1947">
        <v>5</v>
      </c>
      <c r="O25" s="2762"/>
      <c r="P25" s="1759" t="str">
        <f t="shared" si="7"/>
        <v>平成13年度</v>
      </c>
      <c r="Q25" s="1981">
        <v>91433</v>
      </c>
      <c r="R25" s="1981">
        <v>13812</v>
      </c>
      <c r="S25" s="1981">
        <v>105245</v>
      </c>
      <c r="T25" s="1981">
        <v>12386</v>
      </c>
      <c r="U25" s="1757"/>
      <c r="V25" s="1764"/>
      <c r="W25" s="2762"/>
      <c r="X25" s="1759" t="str">
        <f t="shared" si="8"/>
        <v>平成13年度</v>
      </c>
      <c r="Y25" s="1982">
        <v>92330</v>
      </c>
      <c r="Z25" s="1982">
        <v>12915</v>
      </c>
      <c r="AA25" s="1982">
        <v>105245</v>
      </c>
      <c r="AB25" s="1982">
        <v>12386</v>
      </c>
      <c r="AC25" s="1757"/>
    </row>
    <row r="26" spans="1:29">
      <c r="A26" s="2762"/>
      <c r="B26" s="1760" t="s">
        <v>5215</v>
      </c>
      <c r="C26" s="1758">
        <f t="shared" si="0"/>
        <v>305352</v>
      </c>
      <c r="D26" s="1758">
        <f t="shared" si="1"/>
        <v>55508</v>
      </c>
      <c r="E26" s="1758">
        <f t="shared" si="2"/>
        <v>360860</v>
      </c>
      <c r="F26" s="1758">
        <f t="shared" si="3"/>
        <v>40732</v>
      </c>
      <c r="G26" s="2018">
        <f t="shared" si="4"/>
        <v>23447</v>
      </c>
      <c r="H26" s="1757">
        <f t="shared" si="5"/>
        <v>281905</v>
      </c>
      <c r="I26" s="1751">
        <f>+VLOOKUP($B26,年度別調書!$A$4:$M$37,10,0)</f>
        <v>38694694218</v>
      </c>
      <c r="J26" s="1751">
        <f>+VLOOKUP($B26,年度別調書!$A$4:$M$37,13,0)</f>
        <v>98151426478</v>
      </c>
      <c r="K26" s="1757">
        <f t="shared" si="10"/>
        <v>111137</v>
      </c>
      <c r="L26" s="1757">
        <f t="shared" si="11"/>
        <v>170768</v>
      </c>
      <c r="M26" s="1763">
        <f t="shared" si="9"/>
        <v>0.47699999999895226</v>
      </c>
      <c r="N26" s="1947">
        <v>5</v>
      </c>
      <c r="O26" s="2762"/>
      <c r="P26" s="1759" t="str">
        <f t="shared" si="7"/>
        <v>平成14年度</v>
      </c>
      <c r="Q26" s="1981">
        <v>152027</v>
      </c>
      <c r="R26" s="1981">
        <v>28403</v>
      </c>
      <c r="S26" s="1981">
        <v>180430</v>
      </c>
      <c r="T26" s="1981">
        <v>20366</v>
      </c>
      <c r="U26" s="1757"/>
      <c r="V26" s="1764"/>
      <c r="W26" s="2762"/>
      <c r="X26" s="1759" t="str">
        <f t="shared" si="8"/>
        <v>平成14年度</v>
      </c>
      <c r="Y26" s="1982">
        <v>153325</v>
      </c>
      <c r="Z26" s="1982">
        <v>27105</v>
      </c>
      <c r="AA26" s="1982">
        <v>180430</v>
      </c>
      <c r="AB26" s="1982">
        <v>20366</v>
      </c>
      <c r="AC26" s="1757"/>
    </row>
    <row r="27" spans="1:29">
      <c r="A27" s="2762"/>
      <c r="B27" s="1760" t="s">
        <v>5216</v>
      </c>
      <c r="C27" s="1758">
        <f t="shared" si="0"/>
        <v>525817</v>
      </c>
      <c r="D27" s="1758">
        <f t="shared" si="1"/>
        <v>129313</v>
      </c>
      <c r="E27" s="1758">
        <f t="shared" si="2"/>
        <v>655130</v>
      </c>
      <c r="F27" s="1758">
        <f t="shared" si="3"/>
        <v>73524</v>
      </c>
      <c r="G27" s="2018">
        <f>ROUND(C27/C$48*G$48,0)</f>
        <v>40377</v>
      </c>
      <c r="H27" s="1757">
        <f t="shared" si="5"/>
        <v>485440</v>
      </c>
      <c r="I27" s="1751">
        <f>+VLOOKUP($B27,年度別調書!$A$4:$M$37,10,0)</f>
        <v>37621895854</v>
      </c>
      <c r="J27" s="1751">
        <f>+VLOOKUP($B27,年度別調書!$A$4:$M$37,13,0)</f>
        <v>100825076572</v>
      </c>
      <c r="K27" s="1757">
        <f t="shared" si="10"/>
        <v>181137</v>
      </c>
      <c r="L27" s="1757">
        <f t="shared" si="11"/>
        <v>304303</v>
      </c>
      <c r="M27" s="1763">
        <f t="shared" si="9"/>
        <v>-0.37900000000081491</v>
      </c>
      <c r="N27" s="1947">
        <v>5</v>
      </c>
      <c r="O27" s="2762"/>
      <c r="P27" s="1759" t="str">
        <f t="shared" si="7"/>
        <v>平成15年度</v>
      </c>
      <c r="Q27" s="1981">
        <v>261568</v>
      </c>
      <c r="R27" s="1981">
        <v>65997</v>
      </c>
      <c r="S27" s="1981">
        <v>327565</v>
      </c>
      <c r="T27" s="1981">
        <v>36762</v>
      </c>
      <c r="U27" s="1757"/>
      <c r="V27" s="1764"/>
      <c r="W27" s="2762"/>
      <c r="X27" s="1759" t="str">
        <f t="shared" si="8"/>
        <v>平成15年度</v>
      </c>
      <c r="Y27" s="1982">
        <v>264249</v>
      </c>
      <c r="Z27" s="1982">
        <v>63316</v>
      </c>
      <c r="AA27" s="1982">
        <v>327565</v>
      </c>
      <c r="AB27" s="1982">
        <v>36762</v>
      </c>
      <c r="AC27" s="1757"/>
    </row>
    <row r="28" spans="1:29">
      <c r="A28" s="2762"/>
      <c r="B28" s="1760" t="s">
        <v>5217</v>
      </c>
      <c r="C28" s="1758">
        <f t="shared" si="0"/>
        <v>428307</v>
      </c>
      <c r="D28" s="1758">
        <f t="shared" si="1"/>
        <v>116771</v>
      </c>
      <c r="E28" s="1758">
        <f t="shared" si="2"/>
        <v>545078</v>
      </c>
      <c r="F28" s="1758">
        <f t="shared" si="3"/>
        <v>63034</v>
      </c>
      <c r="G28" s="2018">
        <f>ROUND(C28/C$48*G$48,0)</f>
        <v>32889</v>
      </c>
      <c r="H28" s="1757">
        <f>C28-G28</f>
        <v>395418</v>
      </c>
      <c r="I28" s="1751">
        <f>+VLOOKUP($B28,年度別調書!$A$4:$M$37,10,0)</f>
        <v>29085465357</v>
      </c>
      <c r="J28" s="1751">
        <f>+VLOOKUP($B28,年度別調書!$A$4:$M$37,13,0)</f>
        <v>101305165124</v>
      </c>
      <c r="K28" s="1757">
        <f t="shared" si="10"/>
        <v>113527</v>
      </c>
      <c r="L28" s="1757">
        <f t="shared" si="11"/>
        <v>281891</v>
      </c>
      <c r="M28" s="1763">
        <f>ROUND(C28/C$48*G$48,3)-ROUND(C28/C$48*G$48,0)</f>
        <v>-1.2000000002444722E-2</v>
      </c>
      <c r="N28" s="1947">
        <v>5</v>
      </c>
      <c r="O28" s="2762"/>
      <c r="P28" s="1759" t="str">
        <f t="shared" si="7"/>
        <v>平成16年度</v>
      </c>
      <c r="Q28" s="1981">
        <v>213040</v>
      </c>
      <c r="R28" s="1981">
        <v>59499</v>
      </c>
      <c r="S28" s="1981">
        <v>272539</v>
      </c>
      <c r="T28" s="1981">
        <v>31517</v>
      </c>
      <c r="U28" s="1757"/>
      <c r="V28" s="1764"/>
      <c r="W28" s="2762"/>
      <c r="X28" s="1759" t="str">
        <f t="shared" si="8"/>
        <v>平成16年度</v>
      </c>
      <c r="Y28" s="1982">
        <v>215267</v>
      </c>
      <c r="Z28" s="1982">
        <v>57272</v>
      </c>
      <c r="AA28" s="1982">
        <v>272539</v>
      </c>
      <c r="AB28" s="1982">
        <v>31517</v>
      </c>
      <c r="AC28" s="1757"/>
    </row>
    <row r="29" spans="1:29">
      <c r="A29" s="2762"/>
      <c r="B29" s="1760" t="s">
        <v>5218</v>
      </c>
      <c r="C29" s="1758">
        <f t="shared" si="0"/>
        <v>692738</v>
      </c>
      <c r="D29" s="1758">
        <f t="shared" si="1"/>
        <v>207344</v>
      </c>
      <c r="E29" s="1758">
        <f t="shared" si="2"/>
        <v>900082</v>
      </c>
      <c r="F29" s="1758">
        <f>+T29+AB29</f>
        <v>107840</v>
      </c>
      <c r="G29" s="2018">
        <f t="shared" si="4"/>
        <v>53194</v>
      </c>
      <c r="H29" s="1757">
        <f t="shared" si="5"/>
        <v>639544</v>
      </c>
      <c r="I29" s="1751">
        <f>+VLOOKUP($B29,年度別調書!$A$4:$M$37,10,0)</f>
        <v>25082997134</v>
      </c>
      <c r="J29" s="1751">
        <f>+VLOOKUP($B29,年度別調書!$A$4:$M$37,13,0)</f>
        <v>96528725584</v>
      </c>
      <c r="K29" s="1757">
        <f t="shared" si="10"/>
        <v>166186</v>
      </c>
      <c r="L29" s="1757">
        <f>H29-K29</f>
        <v>473358</v>
      </c>
      <c r="M29" s="1763">
        <f t="shared" si="9"/>
        <v>0.20900000000256114</v>
      </c>
      <c r="N29" s="1947">
        <v>5</v>
      </c>
      <c r="O29" s="2762"/>
      <c r="P29" s="1759" t="str">
        <f t="shared" si="7"/>
        <v>平成17年度</v>
      </c>
      <c r="Q29" s="1981">
        <v>344573</v>
      </c>
      <c r="R29" s="1981">
        <v>105468</v>
      </c>
      <c r="S29" s="1981">
        <v>450041</v>
      </c>
      <c r="T29" s="1981">
        <v>53920</v>
      </c>
      <c r="U29" s="1757"/>
      <c r="V29" s="1764"/>
      <c r="W29" s="2762"/>
      <c r="X29" s="1759" t="str">
        <f t="shared" si="8"/>
        <v>平成17年度</v>
      </c>
      <c r="Y29" s="1982">
        <v>348165</v>
      </c>
      <c r="Z29" s="1982">
        <v>101876</v>
      </c>
      <c r="AA29" s="1982">
        <v>450041</v>
      </c>
      <c r="AB29" s="1982">
        <v>53920</v>
      </c>
      <c r="AC29" s="1757"/>
    </row>
    <row r="30" spans="1:29">
      <c r="A30" s="2762"/>
      <c r="B30" s="1760" t="s">
        <v>5219</v>
      </c>
      <c r="C30" s="1758">
        <f t="shared" si="0"/>
        <v>182214</v>
      </c>
      <c r="D30" s="1758">
        <f t="shared" si="1"/>
        <v>60642</v>
      </c>
      <c r="E30" s="1758">
        <f t="shared" si="2"/>
        <v>242856</v>
      </c>
      <c r="F30" s="1758">
        <f t="shared" si="3"/>
        <v>27254</v>
      </c>
      <c r="G30" s="2018">
        <f>ROUND(C30/C$48*G$48,0)</f>
        <v>13992</v>
      </c>
      <c r="H30" s="1757">
        <f>C30-G30</f>
        <v>168222</v>
      </c>
      <c r="I30" s="1751">
        <f>+VLOOKUP($B30,年度別調書!$A$4:$M$37,10,0)</f>
        <v>21657707574</v>
      </c>
      <c r="J30" s="1751">
        <f>+VLOOKUP($B30,年度別調書!$A$4:$M$37,13,0)</f>
        <v>84768578867</v>
      </c>
      <c r="K30" s="1757">
        <f t="shared" si="10"/>
        <v>42979</v>
      </c>
      <c r="L30" s="1757">
        <f t="shared" si="11"/>
        <v>125243</v>
      </c>
      <c r="M30" s="1763">
        <f t="shared" si="9"/>
        <v>-8.6999999999534339E-2</v>
      </c>
      <c r="N30" s="1947">
        <v>5</v>
      </c>
      <c r="O30" s="2762"/>
      <c r="P30" s="1759" t="str">
        <f t="shared" si="7"/>
        <v>平成18年度</v>
      </c>
      <c r="Q30" s="1981">
        <v>90629</v>
      </c>
      <c r="R30" s="1981">
        <v>30799</v>
      </c>
      <c r="S30" s="1981">
        <v>121428</v>
      </c>
      <c r="T30" s="1981">
        <v>13627</v>
      </c>
      <c r="U30" s="1757"/>
      <c r="V30" s="1764"/>
      <c r="W30" s="2762"/>
      <c r="X30" s="1759" t="str">
        <f t="shared" si="8"/>
        <v>平成18年度</v>
      </c>
      <c r="Y30" s="1982">
        <v>91585</v>
      </c>
      <c r="Z30" s="1982">
        <v>29843</v>
      </c>
      <c r="AA30" s="1982">
        <v>121428</v>
      </c>
      <c r="AB30" s="1982">
        <v>13627</v>
      </c>
      <c r="AC30" s="1757"/>
    </row>
    <row r="31" spans="1:29">
      <c r="A31" s="2762"/>
      <c r="B31" s="1760" t="s">
        <v>5220</v>
      </c>
      <c r="C31" s="1758">
        <f t="shared" si="0"/>
        <v>0</v>
      </c>
      <c r="D31" s="1758">
        <f t="shared" si="1"/>
        <v>0</v>
      </c>
      <c r="E31" s="1758">
        <f t="shared" si="2"/>
        <v>0</v>
      </c>
      <c r="F31" s="1758">
        <f t="shared" si="3"/>
        <v>0</v>
      </c>
      <c r="G31" s="2018">
        <f t="shared" si="4"/>
        <v>0</v>
      </c>
      <c r="H31" s="1757">
        <f t="shared" si="5"/>
        <v>0</v>
      </c>
      <c r="I31" s="1751">
        <f>+VLOOKUP($B31,年度別調書!$A$4:$M$37,10,0)</f>
        <v>25422571996</v>
      </c>
      <c r="J31" s="1751">
        <f>+VLOOKUP($B31,年度別調書!$A$4:$M$37,13,0)</f>
        <v>105576318079</v>
      </c>
      <c r="K31" s="1757">
        <f t="shared" si="10"/>
        <v>0</v>
      </c>
      <c r="L31" s="1757">
        <f t="shared" si="11"/>
        <v>0</v>
      </c>
      <c r="M31" s="1763">
        <f t="shared" si="9"/>
        <v>0</v>
      </c>
      <c r="N31" s="1947">
        <v>5</v>
      </c>
      <c r="O31" s="2762"/>
      <c r="P31" s="1759" t="str">
        <f t="shared" si="7"/>
        <v>平成19年度</v>
      </c>
      <c r="Q31" s="1796">
        <v>0</v>
      </c>
      <c r="R31" s="1796">
        <v>0</v>
      </c>
      <c r="S31" s="1796">
        <v>0</v>
      </c>
      <c r="T31" s="2084">
        <v>0</v>
      </c>
      <c r="U31" s="1757"/>
      <c r="V31" s="1764"/>
      <c r="W31" s="2762"/>
      <c r="X31" s="1759" t="str">
        <f t="shared" si="8"/>
        <v>平成19年度</v>
      </c>
      <c r="Y31" s="1982">
        <v>0</v>
      </c>
      <c r="Z31" s="1982">
        <v>0</v>
      </c>
      <c r="AA31" s="1982">
        <v>0</v>
      </c>
      <c r="AB31" s="1982">
        <v>0</v>
      </c>
      <c r="AC31" s="1757"/>
    </row>
    <row r="32" spans="1:29">
      <c r="A32" s="2762"/>
      <c r="B32" s="1760" t="s">
        <v>5221</v>
      </c>
      <c r="C32" s="1758">
        <f t="shared" si="0"/>
        <v>0</v>
      </c>
      <c r="D32" s="1758">
        <f t="shared" si="1"/>
        <v>0</v>
      </c>
      <c r="E32" s="1758">
        <f t="shared" si="2"/>
        <v>0</v>
      </c>
      <c r="F32" s="1758">
        <f t="shared" si="3"/>
        <v>0</v>
      </c>
      <c r="G32" s="1757">
        <f t="shared" si="4"/>
        <v>0</v>
      </c>
      <c r="H32" s="1757">
        <f t="shared" si="5"/>
        <v>0</v>
      </c>
      <c r="I32" s="1751">
        <f>+VLOOKUP($B32,年度別調書!$A$4:$M$37,10,0)</f>
        <v>24693835462</v>
      </c>
      <c r="J32" s="1751">
        <f>+VLOOKUP($B32,年度別調書!$A$4:$M$37,13,0)</f>
        <v>110401232854</v>
      </c>
      <c r="K32" s="1757">
        <f t="shared" si="10"/>
        <v>0</v>
      </c>
      <c r="L32" s="1757">
        <f t="shared" si="11"/>
        <v>0</v>
      </c>
      <c r="M32" s="1763">
        <f t="shared" si="9"/>
        <v>0</v>
      </c>
      <c r="N32" s="1947">
        <v>5</v>
      </c>
      <c r="O32" s="2762"/>
      <c r="P32" s="1759" t="str">
        <f t="shared" si="7"/>
        <v>平成20年度</v>
      </c>
      <c r="Q32" s="1796">
        <v>0</v>
      </c>
      <c r="R32" s="1796">
        <v>0</v>
      </c>
      <c r="S32" s="1796">
        <v>0</v>
      </c>
      <c r="T32" s="2084">
        <v>0</v>
      </c>
      <c r="U32" s="1757"/>
      <c r="V32" s="1764"/>
      <c r="W32" s="2762"/>
      <c r="X32" s="1759" t="str">
        <f t="shared" si="8"/>
        <v>平成20年度</v>
      </c>
      <c r="Y32" s="1982">
        <v>0</v>
      </c>
      <c r="Z32" s="1982">
        <v>0</v>
      </c>
      <c r="AA32" s="1982">
        <v>0</v>
      </c>
      <c r="AB32" s="1982">
        <v>0</v>
      </c>
      <c r="AC32" s="1757"/>
    </row>
    <row r="33" spans="1:29">
      <c r="A33" s="2762"/>
      <c r="B33" s="1760" t="s">
        <v>5222</v>
      </c>
      <c r="C33" s="1758">
        <f t="shared" si="0"/>
        <v>0</v>
      </c>
      <c r="D33" s="1758">
        <f t="shared" si="1"/>
        <v>0</v>
      </c>
      <c r="E33" s="1758">
        <f t="shared" si="2"/>
        <v>0</v>
      </c>
      <c r="F33" s="1758">
        <f t="shared" si="3"/>
        <v>0</v>
      </c>
      <c r="G33" s="1757">
        <f t="shared" si="4"/>
        <v>0</v>
      </c>
      <c r="H33" s="1757">
        <f t="shared" si="5"/>
        <v>0</v>
      </c>
      <c r="I33" s="1751">
        <f>+VLOOKUP($B33,年度別調書!$A$4:$M$37,10,0)</f>
        <v>22324372880</v>
      </c>
      <c r="J33" s="1751">
        <f>+VLOOKUP($B33,年度別調書!$A$4:$M$37,13,0)</f>
        <v>88097108350</v>
      </c>
      <c r="K33" s="1757">
        <f t="shared" si="10"/>
        <v>0</v>
      </c>
      <c r="L33" s="1757">
        <f t="shared" si="11"/>
        <v>0</v>
      </c>
      <c r="M33" s="1763">
        <f t="shared" si="9"/>
        <v>0</v>
      </c>
      <c r="N33" s="1947">
        <v>5</v>
      </c>
      <c r="O33" s="2762"/>
      <c r="P33" s="1759" t="str">
        <f t="shared" si="7"/>
        <v>平成21年度</v>
      </c>
      <c r="Q33" s="1796">
        <v>0</v>
      </c>
      <c r="R33" s="1796">
        <v>0</v>
      </c>
      <c r="S33" s="1796">
        <v>0</v>
      </c>
      <c r="T33" s="2084">
        <v>0</v>
      </c>
      <c r="U33" s="1757"/>
      <c r="V33" s="1764"/>
      <c r="W33" s="2762"/>
      <c r="X33" s="1759" t="str">
        <f t="shared" si="8"/>
        <v>平成21年度</v>
      </c>
      <c r="Y33" s="1796">
        <v>0</v>
      </c>
      <c r="Z33" s="1796">
        <v>0</v>
      </c>
      <c r="AA33" s="1796">
        <v>0</v>
      </c>
      <c r="AB33" s="1796">
        <v>0</v>
      </c>
      <c r="AC33" s="1757"/>
    </row>
    <row r="34" spans="1:29">
      <c r="A34" s="2762"/>
      <c r="B34" s="1760" t="s">
        <v>5223</v>
      </c>
      <c r="C34" s="1758">
        <f t="shared" si="0"/>
        <v>0</v>
      </c>
      <c r="D34" s="1758">
        <f t="shared" si="1"/>
        <v>0</v>
      </c>
      <c r="E34" s="1758">
        <f t="shared" si="2"/>
        <v>0</v>
      </c>
      <c r="F34" s="1758">
        <f t="shared" si="3"/>
        <v>0</v>
      </c>
      <c r="G34" s="1757">
        <f t="shared" si="4"/>
        <v>0</v>
      </c>
      <c r="H34" s="1757">
        <f t="shared" si="5"/>
        <v>0</v>
      </c>
      <c r="I34" s="1751">
        <f>+VLOOKUP($B34,年度別調書!$A$4:$M$37,10,0)</f>
        <v>26326163485</v>
      </c>
      <c r="J34" s="1751">
        <f>+VLOOKUP($B34,年度別調書!$A$4:$M$37,13,0)</f>
        <v>102723057143</v>
      </c>
      <c r="K34" s="1757">
        <f t="shared" si="10"/>
        <v>0</v>
      </c>
      <c r="L34" s="1757">
        <f t="shared" si="11"/>
        <v>0</v>
      </c>
      <c r="M34" s="1763">
        <f t="shared" si="9"/>
        <v>0</v>
      </c>
      <c r="N34" s="1947">
        <v>5</v>
      </c>
      <c r="O34" s="2762"/>
      <c r="P34" s="1759" t="str">
        <f t="shared" si="7"/>
        <v>平成22年度</v>
      </c>
      <c r="Q34" s="1796">
        <v>0</v>
      </c>
      <c r="R34" s="1796">
        <v>0</v>
      </c>
      <c r="S34" s="1796">
        <v>0</v>
      </c>
      <c r="T34" s="2084">
        <v>0</v>
      </c>
      <c r="U34" s="1757"/>
      <c r="V34" s="1764"/>
      <c r="W34" s="2762"/>
      <c r="X34" s="1759" t="str">
        <f t="shared" si="8"/>
        <v>平成22年度</v>
      </c>
      <c r="Y34" s="1796">
        <v>0</v>
      </c>
      <c r="Z34" s="1796">
        <v>0</v>
      </c>
      <c r="AA34" s="1796">
        <v>0</v>
      </c>
      <c r="AB34" s="1796">
        <v>0</v>
      </c>
      <c r="AC34" s="1757"/>
    </row>
    <row r="35" spans="1:29">
      <c r="A35" s="2762"/>
      <c r="B35" s="1760" t="s">
        <v>5224</v>
      </c>
      <c r="C35" s="1758">
        <f t="shared" si="0"/>
        <v>0</v>
      </c>
      <c r="D35" s="1758">
        <f t="shared" si="1"/>
        <v>0</v>
      </c>
      <c r="E35" s="1758">
        <f t="shared" si="2"/>
        <v>0</v>
      </c>
      <c r="F35" s="1758">
        <f t="shared" si="3"/>
        <v>0</v>
      </c>
      <c r="G35" s="1757">
        <f t="shared" si="4"/>
        <v>0</v>
      </c>
      <c r="H35" s="1757">
        <f t="shared" si="5"/>
        <v>0</v>
      </c>
      <c r="I35" s="1751">
        <f>+VLOOKUP($B35,年度別調書!$A$4:$M$37,10,0)</f>
        <v>26883440277</v>
      </c>
      <c r="J35" s="1751">
        <f>+VLOOKUP($B35,年度別調書!$A$4:$M$37,13,0)</f>
        <v>99758377045</v>
      </c>
      <c r="K35" s="1757">
        <f t="shared" si="10"/>
        <v>0</v>
      </c>
      <c r="L35" s="1757">
        <f t="shared" si="11"/>
        <v>0</v>
      </c>
      <c r="M35" s="1763">
        <f t="shared" si="9"/>
        <v>0</v>
      </c>
      <c r="N35" s="1947">
        <v>5</v>
      </c>
      <c r="O35" s="2762"/>
      <c r="P35" s="1759" t="str">
        <f t="shared" si="7"/>
        <v>平成23年度</v>
      </c>
      <c r="Q35" s="1796">
        <v>0</v>
      </c>
      <c r="R35" s="1796">
        <v>0</v>
      </c>
      <c r="S35" s="1796">
        <v>0</v>
      </c>
      <c r="T35" s="2084">
        <v>0</v>
      </c>
      <c r="U35" s="1757"/>
      <c r="V35" s="1764"/>
      <c r="W35" s="2762"/>
      <c r="X35" s="1759" t="str">
        <f t="shared" si="8"/>
        <v>平成23年度</v>
      </c>
      <c r="Y35" s="1796">
        <v>0</v>
      </c>
      <c r="Z35" s="1796">
        <v>0</v>
      </c>
      <c r="AA35" s="1796">
        <v>0</v>
      </c>
      <c r="AB35" s="1796">
        <v>0</v>
      </c>
      <c r="AC35" s="1757"/>
    </row>
    <row r="36" spans="1:29">
      <c r="A36" s="2762"/>
      <c r="B36" s="1760" t="s">
        <v>5225</v>
      </c>
      <c r="C36" s="1758">
        <f t="shared" si="0"/>
        <v>0</v>
      </c>
      <c r="D36" s="1758">
        <f t="shared" si="1"/>
        <v>0</v>
      </c>
      <c r="E36" s="1758">
        <f t="shared" si="2"/>
        <v>0</v>
      </c>
      <c r="F36" s="1758">
        <f t="shared" si="3"/>
        <v>0</v>
      </c>
      <c r="G36" s="1757">
        <f t="shared" si="4"/>
        <v>0</v>
      </c>
      <c r="H36" s="1757">
        <f t="shared" si="5"/>
        <v>0</v>
      </c>
      <c r="I36" s="1751">
        <f>+VLOOKUP($B36,年度別調書!$A$4:$M$37,10,0)</f>
        <v>20821234544</v>
      </c>
      <c r="J36" s="1751">
        <f>+VLOOKUP($B36,年度別調書!$A$4:$M$37,13,0)</f>
        <v>101115908424</v>
      </c>
      <c r="K36" s="1757">
        <f t="shared" si="10"/>
        <v>0</v>
      </c>
      <c r="L36" s="1757">
        <f t="shared" si="11"/>
        <v>0</v>
      </c>
      <c r="M36" s="1763">
        <f t="shared" si="9"/>
        <v>0</v>
      </c>
      <c r="N36" s="1947">
        <v>5</v>
      </c>
      <c r="O36" s="2762"/>
      <c r="P36" s="1759" t="str">
        <f t="shared" si="7"/>
        <v>平成24年度</v>
      </c>
      <c r="Q36" s="1796">
        <v>0</v>
      </c>
      <c r="R36" s="1796">
        <v>0</v>
      </c>
      <c r="S36" s="1796">
        <v>0</v>
      </c>
      <c r="T36" s="2084">
        <v>0</v>
      </c>
      <c r="U36" s="1757"/>
      <c r="V36" s="1764"/>
      <c r="W36" s="2762"/>
      <c r="X36" s="1759" t="str">
        <f t="shared" si="8"/>
        <v>平成24年度</v>
      </c>
      <c r="Y36" s="1796">
        <v>0</v>
      </c>
      <c r="Z36" s="1796">
        <v>0</v>
      </c>
      <c r="AA36" s="1796">
        <v>0</v>
      </c>
      <c r="AB36" s="1796">
        <v>0</v>
      </c>
      <c r="AC36" s="1757"/>
    </row>
    <row r="37" spans="1:29">
      <c r="A37" s="2762"/>
      <c r="B37" s="1760" t="s">
        <v>5226</v>
      </c>
      <c r="C37" s="1758">
        <f t="shared" si="0"/>
        <v>0</v>
      </c>
      <c r="D37" s="1758">
        <f t="shared" si="1"/>
        <v>0</v>
      </c>
      <c r="E37" s="1758">
        <f t="shared" si="2"/>
        <v>0</v>
      </c>
      <c r="F37" s="1758">
        <f t="shared" si="3"/>
        <v>0</v>
      </c>
      <c r="G37" s="1757">
        <f t="shared" si="4"/>
        <v>0</v>
      </c>
      <c r="H37" s="1757">
        <f t="shared" si="5"/>
        <v>0</v>
      </c>
      <c r="I37" s="1751">
        <f>+VLOOKUP($B37,年度別調書!$A$4:$M$37,10,0)</f>
        <v>22169870622</v>
      </c>
      <c r="J37" s="1751">
        <f>+VLOOKUP($B37,年度別調書!$A$4:$M$37,13,0)</f>
        <v>87897420767</v>
      </c>
      <c r="K37" s="1757">
        <f t="shared" si="10"/>
        <v>0</v>
      </c>
      <c r="L37" s="1757">
        <f t="shared" si="11"/>
        <v>0</v>
      </c>
      <c r="M37" s="1763">
        <f t="shared" si="9"/>
        <v>0</v>
      </c>
      <c r="N37" s="1947">
        <v>5</v>
      </c>
      <c r="O37" s="2762"/>
      <c r="P37" s="1759" t="str">
        <f t="shared" si="7"/>
        <v>平成25年度</v>
      </c>
      <c r="Q37" s="1796">
        <v>0</v>
      </c>
      <c r="R37" s="1796">
        <v>0</v>
      </c>
      <c r="S37" s="1796">
        <v>0</v>
      </c>
      <c r="T37" s="2084">
        <v>0</v>
      </c>
      <c r="U37" s="1757"/>
      <c r="V37" s="1764"/>
      <c r="W37" s="2762"/>
      <c r="X37" s="1759" t="str">
        <f t="shared" si="8"/>
        <v>平成25年度</v>
      </c>
      <c r="Y37" s="1796">
        <v>0</v>
      </c>
      <c r="Z37" s="1796">
        <v>0</v>
      </c>
      <c r="AA37" s="1796">
        <v>0</v>
      </c>
      <c r="AB37" s="1796">
        <v>0</v>
      </c>
      <c r="AC37" s="1757"/>
    </row>
    <row r="38" spans="1:29">
      <c r="A38" s="2762"/>
      <c r="B38" s="1760" t="s">
        <v>5227</v>
      </c>
      <c r="C38" s="1758">
        <f t="shared" si="0"/>
        <v>0</v>
      </c>
      <c r="D38" s="1758">
        <f t="shared" si="1"/>
        <v>0</v>
      </c>
      <c r="E38" s="1758">
        <f t="shared" si="2"/>
        <v>0</v>
      </c>
      <c r="F38" s="1758">
        <f t="shared" si="3"/>
        <v>0</v>
      </c>
      <c r="G38" s="1757">
        <f t="shared" si="4"/>
        <v>0</v>
      </c>
      <c r="H38" s="1757">
        <f t="shared" si="5"/>
        <v>0</v>
      </c>
      <c r="I38" s="1751">
        <f>+VLOOKUP($B38,年度別調書!$A$4:$M$37,10,0)</f>
        <v>20924492616</v>
      </c>
      <c r="J38" s="1751">
        <f>+VLOOKUP($B38,年度別調書!$A$4:$M$37,13,0)</f>
        <v>99556890040</v>
      </c>
      <c r="K38" s="1757">
        <f t="shared" si="10"/>
        <v>0</v>
      </c>
      <c r="L38" s="1757">
        <f t="shared" si="11"/>
        <v>0</v>
      </c>
      <c r="M38" s="1763">
        <f t="shared" si="9"/>
        <v>0</v>
      </c>
      <c r="N38" s="1947">
        <v>8</v>
      </c>
      <c r="O38" s="2762"/>
      <c r="P38" s="1759" t="str">
        <f t="shared" si="7"/>
        <v>平成26年度</v>
      </c>
      <c r="Q38" s="1796">
        <v>0</v>
      </c>
      <c r="R38" s="1796">
        <v>0</v>
      </c>
      <c r="S38" s="1796">
        <v>0</v>
      </c>
      <c r="T38" s="2084">
        <v>0</v>
      </c>
      <c r="U38" s="1757"/>
      <c r="V38" s="1764"/>
      <c r="W38" s="2762"/>
      <c r="X38" s="1759" t="str">
        <f t="shared" si="8"/>
        <v>平成26年度</v>
      </c>
      <c r="Y38" s="1796">
        <v>0</v>
      </c>
      <c r="Z38" s="1796">
        <v>0</v>
      </c>
      <c r="AA38" s="1796">
        <v>0</v>
      </c>
      <c r="AB38" s="1796">
        <v>0</v>
      </c>
      <c r="AC38" s="1757"/>
    </row>
    <row r="39" spans="1:29">
      <c r="A39" s="2762"/>
      <c r="B39" s="1760" t="s">
        <v>5228</v>
      </c>
      <c r="C39" s="1758">
        <f t="shared" si="0"/>
        <v>0</v>
      </c>
      <c r="D39" s="1758">
        <f t="shared" si="1"/>
        <v>0</v>
      </c>
      <c r="E39" s="1758">
        <f t="shared" si="2"/>
        <v>0</v>
      </c>
      <c r="F39" s="1758">
        <f t="shared" si="3"/>
        <v>0</v>
      </c>
      <c r="G39" s="1757">
        <f t="shared" si="4"/>
        <v>0</v>
      </c>
      <c r="H39" s="1757">
        <f t="shared" si="5"/>
        <v>0</v>
      </c>
      <c r="I39" s="1751">
        <f>+VLOOKUP($B39,年度別調書!$A$4:$M$37,10,0)</f>
        <v>21176145645</v>
      </c>
      <c r="J39" s="1751">
        <f>+VLOOKUP($B39,年度別調書!$A$4:$M$37,13,0)</f>
        <v>104805589178</v>
      </c>
      <c r="K39" s="1757">
        <f t="shared" si="10"/>
        <v>0</v>
      </c>
      <c r="L39" s="1757">
        <f t="shared" si="11"/>
        <v>0</v>
      </c>
      <c r="M39" s="1763">
        <f t="shared" si="9"/>
        <v>0</v>
      </c>
      <c r="N39" s="1947">
        <v>8</v>
      </c>
      <c r="O39" s="2762"/>
      <c r="P39" s="1759" t="str">
        <f t="shared" si="7"/>
        <v>平成27年度</v>
      </c>
      <c r="Q39" s="1796">
        <v>0</v>
      </c>
      <c r="R39" s="1796">
        <v>0</v>
      </c>
      <c r="S39" s="1796">
        <v>0</v>
      </c>
      <c r="T39" s="2084">
        <v>0</v>
      </c>
      <c r="U39" s="1757"/>
      <c r="V39" s="1764"/>
      <c r="W39" s="2762"/>
      <c r="X39" s="1759" t="str">
        <f t="shared" si="8"/>
        <v>平成27年度</v>
      </c>
      <c r="Y39" s="1796">
        <v>0</v>
      </c>
      <c r="Z39" s="1796">
        <v>0</v>
      </c>
      <c r="AA39" s="1796">
        <v>0</v>
      </c>
      <c r="AB39" s="1796">
        <v>0</v>
      </c>
      <c r="AC39" s="1757"/>
    </row>
    <row r="40" spans="1:29">
      <c r="A40" s="2762"/>
      <c r="B40" s="1760" t="s">
        <v>5229</v>
      </c>
      <c r="C40" s="1758">
        <f>+Q40+Y40</f>
        <v>11144</v>
      </c>
      <c r="D40" s="1758">
        <f t="shared" si="1"/>
        <v>1463</v>
      </c>
      <c r="E40" s="1758">
        <f t="shared" si="2"/>
        <v>12607</v>
      </c>
      <c r="F40" s="1758">
        <f t="shared" si="3"/>
        <v>1414</v>
      </c>
      <c r="G40" s="1757">
        <f>ROUND(C40/C$48*G$48,0)</f>
        <v>856</v>
      </c>
      <c r="H40" s="1757">
        <f>C40-G40</f>
        <v>10288</v>
      </c>
      <c r="I40" s="1751">
        <f>+VLOOKUP($B40,年度別調書!$A$4:$M$37,10,0)</f>
        <v>23487276785</v>
      </c>
      <c r="J40" s="1751">
        <f>+VLOOKUP($B40,年度別調書!$A$4:$M$37,13,0)</f>
        <v>105396818589</v>
      </c>
      <c r="K40" s="1757">
        <f>IFERROR(ROUND(H40*I40/J40,0),0)</f>
        <v>2293</v>
      </c>
      <c r="L40" s="1757">
        <f t="shared" si="11"/>
        <v>7995</v>
      </c>
      <c r="M40" s="1763">
        <f t="shared" si="9"/>
        <v>-0.27099999999995816</v>
      </c>
      <c r="N40" s="1947">
        <v>8</v>
      </c>
      <c r="O40" s="2762"/>
      <c r="P40" s="1759" t="str">
        <f t="shared" si="7"/>
        <v>平成28年度</v>
      </c>
      <c r="Q40" s="1796">
        <v>5565</v>
      </c>
      <c r="R40" s="1796">
        <v>739</v>
      </c>
      <c r="S40" s="1796">
        <v>6304</v>
      </c>
      <c r="T40" s="1796">
        <v>707</v>
      </c>
      <c r="U40" s="1757"/>
      <c r="V40" s="1764"/>
      <c r="W40" s="2762"/>
      <c r="X40" s="1759" t="str">
        <f t="shared" si="8"/>
        <v>平成28年度</v>
      </c>
      <c r="Y40" s="1796">
        <v>5579</v>
      </c>
      <c r="Z40" s="1796">
        <v>724</v>
      </c>
      <c r="AA40" s="1796">
        <v>6303</v>
      </c>
      <c r="AB40" s="1796">
        <v>707</v>
      </c>
      <c r="AC40" s="1757"/>
    </row>
    <row r="41" spans="1:29">
      <c r="A41" s="2762"/>
      <c r="B41" s="1760" t="s">
        <v>5230</v>
      </c>
      <c r="C41" s="1758">
        <f>+Q41+Y41</f>
        <v>1553</v>
      </c>
      <c r="D41" s="1758">
        <f t="shared" si="1"/>
        <v>1114</v>
      </c>
      <c r="E41" s="1758">
        <f t="shared" si="2"/>
        <v>2667</v>
      </c>
      <c r="F41" s="1758">
        <f t="shared" si="3"/>
        <v>300</v>
      </c>
      <c r="G41" s="1757">
        <f t="shared" si="4"/>
        <v>119</v>
      </c>
      <c r="H41" s="1757">
        <f t="shared" si="5"/>
        <v>1434</v>
      </c>
      <c r="I41" s="1751">
        <f>+VLOOKUP($B41,年度別調書!$A$4:$M$37,10,0)</f>
        <v>19481573724</v>
      </c>
      <c r="J41" s="1751">
        <f>+VLOOKUP($B41,年度別調書!$A$4:$M$37,13,0)</f>
        <v>99607043975</v>
      </c>
      <c r="K41" s="1757">
        <f t="shared" si="10"/>
        <v>280</v>
      </c>
      <c r="L41" s="1757">
        <f t="shared" si="11"/>
        <v>1154</v>
      </c>
      <c r="M41" s="1763">
        <f t="shared" si="9"/>
        <v>0.25199999999999534</v>
      </c>
      <c r="N41" s="1947">
        <v>8</v>
      </c>
      <c r="O41" s="2762"/>
      <c r="P41" s="1759" t="str">
        <f t="shared" si="7"/>
        <v>平成29年度</v>
      </c>
      <c r="Q41" s="1796">
        <v>775</v>
      </c>
      <c r="R41" s="1796">
        <v>559</v>
      </c>
      <c r="S41" s="1796">
        <v>1334</v>
      </c>
      <c r="T41" s="1796">
        <v>150</v>
      </c>
      <c r="U41" s="1757"/>
      <c r="V41" s="1764"/>
      <c r="W41" s="2762"/>
      <c r="X41" s="1759" t="str">
        <f t="shared" si="8"/>
        <v>平成29年度</v>
      </c>
      <c r="Y41" s="1796">
        <v>778</v>
      </c>
      <c r="Z41" s="1796">
        <v>555</v>
      </c>
      <c r="AA41" s="1796">
        <v>1333</v>
      </c>
      <c r="AB41" s="1796">
        <v>150</v>
      </c>
      <c r="AC41" s="1757"/>
    </row>
    <row r="42" spans="1:29">
      <c r="A42" s="2762"/>
      <c r="B42" s="1760" t="s">
        <v>5231</v>
      </c>
      <c r="C42" s="1758">
        <f t="shared" si="0"/>
        <v>0</v>
      </c>
      <c r="D42" s="1758">
        <f t="shared" si="1"/>
        <v>0</v>
      </c>
      <c r="E42" s="1758">
        <f t="shared" si="2"/>
        <v>0</v>
      </c>
      <c r="F42" s="1758">
        <f t="shared" si="3"/>
        <v>0</v>
      </c>
      <c r="G42" s="1757">
        <f t="shared" si="4"/>
        <v>0</v>
      </c>
      <c r="H42" s="1757">
        <f t="shared" si="5"/>
        <v>0</v>
      </c>
      <c r="I42" s="1751">
        <f>+VLOOKUP($B42,年度別調書!$A$4:$M$37,10,0)</f>
        <v>19871916207</v>
      </c>
      <c r="J42" s="1751">
        <f>+VLOOKUP($B42,年度別調書!$A$4:$M$37,13,0)</f>
        <v>98551757388</v>
      </c>
      <c r="K42" s="1757">
        <f t="shared" si="10"/>
        <v>0</v>
      </c>
      <c r="L42" s="1757">
        <f t="shared" si="11"/>
        <v>0</v>
      </c>
      <c r="M42" s="1763">
        <f t="shared" si="9"/>
        <v>0</v>
      </c>
      <c r="N42" s="1947">
        <v>8</v>
      </c>
      <c r="O42" s="2762"/>
      <c r="P42" s="1759" t="str">
        <f t="shared" si="7"/>
        <v>平成30年度</v>
      </c>
      <c r="Q42" s="1796">
        <v>0</v>
      </c>
      <c r="R42" s="1796">
        <v>0</v>
      </c>
      <c r="S42" s="1796">
        <v>0</v>
      </c>
      <c r="T42" s="1796">
        <v>0</v>
      </c>
      <c r="U42" s="1757"/>
      <c r="V42" s="1764"/>
      <c r="W42" s="2762"/>
      <c r="X42" s="1759" t="str">
        <f t="shared" si="8"/>
        <v>平成30年度</v>
      </c>
      <c r="Y42" s="1796">
        <v>0</v>
      </c>
      <c r="Z42" s="1796">
        <v>0</v>
      </c>
      <c r="AA42" s="1796">
        <v>0</v>
      </c>
      <c r="AB42" s="1796">
        <v>0</v>
      </c>
      <c r="AC42" s="1757"/>
    </row>
    <row r="43" spans="1:29">
      <c r="A43" s="2762"/>
      <c r="B43" s="2751" t="s">
        <v>5276</v>
      </c>
      <c r="C43" s="1758">
        <f>+Q43</f>
        <v>0</v>
      </c>
      <c r="D43" s="1758">
        <f>+R43</f>
        <v>0</v>
      </c>
      <c r="E43" s="1758">
        <f>+S43</f>
        <v>0</v>
      </c>
      <c r="F43" s="1758">
        <f>+T43</f>
        <v>0</v>
      </c>
      <c r="G43" s="1757">
        <f>ROUND(C43/C$48*G$48,0)</f>
        <v>0</v>
      </c>
      <c r="H43" s="1757">
        <f>C43-G43</f>
        <v>0</v>
      </c>
      <c r="I43" s="1751">
        <f>+VLOOKUP($B43,年度別調書!$A$4:$M$37,10,0)</f>
        <v>21889958229</v>
      </c>
      <c r="J43" s="1751">
        <f>+VLOOKUP($B43,年度別調書!$A$4:$M$37,13,0)</f>
        <v>101214576030</v>
      </c>
      <c r="K43" s="1757">
        <f>IFERROR(ROUND(H43*I43/J43,0),0)</f>
        <v>0</v>
      </c>
      <c r="L43" s="1757">
        <f t="shared" si="11"/>
        <v>0</v>
      </c>
      <c r="M43" s="1763">
        <f t="shared" si="9"/>
        <v>0</v>
      </c>
      <c r="N43" s="1947">
        <v>8</v>
      </c>
      <c r="O43" s="2762"/>
      <c r="P43" s="2767" t="str">
        <f t="shared" si="7"/>
        <v>令和元年度</v>
      </c>
      <c r="Q43" s="2769">
        <v>0</v>
      </c>
      <c r="R43" s="2769">
        <v>0</v>
      </c>
      <c r="S43" s="2769">
        <v>0</v>
      </c>
      <c r="T43" s="2769">
        <v>0</v>
      </c>
      <c r="U43" s="2771"/>
      <c r="V43" s="1764"/>
      <c r="W43" s="2762"/>
      <c r="X43" s="2767" t="str">
        <f t="shared" si="8"/>
        <v>令和元年度</v>
      </c>
      <c r="Y43" s="2769">
        <v>0</v>
      </c>
      <c r="Z43" s="2769">
        <v>0</v>
      </c>
      <c r="AA43" s="2769">
        <v>0</v>
      </c>
      <c r="AB43" s="2769">
        <v>0</v>
      </c>
      <c r="AC43" s="2771"/>
    </row>
    <row r="44" spans="1:29">
      <c r="A44" s="2762"/>
      <c r="B44" s="2752"/>
      <c r="C44" s="1758">
        <f>+Y43</f>
        <v>0</v>
      </c>
      <c r="D44" s="1758">
        <f>+Z43</f>
        <v>0</v>
      </c>
      <c r="E44" s="1758">
        <f>+AA43</f>
        <v>0</v>
      </c>
      <c r="F44" s="1758">
        <f>+AB43</f>
        <v>0</v>
      </c>
      <c r="G44" s="1757">
        <f>ROUND(C44/C$48*G$48,0)</f>
        <v>0</v>
      </c>
      <c r="H44" s="1757">
        <f>C44-G44</f>
        <v>0</v>
      </c>
      <c r="I44" s="1751">
        <f>+VLOOKUP($B43,年度別調書!$A$4:$M$37,10,0)</f>
        <v>21889958229</v>
      </c>
      <c r="J44" s="1751">
        <f>+VLOOKUP($B43,年度別調書!$A$4:$M$37,13,0)</f>
        <v>101214576030</v>
      </c>
      <c r="K44" s="1757">
        <f>IFERROR(ROUND(H44*I44/J44,0),0)</f>
        <v>0</v>
      </c>
      <c r="L44" s="1757">
        <f t="shared" ref="L44" si="12">H44-K44</f>
        <v>0</v>
      </c>
      <c r="M44" s="1763">
        <f t="shared" ref="M44" si="13">ROUND(C44/C$48*G$48,3)-ROUND(C44/C$48*G$48,0)</f>
        <v>0</v>
      </c>
      <c r="N44" s="1947">
        <v>10</v>
      </c>
      <c r="O44" s="2762"/>
      <c r="P44" s="2768"/>
      <c r="Q44" s="2770"/>
      <c r="R44" s="2770"/>
      <c r="S44" s="2770"/>
      <c r="T44" s="2770"/>
      <c r="U44" s="2772"/>
      <c r="V44" s="1764"/>
      <c r="W44" s="2762"/>
      <c r="X44" s="2768"/>
      <c r="Y44" s="2770"/>
      <c r="Z44" s="2770"/>
      <c r="AA44" s="2770"/>
      <c r="AB44" s="2770"/>
      <c r="AC44" s="2772"/>
    </row>
    <row r="45" spans="1:29">
      <c r="A45" s="2762"/>
      <c r="B45" s="1760" t="s">
        <v>5271</v>
      </c>
      <c r="C45" s="1758">
        <f t="shared" si="0"/>
        <v>0</v>
      </c>
      <c r="D45" s="1758">
        <f t="shared" si="1"/>
        <v>1980</v>
      </c>
      <c r="E45" s="1758">
        <f t="shared" si="2"/>
        <v>1980</v>
      </c>
      <c r="F45" s="1758">
        <f t="shared" si="3"/>
        <v>222</v>
      </c>
      <c r="G45" s="1757">
        <f t="shared" si="4"/>
        <v>0</v>
      </c>
      <c r="H45" s="1757">
        <f t="shared" si="5"/>
        <v>0</v>
      </c>
      <c r="I45" s="1751">
        <f>+VLOOKUP($B45,年度別調書!$A$4:$M$37,10,0)</f>
        <v>25568719436</v>
      </c>
      <c r="J45" s="1751">
        <f>+VLOOKUP($B45,年度別調書!$A$4:$M$37,13,0)</f>
        <v>105092548853</v>
      </c>
      <c r="K45" s="1757">
        <f t="shared" si="10"/>
        <v>0</v>
      </c>
      <c r="L45" s="1757">
        <f t="shared" si="11"/>
        <v>0</v>
      </c>
      <c r="M45" s="1763">
        <f t="shared" si="9"/>
        <v>0</v>
      </c>
      <c r="N45" s="1947">
        <v>10</v>
      </c>
      <c r="O45" s="2762"/>
      <c r="P45" s="1759" t="str">
        <f t="shared" si="7"/>
        <v>令和2年度</v>
      </c>
      <c r="Q45" s="1796">
        <v>0</v>
      </c>
      <c r="R45" s="1796">
        <v>990</v>
      </c>
      <c r="S45" s="1796">
        <v>990</v>
      </c>
      <c r="T45" s="1796">
        <v>111</v>
      </c>
      <c r="U45" s="1757"/>
      <c r="V45" s="1764"/>
      <c r="W45" s="2762"/>
      <c r="X45" s="1759" t="str">
        <f t="shared" si="8"/>
        <v>令和2年度</v>
      </c>
      <c r="Y45" s="1796">
        <v>0</v>
      </c>
      <c r="Z45" s="1796">
        <v>990</v>
      </c>
      <c r="AA45" s="1796">
        <v>990</v>
      </c>
      <c r="AB45" s="1796">
        <v>111</v>
      </c>
      <c r="AC45" s="1757"/>
    </row>
    <row r="46" spans="1:29">
      <c r="A46" s="2762"/>
      <c r="B46" s="1760" t="s">
        <v>5272</v>
      </c>
      <c r="C46" s="1758">
        <f t="shared" si="0"/>
        <v>0</v>
      </c>
      <c r="D46" s="1758">
        <f t="shared" si="1"/>
        <v>0</v>
      </c>
      <c r="E46" s="1758">
        <f t="shared" si="2"/>
        <v>0</v>
      </c>
      <c r="F46" s="1758">
        <f t="shared" si="3"/>
        <v>0</v>
      </c>
      <c r="G46" s="1757">
        <f t="shared" si="4"/>
        <v>0</v>
      </c>
      <c r="H46" s="1757">
        <f t="shared" si="5"/>
        <v>0</v>
      </c>
      <c r="I46" s="1751">
        <f>+VLOOKUP($B46,年度別調書!$A$4:$M$37,10,0)</f>
        <v>25732995336</v>
      </c>
      <c r="J46" s="1751">
        <f>+VLOOKUP($B46,年度別調書!$A$4:$M$37,13,0)</f>
        <v>106246537477</v>
      </c>
      <c r="K46" s="1757">
        <f t="shared" si="10"/>
        <v>0</v>
      </c>
      <c r="L46" s="1757">
        <f t="shared" si="11"/>
        <v>0</v>
      </c>
      <c r="M46" s="1763">
        <f t="shared" si="9"/>
        <v>0</v>
      </c>
      <c r="N46" s="1947">
        <v>10</v>
      </c>
      <c r="O46" s="2762"/>
      <c r="P46" s="1759" t="str">
        <f t="shared" si="7"/>
        <v>令和3年度</v>
      </c>
      <c r="Q46" s="1796">
        <v>0</v>
      </c>
      <c r="R46" s="1796">
        <v>0</v>
      </c>
      <c r="S46" s="1796">
        <v>0</v>
      </c>
      <c r="T46" s="1796">
        <v>0</v>
      </c>
      <c r="U46" s="1757"/>
      <c r="V46" s="1764"/>
      <c r="W46" s="2762"/>
      <c r="X46" s="1759" t="str">
        <f t="shared" si="8"/>
        <v>令和3年度</v>
      </c>
      <c r="Y46" s="1796">
        <v>0</v>
      </c>
      <c r="Z46" s="1796">
        <v>0</v>
      </c>
      <c r="AA46" s="1796">
        <v>0</v>
      </c>
      <c r="AB46" s="1796">
        <v>0</v>
      </c>
      <c r="AC46" s="1757"/>
    </row>
    <row r="47" spans="1:29">
      <c r="A47" s="2762"/>
      <c r="B47" s="1760" t="s">
        <v>5273</v>
      </c>
      <c r="C47" s="1758">
        <f t="shared" si="0"/>
        <v>0</v>
      </c>
      <c r="D47" s="1758">
        <f t="shared" si="1"/>
        <v>7462</v>
      </c>
      <c r="E47" s="1758">
        <f t="shared" si="2"/>
        <v>7462</v>
      </c>
      <c r="F47" s="1758">
        <f t="shared" si="3"/>
        <v>838</v>
      </c>
      <c r="G47" s="1757">
        <f t="shared" si="4"/>
        <v>0</v>
      </c>
      <c r="H47" s="1757">
        <f t="shared" si="5"/>
        <v>0</v>
      </c>
      <c r="I47" s="1751">
        <f>+VLOOKUP($B47,年度別調書!$A$4:$M$37,10,0)</f>
        <v>22974897869</v>
      </c>
      <c r="J47" s="1751">
        <f>+VLOOKUP($B47,年度別調書!$A$4:$M$37,13,0)</f>
        <v>102361733085</v>
      </c>
      <c r="K47" s="1757">
        <f t="shared" si="10"/>
        <v>0</v>
      </c>
      <c r="L47" s="1757">
        <f t="shared" si="11"/>
        <v>0</v>
      </c>
      <c r="M47" s="1763">
        <f t="shared" si="9"/>
        <v>0</v>
      </c>
      <c r="N47" s="1947">
        <v>10</v>
      </c>
      <c r="O47" s="2762"/>
      <c r="P47" s="1759" t="str">
        <f t="shared" si="7"/>
        <v>令和4年度</v>
      </c>
      <c r="Q47" s="1796">
        <v>0</v>
      </c>
      <c r="R47" s="1796">
        <v>3276</v>
      </c>
      <c r="S47" s="1796">
        <v>3276</v>
      </c>
      <c r="T47" s="1796">
        <v>368</v>
      </c>
      <c r="U47" s="1757"/>
      <c r="V47" s="1764"/>
      <c r="W47" s="2762"/>
      <c r="X47" s="1759" t="str">
        <f t="shared" si="8"/>
        <v>令和4年度</v>
      </c>
      <c r="Y47" s="1796">
        <v>0</v>
      </c>
      <c r="Z47" s="1796">
        <v>4186</v>
      </c>
      <c r="AA47" s="1796">
        <v>4186</v>
      </c>
      <c r="AB47" s="1796">
        <v>470</v>
      </c>
      <c r="AC47" s="1757"/>
    </row>
    <row r="48" spans="1:29">
      <c r="A48" s="2763"/>
      <c r="B48" s="1761" t="s">
        <v>4871</v>
      </c>
      <c r="C48" s="1762">
        <f>SUM(C6:C47)</f>
        <v>33756370</v>
      </c>
      <c r="D48" s="1762">
        <f>SUM(D6:D47)</f>
        <v>2613868</v>
      </c>
      <c r="E48" s="1762">
        <f>SUM(E6:E47)</f>
        <v>36370238</v>
      </c>
      <c r="F48" s="1762">
        <f>SUM(F6:F47)</f>
        <v>2819794</v>
      </c>
      <c r="G48" s="1747">
        <f>+U48+AC48</f>
        <v>2592096</v>
      </c>
      <c r="H48" s="1762">
        <f>SUM(H6:H47)</f>
        <v>31164274</v>
      </c>
      <c r="I48" s="1681"/>
      <c r="J48" s="1681"/>
      <c r="K48" s="1762">
        <f>SUM(K6:K47)</f>
        <v>17621740</v>
      </c>
      <c r="L48" s="1762">
        <f>SUM(L6:L47)</f>
        <v>13542534</v>
      </c>
      <c r="M48" s="1762"/>
      <c r="N48" s="1947"/>
      <c r="O48" s="2763"/>
      <c r="P48" s="1761" t="s">
        <v>4871</v>
      </c>
      <c r="Q48" s="1762">
        <f>SUM(Q6:Q47)</f>
        <v>16752280</v>
      </c>
      <c r="R48" s="1762">
        <f>SUM(R6:R47)</f>
        <v>1432385</v>
      </c>
      <c r="S48" s="1762">
        <f>SUM(S6:S47)</f>
        <v>18184665</v>
      </c>
      <c r="T48" s="1762">
        <f>SUM(T6:T47)</f>
        <v>1409846</v>
      </c>
      <c r="U48" s="1983">
        <v>1286967</v>
      </c>
      <c r="V48" s="1755"/>
      <c r="W48" s="2763"/>
      <c r="X48" s="1761" t="s">
        <v>4871</v>
      </c>
      <c r="Y48" s="1762">
        <f>SUM(Y6:Y47)</f>
        <v>17004090</v>
      </c>
      <c r="Z48" s="1762">
        <f>SUM(Z6:Z47)</f>
        <v>1181483</v>
      </c>
      <c r="AA48" s="1762">
        <f>SUM(AA6:AA47)</f>
        <v>18185573</v>
      </c>
      <c r="AB48" s="1762">
        <f>SUM(AB6:AB47)</f>
        <v>1409948</v>
      </c>
      <c r="AC48" s="1984">
        <v>1305129</v>
      </c>
    </row>
    <row r="49" spans="7:31" ht="14.25" thickBot="1">
      <c r="G49" s="1750">
        <f>G48-SUM(G6:G47)</f>
        <v>0</v>
      </c>
      <c r="O49" s="1666"/>
    </row>
    <row r="50" spans="7:31" ht="14.25" thickBot="1">
      <c r="J50" s="1949" t="s">
        <v>5181</v>
      </c>
      <c r="K50" s="1950" t="s">
        <v>5180</v>
      </c>
      <c r="P50" s="2088" t="s">
        <v>5321</v>
      </c>
      <c r="Q50" s="2089">
        <f>SUM(海田:廿日市!Q48)</f>
        <v>39380544</v>
      </c>
      <c r="R50" s="2090">
        <f>SUM(海田:廿日市!R48)</f>
        <v>4394901</v>
      </c>
      <c r="S50" s="2090">
        <f>SUM(海田:廿日市!S48)</f>
        <v>43775445</v>
      </c>
      <c r="T50" s="2090">
        <f>SUM(海田:廿日市!T48)</f>
        <v>3962461</v>
      </c>
      <c r="U50" s="2091">
        <f>SUM(海田:廿日市!U48)</f>
        <v>3527598</v>
      </c>
      <c r="V50" s="1715"/>
      <c r="W50" s="1715"/>
      <c r="X50" s="1715"/>
      <c r="Y50" s="2092">
        <f>SUM(海田:廿日市!Y48)</f>
        <v>39884829</v>
      </c>
      <c r="Z50" s="2090">
        <f>SUM(海田:廿日市!Z48)</f>
        <v>3917288</v>
      </c>
      <c r="AA50" s="2090">
        <f>SUM(海田:廿日市!AA48)</f>
        <v>43802117</v>
      </c>
      <c r="AB50" s="2090">
        <f>SUM(海田:廿日市!AB48)</f>
        <v>3965454</v>
      </c>
      <c r="AC50" s="2091">
        <f>SUM(海田:廿日市!AC48)</f>
        <v>3568245</v>
      </c>
      <c r="AE50" t="s" s="1643">
        <v>5322</v>
      </c>
    </row>
    <row r="51" spans="7:31">
      <c r="J51" s="1950">
        <v>3</v>
      </c>
      <c r="K51" s="1951">
        <f>+SUMIFS($K$4:$K$48,$N$4:$N$48,$J51)</f>
        <v>15511861</v>
      </c>
    </row>
    <row r="52" spans="7:31">
      <c r="J52" s="1950">
        <v>5</v>
      </c>
      <c r="K52" s="1951">
        <f>+SUMIFS($K$4:$K$48,$N$4:$N$48,$J52)</f>
        <v>2107306</v>
      </c>
    </row>
    <row r="53" spans="7:31">
      <c r="J53" s="1950">
        <v>8</v>
      </c>
      <c r="K53" s="1951">
        <f>+SUMIFS($K$4:$K$48,$N$4:$N$48,$J53)</f>
        <v>2573</v>
      </c>
    </row>
    <row r="54" spans="7:31">
      <c r="J54" s="1950">
        <v>10</v>
      </c>
      <c r="K54" s="1951">
        <f>+SUMIFS($K$4:$K$48,$N$4:$N$48,$J54)</f>
        <v>0</v>
      </c>
    </row>
    <row r="55" spans="7:31">
      <c r="J55" s="1949" t="s">
        <v>5182</v>
      </c>
      <c r="K55" s="1952">
        <f>SUM(K51:K54)</f>
        <v>17621740</v>
      </c>
    </row>
    <row r="56" spans="7:31">
      <c r="J56" s="1949" t="s">
        <v>5183</v>
      </c>
      <c r="K56" s="1952">
        <f>+K48-K55</f>
        <v>0</v>
      </c>
    </row>
  </sheetData>
  <mergeCells count="38">
    <mergeCell ref="U43:U44"/>
    <mergeCell ref="AC43:AC44"/>
    <mergeCell ref="AB43:AB44"/>
    <mergeCell ref="AA43:AA44"/>
    <mergeCell ref="Z43:Z44"/>
    <mergeCell ref="Y43:Y44"/>
    <mergeCell ref="K4:K5"/>
    <mergeCell ref="A6:A48"/>
    <mergeCell ref="P4:P5"/>
    <mergeCell ref="O6:O48"/>
    <mergeCell ref="C4:E4"/>
    <mergeCell ref="F4:F5"/>
    <mergeCell ref="G4:G5"/>
    <mergeCell ref="A4:A5"/>
    <mergeCell ref="B4:B5"/>
    <mergeCell ref="H4:H5"/>
    <mergeCell ref="I4:I5"/>
    <mergeCell ref="J4:J5"/>
    <mergeCell ref="O4:O5"/>
    <mergeCell ref="M4:M5"/>
    <mergeCell ref="P43:P44"/>
    <mergeCell ref="B43:B44"/>
    <mergeCell ref="AB4:AB5"/>
    <mergeCell ref="AC4:AC5"/>
    <mergeCell ref="L4:L5"/>
    <mergeCell ref="W6:W48"/>
    <mergeCell ref="W4:W5"/>
    <mergeCell ref="X4:X5"/>
    <mergeCell ref="Y4:AA4"/>
    <mergeCell ref="Q4:S4"/>
    <mergeCell ref="U4:U5"/>
    <mergeCell ref="T4:T5"/>
    <mergeCell ref="N4:N5"/>
    <mergeCell ref="X43:X44"/>
    <mergeCell ref="T43:T44"/>
    <mergeCell ref="S43:S44"/>
    <mergeCell ref="R43:R44"/>
    <mergeCell ref="Q43:Q44"/>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drawing r:id="rId2"/>
  <legacyDrawing r:id="rId3"/>
</worksheet>
</file>

<file path=xl/worksheets/w6_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C48" sqref="C48"/>
    </sheetView>
  </sheetViews>
  <sheetFormatPr defaultRowHeight="13.5"/>
  <cols>
    <col min="1" max="1" width="2.625" customWidth="1" style="1643"/>
    <col min="2" max="2" width="11.625" bestFit="1" customWidth="1" style="1643"/>
    <col min="3" max="5" width="13.125" customWidth="1" style="1643"/>
    <col min="6" max="7" width="11.625" customWidth="1" style="1643"/>
    <col min="8" max="8" width="13.125" customWidth="1" style="1643"/>
    <col min="9" max="10" width="13.75" customWidth="1" style="1643"/>
    <col min="11" max="12" width="13.125" customWidth="1" style="1643"/>
    <col min="13" max="13" width="7.625" customWidth="1" style="1643"/>
    <col min="14" max="14" width="3.125" customWidth="1" style="1643"/>
    <col min="15" max="15" width="2.625" customWidth="1" style="1643"/>
    <col min="16" max="21" width="11.625" customWidth="1" style="1643"/>
    <col min="22" max="22" width="3.125" customWidth="1" style="1643"/>
    <col min="23" max="23" width="2.625" customWidth="1" style="1643"/>
    <col min="24" max="24" width="11.625" bestFit="1" customWidth="1" style="1643"/>
    <col min="25" max="29" width="11.625" customWidth="1" style="1643"/>
    <col min="30" max="30" width="3.125" customWidth="1" style="1643"/>
  </cols>
  <sheetData>
    <row r="2" spans="1:29">
      <c r="A2" t="str" s="1643">
        <f>+"令和"&amp;MID('総括表(不課税)'!A2,3,1)&amp;"年度決算　府中町青崎地区"</f>
        <v>令和５年度決算　府中町青崎地区</v>
      </c>
      <c r="O2" t="str" s="1643">
        <f>+A2</f>
        <v>令和５年度決算　府中町青崎地区</v>
      </c>
      <c r="T2" s="1730"/>
      <c r="U2" s="1730"/>
    </row>
    <row r="4" spans="1:29" ht="13.5" customHeight="1">
      <c r="A4" s="2747" t="s">
        <v>4825</v>
      </c>
      <c r="B4" s="2747" t="s">
        <v>5108</v>
      </c>
      <c r="C4" s="2764" t="s">
        <v>4867</v>
      </c>
      <c r="D4" s="2764"/>
      <c r="E4" s="2764"/>
      <c r="F4" s="2750" t="s">
        <v>4869</v>
      </c>
      <c r="G4" s="2750" t="s">
        <v>4872</v>
      </c>
      <c r="H4" s="2750" t="s">
        <v>4918</v>
      </c>
      <c r="I4" s="2739" t="s">
        <v>4842</v>
      </c>
      <c r="J4" s="2739" t="s">
        <v>4844</v>
      </c>
      <c r="K4" s="2741" t="s">
        <v>4868</v>
      </c>
      <c r="L4" s="2743" t="s">
        <v>4794</v>
      </c>
      <c r="M4" s="2743" t="s">
        <v>5201</v>
      </c>
      <c r="N4" s="2765" t="s">
        <v>5179</v>
      </c>
      <c r="O4" s="2747" t="s">
        <v>4825</v>
      </c>
      <c r="P4" s="2747" t="s">
        <v>4870</v>
      </c>
      <c r="Q4" s="2764" t="s">
        <v>4867</v>
      </c>
      <c r="R4" s="2764"/>
      <c r="S4" s="2764"/>
      <c r="T4" s="2750" t="s">
        <v>4869</v>
      </c>
      <c r="U4" s="2750" t="s">
        <v>4872</v>
      </c>
      <c r="W4" s="2747" t="s">
        <v>4825</v>
      </c>
      <c r="X4" s="2747" t="s">
        <v>4870</v>
      </c>
      <c r="Y4" s="2764" t="s">
        <v>4867</v>
      </c>
      <c r="Z4" s="2764"/>
      <c r="AA4" s="2764"/>
      <c r="AB4" s="2750" t="s">
        <v>4869</v>
      </c>
      <c r="AC4" s="2750" t="s">
        <v>4872</v>
      </c>
    </row>
    <row r="5" spans="1:29" ht="13.5" customHeight="1">
      <c r="A5" s="2748"/>
      <c r="B5" s="2749"/>
      <c r="C5" s="1669" t="s">
        <v>4866</v>
      </c>
      <c r="D5" s="1669" t="s">
        <v>5105</v>
      </c>
      <c r="E5" s="1669" t="s">
        <v>4864</v>
      </c>
      <c r="F5" s="2742"/>
      <c r="G5" s="2760"/>
      <c r="H5" s="2742"/>
      <c r="I5" s="2740"/>
      <c r="J5" s="2740"/>
      <c r="K5" s="2742"/>
      <c r="L5" s="2744"/>
      <c r="M5" s="2744"/>
      <c r="N5" s="2766"/>
      <c r="O5" s="2748"/>
      <c r="P5" s="2749"/>
      <c r="Q5" s="1669" t="s">
        <v>4866</v>
      </c>
      <c r="R5" s="1669" t="s">
        <v>5105</v>
      </c>
      <c r="S5" s="1669" t="s">
        <v>4864</v>
      </c>
      <c r="T5" s="2742"/>
      <c r="U5" s="2760"/>
      <c r="V5" s="1756"/>
      <c r="W5" s="2748"/>
      <c r="X5" s="2749"/>
      <c r="Y5" s="1669" t="s">
        <v>4866</v>
      </c>
      <c r="Z5" s="1669" t="s">
        <v>5105</v>
      </c>
      <c r="AA5" s="1669" t="s">
        <v>4864</v>
      </c>
      <c r="AB5" s="2742"/>
      <c r="AC5" s="2760"/>
    </row>
    <row r="6" spans="1:29" ht="13.5" customHeight="1">
      <c r="A6" s="2761" t="s">
        <v>5107</v>
      </c>
      <c r="B6" s="1759" t="s">
        <v>5232</v>
      </c>
      <c r="C6" s="1758">
        <f t="shared" ref="C6:C47" si="0">+Q6+Y6</f>
        <v>0</v>
      </c>
      <c r="D6" s="1758">
        <f t="shared" ref="D6:D47" si="1">+R6+Z6</f>
        <v>0</v>
      </c>
      <c r="E6" s="1758">
        <f t="shared" ref="E6:E47" si="2">+S6+AA6</f>
        <v>0</v>
      </c>
      <c r="F6" s="1758">
        <f t="shared" ref="F6:F47" si="3">+T6+AB6</f>
        <v>0</v>
      </c>
      <c r="G6" s="1757">
        <f t="shared" ref="G6:G47" si="4">ROUND(C6/C$48*G$48,0)</f>
        <v>0</v>
      </c>
      <c r="H6" s="1757">
        <f t="shared" ref="H6:H47" si="5">C6-G6</f>
        <v>0</v>
      </c>
      <c r="I6" s="1681"/>
      <c r="J6" s="1681"/>
      <c r="K6" s="1757">
        <v>0</v>
      </c>
      <c r="L6" s="1757">
        <f t="shared" ref="L6:L12" si="6">H6-K6</f>
        <v>0</v>
      </c>
      <c r="M6" s="1763">
        <f>ROUND(C6/C$48*G$48,3)-ROUND(C6/C$48*G$48,0)</f>
        <v>0</v>
      </c>
      <c r="N6" s="1948">
        <f>+海田!N6</f>
        <v>0</v>
      </c>
      <c r="O6" s="2761" t="s">
        <v>4887</v>
      </c>
      <c r="P6" s="1759" t="str">
        <f>+B6</f>
        <v>昭和57年度</v>
      </c>
      <c r="Q6" s="1985"/>
      <c r="R6" s="1985"/>
      <c r="S6" s="1985"/>
      <c r="T6" s="1985"/>
      <c r="U6" s="1757"/>
      <c r="V6" s="1763"/>
      <c r="W6" s="2761" t="s">
        <v>5239</v>
      </c>
      <c r="X6" s="1759" t="str">
        <f>+B6</f>
        <v>昭和57年度</v>
      </c>
      <c r="Y6" s="1986">
        <v>0</v>
      </c>
      <c r="Z6" s="1986">
        <v>0</v>
      </c>
      <c r="AA6" s="1986">
        <v>0</v>
      </c>
      <c r="AB6" s="1986">
        <v>0</v>
      </c>
      <c r="AC6" s="1757"/>
    </row>
    <row r="7" spans="1:29">
      <c r="A7" s="2762"/>
      <c r="B7" s="1759" t="s">
        <v>5233</v>
      </c>
      <c r="C7" s="1758">
        <f t="shared" si="0"/>
        <v>0</v>
      </c>
      <c r="D7" s="1758">
        <f t="shared" si="1"/>
        <v>0</v>
      </c>
      <c r="E7" s="1758">
        <f t="shared" si="2"/>
        <v>0</v>
      </c>
      <c r="F7" s="1758">
        <f t="shared" si="3"/>
        <v>0</v>
      </c>
      <c r="G7" s="1757">
        <f t="shared" si="4"/>
        <v>0</v>
      </c>
      <c r="H7" s="1757">
        <f t="shared" si="5"/>
        <v>0</v>
      </c>
      <c r="I7" s="1681"/>
      <c r="J7" s="1681"/>
      <c r="K7" s="1757">
        <v>0</v>
      </c>
      <c r="L7" s="1757">
        <f t="shared" si="6"/>
        <v>0</v>
      </c>
      <c r="M7" s="1763">
        <f>ROUND(C7/C$48*G$48,3)-ROUND(C7/C$48*G$48,0)</f>
        <v>0</v>
      </c>
      <c r="N7" s="1948">
        <f>+海田!N7</f>
        <v>0</v>
      </c>
      <c r="O7" s="2762"/>
      <c r="P7" s="1759" t="str">
        <f t="shared" ref="P7:P47" si="7">+B7</f>
        <v>昭和58年度</v>
      </c>
      <c r="Q7" s="1985">
        <v>0</v>
      </c>
      <c r="R7" s="1985">
        <v>0</v>
      </c>
      <c r="S7" s="1985">
        <v>0</v>
      </c>
      <c r="T7" s="1985">
        <v>0</v>
      </c>
      <c r="U7" s="1757"/>
      <c r="V7" s="1764"/>
      <c r="W7" s="2762"/>
      <c r="X7" s="1759" t="str">
        <f t="shared" ref="X7:X47" si="8">+B7</f>
        <v>昭和58年度</v>
      </c>
      <c r="Y7" s="1986">
        <v>0</v>
      </c>
      <c r="Z7" s="1986">
        <v>0</v>
      </c>
      <c r="AA7" s="1986">
        <v>0</v>
      </c>
      <c r="AB7" s="1986">
        <v>0</v>
      </c>
      <c r="AC7" s="1757"/>
    </row>
    <row r="8" spans="1:29">
      <c r="A8" s="2762"/>
      <c r="B8" s="1759" t="s">
        <v>5234</v>
      </c>
      <c r="C8" s="1758">
        <f t="shared" si="0"/>
        <v>0</v>
      </c>
      <c r="D8" s="1758">
        <f t="shared" si="1"/>
        <v>0</v>
      </c>
      <c r="E8" s="1758">
        <f t="shared" si="2"/>
        <v>0</v>
      </c>
      <c r="F8" s="1758">
        <f t="shared" si="3"/>
        <v>0</v>
      </c>
      <c r="G8" s="1757">
        <f t="shared" si="4"/>
        <v>0</v>
      </c>
      <c r="H8" s="1757">
        <f t="shared" si="5"/>
        <v>0</v>
      </c>
      <c r="I8" s="1681"/>
      <c r="J8" s="1681"/>
      <c r="K8" s="1757">
        <v>0</v>
      </c>
      <c r="L8" s="1757">
        <f t="shared" si="6"/>
        <v>0</v>
      </c>
      <c r="M8" s="1763">
        <f>ROUND(C8/C$48*G$48,3)-ROUND(C8/C$48*G$48,0)</f>
        <v>0</v>
      </c>
      <c r="N8" s="1948">
        <f>+海田!N8</f>
        <v>0</v>
      </c>
      <c r="O8" s="2762"/>
      <c r="P8" s="1759" t="str">
        <f t="shared" si="7"/>
        <v>昭和59年度</v>
      </c>
      <c r="Q8" s="1985">
        <v>0</v>
      </c>
      <c r="R8" s="1985">
        <v>0</v>
      </c>
      <c r="S8" s="1985">
        <v>0</v>
      </c>
      <c r="T8" s="1985">
        <v>0</v>
      </c>
      <c r="U8" s="1757"/>
      <c r="V8" s="1764"/>
      <c r="W8" s="2762"/>
      <c r="X8" s="1759" t="str">
        <f t="shared" si="8"/>
        <v>昭和59年度</v>
      </c>
      <c r="Y8" s="1986">
        <v>0</v>
      </c>
      <c r="Z8" s="1986">
        <v>0</v>
      </c>
      <c r="AA8" s="1986">
        <v>0</v>
      </c>
      <c r="AB8" s="1986">
        <v>0</v>
      </c>
      <c r="AC8" s="1757"/>
    </row>
    <row r="9" spans="1:29">
      <c r="A9" s="2762"/>
      <c r="B9" s="1759" t="s">
        <v>5235</v>
      </c>
      <c r="C9" s="1758">
        <f t="shared" si="0"/>
        <v>0</v>
      </c>
      <c r="D9" s="1758">
        <f t="shared" si="1"/>
        <v>0</v>
      </c>
      <c r="E9" s="1758">
        <f t="shared" si="2"/>
        <v>0</v>
      </c>
      <c r="F9" s="1758">
        <f t="shared" si="3"/>
        <v>0</v>
      </c>
      <c r="G9" s="1757">
        <f t="shared" si="4"/>
        <v>0</v>
      </c>
      <c r="H9" s="1757">
        <f t="shared" si="5"/>
        <v>0</v>
      </c>
      <c r="I9" s="1681"/>
      <c r="J9" s="1681"/>
      <c r="K9" s="1757">
        <v>0</v>
      </c>
      <c r="L9" s="1757">
        <f t="shared" si="6"/>
        <v>0</v>
      </c>
      <c r="M9" s="1763">
        <f>ROUND(C9/C$48*G$48,3)-ROUND(C9/C$48*G$48,0)</f>
        <v>0</v>
      </c>
      <c r="N9" s="1948">
        <f>+海田!N9</f>
        <v>0</v>
      </c>
      <c r="O9" s="2762"/>
      <c r="P9" s="1759" t="str">
        <f t="shared" si="7"/>
        <v>昭和60年度</v>
      </c>
      <c r="Q9" s="1985">
        <v>0</v>
      </c>
      <c r="R9" s="1985">
        <v>0</v>
      </c>
      <c r="S9" s="1985">
        <v>0</v>
      </c>
      <c r="T9" s="1985">
        <v>0</v>
      </c>
      <c r="U9" s="1757"/>
      <c r="V9" s="1764"/>
      <c r="W9" s="2762"/>
      <c r="X9" s="1759" t="str">
        <f t="shared" si="8"/>
        <v>昭和60年度</v>
      </c>
      <c r="Y9" s="1986">
        <v>0</v>
      </c>
      <c r="Z9" s="1986">
        <v>0</v>
      </c>
      <c r="AA9" s="1986">
        <v>0</v>
      </c>
      <c r="AB9" s="1986">
        <v>0</v>
      </c>
      <c r="AC9" s="1757"/>
    </row>
    <row r="10" spans="1:29">
      <c r="A10" s="2762"/>
      <c r="B10" s="1759" t="s">
        <v>5236</v>
      </c>
      <c r="C10" s="1758">
        <f t="shared" si="0"/>
        <v>0</v>
      </c>
      <c r="D10" s="1758">
        <f t="shared" si="1"/>
        <v>0</v>
      </c>
      <c r="E10" s="1758">
        <f t="shared" si="2"/>
        <v>0</v>
      </c>
      <c r="F10" s="1758">
        <f t="shared" si="3"/>
        <v>0</v>
      </c>
      <c r="G10" s="1757">
        <f t="shared" si="4"/>
        <v>0</v>
      </c>
      <c r="H10" s="1757">
        <f t="shared" si="5"/>
        <v>0</v>
      </c>
      <c r="I10" s="1681"/>
      <c r="J10" s="1681"/>
      <c r="K10" s="1757">
        <v>0</v>
      </c>
      <c r="L10" s="1757">
        <f t="shared" si="6"/>
        <v>0</v>
      </c>
      <c r="M10" s="1763">
        <f t="shared" ref="M10:M47" si="9">ROUND(C10/C$48*G$48,3)-ROUND(C10/C$48*G$48,0)</f>
        <v>0</v>
      </c>
      <c r="N10" s="1948">
        <f>+海田!N10</f>
        <v>0</v>
      </c>
      <c r="O10" s="2762"/>
      <c r="P10" s="1759" t="str">
        <f t="shared" si="7"/>
        <v>昭和61年度</v>
      </c>
      <c r="Q10" s="1985">
        <v>0</v>
      </c>
      <c r="R10" s="1985">
        <v>0</v>
      </c>
      <c r="S10" s="1985">
        <v>0</v>
      </c>
      <c r="T10" s="1985">
        <v>0</v>
      </c>
      <c r="U10" s="1757"/>
      <c r="V10" s="1764"/>
      <c r="W10" s="2762"/>
      <c r="X10" s="1759" t="str">
        <f t="shared" si="8"/>
        <v>昭和61年度</v>
      </c>
      <c r="Y10" s="1986">
        <v>0</v>
      </c>
      <c r="Z10" s="1986">
        <v>0</v>
      </c>
      <c r="AA10" s="1986">
        <v>0</v>
      </c>
      <c r="AB10" s="1986">
        <v>0</v>
      </c>
      <c r="AC10" s="1757"/>
    </row>
    <row r="11" spans="1:29">
      <c r="A11" s="2762"/>
      <c r="B11" s="1759" t="s">
        <v>5237</v>
      </c>
      <c r="C11" s="1758">
        <f t="shared" si="0"/>
        <v>0</v>
      </c>
      <c r="D11" s="1758">
        <f t="shared" si="1"/>
        <v>0</v>
      </c>
      <c r="E11" s="1758">
        <f t="shared" si="2"/>
        <v>0</v>
      </c>
      <c r="F11" s="1758">
        <f t="shared" si="3"/>
        <v>0</v>
      </c>
      <c r="G11" s="2018">
        <f>ROUND(C11/C$48*G$48,0)</f>
        <v>0</v>
      </c>
      <c r="H11" s="1757">
        <f t="shared" si="5"/>
        <v>0</v>
      </c>
      <c r="I11" s="1681"/>
      <c r="J11" s="1681"/>
      <c r="K11" s="1757">
        <v>0</v>
      </c>
      <c r="L11" s="1757">
        <f t="shared" si="6"/>
        <v>0</v>
      </c>
      <c r="M11" s="1763">
        <f t="shared" si="9"/>
        <v>0</v>
      </c>
      <c r="N11" s="1948">
        <f>+海田!N11</f>
        <v>0</v>
      </c>
      <c r="O11" s="2762"/>
      <c r="P11" s="1759" t="str">
        <f t="shared" si="7"/>
        <v>昭和62年度</v>
      </c>
      <c r="Q11" s="1985">
        <v>0</v>
      </c>
      <c r="R11" s="1985">
        <v>0</v>
      </c>
      <c r="S11" s="1985">
        <v>0</v>
      </c>
      <c r="T11" s="1985">
        <v>0</v>
      </c>
      <c r="U11" s="1757"/>
      <c r="V11" s="1764"/>
      <c r="W11" s="2762"/>
      <c r="X11" s="1759" t="str">
        <f t="shared" si="8"/>
        <v>昭和62年度</v>
      </c>
      <c r="Y11" s="1986">
        <v>0</v>
      </c>
      <c r="Z11" s="1986">
        <v>0</v>
      </c>
      <c r="AA11" s="1986">
        <v>0</v>
      </c>
      <c r="AB11" s="1986">
        <v>0</v>
      </c>
      <c r="AC11" s="1757"/>
    </row>
    <row r="12" spans="1:29">
      <c r="A12" s="2762"/>
      <c r="B12" s="1759" t="s">
        <v>5238</v>
      </c>
      <c r="C12" s="1758">
        <f t="shared" si="0"/>
        <v>0</v>
      </c>
      <c r="D12" s="1758">
        <f t="shared" si="1"/>
        <v>0</v>
      </c>
      <c r="E12" s="1758">
        <f t="shared" si="2"/>
        <v>0</v>
      </c>
      <c r="F12" s="1758">
        <f t="shared" si="3"/>
        <v>0</v>
      </c>
      <c r="G12" s="1757">
        <f t="shared" si="4"/>
        <v>0</v>
      </c>
      <c r="H12" s="1757">
        <f t="shared" si="5"/>
        <v>0</v>
      </c>
      <c r="I12" s="1681"/>
      <c r="J12" s="1681"/>
      <c r="K12" s="1757">
        <v>0</v>
      </c>
      <c r="L12" s="1757">
        <f t="shared" si="6"/>
        <v>0</v>
      </c>
      <c r="M12" s="1763">
        <f t="shared" si="9"/>
        <v>0</v>
      </c>
      <c r="N12" s="1948">
        <f>+海田!N12</f>
        <v>0</v>
      </c>
      <c r="O12" s="2762"/>
      <c r="P12" s="1759" t="str">
        <f t="shared" si="7"/>
        <v>昭和63年度</v>
      </c>
      <c r="Q12" s="1985">
        <v>0</v>
      </c>
      <c r="R12" s="1985">
        <v>0</v>
      </c>
      <c r="S12" s="1985">
        <v>0</v>
      </c>
      <c r="T12" s="1985">
        <v>0</v>
      </c>
      <c r="U12" s="1757"/>
      <c r="V12" s="1764"/>
      <c r="W12" s="2762"/>
      <c r="X12" s="1759" t="str">
        <f t="shared" si="8"/>
        <v>昭和63年度</v>
      </c>
      <c r="Y12" s="1986">
        <v>0</v>
      </c>
      <c r="Z12" s="1986">
        <v>0</v>
      </c>
      <c r="AA12" s="1986">
        <v>0</v>
      </c>
      <c r="AB12" s="1986">
        <v>0</v>
      </c>
      <c r="AC12" s="1757"/>
    </row>
    <row r="13" spans="1:29">
      <c r="A13" s="2762"/>
      <c r="B13" s="1760" t="s">
        <v>5202</v>
      </c>
      <c r="C13" s="1758">
        <f t="shared" si="0"/>
        <v>0</v>
      </c>
      <c r="D13" s="1758">
        <f t="shared" si="1"/>
        <v>0</v>
      </c>
      <c r="E13" s="1758">
        <f t="shared" si="2"/>
        <v>0</v>
      </c>
      <c r="F13" s="1758">
        <f t="shared" si="3"/>
        <v>0</v>
      </c>
      <c r="G13" s="1757">
        <f t="shared" si="4"/>
        <v>0</v>
      </c>
      <c r="H13" s="1757">
        <f t="shared" si="5"/>
        <v>0</v>
      </c>
      <c r="I13" s="1751">
        <f>+VLOOKUP($B13,年度別調書!$A$4:$M$37,10,0)</f>
        <v>30622955900</v>
      </c>
      <c r="J13" s="1751">
        <f>+VLOOKUP($B13,年度別調書!$A$4:$M$37,13,0)</f>
        <v>62903610340</v>
      </c>
      <c r="K13" s="1757">
        <f>IFERROR(ROUND(H13*I13/J13,0),0)</f>
        <v>0</v>
      </c>
      <c r="L13" s="1757">
        <f>H13-K13</f>
        <v>0</v>
      </c>
      <c r="M13" s="1763">
        <f t="shared" si="9"/>
        <v>0</v>
      </c>
      <c r="N13" s="1948">
        <f>+海田!N13</f>
        <v>3</v>
      </c>
      <c r="O13" s="2762"/>
      <c r="P13" s="1759" t="str">
        <f t="shared" si="7"/>
        <v>平成元年度</v>
      </c>
      <c r="Q13" s="1985">
        <v>0</v>
      </c>
      <c r="R13" s="1985">
        <v>0</v>
      </c>
      <c r="S13" s="1985">
        <v>0</v>
      </c>
      <c r="T13" s="1985">
        <v>0</v>
      </c>
      <c r="U13" s="1757"/>
      <c r="V13" s="1764"/>
      <c r="W13" s="2762"/>
      <c r="X13" s="1759" t="str">
        <f t="shared" si="8"/>
        <v>平成元年度</v>
      </c>
      <c r="Y13" s="1986">
        <v>0</v>
      </c>
      <c r="Z13" s="1986">
        <v>0</v>
      </c>
      <c r="AA13" s="1986">
        <v>0</v>
      </c>
      <c r="AB13" s="1986">
        <v>0</v>
      </c>
      <c r="AC13" s="1757"/>
    </row>
    <row r="14" spans="1:29">
      <c r="A14" s="2762"/>
      <c r="B14" s="1760" t="s">
        <v>5203</v>
      </c>
      <c r="C14" s="1758">
        <f>+Q14+Y14</f>
        <v>0</v>
      </c>
      <c r="D14" s="1758">
        <f t="shared" si="1"/>
        <v>0</v>
      </c>
      <c r="E14" s="1758">
        <f t="shared" si="2"/>
        <v>0</v>
      </c>
      <c r="F14" s="1758">
        <f t="shared" si="3"/>
        <v>0</v>
      </c>
      <c r="G14" s="1757">
        <f t="shared" si="4"/>
        <v>0</v>
      </c>
      <c r="H14" s="1757">
        <f t="shared" si="5"/>
        <v>0</v>
      </c>
      <c r="I14" s="1751">
        <f>+VLOOKUP($B14,年度別調書!$A$4:$M$37,10,0)</f>
        <v>36785805618</v>
      </c>
      <c r="J14" s="1751">
        <f>+VLOOKUP($B14,年度別調書!$A$4:$M$37,13,0)</f>
        <v>65207626364</v>
      </c>
      <c r="K14" s="1757">
        <f t="shared" ref="K14:K22" si="10">IFERROR(ROUND(H14*I14/J14,0),0)</f>
        <v>0</v>
      </c>
      <c r="L14" s="1757">
        <f>H14-K14</f>
        <v>0</v>
      </c>
      <c r="M14" s="1763">
        <f t="shared" si="9"/>
        <v>0</v>
      </c>
      <c r="N14" s="1948">
        <f>+海田!N14</f>
        <v>3</v>
      </c>
      <c r="O14" s="2762"/>
      <c r="P14" s="1759" t="str">
        <f t="shared" si="7"/>
        <v>平成2年度</v>
      </c>
      <c r="Q14" s="2084">
        <v>0</v>
      </c>
      <c r="R14" s="2084">
        <v>0</v>
      </c>
      <c r="S14" s="2084">
        <v>0</v>
      </c>
      <c r="T14" s="2084">
        <v>0</v>
      </c>
      <c r="U14" s="1757"/>
      <c r="V14" s="1764"/>
      <c r="W14" s="2762"/>
      <c r="X14" s="1759" t="str">
        <f t="shared" si="8"/>
        <v>平成2年度</v>
      </c>
      <c r="Y14" s="1986">
        <v>0</v>
      </c>
      <c r="Z14" s="1986">
        <v>0</v>
      </c>
      <c r="AA14" s="1986">
        <v>0</v>
      </c>
      <c r="AB14" s="1986">
        <v>0</v>
      </c>
      <c r="AC14" s="1757"/>
    </row>
    <row r="15" spans="1:29">
      <c r="A15" s="2762"/>
      <c r="B15" s="1760" t="s">
        <v>5204</v>
      </c>
      <c r="C15" s="1758">
        <f t="shared" si="0"/>
        <v>0</v>
      </c>
      <c r="D15" s="1758">
        <f t="shared" si="1"/>
        <v>0</v>
      </c>
      <c r="E15" s="1758">
        <f t="shared" si="2"/>
        <v>0</v>
      </c>
      <c r="F15" s="1758">
        <f t="shared" si="3"/>
        <v>0</v>
      </c>
      <c r="G15" s="1757">
        <f t="shared" si="4"/>
        <v>0</v>
      </c>
      <c r="H15" s="1757">
        <f t="shared" si="5"/>
        <v>0</v>
      </c>
      <c r="I15" s="1751">
        <f>+VLOOKUP($B15,年度別調書!$A$4:$M$37,10,0)</f>
        <v>42048127236</v>
      </c>
      <c r="J15" s="1751">
        <f>+VLOOKUP($B15,年度別調書!$A$4:$M$37,13,0)</f>
        <v>72538415314</v>
      </c>
      <c r="K15" s="1757">
        <f t="shared" si="10"/>
        <v>0</v>
      </c>
      <c r="L15" s="1757">
        <f>H15-K15</f>
        <v>0</v>
      </c>
      <c r="M15" s="1763">
        <f t="shared" si="9"/>
        <v>0</v>
      </c>
      <c r="N15" s="1948">
        <f>+海田!N15</f>
        <v>3</v>
      </c>
      <c r="O15" s="2762"/>
      <c r="P15" s="1759" t="str">
        <f t="shared" si="7"/>
        <v>平成3年度</v>
      </c>
      <c r="Q15" s="1985">
        <v>0</v>
      </c>
      <c r="R15" s="1985">
        <v>0</v>
      </c>
      <c r="S15" s="1985">
        <v>0</v>
      </c>
      <c r="T15" s="1985">
        <v>0</v>
      </c>
      <c r="U15" s="1757"/>
      <c r="V15" s="1764"/>
      <c r="W15" s="2762"/>
      <c r="X15" s="1759" t="str">
        <f t="shared" si="8"/>
        <v>平成3年度</v>
      </c>
      <c r="Y15" s="1986">
        <v>0</v>
      </c>
      <c r="Z15" s="1986">
        <v>0</v>
      </c>
      <c r="AA15" s="1986">
        <v>0</v>
      </c>
      <c r="AB15" s="1986">
        <v>0</v>
      </c>
      <c r="AC15" s="1757"/>
    </row>
    <row r="16" spans="1:29">
      <c r="A16" s="2762"/>
      <c r="B16" s="1760" t="s">
        <v>5205</v>
      </c>
      <c r="C16" s="1758">
        <f t="shared" si="0"/>
        <v>682449</v>
      </c>
      <c r="D16" s="1758">
        <f t="shared" si="1"/>
        <v>18739</v>
      </c>
      <c r="E16" s="1758">
        <f t="shared" si="2"/>
        <v>701188</v>
      </c>
      <c r="F16" s="1758">
        <f t="shared" si="3"/>
        <v>54606</v>
      </c>
      <c r="G16" s="2018">
        <f>ROUND(C16/C$48*G$48,0)</f>
        <v>58743</v>
      </c>
      <c r="H16" s="1757">
        <f t="shared" si="5"/>
        <v>623706</v>
      </c>
      <c r="I16" s="1751">
        <f>+VLOOKUP($B16,年度別調書!$A$4:$M$37,10,0)</f>
        <v>49320557603</v>
      </c>
      <c r="J16" s="1751">
        <f>+VLOOKUP($B16,年度別調書!$A$4:$M$37,13,0)</f>
        <v>82028053042</v>
      </c>
      <c r="K16" s="1757">
        <f t="shared" si="10"/>
        <v>375012</v>
      </c>
      <c r="L16" s="1757">
        <f>H16-K16</f>
        <v>248694</v>
      </c>
      <c r="M16" s="1763">
        <f t="shared" si="9"/>
        <v>-0.37400000000343425</v>
      </c>
      <c r="N16" s="1948">
        <f>+海田!N16</f>
        <v>3</v>
      </c>
      <c r="O16" s="2762"/>
      <c r="P16" s="1759" t="str">
        <f t="shared" si="7"/>
        <v>平成4年度</v>
      </c>
      <c r="Q16" s="1985">
        <v>338139</v>
      </c>
      <c r="R16" s="1985">
        <v>12455</v>
      </c>
      <c r="S16" s="1985">
        <v>350594</v>
      </c>
      <c r="T16" s="1985">
        <v>27303</v>
      </c>
      <c r="U16" s="1757"/>
      <c r="V16" s="1764"/>
      <c r="W16" s="2762"/>
      <c r="X16" s="1759" t="str">
        <f t="shared" si="8"/>
        <v>平成4年度</v>
      </c>
      <c r="Y16" s="1986">
        <v>344310</v>
      </c>
      <c r="Z16" s="1986">
        <v>6284</v>
      </c>
      <c r="AA16" s="1986">
        <v>350594</v>
      </c>
      <c r="AB16" s="1986">
        <v>27303</v>
      </c>
      <c r="AC16" s="1757"/>
    </row>
    <row r="17" spans="1:29">
      <c r="A17" s="2762"/>
      <c r="B17" s="1760" t="s">
        <v>5206</v>
      </c>
      <c r="C17" s="1758">
        <f t="shared" si="0"/>
        <v>2744661</v>
      </c>
      <c r="D17" s="1758">
        <f t="shared" si="1"/>
        <v>143447</v>
      </c>
      <c r="E17" s="1758">
        <f t="shared" si="2"/>
        <v>2888108</v>
      </c>
      <c r="F17" s="1758">
        <f t="shared" si="3"/>
        <v>135410</v>
      </c>
      <c r="G17" s="2018">
        <f t="shared" si="4"/>
        <v>236250</v>
      </c>
      <c r="H17" s="1757">
        <f t="shared" si="5"/>
        <v>2508411</v>
      </c>
      <c r="I17" s="1751">
        <f>+VLOOKUP($B17,年度別調書!$A$4:$M$37,10,0)</f>
        <v>54853236126</v>
      </c>
      <c r="J17" s="1751">
        <f>+VLOOKUP($B17,年度別調書!$A$4:$M$37,13,0)</f>
        <v>94393962571</v>
      </c>
      <c r="K17" s="1757">
        <f t="shared" si="10"/>
        <v>1457662</v>
      </c>
      <c r="L17" s="1757">
        <f t="shared" ref="L17:L47" si="11">H17-K17</f>
        <v>1050749</v>
      </c>
      <c r="M17" s="1763">
        <f t="shared" si="9"/>
        <v>2.9000000009546056E-2</v>
      </c>
      <c r="N17" s="1948">
        <f>+海田!N17</f>
        <v>3</v>
      </c>
      <c r="O17" s="2762"/>
      <c r="P17" s="1759" t="str">
        <f t="shared" si="7"/>
        <v>平成5年度</v>
      </c>
      <c r="Q17" s="1985">
        <v>1357280</v>
      </c>
      <c r="R17" s="1985">
        <v>86774</v>
      </c>
      <c r="S17" s="1985">
        <v>1444054</v>
      </c>
      <c r="T17" s="1985">
        <v>67705</v>
      </c>
      <c r="U17" s="1757"/>
      <c r="V17" s="1764"/>
      <c r="W17" s="2762"/>
      <c r="X17" s="1759" t="str">
        <f t="shared" si="8"/>
        <v>平成5年度</v>
      </c>
      <c r="Y17" s="1986">
        <v>1387381</v>
      </c>
      <c r="Z17" s="1986">
        <v>56673</v>
      </c>
      <c r="AA17" s="1986">
        <v>1444054</v>
      </c>
      <c r="AB17" s="1986">
        <v>67705</v>
      </c>
      <c r="AC17" s="1757"/>
    </row>
    <row r="18" spans="1:29">
      <c r="A18" s="2762"/>
      <c r="B18" s="1760" t="s">
        <v>5207</v>
      </c>
      <c r="C18" s="1758">
        <f t="shared" si="0"/>
        <v>0</v>
      </c>
      <c r="D18" s="1758">
        <f t="shared" si="1"/>
        <v>0</v>
      </c>
      <c r="E18" s="1758">
        <f t="shared" si="2"/>
        <v>0</v>
      </c>
      <c r="F18" s="1758">
        <f t="shared" si="3"/>
        <v>0</v>
      </c>
      <c r="G18" s="1757">
        <f t="shared" si="4"/>
        <v>0</v>
      </c>
      <c r="H18" s="1757">
        <f t="shared" si="5"/>
        <v>0</v>
      </c>
      <c r="I18" s="1751">
        <f>+VLOOKUP($B18,年度別調書!$A$4:$M$37,10,0)</f>
        <v>52459905451</v>
      </c>
      <c r="J18" s="1751">
        <f>+VLOOKUP($B18,年度別調書!$A$4:$M$37,13,0)</f>
        <v>92179213936</v>
      </c>
      <c r="K18" s="1757">
        <f t="shared" si="10"/>
        <v>0</v>
      </c>
      <c r="L18" s="1757">
        <f t="shared" si="11"/>
        <v>0</v>
      </c>
      <c r="M18" s="1763">
        <f t="shared" si="9"/>
        <v>0</v>
      </c>
      <c r="N18" s="1948">
        <f>+海田!N18</f>
        <v>3</v>
      </c>
      <c r="O18" s="2762"/>
      <c r="P18" s="1759" t="str">
        <f t="shared" si="7"/>
        <v>平成6年度</v>
      </c>
      <c r="Q18" s="2084">
        <v>0</v>
      </c>
      <c r="R18" s="2084">
        <v>0</v>
      </c>
      <c r="S18" s="2084">
        <v>0</v>
      </c>
      <c r="T18" s="2084">
        <v>0</v>
      </c>
      <c r="U18" s="1757"/>
      <c r="V18" s="1764"/>
      <c r="W18" s="2762"/>
      <c r="X18" s="1759" t="str">
        <f t="shared" si="8"/>
        <v>平成6年度</v>
      </c>
      <c r="Y18" s="1986">
        <v>0</v>
      </c>
      <c r="Z18" s="1986">
        <v>0</v>
      </c>
      <c r="AA18" s="1986">
        <v>0</v>
      </c>
      <c r="AB18" s="1986">
        <v>0</v>
      </c>
      <c r="AC18" s="1757"/>
    </row>
    <row r="19" spans="1:29">
      <c r="A19" s="2762"/>
      <c r="B19" s="1760" t="s">
        <v>5208</v>
      </c>
      <c r="C19" s="1758">
        <f t="shared" si="0"/>
        <v>0</v>
      </c>
      <c r="D19" s="1758">
        <f t="shared" si="1"/>
        <v>0</v>
      </c>
      <c r="E19" s="1758">
        <f t="shared" si="2"/>
        <v>0</v>
      </c>
      <c r="F19" s="1758">
        <f t="shared" si="3"/>
        <v>0</v>
      </c>
      <c r="G19" s="1757">
        <f t="shared" si="4"/>
        <v>0</v>
      </c>
      <c r="H19" s="1757">
        <f t="shared" si="5"/>
        <v>0</v>
      </c>
      <c r="I19" s="1751">
        <f>+VLOOKUP($B19,年度別調書!$A$4:$M$37,10,0)</f>
        <v>58579778590</v>
      </c>
      <c r="J19" s="1751">
        <f>+VLOOKUP($B19,年度別調書!$A$4:$M$37,13,0)</f>
        <v>98916143476</v>
      </c>
      <c r="K19" s="1757">
        <f t="shared" si="10"/>
        <v>0</v>
      </c>
      <c r="L19" s="1757">
        <f t="shared" si="11"/>
        <v>0</v>
      </c>
      <c r="M19" s="1763">
        <f t="shared" si="9"/>
        <v>0</v>
      </c>
      <c r="N19" s="1948">
        <f>+海田!N19</f>
        <v>3</v>
      </c>
      <c r="O19" s="2762"/>
      <c r="P19" s="1759" t="str">
        <f t="shared" si="7"/>
        <v>平成7年度</v>
      </c>
      <c r="Q19" s="2084">
        <v>0</v>
      </c>
      <c r="R19" s="2084">
        <v>0</v>
      </c>
      <c r="S19" s="2084">
        <v>0</v>
      </c>
      <c r="T19" s="2084">
        <v>0</v>
      </c>
      <c r="U19" s="1757"/>
      <c r="V19" s="1764"/>
      <c r="W19" s="2762"/>
      <c r="X19" s="1759" t="str">
        <f t="shared" si="8"/>
        <v>平成7年度</v>
      </c>
      <c r="Y19" s="1986">
        <v>0</v>
      </c>
      <c r="Z19" s="1986">
        <v>0</v>
      </c>
      <c r="AA19" s="1986">
        <v>0</v>
      </c>
      <c r="AB19" s="1986">
        <v>0</v>
      </c>
      <c r="AC19" s="1757"/>
    </row>
    <row r="20" spans="1:29">
      <c r="A20" s="2762"/>
      <c r="B20" s="1760" t="s">
        <v>5209</v>
      </c>
      <c r="C20" s="1758">
        <f t="shared" si="0"/>
        <v>338992</v>
      </c>
      <c r="D20" s="1758">
        <f t="shared" si="1"/>
        <v>26714</v>
      </c>
      <c r="E20" s="1758">
        <f t="shared" si="2"/>
        <v>365706</v>
      </c>
      <c r="F20" s="1758">
        <f t="shared" si="3"/>
        <v>42264</v>
      </c>
      <c r="G20" s="1757">
        <f t="shared" si="4"/>
        <v>29179</v>
      </c>
      <c r="H20" s="1757">
        <f t="shared" si="5"/>
        <v>309813</v>
      </c>
      <c r="I20" s="1751">
        <f>+VLOOKUP($B20,年度別調書!$A$4:$M$37,10,0)</f>
        <v>59855732510</v>
      </c>
      <c r="J20" s="1751">
        <f>+VLOOKUP($B20,年度別調書!$A$4:$M$37,13,0)</f>
        <v>105086070753</v>
      </c>
      <c r="K20" s="1757">
        <f t="shared" si="10"/>
        <v>176466</v>
      </c>
      <c r="L20" s="1757">
        <f t="shared" si="11"/>
        <v>133347</v>
      </c>
      <c r="M20" s="1763">
        <f t="shared" si="9"/>
        <v>0.14800000000104774</v>
      </c>
      <c r="N20" s="1948">
        <f>+海田!N20</f>
        <v>3</v>
      </c>
      <c r="O20" s="2762"/>
      <c r="P20" s="1759" t="str">
        <f t="shared" si="7"/>
        <v>平成8年度</v>
      </c>
      <c r="Q20" s="1985">
        <v>168361</v>
      </c>
      <c r="R20" s="1985">
        <v>14492</v>
      </c>
      <c r="S20" s="1985">
        <v>182853</v>
      </c>
      <c r="T20" s="1985">
        <v>21132</v>
      </c>
      <c r="U20" s="1757"/>
      <c r="V20" s="1764"/>
      <c r="W20" s="2762"/>
      <c r="X20" s="1759" t="str">
        <f t="shared" si="8"/>
        <v>平成8年度</v>
      </c>
      <c r="Y20" s="1986">
        <v>170631</v>
      </c>
      <c r="Z20" s="1986">
        <v>12222</v>
      </c>
      <c r="AA20" s="1986">
        <v>182853</v>
      </c>
      <c r="AB20" s="1986">
        <v>21132</v>
      </c>
      <c r="AC20" s="1757"/>
    </row>
    <row r="21" spans="1:29">
      <c r="A21" s="2762"/>
      <c r="B21" s="1760" t="s">
        <v>5210</v>
      </c>
      <c r="C21" s="1758">
        <f t="shared" si="0"/>
        <v>2220449</v>
      </c>
      <c r="D21" s="1758">
        <f t="shared" si="1"/>
        <v>200651</v>
      </c>
      <c r="E21" s="1758">
        <f t="shared" si="2"/>
        <v>2421100</v>
      </c>
      <c r="F21" s="1758">
        <f t="shared" si="3"/>
        <v>258094</v>
      </c>
      <c r="G21" s="1757">
        <f t="shared" si="4"/>
        <v>191128</v>
      </c>
      <c r="H21" s="1757">
        <f t="shared" si="5"/>
        <v>2029321</v>
      </c>
      <c r="I21" s="1751">
        <f>+VLOOKUP($B21,年度別調書!$A$4:$M$37,10,0)</f>
        <v>65491097789</v>
      </c>
      <c r="J21" s="1751">
        <f>+VLOOKUP($B21,年度別調書!$A$4:$M$37,13,0)</f>
        <v>112544371375</v>
      </c>
      <c r="K21" s="1757">
        <f t="shared" si="10"/>
        <v>1180889</v>
      </c>
      <c r="L21" s="1757">
        <f t="shared" si="11"/>
        <v>848432</v>
      </c>
      <c r="M21" s="1763">
        <f t="shared" si="9"/>
        <v>-0.15599999998812564</v>
      </c>
      <c r="N21" s="1948">
        <f>+海田!N21</f>
        <v>5</v>
      </c>
      <c r="O21" s="2762"/>
      <c r="P21" s="1759" t="str">
        <f t="shared" si="7"/>
        <v>平成9年度</v>
      </c>
      <c r="Q21" s="1985">
        <v>1104456</v>
      </c>
      <c r="R21" s="1985">
        <v>106094</v>
      </c>
      <c r="S21" s="1985">
        <v>1210550</v>
      </c>
      <c r="T21" s="1985">
        <v>129047</v>
      </c>
      <c r="U21" s="1757"/>
      <c r="V21" s="1764"/>
      <c r="W21" s="2762"/>
      <c r="X21" s="1759" t="str">
        <f t="shared" si="8"/>
        <v>平成9年度</v>
      </c>
      <c r="Y21" s="1986">
        <v>1115993</v>
      </c>
      <c r="Z21" s="1986">
        <v>94557</v>
      </c>
      <c r="AA21" s="1986">
        <v>1210550</v>
      </c>
      <c r="AB21" s="1986">
        <v>129047</v>
      </c>
      <c r="AC21" s="1757"/>
    </row>
    <row r="22" spans="1:29">
      <c r="A22" s="2762"/>
      <c r="B22" s="1760" t="s">
        <v>5211</v>
      </c>
      <c r="C22" s="1758">
        <f t="shared" si="0"/>
        <v>1319568</v>
      </c>
      <c r="D22" s="1758">
        <f t="shared" si="1"/>
        <v>151918</v>
      </c>
      <c r="E22" s="1758">
        <f t="shared" si="2"/>
        <v>1471486</v>
      </c>
      <c r="F22" s="1758">
        <f t="shared" si="3"/>
        <v>161068</v>
      </c>
      <c r="G22" s="2018">
        <f>ROUND(C22/C$48*G$48,0)</f>
        <v>113583</v>
      </c>
      <c r="H22" s="1757">
        <f t="shared" si="5"/>
        <v>1205985</v>
      </c>
      <c r="I22" s="1751">
        <f>+VLOOKUP($B22,年度別調書!$A$4:$M$37,10,0)</f>
        <v>66701247191</v>
      </c>
      <c r="J22" s="1751">
        <f>+VLOOKUP($B22,年度別調書!$A$4:$M$37,13,0)</f>
        <v>118194473653</v>
      </c>
      <c r="K22" s="1757">
        <f t="shared" si="10"/>
        <v>680579</v>
      </c>
      <c r="L22" s="1757">
        <f t="shared" si="11"/>
        <v>525406</v>
      </c>
      <c r="M22" s="1763">
        <f t="shared" si="9"/>
        <v>0.41800000000512227</v>
      </c>
      <c r="N22" s="1948">
        <f>+海田!N22</f>
        <v>5</v>
      </c>
      <c r="O22" s="2762"/>
      <c r="P22" s="1759" t="str">
        <f t="shared" si="7"/>
        <v>平成10年度</v>
      </c>
      <c r="Q22" s="1985">
        <v>656381</v>
      </c>
      <c r="R22" s="1985">
        <v>79362</v>
      </c>
      <c r="S22" s="1985">
        <v>735743</v>
      </c>
      <c r="T22" s="1985">
        <v>80534</v>
      </c>
      <c r="U22" s="1757"/>
      <c r="V22" s="1764"/>
      <c r="W22" s="2762"/>
      <c r="X22" s="1759" t="str">
        <f t="shared" si="8"/>
        <v>平成10年度</v>
      </c>
      <c r="Y22" s="1986">
        <v>663187</v>
      </c>
      <c r="Z22" s="1986">
        <v>72556</v>
      </c>
      <c r="AA22" s="1986">
        <v>735743</v>
      </c>
      <c r="AB22" s="1986">
        <v>80534</v>
      </c>
      <c r="AC22" s="1757"/>
    </row>
    <row r="23" spans="1:29">
      <c r="A23" s="2762"/>
      <c r="B23" s="1760" t="s">
        <v>5212</v>
      </c>
      <c r="C23" s="1758">
        <f t="shared" si="0"/>
        <v>0</v>
      </c>
      <c r="D23" s="1758">
        <f t="shared" si="1"/>
        <v>0</v>
      </c>
      <c r="E23" s="1758">
        <f t="shared" si="2"/>
        <v>0</v>
      </c>
      <c r="F23" s="1758">
        <f t="shared" si="3"/>
        <v>0</v>
      </c>
      <c r="G23" s="1757">
        <f t="shared" si="4"/>
        <v>0</v>
      </c>
      <c r="H23" s="1757">
        <f t="shared" si="5"/>
        <v>0</v>
      </c>
      <c r="I23" s="1751">
        <f>+VLOOKUP($B23,年度別調書!$A$4:$M$37,10,0)</f>
        <v>58274420372</v>
      </c>
      <c r="J23" s="1751">
        <f>+VLOOKUP($B23,年度別調書!$A$4:$M$37,13,0)</f>
        <v>110790062218</v>
      </c>
      <c r="K23" s="1757">
        <f t="shared" ref="K23:K47" si="12">IFERROR(ROUND(H23*I23/J23,0),0)</f>
        <v>0</v>
      </c>
      <c r="L23" s="1757">
        <f t="shared" si="11"/>
        <v>0</v>
      </c>
      <c r="M23" s="1763">
        <f t="shared" si="9"/>
        <v>0</v>
      </c>
      <c r="N23" s="1948">
        <f>+海田!N23</f>
        <v>5</v>
      </c>
      <c r="O23" s="2762"/>
      <c r="P23" s="1759" t="str">
        <f t="shared" si="7"/>
        <v>平成11年度</v>
      </c>
      <c r="Q23" s="2084">
        <v>0</v>
      </c>
      <c r="R23" s="2084">
        <v>0</v>
      </c>
      <c r="S23" s="2084">
        <v>0</v>
      </c>
      <c r="T23" s="2084">
        <v>0</v>
      </c>
      <c r="U23" s="1757"/>
      <c r="V23" s="1764"/>
      <c r="W23" s="2762"/>
      <c r="X23" s="1759" t="str">
        <f t="shared" si="8"/>
        <v>平成11年度</v>
      </c>
      <c r="Y23" s="1986">
        <v>0</v>
      </c>
      <c r="Z23" s="1986">
        <v>0</v>
      </c>
      <c r="AA23" s="1986">
        <v>0</v>
      </c>
      <c r="AB23" s="1986">
        <v>0</v>
      </c>
      <c r="AC23" s="1757"/>
    </row>
    <row r="24" spans="1:29">
      <c r="A24" s="2762"/>
      <c r="B24" s="1760" t="s">
        <v>5213</v>
      </c>
      <c r="C24" s="1758">
        <f t="shared" si="0"/>
        <v>0</v>
      </c>
      <c r="D24" s="1758">
        <f t="shared" si="1"/>
        <v>0</v>
      </c>
      <c r="E24" s="1758">
        <f t="shared" si="2"/>
        <v>0</v>
      </c>
      <c r="F24" s="1758">
        <f t="shared" si="3"/>
        <v>0</v>
      </c>
      <c r="G24" s="1757">
        <f t="shared" si="4"/>
        <v>0</v>
      </c>
      <c r="H24" s="1757">
        <f t="shared" si="5"/>
        <v>0</v>
      </c>
      <c r="I24" s="1751">
        <f>+VLOOKUP($B24,年度別調書!$A$4:$M$37,10,0)</f>
        <v>48353931386</v>
      </c>
      <c r="J24" s="1751">
        <f>+VLOOKUP($B24,年度別調書!$A$4:$M$37,13,0)</f>
        <v>104173607652</v>
      </c>
      <c r="K24" s="1757">
        <f t="shared" si="12"/>
        <v>0</v>
      </c>
      <c r="L24" s="1757">
        <f t="shared" si="11"/>
        <v>0</v>
      </c>
      <c r="M24" s="1763">
        <f t="shared" si="9"/>
        <v>0</v>
      </c>
      <c r="N24" s="1948">
        <f>+海田!N24</f>
        <v>5</v>
      </c>
      <c r="O24" s="2762"/>
      <c r="P24" s="1759" t="str">
        <f t="shared" si="7"/>
        <v>平成12年度</v>
      </c>
      <c r="Q24" s="2084">
        <v>0</v>
      </c>
      <c r="R24" s="2084">
        <v>0</v>
      </c>
      <c r="S24" s="2084">
        <v>0</v>
      </c>
      <c r="T24" s="2084">
        <v>0</v>
      </c>
      <c r="U24" s="1757"/>
      <c r="V24" s="1764"/>
      <c r="W24" s="2762"/>
      <c r="X24" s="1759" t="str">
        <f t="shared" si="8"/>
        <v>平成12年度</v>
      </c>
      <c r="Y24" s="1986">
        <v>0</v>
      </c>
      <c r="Z24" s="1986">
        <v>0</v>
      </c>
      <c r="AA24" s="1986">
        <v>0</v>
      </c>
      <c r="AB24" s="1986">
        <v>0</v>
      </c>
      <c r="AC24" s="1757"/>
    </row>
    <row r="25" spans="1:29">
      <c r="A25" s="2762"/>
      <c r="B25" s="1760" t="s">
        <v>5214</v>
      </c>
      <c r="C25" s="1758">
        <f t="shared" si="0"/>
        <v>0</v>
      </c>
      <c r="D25" s="1758">
        <f t="shared" si="1"/>
        <v>0</v>
      </c>
      <c r="E25" s="1758">
        <f t="shared" si="2"/>
        <v>0</v>
      </c>
      <c r="F25" s="1758">
        <f t="shared" si="3"/>
        <v>0</v>
      </c>
      <c r="G25" s="1757">
        <f t="shared" si="4"/>
        <v>0</v>
      </c>
      <c r="H25" s="1757">
        <f t="shared" si="5"/>
        <v>0</v>
      </c>
      <c r="I25" s="1751">
        <f>+VLOOKUP($B25,年度別調書!$A$4:$M$37,10,0)</f>
        <v>42742028940</v>
      </c>
      <c r="J25" s="1751">
        <f>+VLOOKUP($B25,年度別調書!$A$4:$M$37,13,0)</f>
        <v>101075943440</v>
      </c>
      <c r="K25" s="1757">
        <f t="shared" si="12"/>
        <v>0</v>
      </c>
      <c r="L25" s="1757">
        <f t="shared" si="11"/>
        <v>0</v>
      </c>
      <c r="M25" s="1763">
        <f t="shared" si="9"/>
        <v>0</v>
      </c>
      <c r="N25" s="1948">
        <f>+海田!N25</f>
        <v>5</v>
      </c>
      <c r="O25" s="2762"/>
      <c r="P25" s="1759" t="str">
        <f t="shared" si="7"/>
        <v>平成13年度</v>
      </c>
      <c r="Q25" s="2084">
        <v>0</v>
      </c>
      <c r="R25" s="2084">
        <v>0</v>
      </c>
      <c r="S25" s="2084">
        <v>0</v>
      </c>
      <c r="T25" s="2084">
        <v>0</v>
      </c>
      <c r="U25" s="1757"/>
      <c r="V25" s="1764"/>
      <c r="W25" s="2762"/>
      <c r="X25" s="1759" t="str">
        <f t="shared" si="8"/>
        <v>平成13年度</v>
      </c>
      <c r="Y25" s="1986">
        <v>0</v>
      </c>
      <c r="Z25" s="1986">
        <v>0</v>
      </c>
      <c r="AA25" s="1986">
        <v>0</v>
      </c>
      <c r="AB25" s="1986">
        <v>0</v>
      </c>
      <c r="AC25" s="1757"/>
    </row>
    <row r="26" spans="1:29">
      <c r="A26" s="2762"/>
      <c r="B26" s="1760" t="s">
        <v>5215</v>
      </c>
      <c r="C26" s="1758">
        <f t="shared" si="0"/>
        <v>0</v>
      </c>
      <c r="D26" s="1758">
        <f t="shared" si="1"/>
        <v>0</v>
      </c>
      <c r="E26" s="1758">
        <f t="shared" si="2"/>
        <v>0</v>
      </c>
      <c r="F26" s="1758">
        <f t="shared" si="3"/>
        <v>0</v>
      </c>
      <c r="G26" s="1757">
        <f t="shared" si="4"/>
        <v>0</v>
      </c>
      <c r="H26" s="1757">
        <f t="shared" si="5"/>
        <v>0</v>
      </c>
      <c r="I26" s="1751">
        <f>+VLOOKUP($B26,年度別調書!$A$4:$M$37,10,0)</f>
        <v>38694694218</v>
      </c>
      <c r="J26" s="1751">
        <f>+VLOOKUP($B26,年度別調書!$A$4:$M$37,13,0)</f>
        <v>98151426478</v>
      </c>
      <c r="K26" s="1757">
        <f t="shared" si="12"/>
        <v>0</v>
      </c>
      <c r="L26" s="1757">
        <f t="shared" si="11"/>
        <v>0</v>
      </c>
      <c r="M26" s="1763">
        <f t="shared" si="9"/>
        <v>0</v>
      </c>
      <c r="N26" s="1948">
        <f>+海田!N26</f>
        <v>5</v>
      </c>
      <c r="O26" s="2762"/>
      <c r="P26" s="1759" t="str">
        <f t="shared" si="7"/>
        <v>平成14年度</v>
      </c>
      <c r="Q26" s="2084">
        <v>0</v>
      </c>
      <c r="R26" s="2084">
        <v>0</v>
      </c>
      <c r="S26" s="2084">
        <v>0</v>
      </c>
      <c r="T26" s="2084">
        <v>0</v>
      </c>
      <c r="U26" s="1757"/>
      <c r="V26" s="1764"/>
      <c r="W26" s="2762"/>
      <c r="X26" s="1759" t="str">
        <f t="shared" si="8"/>
        <v>平成14年度</v>
      </c>
      <c r="Y26" s="1986">
        <v>0</v>
      </c>
      <c r="Z26" s="1986">
        <v>0</v>
      </c>
      <c r="AA26" s="1986">
        <v>0</v>
      </c>
      <c r="AB26" s="1986">
        <v>0</v>
      </c>
      <c r="AC26" s="1757"/>
    </row>
    <row r="27" spans="1:29">
      <c r="A27" s="2762"/>
      <c r="B27" s="1760" t="s">
        <v>5216</v>
      </c>
      <c r="C27" s="1758">
        <f t="shared" si="0"/>
        <v>0</v>
      </c>
      <c r="D27" s="1758">
        <f t="shared" si="1"/>
        <v>0</v>
      </c>
      <c r="E27" s="1758">
        <f t="shared" si="2"/>
        <v>0</v>
      </c>
      <c r="F27" s="1758">
        <f t="shared" si="3"/>
        <v>0</v>
      </c>
      <c r="G27" s="1757">
        <f t="shared" si="4"/>
        <v>0</v>
      </c>
      <c r="H27" s="1757">
        <f t="shared" si="5"/>
        <v>0</v>
      </c>
      <c r="I27" s="1751">
        <f>+VLOOKUP($B27,年度別調書!$A$4:$M$37,10,0)</f>
        <v>37621895854</v>
      </c>
      <c r="J27" s="1751">
        <f>+VLOOKUP($B27,年度別調書!$A$4:$M$37,13,0)</f>
        <v>100825076572</v>
      </c>
      <c r="K27" s="1757">
        <f t="shared" si="12"/>
        <v>0</v>
      </c>
      <c r="L27" s="1757">
        <f t="shared" si="11"/>
        <v>0</v>
      </c>
      <c r="M27" s="1763">
        <f t="shared" si="9"/>
        <v>0</v>
      </c>
      <c r="N27" s="1948">
        <f>+海田!N27</f>
        <v>5</v>
      </c>
      <c r="O27" s="2762"/>
      <c r="P27" s="1759" t="str">
        <f t="shared" si="7"/>
        <v>平成15年度</v>
      </c>
      <c r="Q27" s="2084">
        <v>0</v>
      </c>
      <c r="R27" s="2084">
        <v>0</v>
      </c>
      <c r="S27" s="2084">
        <v>0</v>
      </c>
      <c r="T27" s="2084">
        <v>0</v>
      </c>
      <c r="U27" s="1757"/>
      <c r="V27" s="1764"/>
      <c r="W27" s="2762"/>
      <c r="X27" s="1759" t="str">
        <f t="shared" si="8"/>
        <v>平成15年度</v>
      </c>
      <c r="Y27" s="1986">
        <v>0</v>
      </c>
      <c r="Z27" s="1986">
        <v>0</v>
      </c>
      <c r="AA27" s="1986">
        <v>0</v>
      </c>
      <c r="AB27" s="1986">
        <v>0</v>
      </c>
      <c r="AC27" s="1757"/>
    </row>
    <row r="28" spans="1:29">
      <c r="A28" s="2762"/>
      <c r="B28" s="1760" t="s">
        <v>5217</v>
      </c>
      <c r="C28" s="1758">
        <f t="shared" si="0"/>
        <v>0</v>
      </c>
      <c r="D28" s="1758">
        <f t="shared" si="1"/>
        <v>0</v>
      </c>
      <c r="E28" s="1758">
        <f t="shared" si="2"/>
        <v>0</v>
      </c>
      <c r="F28" s="1758">
        <f t="shared" si="3"/>
        <v>0</v>
      </c>
      <c r="G28" s="1757">
        <f t="shared" si="4"/>
        <v>0</v>
      </c>
      <c r="H28" s="1757">
        <f t="shared" si="5"/>
        <v>0</v>
      </c>
      <c r="I28" s="1751">
        <f>+VLOOKUP($B28,年度別調書!$A$4:$M$37,10,0)</f>
        <v>29085465357</v>
      </c>
      <c r="J28" s="1751">
        <f>+VLOOKUP($B28,年度別調書!$A$4:$M$37,13,0)</f>
        <v>101305165124</v>
      </c>
      <c r="K28" s="1757">
        <f t="shared" si="12"/>
        <v>0</v>
      </c>
      <c r="L28" s="1757">
        <f t="shared" si="11"/>
        <v>0</v>
      </c>
      <c r="M28" s="1763">
        <f t="shared" si="9"/>
        <v>0</v>
      </c>
      <c r="N28" s="1948">
        <f>+海田!N28</f>
        <v>5</v>
      </c>
      <c r="O28" s="2762"/>
      <c r="P28" s="1759" t="str">
        <f t="shared" si="7"/>
        <v>平成16年度</v>
      </c>
      <c r="Q28" s="2084">
        <v>0</v>
      </c>
      <c r="R28" s="2084">
        <v>0</v>
      </c>
      <c r="S28" s="2084">
        <v>0</v>
      </c>
      <c r="T28" s="2084">
        <v>0</v>
      </c>
      <c r="U28" s="1757"/>
      <c r="V28" s="1764"/>
      <c r="W28" s="2762"/>
      <c r="X28" s="1759" t="str">
        <f t="shared" si="8"/>
        <v>平成16年度</v>
      </c>
      <c r="Y28" s="1986">
        <v>0</v>
      </c>
      <c r="Z28" s="1986">
        <v>0</v>
      </c>
      <c r="AA28" s="1986">
        <v>0</v>
      </c>
      <c r="AB28" s="1986">
        <v>0</v>
      </c>
      <c r="AC28" s="1757"/>
    </row>
    <row r="29" spans="1:29">
      <c r="A29" s="2762"/>
      <c r="B29" s="1760" t="s">
        <v>5218</v>
      </c>
      <c r="C29" s="1758">
        <f t="shared" si="0"/>
        <v>0</v>
      </c>
      <c r="D29" s="1758">
        <f t="shared" si="1"/>
        <v>0</v>
      </c>
      <c r="E29" s="1758">
        <f t="shared" si="2"/>
        <v>0</v>
      </c>
      <c r="F29" s="1758">
        <f t="shared" si="3"/>
        <v>0</v>
      </c>
      <c r="G29" s="1757">
        <f t="shared" si="4"/>
        <v>0</v>
      </c>
      <c r="H29" s="1757">
        <f t="shared" si="5"/>
        <v>0</v>
      </c>
      <c r="I29" s="1751">
        <f>+VLOOKUP($B29,年度別調書!$A$4:$M$37,10,0)</f>
        <v>25082997134</v>
      </c>
      <c r="J29" s="1751">
        <f>+VLOOKUP($B29,年度別調書!$A$4:$M$37,13,0)</f>
        <v>96528725584</v>
      </c>
      <c r="K29" s="1757">
        <f t="shared" si="12"/>
        <v>0</v>
      </c>
      <c r="L29" s="1757">
        <f t="shared" si="11"/>
        <v>0</v>
      </c>
      <c r="M29" s="1763">
        <f t="shared" si="9"/>
        <v>0</v>
      </c>
      <c r="N29" s="1948">
        <f>+海田!N29</f>
        <v>5</v>
      </c>
      <c r="O29" s="2762"/>
      <c r="P29" s="1759" t="str">
        <f t="shared" si="7"/>
        <v>平成17年度</v>
      </c>
      <c r="Q29" s="2084">
        <v>0</v>
      </c>
      <c r="R29" s="2084">
        <v>0</v>
      </c>
      <c r="S29" s="2084">
        <v>0</v>
      </c>
      <c r="T29" s="2084">
        <v>0</v>
      </c>
      <c r="U29" s="1757"/>
      <c r="V29" s="1764"/>
      <c r="W29" s="2762"/>
      <c r="X29" s="1759" t="str">
        <f t="shared" si="8"/>
        <v>平成17年度</v>
      </c>
      <c r="Y29" s="1986">
        <v>0</v>
      </c>
      <c r="Z29" s="1986">
        <v>0</v>
      </c>
      <c r="AA29" s="1986">
        <v>0</v>
      </c>
      <c r="AB29" s="1986">
        <v>0</v>
      </c>
      <c r="AC29" s="1757"/>
    </row>
    <row r="30" spans="1:29">
      <c r="A30" s="2762"/>
      <c r="B30" s="1760" t="s">
        <v>5219</v>
      </c>
      <c r="C30" s="1758">
        <f t="shared" si="0"/>
        <v>0</v>
      </c>
      <c r="D30" s="1758">
        <f t="shared" si="1"/>
        <v>0</v>
      </c>
      <c r="E30" s="1758">
        <f t="shared" si="2"/>
        <v>0</v>
      </c>
      <c r="F30" s="1758">
        <f t="shared" si="3"/>
        <v>0</v>
      </c>
      <c r="G30" s="1757">
        <f t="shared" si="4"/>
        <v>0</v>
      </c>
      <c r="H30" s="1757">
        <f t="shared" si="5"/>
        <v>0</v>
      </c>
      <c r="I30" s="1751">
        <f>+VLOOKUP($B30,年度別調書!$A$4:$M$37,10,0)</f>
        <v>21657707574</v>
      </c>
      <c r="J30" s="1751">
        <f>+VLOOKUP($B30,年度別調書!$A$4:$M$37,13,0)</f>
        <v>84768578867</v>
      </c>
      <c r="K30" s="1757">
        <f t="shared" si="12"/>
        <v>0</v>
      </c>
      <c r="L30" s="1757">
        <f t="shared" si="11"/>
        <v>0</v>
      </c>
      <c r="M30" s="1763">
        <f t="shared" si="9"/>
        <v>0</v>
      </c>
      <c r="N30" s="1948">
        <f>+海田!N30</f>
        <v>5</v>
      </c>
      <c r="O30" s="2762"/>
      <c r="P30" s="1759" t="str">
        <f t="shared" si="7"/>
        <v>平成18年度</v>
      </c>
      <c r="Q30" s="2084">
        <v>0</v>
      </c>
      <c r="R30" s="2084">
        <v>0</v>
      </c>
      <c r="S30" s="2084">
        <v>0</v>
      </c>
      <c r="T30" s="2084">
        <v>0</v>
      </c>
      <c r="U30" s="1757"/>
      <c r="V30" s="1764"/>
      <c r="W30" s="2762"/>
      <c r="X30" s="1759" t="str">
        <f t="shared" si="8"/>
        <v>平成18年度</v>
      </c>
      <c r="Y30" s="1986">
        <v>0</v>
      </c>
      <c r="Z30" s="1986">
        <v>0</v>
      </c>
      <c r="AA30" s="1986">
        <v>0</v>
      </c>
      <c r="AB30" s="1986">
        <v>0</v>
      </c>
      <c r="AC30" s="1757"/>
    </row>
    <row r="31" spans="1:29">
      <c r="A31" s="2762"/>
      <c r="B31" s="1760" t="s">
        <v>5220</v>
      </c>
      <c r="C31" s="1758">
        <f t="shared" si="0"/>
        <v>0</v>
      </c>
      <c r="D31" s="1758">
        <f t="shared" si="1"/>
        <v>0</v>
      </c>
      <c r="E31" s="1758">
        <f t="shared" si="2"/>
        <v>0</v>
      </c>
      <c r="F31" s="1758">
        <f t="shared" si="3"/>
        <v>0</v>
      </c>
      <c r="G31" s="1757">
        <f t="shared" si="4"/>
        <v>0</v>
      </c>
      <c r="H31" s="1757">
        <f t="shared" si="5"/>
        <v>0</v>
      </c>
      <c r="I31" s="1751">
        <f>+VLOOKUP($B31,年度別調書!$A$4:$M$37,10,0)</f>
        <v>25422571996</v>
      </c>
      <c r="J31" s="1751">
        <f>+VLOOKUP($B31,年度別調書!$A$4:$M$37,13,0)</f>
        <v>105576318079</v>
      </c>
      <c r="K31" s="1757">
        <f t="shared" si="12"/>
        <v>0</v>
      </c>
      <c r="L31" s="1757">
        <f t="shared" si="11"/>
        <v>0</v>
      </c>
      <c r="M31" s="1763">
        <f t="shared" si="9"/>
        <v>0</v>
      </c>
      <c r="N31" s="1948">
        <f>+海田!N31</f>
        <v>5</v>
      </c>
      <c r="O31" s="2762"/>
      <c r="P31" s="1759" t="str">
        <f t="shared" si="7"/>
        <v>平成19年度</v>
      </c>
      <c r="Q31" s="2084">
        <v>0</v>
      </c>
      <c r="R31" s="2084">
        <v>0</v>
      </c>
      <c r="S31" s="2084">
        <v>0</v>
      </c>
      <c r="T31" s="2084">
        <v>0</v>
      </c>
      <c r="U31" s="1757"/>
      <c r="V31" s="1764"/>
      <c r="W31" s="2762"/>
      <c r="X31" s="1759" t="str">
        <f t="shared" si="8"/>
        <v>平成19年度</v>
      </c>
      <c r="Y31" s="1986">
        <v>0</v>
      </c>
      <c r="Z31" s="1986">
        <v>0</v>
      </c>
      <c r="AA31" s="1986">
        <v>0</v>
      </c>
      <c r="AB31" s="1986">
        <v>0</v>
      </c>
      <c r="AC31" s="1757"/>
    </row>
    <row r="32" spans="1:29">
      <c r="A32" s="2762"/>
      <c r="B32" s="1760" t="s">
        <v>5221</v>
      </c>
      <c r="C32" s="1758">
        <f t="shared" si="0"/>
        <v>0</v>
      </c>
      <c r="D32" s="1758">
        <f t="shared" si="1"/>
        <v>0</v>
      </c>
      <c r="E32" s="1758">
        <f t="shared" si="2"/>
        <v>0</v>
      </c>
      <c r="F32" s="1758">
        <f t="shared" si="3"/>
        <v>0</v>
      </c>
      <c r="G32" s="1757">
        <f t="shared" si="4"/>
        <v>0</v>
      </c>
      <c r="H32" s="1757">
        <f t="shared" si="5"/>
        <v>0</v>
      </c>
      <c r="I32" s="1751">
        <f>+VLOOKUP($B32,年度別調書!$A$4:$M$37,10,0)</f>
        <v>24693835462</v>
      </c>
      <c r="J32" s="1751">
        <f>+VLOOKUP($B32,年度別調書!$A$4:$M$37,13,0)</f>
        <v>110401232854</v>
      </c>
      <c r="K32" s="1757">
        <f t="shared" si="12"/>
        <v>0</v>
      </c>
      <c r="L32" s="1757">
        <f t="shared" si="11"/>
        <v>0</v>
      </c>
      <c r="M32" s="1763">
        <f t="shared" si="9"/>
        <v>0</v>
      </c>
      <c r="N32" s="1948">
        <f>+海田!N32</f>
        <v>5</v>
      </c>
      <c r="O32" s="2762"/>
      <c r="P32" s="1759" t="str">
        <f t="shared" si="7"/>
        <v>平成20年度</v>
      </c>
      <c r="Q32" s="2084">
        <v>0</v>
      </c>
      <c r="R32" s="2084">
        <v>0</v>
      </c>
      <c r="S32" s="2084">
        <v>0</v>
      </c>
      <c r="T32" s="2084">
        <v>0</v>
      </c>
      <c r="U32" s="1757"/>
      <c r="V32" s="1764"/>
      <c r="W32" s="2762"/>
      <c r="X32" s="1759" t="str">
        <f t="shared" si="8"/>
        <v>平成20年度</v>
      </c>
      <c r="Y32" s="1986">
        <v>0</v>
      </c>
      <c r="Z32" s="1986">
        <v>0</v>
      </c>
      <c r="AA32" s="1986">
        <v>0</v>
      </c>
      <c r="AB32" s="1986">
        <v>0</v>
      </c>
      <c r="AC32" s="1757"/>
    </row>
    <row r="33" spans="1:29">
      <c r="A33" s="2762"/>
      <c r="B33" s="1760" t="s">
        <v>5222</v>
      </c>
      <c r="C33" s="1758">
        <f t="shared" si="0"/>
        <v>0</v>
      </c>
      <c r="D33" s="1758">
        <f t="shared" si="1"/>
        <v>0</v>
      </c>
      <c r="E33" s="1758">
        <f t="shared" si="2"/>
        <v>0</v>
      </c>
      <c r="F33" s="1758">
        <f t="shared" si="3"/>
        <v>0</v>
      </c>
      <c r="G33" s="1757">
        <f t="shared" si="4"/>
        <v>0</v>
      </c>
      <c r="H33" s="1757">
        <f t="shared" si="5"/>
        <v>0</v>
      </c>
      <c r="I33" s="1751">
        <f>+VLOOKUP($B33,年度別調書!$A$4:$M$37,10,0)</f>
        <v>22324372880</v>
      </c>
      <c r="J33" s="1751">
        <f>+VLOOKUP($B33,年度別調書!$A$4:$M$37,13,0)</f>
        <v>88097108350</v>
      </c>
      <c r="K33" s="1757">
        <f t="shared" si="12"/>
        <v>0</v>
      </c>
      <c r="L33" s="1757">
        <f t="shared" si="11"/>
        <v>0</v>
      </c>
      <c r="M33" s="1763">
        <f t="shared" si="9"/>
        <v>0</v>
      </c>
      <c r="N33" s="1948">
        <f>+海田!N33</f>
        <v>5</v>
      </c>
      <c r="O33" s="2762"/>
      <c r="P33" s="1759" t="str">
        <f t="shared" si="7"/>
        <v>平成21年度</v>
      </c>
      <c r="Q33" s="2084">
        <v>0</v>
      </c>
      <c r="R33" s="2084">
        <v>0</v>
      </c>
      <c r="S33" s="2084">
        <v>0</v>
      </c>
      <c r="T33" s="2084">
        <v>0</v>
      </c>
      <c r="U33" s="1757"/>
      <c r="V33" s="1764"/>
      <c r="W33" s="2762"/>
      <c r="X33" s="1759" t="str">
        <f t="shared" si="8"/>
        <v>平成21年度</v>
      </c>
      <c r="Y33" s="1986">
        <v>0</v>
      </c>
      <c r="Z33" s="1986">
        <v>0</v>
      </c>
      <c r="AA33" s="1986">
        <v>0</v>
      </c>
      <c r="AB33" s="1986">
        <v>0</v>
      </c>
      <c r="AC33" s="1757"/>
    </row>
    <row r="34" spans="1:29">
      <c r="A34" s="2762"/>
      <c r="B34" s="1760" t="s">
        <v>5223</v>
      </c>
      <c r="C34" s="1758">
        <f t="shared" si="0"/>
        <v>0</v>
      </c>
      <c r="D34" s="1758">
        <f t="shared" si="1"/>
        <v>0</v>
      </c>
      <c r="E34" s="1758">
        <f t="shared" si="2"/>
        <v>0</v>
      </c>
      <c r="F34" s="1758">
        <f t="shared" si="3"/>
        <v>0</v>
      </c>
      <c r="G34" s="1757">
        <f t="shared" si="4"/>
        <v>0</v>
      </c>
      <c r="H34" s="1757">
        <f t="shared" si="5"/>
        <v>0</v>
      </c>
      <c r="I34" s="1751">
        <f>+VLOOKUP($B34,年度別調書!$A$4:$M$37,10,0)</f>
        <v>26326163485</v>
      </c>
      <c r="J34" s="1751">
        <f>+VLOOKUP($B34,年度別調書!$A$4:$M$37,13,0)</f>
        <v>102723057143</v>
      </c>
      <c r="K34" s="1757">
        <f t="shared" si="12"/>
        <v>0</v>
      </c>
      <c r="L34" s="1757">
        <f t="shared" si="11"/>
        <v>0</v>
      </c>
      <c r="M34" s="1763">
        <f t="shared" si="9"/>
        <v>0</v>
      </c>
      <c r="N34" s="1948">
        <f>+海田!N34</f>
        <v>5</v>
      </c>
      <c r="O34" s="2762"/>
      <c r="P34" s="1759" t="str">
        <f t="shared" si="7"/>
        <v>平成22年度</v>
      </c>
      <c r="Q34" s="2084">
        <v>0</v>
      </c>
      <c r="R34" s="2084">
        <v>0</v>
      </c>
      <c r="S34" s="2084">
        <v>0</v>
      </c>
      <c r="T34" s="2084">
        <v>0</v>
      </c>
      <c r="U34" s="1757"/>
      <c r="V34" s="1764"/>
      <c r="W34" s="2762"/>
      <c r="X34" s="1759" t="str">
        <f t="shared" si="8"/>
        <v>平成22年度</v>
      </c>
      <c r="Y34" s="1986">
        <v>0</v>
      </c>
      <c r="Z34" s="1986">
        <v>0</v>
      </c>
      <c r="AA34" s="1986">
        <v>0</v>
      </c>
      <c r="AB34" s="1986">
        <v>0</v>
      </c>
      <c r="AC34" s="1757"/>
    </row>
    <row r="35" spans="1:29">
      <c r="A35" s="2762"/>
      <c r="B35" s="1760" t="s">
        <v>5224</v>
      </c>
      <c r="C35" s="1758">
        <f t="shared" si="0"/>
        <v>0</v>
      </c>
      <c r="D35" s="1758">
        <f t="shared" si="1"/>
        <v>0</v>
      </c>
      <c r="E35" s="1758">
        <f t="shared" si="2"/>
        <v>0</v>
      </c>
      <c r="F35" s="1758">
        <f t="shared" si="3"/>
        <v>0</v>
      </c>
      <c r="G35" s="1757">
        <f t="shared" si="4"/>
        <v>0</v>
      </c>
      <c r="H35" s="1757">
        <f t="shared" si="5"/>
        <v>0</v>
      </c>
      <c r="I35" s="1751">
        <f>+VLOOKUP($B35,年度別調書!$A$4:$M$37,10,0)</f>
        <v>26883440277</v>
      </c>
      <c r="J35" s="1751">
        <f>+VLOOKUP($B35,年度別調書!$A$4:$M$37,13,0)</f>
        <v>99758377045</v>
      </c>
      <c r="K35" s="1757">
        <f t="shared" si="12"/>
        <v>0</v>
      </c>
      <c r="L35" s="1757">
        <f t="shared" si="11"/>
        <v>0</v>
      </c>
      <c r="M35" s="1763">
        <f t="shared" si="9"/>
        <v>0</v>
      </c>
      <c r="N35" s="1948">
        <f>+海田!N35</f>
        <v>5</v>
      </c>
      <c r="O35" s="2762"/>
      <c r="P35" s="1759" t="str">
        <f t="shared" si="7"/>
        <v>平成23年度</v>
      </c>
      <c r="Q35" s="2084">
        <v>0</v>
      </c>
      <c r="R35" s="2084">
        <v>0</v>
      </c>
      <c r="S35" s="2084">
        <v>0</v>
      </c>
      <c r="T35" s="2084">
        <v>0</v>
      </c>
      <c r="U35" s="1757"/>
      <c r="V35" s="1764"/>
      <c r="W35" s="2762"/>
      <c r="X35" s="1759" t="str">
        <f t="shared" si="8"/>
        <v>平成23年度</v>
      </c>
      <c r="Y35" s="1986">
        <v>0</v>
      </c>
      <c r="Z35" s="1986">
        <v>0</v>
      </c>
      <c r="AA35" s="1986">
        <v>0</v>
      </c>
      <c r="AB35" s="1986">
        <v>0</v>
      </c>
      <c r="AC35" s="1757"/>
    </row>
    <row r="36" spans="1:29">
      <c r="A36" s="2762"/>
      <c r="B36" s="1760" t="s">
        <v>5225</v>
      </c>
      <c r="C36" s="1758">
        <f t="shared" si="0"/>
        <v>0</v>
      </c>
      <c r="D36" s="1758">
        <f t="shared" si="1"/>
        <v>0</v>
      </c>
      <c r="E36" s="1758">
        <f t="shared" si="2"/>
        <v>0</v>
      </c>
      <c r="F36" s="1758">
        <f t="shared" si="3"/>
        <v>0</v>
      </c>
      <c r="G36" s="1757">
        <f t="shared" si="4"/>
        <v>0</v>
      </c>
      <c r="H36" s="1757">
        <f t="shared" si="5"/>
        <v>0</v>
      </c>
      <c r="I36" s="1751">
        <f>+VLOOKUP($B36,年度別調書!$A$4:$M$37,10,0)</f>
        <v>20821234544</v>
      </c>
      <c r="J36" s="1751">
        <f>+VLOOKUP($B36,年度別調書!$A$4:$M$37,13,0)</f>
        <v>101115908424</v>
      </c>
      <c r="K36" s="1757">
        <f t="shared" si="12"/>
        <v>0</v>
      </c>
      <c r="L36" s="1757">
        <f t="shared" si="11"/>
        <v>0</v>
      </c>
      <c r="M36" s="1763">
        <f t="shared" si="9"/>
        <v>0</v>
      </c>
      <c r="N36" s="1948">
        <f>+海田!N36</f>
        <v>5</v>
      </c>
      <c r="O36" s="2762"/>
      <c r="P36" s="1759" t="str">
        <f t="shared" si="7"/>
        <v>平成24年度</v>
      </c>
      <c r="Q36" s="2084">
        <v>0</v>
      </c>
      <c r="R36" s="2084">
        <v>0</v>
      </c>
      <c r="S36" s="2084">
        <v>0</v>
      </c>
      <c r="T36" s="2084">
        <v>0</v>
      </c>
      <c r="U36" s="1757"/>
      <c r="V36" s="1764"/>
      <c r="W36" s="2762"/>
      <c r="X36" s="1759" t="str">
        <f t="shared" si="8"/>
        <v>平成24年度</v>
      </c>
      <c r="Y36" s="1986">
        <v>0</v>
      </c>
      <c r="Z36" s="1986">
        <v>0</v>
      </c>
      <c r="AA36" s="1986">
        <v>0</v>
      </c>
      <c r="AB36" s="1986">
        <v>0</v>
      </c>
      <c r="AC36" s="1757"/>
    </row>
    <row r="37" spans="1:29">
      <c r="A37" s="2762"/>
      <c r="B37" s="1760" t="s">
        <v>5226</v>
      </c>
      <c r="C37" s="1758">
        <f t="shared" si="0"/>
        <v>80593</v>
      </c>
      <c r="D37" s="1758">
        <f t="shared" si="1"/>
        <v>24583</v>
      </c>
      <c r="E37" s="1758">
        <f t="shared" si="2"/>
        <v>105176</v>
      </c>
      <c r="F37" s="1758">
        <f t="shared" si="3"/>
        <v>11804</v>
      </c>
      <c r="G37" s="2018">
        <f>ROUND(C37/C$48*G$48,0)</f>
        <v>6937</v>
      </c>
      <c r="H37" s="1757">
        <f t="shared" si="5"/>
        <v>73656</v>
      </c>
      <c r="I37" s="1751">
        <f>+VLOOKUP($B37,年度別調書!$A$4:$M$37,10,0)</f>
        <v>22169870622</v>
      </c>
      <c r="J37" s="1751">
        <f>+VLOOKUP($B37,年度別調書!$A$4:$M$37,13,0)</f>
        <v>87897420767</v>
      </c>
      <c r="K37" s="1757">
        <f t="shared" si="12"/>
        <v>18578</v>
      </c>
      <c r="L37" s="1757">
        <f t="shared" si="11"/>
        <v>55078</v>
      </c>
      <c r="M37" s="1763">
        <f t="shared" si="9"/>
        <v>0.14000000000032742</v>
      </c>
      <c r="N37" s="1948">
        <f>+海田!N37</f>
        <v>5</v>
      </c>
      <c r="O37" s="2762"/>
      <c r="P37" s="1759" t="str">
        <f t="shared" si="7"/>
        <v>平成25年度</v>
      </c>
      <c r="Q37" s="1985">
        <v>40172</v>
      </c>
      <c r="R37" s="1985">
        <v>12416</v>
      </c>
      <c r="S37" s="1985">
        <v>52588</v>
      </c>
      <c r="T37" s="1985">
        <v>5902</v>
      </c>
      <c r="U37" s="1757"/>
      <c r="V37" s="1764"/>
      <c r="W37" s="2762"/>
      <c r="X37" s="1759" t="str">
        <f t="shared" si="8"/>
        <v>平成25年度</v>
      </c>
      <c r="Y37" s="1986">
        <v>40421</v>
      </c>
      <c r="Z37" s="1986">
        <v>12167</v>
      </c>
      <c r="AA37" s="1986">
        <v>52588</v>
      </c>
      <c r="AB37" s="1986">
        <v>5902</v>
      </c>
      <c r="AC37" s="1757"/>
    </row>
    <row r="38" spans="1:29">
      <c r="A38" s="2762"/>
      <c r="B38" s="1760" t="s">
        <v>5227</v>
      </c>
      <c r="C38" s="1758">
        <f t="shared" si="0"/>
        <v>0</v>
      </c>
      <c r="D38" s="1758">
        <f t="shared" si="1"/>
        <v>0</v>
      </c>
      <c r="E38" s="1758">
        <f t="shared" si="2"/>
        <v>0</v>
      </c>
      <c r="F38" s="1758">
        <f t="shared" si="3"/>
        <v>0</v>
      </c>
      <c r="G38" s="1757">
        <f t="shared" si="4"/>
        <v>0</v>
      </c>
      <c r="H38" s="1757">
        <f t="shared" si="5"/>
        <v>0</v>
      </c>
      <c r="I38" s="1751">
        <f>+VLOOKUP($B38,年度別調書!$A$4:$M$37,10,0)</f>
        <v>20924492616</v>
      </c>
      <c r="J38" s="1751">
        <f>+VLOOKUP($B38,年度別調書!$A$4:$M$37,13,0)</f>
        <v>99556890040</v>
      </c>
      <c r="K38" s="1757">
        <f t="shared" si="12"/>
        <v>0</v>
      </c>
      <c r="L38" s="1757">
        <f t="shared" si="11"/>
        <v>0</v>
      </c>
      <c r="M38" s="1763">
        <f t="shared" si="9"/>
        <v>0</v>
      </c>
      <c r="N38" s="1948">
        <f>+海田!N38</f>
        <v>8</v>
      </c>
      <c r="O38" s="2762"/>
      <c r="P38" s="1759" t="str">
        <f t="shared" si="7"/>
        <v>平成26年度</v>
      </c>
      <c r="Q38" s="2084">
        <v>0</v>
      </c>
      <c r="R38" s="2084">
        <v>0</v>
      </c>
      <c r="S38" s="2084">
        <v>0</v>
      </c>
      <c r="T38" s="2084">
        <v>0</v>
      </c>
      <c r="U38" s="1757"/>
      <c r="V38" s="1764"/>
      <c r="W38" s="2762"/>
      <c r="X38" s="1759" t="str">
        <f t="shared" si="8"/>
        <v>平成26年度</v>
      </c>
      <c r="Y38" s="1986">
        <v>0</v>
      </c>
      <c r="Z38" s="1986">
        <v>0</v>
      </c>
      <c r="AA38" s="1986">
        <v>0</v>
      </c>
      <c r="AB38" s="1986">
        <v>0</v>
      </c>
      <c r="AC38" s="1757"/>
    </row>
    <row r="39" spans="1:29">
      <c r="A39" s="2762"/>
      <c r="B39" s="1760" t="s">
        <v>5228</v>
      </c>
      <c r="C39" s="1758">
        <f t="shared" si="0"/>
        <v>158844</v>
      </c>
      <c r="D39" s="1758">
        <f t="shared" si="1"/>
        <v>23178</v>
      </c>
      <c r="E39" s="1758">
        <f t="shared" si="2"/>
        <v>182022</v>
      </c>
      <c r="F39" s="1758">
        <f t="shared" si="3"/>
        <v>20428</v>
      </c>
      <c r="G39" s="1757">
        <f t="shared" si="4"/>
        <v>13673</v>
      </c>
      <c r="H39" s="1757">
        <f t="shared" si="5"/>
        <v>145171</v>
      </c>
      <c r="I39" s="1751">
        <f>+VLOOKUP($B39,年度別調書!$A$4:$M$37,10,0)</f>
        <v>21176145645</v>
      </c>
      <c r="J39" s="1751">
        <f>+VLOOKUP($B39,年度別調書!$A$4:$M$37,13,0)</f>
        <v>104805589178</v>
      </c>
      <c r="K39" s="1757">
        <f t="shared" si="12"/>
        <v>29332</v>
      </c>
      <c r="L39" s="1757">
        <f t="shared" si="11"/>
        <v>115839</v>
      </c>
      <c r="M39" s="1763">
        <f t="shared" si="9"/>
        <v>-0.30999999999949068</v>
      </c>
      <c r="N39" s="1948">
        <f>+海田!N39</f>
        <v>8</v>
      </c>
      <c r="O39" s="2762"/>
      <c r="P39" s="1759" t="str">
        <f t="shared" si="7"/>
        <v>平成27年度</v>
      </c>
      <c r="Q39" s="1985">
        <v>79307</v>
      </c>
      <c r="R39" s="1985">
        <v>11704</v>
      </c>
      <c r="S39" s="1985">
        <v>91011</v>
      </c>
      <c r="T39" s="1985">
        <v>10214</v>
      </c>
      <c r="U39" s="1757"/>
      <c r="V39" s="1764"/>
      <c r="W39" s="2762"/>
      <c r="X39" s="1759" t="str">
        <f t="shared" si="8"/>
        <v>平成27年度</v>
      </c>
      <c r="Y39" s="1986">
        <v>79537</v>
      </c>
      <c r="Z39" s="1986">
        <v>11474</v>
      </c>
      <c r="AA39" s="1986">
        <v>91011</v>
      </c>
      <c r="AB39" s="1986">
        <v>10214</v>
      </c>
      <c r="AC39" s="1757"/>
    </row>
    <row r="40" spans="1:29">
      <c r="A40" s="2762"/>
      <c r="B40" s="1760" t="s">
        <v>5229</v>
      </c>
      <c r="C40" s="1758">
        <f t="shared" si="0"/>
        <v>609879</v>
      </c>
      <c r="D40" s="1758">
        <f t="shared" si="1"/>
        <v>80022</v>
      </c>
      <c r="E40" s="1758">
        <f t="shared" si="2"/>
        <v>689901</v>
      </c>
      <c r="F40" s="1758">
        <f t="shared" si="3"/>
        <v>77426</v>
      </c>
      <c r="G40" s="2086">
        <f t="shared" si="4"/>
        <v>52496</v>
      </c>
      <c r="H40" s="1757">
        <f t="shared" si="5"/>
        <v>557383</v>
      </c>
      <c r="I40" s="1751">
        <f>+VLOOKUP($B40,年度別調書!$A$4:$M$37,10,0)</f>
        <v>23487276785</v>
      </c>
      <c r="J40" s="1751">
        <f>+VLOOKUP($B40,年度別調書!$A$4:$M$37,13,0)</f>
        <v>105396818589</v>
      </c>
      <c r="K40" s="1757">
        <f t="shared" si="12"/>
        <v>124211</v>
      </c>
      <c r="L40" s="1757">
        <f t="shared" si="11"/>
        <v>433172</v>
      </c>
      <c r="M40" s="1763">
        <f t="shared" si="9"/>
        <v>7.6000000000931323E-2</v>
      </c>
      <c r="N40" s="1948">
        <f>+海田!N40</f>
        <v>8</v>
      </c>
      <c r="O40" s="2762"/>
      <c r="P40" s="1759" t="str">
        <f t="shared" si="7"/>
        <v>平成28年度</v>
      </c>
      <c r="Q40" s="1985">
        <v>304578</v>
      </c>
      <c r="R40" s="1985">
        <v>40418</v>
      </c>
      <c r="S40" s="1985">
        <v>344996</v>
      </c>
      <c r="T40" s="1985">
        <v>38718</v>
      </c>
      <c r="U40" s="1757"/>
      <c r="V40" s="1764"/>
      <c r="W40" s="2762"/>
      <c r="X40" s="1759" t="str">
        <f t="shared" si="8"/>
        <v>平成28年度</v>
      </c>
      <c r="Y40" s="1986">
        <v>305301</v>
      </c>
      <c r="Z40" s="1986">
        <v>39604</v>
      </c>
      <c r="AA40" s="1986">
        <v>344905</v>
      </c>
      <c r="AB40" s="1986">
        <v>38708</v>
      </c>
      <c r="AC40" s="1757"/>
    </row>
    <row r="41" spans="1:29">
      <c r="A41" s="2762"/>
      <c r="B41" s="1760" t="s">
        <v>5230</v>
      </c>
      <c r="C41" s="1758">
        <f t="shared" si="0"/>
        <v>172882</v>
      </c>
      <c r="D41" s="1758">
        <f t="shared" si="1"/>
        <v>124188</v>
      </c>
      <c r="E41" s="1758">
        <f t="shared" si="2"/>
        <v>297070</v>
      </c>
      <c r="F41" s="1758">
        <f t="shared" si="3"/>
        <v>33339</v>
      </c>
      <c r="G41" s="1757">
        <f t="shared" si="4"/>
        <v>14881</v>
      </c>
      <c r="H41" s="1757">
        <f t="shared" si="5"/>
        <v>158001</v>
      </c>
      <c r="I41" s="1751">
        <f>+VLOOKUP($B41,年度別調書!$A$4:$M$37,10,0)</f>
        <v>19481573724</v>
      </c>
      <c r="J41" s="1751">
        <f>+VLOOKUP($B41,年度別調書!$A$4:$M$37,13,0)</f>
        <v>99607043975</v>
      </c>
      <c r="K41" s="1757">
        <f t="shared" si="12"/>
        <v>30903</v>
      </c>
      <c r="L41" s="1757">
        <f t="shared" si="11"/>
        <v>127098</v>
      </c>
      <c r="M41" s="1763">
        <f t="shared" si="9"/>
        <v>2.8000000000247383E-2</v>
      </c>
      <c r="N41" s="1948">
        <f>+海田!N41</f>
        <v>8</v>
      </c>
      <c r="O41" s="2762"/>
      <c r="P41" s="1759" t="str">
        <f t="shared" si="7"/>
        <v>平成29年度</v>
      </c>
      <c r="Q41" s="1796">
        <v>86312</v>
      </c>
      <c r="R41" s="1796">
        <v>62301</v>
      </c>
      <c r="S41" s="1796">
        <v>148613</v>
      </c>
      <c r="T41" s="1796">
        <v>16678</v>
      </c>
      <c r="U41" s="1757"/>
      <c r="V41" s="1764"/>
      <c r="W41" s="2762"/>
      <c r="X41" s="1759" t="str">
        <f t="shared" si="8"/>
        <v>平成29年度</v>
      </c>
      <c r="Y41" s="1796">
        <v>86570</v>
      </c>
      <c r="Z41" s="1796">
        <v>61887</v>
      </c>
      <c r="AA41" s="1796">
        <v>148457</v>
      </c>
      <c r="AB41" s="1796">
        <v>16661</v>
      </c>
      <c r="AC41" s="1757"/>
    </row>
    <row r="42" spans="1:29">
      <c r="A42" s="2762"/>
      <c r="B42" s="1760" t="s">
        <v>5231</v>
      </c>
      <c r="C42" s="1758">
        <f t="shared" si="0"/>
        <v>0</v>
      </c>
      <c r="D42" s="1758">
        <f t="shared" si="1"/>
        <v>10735</v>
      </c>
      <c r="E42" s="1758">
        <f t="shared" si="2"/>
        <v>10735</v>
      </c>
      <c r="F42" s="1758">
        <f t="shared" si="3"/>
        <v>1204</v>
      </c>
      <c r="G42" s="1757">
        <f t="shared" si="4"/>
        <v>0</v>
      </c>
      <c r="H42" s="1757">
        <f t="shared" si="5"/>
        <v>0</v>
      </c>
      <c r="I42" s="1751">
        <f>+VLOOKUP($B42,年度別調書!$A$4:$M$37,10,0)</f>
        <v>19871916207</v>
      </c>
      <c r="J42" s="1751">
        <f>+VLOOKUP($B42,年度別調書!$A$4:$M$37,13,0)</f>
        <v>98551757388</v>
      </c>
      <c r="K42" s="1757">
        <f t="shared" si="12"/>
        <v>0</v>
      </c>
      <c r="L42" s="1757">
        <f t="shared" si="11"/>
        <v>0</v>
      </c>
      <c r="M42" s="1763">
        <f t="shared" si="9"/>
        <v>0</v>
      </c>
      <c r="N42" s="1948">
        <f>+海田!N42</f>
        <v>8</v>
      </c>
      <c r="O42" s="2762"/>
      <c r="P42" s="1759" t="str">
        <f t="shared" si="7"/>
        <v>平成30年度</v>
      </c>
      <c r="Q42" s="1796">
        <v>0</v>
      </c>
      <c r="R42" s="1796">
        <v>5369</v>
      </c>
      <c r="S42" s="1796">
        <v>5369</v>
      </c>
      <c r="T42" s="1796">
        <v>602</v>
      </c>
      <c r="U42" s="1757"/>
      <c r="V42" s="1764"/>
      <c r="W42" s="2762"/>
      <c r="X42" s="1759" t="str">
        <f t="shared" si="8"/>
        <v>平成30年度</v>
      </c>
      <c r="Y42" s="1796">
        <v>0</v>
      </c>
      <c r="Z42" s="1796">
        <v>5366</v>
      </c>
      <c r="AA42" s="1796">
        <v>5366</v>
      </c>
      <c r="AB42" s="1796">
        <v>602</v>
      </c>
      <c r="AC42" s="1757"/>
    </row>
    <row r="43" spans="1:29">
      <c r="A43" s="2762"/>
      <c r="B43" s="2751" t="s">
        <v>5276</v>
      </c>
      <c r="C43" s="1758">
        <f>+Q43</f>
        <v>0</v>
      </c>
      <c r="D43" s="1758">
        <f>+R43</f>
        <v>15383</v>
      </c>
      <c r="E43" s="1758">
        <f>+S43</f>
        <v>15383</v>
      </c>
      <c r="F43" s="1758">
        <f>+T43</f>
        <v>1726</v>
      </c>
      <c r="G43" s="1757">
        <f t="shared" si="4"/>
        <v>0</v>
      </c>
      <c r="H43" s="1757">
        <f t="shared" si="5"/>
        <v>0</v>
      </c>
      <c r="I43" s="1751">
        <f>+VLOOKUP($B43,年度別調書!$A$4:$M$37,10,0)</f>
        <v>21889958229</v>
      </c>
      <c r="J43" s="1751">
        <f>+VLOOKUP($B43,年度別調書!$A$4:$M$37,13,0)</f>
        <v>101214576030</v>
      </c>
      <c r="K43" s="1757">
        <f t="shared" si="12"/>
        <v>0</v>
      </c>
      <c r="L43" s="1757">
        <f t="shared" si="11"/>
        <v>0</v>
      </c>
      <c r="M43" s="1763">
        <f t="shared" si="9"/>
        <v>0</v>
      </c>
      <c r="N43" s="2067" t="s">
        <v>5278</v>
      </c>
      <c r="O43" s="2762"/>
      <c r="P43" s="2767" t="str">
        <f t="shared" si="7"/>
        <v>令和元年度</v>
      </c>
      <c r="Q43" s="2769">
        <v>0</v>
      </c>
      <c r="R43" s="2769">
        <v>15383</v>
      </c>
      <c r="S43" s="2769">
        <v>15383</v>
      </c>
      <c r="T43" s="2769">
        <v>1726</v>
      </c>
      <c r="U43" s="2771"/>
      <c r="V43" s="1764"/>
      <c r="W43" s="2762"/>
      <c r="X43" s="2767" t="str">
        <f t="shared" si="8"/>
        <v>令和元年度</v>
      </c>
      <c r="Y43" s="2769">
        <v>0</v>
      </c>
      <c r="Z43" s="2769">
        <v>15333</v>
      </c>
      <c r="AA43" s="2769">
        <v>15333</v>
      </c>
      <c r="AB43" s="2769">
        <v>1721</v>
      </c>
      <c r="AC43" s="2771"/>
    </row>
    <row r="44" spans="1:29">
      <c r="A44" s="2762"/>
      <c r="B44" s="2752"/>
      <c r="C44" s="1758">
        <f>+Y43</f>
        <v>0</v>
      </c>
      <c r="D44" s="1758">
        <f>+Z43</f>
        <v>15333</v>
      </c>
      <c r="E44" s="1758">
        <f>+AA43</f>
        <v>15333</v>
      </c>
      <c r="F44" s="1758">
        <f>+AB43</f>
        <v>1721</v>
      </c>
      <c r="G44" s="1757">
        <f>ROUND(C44/C$48*G$48,0)</f>
        <v>0</v>
      </c>
      <c r="H44" s="1757">
        <f t="shared" ref="H44" si="13">C44-G44</f>
        <v>0</v>
      </c>
      <c r="I44" s="1751">
        <f>+VLOOKUP($B43,年度別調書!$A$4:$M$37,10,0)</f>
        <v>21889958229</v>
      </c>
      <c r="J44" s="1751">
        <f>+VLOOKUP($B43,年度別調書!$A$4:$M$37,13,0)</f>
        <v>101214576030</v>
      </c>
      <c r="K44" s="1757">
        <f t="shared" ref="K44" si="14">IFERROR(ROUND(H44*I44/J44,0),0)</f>
        <v>0</v>
      </c>
      <c r="L44" s="1757">
        <f t="shared" ref="L44" si="15">H44-K44</f>
        <v>0</v>
      </c>
      <c r="M44" s="1763">
        <f t="shared" ref="M44" si="16">ROUND(C44/C$48*G$48,3)-ROUND(C44/C$48*G$48,0)</f>
        <v>0</v>
      </c>
      <c r="N44" s="1948">
        <v>10</v>
      </c>
      <c r="O44" s="2762"/>
      <c r="P44" s="2768"/>
      <c r="Q44" s="2770"/>
      <c r="R44" s="2770"/>
      <c r="S44" s="2770"/>
      <c r="T44" s="2770"/>
      <c r="U44" s="2772"/>
      <c r="V44" s="1764"/>
      <c r="W44" s="2762"/>
      <c r="X44" s="2768"/>
      <c r="Y44" s="2770"/>
      <c r="Z44" s="2770"/>
      <c r="AA44" s="2770"/>
      <c r="AB44" s="2770"/>
      <c r="AC44" s="2772"/>
    </row>
    <row r="45" spans="1:29">
      <c r="A45" s="2762"/>
      <c r="B45" s="1760" t="s">
        <v>5271</v>
      </c>
      <c r="C45" s="1758">
        <f t="shared" si="0"/>
        <v>0</v>
      </c>
      <c r="D45" s="1758">
        <f t="shared" si="1"/>
        <v>2202</v>
      </c>
      <c r="E45" s="1758">
        <f t="shared" si="2"/>
        <v>2202</v>
      </c>
      <c r="F45" s="1758">
        <f t="shared" si="3"/>
        <v>248</v>
      </c>
      <c r="G45" s="1757">
        <f t="shared" si="4"/>
        <v>0</v>
      </c>
      <c r="H45" s="1757">
        <f t="shared" si="5"/>
        <v>0</v>
      </c>
      <c r="I45" s="1751">
        <f>+VLOOKUP($B45,年度別調書!$A$4:$M$37,10,0)</f>
        <v>25568719436</v>
      </c>
      <c r="J45" s="1751">
        <f>+VLOOKUP($B45,年度別調書!$A$4:$M$37,13,0)</f>
        <v>105092548853</v>
      </c>
      <c r="K45" s="1757">
        <f t="shared" si="12"/>
        <v>0</v>
      </c>
      <c r="L45" s="1757">
        <f t="shared" si="11"/>
        <v>0</v>
      </c>
      <c r="M45" s="1763">
        <f t="shared" si="9"/>
        <v>0</v>
      </c>
      <c r="N45" s="1948">
        <v>10</v>
      </c>
      <c r="O45" s="2762"/>
      <c r="P45" s="1759" t="str">
        <f t="shared" si="7"/>
        <v>令和2年度</v>
      </c>
      <c r="Q45" s="1796">
        <v>0</v>
      </c>
      <c r="R45" s="1796">
        <v>1101</v>
      </c>
      <c r="S45" s="1796">
        <v>1101</v>
      </c>
      <c r="T45" s="1796">
        <v>124</v>
      </c>
      <c r="U45" s="1757"/>
      <c r="V45" s="1764"/>
      <c r="W45" s="2762"/>
      <c r="X45" s="1759" t="str">
        <f t="shared" si="8"/>
        <v>令和2年度</v>
      </c>
      <c r="Y45" s="1796">
        <v>0</v>
      </c>
      <c r="Z45" s="1796">
        <v>1101</v>
      </c>
      <c r="AA45" s="1796">
        <v>1101</v>
      </c>
      <c r="AB45" s="1796">
        <v>124</v>
      </c>
      <c r="AC45" s="1757"/>
    </row>
    <row r="46" spans="1:29">
      <c r="A46" s="2762"/>
      <c r="B46" s="1760" t="s">
        <v>5272</v>
      </c>
      <c r="C46" s="1758">
        <f t="shared" si="0"/>
        <v>0</v>
      </c>
      <c r="D46" s="1758">
        <f t="shared" si="1"/>
        <v>0</v>
      </c>
      <c r="E46" s="1758">
        <f t="shared" si="2"/>
        <v>0</v>
      </c>
      <c r="F46" s="1758">
        <f t="shared" si="3"/>
        <v>0</v>
      </c>
      <c r="G46" s="1757">
        <f t="shared" si="4"/>
        <v>0</v>
      </c>
      <c r="H46" s="1757">
        <f t="shared" si="5"/>
        <v>0</v>
      </c>
      <c r="I46" s="1751">
        <f>+VLOOKUP($B46,年度別調書!$A$4:$M$37,10,0)</f>
        <v>25732995336</v>
      </c>
      <c r="J46" s="1751">
        <f>+VLOOKUP($B46,年度別調書!$A$4:$M$37,13,0)</f>
        <v>106246537477</v>
      </c>
      <c r="K46" s="1757">
        <f t="shared" si="12"/>
        <v>0</v>
      </c>
      <c r="L46" s="1757">
        <f t="shared" si="11"/>
        <v>0</v>
      </c>
      <c r="M46" s="1763">
        <f t="shared" si="9"/>
        <v>0</v>
      </c>
      <c r="N46" s="1948">
        <v>10</v>
      </c>
      <c r="O46" s="2762"/>
      <c r="P46" s="1759" t="str">
        <f t="shared" si="7"/>
        <v>令和3年度</v>
      </c>
      <c r="Q46" s="1796">
        <v>0</v>
      </c>
      <c r="R46" s="1796">
        <v>0</v>
      </c>
      <c r="S46" s="1796">
        <v>0</v>
      </c>
      <c r="T46" s="1796">
        <v>0</v>
      </c>
      <c r="U46" s="1757"/>
      <c r="V46" s="1764"/>
      <c r="W46" s="2762"/>
      <c r="X46" s="1759" t="str">
        <f t="shared" si="8"/>
        <v>令和3年度</v>
      </c>
      <c r="Y46" s="1796">
        <v>0</v>
      </c>
      <c r="Z46" s="1796">
        <v>0</v>
      </c>
      <c r="AA46" s="1796">
        <v>0</v>
      </c>
      <c r="AB46" s="1796">
        <v>0</v>
      </c>
      <c r="AC46" s="1757"/>
    </row>
    <row r="47" spans="1:29">
      <c r="A47" s="2762"/>
      <c r="B47" s="1760" t="s">
        <v>5273</v>
      </c>
      <c r="C47" s="1758">
        <f t="shared" si="0"/>
        <v>0</v>
      </c>
      <c r="D47" s="1758">
        <f t="shared" si="1"/>
        <v>11419</v>
      </c>
      <c r="E47" s="1758">
        <f t="shared" si="2"/>
        <v>11419</v>
      </c>
      <c r="F47" s="1758">
        <f t="shared" si="3"/>
        <v>1282</v>
      </c>
      <c r="G47" s="1757">
        <f t="shared" si="4"/>
        <v>0</v>
      </c>
      <c r="H47" s="1757">
        <f t="shared" si="5"/>
        <v>0</v>
      </c>
      <c r="I47" s="1751">
        <f>+VLOOKUP($B47,年度別調書!$A$4:$M$37,10,0)</f>
        <v>22974897869</v>
      </c>
      <c r="J47" s="1751">
        <f>+VLOOKUP($B47,年度別調書!$A$4:$M$37,13,0)</f>
        <v>102361733085</v>
      </c>
      <c r="K47" s="1757">
        <f t="shared" si="12"/>
        <v>0</v>
      </c>
      <c r="L47" s="1757">
        <f t="shared" si="11"/>
        <v>0</v>
      </c>
      <c r="M47" s="1763">
        <f t="shared" si="9"/>
        <v>0</v>
      </c>
      <c r="N47" s="1948">
        <v>10</v>
      </c>
      <c r="O47" s="2762"/>
      <c r="P47" s="1759" t="str">
        <f t="shared" si="7"/>
        <v>令和4年度</v>
      </c>
      <c r="Q47" s="1796">
        <v>0</v>
      </c>
      <c r="R47" s="1796">
        <v>5014</v>
      </c>
      <c r="S47" s="1796">
        <v>5014</v>
      </c>
      <c r="T47" s="1796">
        <v>563</v>
      </c>
      <c r="U47" s="1757"/>
      <c r="V47" s="1764"/>
      <c r="W47" s="2762"/>
      <c r="X47" s="1759" t="str">
        <f t="shared" si="8"/>
        <v>令和4年度</v>
      </c>
      <c r="Y47" s="1796">
        <v>0</v>
      </c>
      <c r="Z47" s="1796">
        <v>6405</v>
      </c>
      <c r="AA47" s="1796">
        <v>6405</v>
      </c>
      <c r="AB47" s="1796">
        <v>719</v>
      </c>
      <c r="AC47" s="1757"/>
    </row>
    <row r="48" spans="1:29">
      <c r="A48" s="2763"/>
      <c r="B48" s="1761" t="s">
        <v>4871</v>
      </c>
      <c r="C48" s="1762">
        <f>SUM(C6:C47)</f>
        <v>8328317</v>
      </c>
      <c r="D48" s="1762">
        <f>SUM(D6:D47)</f>
        <v>848512</v>
      </c>
      <c r="E48" s="1762">
        <f>SUM(E6:E47)</f>
        <v>9176829</v>
      </c>
      <c r="F48" s="1762">
        <f>SUM(F6:F47)</f>
        <v>800620</v>
      </c>
      <c r="G48" s="1747">
        <f>+U48+AC48</f>
        <v>716870</v>
      </c>
      <c r="H48" s="1762">
        <f>SUM(H6:H47)</f>
        <v>7611447</v>
      </c>
      <c r="I48" s="1681"/>
      <c r="J48" s="1681"/>
      <c r="K48" s="1762">
        <f>SUM(K6:K47)</f>
        <v>4073632</v>
      </c>
      <c r="L48" s="1762">
        <f>SUM(L6:L47)</f>
        <v>3537815</v>
      </c>
      <c r="M48" s="1762"/>
      <c r="N48" s="1948">
        <f>+海田!N48</f>
        <v>0</v>
      </c>
      <c r="O48" s="2763"/>
      <c r="P48" s="1761" t="s">
        <v>4871</v>
      </c>
      <c r="Q48" s="1762">
        <f>SUM(Q6:Q47)</f>
        <v>4134986</v>
      </c>
      <c r="R48" s="1762">
        <f>SUM(R6:R47)</f>
        <v>452883</v>
      </c>
      <c r="S48" s="1762">
        <f>SUM(S6:S47)</f>
        <v>4587869</v>
      </c>
      <c r="T48" s="1762">
        <f>SUM(T6:T47)</f>
        <v>400248</v>
      </c>
      <c r="U48" s="1876">
        <v>356288</v>
      </c>
      <c r="V48" s="1755"/>
      <c r="W48" s="2763"/>
      <c r="X48" s="1761" t="s">
        <v>4871</v>
      </c>
      <c r="Y48" s="1762">
        <f>SUM(Y6:Y47)</f>
        <v>4193331</v>
      </c>
      <c r="Z48" s="1762">
        <f>SUM(Z6:Z47)</f>
        <v>395629</v>
      </c>
      <c r="AA48" s="1762">
        <f>SUM(AA6:AA47)</f>
        <v>4588960</v>
      </c>
      <c r="AB48" s="1762">
        <f>SUM(AB6:AB47)</f>
        <v>400372</v>
      </c>
      <c r="AC48" s="1876">
        <v>360582</v>
      </c>
    </row>
    <row r="49" spans="7:29">
      <c r="G49" s="1750">
        <f>G48-SUM(G6:G47)</f>
        <v>0</v>
      </c>
      <c r="K49" s="1715"/>
      <c r="O49" s="1666"/>
      <c r="U49" s="1750"/>
      <c r="AC49" s="1750"/>
    </row>
    <row r="50" spans="7:29">
      <c r="J50" s="1949" t="s">
        <v>5181</v>
      </c>
      <c r="K50" s="1950" t="s">
        <v>5180</v>
      </c>
    </row>
    <row r="51" spans="7:29">
      <c r="J51" s="1950">
        <v>3</v>
      </c>
      <c r="K51" s="1951">
        <f>+SUMIFS($K$4:$K$48,$N$4:$N$48,$J51)</f>
        <v>2009140</v>
      </c>
    </row>
    <row r="52" spans="7:29">
      <c r="J52" s="1950">
        <v>5</v>
      </c>
      <c r="K52" s="1951">
        <f>+SUMIFS($K$4:$K$48,$N$4:$N$48,$J52)</f>
        <v>1880046</v>
      </c>
    </row>
    <row r="53" spans="7:29">
      <c r="J53" s="1950">
        <v>8</v>
      </c>
      <c r="K53" s="1951">
        <f>+SUMIFS($K$4:$K$48,$N$4:$N$48,$J53)</f>
        <v>184446</v>
      </c>
    </row>
    <row r="54" spans="7:29">
      <c r="J54" s="1950">
        <v>10</v>
      </c>
      <c r="K54" s="1951">
        <f>+SUMIFS($K$4:$K$48,$N$4:$N$48,$J54)</f>
        <v>0</v>
      </c>
    </row>
    <row r="55" spans="7:29">
      <c r="J55" s="1949" t="s">
        <v>5182</v>
      </c>
      <c r="K55" s="1952">
        <f>SUM(K51:K54)</f>
        <v>4073632</v>
      </c>
    </row>
    <row r="56" spans="7:29">
      <c r="J56" s="1949" t="s">
        <v>5183</v>
      </c>
      <c r="K56" s="1952">
        <f>+K48-K55</f>
        <v>0</v>
      </c>
    </row>
  </sheetData>
  <mergeCells count="38">
    <mergeCell ref="P4:P5"/>
    <mergeCell ref="P43:P44"/>
    <mergeCell ref="U43:U44"/>
    <mergeCell ref="T43:T44"/>
    <mergeCell ref="S43:S44"/>
    <mergeCell ref="R43:R44"/>
    <mergeCell ref="Q43:Q44"/>
    <mergeCell ref="A6:A48"/>
    <mergeCell ref="O6:O48"/>
    <mergeCell ref="A4:A5"/>
    <mergeCell ref="B4:B5"/>
    <mergeCell ref="B43:B44"/>
    <mergeCell ref="M4:M5"/>
    <mergeCell ref="H4:H5"/>
    <mergeCell ref="I4:I5"/>
    <mergeCell ref="J4:J5"/>
    <mergeCell ref="K4:K5"/>
    <mergeCell ref="L4:L5"/>
    <mergeCell ref="O4:O5"/>
    <mergeCell ref="N4:N5"/>
    <mergeCell ref="C4:E4"/>
    <mergeCell ref="F4:F5"/>
    <mergeCell ref="G4:G5"/>
    <mergeCell ref="X4:X5"/>
    <mergeCell ref="Y4:AA4"/>
    <mergeCell ref="Q4:S4"/>
    <mergeCell ref="AB4:AB5"/>
    <mergeCell ref="AC43:AC44"/>
    <mergeCell ref="AB43:AB44"/>
    <mergeCell ref="AA43:AA44"/>
    <mergeCell ref="Z43:Z44"/>
    <mergeCell ref="AC4:AC5"/>
    <mergeCell ref="Y43:Y44"/>
    <mergeCell ref="W6:W48"/>
    <mergeCell ref="X43:X44"/>
    <mergeCell ref="T4:T5"/>
    <mergeCell ref="U4:U5"/>
    <mergeCell ref="W4:W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w6_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C6" sqref="C6"/>
    </sheetView>
  </sheetViews>
  <sheetFormatPr defaultRowHeight="13.5"/>
  <cols>
    <col min="1" max="1" width="2.625" customWidth="1" style="1643"/>
    <col min="2" max="2" width="11.625" bestFit="1" customWidth="1" style="1643"/>
    <col min="3" max="5" width="13.125" customWidth="1" style="1643"/>
    <col min="6" max="7" width="11.625" customWidth="1" style="1643"/>
    <col min="8" max="8" width="13.125" customWidth="1" style="1643"/>
    <col min="9" max="10" width="13.75" customWidth="1" style="1643"/>
    <col min="11" max="12" width="13.125" customWidth="1" style="1643"/>
    <col min="13" max="13" width="7.625" customWidth="1" style="1643"/>
    <col min="14" max="14" width="3.125" customWidth="1" style="1643"/>
    <col min="15" max="15" width="2.625" customWidth="1" style="1643"/>
    <col min="16" max="21" width="11.625" customWidth="1" style="1643"/>
    <col min="22" max="22" width="3.125" customWidth="1" style="1643"/>
    <col min="23" max="23" width="2.625" customWidth="1" style="1643"/>
    <col min="24" max="24" width="11.625" bestFit="1" customWidth="1" style="1643"/>
    <col min="25" max="29" width="11.625" customWidth="1" style="1643"/>
    <col min="30" max="30" width="3.125" customWidth="1" style="1643"/>
  </cols>
  <sheetData>
    <row r="2" spans="1:29">
      <c r="A2" t="str" s="1643">
        <f>+"令和"&amp;MID('総括表(不課税)'!A2,3,1)&amp;"年度決算　府中町大須地区"</f>
        <v>令和５年度決算　府中町大須地区</v>
      </c>
      <c r="O2" t="str" s="1643">
        <f>+A2</f>
        <v>令和５年度決算　府中町大須地区</v>
      </c>
      <c r="T2" s="1730"/>
      <c r="U2" s="1730"/>
    </row>
    <row r="4" spans="1:29" ht="13.5" customHeight="1">
      <c r="A4" s="2747" t="s">
        <v>4825</v>
      </c>
      <c r="B4" s="2747" t="s">
        <v>5108</v>
      </c>
      <c r="C4" s="2764" t="s">
        <v>4867</v>
      </c>
      <c r="D4" s="2764"/>
      <c r="E4" s="2764"/>
      <c r="F4" s="2750" t="s">
        <v>4869</v>
      </c>
      <c r="G4" s="2750" t="s">
        <v>4872</v>
      </c>
      <c r="H4" s="2750" t="s">
        <v>4918</v>
      </c>
      <c r="I4" s="2739" t="s">
        <v>4842</v>
      </c>
      <c r="J4" s="2739" t="s">
        <v>4844</v>
      </c>
      <c r="K4" s="2741" t="s">
        <v>4868</v>
      </c>
      <c r="L4" s="2743" t="s">
        <v>4794</v>
      </c>
      <c r="M4" s="2743" t="s">
        <v>5201</v>
      </c>
      <c r="N4" s="2765" t="s">
        <v>5179</v>
      </c>
      <c r="O4" s="2747" t="s">
        <v>4825</v>
      </c>
      <c r="P4" s="2747" t="s">
        <v>4870</v>
      </c>
      <c r="Q4" s="2764" t="s">
        <v>4867</v>
      </c>
      <c r="R4" s="2764"/>
      <c r="S4" s="2764"/>
      <c r="T4" s="2750" t="s">
        <v>4869</v>
      </c>
      <c r="U4" s="2750" t="s">
        <v>4872</v>
      </c>
      <c r="W4" s="2747" t="s">
        <v>4825</v>
      </c>
      <c r="X4" s="2747" t="s">
        <v>4870</v>
      </c>
      <c r="Y4" s="2764" t="s">
        <v>4867</v>
      </c>
      <c r="Z4" s="2764"/>
      <c r="AA4" s="2764"/>
      <c r="AB4" s="2750" t="s">
        <v>4869</v>
      </c>
      <c r="AC4" s="2750" t="s">
        <v>4872</v>
      </c>
    </row>
    <row r="5" spans="1:29" ht="13.5" customHeight="1">
      <c r="A5" s="2748"/>
      <c r="B5" s="2749"/>
      <c r="C5" s="1669" t="s">
        <v>4866</v>
      </c>
      <c r="D5" s="1669" t="s">
        <v>5105</v>
      </c>
      <c r="E5" s="1669" t="s">
        <v>4864</v>
      </c>
      <c r="F5" s="2742"/>
      <c r="G5" s="2760"/>
      <c r="H5" s="2742"/>
      <c r="I5" s="2740"/>
      <c r="J5" s="2740"/>
      <c r="K5" s="2742"/>
      <c r="L5" s="2744"/>
      <c r="M5" s="2744"/>
      <c r="N5" s="2766"/>
      <c r="O5" s="2748"/>
      <c r="P5" s="2749"/>
      <c r="Q5" s="1669" t="s">
        <v>4866</v>
      </c>
      <c r="R5" s="1669" t="s">
        <v>5105</v>
      </c>
      <c r="S5" s="1669" t="s">
        <v>4864</v>
      </c>
      <c r="T5" s="2742"/>
      <c r="U5" s="2760"/>
      <c r="V5" s="1756"/>
      <c r="W5" s="2748"/>
      <c r="X5" s="2749"/>
      <c r="Y5" s="1669" t="s">
        <v>4866</v>
      </c>
      <c r="Z5" s="1669" t="s">
        <v>5105</v>
      </c>
      <c r="AA5" s="1669" t="s">
        <v>4864</v>
      </c>
      <c r="AB5" s="2742"/>
      <c r="AC5" s="2760"/>
    </row>
    <row r="6" spans="1:29" ht="13.5" customHeight="1">
      <c r="A6" s="2761" t="s">
        <v>5107</v>
      </c>
      <c r="B6" s="1759" t="s">
        <v>5232</v>
      </c>
      <c r="C6" s="1758">
        <f t="shared" ref="C6:C47" si="0">+Q6+Y6</f>
        <v>0</v>
      </c>
      <c r="D6" s="1758">
        <f t="shared" ref="D6:D47" si="1">+R6+Z6</f>
        <v>0</v>
      </c>
      <c r="E6" s="1758">
        <f t="shared" ref="E6:E47" si="2">+S6+AA6</f>
        <v>0</v>
      </c>
      <c r="F6" s="1758">
        <f t="shared" ref="F6:F47" si="3">+T6+AB6</f>
        <v>0</v>
      </c>
      <c r="G6" s="1757">
        <f t="shared" ref="G6:G47" si="4">ROUND(C6/C$48*G$48,0)</f>
        <v>0</v>
      </c>
      <c r="H6" s="1757">
        <f t="shared" ref="H6:H47" si="5">C6-G6</f>
        <v>0</v>
      </c>
      <c r="I6" s="1681"/>
      <c r="J6" s="1681"/>
      <c r="K6" s="1757">
        <v>0</v>
      </c>
      <c r="L6" s="1757">
        <f t="shared" ref="L6:L12" si="6">H6-K6</f>
        <v>0</v>
      </c>
      <c r="M6" s="1763">
        <f>ROUND(C6/C$48*G$48,3)-ROUND(C6/C$48*G$48,0)</f>
        <v>0</v>
      </c>
      <c r="N6" s="1948">
        <f>+海田!N6</f>
        <v>0</v>
      </c>
      <c r="O6" s="2761" t="s">
        <v>4887</v>
      </c>
      <c r="P6" s="1759" t="str">
        <f>+B6</f>
        <v>昭和57年度</v>
      </c>
      <c r="Q6" s="1987">
        <v>0</v>
      </c>
      <c r="R6" s="1987">
        <v>0</v>
      </c>
      <c r="S6" s="1987">
        <v>0</v>
      </c>
      <c r="T6" s="1987">
        <v>0</v>
      </c>
      <c r="U6" s="1757"/>
      <c r="V6" s="1763"/>
      <c r="W6" s="2761" t="s">
        <v>5239</v>
      </c>
      <c r="X6" s="1759" t="str">
        <f>+B6</f>
        <v>昭和57年度</v>
      </c>
      <c r="Y6" s="1988">
        <v>0</v>
      </c>
      <c r="Z6" s="1988">
        <v>0</v>
      </c>
      <c r="AA6" s="1988">
        <v>0</v>
      </c>
      <c r="AB6" s="1988">
        <v>0</v>
      </c>
      <c r="AC6" s="1757"/>
    </row>
    <row r="7" spans="1:29">
      <c r="A7" s="2762"/>
      <c r="B7" s="1759" t="s">
        <v>5233</v>
      </c>
      <c r="C7" s="1758">
        <f t="shared" si="0"/>
        <v>0</v>
      </c>
      <c r="D7" s="1758">
        <f t="shared" si="1"/>
        <v>0</v>
      </c>
      <c r="E7" s="1758">
        <f t="shared" si="2"/>
        <v>0</v>
      </c>
      <c r="F7" s="1758">
        <f t="shared" si="3"/>
        <v>0</v>
      </c>
      <c r="G7" s="1757">
        <f t="shared" si="4"/>
        <v>0</v>
      </c>
      <c r="H7" s="1757">
        <f t="shared" si="5"/>
        <v>0</v>
      </c>
      <c r="I7" s="1681"/>
      <c r="J7" s="1681"/>
      <c r="K7" s="1757">
        <v>0</v>
      </c>
      <c r="L7" s="1757">
        <f t="shared" si="6"/>
        <v>0</v>
      </c>
      <c r="M7" s="1763">
        <f>ROUND(C7/C$48*G$48,3)-ROUND(C7/C$48*G$48,0)</f>
        <v>0</v>
      </c>
      <c r="N7" s="1948">
        <f>+海田!N7</f>
        <v>0</v>
      </c>
      <c r="O7" s="2762"/>
      <c r="P7" s="1759" t="str">
        <f t="shared" ref="P7:P47" si="7">+B7</f>
        <v>昭和58年度</v>
      </c>
      <c r="Q7" s="1987">
        <v>0</v>
      </c>
      <c r="R7" s="1987">
        <v>0</v>
      </c>
      <c r="S7" s="1987">
        <v>0</v>
      </c>
      <c r="T7" s="1987">
        <v>0</v>
      </c>
      <c r="U7" s="1757"/>
      <c r="V7" s="1764"/>
      <c r="W7" s="2762"/>
      <c r="X7" s="1759" t="str">
        <f t="shared" ref="X7:X47" si="8">+B7</f>
        <v>昭和58年度</v>
      </c>
      <c r="Y7" s="1988">
        <v>0</v>
      </c>
      <c r="Z7" s="1988">
        <v>0</v>
      </c>
      <c r="AA7" s="1988">
        <v>0</v>
      </c>
      <c r="AB7" s="1988">
        <v>0</v>
      </c>
      <c r="AC7" s="1757"/>
    </row>
    <row r="8" spans="1:29">
      <c r="A8" s="2762"/>
      <c r="B8" s="1759" t="s">
        <v>5234</v>
      </c>
      <c r="C8" s="1758">
        <f t="shared" si="0"/>
        <v>0</v>
      </c>
      <c r="D8" s="1758">
        <f t="shared" si="1"/>
        <v>0</v>
      </c>
      <c r="E8" s="1758">
        <f t="shared" si="2"/>
        <v>0</v>
      </c>
      <c r="F8" s="1758">
        <f t="shared" si="3"/>
        <v>0</v>
      </c>
      <c r="G8" s="1757">
        <f t="shared" si="4"/>
        <v>0</v>
      </c>
      <c r="H8" s="1757">
        <f t="shared" si="5"/>
        <v>0</v>
      </c>
      <c r="I8" s="1681"/>
      <c r="J8" s="1681"/>
      <c r="K8" s="1757">
        <v>0</v>
      </c>
      <c r="L8" s="1757">
        <f t="shared" si="6"/>
        <v>0</v>
      </c>
      <c r="M8" s="1763">
        <f>ROUND(C8/C$48*G$48,3)-ROUND(C8/C$48*G$48,0)</f>
        <v>0</v>
      </c>
      <c r="N8" s="1948">
        <f>+海田!N8</f>
        <v>0</v>
      </c>
      <c r="O8" s="2762"/>
      <c r="P8" s="1759" t="str">
        <f t="shared" si="7"/>
        <v>昭和59年度</v>
      </c>
      <c r="Q8" s="1987">
        <v>0</v>
      </c>
      <c r="R8" s="1987">
        <v>0</v>
      </c>
      <c r="S8" s="1987">
        <v>0</v>
      </c>
      <c r="T8" s="1987">
        <v>0</v>
      </c>
      <c r="U8" s="1757"/>
      <c r="V8" s="1764"/>
      <c r="W8" s="2762"/>
      <c r="X8" s="1759" t="str">
        <f t="shared" si="8"/>
        <v>昭和59年度</v>
      </c>
      <c r="Y8" s="1988">
        <v>0</v>
      </c>
      <c r="Z8" s="1988">
        <v>0</v>
      </c>
      <c r="AA8" s="1988">
        <v>0</v>
      </c>
      <c r="AB8" s="1988">
        <v>0</v>
      </c>
      <c r="AC8" s="1757"/>
    </row>
    <row r="9" spans="1:29">
      <c r="A9" s="2762"/>
      <c r="B9" s="1759" t="s">
        <v>5235</v>
      </c>
      <c r="C9" s="1758">
        <f t="shared" si="0"/>
        <v>0</v>
      </c>
      <c r="D9" s="1758">
        <f t="shared" si="1"/>
        <v>0</v>
      </c>
      <c r="E9" s="1758">
        <f t="shared" si="2"/>
        <v>0</v>
      </c>
      <c r="F9" s="1758">
        <f t="shared" si="3"/>
        <v>0</v>
      </c>
      <c r="G9" s="1757">
        <f t="shared" si="4"/>
        <v>0</v>
      </c>
      <c r="H9" s="1757">
        <f t="shared" si="5"/>
        <v>0</v>
      </c>
      <c r="I9" s="1681"/>
      <c r="J9" s="1681"/>
      <c r="K9" s="1757">
        <v>0</v>
      </c>
      <c r="L9" s="1757">
        <f t="shared" si="6"/>
        <v>0</v>
      </c>
      <c r="M9" s="1763">
        <f>ROUND(C9/C$48*G$48,3)-ROUND(C9/C$48*G$48,0)</f>
        <v>0</v>
      </c>
      <c r="N9" s="1948">
        <f>+海田!N9</f>
        <v>0</v>
      </c>
      <c r="O9" s="2762"/>
      <c r="P9" s="1759" t="str">
        <f t="shared" si="7"/>
        <v>昭和60年度</v>
      </c>
      <c r="Q9" s="1987">
        <v>0</v>
      </c>
      <c r="R9" s="1987">
        <v>0</v>
      </c>
      <c r="S9" s="1987">
        <v>0</v>
      </c>
      <c r="T9" s="1987">
        <v>0</v>
      </c>
      <c r="U9" s="1757"/>
      <c r="V9" s="1764"/>
      <c r="W9" s="2762"/>
      <c r="X9" s="1759" t="str">
        <f t="shared" si="8"/>
        <v>昭和60年度</v>
      </c>
      <c r="Y9" s="1988">
        <v>0</v>
      </c>
      <c r="Z9" s="1988">
        <v>0</v>
      </c>
      <c r="AA9" s="1988">
        <v>0</v>
      </c>
      <c r="AB9" s="1988">
        <v>0</v>
      </c>
      <c r="AC9" s="1757"/>
    </row>
    <row r="10" spans="1:29">
      <c r="A10" s="2762"/>
      <c r="B10" s="1759" t="s">
        <v>5236</v>
      </c>
      <c r="C10" s="1758">
        <f t="shared" si="0"/>
        <v>0</v>
      </c>
      <c r="D10" s="1758">
        <f t="shared" si="1"/>
        <v>0</v>
      </c>
      <c r="E10" s="1758">
        <f t="shared" si="2"/>
        <v>0</v>
      </c>
      <c r="F10" s="1758">
        <f t="shared" si="3"/>
        <v>0</v>
      </c>
      <c r="G10" s="1757">
        <f t="shared" si="4"/>
        <v>0</v>
      </c>
      <c r="H10" s="1757">
        <f t="shared" si="5"/>
        <v>0</v>
      </c>
      <c r="I10" s="1681"/>
      <c r="J10" s="1681"/>
      <c r="K10" s="1757">
        <v>0</v>
      </c>
      <c r="L10" s="1757">
        <f t="shared" si="6"/>
        <v>0</v>
      </c>
      <c r="M10" s="1763">
        <f t="shared" ref="M10:M47" si="9">ROUND(C10/C$48*G$48,3)-ROUND(C10/C$48*G$48,0)</f>
        <v>0</v>
      </c>
      <c r="N10" s="1948">
        <f>+海田!N10</f>
        <v>0</v>
      </c>
      <c r="O10" s="2762"/>
      <c r="P10" s="1759" t="str">
        <f t="shared" si="7"/>
        <v>昭和61年度</v>
      </c>
      <c r="Q10" s="1987">
        <v>0</v>
      </c>
      <c r="R10" s="1987">
        <v>0</v>
      </c>
      <c r="S10" s="1987">
        <v>0</v>
      </c>
      <c r="T10" s="1987">
        <v>0</v>
      </c>
      <c r="U10" s="1757"/>
      <c r="V10" s="1764"/>
      <c r="W10" s="2762"/>
      <c r="X10" s="1759" t="str">
        <f t="shared" si="8"/>
        <v>昭和61年度</v>
      </c>
      <c r="Y10" s="1988">
        <v>0</v>
      </c>
      <c r="Z10" s="1988">
        <v>0</v>
      </c>
      <c r="AA10" s="1988">
        <v>0</v>
      </c>
      <c r="AB10" s="1988">
        <v>0</v>
      </c>
      <c r="AC10" s="1757"/>
    </row>
    <row r="11" spans="1:29">
      <c r="A11" s="2762"/>
      <c r="B11" s="1759" t="s">
        <v>5237</v>
      </c>
      <c r="C11" s="1758">
        <f t="shared" si="0"/>
        <v>0</v>
      </c>
      <c r="D11" s="1758">
        <f t="shared" si="1"/>
        <v>0</v>
      </c>
      <c r="E11" s="1758">
        <f t="shared" si="2"/>
        <v>0</v>
      </c>
      <c r="F11" s="1758">
        <f t="shared" si="3"/>
        <v>0</v>
      </c>
      <c r="G11" s="1757">
        <f t="shared" si="4"/>
        <v>0</v>
      </c>
      <c r="H11" s="1757">
        <f t="shared" si="5"/>
        <v>0</v>
      </c>
      <c r="I11" s="1681"/>
      <c r="J11" s="1681"/>
      <c r="K11" s="1757">
        <v>0</v>
      </c>
      <c r="L11" s="1757">
        <f t="shared" si="6"/>
        <v>0</v>
      </c>
      <c r="M11" s="1763">
        <f t="shared" si="9"/>
        <v>0</v>
      </c>
      <c r="N11" s="1948">
        <f>+海田!N11</f>
        <v>0</v>
      </c>
      <c r="O11" s="2762"/>
      <c r="P11" s="1759" t="str">
        <f t="shared" si="7"/>
        <v>昭和62年度</v>
      </c>
      <c r="Q11" s="1987">
        <v>0</v>
      </c>
      <c r="R11" s="1987">
        <v>0</v>
      </c>
      <c r="S11" s="1987">
        <v>0</v>
      </c>
      <c r="T11" s="1987">
        <v>0</v>
      </c>
      <c r="U11" s="1757"/>
      <c r="V11" s="1764"/>
      <c r="W11" s="2762"/>
      <c r="X11" s="1759" t="str">
        <f t="shared" si="8"/>
        <v>昭和62年度</v>
      </c>
      <c r="Y11" s="1988">
        <v>0</v>
      </c>
      <c r="Z11" s="1988">
        <v>0</v>
      </c>
      <c r="AA11" s="1988">
        <v>0</v>
      </c>
      <c r="AB11" s="1988">
        <v>0</v>
      </c>
      <c r="AC11" s="1757"/>
    </row>
    <row r="12" spans="1:29">
      <c r="A12" s="2762"/>
      <c r="B12" s="1759" t="s">
        <v>5238</v>
      </c>
      <c r="C12" s="1758">
        <f t="shared" si="0"/>
        <v>0</v>
      </c>
      <c r="D12" s="1758">
        <f t="shared" si="1"/>
        <v>0</v>
      </c>
      <c r="E12" s="1758">
        <f t="shared" si="2"/>
        <v>0</v>
      </c>
      <c r="F12" s="1758">
        <f t="shared" si="3"/>
        <v>0</v>
      </c>
      <c r="G12" s="1757">
        <f t="shared" si="4"/>
        <v>0</v>
      </c>
      <c r="H12" s="1757">
        <f t="shared" si="5"/>
        <v>0</v>
      </c>
      <c r="I12" s="1681"/>
      <c r="J12" s="1681"/>
      <c r="K12" s="1757">
        <v>0</v>
      </c>
      <c r="L12" s="1757">
        <f t="shared" si="6"/>
        <v>0</v>
      </c>
      <c r="M12" s="1763">
        <f t="shared" si="9"/>
        <v>0</v>
      </c>
      <c r="N12" s="1948">
        <f>+海田!N12</f>
        <v>0</v>
      </c>
      <c r="O12" s="2762"/>
      <c r="P12" s="1759" t="str">
        <f t="shared" si="7"/>
        <v>昭和63年度</v>
      </c>
      <c r="Q12" s="1987">
        <v>0</v>
      </c>
      <c r="R12" s="1987">
        <v>0</v>
      </c>
      <c r="S12" s="1987">
        <v>0</v>
      </c>
      <c r="T12" s="1987">
        <v>0</v>
      </c>
      <c r="U12" s="1757"/>
      <c r="V12" s="1764"/>
      <c r="W12" s="2762"/>
      <c r="X12" s="1759" t="str">
        <f t="shared" si="8"/>
        <v>昭和63年度</v>
      </c>
      <c r="Y12" s="1988">
        <v>0</v>
      </c>
      <c r="Z12" s="1988">
        <v>0</v>
      </c>
      <c r="AA12" s="1988">
        <v>0</v>
      </c>
      <c r="AB12" s="1988">
        <v>0</v>
      </c>
      <c r="AC12" s="1757"/>
    </row>
    <row r="13" spans="1:29">
      <c r="A13" s="2762"/>
      <c r="B13" s="1760" t="s">
        <v>5202</v>
      </c>
      <c r="C13" s="1758">
        <f t="shared" si="0"/>
        <v>0</v>
      </c>
      <c r="D13" s="1758">
        <f t="shared" si="1"/>
        <v>0</v>
      </c>
      <c r="E13" s="1758">
        <f t="shared" si="2"/>
        <v>0</v>
      </c>
      <c r="F13" s="1758">
        <f t="shared" si="3"/>
        <v>0</v>
      </c>
      <c r="G13" s="1757">
        <f t="shared" si="4"/>
        <v>0</v>
      </c>
      <c r="H13" s="1757">
        <f t="shared" si="5"/>
        <v>0</v>
      </c>
      <c r="I13" s="1751">
        <f>+VLOOKUP($B13,年度別調書!$A$4:$M$37,10,0)</f>
        <v>30622955900</v>
      </c>
      <c r="J13" s="1751">
        <f>+VLOOKUP($B13,年度別調書!$A$4:$M$37,13,0)</f>
        <v>62903610340</v>
      </c>
      <c r="K13" s="1757">
        <f>IFERROR(ROUND(H13*I13/J13,0),0)</f>
        <v>0</v>
      </c>
      <c r="L13" s="1757">
        <f>H13-K13</f>
        <v>0</v>
      </c>
      <c r="M13" s="1763">
        <f t="shared" si="9"/>
        <v>0</v>
      </c>
      <c r="N13" s="1948">
        <f>+海田!N13</f>
        <v>3</v>
      </c>
      <c r="O13" s="2762"/>
      <c r="P13" s="1759" t="str">
        <f t="shared" si="7"/>
        <v>平成元年度</v>
      </c>
      <c r="Q13" s="1987">
        <v>0</v>
      </c>
      <c r="R13" s="1987">
        <v>0</v>
      </c>
      <c r="S13" s="1987">
        <v>0</v>
      </c>
      <c r="T13" s="1987">
        <v>0</v>
      </c>
      <c r="U13" s="1757"/>
      <c r="V13" s="1764"/>
      <c r="W13" s="2762"/>
      <c r="X13" s="1759" t="str">
        <f t="shared" si="8"/>
        <v>平成元年度</v>
      </c>
      <c r="Y13" s="1988">
        <v>0</v>
      </c>
      <c r="Z13" s="1988">
        <v>0</v>
      </c>
      <c r="AA13" s="1988">
        <v>0</v>
      </c>
      <c r="AB13" s="1988">
        <v>0</v>
      </c>
      <c r="AC13" s="1757"/>
    </row>
    <row r="14" spans="1:29">
      <c r="A14" s="2762"/>
      <c r="B14" s="1760" t="s">
        <v>5203</v>
      </c>
      <c r="C14" s="1758">
        <f t="shared" si="0"/>
        <v>0</v>
      </c>
      <c r="D14" s="1758">
        <f t="shared" si="1"/>
        <v>0</v>
      </c>
      <c r="E14" s="1758">
        <f t="shared" si="2"/>
        <v>0</v>
      </c>
      <c r="F14" s="1758">
        <f t="shared" si="3"/>
        <v>0</v>
      </c>
      <c r="G14" s="1757">
        <f t="shared" si="4"/>
        <v>0</v>
      </c>
      <c r="H14" s="1757">
        <f t="shared" si="5"/>
        <v>0</v>
      </c>
      <c r="I14" s="1751">
        <f>+VLOOKUP($B14,年度別調書!$A$4:$M$37,10,0)</f>
        <v>36785805618</v>
      </c>
      <c r="J14" s="1751">
        <f>+VLOOKUP($B14,年度別調書!$A$4:$M$37,13,0)</f>
        <v>65207626364</v>
      </c>
      <c r="K14" s="1757">
        <f t="shared" ref="K14:K47" si="10">IFERROR(ROUND(H14*I14/J14,0),0)</f>
        <v>0</v>
      </c>
      <c r="L14" s="1757">
        <f>H14-K14</f>
        <v>0</v>
      </c>
      <c r="M14" s="1763">
        <f t="shared" si="9"/>
        <v>0</v>
      </c>
      <c r="N14" s="1948">
        <f>+海田!N14</f>
        <v>3</v>
      </c>
      <c r="O14" s="2762"/>
      <c r="P14" s="1759" t="str">
        <f t="shared" si="7"/>
        <v>平成2年度</v>
      </c>
      <c r="Q14" s="1987">
        <v>0</v>
      </c>
      <c r="R14" s="1987">
        <v>0</v>
      </c>
      <c r="S14" s="1987">
        <v>0</v>
      </c>
      <c r="T14" s="1987">
        <v>0</v>
      </c>
      <c r="U14" s="1757"/>
      <c r="V14" s="1764"/>
      <c r="W14" s="2762"/>
      <c r="X14" s="1759" t="str">
        <f t="shared" si="8"/>
        <v>平成2年度</v>
      </c>
      <c r="Y14" s="1988">
        <v>0</v>
      </c>
      <c r="Z14" s="1988">
        <v>0</v>
      </c>
      <c r="AA14" s="1988">
        <v>0</v>
      </c>
      <c r="AB14" s="1988">
        <v>0</v>
      </c>
      <c r="AC14" s="1757"/>
    </row>
    <row r="15" spans="1:29">
      <c r="A15" s="2762"/>
      <c r="B15" s="1760" t="s">
        <v>5204</v>
      </c>
      <c r="C15" s="1758">
        <f t="shared" si="0"/>
        <v>0</v>
      </c>
      <c r="D15" s="1758">
        <f t="shared" si="1"/>
        <v>0</v>
      </c>
      <c r="E15" s="1758">
        <f t="shared" si="2"/>
        <v>0</v>
      </c>
      <c r="F15" s="1758">
        <f t="shared" si="3"/>
        <v>0</v>
      </c>
      <c r="G15" s="1757">
        <f t="shared" si="4"/>
        <v>0</v>
      </c>
      <c r="H15" s="1757">
        <f t="shared" si="5"/>
        <v>0</v>
      </c>
      <c r="I15" s="1751">
        <f>+VLOOKUP($B15,年度別調書!$A$4:$M$37,10,0)</f>
        <v>42048127236</v>
      </c>
      <c r="J15" s="1751">
        <f>+VLOOKUP($B15,年度別調書!$A$4:$M$37,13,0)</f>
        <v>72538415314</v>
      </c>
      <c r="K15" s="1757">
        <f t="shared" si="10"/>
        <v>0</v>
      </c>
      <c r="L15" s="1757">
        <f>H15-K15</f>
        <v>0</v>
      </c>
      <c r="M15" s="1763">
        <f t="shared" si="9"/>
        <v>0</v>
      </c>
      <c r="N15" s="1948">
        <f>+海田!N15</f>
        <v>3</v>
      </c>
      <c r="O15" s="2762"/>
      <c r="P15" s="1759" t="str">
        <f t="shared" si="7"/>
        <v>平成3年度</v>
      </c>
      <c r="Q15" s="1987">
        <v>0</v>
      </c>
      <c r="R15" s="1987">
        <v>0</v>
      </c>
      <c r="S15" s="1987">
        <v>0</v>
      </c>
      <c r="T15" s="1987">
        <v>0</v>
      </c>
      <c r="U15" s="1757"/>
      <c r="V15" s="1764"/>
      <c r="W15" s="2762"/>
      <c r="X15" s="1759" t="str">
        <f t="shared" si="8"/>
        <v>平成3年度</v>
      </c>
      <c r="Y15" s="1988">
        <v>0</v>
      </c>
      <c r="Z15" s="1988">
        <v>0</v>
      </c>
      <c r="AA15" s="1988">
        <v>0</v>
      </c>
      <c r="AB15" s="1988">
        <v>0</v>
      </c>
      <c r="AC15" s="1757"/>
    </row>
    <row r="16" spans="1:29">
      <c r="A16" s="2762"/>
      <c r="B16" s="1760" t="s">
        <v>5205</v>
      </c>
      <c r="C16" s="1758">
        <f t="shared" si="0"/>
        <v>0</v>
      </c>
      <c r="D16" s="1758">
        <f t="shared" si="1"/>
        <v>0</v>
      </c>
      <c r="E16" s="1758">
        <f t="shared" si="2"/>
        <v>0</v>
      </c>
      <c r="F16" s="1758">
        <f t="shared" si="3"/>
        <v>0</v>
      </c>
      <c r="G16" s="1757">
        <f t="shared" si="4"/>
        <v>0</v>
      </c>
      <c r="H16" s="1757">
        <f t="shared" si="5"/>
        <v>0</v>
      </c>
      <c r="I16" s="1751">
        <f>+VLOOKUP($B16,年度別調書!$A$4:$M$37,10,0)</f>
        <v>49320557603</v>
      </c>
      <c r="J16" s="1751">
        <f>+VLOOKUP($B16,年度別調書!$A$4:$M$37,13,0)</f>
        <v>82028053042</v>
      </c>
      <c r="K16" s="1757">
        <f t="shared" si="10"/>
        <v>0</v>
      </c>
      <c r="L16" s="1757">
        <f>H16-K16</f>
        <v>0</v>
      </c>
      <c r="M16" s="1763">
        <f t="shared" si="9"/>
        <v>0</v>
      </c>
      <c r="N16" s="1948">
        <f>+海田!N16</f>
        <v>3</v>
      </c>
      <c r="O16" s="2762"/>
      <c r="P16" s="1759" t="str">
        <f t="shared" si="7"/>
        <v>平成4年度</v>
      </c>
      <c r="Q16" s="1987">
        <v>0</v>
      </c>
      <c r="R16" s="1987">
        <v>0</v>
      </c>
      <c r="S16" s="1987">
        <v>0</v>
      </c>
      <c r="T16" s="1987">
        <v>0</v>
      </c>
      <c r="U16" s="1757"/>
      <c r="V16" s="1764"/>
      <c r="W16" s="2762"/>
      <c r="X16" s="1759" t="str">
        <f t="shared" si="8"/>
        <v>平成4年度</v>
      </c>
      <c r="Y16" s="1988">
        <v>0</v>
      </c>
      <c r="Z16" s="1988">
        <v>0</v>
      </c>
      <c r="AA16" s="1988">
        <v>0</v>
      </c>
      <c r="AB16" s="1988">
        <v>0</v>
      </c>
      <c r="AC16" s="1757"/>
    </row>
    <row r="17" spans="1:29">
      <c r="A17" s="2762"/>
      <c r="B17" s="1760" t="s">
        <v>5206</v>
      </c>
      <c r="C17" s="1758">
        <f t="shared" si="0"/>
        <v>0</v>
      </c>
      <c r="D17" s="1758">
        <f t="shared" si="1"/>
        <v>0</v>
      </c>
      <c r="E17" s="1758">
        <f t="shared" si="2"/>
        <v>0</v>
      </c>
      <c r="F17" s="1758">
        <f t="shared" si="3"/>
        <v>0</v>
      </c>
      <c r="G17" s="1757">
        <f t="shared" si="4"/>
        <v>0</v>
      </c>
      <c r="H17" s="1757">
        <f t="shared" si="5"/>
        <v>0</v>
      </c>
      <c r="I17" s="1751">
        <f>+VLOOKUP($B17,年度別調書!$A$4:$M$37,10,0)</f>
        <v>54853236126</v>
      </c>
      <c r="J17" s="1751">
        <f>+VLOOKUP($B17,年度別調書!$A$4:$M$37,13,0)</f>
        <v>94393962571</v>
      </c>
      <c r="K17" s="1757">
        <f t="shared" si="10"/>
        <v>0</v>
      </c>
      <c r="L17" s="1757">
        <f t="shared" ref="L17:L47" si="11">H17-K17</f>
        <v>0</v>
      </c>
      <c r="M17" s="1763">
        <f t="shared" si="9"/>
        <v>0</v>
      </c>
      <c r="N17" s="1948">
        <f>+海田!N17</f>
        <v>3</v>
      </c>
      <c r="O17" s="2762"/>
      <c r="P17" s="1759" t="str">
        <f t="shared" si="7"/>
        <v>平成5年度</v>
      </c>
      <c r="Q17" s="1987">
        <v>0</v>
      </c>
      <c r="R17" s="1987">
        <v>0</v>
      </c>
      <c r="S17" s="1987">
        <v>0</v>
      </c>
      <c r="T17" s="1987">
        <v>0</v>
      </c>
      <c r="U17" s="1757"/>
      <c r="V17" s="1764"/>
      <c r="W17" s="2762"/>
      <c r="X17" s="1759" t="str">
        <f t="shared" si="8"/>
        <v>平成5年度</v>
      </c>
      <c r="Y17" s="1988">
        <v>0</v>
      </c>
      <c r="Z17" s="1988">
        <v>0</v>
      </c>
      <c r="AA17" s="1988">
        <v>0</v>
      </c>
      <c r="AB17" s="1988">
        <v>0</v>
      </c>
      <c r="AC17" s="1757"/>
    </row>
    <row r="18" spans="1:29">
      <c r="A18" s="2762"/>
      <c r="B18" s="1760" t="s">
        <v>5207</v>
      </c>
      <c r="C18" s="1758">
        <f t="shared" si="0"/>
        <v>0</v>
      </c>
      <c r="D18" s="1758">
        <f t="shared" si="1"/>
        <v>0</v>
      </c>
      <c r="E18" s="1758">
        <f t="shared" si="2"/>
        <v>0</v>
      </c>
      <c r="F18" s="1758">
        <f t="shared" si="3"/>
        <v>0</v>
      </c>
      <c r="G18" s="1757">
        <f t="shared" si="4"/>
        <v>0</v>
      </c>
      <c r="H18" s="1757">
        <f t="shared" si="5"/>
        <v>0</v>
      </c>
      <c r="I18" s="1751">
        <f>+VLOOKUP($B18,年度別調書!$A$4:$M$37,10,0)</f>
        <v>52459905451</v>
      </c>
      <c r="J18" s="1751">
        <f>+VLOOKUP($B18,年度別調書!$A$4:$M$37,13,0)</f>
        <v>92179213936</v>
      </c>
      <c r="K18" s="1757">
        <f t="shared" si="10"/>
        <v>0</v>
      </c>
      <c r="L18" s="1757">
        <f t="shared" si="11"/>
        <v>0</v>
      </c>
      <c r="M18" s="1763">
        <f t="shared" si="9"/>
        <v>0</v>
      </c>
      <c r="N18" s="1948">
        <f>+海田!N18</f>
        <v>3</v>
      </c>
      <c r="O18" s="2762"/>
      <c r="P18" s="1759" t="str">
        <f t="shared" si="7"/>
        <v>平成6年度</v>
      </c>
      <c r="Q18" s="1987">
        <v>0</v>
      </c>
      <c r="R18" s="1987">
        <v>0</v>
      </c>
      <c r="S18" s="1987">
        <v>0</v>
      </c>
      <c r="T18" s="1987">
        <v>0</v>
      </c>
      <c r="U18" s="1757"/>
      <c r="V18" s="1764"/>
      <c r="W18" s="2762"/>
      <c r="X18" s="1759" t="str">
        <f t="shared" si="8"/>
        <v>平成6年度</v>
      </c>
      <c r="Y18" s="1988">
        <v>0</v>
      </c>
      <c r="Z18" s="1988">
        <v>0</v>
      </c>
      <c r="AA18" s="1988">
        <v>0</v>
      </c>
      <c r="AB18" s="1988">
        <v>0</v>
      </c>
      <c r="AC18" s="1757"/>
    </row>
    <row r="19" spans="1:29">
      <c r="A19" s="2762"/>
      <c r="B19" s="1760" t="s">
        <v>5208</v>
      </c>
      <c r="C19" s="1758">
        <f t="shared" si="0"/>
        <v>0</v>
      </c>
      <c r="D19" s="1758">
        <f t="shared" si="1"/>
        <v>0</v>
      </c>
      <c r="E19" s="1758">
        <f t="shared" si="2"/>
        <v>0</v>
      </c>
      <c r="F19" s="1758">
        <f t="shared" si="3"/>
        <v>0</v>
      </c>
      <c r="G19" s="1757">
        <f t="shared" si="4"/>
        <v>0</v>
      </c>
      <c r="H19" s="1757">
        <f t="shared" si="5"/>
        <v>0</v>
      </c>
      <c r="I19" s="1751">
        <f>+VLOOKUP($B19,年度別調書!$A$4:$M$37,10,0)</f>
        <v>58579778590</v>
      </c>
      <c r="J19" s="1751">
        <f>+VLOOKUP($B19,年度別調書!$A$4:$M$37,13,0)</f>
        <v>98916143476</v>
      </c>
      <c r="K19" s="1757">
        <f t="shared" si="10"/>
        <v>0</v>
      </c>
      <c r="L19" s="1757">
        <f t="shared" si="11"/>
        <v>0</v>
      </c>
      <c r="M19" s="1763">
        <f t="shared" si="9"/>
        <v>0</v>
      </c>
      <c r="N19" s="1948">
        <f>+海田!N19</f>
        <v>3</v>
      </c>
      <c r="O19" s="2762"/>
      <c r="P19" s="1759" t="str">
        <f t="shared" si="7"/>
        <v>平成7年度</v>
      </c>
      <c r="Q19" s="1987">
        <v>0</v>
      </c>
      <c r="R19" s="1987">
        <v>0</v>
      </c>
      <c r="S19" s="1987">
        <v>0</v>
      </c>
      <c r="T19" s="1987">
        <v>0</v>
      </c>
      <c r="U19" s="1757"/>
      <c r="V19" s="1764"/>
      <c r="W19" s="2762"/>
      <c r="X19" s="1759" t="str">
        <f t="shared" si="8"/>
        <v>平成7年度</v>
      </c>
      <c r="Y19" s="1988">
        <v>0</v>
      </c>
      <c r="Z19" s="1988">
        <v>0</v>
      </c>
      <c r="AA19" s="1988">
        <v>0</v>
      </c>
      <c r="AB19" s="1988">
        <v>0</v>
      </c>
      <c r="AC19" s="1757"/>
    </row>
    <row r="20" spans="1:29">
      <c r="A20" s="2762"/>
      <c r="B20" s="1760" t="s">
        <v>5209</v>
      </c>
      <c r="C20" s="1758">
        <f t="shared" si="0"/>
        <v>0</v>
      </c>
      <c r="D20" s="1758">
        <f t="shared" si="1"/>
        <v>0</v>
      </c>
      <c r="E20" s="1758">
        <f t="shared" si="2"/>
        <v>0</v>
      </c>
      <c r="F20" s="1758">
        <f t="shared" si="3"/>
        <v>0</v>
      </c>
      <c r="G20" s="1757">
        <f t="shared" si="4"/>
        <v>0</v>
      </c>
      <c r="H20" s="1757">
        <f t="shared" si="5"/>
        <v>0</v>
      </c>
      <c r="I20" s="1751">
        <f>+VLOOKUP($B20,年度別調書!$A$4:$M$37,10,0)</f>
        <v>59855732510</v>
      </c>
      <c r="J20" s="1751">
        <f>+VLOOKUP($B20,年度別調書!$A$4:$M$37,13,0)</f>
        <v>105086070753</v>
      </c>
      <c r="K20" s="1757">
        <f t="shared" si="10"/>
        <v>0</v>
      </c>
      <c r="L20" s="1757">
        <f t="shared" si="11"/>
        <v>0</v>
      </c>
      <c r="M20" s="1763">
        <f t="shared" si="9"/>
        <v>0</v>
      </c>
      <c r="N20" s="1948">
        <f>+海田!N20</f>
        <v>3</v>
      </c>
      <c r="O20" s="2762"/>
      <c r="P20" s="1759" t="str">
        <f t="shared" si="7"/>
        <v>平成8年度</v>
      </c>
      <c r="Q20" s="1987">
        <v>0</v>
      </c>
      <c r="R20" s="1987">
        <v>0</v>
      </c>
      <c r="S20" s="1987">
        <v>0</v>
      </c>
      <c r="T20" s="1987">
        <v>0</v>
      </c>
      <c r="U20" s="1757"/>
      <c r="V20" s="1764"/>
      <c r="W20" s="2762"/>
      <c r="X20" s="1759" t="str">
        <f t="shared" si="8"/>
        <v>平成8年度</v>
      </c>
      <c r="Y20" s="1988">
        <v>0</v>
      </c>
      <c r="Z20" s="1988">
        <v>0</v>
      </c>
      <c r="AA20" s="1988">
        <v>0</v>
      </c>
      <c r="AB20" s="1988">
        <v>0</v>
      </c>
      <c r="AC20" s="1757"/>
    </row>
    <row r="21" spans="1:29">
      <c r="A21" s="2762"/>
      <c r="B21" s="1760" t="s">
        <v>5210</v>
      </c>
      <c r="C21" s="1758">
        <f t="shared" si="0"/>
        <v>0</v>
      </c>
      <c r="D21" s="1758">
        <f t="shared" si="1"/>
        <v>0</v>
      </c>
      <c r="E21" s="1758">
        <f t="shared" si="2"/>
        <v>0</v>
      </c>
      <c r="F21" s="1758">
        <f t="shared" si="3"/>
        <v>0</v>
      </c>
      <c r="G21" s="1757">
        <f t="shared" si="4"/>
        <v>0</v>
      </c>
      <c r="H21" s="1757">
        <f t="shared" si="5"/>
        <v>0</v>
      </c>
      <c r="I21" s="1751">
        <f>+VLOOKUP($B21,年度別調書!$A$4:$M$37,10,0)</f>
        <v>65491097789</v>
      </c>
      <c r="J21" s="1751">
        <f>+VLOOKUP($B21,年度別調書!$A$4:$M$37,13,0)</f>
        <v>112544371375</v>
      </c>
      <c r="K21" s="1757">
        <f t="shared" si="10"/>
        <v>0</v>
      </c>
      <c r="L21" s="1757">
        <f t="shared" si="11"/>
        <v>0</v>
      </c>
      <c r="M21" s="1763">
        <f t="shared" si="9"/>
        <v>0</v>
      </c>
      <c r="N21" s="1948">
        <f>+海田!N21</f>
        <v>5</v>
      </c>
      <c r="O21" s="2762"/>
      <c r="P21" s="1759" t="str">
        <f t="shared" si="7"/>
        <v>平成9年度</v>
      </c>
      <c r="Q21" s="1987">
        <v>0</v>
      </c>
      <c r="R21" s="1987">
        <v>0</v>
      </c>
      <c r="S21" s="1987">
        <v>0</v>
      </c>
      <c r="T21" s="1987">
        <v>0</v>
      </c>
      <c r="U21" s="1757"/>
      <c r="V21" s="1764"/>
      <c r="W21" s="2762"/>
      <c r="X21" s="1759" t="str">
        <f t="shared" si="8"/>
        <v>平成9年度</v>
      </c>
      <c r="Y21" s="1988">
        <v>0</v>
      </c>
      <c r="Z21" s="1988">
        <v>0</v>
      </c>
      <c r="AA21" s="1988">
        <v>0</v>
      </c>
      <c r="AB21" s="1988">
        <v>0</v>
      </c>
      <c r="AC21" s="1757"/>
    </row>
    <row r="22" spans="1:29">
      <c r="A22" s="2762"/>
      <c r="B22" s="1760" t="s">
        <v>5211</v>
      </c>
      <c r="C22" s="1758">
        <f t="shared" si="0"/>
        <v>0</v>
      </c>
      <c r="D22" s="1758">
        <f t="shared" si="1"/>
        <v>0</v>
      </c>
      <c r="E22" s="1758">
        <f t="shared" si="2"/>
        <v>0</v>
      </c>
      <c r="F22" s="1758">
        <f t="shared" si="3"/>
        <v>0</v>
      </c>
      <c r="G22" s="1757">
        <f t="shared" si="4"/>
        <v>0</v>
      </c>
      <c r="H22" s="1757">
        <f t="shared" si="5"/>
        <v>0</v>
      </c>
      <c r="I22" s="1751">
        <f>+VLOOKUP($B22,年度別調書!$A$4:$M$37,10,0)</f>
        <v>66701247191</v>
      </c>
      <c r="J22" s="1751">
        <f>+VLOOKUP($B22,年度別調書!$A$4:$M$37,13,0)</f>
        <v>118194473653</v>
      </c>
      <c r="K22" s="1757">
        <f t="shared" si="10"/>
        <v>0</v>
      </c>
      <c r="L22" s="1757">
        <f t="shared" si="11"/>
        <v>0</v>
      </c>
      <c r="M22" s="1763">
        <f t="shared" si="9"/>
        <v>0</v>
      </c>
      <c r="N22" s="1948">
        <f>+海田!N22</f>
        <v>5</v>
      </c>
      <c r="O22" s="2762"/>
      <c r="P22" s="1759" t="str">
        <f t="shared" si="7"/>
        <v>平成10年度</v>
      </c>
      <c r="Q22" s="1987">
        <v>0</v>
      </c>
      <c r="R22" s="1987">
        <v>0</v>
      </c>
      <c r="S22" s="1987">
        <v>0</v>
      </c>
      <c r="T22" s="1987">
        <v>0</v>
      </c>
      <c r="U22" s="1757"/>
      <c r="V22" s="1764"/>
      <c r="W22" s="2762"/>
      <c r="X22" s="1759" t="str">
        <f t="shared" si="8"/>
        <v>平成10年度</v>
      </c>
      <c r="Y22" s="1988">
        <v>0</v>
      </c>
      <c r="Z22" s="1988">
        <v>0</v>
      </c>
      <c r="AA22" s="1988">
        <v>0</v>
      </c>
      <c r="AB22" s="1988">
        <v>0</v>
      </c>
      <c r="AC22" s="1757"/>
    </row>
    <row r="23" spans="1:29">
      <c r="A23" s="2762"/>
      <c r="B23" s="1760" t="s">
        <v>5212</v>
      </c>
      <c r="C23" s="1758">
        <f t="shared" si="0"/>
        <v>0</v>
      </c>
      <c r="D23" s="1758">
        <f t="shared" si="1"/>
        <v>0</v>
      </c>
      <c r="E23" s="1758">
        <f t="shared" si="2"/>
        <v>0</v>
      </c>
      <c r="F23" s="1758">
        <f t="shared" si="3"/>
        <v>0</v>
      </c>
      <c r="G23" s="1757">
        <f t="shared" si="4"/>
        <v>0</v>
      </c>
      <c r="H23" s="1757">
        <f t="shared" si="5"/>
        <v>0</v>
      </c>
      <c r="I23" s="1751">
        <f>+VLOOKUP($B23,年度別調書!$A$4:$M$37,10,0)</f>
        <v>58274420372</v>
      </c>
      <c r="J23" s="1751">
        <f>+VLOOKUP($B23,年度別調書!$A$4:$M$37,13,0)</f>
        <v>110790062218</v>
      </c>
      <c r="K23" s="1757">
        <f t="shared" si="10"/>
        <v>0</v>
      </c>
      <c r="L23" s="1757">
        <f t="shared" si="11"/>
        <v>0</v>
      </c>
      <c r="M23" s="1763">
        <f t="shared" si="9"/>
        <v>0</v>
      </c>
      <c r="N23" s="1948">
        <f>+海田!N23</f>
        <v>5</v>
      </c>
      <c r="O23" s="2762"/>
      <c r="P23" s="1759" t="str">
        <f t="shared" si="7"/>
        <v>平成11年度</v>
      </c>
      <c r="Q23" s="1987">
        <v>0</v>
      </c>
      <c r="R23" s="1987">
        <v>0</v>
      </c>
      <c r="S23" s="1987">
        <v>0</v>
      </c>
      <c r="T23" s="1987">
        <v>0</v>
      </c>
      <c r="U23" s="1757"/>
      <c r="V23" s="1764"/>
      <c r="W23" s="2762"/>
      <c r="X23" s="1759" t="str">
        <f t="shared" si="8"/>
        <v>平成11年度</v>
      </c>
      <c r="Y23" s="1988">
        <v>0</v>
      </c>
      <c r="Z23" s="1988">
        <v>0</v>
      </c>
      <c r="AA23" s="1988">
        <v>0</v>
      </c>
      <c r="AB23" s="1988">
        <v>0</v>
      </c>
      <c r="AC23" s="1757"/>
    </row>
    <row r="24" spans="1:29">
      <c r="A24" s="2762"/>
      <c r="B24" s="1760" t="s">
        <v>5213</v>
      </c>
      <c r="C24" s="1758">
        <f t="shared" si="0"/>
        <v>0</v>
      </c>
      <c r="D24" s="1758">
        <f t="shared" si="1"/>
        <v>0</v>
      </c>
      <c r="E24" s="1758">
        <f t="shared" si="2"/>
        <v>0</v>
      </c>
      <c r="F24" s="1758">
        <f t="shared" si="3"/>
        <v>0</v>
      </c>
      <c r="G24" s="1757">
        <f t="shared" si="4"/>
        <v>0</v>
      </c>
      <c r="H24" s="1757">
        <f t="shared" si="5"/>
        <v>0</v>
      </c>
      <c r="I24" s="1751">
        <f>+VLOOKUP($B24,年度別調書!$A$4:$M$37,10,0)</f>
        <v>48353931386</v>
      </c>
      <c r="J24" s="1751">
        <f>+VLOOKUP($B24,年度別調書!$A$4:$M$37,13,0)</f>
        <v>104173607652</v>
      </c>
      <c r="K24" s="1757">
        <f t="shared" si="10"/>
        <v>0</v>
      </c>
      <c r="L24" s="1757">
        <f t="shared" si="11"/>
        <v>0</v>
      </c>
      <c r="M24" s="1763">
        <f t="shared" si="9"/>
        <v>0</v>
      </c>
      <c r="N24" s="1948">
        <f>+海田!N24</f>
        <v>5</v>
      </c>
      <c r="O24" s="2762"/>
      <c r="P24" s="1759" t="str">
        <f t="shared" si="7"/>
        <v>平成12年度</v>
      </c>
      <c r="Q24" s="1987">
        <v>0</v>
      </c>
      <c r="R24" s="1987">
        <v>0</v>
      </c>
      <c r="S24" s="1987">
        <v>0</v>
      </c>
      <c r="T24" s="1987">
        <v>0</v>
      </c>
      <c r="U24" s="1757"/>
      <c r="V24" s="1764"/>
      <c r="W24" s="2762"/>
      <c r="X24" s="1759" t="str">
        <f t="shared" si="8"/>
        <v>平成12年度</v>
      </c>
      <c r="Y24" s="1988">
        <v>0</v>
      </c>
      <c r="Z24" s="1988">
        <v>0</v>
      </c>
      <c r="AA24" s="1988">
        <v>0</v>
      </c>
      <c r="AB24" s="1988">
        <v>0</v>
      </c>
      <c r="AC24" s="1757"/>
    </row>
    <row r="25" spans="1:29">
      <c r="A25" s="2762"/>
      <c r="B25" s="1760" t="s">
        <v>5214</v>
      </c>
      <c r="C25" s="1758">
        <f t="shared" si="0"/>
        <v>0</v>
      </c>
      <c r="D25" s="1758">
        <f t="shared" si="1"/>
        <v>0</v>
      </c>
      <c r="E25" s="1758">
        <f t="shared" si="2"/>
        <v>0</v>
      </c>
      <c r="F25" s="1758">
        <f t="shared" si="3"/>
        <v>0</v>
      </c>
      <c r="G25" s="1757">
        <f t="shared" si="4"/>
        <v>0</v>
      </c>
      <c r="H25" s="1757">
        <f t="shared" si="5"/>
        <v>0</v>
      </c>
      <c r="I25" s="1751">
        <f>+VLOOKUP($B25,年度別調書!$A$4:$M$37,10,0)</f>
        <v>42742028940</v>
      </c>
      <c r="J25" s="1751">
        <f>+VLOOKUP($B25,年度別調書!$A$4:$M$37,13,0)</f>
        <v>101075943440</v>
      </c>
      <c r="K25" s="1757">
        <f t="shared" si="10"/>
        <v>0</v>
      </c>
      <c r="L25" s="1757">
        <f t="shared" si="11"/>
        <v>0</v>
      </c>
      <c r="M25" s="1763">
        <f t="shared" si="9"/>
        <v>0</v>
      </c>
      <c r="N25" s="1948">
        <f>+海田!N25</f>
        <v>5</v>
      </c>
      <c r="O25" s="2762"/>
      <c r="P25" s="1759" t="str">
        <f t="shared" si="7"/>
        <v>平成13年度</v>
      </c>
      <c r="Q25" s="1987">
        <v>0</v>
      </c>
      <c r="R25" s="1987">
        <v>0</v>
      </c>
      <c r="S25" s="1987">
        <v>0</v>
      </c>
      <c r="T25" s="1987">
        <v>0</v>
      </c>
      <c r="U25" s="1757"/>
      <c r="V25" s="1764"/>
      <c r="W25" s="2762"/>
      <c r="X25" s="1759" t="str">
        <f t="shared" si="8"/>
        <v>平成13年度</v>
      </c>
      <c r="Y25" s="1988">
        <v>0</v>
      </c>
      <c r="Z25" s="1988">
        <v>0</v>
      </c>
      <c r="AA25" s="1988">
        <v>0</v>
      </c>
      <c r="AB25" s="1988">
        <v>0</v>
      </c>
      <c r="AC25" s="1757"/>
    </row>
    <row r="26" spans="1:29">
      <c r="A26" s="2762"/>
      <c r="B26" s="1760" t="s">
        <v>5215</v>
      </c>
      <c r="C26" s="1758">
        <f t="shared" si="0"/>
        <v>0</v>
      </c>
      <c r="D26" s="1758">
        <f t="shared" si="1"/>
        <v>0</v>
      </c>
      <c r="E26" s="1758">
        <f t="shared" si="2"/>
        <v>0</v>
      </c>
      <c r="F26" s="1758">
        <f t="shared" si="3"/>
        <v>0</v>
      </c>
      <c r="G26" s="1757">
        <f t="shared" si="4"/>
        <v>0</v>
      </c>
      <c r="H26" s="1757">
        <f t="shared" si="5"/>
        <v>0</v>
      </c>
      <c r="I26" s="1751">
        <f>+VLOOKUP($B26,年度別調書!$A$4:$M$37,10,0)</f>
        <v>38694694218</v>
      </c>
      <c r="J26" s="1751">
        <f>+VLOOKUP($B26,年度別調書!$A$4:$M$37,13,0)</f>
        <v>98151426478</v>
      </c>
      <c r="K26" s="1757">
        <f t="shared" si="10"/>
        <v>0</v>
      </c>
      <c r="L26" s="1757">
        <f t="shared" si="11"/>
        <v>0</v>
      </c>
      <c r="M26" s="1763">
        <f t="shared" si="9"/>
        <v>0</v>
      </c>
      <c r="N26" s="1948">
        <f>+海田!N26</f>
        <v>5</v>
      </c>
      <c r="O26" s="2762"/>
      <c r="P26" s="1759" t="str">
        <f t="shared" si="7"/>
        <v>平成14年度</v>
      </c>
      <c r="Q26" s="1987">
        <v>0</v>
      </c>
      <c r="R26" s="1987">
        <v>0</v>
      </c>
      <c r="S26" s="1987">
        <v>0</v>
      </c>
      <c r="T26" s="1987">
        <v>0</v>
      </c>
      <c r="U26" s="1757"/>
      <c r="V26" s="1764"/>
      <c r="W26" s="2762"/>
      <c r="X26" s="1759" t="str">
        <f t="shared" si="8"/>
        <v>平成14年度</v>
      </c>
      <c r="Y26" s="1988">
        <v>0</v>
      </c>
      <c r="Z26" s="1988">
        <v>0</v>
      </c>
      <c r="AA26" s="1988">
        <v>0</v>
      </c>
      <c r="AB26" s="1988">
        <v>0</v>
      </c>
      <c r="AC26" s="1757"/>
    </row>
    <row r="27" spans="1:29">
      <c r="A27" s="2762"/>
      <c r="B27" s="1760" t="s">
        <v>5216</v>
      </c>
      <c r="C27" s="1758">
        <f t="shared" si="0"/>
        <v>0</v>
      </c>
      <c r="D27" s="1758">
        <f t="shared" si="1"/>
        <v>0</v>
      </c>
      <c r="E27" s="1758">
        <f t="shared" si="2"/>
        <v>0</v>
      </c>
      <c r="F27" s="1758">
        <f t="shared" si="3"/>
        <v>0</v>
      </c>
      <c r="G27" s="1757">
        <f t="shared" si="4"/>
        <v>0</v>
      </c>
      <c r="H27" s="1757">
        <f t="shared" si="5"/>
        <v>0</v>
      </c>
      <c r="I27" s="1751">
        <f>+VLOOKUP($B27,年度別調書!$A$4:$M$37,10,0)</f>
        <v>37621895854</v>
      </c>
      <c r="J27" s="1751">
        <f>+VLOOKUP($B27,年度別調書!$A$4:$M$37,13,0)</f>
        <v>100825076572</v>
      </c>
      <c r="K27" s="1757">
        <f t="shared" si="10"/>
        <v>0</v>
      </c>
      <c r="L27" s="1757">
        <f t="shared" si="11"/>
        <v>0</v>
      </c>
      <c r="M27" s="1763">
        <f t="shared" si="9"/>
        <v>0</v>
      </c>
      <c r="N27" s="1948">
        <f>+海田!N27</f>
        <v>5</v>
      </c>
      <c r="O27" s="2762"/>
      <c r="P27" s="1759" t="str">
        <f t="shared" si="7"/>
        <v>平成15年度</v>
      </c>
      <c r="Q27" s="1987">
        <v>0</v>
      </c>
      <c r="R27" s="1987">
        <v>0</v>
      </c>
      <c r="S27" s="1987">
        <v>0</v>
      </c>
      <c r="T27" s="1987">
        <v>0</v>
      </c>
      <c r="U27" s="1757"/>
      <c r="V27" s="1764"/>
      <c r="W27" s="2762"/>
      <c r="X27" s="1759" t="str">
        <f t="shared" si="8"/>
        <v>平成15年度</v>
      </c>
      <c r="Y27" s="1988">
        <v>0</v>
      </c>
      <c r="Z27" s="1988">
        <v>0</v>
      </c>
      <c r="AA27" s="1988">
        <v>0</v>
      </c>
      <c r="AB27" s="1988">
        <v>0</v>
      </c>
      <c r="AC27" s="1757"/>
    </row>
    <row r="28" spans="1:29">
      <c r="A28" s="2762"/>
      <c r="B28" s="1760" t="s">
        <v>5217</v>
      </c>
      <c r="C28" s="1758">
        <f t="shared" si="0"/>
        <v>0</v>
      </c>
      <c r="D28" s="1758">
        <f t="shared" si="1"/>
        <v>0</v>
      </c>
      <c r="E28" s="1758">
        <f t="shared" si="2"/>
        <v>0</v>
      </c>
      <c r="F28" s="1758">
        <f t="shared" si="3"/>
        <v>0</v>
      </c>
      <c r="G28" s="1757">
        <f t="shared" si="4"/>
        <v>0</v>
      </c>
      <c r="H28" s="1757">
        <f t="shared" si="5"/>
        <v>0</v>
      </c>
      <c r="I28" s="1751">
        <f>+VLOOKUP($B28,年度別調書!$A$4:$M$37,10,0)</f>
        <v>29085465357</v>
      </c>
      <c r="J28" s="1751">
        <f>+VLOOKUP($B28,年度別調書!$A$4:$M$37,13,0)</f>
        <v>101305165124</v>
      </c>
      <c r="K28" s="1757">
        <f t="shared" si="10"/>
        <v>0</v>
      </c>
      <c r="L28" s="1757">
        <f t="shared" si="11"/>
        <v>0</v>
      </c>
      <c r="M28" s="1763">
        <f t="shared" si="9"/>
        <v>0</v>
      </c>
      <c r="N28" s="1948">
        <f>+海田!N28</f>
        <v>5</v>
      </c>
      <c r="O28" s="2762"/>
      <c r="P28" s="1759" t="str">
        <f t="shared" si="7"/>
        <v>平成16年度</v>
      </c>
      <c r="Q28" s="1987">
        <v>0</v>
      </c>
      <c r="R28" s="1987">
        <v>0</v>
      </c>
      <c r="S28" s="1987">
        <v>0</v>
      </c>
      <c r="T28" s="1987">
        <v>0</v>
      </c>
      <c r="U28" s="1757"/>
      <c r="V28" s="1764"/>
      <c r="W28" s="2762"/>
      <c r="X28" s="1759" t="str">
        <f t="shared" si="8"/>
        <v>平成16年度</v>
      </c>
      <c r="Y28" s="1988">
        <v>0</v>
      </c>
      <c r="Z28" s="1988">
        <v>0</v>
      </c>
      <c r="AA28" s="1988">
        <v>0</v>
      </c>
      <c r="AB28" s="1988">
        <v>0</v>
      </c>
      <c r="AC28" s="1757"/>
    </row>
    <row r="29" spans="1:29">
      <c r="A29" s="2762"/>
      <c r="B29" s="1760" t="s">
        <v>5218</v>
      </c>
      <c r="C29" s="1758">
        <f t="shared" si="0"/>
        <v>0</v>
      </c>
      <c r="D29" s="1758">
        <f t="shared" si="1"/>
        <v>0</v>
      </c>
      <c r="E29" s="1758">
        <f t="shared" si="2"/>
        <v>0</v>
      </c>
      <c r="F29" s="1758">
        <f t="shared" si="3"/>
        <v>0</v>
      </c>
      <c r="G29" s="1757">
        <f t="shared" si="4"/>
        <v>0</v>
      </c>
      <c r="H29" s="1757">
        <f t="shared" si="5"/>
        <v>0</v>
      </c>
      <c r="I29" s="1751">
        <f>+VLOOKUP($B29,年度別調書!$A$4:$M$37,10,0)</f>
        <v>25082997134</v>
      </c>
      <c r="J29" s="1751">
        <f>+VLOOKUP($B29,年度別調書!$A$4:$M$37,13,0)</f>
        <v>96528725584</v>
      </c>
      <c r="K29" s="1757">
        <f t="shared" si="10"/>
        <v>0</v>
      </c>
      <c r="L29" s="1757">
        <f t="shared" si="11"/>
        <v>0</v>
      </c>
      <c r="M29" s="1763">
        <f t="shared" si="9"/>
        <v>0</v>
      </c>
      <c r="N29" s="1948">
        <f>+海田!N29</f>
        <v>5</v>
      </c>
      <c r="O29" s="2762"/>
      <c r="P29" s="1759" t="str">
        <f t="shared" si="7"/>
        <v>平成17年度</v>
      </c>
      <c r="Q29" s="1987">
        <v>0</v>
      </c>
      <c r="R29" s="1987">
        <v>0</v>
      </c>
      <c r="S29" s="1987">
        <v>0</v>
      </c>
      <c r="T29" s="1987">
        <v>0</v>
      </c>
      <c r="U29" s="1757"/>
      <c r="V29" s="1764"/>
      <c r="W29" s="2762"/>
      <c r="X29" s="1759" t="str">
        <f t="shared" si="8"/>
        <v>平成17年度</v>
      </c>
      <c r="Y29" s="1988">
        <v>0</v>
      </c>
      <c r="Z29" s="1988">
        <v>0</v>
      </c>
      <c r="AA29" s="1988">
        <v>0</v>
      </c>
      <c r="AB29" s="1988">
        <v>0</v>
      </c>
      <c r="AC29" s="1757"/>
    </row>
    <row r="30" spans="1:29">
      <c r="A30" s="2762"/>
      <c r="B30" s="1760" t="s">
        <v>5219</v>
      </c>
      <c r="C30" s="1758">
        <f t="shared" si="0"/>
        <v>0</v>
      </c>
      <c r="D30" s="1758">
        <f t="shared" si="1"/>
        <v>0</v>
      </c>
      <c r="E30" s="1758">
        <f t="shared" si="2"/>
        <v>0</v>
      </c>
      <c r="F30" s="1758">
        <f t="shared" si="3"/>
        <v>0</v>
      </c>
      <c r="G30" s="1757">
        <f t="shared" si="4"/>
        <v>0</v>
      </c>
      <c r="H30" s="1757">
        <f t="shared" si="5"/>
        <v>0</v>
      </c>
      <c r="I30" s="1751">
        <f>+VLOOKUP($B30,年度別調書!$A$4:$M$37,10,0)</f>
        <v>21657707574</v>
      </c>
      <c r="J30" s="1751">
        <f>+VLOOKUP($B30,年度別調書!$A$4:$M$37,13,0)</f>
        <v>84768578867</v>
      </c>
      <c r="K30" s="1757">
        <f t="shared" si="10"/>
        <v>0</v>
      </c>
      <c r="L30" s="1757">
        <f t="shared" si="11"/>
        <v>0</v>
      </c>
      <c r="M30" s="1763">
        <f t="shared" si="9"/>
        <v>0</v>
      </c>
      <c r="N30" s="1948">
        <f>+海田!N30</f>
        <v>5</v>
      </c>
      <c r="O30" s="2762"/>
      <c r="P30" s="1759" t="str">
        <f t="shared" si="7"/>
        <v>平成18年度</v>
      </c>
      <c r="Q30" s="1987">
        <v>0</v>
      </c>
      <c r="R30" s="1987">
        <v>0</v>
      </c>
      <c r="S30" s="1987">
        <v>0</v>
      </c>
      <c r="T30" s="1987">
        <v>0</v>
      </c>
      <c r="U30" s="1757"/>
      <c r="V30" s="1764"/>
      <c r="W30" s="2762"/>
      <c r="X30" s="1759" t="str">
        <f t="shared" si="8"/>
        <v>平成18年度</v>
      </c>
      <c r="Y30" s="1988">
        <v>0</v>
      </c>
      <c r="Z30" s="1988">
        <v>0</v>
      </c>
      <c r="AA30" s="1988">
        <v>0</v>
      </c>
      <c r="AB30" s="1988">
        <v>0</v>
      </c>
      <c r="AC30" s="1757"/>
    </row>
    <row r="31" spans="1:29">
      <c r="A31" s="2762"/>
      <c r="B31" s="1760" t="s">
        <v>5220</v>
      </c>
      <c r="C31" s="1758">
        <f t="shared" si="0"/>
        <v>0</v>
      </c>
      <c r="D31" s="1758">
        <f t="shared" si="1"/>
        <v>0</v>
      </c>
      <c r="E31" s="1758">
        <f t="shared" si="2"/>
        <v>0</v>
      </c>
      <c r="F31" s="1758">
        <f t="shared" si="3"/>
        <v>0</v>
      </c>
      <c r="G31" s="1757">
        <f t="shared" si="4"/>
        <v>0</v>
      </c>
      <c r="H31" s="1757">
        <f t="shared" si="5"/>
        <v>0</v>
      </c>
      <c r="I31" s="1751">
        <f>+VLOOKUP($B31,年度別調書!$A$4:$M$37,10,0)</f>
        <v>25422571996</v>
      </c>
      <c r="J31" s="1751">
        <f>+VLOOKUP($B31,年度別調書!$A$4:$M$37,13,0)</f>
        <v>105576318079</v>
      </c>
      <c r="K31" s="1757">
        <f t="shared" si="10"/>
        <v>0</v>
      </c>
      <c r="L31" s="1757">
        <f t="shared" si="11"/>
        <v>0</v>
      </c>
      <c r="M31" s="1763">
        <f t="shared" si="9"/>
        <v>0</v>
      </c>
      <c r="N31" s="1948">
        <f>+海田!N31</f>
        <v>5</v>
      </c>
      <c r="O31" s="2762"/>
      <c r="P31" s="1759" t="str">
        <f t="shared" si="7"/>
        <v>平成19年度</v>
      </c>
      <c r="Q31" s="1987">
        <v>0</v>
      </c>
      <c r="R31" s="1987">
        <v>0</v>
      </c>
      <c r="S31" s="1987">
        <v>0</v>
      </c>
      <c r="T31" s="1987">
        <v>0</v>
      </c>
      <c r="U31" s="1757"/>
      <c r="V31" s="1764"/>
      <c r="W31" s="2762"/>
      <c r="X31" s="1759" t="str">
        <f t="shared" si="8"/>
        <v>平成19年度</v>
      </c>
      <c r="Y31" s="1988">
        <v>0</v>
      </c>
      <c r="Z31" s="1988">
        <v>0</v>
      </c>
      <c r="AA31" s="1988">
        <v>0</v>
      </c>
      <c r="AB31" s="1988">
        <v>0</v>
      </c>
      <c r="AC31" s="1757"/>
    </row>
    <row r="32" spans="1:29">
      <c r="A32" s="2762"/>
      <c r="B32" s="1760" t="s">
        <v>5221</v>
      </c>
      <c r="C32" s="1758">
        <f t="shared" si="0"/>
        <v>66836</v>
      </c>
      <c r="D32" s="1758">
        <f t="shared" si="1"/>
        <v>25592</v>
      </c>
      <c r="E32" s="1758">
        <f t="shared" si="2"/>
        <v>92428</v>
      </c>
      <c r="F32" s="1758">
        <f t="shared" si="3"/>
        <v>10372</v>
      </c>
      <c r="G32" s="2018">
        <f>ROUND(C32/C$48*G$48,0)</f>
        <v>7501</v>
      </c>
      <c r="H32" s="1757">
        <f t="shared" si="5"/>
        <v>59335</v>
      </c>
      <c r="I32" s="1751">
        <f>+VLOOKUP($B32,年度別調書!$A$4:$M$37,10,0)</f>
        <v>24693835462</v>
      </c>
      <c r="J32" s="1751">
        <f>+VLOOKUP($B32,年度別調書!$A$4:$M$37,13,0)</f>
        <v>110401232854</v>
      </c>
      <c r="K32" s="1757">
        <f t="shared" si="10"/>
        <v>13272</v>
      </c>
      <c r="L32" s="1757">
        <f t="shared" si="11"/>
        <v>46063</v>
      </c>
      <c r="M32" s="1763">
        <f t="shared" si="9"/>
        <v>-0.27000000000043656</v>
      </c>
      <c r="N32" s="1948">
        <f>+海田!N32</f>
        <v>5</v>
      </c>
      <c r="O32" s="2762"/>
      <c r="P32" s="1759" t="str">
        <f t="shared" si="7"/>
        <v>平成20年度</v>
      </c>
      <c r="Q32" s="1987">
        <v>33245</v>
      </c>
      <c r="R32" s="1987">
        <v>12969</v>
      </c>
      <c r="S32" s="1987">
        <v>46214</v>
      </c>
      <c r="T32" s="1987">
        <v>5186</v>
      </c>
      <c r="U32" s="1757"/>
      <c r="V32" s="1764"/>
      <c r="W32" s="2762"/>
      <c r="X32" s="1759" t="str">
        <f t="shared" si="8"/>
        <v>平成20年度</v>
      </c>
      <c r="Y32" s="1988">
        <v>33591</v>
      </c>
      <c r="Z32" s="1988">
        <v>12623</v>
      </c>
      <c r="AA32" s="1988">
        <v>46214</v>
      </c>
      <c r="AB32" s="1988">
        <v>5186</v>
      </c>
      <c r="AC32" s="1757"/>
    </row>
    <row r="33" spans="1:29">
      <c r="A33" s="2762"/>
      <c r="B33" s="1760" t="s">
        <v>5222</v>
      </c>
      <c r="C33" s="1758">
        <f t="shared" si="0"/>
        <v>33861</v>
      </c>
      <c r="D33" s="1758">
        <f t="shared" si="1"/>
        <v>13725</v>
      </c>
      <c r="E33" s="1758">
        <f t="shared" si="2"/>
        <v>47586</v>
      </c>
      <c r="F33" s="1758">
        <f t="shared" si="3"/>
        <v>5340</v>
      </c>
      <c r="G33" s="1757">
        <f t="shared" si="4"/>
        <v>3800</v>
      </c>
      <c r="H33" s="1757">
        <f t="shared" si="5"/>
        <v>30061</v>
      </c>
      <c r="I33" s="1751">
        <f>+VLOOKUP($B33,年度別調書!$A$4:$M$37,10,0)</f>
        <v>22324372880</v>
      </c>
      <c r="J33" s="1751">
        <f>+VLOOKUP($B33,年度別調書!$A$4:$M$37,13,0)</f>
        <v>88097108350</v>
      </c>
      <c r="K33" s="1757">
        <f t="shared" si="10"/>
        <v>7618</v>
      </c>
      <c r="L33" s="1757">
        <f t="shared" si="11"/>
        <v>22443</v>
      </c>
      <c r="M33" s="1763">
        <f t="shared" si="9"/>
        <v>8.1000000000130967E-2</v>
      </c>
      <c r="N33" s="1948">
        <f>+海田!N33</f>
        <v>5</v>
      </c>
      <c r="O33" s="2762"/>
      <c r="P33" s="1759" t="str">
        <f t="shared" si="7"/>
        <v>平成21年度</v>
      </c>
      <c r="Q33" s="1987">
        <v>16848</v>
      </c>
      <c r="R33" s="1987">
        <v>6945</v>
      </c>
      <c r="S33" s="1987">
        <v>23793</v>
      </c>
      <c r="T33" s="1987">
        <v>2670</v>
      </c>
      <c r="U33" s="1757"/>
      <c r="V33" s="1764"/>
      <c r="W33" s="2762"/>
      <c r="X33" s="1759" t="str">
        <f t="shared" si="8"/>
        <v>平成21年度</v>
      </c>
      <c r="Y33" s="1988">
        <v>17013</v>
      </c>
      <c r="Z33" s="1988">
        <v>6780</v>
      </c>
      <c r="AA33" s="1988">
        <v>23793</v>
      </c>
      <c r="AB33" s="1988">
        <v>2670</v>
      </c>
      <c r="AC33" s="1757"/>
    </row>
    <row r="34" spans="1:29">
      <c r="A34" s="2762"/>
      <c r="B34" s="1760" t="s">
        <v>5223</v>
      </c>
      <c r="C34" s="1758">
        <f t="shared" si="0"/>
        <v>675740</v>
      </c>
      <c r="D34" s="1758">
        <f t="shared" si="1"/>
        <v>257120</v>
      </c>
      <c r="E34" s="1758">
        <f t="shared" si="2"/>
        <v>932860</v>
      </c>
      <c r="F34" s="1758">
        <f t="shared" si="3"/>
        <v>104692</v>
      </c>
      <c r="G34" s="2018">
        <f>ROUND(C34/C$48*G$48,0)</f>
        <v>75836</v>
      </c>
      <c r="H34" s="1757">
        <f t="shared" si="5"/>
        <v>599904</v>
      </c>
      <c r="I34" s="1751">
        <f>+VLOOKUP($B34,年度別調書!$A$4:$M$37,10,0)</f>
        <v>26326163485</v>
      </c>
      <c r="J34" s="1751">
        <f>+VLOOKUP($B34,年度別調書!$A$4:$M$37,13,0)</f>
        <v>102723057143</v>
      </c>
      <c r="K34" s="1757">
        <f t="shared" si="10"/>
        <v>153745</v>
      </c>
      <c r="L34" s="1757">
        <f t="shared" si="11"/>
        <v>446159</v>
      </c>
      <c r="M34" s="1763">
        <f t="shared" si="9"/>
        <v>-0.47599999999511056</v>
      </c>
      <c r="N34" s="1948">
        <f>+海田!N34</f>
        <v>5</v>
      </c>
      <c r="O34" s="2762"/>
      <c r="P34" s="1759" t="str">
        <f t="shared" si="7"/>
        <v>平成22年度</v>
      </c>
      <c r="Q34" s="1987">
        <v>336394</v>
      </c>
      <c r="R34" s="1987">
        <v>130036</v>
      </c>
      <c r="S34" s="1987">
        <v>466430</v>
      </c>
      <c r="T34" s="1987">
        <v>52346</v>
      </c>
      <c r="U34" s="1757"/>
      <c r="V34" s="1764"/>
      <c r="W34" s="2762"/>
      <c r="X34" s="1759" t="str">
        <f t="shared" si="8"/>
        <v>平成22年度</v>
      </c>
      <c r="Y34" s="1988">
        <v>339346</v>
      </c>
      <c r="Z34" s="1988">
        <v>127084</v>
      </c>
      <c r="AA34" s="1988">
        <v>466430</v>
      </c>
      <c r="AB34" s="1988">
        <v>52346</v>
      </c>
      <c r="AC34" s="1757"/>
    </row>
    <row r="35" spans="1:29">
      <c r="A35" s="2762"/>
      <c r="B35" s="1760" t="s">
        <v>5224</v>
      </c>
      <c r="C35" s="1758">
        <f t="shared" si="0"/>
        <v>419551</v>
      </c>
      <c r="D35" s="1758">
        <f t="shared" si="1"/>
        <v>147551</v>
      </c>
      <c r="E35" s="1758">
        <f t="shared" si="2"/>
        <v>567102</v>
      </c>
      <c r="F35" s="1758">
        <f t="shared" si="3"/>
        <v>63644</v>
      </c>
      <c r="G35" s="1757">
        <f t="shared" si="4"/>
        <v>47084</v>
      </c>
      <c r="H35" s="1757">
        <f t="shared" si="5"/>
        <v>372467</v>
      </c>
      <c r="I35" s="1751">
        <f>+VLOOKUP($B35,年度別調書!$A$4:$M$37,10,0)</f>
        <v>26883440277</v>
      </c>
      <c r="J35" s="1751">
        <f>+VLOOKUP($B35,年度別調書!$A$4:$M$37,13,0)</f>
        <v>99758377045</v>
      </c>
      <c r="K35" s="1757">
        <f t="shared" si="10"/>
        <v>100374</v>
      </c>
      <c r="L35" s="1757">
        <f t="shared" si="11"/>
        <v>272093</v>
      </c>
      <c r="M35" s="1763">
        <f t="shared" si="9"/>
        <v>0.48500000000058208</v>
      </c>
      <c r="N35" s="1948">
        <f>+海田!N35</f>
        <v>5</v>
      </c>
      <c r="O35" s="2762"/>
      <c r="P35" s="1759" t="str">
        <f t="shared" si="7"/>
        <v>平成23年度</v>
      </c>
      <c r="Q35" s="1987">
        <v>208963</v>
      </c>
      <c r="R35" s="1987">
        <v>74588</v>
      </c>
      <c r="S35" s="1987">
        <v>283551</v>
      </c>
      <c r="T35" s="1987">
        <v>31822</v>
      </c>
      <c r="U35" s="1757"/>
      <c r="V35" s="1764"/>
      <c r="W35" s="2762"/>
      <c r="X35" s="1759" t="str">
        <f t="shared" si="8"/>
        <v>平成23年度</v>
      </c>
      <c r="Y35" s="1988">
        <v>210588</v>
      </c>
      <c r="Z35" s="1988">
        <v>72963</v>
      </c>
      <c r="AA35" s="1988">
        <v>283551</v>
      </c>
      <c r="AB35" s="1988">
        <v>31822</v>
      </c>
      <c r="AC35" s="1757"/>
    </row>
    <row r="36" spans="1:29">
      <c r="A36" s="2762"/>
      <c r="B36" s="1760" t="s">
        <v>5225</v>
      </c>
      <c r="C36" s="1758">
        <f t="shared" si="0"/>
        <v>67275</v>
      </c>
      <c r="D36" s="1758">
        <f t="shared" si="1"/>
        <v>22663</v>
      </c>
      <c r="E36" s="1758">
        <f t="shared" si="2"/>
        <v>89938</v>
      </c>
      <c r="F36" s="1758">
        <f t="shared" si="3"/>
        <v>10094</v>
      </c>
      <c r="G36" s="1757">
        <f t="shared" si="4"/>
        <v>7550</v>
      </c>
      <c r="H36" s="1757">
        <f t="shared" si="5"/>
        <v>59725</v>
      </c>
      <c r="I36" s="1751">
        <f>+VLOOKUP($B36,年度別調書!$A$4:$M$37,10,0)</f>
        <v>20821234544</v>
      </c>
      <c r="J36" s="1751">
        <f>+VLOOKUP($B36,年度別調書!$A$4:$M$37,13,0)</f>
        <v>101115908424</v>
      </c>
      <c r="K36" s="1757">
        <f t="shared" si="10"/>
        <v>12298</v>
      </c>
      <c r="L36" s="1757">
        <f t="shared" si="11"/>
        <v>47427</v>
      </c>
      <c r="M36" s="1763">
        <f t="shared" si="9"/>
        <v>-2.9999999997016857E-3</v>
      </c>
      <c r="N36" s="1948">
        <f>+海田!N36</f>
        <v>5</v>
      </c>
      <c r="O36" s="2762"/>
      <c r="P36" s="1759" t="str">
        <f t="shared" si="7"/>
        <v>平成24年度</v>
      </c>
      <c r="Q36" s="1987">
        <v>33519</v>
      </c>
      <c r="R36" s="1987">
        <v>11450</v>
      </c>
      <c r="S36" s="1987">
        <v>44969</v>
      </c>
      <c r="T36" s="1987">
        <v>5047</v>
      </c>
      <c r="U36" s="1757"/>
      <c r="V36" s="1764"/>
      <c r="W36" s="2762"/>
      <c r="X36" s="1759" t="str">
        <f t="shared" si="8"/>
        <v>平成24年度</v>
      </c>
      <c r="Y36" s="1988">
        <v>33756</v>
      </c>
      <c r="Z36" s="1988">
        <v>11213</v>
      </c>
      <c r="AA36" s="1988">
        <v>44969</v>
      </c>
      <c r="AB36" s="1988">
        <v>5047</v>
      </c>
      <c r="AC36" s="1757"/>
    </row>
    <row r="37" spans="1:29">
      <c r="A37" s="2762"/>
      <c r="B37" s="1760" t="s">
        <v>5226</v>
      </c>
      <c r="C37" s="1758">
        <f t="shared" si="0"/>
        <v>159407</v>
      </c>
      <c r="D37" s="1758">
        <f t="shared" si="1"/>
        <v>48621</v>
      </c>
      <c r="E37" s="1758">
        <f t="shared" si="2"/>
        <v>208028</v>
      </c>
      <c r="F37" s="1758">
        <f t="shared" si="3"/>
        <v>23346</v>
      </c>
      <c r="G37" s="1757">
        <f t="shared" si="4"/>
        <v>17890</v>
      </c>
      <c r="H37" s="1757">
        <f t="shared" si="5"/>
        <v>141517</v>
      </c>
      <c r="I37" s="1751">
        <f>+VLOOKUP($B37,年度別調書!$A$4:$M$37,10,0)</f>
        <v>22169870622</v>
      </c>
      <c r="J37" s="1751">
        <f>+VLOOKUP($B37,年度別調書!$A$4:$M$37,13,0)</f>
        <v>87897420767</v>
      </c>
      <c r="K37" s="1757">
        <f t="shared" si="10"/>
        <v>35694</v>
      </c>
      <c r="L37" s="1757">
        <f t="shared" si="11"/>
        <v>105823</v>
      </c>
      <c r="M37" s="1763">
        <f t="shared" si="9"/>
        <v>-0.4069999999992433</v>
      </c>
      <c r="N37" s="1948">
        <f>+海田!N37</f>
        <v>5</v>
      </c>
      <c r="O37" s="2762"/>
      <c r="P37" s="1759" t="str">
        <f t="shared" si="7"/>
        <v>平成25年度</v>
      </c>
      <c r="Q37" s="1987">
        <v>79457</v>
      </c>
      <c r="R37" s="1987">
        <v>24557</v>
      </c>
      <c r="S37" s="1987">
        <v>104014</v>
      </c>
      <c r="T37" s="1987">
        <v>11673</v>
      </c>
      <c r="U37" s="1757"/>
      <c r="V37" s="1764"/>
      <c r="W37" s="2762"/>
      <c r="X37" s="1759" t="str">
        <f t="shared" si="8"/>
        <v>平成25年度</v>
      </c>
      <c r="Y37" s="1988">
        <v>79950</v>
      </c>
      <c r="Z37" s="1988">
        <v>24064</v>
      </c>
      <c r="AA37" s="1988">
        <v>104014</v>
      </c>
      <c r="AB37" s="1988">
        <v>11673</v>
      </c>
      <c r="AC37" s="1757"/>
    </row>
    <row r="38" spans="1:29">
      <c r="A38" s="2762"/>
      <c r="B38" s="1760" t="s">
        <v>5227</v>
      </c>
      <c r="C38" s="1758">
        <f t="shared" si="0"/>
        <v>448284</v>
      </c>
      <c r="D38" s="1758">
        <f t="shared" si="1"/>
        <v>68620</v>
      </c>
      <c r="E38" s="1758">
        <f t="shared" si="2"/>
        <v>516904</v>
      </c>
      <c r="F38" s="1758">
        <f t="shared" si="3"/>
        <v>58010</v>
      </c>
      <c r="G38" s="1757">
        <f t="shared" si="4"/>
        <v>50309</v>
      </c>
      <c r="H38" s="1757">
        <f t="shared" si="5"/>
        <v>397975</v>
      </c>
      <c r="I38" s="1751">
        <f>+VLOOKUP($B38,年度別調書!$A$4:$M$37,10,0)</f>
        <v>20924492616</v>
      </c>
      <c r="J38" s="1751">
        <f>+VLOOKUP($B38,年度別調書!$A$4:$M$37,13,0)</f>
        <v>99556890040</v>
      </c>
      <c r="K38" s="1757">
        <f t="shared" si="10"/>
        <v>83645</v>
      </c>
      <c r="L38" s="1757">
        <f t="shared" si="11"/>
        <v>314330</v>
      </c>
      <c r="M38" s="1763">
        <f t="shared" si="9"/>
        <v>7.1000000003550667E-2</v>
      </c>
      <c r="N38" s="1948">
        <f>+海田!N38</f>
        <v>8</v>
      </c>
      <c r="O38" s="2762"/>
      <c r="P38" s="1759" t="str">
        <f t="shared" si="7"/>
        <v>平成26年度</v>
      </c>
      <c r="Q38" s="1987">
        <v>223790</v>
      </c>
      <c r="R38" s="1987">
        <v>34662</v>
      </c>
      <c r="S38" s="1987">
        <v>258452</v>
      </c>
      <c r="T38" s="1987">
        <v>29005</v>
      </c>
      <c r="U38" s="1757"/>
      <c r="V38" s="1764"/>
      <c r="W38" s="2762"/>
      <c r="X38" s="1759" t="str">
        <f t="shared" si="8"/>
        <v>平成26年度</v>
      </c>
      <c r="Y38" s="1988">
        <v>224494</v>
      </c>
      <c r="Z38" s="1988">
        <v>33958</v>
      </c>
      <c r="AA38" s="1988">
        <v>258452</v>
      </c>
      <c r="AB38" s="1988">
        <v>29005</v>
      </c>
      <c r="AC38" s="1757"/>
    </row>
    <row r="39" spans="1:29">
      <c r="A39" s="2762"/>
      <c r="B39" s="1760" t="s">
        <v>5228</v>
      </c>
      <c r="C39" s="1758">
        <f t="shared" si="0"/>
        <v>1260260</v>
      </c>
      <c r="D39" s="1758">
        <f t="shared" si="1"/>
        <v>183892</v>
      </c>
      <c r="E39" s="1758">
        <f t="shared" si="2"/>
        <v>1444152</v>
      </c>
      <c r="F39" s="1758">
        <f t="shared" si="3"/>
        <v>162072</v>
      </c>
      <c r="G39" s="2086">
        <f t="shared" si="4"/>
        <v>141434</v>
      </c>
      <c r="H39" s="1757">
        <f t="shared" si="5"/>
        <v>1118826</v>
      </c>
      <c r="I39" s="1751">
        <f>+VLOOKUP($B39,年度別調書!$A$4:$M$37,10,0)</f>
        <v>21176145645</v>
      </c>
      <c r="J39" s="1751">
        <f>+VLOOKUP($B39,年度別調書!$A$4:$M$37,13,0)</f>
        <v>104805589178</v>
      </c>
      <c r="K39" s="1757">
        <f t="shared" si="10"/>
        <v>226061</v>
      </c>
      <c r="L39" s="1757">
        <f t="shared" si="11"/>
        <v>892765</v>
      </c>
      <c r="M39" s="1763">
        <f t="shared" si="9"/>
        <v>-0.19899999999324791</v>
      </c>
      <c r="N39" s="1948">
        <f>+海田!N39</f>
        <v>8</v>
      </c>
      <c r="O39" s="2762"/>
      <c r="P39" s="1759" t="str">
        <f t="shared" si="7"/>
        <v>平成27年度</v>
      </c>
      <c r="Q39" s="1987">
        <v>629220</v>
      </c>
      <c r="R39" s="1987">
        <v>92856</v>
      </c>
      <c r="S39" s="1987">
        <v>722076</v>
      </c>
      <c r="T39" s="1987">
        <v>81036</v>
      </c>
      <c r="U39" s="1757"/>
      <c r="V39" s="1764"/>
      <c r="W39" s="2762"/>
      <c r="X39" s="1759" t="str">
        <f t="shared" si="8"/>
        <v>平成27年度</v>
      </c>
      <c r="Y39" s="1988">
        <v>631040</v>
      </c>
      <c r="Z39" s="1988">
        <v>91036</v>
      </c>
      <c r="AA39" s="1988">
        <v>722076</v>
      </c>
      <c r="AB39" s="1988">
        <v>81036</v>
      </c>
      <c r="AC39" s="1757"/>
    </row>
    <row r="40" spans="1:29">
      <c r="A40" s="2762"/>
      <c r="B40" s="1760" t="s">
        <v>5229</v>
      </c>
      <c r="C40" s="1758">
        <f t="shared" si="0"/>
        <v>420387</v>
      </c>
      <c r="D40" s="1758">
        <f t="shared" si="1"/>
        <v>55160</v>
      </c>
      <c r="E40" s="1758">
        <f t="shared" si="2"/>
        <v>475547</v>
      </c>
      <c r="F40" s="1758">
        <f t="shared" si="3"/>
        <v>53369</v>
      </c>
      <c r="G40" s="1757">
        <f t="shared" si="4"/>
        <v>47178</v>
      </c>
      <c r="H40" s="1757">
        <f t="shared" si="5"/>
        <v>373209</v>
      </c>
      <c r="I40" s="1751">
        <f>+VLOOKUP($B40,年度別調書!$A$4:$M$37,10,0)</f>
        <v>23487276785</v>
      </c>
      <c r="J40" s="1751">
        <f>+VLOOKUP($B40,年度別調書!$A$4:$M$37,13,0)</f>
        <v>105396818589</v>
      </c>
      <c r="K40" s="1757">
        <f t="shared" si="10"/>
        <v>83168</v>
      </c>
      <c r="L40" s="1757">
        <f t="shared" si="11"/>
        <v>290041</v>
      </c>
      <c r="M40" s="1763">
        <f t="shared" si="9"/>
        <v>0.30599999999685679</v>
      </c>
      <c r="N40" s="1948">
        <f>+海田!N40</f>
        <v>8</v>
      </c>
      <c r="O40" s="2762"/>
      <c r="P40" s="1759" t="str">
        <f t="shared" si="7"/>
        <v>平成28年度</v>
      </c>
      <c r="Q40" s="1987">
        <v>209944</v>
      </c>
      <c r="R40" s="1987">
        <v>27861</v>
      </c>
      <c r="S40" s="1987">
        <v>237805</v>
      </c>
      <c r="T40" s="1987">
        <v>26688</v>
      </c>
      <c r="U40" s="1757"/>
      <c r="V40" s="1764"/>
      <c r="W40" s="2762"/>
      <c r="X40" s="1759" t="str">
        <f t="shared" si="8"/>
        <v>平成28年度</v>
      </c>
      <c r="Y40" s="1988">
        <v>210443</v>
      </c>
      <c r="Z40" s="1988">
        <v>27299</v>
      </c>
      <c r="AA40" s="1988">
        <v>237742</v>
      </c>
      <c r="AB40" s="1988">
        <v>26681</v>
      </c>
      <c r="AC40" s="1757"/>
    </row>
    <row r="41" spans="1:29">
      <c r="A41" s="2762"/>
      <c r="B41" s="1760" t="s">
        <v>5230</v>
      </c>
      <c r="C41" s="1758">
        <f t="shared" si="0"/>
        <v>58778</v>
      </c>
      <c r="D41" s="1758">
        <f t="shared" si="1"/>
        <v>42221</v>
      </c>
      <c r="E41" s="1758">
        <f t="shared" si="2"/>
        <v>100999</v>
      </c>
      <c r="F41" s="1758">
        <f t="shared" si="3"/>
        <v>11334</v>
      </c>
      <c r="G41" s="1757">
        <f t="shared" si="4"/>
        <v>6596</v>
      </c>
      <c r="H41" s="1757">
        <f t="shared" si="5"/>
        <v>52182</v>
      </c>
      <c r="I41" s="1751">
        <f>+VLOOKUP($B41,年度別調書!$A$4:$M$37,10,0)</f>
        <v>19481573724</v>
      </c>
      <c r="J41" s="1751">
        <f>+VLOOKUP($B41,年度別調書!$A$4:$M$37,13,0)</f>
        <v>99607043975</v>
      </c>
      <c r="K41" s="1757">
        <f t="shared" si="10"/>
        <v>10206</v>
      </c>
      <c r="L41" s="1757">
        <f t="shared" si="11"/>
        <v>41976</v>
      </c>
      <c r="M41" s="1763">
        <f t="shared" si="9"/>
        <v>0.41299999999955617</v>
      </c>
      <c r="N41" s="1948">
        <f>+海田!N41</f>
        <v>8</v>
      </c>
      <c r="O41" s="2762"/>
      <c r="P41" s="1759" t="str">
        <f t="shared" si="7"/>
        <v>平成29年度</v>
      </c>
      <c r="Q41" s="1987">
        <v>29345</v>
      </c>
      <c r="R41" s="1987">
        <v>21181</v>
      </c>
      <c r="S41" s="1987">
        <v>50526</v>
      </c>
      <c r="T41" s="1987">
        <v>5670</v>
      </c>
      <c r="U41" s="1757"/>
      <c r="V41" s="1764"/>
      <c r="W41" s="2762"/>
      <c r="X41" s="1759" t="str">
        <f t="shared" si="8"/>
        <v>平成29年度</v>
      </c>
      <c r="Y41" s="1988">
        <v>29433</v>
      </c>
      <c r="Z41" s="1988">
        <v>21040</v>
      </c>
      <c r="AA41" s="1988">
        <v>50473</v>
      </c>
      <c r="AB41" s="1988">
        <v>5664</v>
      </c>
      <c r="AC41" s="1757"/>
    </row>
    <row r="42" spans="1:29">
      <c r="A42" s="2762"/>
      <c r="B42" s="1760" t="s">
        <v>5231</v>
      </c>
      <c r="C42" s="1758">
        <f t="shared" si="0"/>
        <v>0</v>
      </c>
      <c r="D42" s="1758">
        <f t="shared" si="1"/>
        <v>45372</v>
      </c>
      <c r="E42" s="1758">
        <f t="shared" si="2"/>
        <v>45372</v>
      </c>
      <c r="F42" s="1758">
        <f t="shared" si="3"/>
        <v>5092</v>
      </c>
      <c r="G42" s="1757">
        <f t="shared" si="4"/>
        <v>0</v>
      </c>
      <c r="H42" s="1757">
        <f t="shared" si="5"/>
        <v>0</v>
      </c>
      <c r="I42" s="1751">
        <f>+VLOOKUP($B42,年度別調書!$A$4:$M$37,10,0)</f>
        <v>19871916207</v>
      </c>
      <c r="J42" s="1751">
        <f>+VLOOKUP($B42,年度別調書!$A$4:$M$37,13,0)</f>
        <v>98551757388</v>
      </c>
      <c r="K42" s="1757">
        <f t="shared" si="10"/>
        <v>0</v>
      </c>
      <c r="L42" s="1757">
        <f t="shared" si="11"/>
        <v>0</v>
      </c>
      <c r="M42" s="1763">
        <f t="shared" si="9"/>
        <v>0</v>
      </c>
      <c r="N42" s="1948">
        <f>+海田!N42</f>
        <v>8</v>
      </c>
      <c r="O42" s="2762"/>
      <c r="P42" s="1759" t="str">
        <f t="shared" si="7"/>
        <v>平成30年度</v>
      </c>
      <c r="Q42" s="1987">
        <v>0</v>
      </c>
      <c r="R42" s="1987">
        <v>22691</v>
      </c>
      <c r="S42" s="1987">
        <v>22691</v>
      </c>
      <c r="T42" s="1987">
        <v>2547</v>
      </c>
      <c r="U42" s="1757"/>
      <c r="V42" s="1764"/>
      <c r="W42" s="2762"/>
      <c r="X42" s="1759" t="str">
        <f t="shared" si="8"/>
        <v>平成30年度</v>
      </c>
      <c r="Y42" s="1988">
        <v>0</v>
      </c>
      <c r="Z42" s="1988">
        <v>22681</v>
      </c>
      <c r="AA42" s="1988">
        <v>22681</v>
      </c>
      <c r="AB42" s="1988">
        <v>2545</v>
      </c>
      <c r="AC42" s="1757"/>
    </row>
    <row r="43" spans="1:29">
      <c r="A43" s="2762"/>
      <c r="B43" s="2751" t="s">
        <v>5277</v>
      </c>
      <c r="C43" s="1758">
        <f>+Q43</f>
        <v>0</v>
      </c>
      <c r="D43" s="1758">
        <f>+R43</f>
        <v>53</v>
      </c>
      <c r="E43" s="1758">
        <f>+S43</f>
        <v>53</v>
      </c>
      <c r="F43" s="1758">
        <f>+T43</f>
        <v>6</v>
      </c>
      <c r="G43" s="1757">
        <f t="shared" si="4"/>
        <v>0</v>
      </c>
      <c r="H43" s="1757">
        <f t="shared" si="5"/>
        <v>0</v>
      </c>
      <c r="I43" s="1751">
        <f>+VLOOKUP($B43,年度別調書!$A$4:$M$37,10,0)</f>
        <v>21889958229</v>
      </c>
      <c r="J43" s="1751">
        <f>+VLOOKUP($B43,年度別調書!$A$4:$M$37,13,0)</f>
        <v>101214576030</v>
      </c>
      <c r="K43" s="1757">
        <f t="shared" si="10"/>
        <v>0</v>
      </c>
      <c r="L43" s="1757">
        <f t="shared" si="11"/>
        <v>0</v>
      </c>
      <c r="M43" s="1763">
        <f t="shared" si="9"/>
        <v>0</v>
      </c>
      <c r="N43" s="1948">
        <f>+海田!N43</f>
        <v>8</v>
      </c>
      <c r="O43" s="2762"/>
      <c r="P43" s="2767" t="str">
        <f t="shared" si="7"/>
        <v>令和元年度</v>
      </c>
      <c r="Q43" s="2769">
        <v>0</v>
      </c>
      <c r="R43" s="2769">
        <v>53</v>
      </c>
      <c r="S43" s="2769">
        <v>53</v>
      </c>
      <c r="T43" s="2769">
        <v>6</v>
      </c>
      <c r="U43" s="2771"/>
      <c r="V43" s="1764"/>
      <c r="W43" s="2762"/>
      <c r="X43" s="2767" t="str">
        <f t="shared" si="8"/>
        <v>令和元年度</v>
      </c>
      <c r="Y43" s="2769">
        <v>0</v>
      </c>
      <c r="Z43" s="2769">
        <v>53</v>
      </c>
      <c r="AA43" s="2769">
        <v>53</v>
      </c>
      <c r="AB43" s="2769">
        <v>6</v>
      </c>
      <c r="AC43" s="2771"/>
    </row>
    <row r="44" spans="1:29">
      <c r="A44" s="2762"/>
      <c r="B44" s="2752"/>
      <c r="C44" s="1758">
        <f>+Y43</f>
        <v>0</v>
      </c>
      <c r="D44" s="1758">
        <f>+Z43</f>
        <v>53</v>
      </c>
      <c r="E44" s="1758">
        <f>+AA43</f>
        <v>53</v>
      </c>
      <c r="F44" s="1758">
        <f>+AB43</f>
        <v>6</v>
      </c>
      <c r="G44" s="1757">
        <f t="shared" ref="G44" si="12">ROUND(C44/C$48*G$48,0)</f>
        <v>0</v>
      </c>
      <c r="H44" s="1757">
        <f t="shared" ref="H44" si="13">C44-G44</f>
        <v>0</v>
      </c>
      <c r="I44" s="1751">
        <f>+VLOOKUP($B43,年度別調書!$A$4:$M$37,10,0)</f>
        <v>21889958229</v>
      </c>
      <c r="J44" s="1751">
        <f>+VLOOKUP($B43,年度別調書!$A$4:$M$37,13,0)</f>
        <v>101214576030</v>
      </c>
      <c r="K44" s="1757">
        <f t="shared" ref="K44" si="14">IFERROR(ROUND(H44*I44/J44,0),0)</f>
        <v>0</v>
      </c>
      <c r="L44" s="1757">
        <f t="shared" ref="L44" si="15">H44-K44</f>
        <v>0</v>
      </c>
      <c r="M44" s="1763">
        <f t="shared" ref="M44" si="16">ROUND(C44/C$48*G$48,3)-ROUND(C44/C$48*G$48,0)</f>
        <v>0</v>
      </c>
      <c r="N44" s="1948">
        <f>+海田!N44</f>
        <v>10</v>
      </c>
      <c r="O44" s="2762"/>
      <c r="P44" s="2768"/>
      <c r="Q44" s="2770"/>
      <c r="R44" s="2770"/>
      <c r="S44" s="2770"/>
      <c r="T44" s="2770"/>
      <c r="U44" s="2772"/>
      <c r="V44" s="1764"/>
      <c r="W44" s="2762"/>
      <c r="X44" s="2768"/>
      <c r="Y44" s="2770"/>
      <c r="Z44" s="2770"/>
      <c r="AA44" s="2770"/>
      <c r="AB44" s="2770"/>
      <c r="AC44" s="2772"/>
    </row>
    <row r="45" spans="1:29">
      <c r="A45" s="2762"/>
      <c r="B45" s="1760" t="s">
        <v>5271</v>
      </c>
      <c r="C45" s="1758">
        <f t="shared" si="0"/>
        <v>0</v>
      </c>
      <c r="D45" s="1758">
        <f t="shared" si="1"/>
        <v>5000</v>
      </c>
      <c r="E45" s="1758">
        <f t="shared" si="2"/>
        <v>5000</v>
      </c>
      <c r="F45" s="1758">
        <f t="shared" si="3"/>
        <v>562</v>
      </c>
      <c r="G45" s="1757">
        <f t="shared" si="4"/>
        <v>0</v>
      </c>
      <c r="H45" s="1757">
        <f t="shared" si="5"/>
        <v>0</v>
      </c>
      <c r="I45" s="1751">
        <f>+VLOOKUP($B45,年度別調書!$A$4:$M$37,10,0)</f>
        <v>25568719436</v>
      </c>
      <c r="J45" s="1751">
        <f>+VLOOKUP($B45,年度別調書!$A$4:$M$37,13,0)</f>
        <v>105092548853</v>
      </c>
      <c r="K45" s="1757">
        <f t="shared" si="10"/>
        <v>0</v>
      </c>
      <c r="L45" s="1757">
        <f t="shared" si="11"/>
        <v>0</v>
      </c>
      <c r="M45" s="1763">
        <f t="shared" si="9"/>
        <v>0</v>
      </c>
      <c r="N45" s="1948">
        <f>+海田!N45</f>
        <v>10</v>
      </c>
      <c r="O45" s="2762"/>
      <c r="P45" s="1759" t="str">
        <f t="shared" si="7"/>
        <v>令和2年度</v>
      </c>
      <c r="Q45" s="1987">
        <v>0</v>
      </c>
      <c r="R45" s="1987">
        <v>2500</v>
      </c>
      <c r="S45" s="1987">
        <v>2500</v>
      </c>
      <c r="T45" s="1987">
        <v>281</v>
      </c>
      <c r="U45" s="1757"/>
      <c r="V45" s="1764"/>
      <c r="W45" s="2762"/>
      <c r="X45" s="1759" t="str">
        <f t="shared" si="8"/>
        <v>令和2年度</v>
      </c>
      <c r="Y45" s="1796">
        <v>0</v>
      </c>
      <c r="Z45" s="1796">
        <v>2500</v>
      </c>
      <c r="AA45" s="1796">
        <v>2500</v>
      </c>
      <c r="AB45" s="1796">
        <v>281</v>
      </c>
      <c r="AC45" s="1757"/>
    </row>
    <row r="46" spans="1:29">
      <c r="A46" s="2762"/>
      <c r="B46" s="1760" t="s">
        <v>5272</v>
      </c>
      <c r="C46" s="1758">
        <f t="shared" si="0"/>
        <v>0</v>
      </c>
      <c r="D46" s="1758">
        <f t="shared" si="1"/>
        <v>101147</v>
      </c>
      <c r="E46" s="1758">
        <f t="shared" si="2"/>
        <v>101147</v>
      </c>
      <c r="F46" s="1758">
        <f t="shared" si="3"/>
        <v>11351</v>
      </c>
      <c r="G46" s="1757">
        <f t="shared" si="4"/>
        <v>0</v>
      </c>
      <c r="H46" s="1757">
        <f t="shared" si="5"/>
        <v>0</v>
      </c>
      <c r="I46" s="1751">
        <f>+VLOOKUP($B46,年度別調書!$A$4:$M$37,10,0)</f>
        <v>25732995336</v>
      </c>
      <c r="J46" s="1751">
        <f>+VLOOKUP($B46,年度別調書!$A$4:$M$37,13,0)</f>
        <v>106246537477</v>
      </c>
      <c r="K46" s="1757">
        <f t="shared" si="10"/>
        <v>0</v>
      </c>
      <c r="L46" s="1757">
        <f t="shared" si="11"/>
        <v>0</v>
      </c>
      <c r="M46" s="1763">
        <f t="shared" si="9"/>
        <v>0</v>
      </c>
      <c r="N46" s="1948">
        <f>+海田!N46</f>
        <v>10</v>
      </c>
      <c r="O46" s="2762"/>
      <c r="P46" s="1759" t="str">
        <f t="shared" si="7"/>
        <v>令和3年度</v>
      </c>
      <c r="Q46" s="1987">
        <v>0</v>
      </c>
      <c r="R46" s="1987">
        <v>47102</v>
      </c>
      <c r="S46" s="1987">
        <v>47102</v>
      </c>
      <c r="T46" s="1987">
        <v>5286</v>
      </c>
      <c r="U46" s="1757"/>
      <c r="V46" s="1764"/>
      <c r="W46" s="2762"/>
      <c r="X46" s="1759" t="str">
        <f t="shared" si="8"/>
        <v>令和3年度</v>
      </c>
      <c r="Y46" s="1796">
        <v>0</v>
      </c>
      <c r="Z46" s="1796">
        <v>54045</v>
      </c>
      <c r="AA46" s="1796">
        <v>54045</v>
      </c>
      <c r="AB46" s="1796">
        <v>6065</v>
      </c>
      <c r="AC46" s="1757"/>
    </row>
    <row r="47" spans="1:29">
      <c r="A47" s="2762"/>
      <c r="B47" s="1760" t="s">
        <v>5273</v>
      </c>
      <c r="C47" s="1758">
        <f t="shared" si="0"/>
        <v>0</v>
      </c>
      <c r="D47" s="1758">
        <f t="shared" si="1"/>
        <v>150510</v>
      </c>
      <c r="E47" s="1758">
        <f t="shared" si="2"/>
        <v>150510</v>
      </c>
      <c r="F47" s="1758">
        <f t="shared" si="3"/>
        <v>16892</v>
      </c>
      <c r="G47" s="1757">
        <f t="shared" si="4"/>
        <v>0</v>
      </c>
      <c r="H47" s="1757">
        <f t="shared" si="5"/>
        <v>0</v>
      </c>
      <c r="I47" s="1751">
        <f>+VLOOKUP($B47,年度別調書!$A$4:$M$37,10,0)</f>
        <v>22974897869</v>
      </c>
      <c r="J47" s="1751">
        <f>+VLOOKUP($B47,年度別調書!$A$4:$M$37,13,0)</f>
        <v>102361733085</v>
      </c>
      <c r="K47" s="1757">
        <f t="shared" si="10"/>
        <v>0</v>
      </c>
      <c r="L47" s="1757">
        <f t="shared" si="11"/>
        <v>0</v>
      </c>
      <c r="M47" s="1763">
        <f t="shared" si="9"/>
        <v>0</v>
      </c>
      <c r="N47" s="1948">
        <f>+海田!N47</f>
        <v>10</v>
      </c>
      <c r="O47" s="2762"/>
      <c r="P47" s="1759" t="str">
        <f t="shared" si="7"/>
        <v>令和4年度</v>
      </c>
      <c r="Q47" s="1796">
        <v>0</v>
      </c>
      <c r="R47" s="1796">
        <v>66087</v>
      </c>
      <c r="S47" s="1796">
        <v>66087</v>
      </c>
      <c r="T47" s="1796">
        <v>7417</v>
      </c>
      <c r="U47" s="1757"/>
      <c r="V47" s="1764"/>
      <c r="W47" s="2762"/>
      <c r="X47" s="1759" t="str">
        <f t="shared" si="8"/>
        <v>令和4年度</v>
      </c>
      <c r="Y47" s="2084">
        <v>0</v>
      </c>
      <c r="Z47" s="2084">
        <v>84423</v>
      </c>
      <c r="AA47" s="2084">
        <v>84423</v>
      </c>
      <c r="AB47" s="2084">
        <v>9475</v>
      </c>
      <c r="AC47" s="1757"/>
    </row>
    <row r="48" spans="1:29">
      <c r="A48" s="2763"/>
      <c r="B48" s="1761" t="s">
        <v>4871</v>
      </c>
      <c r="C48" s="1762">
        <f>SUM(C6:C47)</f>
        <v>3610379</v>
      </c>
      <c r="D48" s="1762">
        <f>SUM(D6:D47)</f>
        <v>1167300</v>
      </c>
      <c r="E48" s="1762">
        <f>SUM(E6:E47)</f>
        <v>4777679</v>
      </c>
      <c r="F48" s="1762">
        <f>SUM(F6:F47)</f>
        <v>536182</v>
      </c>
      <c r="G48" s="1747">
        <f>+U48+AC48</f>
        <v>405178</v>
      </c>
      <c r="H48" s="1762">
        <f>SUM(H6:H47)</f>
        <v>3205201</v>
      </c>
      <c r="I48" s="1681"/>
      <c r="J48" s="1681"/>
      <c r="K48" s="1762">
        <f>SUM(K6:K47)</f>
        <v>726081</v>
      </c>
      <c r="L48" s="1762">
        <f>SUM(L6:L47)</f>
        <v>2479120</v>
      </c>
      <c r="M48" s="1762"/>
      <c r="N48" s="1948">
        <f>+海田!N48</f>
        <v>0</v>
      </c>
      <c r="O48" s="2763"/>
      <c r="P48" s="1761" t="s">
        <v>4871</v>
      </c>
      <c r="Q48" s="1762">
        <f>SUM(Q6:Q47)</f>
        <v>1800725</v>
      </c>
      <c r="R48" s="1762">
        <f>SUM(R6:R47)</f>
        <v>575538</v>
      </c>
      <c r="S48" s="1762">
        <f>SUM(S6:S47)</f>
        <v>2376263</v>
      </c>
      <c r="T48" s="1762">
        <f>SUM(T6:T47)</f>
        <v>266680</v>
      </c>
      <c r="U48" s="1876">
        <v>202088</v>
      </c>
      <c r="V48" s="1755"/>
      <c r="W48" s="2763"/>
      <c r="X48" s="1761" t="s">
        <v>4871</v>
      </c>
      <c r="Y48" s="1762">
        <f>SUM(Y6:Y47)</f>
        <v>1809654</v>
      </c>
      <c r="Z48" s="1762">
        <f>SUM(Z6:Z47)</f>
        <v>591762</v>
      </c>
      <c r="AA48" s="1762">
        <f>SUM(AA6:AA47)</f>
        <v>2401416</v>
      </c>
      <c r="AB48" s="1762">
        <f>SUM(AB6:AB47)</f>
        <v>269502</v>
      </c>
      <c r="AC48" s="1876">
        <v>203090</v>
      </c>
    </row>
    <row r="49" spans="7:29">
      <c r="G49" s="1750">
        <f>G48-SUM(G6:G47)</f>
        <v>0</v>
      </c>
      <c r="K49" s="1715"/>
      <c r="O49" s="1666"/>
      <c r="U49" s="1750"/>
      <c r="AC49" s="1750"/>
    </row>
    <row r="50" spans="7:29">
      <c r="J50" s="1949" t="s">
        <v>5181</v>
      </c>
      <c r="K50" s="1950" t="s">
        <v>5180</v>
      </c>
    </row>
    <row r="51" spans="7:29">
      <c r="J51" s="1950">
        <v>3</v>
      </c>
      <c r="K51" s="1951">
        <f>+SUMIFS($K$4:$K$48,$N$4:$N$48,$J51)</f>
        <v>0</v>
      </c>
    </row>
    <row r="52" spans="7:29">
      <c r="J52" s="1950">
        <v>5</v>
      </c>
      <c r="K52" s="1951">
        <f>+SUMIFS($K$4:$K$48,$N$4:$N$48,$J52)</f>
        <v>323001</v>
      </c>
    </row>
    <row r="53" spans="7:29">
      <c r="J53" s="1950">
        <v>8</v>
      </c>
      <c r="K53" s="1951">
        <f>+SUMIFS($K$4:$K$48,$N$4:$N$48,$J53)</f>
        <v>403080</v>
      </c>
    </row>
    <row r="54" spans="7:29">
      <c r="J54" s="1950">
        <v>10</v>
      </c>
      <c r="K54" s="1951">
        <f>+SUMIFS($K$4:$K$48,$N$4:$N$48,$J54)</f>
        <v>0</v>
      </c>
    </row>
    <row r="55" spans="7:29">
      <c r="J55" s="1949" t="s">
        <v>5182</v>
      </c>
      <c r="K55" s="1952">
        <f>SUM(K51:K54)</f>
        <v>726081</v>
      </c>
    </row>
    <row r="56" spans="7:29">
      <c r="J56" s="1949" t="s">
        <v>5183</v>
      </c>
      <c r="K56" s="1952">
        <f>+K48-K55</f>
        <v>0</v>
      </c>
    </row>
  </sheetData>
  <mergeCells count="38">
    <mergeCell ref="Q43:Q44"/>
    <mergeCell ref="P43:P44"/>
    <mergeCell ref="B43:B44"/>
    <mergeCell ref="X43:X44"/>
    <mergeCell ref="U43:U44"/>
    <mergeCell ref="T43:T44"/>
    <mergeCell ref="S43:S44"/>
    <mergeCell ref="R43:R44"/>
    <mergeCell ref="AC43:AC44"/>
    <mergeCell ref="AB43:AB44"/>
    <mergeCell ref="AA43:AA44"/>
    <mergeCell ref="Z43:Z44"/>
    <mergeCell ref="Y43:Y44"/>
    <mergeCell ref="L4:L5"/>
    <mergeCell ref="M4:M5"/>
    <mergeCell ref="O4:O5"/>
    <mergeCell ref="A4:A5"/>
    <mergeCell ref="B4:B5"/>
    <mergeCell ref="C4:E4"/>
    <mergeCell ref="F4:F5"/>
    <mergeCell ref="G4:G5"/>
    <mergeCell ref="N4:N5"/>
    <mergeCell ref="Y4:AA4"/>
    <mergeCell ref="AB4:AB5"/>
    <mergeCell ref="AC4:AC5"/>
    <mergeCell ref="A6:A48"/>
    <mergeCell ref="O6:O48"/>
    <mergeCell ref="W6:W48"/>
    <mergeCell ref="P4:P5"/>
    <mergeCell ref="Q4:S4"/>
    <mergeCell ref="T4:T5"/>
    <mergeCell ref="U4:U5"/>
    <mergeCell ref="H4:H5"/>
    <mergeCell ref="W4:W5"/>
    <mergeCell ref="X4:X5"/>
    <mergeCell ref="I4:I5"/>
    <mergeCell ref="J4:J5"/>
    <mergeCell ref="K4:K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w6_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M52" sqref="M52"/>
    </sheetView>
  </sheetViews>
  <sheetFormatPr defaultRowHeight="13.5"/>
  <cols>
    <col min="1" max="1" width="2.625" customWidth="1" style="1643"/>
    <col min="2" max="2" width="11.625" bestFit="1" customWidth="1" style="1643"/>
    <col min="3" max="5" width="13.125" customWidth="1" style="1643"/>
    <col min="6" max="7" width="11.625" customWidth="1" style="1643"/>
    <col min="8" max="8" width="13.125" customWidth="1" style="1643"/>
    <col min="9" max="10" width="13.75" customWidth="1" style="1643"/>
    <col min="11" max="12" width="13.125" customWidth="1" style="1643"/>
    <col min="13" max="13" width="7.625" customWidth="1" style="1643"/>
    <col min="14" max="14" width="3.125" customWidth="1" style="1643"/>
    <col min="15" max="15" width="2.625" customWidth="1" style="1643"/>
    <col min="16" max="21" width="11.625" customWidth="1" style="1643"/>
    <col min="22" max="22" width="3.125" customWidth="1" style="1643"/>
    <col min="23" max="23" width="2.625" customWidth="1" style="1643"/>
    <col min="24" max="24" width="11.625" bestFit="1" customWidth="1" style="1643"/>
    <col min="25" max="29" width="11.625" customWidth="1" style="1643"/>
    <col min="30" max="30" width="3.125" customWidth="1" style="1643"/>
  </cols>
  <sheetData>
    <row r="2" spans="1:29">
      <c r="A2" t="str" s="1643">
        <f>+"令和"&amp;MID('総括表(不課税)'!A2,3,1)&amp;"年度決算　府中町大須地区(共通分)"</f>
        <v>令和５年度決算　府中町大須地区(共通分)</v>
      </c>
      <c r="O2" t="str" s="1643">
        <f>+A2</f>
        <v>令和５年度決算　府中町大須地区(共通分)</v>
      </c>
      <c r="T2" s="1730"/>
      <c r="U2" s="1730"/>
    </row>
    <row r="4" spans="1:29" ht="13.5" customHeight="1">
      <c r="A4" s="2747" t="s">
        <v>4825</v>
      </c>
      <c r="B4" s="2747" t="s">
        <v>5108</v>
      </c>
      <c r="C4" s="2764" t="s">
        <v>4867</v>
      </c>
      <c r="D4" s="2764"/>
      <c r="E4" s="2764"/>
      <c r="F4" s="2750" t="s">
        <v>4869</v>
      </c>
      <c r="G4" s="2750" t="s">
        <v>4872</v>
      </c>
      <c r="H4" s="2750" t="s">
        <v>4918</v>
      </c>
      <c r="I4" s="2739" t="s">
        <v>4842</v>
      </c>
      <c r="J4" s="2739" t="s">
        <v>4844</v>
      </c>
      <c r="K4" s="2741" t="s">
        <v>4868</v>
      </c>
      <c r="L4" s="2743" t="s">
        <v>4794</v>
      </c>
      <c r="M4" s="2743" t="s">
        <v>5201</v>
      </c>
      <c r="N4" s="2765" t="s">
        <v>5179</v>
      </c>
      <c r="O4" s="2747" t="s">
        <v>4825</v>
      </c>
      <c r="P4" s="2747" t="s">
        <v>4870</v>
      </c>
      <c r="Q4" s="2764" t="s">
        <v>4867</v>
      </c>
      <c r="R4" s="2764"/>
      <c r="S4" s="2764"/>
      <c r="T4" s="2750" t="s">
        <v>4869</v>
      </c>
      <c r="U4" s="2750" t="s">
        <v>4872</v>
      </c>
      <c r="W4" s="2747" t="s">
        <v>4825</v>
      </c>
      <c r="X4" s="2747" t="s">
        <v>4870</v>
      </c>
      <c r="Y4" s="2764" t="s">
        <v>4867</v>
      </c>
      <c r="Z4" s="2764"/>
      <c r="AA4" s="2764"/>
      <c r="AB4" s="2750" t="s">
        <v>4869</v>
      </c>
      <c r="AC4" s="2750" t="s">
        <v>4872</v>
      </c>
    </row>
    <row r="5" spans="1:29" ht="13.5" customHeight="1">
      <c r="A5" s="2748"/>
      <c r="B5" s="2749"/>
      <c r="C5" s="1669" t="s">
        <v>4866</v>
      </c>
      <c r="D5" s="1669" t="s">
        <v>5105</v>
      </c>
      <c r="E5" s="1669" t="s">
        <v>4864</v>
      </c>
      <c r="F5" s="2742"/>
      <c r="G5" s="2760"/>
      <c r="H5" s="2742"/>
      <c r="I5" s="2740"/>
      <c r="J5" s="2740"/>
      <c r="K5" s="2742"/>
      <c r="L5" s="2744"/>
      <c r="M5" s="2744"/>
      <c r="N5" s="2766"/>
      <c r="O5" s="2748"/>
      <c r="P5" s="2749"/>
      <c r="Q5" s="1669" t="s">
        <v>4866</v>
      </c>
      <c r="R5" s="1669" t="s">
        <v>5105</v>
      </c>
      <c r="S5" s="1669" t="s">
        <v>4864</v>
      </c>
      <c r="T5" s="2742"/>
      <c r="U5" s="2760"/>
      <c r="V5" s="1756"/>
      <c r="W5" s="2748"/>
      <c r="X5" s="2749"/>
      <c r="Y5" s="1669" t="s">
        <v>4866</v>
      </c>
      <c r="Z5" s="1669" t="s">
        <v>5105</v>
      </c>
      <c r="AA5" s="1669" t="s">
        <v>4864</v>
      </c>
      <c r="AB5" s="2742"/>
      <c r="AC5" s="2760"/>
    </row>
    <row r="6" spans="1:29" ht="13.5" customHeight="1">
      <c r="A6" s="2761" t="s">
        <v>5107</v>
      </c>
      <c r="B6" s="1759" t="s">
        <v>5232</v>
      </c>
      <c r="C6" s="1758">
        <f t="shared" ref="C6:C47" si="0">+Q6+Y6</f>
        <v>0</v>
      </c>
      <c r="D6" s="1758">
        <f t="shared" ref="D6:D47" si="1">+R6+Z6</f>
        <v>0</v>
      </c>
      <c r="E6" s="1758">
        <f t="shared" ref="E6:E47" si="2">+S6+AA6</f>
        <v>0</v>
      </c>
      <c r="F6" s="1758">
        <f t="shared" ref="F6:F47" si="3">+T6+AB6</f>
        <v>0</v>
      </c>
      <c r="G6" s="1757">
        <f t="shared" ref="G6:G47" si="4">ROUND(C6/C$48*G$48,0)</f>
        <v>0</v>
      </c>
      <c r="H6" s="1757">
        <f t="shared" ref="H6:H47" si="5">C6-G6</f>
        <v>0</v>
      </c>
      <c r="I6" s="1681"/>
      <c r="J6" s="1681"/>
      <c r="K6" s="1757">
        <v>0</v>
      </c>
      <c r="L6" s="1757">
        <f t="shared" ref="L6:L12" si="6">H6-K6</f>
        <v>0</v>
      </c>
      <c r="M6" s="1763">
        <f>ROUND(C6/C$48*G$48,3)-ROUND(C6/C$48*G$48,0)</f>
        <v>0</v>
      </c>
      <c r="N6" s="1948">
        <f>+海田!N6</f>
        <v>0</v>
      </c>
      <c r="O6" s="2761" t="s">
        <v>4887</v>
      </c>
      <c r="P6" s="1759" t="str">
        <f>+B6</f>
        <v>昭和57年度</v>
      </c>
      <c r="Q6" s="1989">
        <v>0</v>
      </c>
      <c r="R6" s="1989">
        <v>0</v>
      </c>
      <c r="S6" s="1989">
        <v>0</v>
      </c>
      <c r="T6" s="1989">
        <v>0</v>
      </c>
      <c r="U6" s="1757"/>
      <c r="V6" s="1763"/>
      <c r="W6" s="2761" t="s">
        <v>5239</v>
      </c>
      <c r="X6" s="1759" t="str">
        <f>+B6</f>
        <v>昭和57年度</v>
      </c>
      <c r="Y6" s="1990">
        <v>0</v>
      </c>
      <c r="Z6" s="1990">
        <v>0</v>
      </c>
      <c r="AA6" s="1990">
        <v>0</v>
      </c>
      <c r="AB6" s="1990">
        <v>0</v>
      </c>
      <c r="AC6" s="1757"/>
    </row>
    <row r="7" spans="1:29">
      <c r="A7" s="2762"/>
      <c r="B7" s="1759" t="s">
        <v>5233</v>
      </c>
      <c r="C7" s="1758">
        <f t="shared" si="0"/>
        <v>0</v>
      </c>
      <c r="D7" s="1758">
        <f t="shared" si="1"/>
        <v>0</v>
      </c>
      <c r="E7" s="1758">
        <f t="shared" si="2"/>
        <v>0</v>
      </c>
      <c r="F7" s="1758">
        <f t="shared" si="3"/>
        <v>0</v>
      </c>
      <c r="G7" s="1757">
        <f t="shared" si="4"/>
        <v>0</v>
      </c>
      <c r="H7" s="1757">
        <f t="shared" si="5"/>
        <v>0</v>
      </c>
      <c r="I7" s="1681"/>
      <c r="J7" s="1681"/>
      <c r="K7" s="1757">
        <v>0</v>
      </c>
      <c r="L7" s="1757">
        <f t="shared" si="6"/>
        <v>0</v>
      </c>
      <c r="M7" s="1763">
        <f>ROUND(C7/C$48*G$48,3)-ROUND(C7/C$48*G$48,0)</f>
        <v>0</v>
      </c>
      <c r="N7" s="1948">
        <f>+海田!N7</f>
        <v>0</v>
      </c>
      <c r="O7" s="2762"/>
      <c r="P7" s="1759" t="str">
        <f t="shared" ref="P7:P47" si="7">+B7</f>
        <v>昭和58年度</v>
      </c>
      <c r="Q7" s="1989">
        <v>0</v>
      </c>
      <c r="R7" s="1989">
        <v>0</v>
      </c>
      <c r="S7" s="1989">
        <v>0</v>
      </c>
      <c r="T7" s="1989">
        <v>0</v>
      </c>
      <c r="U7" s="1757"/>
      <c r="V7" s="1764"/>
      <c r="W7" s="2762"/>
      <c r="X7" s="1759" t="str">
        <f t="shared" ref="X7:X47" si="8">+B7</f>
        <v>昭和58年度</v>
      </c>
      <c r="Y7" s="1990">
        <v>0</v>
      </c>
      <c r="Z7" s="1990">
        <v>0</v>
      </c>
      <c r="AA7" s="1990">
        <v>0</v>
      </c>
      <c r="AB7" s="1990">
        <v>0</v>
      </c>
      <c r="AC7" s="1757"/>
    </row>
    <row r="8" spans="1:29">
      <c r="A8" s="2762"/>
      <c r="B8" s="1759" t="s">
        <v>5234</v>
      </c>
      <c r="C8" s="1758">
        <f t="shared" si="0"/>
        <v>0</v>
      </c>
      <c r="D8" s="1758">
        <f t="shared" si="1"/>
        <v>0</v>
      </c>
      <c r="E8" s="1758">
        <f t="shared" si="2"/>
        <v>0</v>
      </c>
      <c r="F8" s="1758">
        <f t="shared" si="3"/>
        <v>0</v>
      </c>
      <c r="G8" s="1757">
        <f t="shared" si="4"/>
        <v>0</v>
      </c>
      <c r="H8" s="1757">
        <f t="shared" si="5"/>
        <v>0</v>
      </c>
      <c r="I8" s="1681"/>
      <c r="J8" s="1681"/>
      <c r="K8" s="1757">
        <v>0</v>
      </c>
      <c r="L8" s="1757">
        <f t="shared" si="6"/>
        <v>0</v>
      </c>
      <c r="M8" s="1763">
        <f>ROUND(C8/C$48*G$48,3)-ROUND(C8/C$48*G$48,0)</f>
        <v>0</v>
      </c>
      <c r="N8" s="1948">
        <f>+海田!N8</f>
        <v>0</v>
      </c>
      <c r="O8" s="2762"/>
      <c r="P8" s="1759" t="str">
        <f t="shared" si="7"/>
        <v>昭和59年度</v>
      </c>
      <c r="Q8" s="1989">
        <v>0</v>
      </c>
      <c r="R8" s="1989">
        <v>0</v>
      </c>
      <c r="S8" s="1989">
        <v>0</v>
      </c>
      <c r="T8" s="1989">
        <v>0</v>
      </c>
      <c r="U8" s="1757"/>
      <c r="V8" s="1764"/>
      <c r="W8" s="2762"/>
      <c r="X8" s="1759" t="str">
        <f t="shared" si="8"/>
        <v>昭和59年度</v>
      </c>
      <c r="Y8" s="1990">
        <v>0</v>
      </c>
      <c r="Z8" s="1990">
        <v>0</v>
      </c>
      <c r="AA8" s="1990">
        <v>0</v>
      </c>
      <c r="AB8" s="1990">
        <v>0</v>
      </c>
      <c r="AC8" s="1757"/>
    </row>
    <row r="9" spans="1:29">
      <c r="A9" s="2762"/>
      <c r="B9" s="1759" t="s">
        <v>5235</v>
      </c>
      <c r="C9" s="1758">
        <f t="shared" si="0"/>
        <v>0</v>
      </c>
      <c r="D9" s="1758">
        <f t="shared" si="1"/>
        <v>0</v>
      </c>
      <c r="E9" s="1758">
        <f t="shared" si="2"/>
        <v>0</v>
      </c>
      <c r="F9" s="1758">
        <f t="shared" si="3"/>
        <v>0</v>
      </c>
      <c r="G9" s="1757">
        <f t="shared" si="4"/>
        <v>0</v>
      </c>
      <c r="H9" s="1757">
        <f t="shared" si="5"/>
        <v>0</v>
      </c>
      <c r="I9" s="1681"/>
      <c r="J9" s="1681"/>
      <c r="K9" s="1757">
        <v>0</v>
      </c>
      <c r="L9" s="1757">
        <f t="shared" si="6"/>
        <v>0</v>
      </c>
      <c r="M9" s="1763">
        <f>ROUND(C9/C$48*G$48,3)-ROUND(C9/C$48*G$48,0)</f>
        <v>0</v>
      </c>
      <c r="N9" s="1948">
        <f>+海田!N9</f>
        <v>0</v>
      </c>
      <c r="O9" s="2762"/>
      <c r="P9" s="1759" t="str">
        <f t="shared" si="7"/>
        <v>昭和60年度</v>
      </c>
      <c r="Q9" s="1989">
        <v>0</v>
      </c>
      <c r="R9" s="1989">
        <v>0</v>
      </c>
      <c r="S9" s="1989">
        <v>0</v>
      </c>
      <c r="T9" s="1989">
        <v>0</v>
      </c>
      <c r="U9" s="1757"/>
      <c r="V9" s="1764"/>
      <c r="W9" s="2762"/>
      <c r="X9" s="1759" t="str">
        <f t="shared" si="8"/>
        <v>昭和60年度</v>
      </c>
      <c r="Y9" s="1990">
        <v>0</v>
      </c>
      <c r="Z9" s="1990">
        <v>0</v>
      </c>
      <c r="AA9" s="1990">
        <v>0</v>
      </c>
      <c r="AB9" s="1990">
        <v>0</v>
      </c>
      <c r="AC9" s="1757"/>
    </row>
    <row r="10" spans="1:29">
      <c r="A10" s="2762"/>
      <c r="B10" s="1759" t="s">
        <v>5236</v>
      </c>
      <c r="C10" s="1758">
        <f t="shared" si="0"/>
        <v>0</v>
      </c>
      <c r="D10" s="1758">
        <f t="shared" si="1"/>
        <v>0</v>
      </c>
      <c r="E10" s="1758">
        <f t="shared" si="2"/>
        <v>0</v>
      </c>
      <c r="F10" s="1758">
        <f t="shared" si="3"/>
        <v>0</v>
      </c>
      <c r="G10" s="1757">
        <f t="shared" si="4"/>
        <v>0</v>
      </c>
      <c r="H10" s="1757">
        <f t="shared" si="5"/>
        <v>0</v>
      </c>
      <c r="I10" s="1681"/>
      <c r="J10" s="1681"/>
      <c r="K10" s="1757">
        <v>0</v>
      </c>
      <c r="L10" s="1757">
        <f t="shared" si="6"/>
        <v>0</v>
      </c>
      <c r="M10" s="1763">
        <f t="shared" ref="M10:M47" si="9">ROUND(C10/C$48*G$48,3)-ROUND(C10/C$48*G$48,0)</f>
        <v>0</v>
      </c>
      <c r="N10" s="1948">
        <f>+海田!N10</f>
        <v>0</v>
      </c>
      <c r="O10" s="2762"/>
      <c r="P10" s="1759" t="str">
        <f t="shared" si="7"/>
        <v>昭和61年度</v>
      </c>
      <c r="Q10" s="1989">
        <v>0</v>
      </c>
      <c r="R10" s="1989">
        <v>0</v>
      </c>
      <c r="S10" s="1989">
        <v>0</v>
      </c>
      <c r="T10" s="1989">
        <v>0</v>
      </c>
      <c r="U10" s="1757"/>
      <c r="V10" s="1764"/>
      <c r="W10" s="2762"/>
      <c r="X10" s="1759" t="str">
        <f t="shared" si="8"/>
        <v>昭和61年度</v>
      </c>
      <c r="Y10" s="1990">
        <v>0</v>
      </c>
      <c r="Z10" s="1990">
        <v>0</v>
      </c>
      <c r="AA10" s="1990">
        <v>0</v>
      </c>
      <c r="AB10" s="1990">
        <v>0</v>
      </c>
      <c r="AC10" s="1757"/>
    </row>
    <row r="11" spans="1:29">
      <c r="A11" s="2762"/>
      <c r="B11" s="1759" t="s">
        <v>5237</v>
      </c>
      <c r="C11" s="1758">
        <f t="shared" si="0"/>
        <v>0</v>
      </c>
      <c r="D11" s="1758">
        <f t="shared" si="1"/>
        <v>0</v>
      </c>
      <c r="E11" s="1758">
        <f t="shared" si="2"/>
        <v>0</v>
      </c>
      <c r="F11" s="1758">
        <f t="shared" si="3"/>
        <v>0</v>
      </c>
      <c r="G11" s="1757">
        <f t="shared" si="4"/>
        <v>0</v>
      </c>
      <c r="H11" s="1757">
        <f t="shared" si="5"/>
        <v>0</v>
      </c>
      <c r="I11" s="1681"/>
      <c r="J11" s="1681"/>
      <c r="K11" s="1757">
        <v>0</v>
      </c>
      <c r="L11" s="1757">
        <f t="shared" si="6"/>
        <v>0</v>
      </c>
      <c r="M11" s="1763">
        <f t="shared" si="9"/>
        <v>0</v>
      </c>
      <c r="N11" s="1948">
        <f>+海田!N11</f>
        <v>0</v>
      </c>
      <c r="O11" s="2762"/>
      <c r="P11" s="1759" t="str">
        <f t="shared" si="7"/>
        <v>昭和62年度</v>
      </c>
      <c r="Q11" s="1989">
        <v>0</v>
      </c>
      <c r="R11" s="1989">
        <v>0</v>
      </c>
      <c r="S11" s="1989">
        <v>0</v>
      </c>
      <c r="T11" s="1989">
        <v>0</v>
      </c>
      <c r="U11" s="1757"/>
      <c r="V11" s="1764"/>
      <c r="W11" s="2762"/>
      <c r="X11" s="1759" t="str">
        <f t="shared" si="8"/>
        <v>昭和62年度</v>
      </c>
      <c r="Y11" s="1990">
        <v>0</v>
      </c>
      <c r="Z11" s="1990">
        <v>0</v>
      </c>
      <c r="AA11" s="1990">
        <v>0</v>
      </c>
      <c r="AB11" s="1990">
        <v>0</v>
      </c>
      <c r="AC11" s="1757"/>
    </row>
    <row r="12" spans="1:29">
      <c r="A12" s="2762"/>
      <c r="B12" s="1759" t="s">
        <v>5238</v>
      </c>
      <c r="C12" s="1758">
        <f t="shared" si="0"/>
        <v>0</v>
      </c>
      <c r="D12" s="1758">
        <f t="shared" si="1"/>
        <v>0</v>
      </c>
      <c r="E12" s="1758">
        <f t="shared" si="2"/>
        <v>0</v>
      </c>
      <c r="F12" s="1758">
        <f t="shared" si="3"/>
        <v>0</v>
      </c>
      <c r="G12" s="1757">
        <f t="shared" si="4"/>
        <v>0</v>
      </c>
      <c r="H12" s="1757">
        <f t="shared" si="5"/>
        <v>0</v>
      </c>
      <c r="I12" s="1681"/>
      <c r="J12" s="1681"/>
      <c r="K12" s="1757">
        <v>0</v>
      </c>
      <c r="L12" s="1757">
        <f t="shared" si="6"/>
        <v>0</v>
      </c>
      <c r="M12" s="1763">
        <f t="shared" si="9"/>
        <v>0</v>
      </c>
      <c r="N12" s="1948">
        <f>+海田!N12</f>
        <v>0</v>
      </c>
      <c r="O12" s="2762"/>
      <c r="P12" s="1759" t="str">
        <f t="shared" si="7"/>
        <v>昭和63年度</v>
      </c>
      <c r="Q12" s="1989">
        <v>0</v>
      </c>
      <c r="R12" s="1989">
        <v>0</v>
      </c>
      <c r="S12" s="1989">
        <v>0</v>
      </c>
      <c r="T12" s="1989">
        <v>0</v>
      </c>
      <c r="U12" s="1757"/>
      <c r="V12" s="1764"/>
      <c r="W12" s="2762"/>
      <c r="X12" s="1759" t="str">
        <f t="shared" si="8"/>
        <v>昭和63年度</v>
      </c>
      <c r="Y12" s="1990">
        <v>0</v>
      </c>
      <c r="Z12" s="1990">
        <v>0</v>
      </c>
      <c r="AA12" s="1990">
        <v>0</v>
      </c>
      <c r="AB12" s="1990">
        <v>0</v>
      </c>
      <c r="AC12" s="1757"/>
    </row>
    <row r="13" spans="1:29">
      <c r="A13" s="2762"/>
      <c r="B13" s="1760" t="s">
        <v>5202</v>
      </c>
      <c r="C13" s="1758">
        <f t="shared" si="0"/>
        <v>0</v>
      </c>
      <c r="D13" s="1758">
        <f t="shared" si="1"/>
        <v>0</v>
      </c>
      <c r="E13" s="1758">
        <f t="shared" si="2"/>
        <v>0</v>
      </c>
      <c r="F13" s="1758">
        <f t="shared" si="3"/>
        <v>0</v>
      </c>
      <c r="G13" s="2018">
        <f>ROUND(C13/C$48*G$48,0)</f>
        <v>0</v>
      </c>
      <c r="H13" s="1757">
        <f t="shared" si="5"/>
        <v>0</v>
      </c>
      <c r="I13" s="1751">
        <f>+VLOOKUP($B13,年度別調書!$A$4:$M$37,10,0)</f>
        <v>30622955900</v>
      </c>
      <c r="J13" s="1751">
        <f>+VLOOKUP($B13,年度別調書!$A$4:$M$37,13,0)</f>
        <v>62903610340</v>
      </c>
      <c r="K13" s="1757">
        <f>IFERROR(ROUND(H13*I13/J13,0),0)</f>
        <v>0</v>
      </c>
      <c r="L13" s="1757">
        <f>H13-K13</f>
        <v>0</v>
      </c>
      <c r="M13" s="1763">
        <f t="shared" si="9"/>
        <v>0</v>
      </c>
      <c r="N13" s="1948">
        <f>+海田!N13</f>
        <v>3</v>
      </c>
      <c r="O13" s="2762"/>
      <c r="P13" s="1759" t="str">
        <f t="shared" si="7"/>
        <v>平成元年度</v>
      </c>
      <c r="Q13" s="1989">
        <v>0</v>
      </c>
      <c r="R13" s="1989">
        <v>0</v>
      </c>
      <c r="S13" s="1989">
        <v>0</v>
      </c>
      <c r="T13" s="1989">
        <v>0</v>
      </c>
      <c r="U13" s="1757"/>
      <c r="V13" s="1764"/>
      <c r="W13" s="2762"/>
      <c r="X13" s="1759" t="str">
        <f t="shared" si="8"/>
        <v>平成元年度</v>
      </c>
      <c r="Y13" s="1990">
        <v>0</v>
      </c>
      <c r="Z13" s="1990">
        <v>0</v>
      </c>
      <c r="AA13" s="1990">
        <v>0</v>
      </c>
      <c r="AB13" s="1990">
        <v>0</v>
      </c>
      <c r="AC13" s="1757"/>
    </row>
    <row r="14" spans="1:29">
      <c r="A14" s="2762"/>
      <c r="B14" s="1760" t="s">
        <v>5203</v>
      </c>
      <c r="C14" s="1758">
        <f t="shared" si="0"/>
        <v>0</v>
      </c>
      <c r="D14" s="1758">
        <f t="shared" si="1"/>
        <v>0</v>
      </c>
      <c r="E14" s="1758">
        <f t="shared" si="2"/>
        <v>0</v>
      </c>
      <c r="F14" s="1758">
        <f t="shared" si="3"/>
        <v>0</v>
      </c>
      <c r="G14" s="1757">
        <f t="shared" si="4"/>
        <v>0</v>
      </c>
      <c r="H14" s="1757">
        <f t="shared" si="5"/>
        <v>0</v>
      </c>
      <c r="I14" s="1751">
        <f>+VLOOKUP($B14,年度別調書!$A$4:$M$37,10,0)</f>
        <v>36785805618</v>
      </c>
      <c r="J14" s="1751">
        <f>+VLOOKUP($B14,年度別調書!$A$4:$M$37,13,0)</f>
        <v>65207626364</v>
      </c>
      <c r="K14" s="1757">
        <f t="shared" ref="K14:K47" si="10">IFERROR(ROUND(H14*I14/J14,0),0)</f>
        <v>0</v>
      </c>
      <c r="L14" s="1757">
        <f>H14-K14</f>
        <v>0</v>
      </c>
      <c r="M14" s="1763">
        <f t="shared" si="9"/>
        <v>0</v>
      </c>
      <c r="N14" s="1948">
        <f>+海田!N14</f>
        <v>3</v>
      </c>
      <c r="O14" s="2762"/>
      <c r="P14" s="1759" t="str">
        <f t="shared" si="7"/>
        <v>平成2年度</v>
      </c>
      <c r="Q14" s="1989">
        <v>0</v>
      </c>
      <c r="R14" s="1989">
        <v>0</v>
      </c>
      <c r="S14" s="1989">
        <v>0</v>
      </c>
      <c r="T14" s="1989">
        <v>0</v>
      </c>
      <c r="U14" s="1757"/>
      <c r="V14" s="1764"/>
      <c r="W14" s="2762"/>
      <c r="X14" s="1759" t="str">
        <f t="shared" si="8"/>
        <v>平成2年度</v>
      </c>
      <c r="Y14" s="1990">
        <v>0</v>
      </c>
      <c r="Z14" s="1990">
        <v>0</v>
      </c>
      <c r="AA14" s="1990">
        <v>0</v>
      </c>
      <c r="AB14" s="1990">
        <v>0</v>
      </c>
      <c r="AC14" s="1757"/>
    </row>
    <row r="15" spans="1:29">
      <c r="A15" s="2762"/>
      <c r="B15" s="1760" t="s">
        <v>5204</v>
      </c>
      <c r="C15" s="1758">
        <f t="shared" si="0"/>
        <v>0</v>
      </c>
      <c r="D15" s="1758">
        <f t="shared" si="1"/>
        <v>0</v>
      </c>
      <c r="E15" s="1758">
        <f t="shared" si="2"/>
        <v>0</v>
      </c>
      <c r="F15" s="1758">
        <f t="shared" si="3"/>
        <v>0</v>
      </c>
      <c r="G15" s="1757">
        <f t="shared" si="4"/>
        <v>0</v>
      </c>
      <c r="H15" s="1757">
        <f t="shared" si="5"/>
        <v>0</v>
      </c>
      <c r="I15" s="1751">
        <f>+VLOOKUP($B15,年度別調書!$A$4:$M$37,10,0)</f>
        <v>42048127236</v>
      </c>
      <c r="J15" s="1751">
        <f>+VLOOKUP($B15,年度別調書!$A$4:$M$37,13,0)</f>
        <v>72538415314</v>
      </c>
      <c r="K15" s="1757">
        <f t="shared" si="10"/>
        <v>0</v>
      </c>
      <c r="L15" s="1757">
        <f>H15-K15</f>
        <v>0</v>
      </c>
      <c r="M15" s="1763">
        <f t="shared" si="9"/>
        <v>0</v>
      </c>
      <c r="N15" s="1948">
        <f>+海田!N15</f>
        <v>3</v>
      </c>
      <c r="O15" s="2762"/>
      <c r="P15" s="1759" t="str">
        <f t="shared" si="7"/>
        <v>平成3年度</v>
      </c>
      <c r="Q15" s="1989">
        <v>0</v>
      </c>
      <c r="R15" s="1989">
        <v>0</v>
      </c>
      <c r="S15" s="1989">
        <v>0</v>
      </c>
      <c r="T15" s="1989">
        <v>0</v>
      </c>
      <c r="U15" s="1757"/>
      <c r="V15" s="1764"/>
      <c r="W15" s="2762"/>
      <c r="X15" s="1759" t="str">
        <f t="shared" si="8"/>
        <v>平成3年度</v>
      </c>
      <c r="Y15" s="2084">
        <v>0</v>
      </c>
      <c r="Z15" s="2084">
        <v>0</v>
      </c>
      <c r="AA15" s="2084">
        <v>0</v>
      </c>
      <c r="AB15" s="2084">
        <v>0</v>
      </c>
      <c r="AC15" s="1757"/>
    </row>
    <row r="16" spans="1:29">
      <c r="A16" s="2762"/>
      <c r="B16" s="1760" t="s">
        <v>5205</v>
      </c>
      <c r="C16" s="1758">
        <f t="shared" si="0"/>
        <v>396649</v>
      </c>
      <c r="D16" s="1758">
        <f t="shared" si="1"/>
        <v>10891</v>
      </c>
      <c r="E16" s="1758">
        <f t="shared" si="2"/>
        <v>407540</v>
      </c>
      <c r="F16" s="1758">
        <f t="shared" si="3"/>
        <v>31738</v>
      </c>
      <c r="G16" s="1757">
        <f t="shared" si="4"/>
        <v>34256</v>
      </c>
      <c r="H16" s="1757">
        <f t="shared" si="5"/>
        <v>362393</v>
      </c>
      <c r="I16" s="1751">
        <f>+VLOOKUP($B16,年度別調書!$A$4:$M$37,10,0)</f>
        <v>49320557603</v>
      </c>
      <c r="J16" s="1751">
        <f>+VLOOKUP($B16,年度別調書!$A$4:$M$37,13,0)</f>
        <v>82028053042</v>
      </c>
      <c r="K16" s="1757">
        <f t="shared" si="10"/>
        <v>217894</v>
      </c>
      <c r="L16" s="1757">
        <f>H16-K16</f>
        <v>144499</v>
      </c>
      <c r="M16" s="1763">
        <f t="shared" si="9"/>
        <v>-0.4040000000022701</v>
      </c>
      <c r="N16" s="1948">
        <f>+海田!N16</f>
        <v>3</v>
      </c>
      <c r="O16" s="2762"/>
      <c r="P16" s="1759" t="str">
        <f t="shared" si="7"/>
        <v>平成4年度</v>
      </c>
      <c r="Q16" s="1989">
        <v>196531</v>
      </c>
      <c r="R16" s="1989">
        <v>7239</v>
      </c>
      <c r="S16" s="1989">
        <v>203770</v>
      </c>
      <c r="T16" s="1989">
        <v>15869</v>
      </c>
      <c r="U16" s="1757"/>
      <c r="V16" s="1764"/>
      <c r="W16" s="2762"/>
      <c r="X16" s="1759" t="str">
        <f t="shared" si="8"/>
        <v>平成4年度</v>
      </c>
      <c r="Y16" s="1990">
        <v>200118</v>
      </c>
      <c r="Z16" s="1990">
        <v>3652</v>
      </c>
      <c r="AA16" s="1990">
        <v>203770</v>
      </c>
      <c r="AB16" s="1990">
        <v>15869</v>
      </c>
      <c r="AC16" s="1757"/>
    </row>
    <row r="17" spans="1:29">
      <c r="A17" s="2762"/>
      <c r="B17" s="1760" t="s">
        <v>5206</v>
      </c>
      <c r="C17" s="1758">
        <f t="shared" si="0"/>
        <v>626517</v>
      </c>
      <c r="D17" s="1758">
        <f t="shared" si="1"/>
        <v>32743</v>
      </c>
      <c r="E17" s="1758">
        <f t="shared" si="2"/>
        <v>659260</v>
      </c>
      <c r="F17" s="1758">
        <f t="shared" si="3"/>
        <v>30910</v>
      </c>
      <c r="G17" s="1757">
        <f t="shared" si="4"/>
        <v>54108</v>
      </c>
      <c r="H17" s="1757">
        <f t="shared" si="5"/>
        <v>572409</v>
      </c>
      <c r="I17" s="1751">
        <f>+VLOOKUP($B17,年度別調書!$A$4:$M$37,10,0)</f>
        <v>54853236126</v>
      </c>
      <c r="J17" s="1751">
        <f>+VLOOKUP($B17,年度別調書!$A$4:$M$37,13,0)</f>
        <v>94393962571</v>
      </c>
      <c r="K17" s="1757">
        <f t="shared" si="10"/>
        <v>332632</v>
      </c>
      <c r="L17" s="1757">
        <f t="shared" ref="L17:L47" si="11">H17-K17</f>
        <v>239777</v>
      </c>
      <c r="M17" s="1763">
        <f t="shared" si="9"/>
        <v>-0.43099999999685679</v>
      </c>
      <c r="N17" s="1948">
        <f>+海田!N17</f>
        <v>3</v>
      </c>
      <c r="O17" s="2762"/>
      <c r="P17" s="1759" t="str">
        <f t="shared" si="7"/>
        <v>平成5年度</v>
      </c>
      <c r="Q17" s="1989">
        <v>309823</v>
      </c>
      <c r="R17" s="1989">
        <v>19807</v>
      </c>
      <c r="S17" s="1989">
        <v>329630</v>
      </c>
      <c r="T17" s="1989">
        <v>15455</v>
      </c>
      <c r="U17" s="1757"/>
      <c r="V17" s="1764"/>
      <c r="W17" s="2762"/>
      <c r="X17" s="1759" t="str">
        <f t="shared" si="8"/>
        <v>平成5年度</v>
      </c>
      <c r="Y17" s="1990">
        <v>316694</v>
      </c>
      <c r="Z17" s="1990">
        <v>12936</v>
      </c>
      <c r="AA17" s="1990">
        <v>329630</v>
      </c>
      <c r="AB17" s="1990">
        <v>15455</v>
      </c>
      <c r="AC17" s="1757"/>
    </row>
    <row r="18" spans="1:29">
      <c r="A18" s="2762"/>
      <c r="B18" s="1760" t="s">
        <v>5207</v>
      </c>
      <c r="C18" s="1758">
        <f t="shared" si="0"/>
        <v>489651</v>
      </c>
      <c r="D18" s="1758">
        <f t="shared" si="1"/>
        <v>38607</v>
      </c>
      <c r="E18" s="1758">
        <f t="shared" si="2"/>
        <v>528258</v>
      </c>
      <c r="F18" s="1758">
        <f t="shared" si="3"/>
        <v>15078</v>
      </c>
      <c r="G18" s="1757">
        <f t="shared" si="4"/>
        <v>42287</v>
      </c>
      <c r="H18" s="1757">
        <f t="shared" si="5"/>
        <v>447364</v>
      </c>
      <c r="I18" s="1751">
        <f>+VLOOKUP($B18,年度別調書!$A$4:$M$37,10,0)</f>
        <v>52459905451</v>
      </c>
      <c r="J18" s="1751">
        <f>+VLOOKUP($B18,年度別調書!$A$4:$M$37,13,0)</f>
        <v>92179213936</v>
      </c>
      <c r="K18" s="1757">
        <f t="shared" si="10"/>
        <v>254598</v>
      </c>
      <c r="L18" s="1757">
        <f t="shared" si="11"/>
        <v>192766</v>
      </c>
      <c r="M18" s="1763">
        <f t="shared" si="9"/>
        <v>0.48000000000320142</v>
      </c>
      <c r="N18" s="1948">
        <f>+海田!N18</f>
        <v>3</v>
      </c>
      <c r="O18" s="2762"/>
      <c r="P18" s="1759" t="str">
        <f t="shared" si="7"/>
        <v>平成6年度</v>
      </c>
      <c r="Q18" s="1989">
        <v>242434</v>
      </c>
      <c r="R18" s="1989">
        <v>21695</v>
      </c>
      <c r="S18" s="1989">
        <v>264129</v>
      </c>
      <c r="T18" s="1989">
        <v>7539</v>
      </c>
      <c r="U18" s="1757"/>
      <c r="V18" s="1764"/>
      <c r="W18" s="2762"/>
      <c r="X18" s="1759" t="str">
        <f t="shared" si="8"/>
        <v>平成6年度</v>
      </c>
      <c r="Y18" s="1990">
        <v>247217</v>
      </c>
      <c r="Z18" s="1990">
        <v>16912</v>
      </c>
      <c r="AA18" s="1990">
        <v>264129</v>
      </c>
      <c r="AB18" s="1990">
        <v>7539</v>
      </c>
      <c r="AC18" s="1757"/>
    </row>
    <row r="19" spans="1:29">
      <c r="A19" s="2762"/>
      <c r="B19" s="1760" t="s">
        <v>5208</v>
      </c>
      <c r="C19" s="1758">
        <f t="shared" si="0"/>
        <v>0</v>
      </c>
      <c r="D19" s="1758">
        <f t="shared" si="1"/>
        <v>0</v>
      </c>
      <c r="E19" s="1758">
        <f t="shared" si="2"/>
        <v>0</v>
      </c>
      <c r="F19" s="1758">
        <f t="shared" si="3"/>
        <v>0</v>
      </c>
      <c r="G19" s="1757">
        <f t="shared" si="4"/>
        <v>0</v>
      </c>
      <c r="H19" s="1757">
        <f t="shared" si="5"/>
        <v>0</v>
      </c>
      <c r="I19" s="1751">
        <f>+VLOOKUP($B19,年度別調書!$A$4:$M$37,10,0)</f>
        <v>58579778590</v>
      </c>
      <c r="J19" s="1751">
        <f>+VLOOKUP($B19,年度別調書!$A$4:$M$37,13,0)</f>
        <v>98916143476</v>
      </c>
      <c r="K19" s="1757">
        <f t="shared" si="10"/>
        <v>0</v>
      </c>
      <c r="L19" s="1757">
        <f t="shared" si="11"/>
        <v>0</v>
      </c>
      <c r="M19" s="1763">
        <f t="shared" si="9"/>
        <v>0</v>
      </c>
      <c r="N19" s="1948">
        <f>+海田!N19</f>
        <v>3</v>
      </c>
      <c r="O19" s="2762"/>
      <c r="P19" s="1759" t="str">
        <f t="shared" si="7"/>
        <v>平成7年度</v>
      </c>
      <c r="Q19" s="1989">
        <v>0</v>
      </c>
      <c r="R19" s="1989">
        <v>0</v>
      </c>
      <c r="S19" s="1989">
        <v>0</v>
      </c>
      <c r="T19" s="1989">
        <v>0</v>
      </c>
      <c r="U19" s="1757"/>
      <c r="V19" s="1764"/>
      <c r="W19" s="2762"/>
      <c r="X19" s="1759" t="str">
        <f t="shared" si="8"/>
        <v>平成7年度</v>
      </c>
      <c r="Y19" s="2084">
        <v>0</v>
      </c>
      <c r="Z19" s="2084">
        <v>0</v>
      </c>
      <c r="AA19" s="2084">
        <v>0</v>
      </c>
      <c r="AB19" s="2084">
        <v>0</v>
      </c>
      <c r="AC19" s="1757"/>
    </row>
    <row r="20" spans="1:29">
      <c r="A20" s="2762"/>
      <c r="B20" s="1760" t="s">
        <v>5209</v>
      </c>
      <c r="C20" s="1758">
        <f t="shared" si="0"/>
        <v>0</v>
      </c>
      <c r="D20" s="1758">
        <f t="shared" si="1"/>
        <v>0</v>
      </c>
      <c r="E20" s="1758">
        <f t="shared" si="2"/>
        <v>0</v>
      </c>
      <c r="F20" s="1758">
        <f t="shared" si="3"/>
        <v>0</v>
      </c>
      <c r="G20" s="1757">
        <f t="shared" si="4"/>
        <v>0</v>
      </c>
      <c r="H20" s="1757">
        <f t="shared" si="5"/>
        <v>0</v>
      </c>
      <c r="I20" s="1751">
        <f>+VLOOKUP($B20,年度別調書!$A$4:$M$37,10,0)</f>
        <v>59855732510</v>
      </c>
      <c r="J20" s="1751">
        <f>+VLOOKUP($B20,年度別調書!$A$4:$M$37,13,0)</f>
        <v>105086070753</v>
      </c>
      <c r="K20" s="1757">
        <f t="shared" si="10"/>
        <v>0</v>
      </c>
      <c r="L20" s="1757">
        <f t="shared" si="11"/>
        <v>0</v>
      </c>
      <c r="M20" s="1763">
        <f t="shared" si="9"/>
        <v>0</v>
      </c>
      <c r="N20" s="1948">
        <f>+海田!N20</f>
        <v>3</v>
      </c>
      <c r="O20" s="2762"/>
      <c r="P20" s="1759" t="str">
        <f t="shared" si="7"/>
        <v>平成8年度</v>
      </c>
      <c r="Q20" s="1989">
        <v>0</v>
      </c>
      <c r="R20" s="1989">
        <v>0</v>
      </c>
      <c r="S20" s="1989">
        <v>0</v>
      </c>
      <c r="T20" s="1989">
        <v>0</v>
      </c>
      <c r="U20" s="1757"/>
      <c r="V20" s="1764"/>
      <c r="W20" s="2762"/>
      <c r="X20" s="1759" t="str">
        <f t="shared" si="8"/>
        <v>平成8年度</v>
      </c>
      <c r="Y20" s="2084">
        <v>0</v>
      </c>
      <c r="Z20" s="2084">
        <v>0</v>
      </c>
      <c r="AA20" s="2084">
        <v>0</v>
      </c>
      <c r="AB20" s="2084">
        <v>0</v>
      </c>
      <c r="AC20" s="1757"/>
    </row>
    <row r="21" spans="1:29">
      <c r="A21" s="2762"/>
      <c r="B21" s="1760" t="s">
        <v>5210</v>
      </c>
      <c r="C21" s="1758">
        <f t="shared" si="0"/>
        <v>0</v>
      </c>
      <c r="D21" s="1758">
        <f t="shared" si="1"/>
        <v>0</v>
      </c>
      <c r="E21" s="1758">
        <f t="shared" si="2"/>
        <v>0</v>
      </c>
      <c r="F21" s="1758">
        <f t="shared" si="3"/>
        <v>0</v>
      </c>
      <c r="G21" s="1757">
        <f t="shared" si="4"/>
        <v>0</v>
      </c>
      <c r="H21" s="1757">
        <f t="shared" si="5"/>
        <v>0</v>
      </c>
      <c r="I21" s="1751">
        <f>+VLOOKUP($B21,年度別調書!$A$4:$M$37,10,0)</f>
        <v>65491097789</v>
      </c>
      <c r="J21" s="1751">
        <f>+VLOOKUP($B21,年度別調書!$A$4:$M$37,13,0)</f>
        <v>112544371375</v>
      </c>
      <c r="K21" s="1757">
        <f t="shared" si="10"/>
        <v>0</v>
      </c>
      <c r="L21" s="1757">
        <f t="shared" si="11"/>
        <v>0</v>
      </c>
      <c r="M21" s="1763">
        <f t="shared" si="9"/>
        <v>0</v>
      </c>
      <c r="N21" s="1948">
        <f>+海田!N21</f>
        <v>5</v>
      </c>
      <c r="O21" s="2762"/>
      <c r="P21" s="1759" t="str">
        <f t="shared" si="7"/>
        <v>平成9年度</v>
      </c>
      <c r="Q21" s="1989">
        <v>0</v>
      </c>
      <c r="R21" s="1989">
        <v>0</v>
      </c>
      <c r="S21" s="1989">
        <v>0</v>
      </c>
      <c r="T21" s="1989">
        <v>0</v>
      </c>
      <c r="U21" s="1757"/>
      <c r="V21" s="1764"/>
      <c r="W21" s="2762"/>
      <c r="X21" s="1759" t="str">
        <f t="shared" si="8"/>
        <v>平成9年度</v>
      </c>
      <c r="Y21" s="2084">
        <v>0</v>
      </c>
      <c r="Z21" s="2084">
        <v>0</v>
      </c>
      <c r="AA21" s="2084">
        <v>0</v>
      </c>
      <c r="AB21" s="2084">
        <v>0</v>
      </c>
      <c r="AC21" s="1757"/>
    </row>
    <row r="22" spans="1:29">
      <c r="A22" s="2762"/>
      <c r="B22" s="1760" t="s">
        <v>5211</v>
      </c>
      <c r="C22" s="1758">
        <f t="shared" si="0"/>
        <v>0</v>
      </c>
      <c r="D22" s="1758">
        <f t="shared" si="1"/>
        <v>0</v>
      </c>
      <c r="E22" s="1758">
        <f t="shared" si="2"/>
        <v>0</v>
      </c>
      <c r="F22" s="1758">
        <f t="shared" si="3"/>
        <v>0</v>
      </c>
      <c r="G22" s="1757">
        <f t="shared" si="4"/>
        <v>0</v>
      </c>
      <c r="H22" s="1757">
        <f t="shared" si="5"/>
        <v>0</v>
      </c>
      <c r="I22" s="1751">
        <f>+VLOOKUP($B22,年度別調書!$A$4:$M$37,10,0)</f>
        <v>66701247191</v>
      </c>
      <c r="J22" s="1751">
        <f>+VLOOKUP($B22,年度別調書!$A$4:$M$37,13,0)</f>
        <v>118194473653</v>
      </c>
      <c r="K22" s="1757">
        <f t="shared" si="10"/>
        <v>0</v>
      </c>
      <c r="L22" s="1757">
        <f t="shared" si="11"/>
        <v>0</v>
      </c>
      <c r="M22" s="1763">
        <f t="shared" si="9"/>
        <v>0</v>
      </c>
      <c r="N22" s="1948">
        <f>+海田!N22</f>
        <v>5</v>
      </c>
      <c r="O22" s="2762"/>
      <c r="P22" s="1759" t="str">
        <f t="shared" si="7"/>
        <v>平成10年度</v>
      </c>
      <c r="Q22" s="1989">
        <v>0</v>
      </c>
      <c r="R22" s="1989">
        <v>0</v>
      </c>
      <c r="S22" s="1989">
        <v>0</v>
      </c>
      <c r="T22" s="1989">
        <v>0</v>
      </c>
      <c r="U22" s="1757"/>
      <c r="V22" s="1764"/>
      <c r="W22" s="2762"/>
      <c r="X22" s="1759" t="str">
        <f t="shared" si="8"/>
        <v>平成10年度</v>
      </c>
      <c r="Y22" s="2084">
        <v>0</v>
      </c>
      <c r="Z22" s="2084">
        <v>0</v>
      </c>
      <c r="AA22" s="2084">
        <v>0</v>
      </c>
      <c r="AB22" s="2084">
        <v>0</v>
      </c>
      <c r="AC22" s="1757"/>
    </row>
    <row r="23" spans="1:29">
      <c r="A23" s="2762"/>
      <c r="B23" s="1760" t="s">
        <v>5212</v>
      </c>
      <c r="C23" s="1758">
        <f t="shared" si="0"/>
        <v>45699</v>
      </c>
      <c r="D23" s="1758">
        <f t="shared" si="1"/>
        <v>4571</v>
      </c>
      <c r="E23" s="1758">
        <f t="shared" si="2"/>
        <v>50270</v>
      </c>
      <c r="F23" s="1758">
        <f t="shared" si="3"/>
        <v>5502</v>
      </c>
      <c r="G23" s="1757">
        <f t="shared" si="4"/>
        <v>3947</v>
      </c>
      <c r="H23" s="1757">
        <f t="shared" si="5"/>
        <v>41752</v>
      </c>
      <c r="I23" s="1751">
        <f>+VLOOKUP($B23,年度別調書!$A$4:$M$37,10,0)</f>
        <v>58274420372</v>
      </c>
      <c r="J23" s="1751">
        <f>+VLOOKUP($B23,年度別調書!$A$4:$M$37,13,0)</f>
        <v>110790062218</v>
      </c>
      <c r="K23" s="1757">
        <f t="shared" si="10"/>
        <v>21961</v>
      </c>
      <c r="L23" s="1757">
        <f t="shared" si="11"/>
        <v>19791</v>
      </c>
      <c r="M23" s="1763">
        <f t="shared" si="9"/>
        <v>-0.32000000000016371</v>
      </c>
      <c r="N23" s="1948">
        <f>+海田!N23</f>
        <v>5</v>
      </c>
      <c r="O23" s="2762"/>
      <c r="P23" s="1759" t="str">
        <f t="shared" si="7"/>
        <v>平成11年度</v>
      </c>
      <c r="Q23" s="1989">
        <v>22738</v>
      </c>
      <c r="R23" s="1989">
        <v>2397</v>
      </c>
      <c r="S23" s="1989">
        <v>25135</v>
      </c>
      <c r="T23" s="1989">
        <v>2751</v>
      </c>
      <c r="U23" s="1757"/>
      <c r="V23" s="1764"/>
      <c r="W23" s="2762"/>
      <c r="X23" s="1759" t="str">
        <f t="shared" si="8"/>
        <v>平成11年度</v>
      </c>
      <c r="Y23" s="1990">
        <v>22961</v>
      </c>
      <c r="Z23" s="1990">
        <v>2174</v>
      </c>
      <c r="AA23" s="1990">
        <v>25135</v>
      </c>
      <c r="AB23" s="1990">
        <v>2751</v>
      </c>
      <c r="AC23" s="1757"/>
    </row>
    <row r="24" spans="1:29">
      <c r="A24" s="2762"/>
      <c r="B24" s="1760" t="s">
        <v>5213</v>
      </c>
      <c r="C24" s="1758">
        <f t="shared" si="0"/>
        <v>218603</v>
      </c>
      <c r="D24" s="1758">
        <f t="shared" si="1"/>
        <v>24463</v>
      </c>
      <c r="E24" s="1758">
        <f t="shared" si="2"/>
        <v>243066</v>
      </c>
      <c r="F24" s="1758">
        <f t="shared" si="3"/>
        <v>27962</v>
      </c>
      <c r="G24" s="1757">
        <f t="shared" si="4"/>
        <v>18879</v>
      </c>
      <c r="H24" s="1757">
        <f t="shared" si="5"/>
        <v>199724</v>
      </c>
      <c r="I24" s="1751">
        <f>+VLOOKUP($B24,年度別調書!$A$4:$M$37,10,0)</f>
        <v>48353931386</v>
      </c>
      <c r="J24" s="1751">
        <f>+VLOOKUP($B24,年度別調書!$A$4:$M$37,13,0)</f>
        <v>104173607652</v>
      </c>
      <c r="K24" s="1757">
        <f t="shared" si="10"/>
        <v>92705</v>
      </c>
      <c r="L24" s="1757">
        <f t="shared" si="11"/>
        <v>107019</v>
      </c>
      <c r="M24" s="1763">
        <f t="shared" si="9"/>
        <v>9.9999999998544808E-2</v>
      </c>
      <c r="N24" s="1948">
        <f>+海田!N24</f>
        <v>5</v>
      </c>
      <c r="O24" s="2762"/>
      <c r="P24" s="1759" t="str">
        <f t="shared" si="7"/>
        <v>平成12年度</v>
      </c>
      <c r="Q24" s="1989">
        <v>108818</v>
      </c>
      <c r="R24" s="1989">
        <v>12715</v>
      </c>
      <c r="S24" s="1989">
        <v>121533</v>
      </c>
      <c r="T24" s="1989">
        <v>13981</v>
      </c>
      <c r="U24" s="1757"/>
      <c r="V24" s="1764"/>
      <c r="W24" s="2762"/>
      <c r="X24" s="1759" t="str">
        <f t="shared" si="8"/>
        <v>平成12年度</v>
      </c>
      <c r="Y24" s="1990">
        <v>109785</v>
      </c>
      <c r="Z24" s="1990">
        <v>11748</v>
      </c>
      <c r="AA24" s="1990">
        <v>121533</v>
      </c>
      <c r="AB24" s="1990">
        <v>13981</v>
      </c>
      <c r="AC24" s="1757"/>
    </row>
    <row r="25" spans="1:29">
      <c r="A25" s="2762"/>
      <c r="B25" s="1760" t="s">
        <v>5214</v>
      </c>
      <c r="C25" s="1758">
        <f t="shared" si="0"/>
        <v>681954</v>
      </c>
      <c r="D25" s="1758">
        <f t="shared" si="1"/>
        <v>99190</v>
      </c>
      <c r="E25" s="1758">
        <f t="shared" si="2"/>
        <v>781144</v>
      </c>
      <c r="F25" s="1758">
        <f t="shared" si="3"/>
        <v>91932</v>
      </c>
      <c r="G25" s="2018">
        <f>ROUND(C25/C$48*G$48,0)</f>
        <v>58895</v>
      </c>
      <c r="H25" s="1757">
        <f t="shared" si="5"/>
        <v>623059</v>
      </c>
      <c r="I25" s="1751">
        <f>+VLOOKUP($B25,年度別調書!$A$4:$M$37,10,0)</f>
        <v>42742028940</v>
      </c>
      <c r="J25" s="1751">
        <f>+VLOOKUP($B25,年度別調書!$A$4:$M$37,13,0)</f>
        <v>101075943440</v>
      </c>
      <c r="K25" s="1757">
        <f t="shared" si="10"/>
        <v>263473</v>
      </c>
      <c r="L25" s="1757">
        <f t="shared" si="11"/>
        <v>359586</v>
      </c>
      <c r="M25" s="1763">
        <f t="shared" si="9"/>
        <v>0.2470000000030268</v>
      </c>
      <c r="N25" s="1948">
        <f>+海田!N25</f>
        <v>5</v>
      </c>
      <c r="O25" s="2762"/>
      <c r="P25" s="1759" t="str">
        <f t="shared" si="7"/>
        <v>平成13年度</v>
      </c>
      <c r="Q25" s="1989">
        <v>339314</v>
      </c>
      <c r="R25" s="1989">
        <v>51258</v>
      </c>
      <c r="S25" s="1989">
        <v>390572</v>
      </c>
      <c r="T25" s="1989">
        <v>45966</v>
      </c>
      <c r="U25" s="1757"/>
      <c r="V25" s="1764"/>
      <c r="W25" s="2762"/>
      <c r="X25" s="1759" t="str">
        <f t="shared" si="8"/>
        <v>平成13年度</v>
      </c>
      <c r="Y25" s="1990">
        <v>342640</v>
      </c>
      <c r="Z25" s="1990">
        <v>47932</v>
      </c>
      <c r="AA25" s="1990">
        <v>390572</v>
      </c>
      <c r="AB25" s="1990">
        <v>45966</v>
      </c>
      <c r="AC25" s="1757"/>
    </row>
    <row r="26" spans="1:29">
      <c r="A26" s="2762"/>
      <c r="B26" s="1760" t="s">
        <v>5215</v>
      </c>
      <c r="C26" s="1758">
        <f t="shared" si="0"/>
        <v>577988</v>
      </c>
      <c r="D26" s="1758">
        <f t="shared" si="1"/>
        <v>105070</v>
      </c>
      <c r="E26" s="1758">
        <f t="shared" si="2"/>
        <v>683058</v>
      </c>
      <c r="F26" s="1758">
        <f t="shared" si="3"/>
        <v>77098</v>
      </c>
      <c r="G26" s="2087">
        <f>ROUND(C26/C$48*G$48,0)+1</f>
        <v>49917</v>
      </c>
      <c r="H26" s="1757">
        <f t="shared" si="5"/>
        <v>528071</v>
      </c>
      <c r="I26" s="1751">
        <f>+VLOOKUP($B26,年度別調書!$A$4:$M$37,10,0)</f>
        <v>38694694218</v>
      </c>
      <c r="J26" s="1751">
        <f>+VLOOKUP($B26,年度別調書!$A$4:$M$37,13,0)</f>
        <v>98151426478</v>
      </c>
      <c r="K26" s="1757">
        <f t="shared" si="10"/>
        <v>208184</v>
      </c>
      <c r="L26" s="1757">
        <f t="shared" si="11"/>
        <v>319887</v>
      </c>
      <c r="M26" s="1763">
        <f t="shared" si="9"/>
        <v>0.48399999999674037</v>
      </c>
      <c r="N26" s="1948">
        <f>+海田!N26</f>
        <v>5</v>
      </c>
      <c r="O26" s="2762"/>
      <c r="P26" s="1759" t="str">
        <f t="shared" si="7"/>
        <v>平成14年度</v>
      </c>
      <c r="Q26" s="1989">
        <v>287766</v>
      </c>
      <c r="R26" s="1989">
        <v>53763</v>
      </c>
      <c r="S26" s="1989">
        <v>341529</v>
      </c>
      <c r="T26" s="1989">
        <v>38549</v>
      </c>
      <c r="U26" s="1757"/>
      <c r="V26" s="1764"/>
      <c r="W26" s="2762"/>
      <c r="X26" s="1759" t="str">
        <f t="shared" si="8"/>
        <v>平成14年度</v>
      </c>
      <c r="Y26" s="1990">
        <v>290222</v>
      </c>
      <c r="Z26" s="1990">
        <v>51307</v>
      </c>
      <c r="AA26" s="1990">
        <v>341529</v>
      </c>
      <c r="AB26" s="1990">
        <v>38549</v>
      </c>
      <c r="AC26" s="1757"/>
    </row>
    <row r="27" spans="1:29">
      <c r="A27" s="2762"/>
      <c r="B27" s="1760" t="s">
        <v>5216</v>
      </c>
      <c r="C27" s="1758">
        <f t="shared" si="0"/>
        <v>52632</v>
      </c>
      <c r="D27" s="1758">
        <f t="shared" si="1"/>
        <v>12944</v>
      </c>
      <c r="E27" s="1758">
        <f t="shared" si="2"/>
        <v>65576</v>
      </c>
      <c r="F27" s="1758">
        <f t="shared" si="3"/>
        <v>7360</v>
      </c>
      <c r="G27" s="1757">
        <f t="shared" si="4"/>
        <v>4545</v>
      </c>
      <c r="H27" s="1757">
        <f t="shared" si="5"/>
        <v>48087</v>
      </c>
      <c r="I27" s="1751">
        <f>+VLOOKUP($B27,年度別調書!$A$4:$M$37,10,0)</f>
        <v>37621895854</v>
      </c>
      <c r="J27" s="1751">
        <f>+VLOOKUP($B27,年度別調書!$A$4:$M$37,13,0)</f>
        <v>100825076572</v>
      </c>
      <c r="K27" s="1757">
        <f t="shared" si="10"/>
        <v>17943</v>
      </c>
      <c r="L27" s="1757">
        <f t="shared" si="11"/>
        <v>30144</v>
      </c>
      <c r="M27" s="1763">
        <f t="shared" si="9"/>
        <v>0.43099999999958527</v>
      </c>
      <c r="N27" s="1948">
        <f>+海田!N27</f>
        <v>5</v>
      </c>
      <c r="O27" s="2762"/>
      <c r="P27" s="1759" t="str">
        <f t="shared" si="7"/>
        <v>平成15年度</v>
      </c>
      <c r="Q27" s="1989">
        <v>26181</v>
      </c>
      <c r="R27" s="1989">
        <v>6607</v>
      </c>
      <c r="S27" s="1989">
        <v>32788</v>
      </c>
      <c r="T27" s="1989">
        <v>3680</v>
      </c>
      <c r="U27" s="1757"/>
      <c r="V27" s="1764"/>
      <c r="W27" s="2762"/>
      <c r="X27" s="1759" t="str">
        <f t="shared" si="8"/>
        <v>平成15年度</v>
      </c>
      <c r="Y27" s="1990">
        <v>26451</v>
      </c>
      <c r="Z27" s="1990">
        <v>6337</v>
      </c>
      <c r="AA27" s="1990">
        <v>32788</v>
      </c>
      <c r="AB27" s="1990">
        <v>3680</v>
      </c>
      <c r="AC27" s="1757"/>
    </row>
    <row r="28" spans="1:29">
      <c r="A28" s="2762"/>
      <c r="B28" s="1760" t="s">
        <v>5217</v>
      </c>
      <c r="C28" s="1758">
        <f t="shared" si="0"/>
        <v>376974</v>
      </c>
      <c r="D28" s="1758">
        <f t="shared" si="1"/>
        <v>102776</v>
      </c>
      <c r="E28" s="1758">
        <f t="shared" si="2"/>
        <v>479750</v>
      </c>
      <c r="F28" s="1758">
        <f t="shared" si="3"/>
        <v>55480</v>
      </c>
      <c r="G28" s="2018">
        <f>ROUND(C28/C$48*G$48,0)</f>
        <v>32556</v>
      </c>
      <c r="H28" s="1757">
        <f t="shared" si="5"/>
        <v>344418</v>
      </c>
      <c r="I28" s="1751">
        <f>+VLOOKUP($B28,年度別調書!$A$4:$M$37,10,0)</f>
        <v>29085465357</v>
      </c>
      <c r="J28" s="1751">
        <f>+VLOOKUP($B28,年度別調書!$A$4:$M$37,13,0)</f>
        <v>101305165124</v>
      </c>
      <c r="K28" s="1757">
        <f t="shared" si="10"/>
        <v>98885</v>
      </c>
      <c r="L28" s="1757">
        <f t="shared" si="11"/>
        <v>245533</v>
      </c>
      <c r="M28" s="1763">
        <f t="shared" si="9"/>
        <v>0.41400000000066939</v>
      </c>
      <c r="N28" s="1948">
        <f>+海田!N28</f>
        <v>5</v>
      </c>
      <c r="O28" s="2762"/>
      <c r="P28" s="1759" t="str">
        <f t="shared" si="7"/>
        <v>平成16年度</v>
      </c>
      <c r="Q28" s="1989">
        <v>187507</v>
      </c>
      <c r="R28" s="1989">
        <v>52368</v>
      </c>
      <c r="S28" s="1989">
        <v>239875</v>
      </c>
      <c r="T28" s="1989">
        <v>27740</v>
      </c>
      <c r="U28" s="1757"/>
      <c r="V28" s="1764"/>
      <c r="W28" s="2762"/>
      <c r="X28" s="1759" t="str">
        <f t="shared" si="8"/>
        <v>平成16年度</v>
      </c>
      <c r="Y28" s="1990">
        <v>189467</v>
      </c>
      <c r="Z28" s="1990">
        <v>50408</v>
      </c>
      <c r="AA28" s="1990">
        <v>239875</v>
      </c>
      <c r="AB28" s="1990">
        <v>27740</v>
      </c>
      <c r="AC28" s="1757"/>
    </row>
    <row r="29" spans="1:29">
      <c r="A29" s="2762"/>
      <c r="B29" s="1760" t="s">
        <v>5218</v>
      </c>
      <c r="C29" s="1758">
        <f t="shared" si="0"/>
        <v>0</v>
      </c>
      <c r="D29" s="1758">
        <f t="shared" si="1"/>
        <v>0</v>
      </c>
      <c r="E29" s="1758">
        <f t="shared" si="2"/>
        <v>0</v>
      </c>
      <c r="F29" s="1758">
        <f t="shared" si="3"/>
        <v>0</v>
      </c>
      <c r="G29" s="1757">
        <f t="shared" si="4"/>
        <v>0</v>
      </c>
      <c r="H29" s="1757">
        <f t="shared" si="5"/>
        <v>0</v>
      </c>
      <c r="I29" s="1751">
        <f>+VLOOKUP($B29,年度別調書!$A$4:$M$37,10,0)</f>
        <v>25082997134</v>
      </c>
      <c r="J29" s="1751">
        <f>+VLOOKUP($B29,年度別調書!$A$4:$M$37,13,0)</f>
        <v>96528725584</v>
      </c>
      <c r="K29" s="1757">
        <f t="shared" si="10"/>
        <v>0</v>
      </c>
      <c r="L29" s="1757">
        <f t="shared" si="11"/>
        <v>0</v>
      </c>
      <c r="M29" s="1763">
        <f t="shared" si="9"/>
        <v>0</v>
      </c>
      <c r="N29" s="1948">
        <f>+海田!N29</f>
        <v>5</v>
      </c>
      <c r="O29" s="2762"/>
      <c r="P29" s="1759" t="str">
        <f t="shared" si="7"/>
        <v>平成17年度</v>
      </c>
      <c r="Q29" s="1989">
        <v>0</v>
      </c>
      <c r="R29" s="1989">
        <v>0</v>
      </c>
      <c r="S29" s="1989">
        <v>0</v>
      </c>
      <c r="T29" s="1989">
        <v>0</v>
      </c>
      <c r="U29" s="1757"/>
      <c r="V29" s="1764"/>
      <c r="W29" s="2762"/>
      <c r="X29" s="1759" t="str">
        <f t="shared" si="8"/>
        <v>平成17年度</v>
      </c>
      <c r="Y29" s="1990">
        <v>0</v>
      </c>
      <c r="Z29" s="1990">
        <v>0</v>
      </c>
      <c r="AA29" s="1990">
        <v>0</v>
      </c>
      <c r="AB29" s="1990">
        <v>0</v>
      </c>
      <c r="AC29" s="1757"/>
    </row>
    <row r="30" spans="1:29">
      <c r="A30" s="2762"/>
      <c r="B30" s="1760" t="s">
        <v>5219</v>
      </c>
      <c r="C30" s="1758">
        <f t="shared" si="0"/>
        <v>0</v>
      </c>
      <c r="D30" s="1758">
        <f t="shared" si="1"/>
        <v>0</v>
      </c>
      <c r="E30" s="1758">
        <f t="shared" si="2"/>
        <v>0</v>
      </c>
      <c r="F30" s="1758">
        <f t="shared" si="3"/>
        <v>0</v>
      </c>
      <c r="G30" s="1757">
        <f t="shared" si="4"/>
        <v>0</v>
      </c>
      <c r="H30" s="1757">
        <f t="shared" si="5"/>
        <v>0</v>
      </c>
      <c r="I30" s="1751">
        <f>+VLOOKUP($B30,年度別調書!$A$4:$M$37,10,0)</f>
        <v>21657707574</v>
      </c>
      <c r="J30" s="1751">
        <f>+VLOOKUP($B30,年度別調書!$A$4:$M$37,13,0)</f>
        <v>84768578867</v>
      </c>
      <c r="K30" s="1757">
        <f t="shared" si="10"/>
        <v>0</v>
      </c>
      <c r="L30" s="1757">
        <f t="shared" si="11"/>
        <v>0</v>
      </c>
      <c r="M30" s="1763">
        <f t="shared" si="9"/>
        <v>0</v>
      </c>
      <c r="N30" s="1948">
        <f>+海田!N30</f>
        <v>5</v>
      </c>
      <c r="O30" s="2762"/>
      <c r="P30" s="1759" t="str">
        <f t="shared" si="7"/>
        <v>平成18年度</v>
      </c>
      <c r="Q30" s="1989">
        <v>0</v>
      </c>
      <c r="R30" s="1989">
        <v>0</v>
      </c>
      <c r="S30" s="1989">
        <v>0</v>
      </c>
      <c r="T30" s="1989">
        <v>0</v>
      </c>
      <c r="U30" s="1757"/>
      <c r="V30" s="1764"/>
      <c r="W30" s="2762"/>
      <c r="X30" s="1759" t="str">
        <f t="shared" si="8"/>
        <v>平成18年度</v>
      </c>
      <c r="Y30" s="1990">
        <v>0</v>
      </c>
      <c r="Z30" s="1990">
        <v>0</v>
      </c>
      <c r="AA30" s="1990">
        <v>0</v>
      </c>
      <c r="AB30" s="1990">
        <v>0</v>
      </c>
      <c r="AC30" s="1757"/>
    </row>
    <row r="31" spans="1:29">
      <c r="A31" s="2762"/>
      <c r="B31" s="1760" t="s">
        <v>5220</v>
      </c>
      <c r="C31" s="1758">
        <f t="shared" si="0"/>
        <v>0</v>
      </c>
      <c r="D31" s="1758">
        <f t="shared" si="1"/>
        <v>0</v>
      </c>
      <c r="E31" s="1758">
        <f t="shared" si="2"/>
        <v>0</v>
      </c>
      <c r="F31" s="1758">
        <f t="shared" si="3"/>
        <v>0</v>
      </c>
      <c r="G31" s="1757">
        <f t="shared" si="4"/>
        <v>0</v>
      </c>
      <c r="H31" s="1757">
        <f t="shared" si="5"/>
        <v>0</v>
      </c>
      <c r="I31" s="1751">
        <f>+VLOOKUP($B31,年度別調書!$A$4:$M$37,10,0)</f>
        <v>25422571996</v>
      </c>
      <c r="J31" s="1751">
        <f>+VLOOKUP($B31,年度別調書!$A$4:$M$37,13,0)</f>
        <v>105576318079</v>
      </c>
      <c r="K31" s="1757">
        <f t="shared" si="10"/>
        <v>0</v>
      </c>
      <c r="L31" s="1757">
        <f t="shared" si="11"/>
        <v>0</v>
      </c>
      <c r="M31" s="1763">
        <f t="shared" si="9"/>
        <v>0</v>
      </c>
      <c r="N31" s="1948">
        <f>+海田!N31</f>
        <v>5</v>
      </c>
      <c r="O31" s="2762"/>
      <c r="P31" s="1759" t="str">
        <f t="shared" si="7"/>
        <v>平成19年度</v>
      </c>
      <c r="Q31" s="1989">
        <v>0</v>
      </c>
      <c r="R31" s="1989">
        <v>0</v>
      </c>
      <c r="S31" s="1989">
        <v>0</v>
      </c>
      <c r="T31" s="1989">
        <v>0</v>
      </c>
      <c r="U31" s="1757"/>
      <c r="V31" s="1764"/>
      <c r="W31" s="2762"/>
      <c r="X31" s="1759" t="str">
        <f t="shared" si="8"/>
        <v>平成19年度</v>
      </c>
      <c r="Y31" s="1990">
        <v>0</v>
      </c>
      <c r="Z31" s="1990">
        <v>0</v>
      </c>
      <c r="AA31" s="1990">
        <v>0</v>
      </c>
      <c r="AB31" s="1990">
        <v>0</v>
      </c>
      <c r="AC31" s="1757"/>
    </row>
    <row r="32" spans="1:29">
      <c r="A32" s="2762"/>
      <c r="B32" s="1760" t="s">
        <v>5221</v>
      </c>
      <c r="C32" s="1758">
        <f t="shared" si="0"/>
        <v>0</v>
      </c>
      <c r="D32" s="1758">
        <f t="shared" si="1"/>
        <v>0</v>
      </c>
      <c r="E32" s="1758">
        <f t="shared" si="2"/>
        <v>0</v>
      </c>
      <c r="F32" s="1758">
        <f t="shared" si="3"/>
        <v>0</v>
      </c>
      <c r="G32" s="1757">
        <f t="shared" si="4"/>
        <v>0</v>
      </c>
      <c r="H32" s="1757">
        <f t="shared" si="5"/>
        <v>0</v>
      </c>
      <c r="I32" s="1751">
        <f>+VLOOKUP($B32,年度別調書!$A$4:$M$37,10,0)</f>
        <v>24693835462</v>
      </c>
      <c r="J32" s="1751">
        <f>+VLOOKUP($B32,年度別調書!$A$4:$M$37,13,0)</f>
        <v>110401232854</v>
      </c>
      <c r="K32" s="1757">
        <f t="shared" si="10"/>
        <v>0</v>
      </c>
      <c r="L32" s="1757">
        <f t="shared" si="11"/>
        <v>0</v>
      </c>
      <c r="M32" s="1763">
        <f t="shared" si="9"/>
        <v>0</v>
      </c>
      <c r="N32" s="1948">
        <f>+海田!N32</f>
        <v>5</v>
      </c>
      <c r="O32" s="2762"/>
      <c r="P32" s="1759" t="str">
        <f t="shared" si="7"/>
        <v>平成20年度</v>
      </c>
      <c r="Q32" s="1989">
        <v>0</v>
      </c>
      <c r="R32" s="1989">
        <v>0</v>
      </c>
      <c r="S32" s="1989">
        <v>0</v>
      </c>
      <c r="T32" s="1989">
        <v>0</v>
      </c>
      <c r="U32" s="1757"/>
      <c r="V32" s="1764"/>
      <c r="W32" s="2762"/>
      <c r="X32" s="1759" t="str">
        <f t="shared" si="8"/>
        <v>平成20年度</v>
      </c>
      <c r="Y32" s="1990">
        <v>0</v>
      </c>
      <c r="Z32" s="1990">
        <v>0</v>
      </c>
      <c r="AA32" s="1990">
        <v>0</v>
      </c>
      <c r="AB32" s="1990">
        <v>0</v>
      </c>
      <c r="AC32" s="1757"/>
    </row>
    <row r="33" spans="1:29">
      <c r="A33" s="2762"/>
      <c r="B33" s="1760" t="s">
        <v>5222</v>
      </c>
      <c r="C33" s="1758">
        <f t="shared" si="0"/>
        <v>0</v>
      </c>
      <c r="D33" s="1758">
        <f t="shared" si="1"/>
        <v>0</v>
      </c>
      <c r="E33" s="1758">
        <f t="shared" si="2"/>
        <v>0</v>
      </c>
      <c r="F33" s="1758">
        <f t="shared" si="3"/>
        <v>0</v>
      </c>
      <c r="G33" s="1757">
        <f t="shared" si="4"/>
        <v>0</v>
      </c>
      <c r="H33" s="1757">
        <f t="shared" si="5"/>
        <v>0</v>
      </c>
      <c r="I33" s="1751">
        <f>+VLOOKUP($B33,年度別調書!$A$4:$M$37,10,0)</f>
        <v>22324372880</v>
      </c>
      <c r="J33" s="1751">
        <f>+VLOOKUP($B33,年度別調書!$A$4:$M$37,13,0)</f>
        <v>88097108350</v>
      </c>
      <c r="K33" s="1757">
        <f t="shared" si="10"/>
        <v>0</v>
      </c>
      <c r="L33" s="1757">
        <f t="shared" si="11"/>
        <v>0</v>
      </c>
      <c r="M33" s="1763">
        <f t="shared" si="9"/>
        <v>0</v>
      </c>
      <c r="N33" s="1948">
        <f>+海田!N33</f>
        <v>5</v>
      </c>
      <c r="O33" s="2762"/>
      <c r="P33" s="1759" t="str">
        <f t="shared" si="7"/>
        <v>平成21年度</v>
      </c>
      <c r="Q33" s="1989">
        <v>0</v>
      </c>
      <c r="R33" s="1989">
        <v>0</v>
      </c>
      <c r="S33" s="1989">
        <v>0</v>
      </c>
      <c r="T33" s="1989">
        <v>0</v>
      </c>
      <c r="U33" s="1757"/>
      <c r="V33" s="1764"/>
      <c r="W33" s="2762"/>
      <c r="X33" s="1759" t="str">
        <f t="shared" si="8"/>
        <v>平成21年度</v>
      </c>
      <c r="Y33" s="1796">
        <v>0</v>
      </c>
      <c r="Z33" s="1796">
        <v>0</v>
      </c>
      <c r="AA33" s="1796">
        <v>0</v>
      </c>
      <c r="AB33" s="1796">
        <v>0</v>
      </c>
      <c r="AC33" s="1757"/>
    </row>
    <row r="34" spans="1:29">
      <c r="A34" s="2762"/>
      <c r="B34" s="1760" t="s">
        <v>5223</v>
      </c>
      <c r="C34" s="1758">
        <f t="shared" si="0"/>
        <v>0</v>
      </c>
      <c r="D34" s="1758">
        <f t="shared" si="1"/>
        <v>0</v>
      </c>
      <c r="E34" s="1758">
        <f t="shared" si="2"/>
        <v>0</v>
      </c>
      <c r="F34" s="1758">
        <f t="shared" si="3"/>
        <v>0</v>
      </c>
      <c r="G34" s="1757">
        <f t="shared" si="4"/>
        <v>0</v>
      </c>
      <c r="H34" s="1757">
        <f t="shared" si="5"/>
        <v>0</v>
      </c>
      <c r="I34" s="1751">
        <f>+VLOOKUP($B34,年度別調書!$A$4:$M$37,10,0)</f>
        <v>26326163485</v>
      </c>
      <c r="J34" s="1751">
        <f>+VLOOKUP($B34,年度別調書!$A$4:$M$37,13,0)</f>
        <v>102723057143</v>
      </c>
      <c r="K34" s="1757">
        <f t="shared" si="10"/>
        <v>0</v>
      </c>
      <c r="L34" s="1757">
        <f t="shared" si="11"/>
        <v>0</v>
      </c>
      <c r="M34" s="1763">
        <f t="shared" si="9"/>
        <v>0</v>
      </c>
      <c r="N34" s="1948">
        <f>+海田!N34</f>
        <v>5</v>
      </c>
      <c r="O34" s="2762"/>
      <c r="P34" s="1759" t="str">
        <f t="shared" si="7"/>
        <v>平成22年度</v>
      </c>
      <c r="Q34" s="1989">
        <v>0</v>
      </c>
      <c r="R34" s="1989">
        <v>0</v>
      </c>
      <c r="S34" s="1989">
        <v>0</v>
      </c>
      <c r="T34" s="1989">
        <v>0</v>
      </c>
      <c r="U34" s="1757"/>
      <c r="V34" s="1764"/>
      <c r="W34" s="2762"/>
      <c r="X34" s="1759" t="str">
        <f t="shared" si="8"/>
        <v>平成22年度</v>
      </c>
      <c r="Y34" s="1796">
        <v>0</v>
      </c>
      <c r="Z34" s="1796">
        <v>0</v>
      </c>
      <c r="AA34" s="1796">
        <v>0</v>
      </c>
      <c r="AB34" s="1796">
        <v>0</v>
      </c>
      <c r="AC34" s="1757"/>
    </row>
    <row r="35" spans="1:29">
      <c r="A35" s="2762"/>
      <c r="B35" s="1760" t="s">
        <v>5224</v>
      </c>
      <c r="C35" s="1758">
        <f t="shared" si="0"/>
        <v>0</v>
      </c>
      <c r="D35" s="1758">
        <f t="shared" si="1"/>
        <v>0</v>
      </c>
      <c r="E35" s="1758">
        <f t="shared" si="2"/>
        <v>0</v>
      </c>
      <c r="F35" s="1758">
        <f t="shared" si="3"/>
        <v>0</v>
      </c>
      <c r="G35" s="1757">
        <f t="shared" si="4"/>
        <v>0</v>
      </c>
      <c r="H35" s="1757">
        <f t="shared" si="5"/>
        <v>0</v>
      </c>
      <c r="I35" s="1751">
        <f>+VLOOKUP($B35,年度別調書!$A$4:$M$37,10,0)</f>
        <v>26883440277</v>
      </c>
      <c r="J35" s="1751">
        <f>+VLOOKUP($B35,年度別調書!$A$4:$M$37,13,0)</f>
        <v>99758377045</v>
      </c>
      <c r="K35" s="1757">
        <f t="shared" si="10"/>
        <v>0</v>
      </c>
      <c r="L35" s="1757">
        <f t="shared" si="11"/>
        <v>0</v>
      </c>
      <c r="M35" s="1763">
        <f t="shared" si="9"/>
        <v>0</v>
      </c>
      <c r="N35" s="1948">
        <f>+海田!N35</f>
        <v>5</v>
      </c>
      <c r="O35" s="2762"/>
      <c r="P35" s="1759" t="str">
        <f t="shared" si="7"/>
        <v>平成23年度</v>
      </c>
      <c r="Q35" s="1989">
        <v>0</v>
      </c>
      <c r="R35" s="1989">
        <v>0</v>
      </c>
      <c r="S35" s="1989">
        <v>0</v>
      </c>
      <c r="T35" s="1989">
        <v>0</v>
      </c>
      <c r="U35" s="1757"/>
      <c r="V35" s="1764"/>
      <c r="W35" s="2762"/>
      <c r="X35" s="1759" t="str">
        <f t="shared" si="8"/>
        <v>平成23年度</v>
      </c>
      <c r="Y35" s="1796">
        <v>0</v>
      </c>
      <c r="Z35" s="1796">
        <v>0</v>
      </c>
      <c r="AA35" s="1796">
        <v>0</v>
      </c>
      <c r="AB35" s="1796">
        <v>0</v>
      </c>
      <c r="AC35" s="1757"/>
    </row>
    <row r="36" spans="1:29">
      <c r="A36" s="2762"/>
      <c r="B36" s="1760" t="s">
        <v>5225</v>
      </c>
      <c r="C36" s="1758">
        <f t="shared" si="0"/>
        <v>0</v>
      </c>
      <c r="D36" s="1758">
        <f t="shared" si="1"/>
        <v>0</v>
      </c>
      <c r="E36" s="1758">
        <f t="shared" si="2"/>
        <v>0</v>
      </c>
      <c r="F36" s="1758">
        <f t="shared" si="3"/>
        <v>0</v>
      </c>
      <c r="G36" s="1757">
        <f t="shared" si="4"/>
        <v>0</v>
      </c>
      <c r="H36" s="1757">
        <f t="shared" si="5"/>
        <v>0</v>
      </c>
      <c r="I36" s="1751">
        <f>+VLOOKUP($B36,年度別調書!$A$4:$M$37,10,0)</f>
        <v>20821234544</v>
      </c>
      <c r="J36" s="1751">
        <f>+VLOOKUP($B36,年度別調書!$A$4:$M$37,13,0)</f>
        <v>101115908424</v>
      </c>
      <c r="K36" s="1757">
        <f t="shared" si="10"/>
        <v>0</v>
      </c>
      <c r="L36" s="1757">
        <f t="shared" si="11"/>
        <v>0</v>
      </c>
      <c r="M36" s="1763">
        <f t="shared" si="9"/>
        <v>0</v>
      </c>
      <c r="N36" s="1948">
        <f>+海田!N36</f>
        <v>5</v>
      </c>
      <c r="O36" s="2762"/>
      <c r="P36" s="1759" t="str">
        <f t="shared" si="7"/>
        <v>平成24年度</v>
      </c>
      <c r="Q36" s="1989">
        <v>0</v>
      </c>
      <c r="R36" s="1989">
        <v>0</v>
      </c>
      <c r="S36" s="1989">
        <v>0</v>
      </c>
      <c r="T36" s="1989">
        <v>0</v>
      </c>
      <c r="U36" s="1757"/>
      <c r="V36" s="1764"/>
      <c r="W36" s="2762"/>
      <c r="X36" s="1759" t="str">
        <f t="shared" si="8"/>
        <v>平成24年度</v>
      </c>
      <c r="Y36" s="1796">
        <v>0</v>
      </c>
      <c r="Z36" s="1796">
        <v>0</v>
      </c>
      <c r="AA36" s="1796">
        <v>0</v>
      </c>
      <c r="AB36" s="1796">
        <v>0</v>
      </c>
      <c r="AC36" s="1757"/>
    </row>
    <row r="37" spans="1:29">
      <c r="A37" s="2762"/>
      <c r="B37" s="1760" t="s">
        <v>5226</v>
      </c>
      <c r="C37" s="1758">
        <f t="shared" si="0"/>
        <v>0</v>
      </c>
      <c r="D37" s="1758">
        <f t="shared" si="1"/>
        <v>0</v>
      </c>
      <c r="E37" s="1758">
        <f t="shared" si="2"/>
        <v>0</v>
      </c>
      <c r="F37" s="1758">
        <f t="shared" si="3"/>
        <v>0</v>
      </c>
      <c r="G37" s="1757">
        <f t="shared" si="4"/>
        <v>0</v>
      </c>
      <c r="H37" s="1757">
        <f t="shared" si="5"/>
        <v>0</v>
      </c>
      <c r="I37" s="1751">
        <f>+VLOOKUP($B37,年度別調書!$A$4:$M$37,10,0)</f>
        <v>22169870622</v>
      </c>
      <c r="J37" s="1751">
        <f>+VLOOKUP($B37,年度別調書!$A$4:$M$37,13,0)</f>
        <v>87897420767</v>
      </c>
      <c r="K37" s="1757">
        <f t="shared" si="10"/>
        <v>0</v>
      </c>
      <c r="L37" s="1757">
        <f t="shared" si="11"/>
        <v>0</v>
      </c>
      <c r="M37" s="1763">
        <f t="shared" si="9"/>
        <v>0</v>
      </c>
      <c r="N37" s="1948">
        <f>+海田!N37</f>
        <v>5</v>
      </c>
      <c r="O37" s="2762"/>
      <c r="P37" s="1759" t="str">
        <f t="shared" si="7"/>
        <v>平成25年度</v>
      </c>
      <c r="Q37" s="1989">
        <v>0</v>
      </c>
      <c r="R37" s="1989">
        <v>0</v>
      </c>
      <c r="S37" s="1989">
        <v>0</v>
      </c>
      <c r="T37" s="1989">
        <v>0</v>
      </c>
      <c r="U37" s="1757"/>
      <c r="V37" s="1764"/>
      <c r="W37" s="2762"/>
      <c r="X37" s="1759" t="str">
        <f t="shared" si="8"/>
        <v>平成25年度</v>
      </c>
      <c r="Y37" s="1796">
        <v>0</v>
      </c>
      <c r="Z37" s="1796">
        <v>0</v>
      </c>
      <c r="AA37" s="1796">
        <v>0</v>
      </c>
      <c r="AB37" s="1796">
        <v>0</v>
      </c>
      <c r="AC37" s="1757"/>
    </row>
    <row r="38" spans="1:29">
      <c r="A38" s="2762"/>
      <c r="B38" s="1760" t="s">
        <v>5227</v>
      </c>
      <c r="C38" s="1758">
        <f t="shared" si="0"/>
        <v>0</v>
      </c>
      <c r="D38" s="1758">
        <f t="shared" si="1"/>
        <v>0</v>
      </c>
      <c r="E38" s="1758">
        <f t="shared" si="2"/>
        <v>0</v>
      </c>
      <c r="F38" s="1758">
        <f t="shared" si="3"/>
        <v>0</v>
      </c>
      <c r="G38" s="1757">
        <f t="shared" si="4"/>
        <v>0</v>
      </c>
      <c r="H38" s="1757">
        <f t="shared" si="5"/>
        <v>0</v>
      </c>
      <c r="I38" s="1751">
        <f>+VLOOKUP($B38,年度別調書!$A$4:$M$37,10,0)</f>
        <v>20924492616</v>
      </c>
      <c r="J38" s="1751">
        <f>+VLOOKUP($B38,年度別調書!$A$4:$M$37,13,0)</f>
        <v>99556890040</v>
      </c>
      <c r="K38" s="1757">
        <f t="shared" si="10"/>
        <v>0</v>
      </c>
      <c r="L38" s="1757">
        <f t="shared" si="11"/>
        <v>0</v>
      </c>
      <c r="M38" s="1763">
        <f t="shared" si="9"/>
        <v>0</v>
      </c>
      <c r="N38" s="1948">
        <f>+海田!N38</f>
        <v>8</v>
      </c>
      <c r="O38" s="2762"/>
      <c r="P38" s="1759" t="str">
        <f t="shared" si="7"/>
        <v>平成26年度</v>
      </c>
      <c r="Q38" s="1989">
        <v>0</v>
      </c>
      <c r="R38" s="1989">
        <v>0</v>
      </c>
      <c r="S38" s="1989">
        <v>0</v>
      </c>
      <c r="T38" s="1989">
        <v>0</v>
      </c>
      <c r="U38" s="1757"/>
      <c r="V38" s="1764"/>
      <c r="W38" s="2762"/>
      <c r="X38" s="1759" t="str">
        <f t="shared" si="8"/>
        <v>平成26年度</v>
      </c>
      <c r="Y38" s="1796">
        <v>0</v>
      </c>
      <c r="Z38" s="1796">
        <v>0</v>
      </c>
      <c r="AA38" s="1796">
        <v>0</v>
      </c>
      <c r="AB38" s="1796">
        <v>0</v>
      </c>
      <c r="AC38" s="1757"/>
    </row>
    <row r="39" spans="1:29">
      <c r="A39" s="2762"/>
      <c r="B39" s="1760" t="s">
        <v>5228</v>
      </c>
      <c r="C39" s="1758">
        <f t="shared" si="0"/>
        <v>0</v>
      </c>
      <c r="D39" s="1758">
        <f t="shared" si="1"/>
        <v>0</v>
      </c>
      <c r="E39" s="1758">
        <f t="shared" si="2"/>
        <v>0</v>
      </c>
      <c r="F39" s="1758">
        <f t="shared" si="3"/>
        <v>0</v>
      </c>
      <c r="G39" s="1757">
        <f t="shared" si="4"/>
        <v>0</v>
      </c>
      <c r="H39" s="1757">
        <f t="shared" si="5"/>
        <v>0</v>
      </c>
      <c r="I39" s="1751">
        <f>+VLOOKUP($B39,年度別調書!$A$4:$M$37,10,0)</f>
        <v>21176145645</v>
      </c>
      <c r="J39" s="1751">
        <f>+VLOOKUP($B39,年度別調書!$A$4:$M$37,13,0)</f>
        <v>104805589178</v>
      </c>
      <c r="K39" s="1757">
        <f t="shared" si="10"/>
        <v>0</v>
      </c>
      <c r="L39" s="1757">
        <f t="shared" si="11"/>
        <v>0</v>
      </c>
      <c r="M39" s="1763">
        <f t="shared" si="9"/>
        <v>0</v>
      </c>
      <c r="N39" s="1948">
        <f>+海田!N39</f>
        <v>8</v>
      </c>
      <c r="O39" s="2762"/>
      <c r="P39" s="1759" t="str">
        <f t="shared" si="7"/>
        <v>平成27年度</v>
      </c>
      <c r="Q39" s="1989">
        <v>0</v>
      </c>
      <c r="R39" s="1989">
        <v>0</v>
      </c>
      <c r="S39" s="1989">
        <v>0</v>
      </c>
      <c r="T39" s="1989">
        <v>0</v>
      </c>
      <c r="U39" s="1757"/>
      <c r="V39" s="1764"/>
      <c r="W39" s="2762"/>
      <c r="X39" s="1759" t="str">
        <f t="shared" si="8"/>
        <v>平成27年度</v>
      </c>
      <c r="Y39" s="1796">
        <v>0</v>
      </c>
      <c r="Z39" s="1796">
        <v>0</v>
      </c>
      <c r="AA39" s="1796">
        <v>0</v>
      </c>
      <c r="AB39" s="1796">
        <v>0</v>
      </c>
      <c r="AC39" s="1757"/>
    </row>
    <row r="40" spans="1:29">
      <c r="A40" s="2762"/>
      <c r="B40" s="1760" t="s">
        <v>5229</v>
      </c>
      <c r="C40" s="1758">
        <f t="shared" si="0"/>
        <v>0</v>
      </c>
      <c r="D40" s="1758">
        <f t="shared" si="1"/>
        <v>0</v>
      </c>
      <c r="E40" s="1758">
        <f t="shared" si="2"/>
        <v>0</v>
      </c>
      <c r="F40" s="1758">
        <f t="shared" si="3"/>
        <v>0</v>
      </c>
      <c r="G40" s="1757">
        <f t="shared" si="4"/>
        <v>0</v>
      </c>
      <c r="H40" s="1757">
        <f t="shared" si="5"/>
        <v>0</v>
      </c>
      <c r="I40" s="1751">
        <f>+VLOOKUP($B40,年度別調書!$A$4:$M$37,10,0)</f>
        <v>23487276785</v>
      </c>
      <c r="J40" s="1751">
        <f>+VLOOKUP($B40,年度別調書!$A$4:$M$37,13,0)</f>
        <v>105396818589</v>
      </c>
      <c r="K40" s="1757">
        <f t="shared" si="10"/>
        <v>0</v>
      </c>
      <c r="L40" s="1757">
        <f t="shared" si="11"/>
        <v>0</v>
      </c>
      <c r="M40" s="1763">
        <f t="shared" si="9"/>
        <v>0</v>
      </c>
      <c r="N40" s="1948">
        <f>+海田!N40</f>
        <v>8</v>
      </c>
      <c r="O40" s="2762"/>
      <c r="P40" s="1759" t="str">
        <f t="shared" si="7"/>
        <v>平成28年度</v>
      </c>
      <c r="Q40" s="1989">
        <v>0</v>
      </c>
      <c r="R40" s="1989">
        <v>0</v>
      </c>
      <c r="S40" s="1989">
        <v>0</v>
      </c>
      <c r="T40" s="1989">
        <v>0</v>
      </c>
      <c r="U40" s="1757"/>
      <c r="V40" s="1764"/>
      <c r="W40" s="2762"/>
      <c r="X40" s="1759" t="str">
        <f t="shared" si="8"/>
        <v>平成28年度</v>
      </c>
      <c r="Y40" s="1796">
        <v>0</v>
      </c>
      <c r="Z40" s="1796">
        <v>0</v>
      </c>
      <c r="AA40" s="1796">
        <v>0</v>
      </c>
      <c r="AB40" s="1796">
        <v>0</v>
      </c>
      <c r="AC40" s="1757"/>
    </row>
    <row r="41" spans="1:29">
      <c r="A41" s="2762"/>
      <c r="B41" s="1760" t="s">
        <v>5230</v>
      </c>
      <c r="C41" s="1758">
        <f t="shared" si="0"/>
        <v>0</v>
      </c>
      <c r="D41" s="1758">
        <f t="shared" si="1"/>
        <v>0</v>
      </c>
      <c r="E41" s="1758">
        <f t="shared" si="2"/>
        <v>0</v>
      </c>
      <c r="F41" s="1758">
        <f t="shared" si="3"/>
        <v>0</v>
      </c>
      <c r="G41" s="1757">
        <f t="shared" si="4"/>
        <v>0</v>
      </c>
      <c r="H41" s="1757">
        <f t="shared" si="5"/>
        <v>0</v>
      </c>
      <c r="I41" s="1751">
        <f>+VLOOKUP($B41,年度別調書!$A$4:$M$37,10,0)</f>
        <v>19481573724</v>
      </c>
      <c r="J41" s="1751">
        <f>+VLOOKUP($B41,年度別調書!$A$4:$M$37,13,0)</f>
        <v>99607043975</v>
      </c>
      <c r="K41" s="1757">
        <f t="shared" si="10"/>
        <v>0</v>
      </c>
      <c r="L41" s="1757">
        <f t="shared" si="11"/>
        <v>0</v>
      </c>
      <c r="M41" s="1763">
        <f t="shared" si="9"/>
        <v>0</v>
      </c>
      <c r="N41" s="1948">
        <f>+海田!N41</f>
        <v>8</v>
      </c>
      <c r="O41" s="2762"/>
      <c r="P41" s="1759" t="str">
        <f t="shared" si="7"/>
        <v>平成29年度</v>
      </c>
      <c r="Q41" s="1796">
        <v>0</v>
      </c>
      <c r="R41" s="1796">
        <v>0</v>
      </c>
      <c r="S41" s="1796">
        <v>0</v>
      </c>
      <c r="T41" s="1796">
        <v>0</v>
      </c>
      <c r="U41" s="1757"/>
      <c r="V41" s="1764"/>
      <c r="W41" s="2762"/>
      <c r="X41" s="1759" t="str">
        <f t="shared" si="8"/>
        <v>平成29年度</v>
      </c>
      <c r="Y41" s="1796">
        <v>0</v>
      </c>
      <c r="Z41" s="1796">
        <v>0</v>
      </c>
      <c r="AA41" s="1796">
        <v>0</v>
      </c>
      <c r="AB41" s="1796">
        <v>0</v>
      </c>
      <c r="AC41" s="1757"/>
    </row>
    <row r="42" spans="1:29">
      <c r="A42" s="2762"/>
      <c r="B42" s="1760" t="s">
        <v>5231</v>
      </c>
      <c r="C42" s="1758">
        <f t="shared" si="0"/>
        <v>0</v>
      </c>
      <c r="D42" s="1758">
        <f t="shared" si="1"/>
        <v>0</v>
      </c>
      <c r="E42" s="1758">
        <f t="shared" si="2"/>
        <v>0</v>
      </c>
      <c r="F42" s="1758">
        <f t="shared" si="3"/>
        <v>0</v>
      </c>
      <c r="G42" s="1757">
        <f t="shared" si="4"/>
        <v>0</v>
      </c>
      <c r="H42" s="1757">
        <f t="shared" si="5"/>
        <v>0</v>
      </c>
      <c r="I42" s="1751">
        <f>+VLOOKUP($B42,年度別調書!$A$4:$M$37,10,0)</f>
        <v>19871916207</v>
      </c>
      <c r="J42" s="1751">
        <f>+VLOOKUP($B42,年度別調書!$A$4:$M$37,13,0)</f>
        <v>98551757388</v>
      </c>
      <c r="K42" s="1757">
        <f t="shared" si="10"/>
        <v>0</v>
      </c>
      <c r="L42" s="1757">
        <f t="shared" si="11"/>
        <v>0</v>
      </c>
      <c r="M42" s="1763">
        <f t="shared" si="9"/>
        <v>0</v>
      </c>
      <c r="N42" s="1948">
        <f>+海田!N42</f>
        <v>8</v>
      </c>
      <c r="O42" s="2762"/>
      <c r="P42" s="1759" t="str">
        <f t="shared" si="7"/>
        <v>平成30年度</v>
      </c>
      <c r="Q42" s="1796">
        <v>0</v>
      </c>
      <c r="R42" s="1796">
        <v>0</v>
      </c>
      <c r="S42" s="1796">
        <v>0</v>
      </c>
      <c r="T42" s="1796">
        <v>0</v>
      </c>
      <c r="U42" s="1757"/>
      <c r="V42" s="1764"/>
      <c r="W42" s="2762"/>
      <c r="X42" s="1759" t="str">
        <f t="shared" si="8"/>
        <v>平成30年度</v>
      </c>
      <c r="Y42" s="1796">
        <v>0</v>
      </c>
      <c r="Z42" s="1796">
        <v>0</v>
      </c>
      <c r="AA42" s="1796">
        <v>0</v>
      </c>
      <c r="AB42" s="1796">
        <v>0</v>
      </c>
      <c r="AC42" s="1757"/>
    </row>
    <row r="43" spans="1:29">
      <c r="A43" s="2762"/>
      <c r="B43" s="2751" t="s">
        <v>5276</v>
      </c>
      <c r="C43" s="1758">
        <f>+Q43</f>
        <v>0</v>
      </c>
      <c r="D43" s="1758">
        <f>+R43</f>
        <v>0</v>
      </c>
      <c r="E43" s="1758">
        <f>+S43</f>
        <v>0</v>
      </c>
      <c r="F43" s="1758">
        <f>+T43</f>
        <v>0</v>
      </c>
      <c r="G43" s="1757">
        <f t="shared" si="4"/>
        <v>0</v>
      </c>
      <c r="H43" s="1757">
        <f t="shared" si="5"/>
        <v>0</v>
      </c>
      <c r="I43" s="1751">
        <f>+VLOOKUP($B43,年度別調書!$A$4:$M$37,10,0)</f>
        <v>21889958229</v>
      </c>
      <c r="J43" s="1751">
        <f>+VLOOKUP($B43,年度別調書!$A$4:$M$37,13,0)</f>
        <v>101214576030</v>
      </c>
      <c r="K43" s="1757">
        <f t="shared" si="10"/>
        <v>0</v>
      </c>
      <c r="L43" s="1757">
        <f t="shared" si="11"/>
        <v>0</v>
      </c>
      <c r="M43" s="1763">
        <f t="shared" si="9"/>
        <v>0</v>
      </c>
      <c r="N43" s="1948">
        <f>+海田!N43</f>
        <v>8</v>
      </c>
      <c r="O43" s="2762"/>
      <c r="P43" s="2767" t="str">
        <f t="shared" si="7"/>
        <v>令和元年度</v>
      </c>
      <c r="Q43" s="2769">
        <v>0</v>
      </c>
      <c r="R43" s="2769">
        <v>0</v>
      </c>
      <c r="S43" s="2769">
        <v>0</v>
      </c>
      <c r="T43" s="2769">
        <v>0</v>
      </c>
      <c r="U43" s="2771"/>
      <c r="V43" s="1764"/>
      <c r="W43" s="2762"/>
      <c r="X43" s="2767" t="str">
        <f t="shared" si="8"/>
        <v>令和元年度</v>
      </c>
      <c r="Y43" s="2769">
        <v>0</v>
      </c>
      <c r="Z43" s="2769">
        <v>0</v>
      </c>
      <c r="AA43" s="2769">
        <v>0</v>
      </c>
      <c r="AB43" s="2769">
        <v>0</v>
      </c>
      <c r="AC43" s="2771"/>
    </row>
    <row r="44" spans="1:29">
      <c r="A44" s="2762"/>
      <c r="B44" s="2752"/>
      <c r="C44" s="1758">
        <f>+Y43</f>
        <v>0</v>
      </c>
      <c r="D44" s="1758">
        <f>+Z43</f>
        <v>0</v>
      </c>
      <c r="E44" s="1758">
        <f>+AA43</f>
        <v>0</v>
      </c>
      <c r="F44" s="1758">
        <f>+AB43</f>
        <v>0</v>
      </c>
      <c r="G44" s="1757">
        <f t="shared" ref="G44" si="12">ROUND(C44/C$48*G$48,0)</f>
        <v>0</v>
      </c>
      <c r="H44" s="1757">
        <f t="shared" ref="H44" si="13">C44-G44</f>
        <v>0</v>
      </c>
      <c r="I44" s="1751">
        <f>+VLOOKUP($B43,年度別調書!$A$4:$M$37,10,0)</f>
        <v>21889958229</v>
      </c>
      <c r="J44" s="1751">
        <f>+VLOOKUP($B43,年度別調書!$A$4:$M$37,13,0)</f>
        <v>101214576030</v>
      </c>
      <c r="K44" s="1757">
        <f t="shared" ref="K44" si="14">IFERROR(ROUND(H44*I44/J44,0),0)</f>
        <v>0</v>
      </c>
      <c r="L44" s="1757">
        <f t="shared" ref="L44" si="15">H44-K44</f>
        <v>0</v>
      </c>
      <c r="M44" s="1763">
        <f t="shared" ref="M44" si="16">ROUND(C44/C$48*G$48,3)-ROUND(C44/C$48*G$48,0)</f>
        <v>0</v>
      </c>
      <c r="N44" s="1948">
        <f>+海田!N44</f>
        <v>10</v>
      </c>
      <c r="O44" s="2762"/>
      <c r="P44" s="2768"/>
      <c r="Q44" s="2770"/>
      <c r="R44" s="2770"/>
      <c r="S44" s="2770"/>
      <c r="T44" s="2770"/>
      <c r="U44" s="2772"/>
      <c r="V44" s="1764"/>
      <c r="W44" s="2762"/>
      <c r="X44" s="2768"/>
      <c r="Y44" s="2770"/>
      <c r="Z44" s="2770"/>
      <c r="AA44" s="2770"/>
      <c r="AB44" s="2770"/>
      <c r="AC44" s="2772"/>
    </row>
    <row r="45" spans="1:29">
      <c r="A45" s="2762"/>
      <c r="B45" s="1760" t="s">
        <v>5271</v>
      </c>
      <c r="C45" s="1758">
        <f t="shared" si="0"/>
        <v>0</v>
      </c>
      <c r="D45" s="1758">
        <f t="shared" si="1"/>
        <v>0</v>
      </c>
      <c r="E45" s="1758">
        <f t="shared" si="2"/>
        <v>0</v>
      </c>
      <c r="F45" s="1758">
        <f t="shared" si="3"/>
        <v>0</v>
      </c>
      <c r="G45" s="1757">
        <f t="shared" si="4"/>
        <v>0</v>
      </c>
      <c r="H45" s="1757">
        <f t="shared" si="5"/>
        <v>0</v>
      </c>
      <c r="I45" s="1751">
        <f>+VLOOKUP($B45,年度別調書!$A$4:$M$37,10,0)</f>
        <v>25568719436</v>
      </c>
      <c r="J45" s="1751">
        <f>+VLOOKUP($B45,年度別調書!$A$4:$M$37,13,0)</f>
        <v>105092548853</v>
      </c>
      <c r="K45" s="1757">
        <f t="shared" si="10"/>
        <v>0</v>
      </c>
      <c r="L45" s="1757">
        <f t="shared" si="11"/>
        <v>0</v>
      </c>
      <c r="M45" s="1763">
        <f t="shared" si="9"/>
        <v>0</v>
      </c>
      <c r="N45" s="1948">
        <f>+海田!N45</f>
        <v>10</v>
      </c>
      <c r="O45" s="2762"/>
      <c r="P45" s="1759" t="str">
        <f t="shared" si="7"/>
        <v>令和2年度</v>
      </c>
      <c r="Q45" s="1796">
        <v>0</v>
      </c>
      <c r="R45" s="1796">
        <v>0</v>
      </c>
      <c r="S45" s="1796">
        <v>0</v>
      </c>
      <c r="T45" s="1796">
        <v>0</v>
      </c>
      <c r="U45" s="1757"/>
      <c r="V45" s="1764"/>
      <c r="W45" s="2762"/>
      <c r="X45" s="1759" t="str">
        <f t="shared" si="8"/>
        <v>令和2年度</v>
      </c>
      <c r="Y45" s="1796">
        <v>0</v>
      </c>
      <c r="Z45" s="1796">
        <v>0</v>
      </c>
      <c r="AA45" s="1796">
        <v>0</v>
      </c>
      <c r="AB45" s="1796">
        <v>0</v>
      </c>
      <c r="AC45" s="1757"/>
    </row>
    <row r="46" spans="1:29">
      <c r="A46" s="2762"/>
      <c r="B46" s="1760" t="s">
        <v>5272</v>
      </c>
      <c r="C46" s="1758">
        <f t="shared" si="0"/>
        <v>0</v>
      </c>
      <c r="D46" s="1758">
        <f t="shared" si="1"/>
        <v>0</v>
      </c>
      <c r="E46" s="1758">
        <f t="shared" si="2"/>
        <v>0</v>
      </c>
      <c r="F46" s="1758">
        <f t="shared" si="3"/>
        <v>0</v>
      </c>
      <c r="G46" s="1757">
        <f t="shared" si="4"/>
        <v>0</v>
      </c>
      <c r="H46" s="1757">
        <f t="shared" si="5"/>
        <v>0</v>
      </c>
      <c r="I46" s="1751">
        <f>+VLOOKUP($B46,年度別調書!$A$4:$M$37,10,0)</f>
        <v>25732995336</v>
      </c>
      <c r="J46" s="1751">
        <f>+VLOOKUP($B46,年度別調書!$A$4:$M$37,13,0)</f>
        <v>106246537477</v>
      </c>
      <c r="K46" s="1757">
        <f t="shared" si="10"/>
        <v>0</v>
      </c>
      <c r="L46" s="1757">
        <f t="shared" si="11"/>
        <v>0</v>
      </c>
      <c r="M46" s="1763">
        <f t="shared" si="9"/>
        <v>0</v>
      </c>
      <c r="N46" s="1948">
        <f>+海田!N46</f>
        <v>10</v>
      </c>
      <c r="O46" s="2762"/>
      <c r="P46" s="1759" t="str">
        <f t="shared" si="7"/>
        <v>令和3年度</v>
      </c>
      <c r="Q46" s="1796">
        <v>0</v>
      </c>
      <c r="R46" s="1796">
        <v>0</v>
      </c>
      <c r="S46" s="1796">
        <v>0</v>
      </c>
      <c r="T46" s="1796">
        <v>0</v>
      </c>
      <c r="U46" s="1757"/>
      <c r="V46" s="1764"/>
      <c r="W46" s="2762"/>
      <c r="X46" s="1759" t="str">
        <f t="shared" si="8"/>
        <v>令和3年度</v>
      </c>
      <c r="Y46" s="1796">
        <v>0</v>
      </c>
      <c r="Z46" s="1796">
        <v>0</v>
      </c>
      <c r="AA46" s="1796">
        <v>0</v>
      </c>
      <c r="AB46" s="1796">
        <v>0</v>
      </c>
      <c r="AC46" s="1757"/>
    </row>
    <row r="47" spans="1:29">
      <c r="A47" s="2762"/>
      <c r="B47" s="1760" t="s">
        <v>5273</v>
      </c>
      <c r="C47" s="1758">
        <f t="shared" si="0"/>
        <v>0</v>
      </c>
      <c r="D47" s="1758">
        <f t="shared" si="1"/>
        <v>0</v>
      </c>
      <c r="E47" s="1758">
        <f t="shared" si="2"/>
        <v>0</v>
      </c>
      <c r="F47" s="1758">
        <f t="shared" si="3"/>
        <v>0</v>
      </c>
      <c r="G47" s="1757">
        <f t="shared" si="4"/>
        <v>0</v>
      </c>
      <c r="H47" s="1757">
        <f t="shared" si="5"/>
        <v>0</v>
      </c>
      <c r="I47" s="1751">
        <f>+VLOOKUP($B47,年度別調書!$A$4:$M$37,10,0)</f>
        <v>22974897869</v>
      </c>
      <c r="J47" s="1751">
        <f>+VLOOKUP($B47,年度別調書!$A$4:$M$37,13,0)</f>
        <v>102361733085</v>
      </c>
      <c r="K47" s="1757">
        <f t="shared" si="10"/>
        <v>0</v>
      </c>
      <c r="L47" s="1757">
        <f t="shared" si="11"/>
        <v>0</v>
      </c>
      <c r="M47" s="1763">
        <f t="shared" si="9"/>
        <v>0</v>
      </c>
      <c r="N47" s="1948">
        <f>+海田!N47</f>
        <v>10</v>
      </c>
      <c r="O47" s="2762"/>
      <c r="P47" s="1759" t="str">
        <f t="shared" si="7"/>
        <v>令和4年度</v>
      </c>
      <c r="Q47" s="1796">
        <v>0</v>
      </c>
      <c r="R47" s="1796">
        <v>0</v>
      </c>
      <c r="S47" s="1796">
        <v>0</v>
      </c>
      <c r="T47" s="1796">
        <v>0</v>
      </c>
      <c r="U47" s="1757"/>
      <c r="V47" s="1764"/>
      <c r="W47" s="2762"/>
      <c r="X47" s="1759" t="str">
        <f t="shared" si="8"/>
        <v>令和4年度</v>
      </c>
      <c r="Y47" s="1796">
        <v>0</v>
      </c>
      <c r="Z47" s="1796">
        <v>0</v>
      </c>
      <c r="AA47" s="1796">
        <v>0</v>
      </c>
      <c r="AB47" s="1796">
        <v>0</v>
      </c>
      <c r="AC47" s="1757"/>
    </row>
    <row r="48" spans="1:29">
      <c r="A48" s="2763"/>
      <c r="B48" s="1761" t="s">
        <v>4871</v>
      </c>
      <c r="C48" s="1762">
        <f>SUM(C6:C47)</f>
        <v>3466667</v>
      </c>
      <c r="D48" s="1762">
        <f>SUM(D6:D47)</f>
        <v>431255</v>
      </c>
      <c r="E48" s="1762">
        <f>SUM(E6:E47)</f>
        <v>3897922</v>
      </c>
      <c r="F48" s="1762">
        <f>SUM(F6:F47)</f>
        <v>343060</v>
      </c>
      <c r="G48" s="1747">
        <f>+U48+AC48</f>
        <v>299390</v>
      </c>
      <c r="H48" s="1762">
        <f>SUM(H6:H47)</f>
        <v>3167277</v>
      </c>
      <c r="I48" s="1681"/>
      <c r="J48" s="1681"/>
      <c r="K48" s="1762">
        <f>SUM(K6:K47)</f>
        <v>1508275</v>
      </c>
      <c r="L48" s="1762">
        <f>SUM(L6:L47)</f>
        <v>1659002</v>
      </c>
      <c r="M48" s="1762"/>
      <c r="N48" s="1948">
        <f>+海田!N48</f>
        <v>0</v>
      </c>
      <c r="O48" s="2763"/>
      <c r="P48" s="1761" t="s">
        <v>4871</v>
      </c>
      <c r="Q48" s="1762">
        <f>SUM(Q6:Q47)</f>
        <v>1721112</v>
      </c>
      <c r="R48" s="1762">
        <f>SUM(R6:R47)</f>
        <v>227849</v>
      </c>
      <c r="S48" s="1762">
        <f>SUM(S6:S47)</f>
        <v>1948961</v>
      </c>
      <c r="T48" s="1762">
        <f>SUM(T6:T47)</f>
        <v>171530</v>
      </c>
      <c r="U48" s="1876">
        <v>148795</v>
      </c>
      <c r="V48" s="1755"/>
      <c r="W48" s="2763"/>
      <c r="X48" s="1761" t="s">
        <v>4871</v>
      </c>
      <c r="Y48" s="1762">
        <f>SUM(Y6:Y47)</f>
        <v>1745555</v>
      </c>
      <c r="Z48" s="1762">
        <f>SUM(Z6:Z47)</f>
        <v>203406</v>
      </c>
      <c r="AA48" s="1762">
        <f>SUM(AA6:AA47)</f>
        <v>1948961</v>
      </c>
      <c r="AB48" s="1762">
        <f>SUM(AB6:AB47)</f>
        <v>171530</v>
      </c>
      <c r="AC48" s="1876">
        <v>150595</v>
      </c>
    </row>
    <row r="49" spans="7:29">
      <c r="G49" s="1750">
        <f>G48-SUM(G6:G47)</f>
        <v>0</v>
      </c>
      <c r="K49" s="1715"/>
      <c r="O49" s="1666"/>
      <c r="U49" s="1750"/>
      <c r="AC49" s="1750"/>
    </row>
    <row r="50" spans="7:29">
      <c r="J50" s="1949" t="s">
        <v>5181</v>
      </c>
      <c r="K50" s="1950" t="s">
        <v>5180</v>
      </c>
    </row>
    <row r="51" spans="7:29">
      <c r="J51" s="1950">
        <v>3</v>
      </c>
      <c r="K51" s="1951">
        <f>+SUMIFS($K$4:$K$48,$N$4:$N$48,$J51)</f>
        <v>805124</v>
      </c>
    </row>
    <row r="52" spans="7:29">
      <c r="J52" s="1950">
        <v>5</v>
      </c>
      <c r="K52" s="1951">
        <f>+SUMIFS($K$4:$K$48,$N$4:$N$48,$J52)</f>
        <v>703151</v>
      </c>
    </row>
    <row r="53" spans="7:29">
      <c r="J53" s="1950">
        <v>8</v>
      </c>
      <c r="K53" s="1951">
        <f>+SUMIFS($K$4:$K$48,$N$4:$N$48,$J53)</f>
        <v>0</v>
      </c>
    </row>
    <row r="54" spans="7:29">
      <c r="J54" s="1950">
        <v>10</v>
      </c>
      <c r="K54" s="1951">
        <f>+SUMIFS($K$4:$K$48,$N$4:$N$48,$J54)</f>
        <v>0</v>
      </c>
    </row>
    <row r="55" spans="7:29">
      <c r="J55" s="1949" t="s">
        <v>5182</v>
      </c>
      <c r="K55" s="1952">
        <f>SUM(K51:K54)</f>
        <v>1508275</v>
      </c>
    </row>
    <row r="56" spans="7:29">
      <c r="J56" s="1949" t="s">
        <v>5183</v>
      </c>
      <c r="K56" s="1952">
        <f>+K48-K55</f>
        <v>0</v>
      </c>
    </row>
  </sheetData>
  <mergeCells count="38">
    <mergeCell ref="S43:S44"/>
    <mergeCell ref="R43:R44"/>
    <mergeCell ref="Q43:Q44"/>
    <mergeCell ref="P43:P44"/>
    <mergeCell ref="B43:B44"/>
    <mergeCell ref="AC43:AC44"/>
    <mergeCell ref="AB43:AB44"/>
    <mergeCell ref="AA43:AA44"/>
    <mergeCell ref="Z43:Z44"/>
    <mergeCell ref="Y43:Y44"/>
    <mergeCell ref="C4:E4"/>
    <mergeCell ref="F4:F5"/>
    <mergeCell ref="G4:G5"/>
    <mergeCell ref="A6:A48"/>
    <mergeCell ref="O6:O48"/>
    <mergeCell ref="A4:A5"/>
    <mergeCell ref="B4:B5"/>
    <mergeCell ref="W6:W48"/>
    <mergeCell ref="M4:M5"/>
    <mergeCell ref="AB4:AB5"/>
    <mergeCell ref="H4:H5"/>
    <mergeCell ref="T4:T5"/>
    <mergeCell ref="U4:U5"/>
    <mergeCell ref="I4:I5"/>
    <mergeCell ref="J4:J5"/>
    <mergeCell ref="K4:K5"/>
    <mergeCell ref="L4:L5"/>
    <mergeCell ref="O4:O5"/>
    <mergeCell ref="P4:P5"/>
    <mergeCell ref="N4:N5"/>
    <mergeCell ref="X43:X44"/>
    <mergeCell ref="U43:U44"/>
    <mergeCell ref="T43:T44"/>
    <mergeCell ref="AC4:AC5"/>
    <mergeCell ref="W4:W5"/>
    <mergeCell ref="X4:X5"/>
    <mergeCell ref="Y4:AA4"/>
    <mergeCell ref="Q4:S4"/>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w6_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E47" sqref="E47"/>
    </sheetView>
  </sheetViews>
  <sheetFormatPr defaultRowHeight="13.5"/>
  <cols>
    <col min="1" max="1" width="2.625" customWidth="1" style="1643"/>
    <col min="2" max="2" width="11.625" bestFit="1" customWidth="1" style="1643"/>
    <col min="3" max="5" width="13.125" customWidth="1" style="1643"/>
    <col min="6" max="7" width="11.625" customWidth="1" style="1643"/>
    <col min="8" max="8" width="13.125" customWidth="1" style="1643"/>
    <col min="9" max="10" width="13.75" customWidth="1" style="1643"/>
    <col min="11" max="12" width="13.125" customWidth="1" style="1643"/>
    <col min="13" max="13" width="7.625" customWidth="1" style="1643"/>
    <col min="14" max="14" width="3.125" customWidth="1" style="1643"/>
    <col min="15" max="15" width="2.625" customWidth="1" style="1643"/>
    <col min="16" max="21" width="11.625" customWidth="1" style="1643"/>
    <col min="22" max="22" width="3.125" customWidth="1" style="1643"/>
    <col min="23" max="23" width="2.625" customWidth="1" style="1643"/>
    <col min="24" max="24" width="11.625" bestFit="1" customWidth="1" style="1643"/>
    <col min="25" max="29" width="11.625" customWidth="1" style="1643"/>
    <col min="30" max="30" width="3.125" customWidth="1" style="1643"/>
  </cols>
  <sheetData>
    <row r="2" spans="1:29">
      <c r="A2" t="str" s="1643">
        <f>+"令和"&amp;MID('総括表(不課税)'!A2,3,1)&amp;"年度決算　廿日市市"</f>
        <v>令和５年度決算　廿日市市</v>
      </c>
      <c r="O2" t="str" s="1643">
        <f>+A2</f>
        <v>令和５年度決算　廿日市市</v>
      </c>
      <c r="T2" s="1730"/>
      <c r="U2" s="1730"/>
    </row>
    <row r="4" spans="1:29" ht="13.5" customHeight="1">
      <c r="A4" s="2747" t="s">
        <v>4825</v>
      </c>
      <c r="B4" s="2747" t="s">
        <v>5108</v>
      </c>
      <c r="C4" s="2764" t="s">
        <v>4867</v>
      </c>
      <c r="D4" s="2764"/>
      <c r="E4" s="2764"/>
      <c r="F4" s="2750" t="s">
        <v>4869</v>
      </c>
      <c r="G4" s="2750" t="s">
        <v>4872</v>
      </c>
      <c r="H4" s="2750" t="s">
        <v>4918</v>
      </c>
      <c r="I4" s="2739" t="s">
        <v>4842</v>
      </c>
      <c r="J4" s="2739" t="s">
        <v>4844</v>
      </c>
      <c r="K4" s="2741" t="s">
        <v>4868</v>
      </c>
      <c r="L4" s="2743" t="s">
        <v>4794</v>
      </c>
      <c r="M4" s="2743" t="s">
        <v>5201</v>
      </c>
      <c r="N4" s="2765" t="s">
        <v>5179</v>
      </c>
      <c r="O4" s="2747" t="s">
        <v>4825</v>
      </c>
      <c r="P4" s="2747" t="s">
        <v>4870</v>
      </c>
      <c r="Q4" s="2764" t="s">
        <v>4867</v>
      </c>
      <c r="R4" s="2764"/>
      <c r="S4" s="2764"/>
      <c r="T4" s="2750" t="s">
        <v>4869</v>
      </c>
      <c r="U4" s="2750" t="s">
        <v>4872</v>
      </c>
      <c r="W4" s="2747" t="s">
        <v>4825</v>
      </c>
      <c r="X4" s="2747" t="s">
        <v>4870</v>
      </c>
      <c r="Y4" s="2764" t="s">
        <v>4867</v>
      </c>
      <c r="Z4" s="2764"/>
      <c r="AA4" s="2764"/>
      <c r="AB4" s="2750" t="s">
        <v>4869</v>
      </c>
      <c r="AC4" s="2750" t="s">
        <v>4872</v>
      </c>
    </row>
    <row r="5" spans="1:29" ht="13.5" customHeight="1">
      <c r="A5" s="2748"/>
      <c r="B5" s="2749"/>
      <c r="C5" s="1669" t="s">
        <v>4866</v>
      </c>
      <c r="D5" s="1669" t="s">
        <v>5105</v>
      </c>
      <c r="E5" s="1669" t="s">
        <v>4864</v>
      </c>
      <c r="F5" s="2742"/>
      <c r="G5" s="2760"/>
      <c r="H5" s="2742"/>
      <c r="I5" s="2740"/>
      <c r="J5" s="2740"/>
      <c r="K5" s="2742"/>
      <c r="L5" s="2744"/>
      <c r="M5" s="2744"/>
      <c r="N5" s="2766"/>
      <c r="O5" s="2748"/>
      <c r="P5" s="2749"/>
      <c r="Q5" s="1669" t="s">
        <v>4866</v>
      </c>
      <c r="R5" s="1669" t="s">
        <v>5105</v>
      </c>
      <c r="S5" s="1669" t="s">
        <v>4864</v>
      </c>
      <c r="T5" s="2742"/>
      <c r="U5" s="2760"/>
      <c r="V5" s="1756"/>
      <c r="W5" s="2748"/>
      <c r="X5" s="2749"/>
      <c r="Y5" s="1669" t="s">
        <v>4866</v>
      </c>
      <c r="Z5" s="1669" t="s">
        <v>5105</v>
      </c>
      <c r="AA5" s="1669" t="s">
        <v>4864</v>
      </c>
      <c r="AB5" s="2742"/>
      <c r="AC5" s="2760"/>
    </row>
    <row r="6" spans="1:29" ht="13.5" customHeight="1">
      <c r="A6" s="2761" t="s">
        <v>5107</v>
      </c>
      <c r="B6" s="1759" t="s">
        <v>5232</v>
      </c>
      <c r="C6" s="1758">
        <f t="shared" ref="C6:C47" si="0">+Q6+Y6</f>
        <v>0</v>
      </c>
      <c r="D6" s="1758">
        <f t="shared" ref="D6:D47" si="1">+R6+Z6</f>
        <v>0</v>
      </c>
      <c r="E6" s="1758">
        <f t="shared" ref="E6:E47" si="2">+S6+AA6</f>
        <v>0</v>
      </c>
      <c r="F6" s="1758">
        <f t="shared" ref="F6:F47" si="3">+T6+AB6</f>
        <v>0</v>
      </c>
      <c r="G6" s="1757">
        <f t="shared" ref="G6:G47" si="4">ROUND(C6/C$48*G$48,0)</f>
        <v>0</v>
      </c>
      <c r="H6" s="1757">
        <f t="shared" ref="H6:H47" si="5">C6-G6</f>
        <v>0</v>
      </c>
      <c r="I6" s="1681"/>
      <c r="J6" s="1681"/>
      <c r="K6" s="1757">
        <v>0</v>
      </c>
      <c r="L6" s="1757">
        <f t="shared" ref="L6:L12" si="6">H6-K6</f>
        <v>0</v>
      </c>
      <c r="M6" s="1763">
        <f>ROUND(C6/C$48*G$48,3)-ROUND(C6/C$48*G$48,0)</f>
        <v>0</v>
      </c>
      <c r="N6" s="1948">
        <f>+海田!N6</f>
        <v>0</v>
      </c>
      <c r="O6" s="2761" t="s">
        <v>4887</v>
      </c>
      <c r="P6" s="1759" t="str">
        <f>+B6</f>
        <v>昭和57年度</v>
      </c>
      <c r="Q6" s="1991">
        <v>0</v>
      </c>
      <c r="R6" s="1991">
        <v>0</v>
      </c>
      <c r="S6" s="1991">
        <v>0</v>
      </c>
      <c r="T6" s="1991">
        <v>0</v>
      </c>
      <c r="U6" s="1757"/>
      <c r="V6" s="1763"/>
      <c r="W6" s="2761" t="s">
        <v>5239</v>
      </c>
      <c r="X6" s="1759" t="str">
        <f>+B6</f>
        <v>昭和57年度</v>
      </c>
      <c r="Y6" s="1992">
        <v>0</v>
      </c>
      <c r="Z6" s="1992">
        <v>0</v>
      </c>
      <c r="AA6" s="1992">
        <v>0</v>
      </c>
      <c r="AB6" s="1992">
        <v>0</v>
      </c>
      <c r="AC6" s="1757"/>
    </row>
    <row r="7" spans="1:29">
      <c r="A7" s="2762"/>
      <c r="B7" s="1759" t="s">
        <v>5233</v>
      </c>
      <c r="C7" s="1758">
        <f t="shared" si="0"/>
        <v>0</v>
      </c>
      <c r="D7" s="1758">
        <f t="shared" si="1"/>
        <v>0</v>
      </c>
      <c r="E7" s="1758">
        <f t="shared" si="2"/>
        <v>0</v>
      </c>
      <c r="F7" s="1758">
        <f t="shared" si="3"/>
        <v>0</v>
      </c>
      <c r="G7" s="1757">
        <f t="shared" si="4"/>
        <v>0</v>
      </c>
      <c r="H7" s="1757">
        <f t="shared" si="5"/>
        <v>0</v>
      </c>
      <c r="I7" s="1681"/>
      <c r="J7" s="1681"/>
      <c r="K7" s="1757">
        <v>0</v>
      </c>
      <c r="L7" s="1757">
        <f t="shared" si="6"/>
        <v>0</v>
      </c>
      <c r="M7" s="1763">
        <f>ROUND(C7/C$48*G$48,3)-ROUND(C7/C$48*G$48,0)</f>
        <v>0</v>
      </c>
      <c r="N7" s="1948">
        <f>+海田!N7</f>
        <v>0</v>
      </c>
      <c r="O7" s="2762"/>
      <c r="P7" s="1759" t="str">
        <f t="shared" ref="P7:P47" si="7">+B7</f>
        <v>昭和58年度</v>
      </c>
      <c r="Q7" s="1991">
        <v>0</v>
      </c>
      <c r="R7" s="1991">
        <v>0</v>
      </c>
      <c r="S7" s="1991">
        <v>0</v>
      </c>
      <c r="T7" s="1991">
        <v>0</v>
      </c>
      <c r="U7" s="1757"/>
      <c r="V7" s="1764"/>
      <c r="W7" s="2762"/>
      <c r="X7" s="1759" t="str">
        <f t="shared" ref="X7:X47" si="8">+B7</f>
        <v>昭和58年度</v>
      </c>
      <c r="Y7" s="1992">
        <v>0</v>
      </c>
      <c r="Z7" s="1992">
        <v>0</v>
      </c>
      <c r="AA7" s="1992">
        <v>0</v>
      </c>
      <c r="AB7" s="1992">
        <v>0</v>
      </c>
      <c r="AC7" s="1757"/>
    </row>
    <row r="8" spans="1:29">
      <c r="A8" s="2762"/>
      <c r="B8" s="1759" t="s">
        <v>5234</v>
      </c>
      <c r="C8" s="1758">
        <f t="shared" si="0"/>
        <v>0</v>
      </c>
      <c r="D8" s="1758">
        <f t="shared" si="1"/>
        <v>0</v>
      </c>
      <c r="E8" s="1758">
        <f t="shared" si="2"/>
        <v>0</v>
      </c>
      <c r="F8" s="1758">
        <f t="shared" si="3"/>
        <v>0</v>
      </c>
      <c r="G8" s="1757">
        <f t="shared" si="4"/>
        <v>0</v>
      </c>
      <c r="H8" s="1757">
        <f t="shared" si="5"/>
        <v>0</v>
      </c>
      <c r="I8" s="1681"/>
      <c r="J8" s="1681"/>
      <c r="K8" s="1757">
        <v>0</v>
      </c>
      <c r="L8" s="1757">
        <f t="shared" si="6"/>
        <v>0</v>
      </c>
      <c r="M8" s="1763">
        <f>ROUND(C8/C$48*G$48,3)-ROUND(C8/C$48*G$48,0)</f>
        <v>0</v>
      </c>
      <c r="N8" s="1948">
        <f>+海田!N8</f>
        <v>0</v>
      </c>
      <c r="O8" s="2762"/>
      <c r="P8" s="1759" t="str">
        <f t="shared" si="7"/>
        <v>昭和59年度</v>
      </c>
      <c r="Q8" s="1991">
        <v>0</v>
      </c>
      <c r="R8" s="1991">
        <v>0</v>
      </c>
      <c r="S8" s="1991">
        <v>0</v>
      </c>
      <c r="T8" s="1991">
        <v>0</v>
      </c>
      <c r="U8" s="1757"/>
      <c r="V8" s="1764"/>
      <c r="W8" s="2762"/>
      <c r="X8" s="1759" t="str">
        <f t="shared" si="8"/>
        <v>昭和59年度</v>
      </c>
      <c r="Y8" s="1992">
        <v>0</v>
      </c>
      <c r="Z8" s="1992">
        <v>0</v>
      </c>
      <c r="AA8" s="1992">
        <v>0</v>
      </c>
      <c r="AB8" s="1992">
        <v>0</v>
      </c>
      <c r="AC8" s="1757"/>
    </row>
    <row r="9" spans="1:29">
      <c r="A9" s="2762"/>
      <c r="B9" s="1759" t="s">
        <v>5235</v>
      </c>
      <c r="C9" s="1758">
        <f t="shared" si="0"/>
        <v>0</v>
      </c>
      <c r="D9" s="1758">
        <f t="shared" si="1"/>
        <v>0</v>
      </c>
      <c r="E9" s="1758">
        <f t="shared" si="2"/>
        <v>0</v>
      </c>
      <c r="F9" s="1758">
        <f t="shared" si="3"/>
        <v>0</v>
      </c>
      <c r="G9" s="1757">
        <f t="shared" si="4"/>
        <v>0</v>
      </c>
      <c r="H9" s="1757">
        <f t="shared" si="5"/>
        <v>0</v>
      </c>
      <c r="I9" s="1681"/>
      <c r="J9" s="1681"/>
      <c r="K9" s="1757">
        <v>0</v>
      </c>
      <c r="L9" s="1757">
        <f t="shared" si="6"/>
        <v>0</v>
      </c>
      <c r="M9" s="1763">
        <f>ROUND(C9/C$48*G$48,3)-ROUND(C9/C$48*G$48,0)</f>
        <v>0</v>
      </c>
      <c r="N9" s="1948">
        <f>+海田!N9</f>
        <v>0</v>
      </c>
      <c r="O9" s="2762"/>
      <c r="P9" s="1759" t="str">
        <f t="shared" si="7"/>
        <v>昭和60年度</v>
      </c>
      <c r="Q9" s="1991">
        <v>0</v>
      </c>
      <c r="R9" s="1991">
        <v>0</v>
      </c>
      <c r="S9" s="1991">
        <v>0</v>
      </c>
      <c r="T9" s="1991">
        <v>0</v>
      </c>
      <c r="U9" s="1757"/>
      <c r="V9" s="1764"/>
      <c r="W9" s="2762"/>
      <c r="X9" s="1759" t="str">
        <f t="shared" si="8"/>
        <v>昭和60年度</v>
      </c>
      <c r="Y9" s="1992">
        <v>0</v>
      </c>
      <c r="Z9" s="1992">
        <v>0</v>
      </c>
      <c r="AA9" s="1992">
        <v>0</v>
      </c>
      <c r="AB9" s="1992">
        <v>0</v>
      </c>
      <c r="AC9" s="1757"/>
    </row>
    <row r="10" spans="1:29">
      <c r="A10" s="2762"/>
      <c r="B10" s="1759" t="s">
        <v>5236</v>
      </c>
      <c r="C10" s="1758">
        <f t="shared" si="0"/>
        <v>0</v>
      </c>
      <c r="D10" s="1758">
        <f t="shared" si="1"/>
        <v>0</v>
      </c>
      <c r="E10" s="1758">
        <f t="shared" si="2"/>
        <v>0</v>
      </c>
      <c r="F10" s="1758">
        <f t="shared" si="3"/>
        <v>0</v>
      </c>
      <c r="G10" s="1757">
        <f t="shared" si="4"/>
        <v>0</v>
      </c>
      <c r="H10" s="1757">
        <f t="shared" si="5"/>
        <v>0</v>
      </c>
      <c r="I10" s="1681"/>
      <c r="J10" s="1681"/>
      <c r="K10" s="1757">
        <v>0</v>
      </c>
      <c r="L10" s="1757">
        <f t="shared" si="6"/>
        <v>0</v>
      </c>
      <c r="M10" s="1763">
        <f t="shared" ref="M10:M47" si="9">ROUND(C10/C$48*G$48,3)-ROUND(C10/C$48*G$48,0)</f>
        <v>0</v>
      </c>
      <c r="N10" s="1948">
        <f>+海田!N10</f>
        <v>0</v>
      </c>
      <c r="O10" s="2762"/>
      <c r="P10" s="1759" t="str">
        <f t="shared" si="7"/>
        <v>昭和61年度</v>
      </c>
      <c r="Q10" s="1991">
        <v>0</v>
      </c>
      <c r="R10" s="1991">
        <v>0</v>
      </c>
      <c r="S10" s="1991">
        <v>0</v>
      </c>
      <c r="T10" s="1991">
        <v>0</v>
      </c>
      <c r="U10" s="1757"/>
      <c r="V10" s="1764"/>
      <c r="W10" s="2762"/>
      <c r="X10" s="1759" t="str">
        <f t="shared" si="8"/>
        <v>昭和61年度</v>
      </c>
      <c r="Y10" s="1992">
        <v>0</v>
      </c>
      <c r="Z10" s="1992">
        <v>0</v>
      </c>
      <c r="AA10" s="1992">
        <v>0</v>
      </c>
      <c r="AB10" s="1992">
        <v>0</v>
      </c>
      <c r="AC10" s="1757"/>
    </row>
    <row r="11" spans="1:29">
      <c r="A11" s="2762"/>
      <c r="B11" s="1759" t="s">
        <v>5237</v>
      </c>
      <c r="C11" s="1758">
        <f t="shared" si="0"/>
        <v>0</v>
      </c>
      <c r="D11" s="1758">
        <f t="shared" si="1"/>
        <v>0</v>
      </c>
      <c r="E11" s="1758">
        <f t="shared" si="2"/>
        <v>0</v>
      </c>
      <c r="F11" s="1758">
        <f t="shared" si="3"/>
        <v>0</v>
      </c>
      <c r="G11" s="1757">
        <f t="shared" si="4"/>
        <v>0</v>
      </c>
      <c r="H11" s="1757">
        <f t="shared" si="5"/>
        <v>0</v>
      </c>
      <c r="I11" s="1681"/>
      <c r="J11" s="1681"/>
      <c r="K11" s="1757">
        <v>0</v>
      </c>
      <c r="L11" s="1757">
        <f t="shared" si="6"/>
        <v>0</v>
      </c>
      <c r="M11" s="1763">
        <f t="shared" si="9"/>
        <v>0</v>
      </c>
      <c r="N11" s="1948">
        <f>+海田!N11</f>
        <v>0</v>
      </c>
      <c r="O11" s="2762"/>
      <c r="P11" s="1759" t="str">
        <f t="shared" si="7"/>
        <v>昭和62年度</v>
      </c>
      <c r="Q11" s="1991">
        <v>0</v>
      </c>
      <c r="R11" s="1991">
        <v>0</v>
      </c>
      <c r="S11" s="1991">
        <v>0</v>
      </c>
      <c r="T11" s="1991">
        <v>0</v>
      </c>
      <c r="U11" s="1757"/>
      <c r="V11" s="1764"/>
      <c r="W11" s="2762"/>
      <c r="X11" s="1759" t="str">
        <f t="shared" si="8"/>
        <v>昭和62年度</v>
      </c>
      <c r="Y11" s="1992">
        <v>0</v>
      </c>
      <c r="Z11" s="1992">
        <v>0</v>
      </c>
      <c r="AA11" s="1992">
        <v>0</v>
      </c>
      <c r="AB11" s="1992">
        <v>0</v>
      </c>
      <c r="AC11" s="1757"/>
    </row>
    <row r="12" spans="1:29">
      <c r="A12" s="2762"/>
      <c r="B12" s="1759" t="s">
        <v>5238</v>
      </c>
      <c r="C12" s="1758">
        <f t="shared" si="0"/>
        <v>0</v>
      </c>
      <c r="D12" s="1758">
        <f t="shared" si="1"/>
        <v>0</v>
      </c>
      <c r="E12" s="1758">
        <f t="shared" si="2"/>
        <v>0</v>
      </c>
      <c r="F12" s="1758">
        <f t="shared" si="3"/>
        <v>0</v>
      </c>
      <c r="G12" s="1757">
        <f t="shared" si="4"/>
        <v>0</v>
      </c>
      <c r="H12" s="1757">
        <f t="shared" si="5"/>
        <v>0</v>
      </c>
      <c r="I12" s="1681"/>
      <c r="J12" s="1681"/>
      <c r="K12" s="1757">
        <v>0</v>
      </c>
      <c r="L12" s="1757">
        <f t="shared" si="6"/>
        <v>0</v>
      </c>
      <c r="M12" s="1763">
        <f t="shared" si="9"/>
        <v>0</v>
      </c>
      <c r="N12" s="1948">
        <f>+海田!N12</f>
        <v>0</v>
      </c>
      <c r="O12" s="2762"/>
      <c r="P12" s="1759" t="str">
        <f t="shared" si="7"/>
        <v>昭和63年度</v>
      </c>
      <c r="Q12" s="1991">
        <v>0</v>
      </c>
      <c r="R12" s="1991">
        <v>0</v>
      </c>
      <c r="S12" s="1991">
        <v>0</v>
      </c>
      <c r="T12" s="1991">
        <v>0</v>
      </c>
      <c r="U12" s="1757"/>
      <c r="V12" s="1764"/>
      <c r="W12" s="2762"/>
      <c r="X12" s="1759" t="str">
        <f t="shared" si="8"/>
        <v>昭和63年度</v>
      </c>
      <c r="Y12" s="1992">
        <v>0</v>
      </c>
      <c r="Z12" s="1992">
        <v>0</v>
      </c>
      <c r="AA12" s="1992">
        <v>0</v>
      </c>
      <c r="AB12" s="1992">
        <v>0</v>
      </c>
      <c r="AC12" s="1757"/>
    </row>
    <row r="13" spans="1:29">
      <c r="A13" s="2762"/>
      <c r="B13" s="1760" t="s">
        <v>5202</v>
      </c>
      <c r="C13" s="1758">
        <f t="shared" si="0"/>
        <v>0</v>
      </c>
      <c r="D13" s="1758">
        <f t="shared" si="1"/>
        <v>0</v>
      </c>
      <c r="E13" s="1758">
        <f t="shared" si="2"/>
        <v>0</v>
      </c>
      <c r="F13" s="1758">
        <f t="shared" si="3"/>
        <v>0</v>
      </c>
      <c r="G13" s="1757">
        <f t="shared" si="4"/>
        <v>0</v>
      </c>
      <c r="H13" s="1757">
        <f t="shared" si="5"/>
        <v>0</v>
      </c>
      <c r="I13" s="1751">
        <f>+VLOOKUP($B13,年度別調書!$A$4:$M$37,10,0)</f>
        <v>30622955900</v>
      </c>
      <c r="J13" s="1751">
        <f>+VLOOKUP($B13,年度別調書!$A$4:$M$37,13,0)</f>
        <v>62903610340</v>
      </c>
      <c r="K13" s="1757">
        <f>IFERROR(ROUND(H13*I13/J13,0),0)</f>
        <v>0</v>
      </c>
      <c r="L13" s="1757">
        <f>H13-K13</f>
        <v>0</v>
      </c>
      <c r="M13" s="1763">
        <f t="shared" si="9"/>
        <v>0</v>
      </c>
      <c r="N13" s="1948">
        <f>+海田!N13</f>
        <v>3</v>
      </c>
      <c r="O13" s="2762"/>
      <c r="P13" s="1759" t="str">
        <f t="shared" si="7"/>
        <v>平成元年度</v>
      </c>
      <c r="Q13" s="1991">
        <v>0</v>
      </c>
      <c r="R13" s="1991">
        <v>0</v>
      </c>
      <c r="S13" s="1991">
        <v>0</v>
      </c>
      <c r="T13" s="1991">
        <v>0</v>
      </c>
      <c r="U13" s="1757"/>
      <c r="V13" s="1764"/>
      <c r="W13" s="2762"/>
      <c r="X13" s="1759" t="str">
        <f t="shared" si="8"/>
        <v>平成元年度</v>
      </c>
      <c r="Y13" s="1992">
        <v>0</v>
      </c>
      <c r="Z13" s="1992">
        <v>0</v>
      </c>
      <c r="AA13" s="1992">
        <v>0</v>
      </c>
      <c r="AB13" s="1992">
        <v>0</v>
      </c>
      <c r="AC13" s="1757"/>
    </row>
    <row r="14" spans="1:29">
      <c r="A14" s="2762"/>
      <c r="B14" s="1760" t="s">
        <v>5203</v>
      </c>
      <c r="C14" s="1758">
        <f t="shared" si="0"/>
        <v>0</v>
      </c>
      <c r="D14" s="1758">
        <f t="shared" si="1"/>
        <v>0</v>
      </c>
      <c r="E14" s="1758">
        <f t="shared" si="2"/>
        <v>0</v>
      </c>
      <c r="F14" s="1758">
        <f t="shared" si="3"/>
        <v>0</v>
      </c>
      <c r="G14" s="1757">
        <f t="shared" si="4"/>
        <v>0</v>
      </c>
      <c r="H14" s="1757">
        <f t="shared" si="5"/>
        <v>0</v>
      </c>
      <c r="I14" s="1751">
        <f>+VLOOKUP($B14,年度別調書!$A$4:$M$37,10,0)</f>
        <v>36785805618</v>
      </c>
      <c r="J14" s="1751">
        <f>+VLOOKUP($B14,年度別調書!$A$4:$M$37,13,0)</f>
        <v>65207626364</v>
      </c>
      <c r="K14" s="1757">
        <f t="shared" ref="K14:K47" si="10">IFERROR(ROUND(H14*I14/J14,0),0)</f>
        <v>0</v>
      </c>
      <c r="L14" s="1757">
        <f>H14-K14</f>
        <v>0</v>
      </c>
      <c r="M14" s="1763">
        <f t="shared" si="9"/>
        <v>0</v>
      </c>
      <c r="N14" s="1948">
        <f>+海田!N14</f>
        <v>3</v>
      </c>
      <c r="O14" s="2762"/>
      <c r="P14" s="1759" t="str">
        <f t="shared" si="7"/>
        <v>平成2年度</v>
      </c>
      <c r="Q14" s="1991">
        <v>0</v>
      </c>
      <c r="R14" s="1991">
        <v>0</v>
      </c>
      <c r="S14" s="1991">
        <v>0</v>
      </c>
      <c r="T14" s="1991">
        <v>0</v>
      </c>
      <c r="U14" s="1757"/>
      <c r="V14" s="1764"/>
      <c r="W14" s="2762"/>
      <c r="X14" s="1759" t="str">
        <f t="shared" si="8"/>
        <v>平成2年度</v>
      </c>
      <c r="Y14" s="1992">
        <v>0</v>
      </c>
      <c r="Z14" s="1992">
        <v>0</v>
      </c>
      <c r="AA14" s="1992">
        <v>0</v>
      </c>
      <c r="AB14" s="1992">
        <v>0</v>
      </c>
      <c r="AC14" s="1757"/>
    </row>
    <row r="15" spans="1:29">
      <c r="A15" s="2762"/>
      <c r="B15" s="1760" t="s">
        <v>5204</v>
      </c>
      <c r="C15" s="1758">
        <f t="shared" si="0"/>
        <v>0</v>
      </c>
      <c r="D15" s="1758">
        <f t="shared" si="1"/>
        <v>0</v>
      </c>
      <c r="E15" s="1758">
        <f t="shared" si="2"/>
        <v>0</v>
      </c>
      <c r="F15" s="1758">
        <f t="shared" si="3"/>
        <v>0</v>
      </c>
      <c r="G15" s="1757">
        <f t="shared" si="4"/>
        <v>0</v>
      </c>
      <c r="H15" s="1757">
        <f t="shared" si="5"/>
        <v>0</v>
      </c>
      <c r="I15" s="1751">
        <f>+VLOOKUP($B15,年度別調書!$A$4:$M$37,10,0)</f>
        <v>42048127236</v>
      </c>
      <c r="J15" s="1751">
        <f>+VLOOKUP($B15,年度別調書!$A$4:$M$37,13,0)</f>
        <v>72538415314</v>
      </c>
      <c r="K15" s="1757">
        <f t="shared" si="10"/>
        <v>0</v>
      </c>
      <c r="L15" s="1757">
        <f>H15-K15</f>
        <v>0</v>
      </c>
      <c r="M15" s="1763">
        <f t="shared" si="9"/>
        <v>0</v>
      </c>
      <c r="N15" s="1948">
        <f>+海田!N15</f>
        <v>3</v>
      </c>
      <c r="O15" s="2762"/>
      <c r="P15" s="1759" t="str">
        <f t="shared" si="7"/>
        <v>平成3年度</v>
      </c>
      <c r="Q15" s="1991">
        <v>0</v>
      </c>
      <c r="R15" s="1991">
        <v>0</v>
      </c>
      <c r="S15" s="1991">
        <v>0</v>
      </c>
      <c r="T15" s="1991">
        <v>0</v>
      </c>
      <c r="U15" s="1757"/>
      <c r="V15" s="1764"/>
      <c r="W15" s="2762"/>
      <c r="X15" s="1759" t="str">
        <f t="shared" si="8"/>
        <v>平成3年度</v>
      </c>
      <c r="Y15" s="1992">
        <v>0</v>
      </c>
      <c r="Z15" s="1992">
        <v>0</v>
      </c>
      <c r="AA15" s="1992">
        <v>0</v>
      </c>
      <c r="AB15" s="1992">
        <v>0</v>
      </c>
      <c r="AC15" s="1757"/>
    </row>
    <row r="16" spans="1:29">
      <c r="A16" s="2762"/>
      <c r="B16" s="1760" t="s">
        <v>5205</v>
      </c>
      <c r="C16" s="1758">
        <f t="shared" si="0"/>
        <v>0</v>
      </c>
      <c r="D16" s="1758">
        <f t="shared" si="1"/>
        <v>0</v>
      </c>
      <c r="E16" s="1758">
        <f t="shared" si="2"/>
        <v>0</v>
      </c>
      <c r="F16" s="1758">
        <f t="shared" si="3"/>
        <v>0</v>
      </c>
      <c r="G16" s="1757">
        <f t="shared" si="4"/>
        <v>0</v>
      </c>
      <c r="H16" s="1757">
        <f t="shared" si="5"/>
        <v>0</v>
      </c>
      <c r="I16" s="1751">
        <f>+VLOOKUP($B16,年度別調書!$A$4:$M$37,10,0)</f>
        <v>49320557603</v>
      </c>
      <c r="J16" s="1751">
        <f>+VLOOKUP($B16,年度別調書!$A$4:$M$37,13,0)</f>
        <v>82028053042</v>
      </c>
      <c r="K16" s="1757">
        <f t="shared" si="10"/>
        <v>0</v>
      </c>
      <c r="L16" s="1757">
        <f>H16-K16</f>
        <v>0</v>
      </c>
      <c r="M16" s="1763">
        <f t="shared" si="9"/>
        <v>0</v>
      </c>
      <c r="N16" s="1948">
        <f>+海田!N16</f>
        <v>3</v>
      </c>
      <c r="O16" s="2762"/>
      <c r="P16" s="1759" t="str">
        <f t="shared" si="7"/>
        <v>平成4年度</v>
      </c>
      <c r="Q16" s="1991">
        <v>0</v>
      </c>
      <c r="R16" s="1991">
        <v>0</v>
      </c>
      <c r="S16" s="1991">
        <v>0</v>
      </c>
      <c r="T16" s="1991">
        <v>0</v>
      </c>
      <c r="U16" s="1757"/>
      <c r="V16" s="1764"/>
      <c r="W16" s="2762"/>
      <c r="X16" s="1759" t="str">
        <f t="shared" si="8"/>
        <v>平成4年度</v>
      </c>
      <c r="Y16" s="1992">
        <v>0</v>
      </c>
      <c r="Z16" s="1992">
        <v>0</v>
      </c>
      <c r="AA16" s="1992">
        <v>0</v>
      </c>
      <c r="AB16" s="1992">
        <v>0</v>
      </c>
      <c r="AC16" s="1757"/>
    </row>
    <row r="17" spans="1:29">
      <c r="A17" s="2762"/>
      <c r="B17" s="1760" t="s">
        <v>5206</v>
      </c>
      <c r="C17" s="1758">
        <f t="shared" si="0"/>
        <v>673163</v>
      </c>
      <c r="D17" s="1758">
        <f t="shared" si="1"/>
        <v>35183</v>
      </c>
      <c r="E17" s="1758">
        <f t="shared" si="2"/>
        <v>708346</v>
      </c>
      <c r="F17" s="1758">
        <f t="shared" si="3"/>
        <v>33212</v>
      </c>
      <c r="G17" s="2018">
        <f>ROUND(C17/C$48*G$48,0)</f>
        <v>68925</v>
      </c>
      <c r="H17" s="1757">
        <f t="shared" si="5"/>
        <v>604238</v>
      </c>
      <c r="I17" s="1751">
        <f>+VLOOKUP($B17,年度別調書!$A$4:$M$37,10,0)</f>
        <v>54853236126</v>
      </c>
      <c r="J17" s="1751">
        <f>+VLOOKUP($B17,年度別調書!$A$4:$M$37,13,0)</f>
        <v>94393962571</v>
      </c>
      <c r="K17" s="1757">
        <f t="shared" si="10"/>
        <v>351128</v>
      </c>
      <c r="L17" s="1757">
        <f t="shared" ref="L17:L47" si="11">H17-K17</f>
        <v>253110</v>
      </c>
      <c r="M17" s="1763">
        <f t="shared" si="9"/>
        <v>9.900000000197906E-2</v>
      </c>
      <c r="N17" s="1948">
        <f>+海田!N17</f>
        <v>3</v>
      </c>
      <c r="O17" s="2762"/>
      <c r="P17" s="1759" t="str">
        <f t="shared" si="7"/>
        <v>平成5年度</v>
      </c>
      <c r="Q17" s="1991">
        <v>332890</v>
      </c>
      <c r="R17" s="1991">
        <v>21283</v>
      </c>
      <c r="S17" s="1991">
        <v>354173</v>
      </c>
      <c r="T17" s="1991">
        <v>16606</v>
      </c>
      <c r="U17" s="1757"/>
      <c r="V17" s="1764"/>
      <c r="W17" s="2762"/>
      <c r="X17" s="1759" t="str">
        <f t="shared" si="8"/>
        <v>平成5年度</v>
      </c>
      <c r="Y17" s="1992">
        <v>340273</v>
      </c>
      <c r="Z17" s="1992">
        <v>13900</v>
      </c>
      <c r="AA17" s="1992">
        <v>354173</v>
      </c>
      <c r="AB17" s="1992">
        <v>16606</v>
      </c>
      <c r="AC17" s="1757"/>
    </row>
    <row r="18" spans="1:29">
      <c r="A18" s="2762"/>
      <c r="B18" s="1760" t="s">
        <v>5207</v>
      </c>
      <c r="C18" s="1758">
        <f t="shared" si="0"/>
        <v>1331270</v>
      </c>
      <c r="D18" s="1758">
        <f t="shared" si="1"/>
        <v>104968</v>
      </c>
      <c r="E18" s="1758">
        <f t="shared" si="2"/>
        <v>1436238</v>
      </c>
      <c r="F18" s="1758">
        <f t="shared" si="3"/>
        <v>40994</v>
      </c>
      <c r="G18" s="1757">
        <f t="shared" si="4"/>
        <v>136309</v>
      </c>
      <c r="H18" s="1757">
        <f t="shared" si="5"/>
        <v>1194961</v>
      </c>
      <c r="I18" s="1751">
        <f>+VLOOKUP($B18,年度別調書!$A$4:$M$37,10,0)</f>
        <v>52459905451</v>
      </c>
      <c r="J18" s="1751">
        <f>+VLOOKUP($B18,年度別調書!$A$4:$M$37,13,0)</f>
        <v>92179213936</v>
      </c>
      <c r="K18" s="1757">
        <f t="shared" si="10"/>
        <v>680062</v>
      </c>
      <c r="L18" s="1757">
        <f t="shared" si="11"/>
        <v>514899</v>
      </c>
      <c r="M18" s="1763">
        <f t="shared" si="9"/>
        <v>-0.3839999999909196</v>
      </c>
      <c r="N18" s="1948">
        <f>+海田!N18</f>
        <v>3</v>
      </c>
      <c r="O18" s="2762"/>
      <c r="P18" s="1759" t="str">
        <f t="shared" si="7"/>
        <v>平成6年度</v>
      </c>
      <c r="Q18" s="1991">
        <v>659132</v>
      </c>
      <c r="R18" s="1991">
        <v>58987</v>
      </c>
      <c r="S18" s="1991">
        <v>718119</v>
      </c>
      <c r="T18" s="1991">
        <v>20497</v>
      </c>
      <c r="U18" s="1757"/>
      <c r="V18" s="1764"/>
      <c r="W18" s="2762"/>
      <c r="X18" s="1759" t="str">
        <f t="shared" si="8"/>
        <v>平成6年度</v>
      </c>
      <c r="Y18" s="1992">
        <v>672138</v>
      </c>
      <c r="Z18" s="1992">
        <v>45981</v>
      </c>
      <c r="AA18" s="1992">
        <v>718119</v>
      </c>
      <c r="AB18" s="1992">
        <v>20497</v>
      </c>
      <c r="AC18" s="1757"/>
    </row>
    <row r="19" spans="1:29">
      <c r="A19" s="2762"/>
      <c r="B19" s="1760" t="s">
        <v>5208</v>
      </c>
      <c r="C19" s="1758">
        <f t="shared" si="0"/>
        <v>2179034</v>
      </c>
      <c r="D19" s="1758">
        <f t="shared" si="1"/>
        <v>115008</v>
      </c>
      <c r="E19" s="1758">
        <f t="shared" si="2"/>
        <v>2294042</v>
      </c>
      <c r="F19" s="1758">
        <f t="shared" si="3"/>
        <v>120794</v>
      </c>
      <c r="G19" s="2018">
        <f>ROUND(C19/C$48*G$48,0)</f>
        <v>223111</v>
      </c>
      <c r="H19" s="1757">
        <f t="shared" si="5"/>
        <v>1955923</v>
      </c>
      <c r="I19" s="1751">
        <f>+VLOOKUP($B19,年度別調書!$A$4:$M$37,10,0)</f>
        <v>58579778590</v>
      </c>
      <c r="J19" s="1751">
        <f>+VLOOKUP($B19,年度別調書!$A$4:$M$37,13,0)</f>
        <v>98916143476</v>
      </c>
      <c r="K19" s="1757">
        <f t="shared" si="10"/>
        <v>1158330</v>
      </c>
      <c r="L19" s="1757">
        <f t="shared" si="11"/>
        <v>797593</v>
      </c>
      <c r="M19" s="1763">
        <f t="shared" si="9"/>
        <v>9.5999999990453944E-2</v>
      </c>
      <c r="N19" s="1948">
        <f>+海田!N19</f>
        <v>3</v>
      </c>
      <c r="O19" s="2762"/>
      <c r="P19" s="1759" t="str">
        <f t="shared" si="7"/>
        <v>平成7年度</v>
      </c>
      <c r="Q19" s="1991">
        <v>1080780</v>
      </c>
      <c r="R19" s="1991">
        <v>66241</v>
      </c>
      <c r="S19" s="1991">
        <v>1147021</v>
      </c>
      <c r="T19" s="1991">
        <v>60397</v>
      </c>
      <c r="U19" s="1757"/>
      <c r="V19" s="1764"/>
      <c r="W19" s="2762"/>
      <c r="X19" s="1759" t="str">
        <f t="shared" si="8"/>
        <v>平成7年度</v>
      </c>
      <c r="Y19" s="1992">
        <v>1098254</v>
      </c>
      <c r="Z19" s="1992">
        <v>48767</v>
      </c>
      <c r="AA19" s="1992">
        <v>1147021</v>
      </c>
      <c r="AB19" s="1992">
        <v>60397</v>
      </c>
      <c r="AC19" s="1757"/>
    </row>
    <row r="20" spans="1:29">
      <c r="A20" s="2762"/>
      <c r="B20" s="1760" t="s">
        <v>5209</v>
      </c>
      <c r="C20" s="1758">
        <f t="shared" si="0"/>
        <v>4466077</v>
      </c>
      <c r="D20" s="1758">
        <f t="shared" si="1"/>
        <v>351925</v>
      </c>
      <c r="E20" s="1758">
        <f t="shared" si="2"/>
        <v>4818002</v>
      </c>
      <c r="F20" s="1758">
        <f t="shared" si="3"/>
        <v>556798</v>
      </c>
      <c r="G20" s="2018">
        <f t="shared" si="4"/>
        <v>457281</v>
      </c>
      <c r="H20" s="1757">
        <f t="shared" si="5"/>
        <v>4008796</v>
      </c>
      <c r="I20" s="1751">
        <f>+VLOOKUP($B20,年度別調書!$A$4:$M$37,10,0)</f>
        <v>59855732510</v>
      </c>
      <c r="J20" s="1751">
        <f>+VLOOKUP($B20,年度別調書!$A$4:$M$37,13,0)</f>
        <v>105086070753</v>
      </c>
      <c r="K20" s="1757">
        <f t="shared" si="10"/>
        <v>2283361</v>
      </c>
      <c r="L20" s="1757">
        <f t="shared" si="11"/>
        <v>1725435</v>
      </c>
      <c r="M20" s="1763">
        <f t="shared" si="9"/>
        <v>0.22399999998742715</v>
      </c>
      <c r="N20" s="1948">
        <f>+海田!N20</f>
        <v>3</v>
      </c>
      <c r="O20" s="2762"/>
      <c r="P20" s="1759" t="str">
        <f t="shared" si="7"/>
        <v>平成8年度</v>
      </c>
      <c r="Q20" s="1991">
        <v>2218088</v>
      </c>
      <c r="R20" s="1991">
        <v>190913</v>
      </c>
      <c r="S20" s="1991">
        <v>2409001</v>
      </c>
      <c r="T20" s="1991">
        <v>278399</v>
      </c>
      <c r="U20" s="1757"/>
      <c r="V20" s="1764"/>
      <c r="W20" s="2762"/>
      <c r="X20" s="1759" t="str">
        <f t="shared" si="8"/>
        <v>平成8年度</v>
      </c>
      <c r="Y20" s="1992">
        <v>2247989</v>
      </c>
      <c r="Z20" s="1992">
        <v>161012</v>
      </c>
      <c r="AA20" s="1992">
        <v>2409001</v>
      </c>
      <c r="AB20" s="1992">
        <v>278399</v>
      </c>
      <c r="AC20" s="1757"/>
    </row>
    <row r="21" spans="1:29">
      <c r="A21" s="2762"/>
      <c r="B21" s="1760" t="s">
        <v>5210</v>
      </c>
      <c r="C21" s="1758">
        <f t="shared" si="0"/>
        <v>2091411</v>
      </c>
      <c r="D21" s="1758">
        <f t="shared" si="1"/>
        <v>188991</v>
      </c>
      <c r="E21" s="1758">
        <f t="shared" si="2"/>
        <v>2280402</v>
      </c>
      <c r="F21" s="1758">
        <f t="shared" si="3"/>
        <v>243094</v>
      </c>
      <c r="G21" s="2018">
        <f t="shared" si="4"/>
        <v>214139</v>
      </c>
      <c r="H21" s="1757">
        <f t="shared" si="5"/>
        <v>1877272</v>
      </c>
      <c r="I21" s="1751">
        <f>+VLOOKUP($B21,年度別調書!$A$4:$M$37,10,0)</f>
        <v>65491097789</v>
      </c>
      <c r="J21" s="1751">
        <f>+VLOOKUP($B21,年度別調書!$A$4:$M$37,13,0)</f>
        <v>112544371375</v>
      </c>
      <c r="K21" s="1757">
        <f t="shared" si="10"/>
        <v>1092410</v>
      </c>
      <c r="L21" s="1757">
        <f t="shared" si="11"/>
        <v>784862</v>
      </c>
      <c r="M21" s="1763">
        <f t="shared" si="9"/>
        <v>0.38500000000931323</v>
      </c>
      <c r="N21" s="1948">
        <f>+海田!N21</f>
        <v>5</v>
      </c>
      <c r="O21" s="2762"/>
      <c r="P21" s="1759" t="str">
        <f t="shared" si="7"/>
        <v>平成9年度</v>
      </c>
      <c r="Q21" s="1991">
        <v>1040272</v>
      </c>
      <c r="R21" s="1991">
        <v>99929</v>
      </c>
      <c r="S21" s="1991">
        <v>1140201</v>
      </c>
      <c r="T21" s="1991">
        <v>121547</v>
      </c>
      <c r="U21" s="1757"/>
      <c r="V21" s="1764"/>
      <c r="W21" s="2762"/>
      <c r="X21" s="1759" t="str">
        <f t="shared" si="8"/>
        <v>平成9年度</v>
      </c>
      <c r="Y21" s="1992">
        <v>1051139</v>
      </c>
      <c r="Z21" s="1992">
        <v>89062</v>
      </c>
      <c r="AA21" s="1992">
        <v>1140201</v>
      </c>
      <c r="AB21" s="1992">
        <v>121547</v>
      </c>
      <c r="AC21" s="1757"/>
    </row>
    <row r="22" spans="1:29">
      <c r="A22" s="2762"/>
      <c r="B22" s="1760" t="s">
        <v>5211</v>
      </c>
      <c r="C22" s="1758">
        <f t="shared" si="0"/>
        <v>4497931</v>
      </c>
      <c r="D22" s="1758">
        <f t="shared" si="1"/>
        <v>517831</v>
      </c>
      <c r="E22" s="1758">
        <f t="shared" si="2"/>
        <v>5015762</v>
      </c>
      <c r="F22" s="1758">
        <f t="shared" si="3"/>
        <v>549022</v>
      </c>
      <c r="G22" s="2018">
        <f t="shared" si="4"/>
        <v>460543</v>
      </c>
      <c r="H22" s="1757">
        <f t="shared" si="5"/>
        <v>4037388</v>
      </c>
      <c r="I22" s="1751">
        <f>+VLOOKUP($B22,年度別調書!$A$4:$M$37,10,0)</f>
        <v>66701247191</v>
      </c>
      <c r="J22" s="1751">
        <f>+VLOOKUP($B22,年度別調書!$A$4:$M$37,13,0)</f>
        <v>118194473653</v>
      </c>
      <c r="K22" s="1757">
        <f t="shared" si="10"/>
        <v>2278438</v>
      </c>
      <c r="L22" s="1757">
        <f t="shared" si="11"/>
        <v>1758950</v>
      </c>
      <c r="M22" s="1763">
        <f t="shared" si="9"/>
        <v>-0.24800000002142042</v>
      </c>
      <c r="N22" s="1948">
        <f>+海田!N22</f>
        <v>5</v>
      </c>
      <c r="O22" s="2762"/>
      <c r="P22" s="1759" t="str">
        <f t="shared" si="7"/>
        <v>平成10年度</v>
      </c>
      <c r="Q22" s="1991">
        <v>2237367</v>
      </c>
      <c r="R22" s="1991">
        <v>270514</v>
      </c>
      <c r="S22" s="1991">
        <v>2507881</v>
      </c>
      <c r="T22" s="1991">
        <v>274511</v>
      </c>
      <c r="U22" s="1757"/>
      <c r="V22" s="1764"/>
      <c r="W22" s="2762"/>
      <c r="X22" s="1759" t="str">
        <f t="shared" si="8"/>
        <v>平成10年度</v>
      </c>
      <c r="Y22" s="1992">
        <v>2260564</v>
      </c>
      <c r="Z22" s="1992">
        <v>247317</v>
      </c>
      <c r="AA22" s="1992">
        <v>2507881</v>
      </c>
      <c r="AB22" s="1992">
        <v>274511</v>
      </c>
      <c r="AC22" s="1757"/>
    </row>
    <row r="23" spans="1:29">
      <c r="A23" s="2762"/>
      <c r="B23" s="1760" t="s">
        <v>5212</v>
      </c>
      <c r="C23" s="1758">
        <f t="shared" si="0"/>
        <v>6143259</v>
      </c>
      <c r="D23" s="1758">
        <f t="shared" si="1"/>
        <v>614559</v>
      </c>
      <c r="E23" s="1758">
        <f t="shared" si="2"/>
        <v>6757818</v>
      </c>
      <c r="F23" s="1758">
        <f t="shared" si="3"/>
        <v>739682</v>
      </c>
      <c r="G23" s="2018">
        <f t="shared" si="4"/>
        <v>629008</v>
      </c>
      <c r="H23" s="1757">
        <f t="shared" si="5"/>
        <v>5514251</v>
      </c>
      <c r="I23" s="1751">
        <f>+VLOOKUP($B23,年度別調書!$A$4:$M$37,10,0)</f>
        <v>58274420372</v>
      </c>
      <c r="J23" s="1751">
        <f>+VLOOKUP($B23,年度別調書!$A$4:$M$37,13,0)</f>
        <v>110790062218</v>
      </c>
      <c r="K23" s="1757">
        <f t="shared" si="10"/>
        <v>2900439</v>
      </c>
      <c r="L23" s="1757">
        <f t="shared" si="11"/>
        <v>2613812</v>
      </c>
      <c r="M23" s="1763">
        <f t="shared" si="9"/>
        <v>-0.26199999998789281</v>
      </c>
      <c r="N23" s="1948">
        <f>+海田!N23</f>
        <v>5</v>
      </c>
      <c r="O23" s="2762"/>
      <c r="P23" s="1759" t="str">
        <f t="shared" si="7"/>
        <v>平成11年度</v>
      </c>
      <c r="Q23" s="1991">
        <v>3056646</v>
      </c>
      <c r="R23" s="1991">
        <v>322263</v>
      </c>
      <c r="S23" s="1991">
        <v>3378909</v>
      </c>
      <c r="T23" s="1991">
        <v>369841</v>
      </c>
      <c r="U23" s="1757"/>
      <c r="V23" s="1764"/>
      <c r="W23" s="2762"/>
      <c r="X23" s="1759" t="str">
        <f t="shared" si="8"/>
        <v>平成11年度</v>
      </c>
      <c r="Y23" s="1992">
        <v>3086613</v>
      </c>
      <c r="Z23" s="1992">
        <v>292296</v>
      </c>
      <c r="AA23" s="1992">
        <v>3378909</v>
      </c>
      <c r="AB23" s="1992">
        <v>369841</v>
      </c>
      <c r="AC23" s="1757"/>
    </row>
    <row r="24" spans="1:29">
      <c r="A24" s="2762"/>
      <c r="B24" s="1760" t="s">
        <v>5213</v>
      </c>
      <c r="C24" s="1758">
        <f>+Q24+Y24</f>
        <v>3862736</v>
      </c>
      <c r="D24" s="1758">
        <f t="shared" si="1"/>
        <v>432266</v>
      </c>
      <c r="E24" s="1758">
        <f t="shared" si="2"/>
        <v>4295002</v>
      </c>
      <c r="F24" s="1758">
        <f t="shared" si="3"/>
        <v>494090</v>
      </c>
      <c r="G24" s="2018">
        <f>ROUND(C24/C$48*G$48,0)</f>
        <v>395505</v>
      </c>
      <c r="H24" s="1757">
        <f t="shared" si="5"/>
        <v>3467231</v>
      </c>
      <c r="I24" s="1751">
        <f>+VLOOKUP($B24,年度別調書!$A$4:$M$37,10,0)</f>
        <v>48353931386</v>
      </c>
      <c r="J24" s="1751">
        <f>+VLOOKUP($B24,年度別調書!$A$4:$M$37,13,0)</f>
        <v>104173607652</v>
      </c>
      <c r="K24" s="1757">
        <f t="shared" si="10"/>
        <v>1609374</v>
      </c>
      <c r="L24" s="1757">
        <f t="shared" si="11"/>
        <v>1857857</v>
      </c>
      <c r="M24" s="1763">
        <f t="shared" si="9"/>
        <v>0.19300000002840534</v>
      </c>
      <c r="N24" s="1948">
        <f>+海田!N24</f>
        <v>5</v>
      </c>
      <c r="O24" s="2762"/>
      <c r="P24" s="1759" t="str">
        <f t="shared" si="7"/>
        <v>平成12年度</v>
      </c>
      <c r="Q24" s="1991">
        <v>1922821</v>
      </c>
      <c r="R24" s="1991">
        <v>224680</v>
      </c>
      <c r="S24" s="1991">
        <v>2147501</v>
      </c>
      <c r="T24" s="1991">
        <v>247045</v>
      </c>
      <c r="U24" s="1757"/>
      <c r="V24" s="1764"/>
      <c r="W24" s="2762"/>
      <c r="X24" s="1759" t="str">
        <f t="shared" si="8"/>
        <v>平成12年度</v>
      </c>
      <c r="Y24" s="1992">
        <v>1939915</v>
      </c>
      <c r="Z24" s="1992">
        <v>207586</v>
      </c>
      <c r="AA24" s="1992">
        <v>2147501</v>
      </c>
      <c r="AB24" s="1992">
        <v>247045</v>
      </c>
      <c r="AC24" s="1757"/>
    </row>
    <row r="25" spans="1:29">
      <c r="A25" s="2762"/>
      <c r="B25" s="1760" t="s">
        <v>5214</v>
      </c>
      <c r="C25" s="1758">
        <f t="shared" si="0"/>
        <v>462665</v>
      </c>
      <c r="D25" s="1758">
        <f t="shared" si="1"/>
        <v>67293</v>
      </c>
      <c r="E25" s="1758">
        <f t="shared" si="2"/>
        <v>529958</v>
      </c>
      <c r="F25" s="1758">
        <f t="shared" si="3"/>
        <v>62370</v>
      </c>
      <c r="G25" s="2018">
        <f>ROUND(C25/C$48*G$48,0)</f>
        <v>47372</v>
      </c>
      <c r="H25" s="1757">
        <f t="shared" si="5"/>
        <v>415293</v>
      </c>
      <c r="I25" s="1751">
        <f>+VLOOKUP($B25,年度別調書!$A$4:$M$37,10,0)</f>
        <v>42742028940</v>
      </c>
      <c r="J25" s="1751">
        <f>+VLOOKUP($B25,年度別調書!$A$4:$M$37,13,0)</f>
        <v>101075943440</v>
      </c>
      <c r="K25" s="1757">
        <f t="shared" si="10"/>
        <v>175615</v>
      </c>
      <c r="L25" s="1757">
        <f t="shared" si="11"/>
        <v>239678</v>
      </c>
      <c r="M25" s="1763">
        <f t="shared" si="9"/>
        <v>0.22800000000279397</v>
      </c>
      <c r="N25" s="1948">
        <f>+海田!N25</f>
        <v>5</v>
      </c>
      <c r="O25" s="2762"/>
      <c r="P25" s="1759" t="str">
        <f t="shared" si="7"/>
        <v>平成13年度</v>
      </c>
      <c r="Q25" s="1991">
        <v>230204</v>
      </c>
      <c r="R25" s="1991">
        <v>34775</v>
      </c>
      <c r="S25" s="1991">
        <v>264979</v>
      </c>
      <c r="T25" s="1991">
        <v>31185</v>
      </c>
      <c r="U25" s="1757"/>
      <c r="V25" s="1764"/>
      <c r="W25" s="2762"/>
      <c r="X25" s="1759" t="str">
        <f t="shared" si="8"/>
        <v>平成13年度</v>
      </c>
      <c r="Y25" s="1992">
        <v>232461</v>
      </c>
      <c r="Z25" s="1992">
        <v>32518</v>
      </c>
      <c r="AA25" s="1992">
        <v>264979</v>
      </c>
      <c r="AB25" s="1992">
        <v>31185</v>
      </c>
      <c r="AC25" s="1757"/>
    </row>
    <row r="26" spans="1:29">
      <c r="A26" s="2762"/>
      <c r="B26" s="1760" t="s">
        <v>5215</v>
      </c>
      <c r="C26" s="1758">
        <f t="shared" si="0"/>
        <v>0</v>
      </c>
      <c r="D26" s="1758">
        <f t="shared" si="1"/>
        <v>0</v>
      </c>
      <c r="E26" s="1758">
        <f t="shared" si="2"/>
        <v>0</v>
      </c>
      <c r="F26" s="1758">
        <f t="shared" si="3"/>
        <v>0</v>
      </c>
      <c r="G26" s="2018">
        <f t="shared" si="4"/>
        <v>0</v>
      </c>
      <c r="H26" s="1757">
        <f t="shared" si="5"/>
        <v>0</v>
      </c>
      <c r="I26" s="1751">
        <f>+VLOOKUP($B26,年度別調書!$A$4:$M$37,10,0)</f>
        <v>38694694218</v>
      </c>
      <c r="J26" s="1751">
        <f>+VLOOKUP($B26,年度別調書!$A$4:$M$37,13,0)</f>
        <v>98151426478</v>
      </c>
      <c r="K26" s="1757">
        <f t="shared" si="10"/>
        <v>0</v>
      </c>
      <c r="L26" s="1757">
        <f t="shared" si="11"/>
        <v>0</v>
      </c>
      <c r="M26" s="1763">
        <f t="shared" si="9"/>
        <v>0</v>
      </c>
      <c r="N26" s="1948">
        <f>+海田!N26</f>
        <v>5</v>
      </c>
      <c r="O26" s="2762"/>
      <c r="P26" s="1759" t="str">
        <f t="shared" si="7"/>
        <v>平成14年度</v>
      </c>
      <c r="Q26" s="1991">
        <v>0</v>
      </c>
      <c r="R26" s="2084">
        <v>0</v>
      </c>
      <c r="S26" s="2084">
        <v>0</v>
      </c>
      <c r="T26" s="2084">
        <v>0</v>
      </c>
      <c r="U26" s="1757"/>
      <c r="V26" s="1764"/>
      <c r="W26" s="2762"/>
      <c r="X26" s="1759" t="str">
        <f t="shared" si="8"/>
        <v>平成14年度</v>
      </c>
      <c r="Y26" s="2084">
        <v>0</v>
      </c>
      <c r="Z26" s="2084">
        <v>0</v>
      </c>
      <c r="AA26" s="2084">
        <v>0</v>
      </c>
      <c r="AB26" s="2084">
        <v>0</v>
      </c>
      <c r="AC26" s="1757"/>
    </row>
    <row r="27" spans="1:29">
      <c r="A27" s="2762"/>
      <c r="B27" s="1760" t="s">
        <v>5216</v>
      </c>
      <c r="C27" s="1758">
        <f t="shared" si="0"/>
        <v>0</v>
      </c>
      <c r="D27" s="1758">
        <f t="shared" si="1"/>
        <v>0</v>
      </c>
      <c r="E27" s="1758">
        <f t="shared" si="2"/>
        <v>0</v>
      </c>
      <c r="F27" s="1758">
        <f t="shared" si="3"/>
        <v>0</v>
      </c>
      <c r="G27" s="2018">
        <f t="shared" si="4"/>
        <v>0</v>
      </c>
      <c r="H27" s="1757">
        <f t="shared" si="5"/>
        <v>0</v>
      </c>
      <c r="I27" s="1751">
        <f>+VLOOKUP($B27,年度別調書!$A$4:$M$37,10,0)</f>
        <v>37621895854</v>
      </c>
      <c r="J27" s="1751">
        <f>+VLOOKUP($B27,年度別調書!$A$4:$M$37,13,0)</f>
        <v>100825076572</v>
      </c>
      <c r="K27" s="1757">
        <f t="shared" si="10"/>
        <v>0</v>
      </c>
      <c r="L27" s="1757">
        <f t="shared" si="11"/>
        <v>0</v>
      </c>
      <c r="M27" s="1763">
        <f t="shared" si="9"/>
        <v>0</v>
      </c>
      <c r="N27" s="1948">
        <f>+海田!N27</f>
        <v>5</v>
      </c>
      <c r="O27" s="2762"/>
      <c r="P27" s="1759" t="str">
        <f t="shared" si="7"/>
        <v>平成15年度</v>
      </c>
      <c r="Q27" s="2084">
        <v>0</v>
      </c>
      <c r="R27" s="2084">
        <v>0</v>
      </c>
      <c r="S27" s="2084">
        <v>0</v>
      </c>
      <c r="T27" s="2084">
        <v>0</v>
      </c>
      <c r="U27" s="1757"/>
      <c r="V27" s="1764"/>
      <c r="W27" s="2762"/>
      <c r="X27" s="1759" t="str">
        <f t="shared" si="8"/>
        <v>平成15年度</v>
      </c>
      <c r="Y27" s="2084">
        <v>0</v>
      </c>
      <c r="Z27" s="2084">
        <v>0</v>
      </c>
      <c r="AA27" s="2084">
        <v>0</v>
      </c>
      <c r="AB27" s="2084">
        <v>0</v>
      </c>
      <c r="AC27" s="1757"/>
    </row>
    <row r="28" spans="1:29">
      <c r="A28" s="2762"/>
      <c r="B28" s="1760" t="s">
        <v>5217</v>
      </c>
      <c r="C28" s="1758">
        <f t="shared" si="0"/>
        <v>0</v>
      </c>
      <c r="D28" s="1758">
        <f t="shared" si="1"/>
        <v>0</v>
      </c>
      <c r="E28" s="1758">
        <f t="shared" si="2"/>
        <v>0</v>
      </c>
      <c r="F28" s="1758">
        <f t="shared" si="3"/>
        <v>0</v>
      </c>
      <c r="G28" s="2018">
        <f t="shared" si="4"/>
        <v>0</v>
      </c>
      <c r="H28" s="1757">
        <f t="shared" si="5"/>
        <v>0</v>
      </c>
      <c r="I28" s="1751">
        <f>+VLOOKUP($B28,年度別調書!$A$4:$M$37,10,0)</f>
        <v>29085465357</v>
      </c>
      <c r="J28" s="1751">
        <f>+VLOOKUP($B28,年度別調書!$A$4:$M$37,13,0)</f>
        <v>101305165124</v>
      </c>
      <c r="K28" s="1757">
        <f t="shared" si="10"/>
        <v>0</v>
      </c>
      <c r="L28" s="1757">
        <f t="shared" si="11"/>
        <v>0</v>
      </c>
      <c r="M28" s="1763">
        <f t="shared" si="9"/>
        <v>0</v>
      </c>
      <c r="N28" s="1948">
        <f>+海田!N28</f>
        <v>5</v>
      </c>
      <c r="O28" s="2762"/>
      <c r="P28" s="1759" t="str">
        <f t="shared" si="7"/>
        <v>平成16年度</v>
      </c>
      <c r="Q28" s="2084">
        <v>0</v>
      </c>
      <c r="R28" s="2084">
        <v>0</v>
      </c>
      <c r="S28" s="2084">
        <v>0</v>
      </c>
      <c r="T28" s="2084">
        <v>0</v>
      </c>
      <c r="U28" s="1757"/>
      <c r="V28" s="1764"/>
      <c r="W28" s="2762"/>
      <c r="X28" s="1759" t="str">
        <f t="shared" si="8"/>
        <v>平成16年度</v>
      </c>
      <c r="Y28" s="2084">
        <v>0</v>
      </c>
      <c r="Z28" s="2084">
        <v>0</v>
      </c>
      <c r="AA28" s="2084">
        <v>0</v>
      </c>
      <c r="AB28" s="2084">
        <v>0</v>
      </c>
      <c r="AC28" s="1757"/>
    </row>
    <row r="29" spans="1:29">
      <c r="A29" s="2762"/>
      <c r="B29" s="1760" t="s">
        <v>5218</v>
      </c>
      <c r="C29" s="1758">
        <f t="shared" si="0"/>
        <v>143759</v>
      </c>
      <c r="D29" s="1758">
        <f t="shared" si="1"/>
        <v>43029</v>
      </c>
      <c r="E29" s="1758">
        <f t="shared" si="2"/>
        <v>186788</v>
      </c>
      <c r="F29" s="1758">
        <f t="shared" si="3"/>
        <v>22380</v>
      </c>
      <c r="G29" s="2018">
        <f>ROUND(C29/C$48*G$48,0)</f>
        <v>14719</v>
      </c>
      <c r="H29" s="1757">
        <f t="shared" si="5"/>
        <v>129040</v>
      </c>
      <c r="I29" s="1751">
        <f>+VLOOKUP($B29,年度別調書!$A$4:$M$37,10,0)</f>
        <v>25082997134</v>
      </c>
      <c r="J29" s="1751">
        <f>+VLOOKUP($B29,年度別調書!$A$4:$M$37,13,0)</f>
        <v>96528725584</v>
      </c>
      <c r="K29" s="1757">
        <f t="shared" si="10"/>
        <v>33531</v>
      </c>
      <c r="L29" s="1757">
        <f t="shared" si="11"/>
        <v>95509</v>
      </c>
      <c r="M29" s="1763">
        <f t="shared" si="9"/>
        <v>0.47099999999954889</v>
      </c>
      <c r="N29" s="1948">
        <f>+海田!N29</f>
        <v>5</v>
      </c>
      <c r="O29" s="2762"/>
      <c r="P29" s="1759" t="str">
        <f t="shared" si="7"/>
        <v>平成17年度</v>
      </c>
      <c r="Q29" s="1991">
        <v>71507</v>
      </c>
      <c r="R29" s="1991">
        <v>21887</v>
      </c>
      <c r="S29" s="1991">
        <v>93394</v>
      </c>
      <c r="T29" s="1991">
        <v>11190</v>
      </c>
      <c r="U29" s="1757"/>
      <c r="V29" s="1764"/>
      <c r="W29" s="2762"/>
      <c r="X29" s="1759" t="str">
        <f t="shared" si="8"/>
        <v>平成17年度</v>
      </c>
      <c r="Y29" s="1992">
        <v>72252</v>
      </c>
      <c r="Z29" s="1992">
        <v>21142</v>
      </c>
      <c r="AA29" s="1992">
        <v>93394</v>
      </c>
      <c r="AB29" s="1992">
        <v>11190</v>
      </c>
      <c r="AC29" s="1757"/>
    </row>
    <row r="30" spans="1:29">
      <c r="A30" s="2762"/>
      <c r="B30" s="1760" t="s">
        <v>5219</v>
      </c>
      <c r="C30" s="1758">
        <f t="shared" si="0"/>
        <v>502704</v>
      </c>
      <c r="D30" s="1758">
        <f t="shared" si="1"/>
        <v>167304</v>
      </c>
      <c r="E30" s="1758">
        <f>+S30+AA30</f>
        <v>670008</v>
      </c>
      <c r="F30" s="1758">
        <f t="shared" si="3"/>
        <v>75192</v>
      </c>
      <c r="G30" s="2018">
        <f>ROUND(C30/C$48*G$48,0)</f>
        <v>51472</v>
      </c>
      <c r="H30" s="1757">
        <f>C30-G30</f>
        <v>451232</v>
      </c>
      <c r="I30" s="1751">
        <f>+VLOOKUP($B30,年度別調書!$A$4:$M$37,10,0)</f>
        <v>21657707574</v>
      </c>
      <c r="J30" s="1751">
        <f>+VLOOKUP($B30,年度別調書!$A$4:$M$37,13,0)</f>
        <v>84768578867</v>
      </c>
      <c r="K30" s="1757">
        <f t="shared" si="10"/>
        <v>115286</v>
      </c>
      <c r="L30" s="1757">
        <f t="shared" si="11"/>
        <v>335946</v>
      </c>
      <c r="M30" s="1763">
        <f t="shared" si="9"/>
        <v>-0.18299999999726424</v>
      </c>
      <c r="N30" s="1948">
        <f>+海田!N30</f>
        <v>5</v>
      </c>
      <c r="O30" s="2762"/>
      <c r="P30" s="1759" t="str">
        <f t="shared" si="7"/>
        <v>平成18年度</v>
      </c>
      <c r="Q30" s="1991">
        <v>250033</v>
      </c>
      <c r="R30" s="1991">
        <v>84971</v>
      </c>
      <c r="S30" s="1991">
        <v>335004</v>
      </c>
      <c r="T30" s="1991">
        <v>37596</v>
      </c>
      <c r="U30" s="1757"/>
      <c r="V30" s="1764"/>
      <c r="W30" s="2762"/>
      <c r="X30" s="1759" t="str">
        <f t="shared" si="8"/>
        <v>平成18年度</v>
      </c>
      <c r="Y30" s="1992">
        <v>252671</v>
      </c>
      <c r="Z30" s="1992">
        <v>82333</v>
      </c>
      <c r="AA30" s="1992">
        <v>335004</v>
      </c>
      <c r="AB30" s="1992">
        <v>37596</v>
      </c>
      <c r="AC30" s="1757"/>
    </row>
    <row r="31" spans="1:29">
      <c r="A31" s="2762"/>
      <c r="B31" s="1760" t="s">
        <v>5220</v>
      </c>
      <c r="C31" s="1758">
        <f t="shared" si="0"/>
        <v>458386</v>
      </c>
      <c r="D31" s="1758">
        <f t="shared" si="1"/>
        <v>150408</v>
      </c>
      <c r="E31" s="1758">
        <f t="shared" si="2"/>
        <v>608794</v>
      </c>
      <c r="F31" s="1758">
        <f t="shared" si="3"/>
        <v>68322</v>
      </c>
      <c r="G31" s="2018">
        <f>ROUND(C31/C$48*G$48,0)</f>
        <v>46934</v>
      </c>
      <c r="H31" s="1757">
        <f t="shared" si="5"/>
        <v>411452</v>
      </c>
      <c r="I31" s="1751">
        <f>+VLOOKUP($B31,年度別調書!$A$4:$M$37,10,0)</f>
        <v>25422571996</v>
      </c>
      <c r="J31" s="1751">
        <f>+VLOOKUP($B31,年度別調書!$A$4:$M$37,13,0)</f>
        <v>105576318079</v>
      </c>
      <c r="K31" s="1757">
        <f t="shared" si="10"/>
        <v>99077</v>
      </c>
      <c r="L31" s="1757">
        <f t="shared" si="11"/>
        <v>312375</v>
      </c>
      <c r="M31" s="1763">
        <f t="shared" si="9"/>
        <v>0.10100000000238651</v>
      </c>
      <c r="N31" s="1948">
        <f>+海田!N31</f>
        <v>5</v>
      </c>
      <c r="O31" s="2762"/>
      <c r="P31" s="1759" t="str">
        <f t="shared" si="7"/>
        <v>平成19年度</v>
      </c>
      <c r="Q31" s="1991">
        <v>228051</v>
      </c>
      <c r="R31" s="1991">
        <v>76346</v>
      </c>
      <c r="S31" s="1991">
        <v>304397</v>
      </c>
      <c r="T31" s="1991">
        <v>34161</v>
      </c>
      <c r="U31" s="1757"/>
      <c r="V31" s="1764"/>
      <c r="W31" s="2762"/>
      <c r="X31" s="1759" t="str">
        <f t="shared" si="8"/>
        <v>平成19年度</v>
      </c>
      <c r="Y31" s="1992">
        <v>230335</v>
      </c>
      <c r="Z31" s="1992">
        <v>74062</v>
      </c>
      <c r="AA31" s="1992">
        <v>304397</v>
      </c>
      <c r="AB31" s="1992">
        <v>34161</v>
      </c>
      <c r="AC31" s="1757"/>
    </row>
    <row r="32" spans="1:29">
      <c r="A32" s="2762"/>
      <c r="B32" s="1760" t="s">
        <v>5221</v>
      </c>
      <c r="C32" s="1758">
        <f t="shared" si="0"/>
        <v>0</v>
      </c>
      <c r="D32" s="1758">
        <f t="shared" si="1"/>
        <v>0</v>
      </c>
      <c r="E32" s="1758">
        <f t="shared" si="2"/>
        <v>0</v>
      </c>
      <c r="F32" s="1758">
        <f t="shared" si="3"/>
        <v>0</v>
      </c>
      <c r="G32" s="1757">
        <f t="shared" si="4"/>
        <v>0</v>
      </c>
      <c r="H32" s="1757">
        <f t="shared" si="5"/>
        <v>0</v>
      </c>
      <c r="I32" s="1751">
        <f>+VLOOKUP($B32,年度別調書!$A$4:$M$37,10,0)</f>
        <v>24693835462</v>
      </c>
      <c r="J32" s="1751">
        <f>+VLOOKUP($B32,年度別調書!$A$4:$M$37,13,0)</f>
        <v>110401232854</v>
      </c>
      <c r="K32" s="1757">
        <f t="shared" si="10"/>
        <v>0</v>
      </c>
      <c r="L32" s="1757">
        <f t="shared" si="11"/>
        <v>0</v>
      </c>
      <c r="M32" s="1763">
        <f t="shared" si="9"/>
        <v>0</v>
      </c>
      <c r="N32" s="1948">
        <f>+海田!N32</f>
        <v>5</v>
      </c>
      <c r="O32" s="2762"/>
      <c r="P32" s="1759" t="str">
        <f t="shared" si="7"/>
        <v>平成20年度</v>
      </c>
      <c r="Q32" s="2084">
        <v>0</v>
      </c>
      <c r="R32" s="2084">
        <v>0</v>
      </c>
      <c r="S32" s="2084">
        <v>0</v>
      </c>
      <c r="T32" s="2084">
        <v>0</v>
      </c>
      <c r="U32" s="1757"/>
      <c r="V32" s="1764"/>
      <c r="W32" s="2762"/>
      <c r="X32" s="1759" t="str">
        <f t="shared" si="8"/>
        <v>平成20年度</v>
      </c>
      <c r="Y32" s="2084">
        <v>0</v>
      </c>
      <c r="Z32" s="2084">
        <v>0</v>
      </c>
      <c r="AA32" s="2084">
        <v>0</v>
      </c>
      <c r="AB32" s="2084">
        <v>0</v>
      </c>
      <c r="AC32" s="1757"/>
    </row>
    <row r="33" spans="1:29">
      <c r="A33" s="2762"/>
      <c r="B33" s="1760" t="s">
        <v>5222</v>
      </c>
      <c r="C33" s="1758">
        <f t="shared" si="0"/>
        <v>0</v>
      </c>
      <c r="D33" s="1758">
        <f t="shared" si="1"/>
        <v>0</v>
      </c>
      <c r="E33" s="1758">
        <f t="shared" si="2"/>
        <v>0</v>
      </c>
      <c r="F33" s="1758">
        <f t="shared" si="3"/>
        <v>0</v>
      </c>
      <c r="G33" s="1757">
        <f t="shared" si="4"/>
        <v>0</v>
      </c>
      <c r="H33" s="1757">
        <f t="shared" si="5"/>
        <v>0</v>
      </c>
      <c r="I33" s="1751">
        <f>+VLOOKUP($B33,年度別調書!$A$4:$M$37,10,0)</f>
        <v>22324372880</v>
      </c>
      <c r="J33" s="1751">
        <f>+VLOOKUP($B33,年度別調書!$A$4:$M$37,13,0)</f>
        <v>88097108350</v>
      </c>
      <c r="K33" s="1757">
        <f t="shared" si="10"/>
        <v>0</v>
      </c>
      <c r="L33" s="1757">
        <f t="shared" si="11"/>
        <v>0</v>
      </c>
      <c r="M33" s="1763">
        <f t="shared" si="9"/>
        <v>0</v>
      </c>
      <c r="N33" s="1948">
        <f>+海田!N33</f>
        <v>5</v>
      </c>
      <c r="O33" s="2762"/>
      <c r="P33" s="1759" t="str">
        <f t="shared" si="7"/>
        <v>平成21年度</v>
      </c>
      <c r="Q33" s="2084">
        <v>0</v>
      </c>
      <c r="R33" s="2084">
        <v>0</v>
      </c>
      <c r="S33" s="2084">
        <v>0</v>
      </c>
      <c r="T33" s="2084">
        <v>0</v>
      </c>
      <c r="U33" s="1757"/>
      <c r="V33" s="1764"/>
      <c r="W33" s="2762"/>
      <c r="X33" s="1759" t="str">
        <f t="shared" si="8"/>
        <v>平成21年度</v>
      </c>
      <c r="Y33" s="2084">
        <v>0</v>
      </c>
      <c r="Z33" s="2084">
        <v>0</v>
      </c>
      <c r="AA33" s="2084">
        <v>0</v>
      </c>
      <c r="AB33" s="2084">
        <v>0</v>
      </c>
      <c r="AC33" s="1757"/>
    </row>
    <row r="34" spans="1:29">
      <c r="A34" s="2762"/>
      <c r="B34" s="1760" t="s">
        <v>5223</v>
      </c>
      <c r="C34" s="1758">
        <f t="shared" si="0"/>
        <v>0</v>
      </c>
      <c r="D34" s="1758">
        <f t="shared" si="1"/>
        <v>0</v>
      </c>
      <c r="E34" s="1758">
        <f t="shared" si="2"/>
        <v>0</v>
      </c>
      <c r="F34" s="1758">
        <f t="shared" si="3"/>
        <v>0</v>
      </c>
      <c r="G34" s="1757">
        <f>ROUND(C34/C$48*G$48,0)</f>
        <v>0</v>
      </c>
      <c r="H34" s="1757">
        <f t="shared" si="5"/>
        <v>0</v>
      </c>
      <c r="I34" s="1751">
        <f>+VLOOKUP($B34,年度別調書!$A$4:$M$37,10,0)</f>
        <v>26326163485</v>
      </c>
      <c r="J34" s="1751">
        <f>+VLOOKUP($B34,年度別調書!$A$4:$M$37,13,0)</f>
        <v>102723057143</v>
      </c>
      <c r="K34" s="1757">
        <f t="shared" si="10"/>
        <v>0</v>
      </c>
      <c r="L34" s="1757">
        <f t="shared" si="11"/>
        <v>0</v>
      </c>
      <c r="M34" s="1763">
        <f t="shared" si="9"/>
        <v>0</v>
      </c>
      <c r="N34" s="1948">
        <f>+海田!N34</f>
        <v>5</v>
      </c>
      <c r="O34" s="2762"/>
      <c r="P34" s="1759" t="str">
        <f t="shared" si="7"/>
        <v>平成22年度</v>
      </c>
      <c r="Q34" s="2084">
        <v>0</v>
      </c>
      <c r="R34" s="2084">
        <v>0</v>
      </c>
      <c r="S34" s="2084">
        <v>0</v>
      </c>
      <c r="T34" s="2084">
        <v>0</v>
      </c>
      <c r="U34" s="1757"/>
      <c r="V34" s="1764"/>
      <c r="W34" s="2762"/>
      <c r="X34" s="1759" t="str">
        <f t="shared" si="8"/>
        <v>平成22年度</v>
      </c>
      <c r="Y34" s="2084">
        <v>0</v>
      </c>
      <c r="Z34" s="2084">
        <v>0</v>
      </c>
      <c r="AA34" s="2084">
        <v>0</v>
      </c>
      <c r="AB34" s="2084">
        <v>0</v>
      </c>
      <c r="AC34" s="1757"/>
    </row>
    <row r="35" spans="1:29">
      <c r="A35" s="2762"/>
      <c r="B35" s="1760" t="s">
        <v>5224</v>
      </c>
      <c r="C35" s="1758">
        <f t="shared" si="0"/>
        <v>0</v>
      </c>
      <c r="D35" s="1758">
        <f t="shared" si="1"/>
        <v>0</v>
      </c>
      <c r="E35" s="1758">
        <f t="shared" si="2"/>
        <v>0</v>
      </c>
      <c r="F35" s="1758">
        <f t="shared" si="3"/>
        <v>0</v>
      </c>
      <c r="G35" s="1757">
        <f t="shared" si="4"/>
        <v>0</v>
      </c>
      <c r="H35" s="1757">
        <f t="shared" si="5"/>
        <v>0</v>
      </c>
      <c r="I35" s="1751">
        <f>+VLOOKUP($B35,年度別調書!$A$4:$M$37,10,0)</f>
        <v>26883440277</v>
      </c>
      <c r="J35" s="1751">
        <f>+VLOOKUP($B35,年度別調書!$A$4:$M$37,13,0)</f>
        <v>99758377045</v>
      </c>
      <c r="K35" s="1757">
        <f t="shared" si="10"/>
        <v>0</v>
      </c>
      <c r="L35" s="1757">
        <f t="shared" si="11"/>
        <v>0</v>
      </c>
      <c r="M35" s="1763">
        <f t="shared" si="9"/>
        <v>0</v>
      </c>
      <c r="N35" s="1948">
        <f>+海田!N35</f>
        <v>5</v>
      </c>
      <c r="O35" s="2762"/>
      <c r="P35" s="1759" t="str">
        <f t="shared" si="7"/>
        <v>平成23年度</v>
      </c>
      <c r="Q35" s="2084">
        <v>0</v>
      </c>
      <c r="R35" s="2084">
        <v>0</v>
      </c>
      <c r="S35" s="2084">
        <v>0</v>
      </c>
      <c r="T35" s="2084">
        <v>0</v>
      </c>
      <c r="U35" s="1757"/>
      <c r="V35" s="1764"/>
      <c r="W35" s="2762"/>
      <c r="X35" s="1759" t="str">
        <f t="shared" si="8"/>
        <v>平成23年度</v>
      </c>
      <c r="Y35" s="2084">
        <v>0</v>
      </c>
      <c r="Z35" s="2084">
        <v>0</v>
      </c>
      <c r="AA35" s="2084">
        <v>0</v>
      </c>
      <c r="AB35" s="2084">
        <v>0</v>
      </c>
      <c r="AC35" s="1757"/>
    </row>
    <row r="36" spans="1:29">
      <c r="A36" s="2762"/>
      <c r="B36" s="1760" t="s">
        <v>5225</v>
      </c>
      <c r="C36" s="1758">
        <f t="shared" si="0"/>
        <v>0</v>
      </c>
      <c r="D36" s="1758">
        <f t="shared" si="1"/>
        <v>0</v>
      </c>
      <c r="E36" s="1758">
        <f t="shared" si="2"/>
        <v>0</v>
      </c>
      <c r="F36" s="1758">
        <f t="shared" si="3"/>
        <v>0</v>
      </c>
      <c r="G36" s="1757">
        <f t="shared" si="4"/>
        <v>0</v>
      </c>
      <c r="H36" s="1757">
        <f t="shared" si="5"/>
        <v>0</v>
      </c>
      <c r="I36" s="1751">
        <f>+VLOOKUP($B36,年度別調書!$A$4:$M$37,10,0)</f>
        <v>20821234544</v>
      </c>
      <c r="J36" s="1751">
        <f>+VLOOKUP($B36,年度別調書!$A$4:$M$37,13,0)</f>
        <v>101115908424</v>
      </c>
      <c r="K36" s="1757">
        <f t="shared" si="10"/>
        <v>0</v>
      </c>
      <c r="L36" s="1757">
        <f t="shared" si="11"/>
        <v>0</v>
      </c>
      <c r="M36" s="1763">
        <f t="shared" si="9"/>
        <v>0</v>
      </c>
      <c r="N36" s="1948">
        <f>+海田!N36</f>
        <v>5</v>
      </c>
      <c r="O36" s="2762"/>
      <c r="P36" s="1759" t="str">
        <f t="shared" si="7"/>
        <v>平成24年度</v>
      </c>
      <c r="Q36" s="2084">
        <v>0</v>
      </c>
      <c r="R36" s="2084">
        <v>0</v>
      </c>
      <c r="S36" s="2084">
        <v>0</v>
      </c>
      <c r="T36" s="2084">
        <v>0</v>
      </c>
      <c r="U36" s="1757"/>
      <c r="V36" s="1764"/>
      <c r="W36" s="2762"/>
      <c r="X36" s="1759" t="str">
        <f t="shared" si="8"/>
        <v>平成24年度</v>
      </c>
      <c r="Y36" s="2084">
        <v>0</v>
      </c>
      <c r="Z36" s="2084">
        <v>0</v>
      </c>
      <c r="AA36" s="2084">
        <v>0</v>
      </c>
      <c r="AB36" s="2084">
        <v>0</v>
      </c>
      <c r="AC36" s="1757"/>
    </row>
    <row r="37" spans="1:29">
      <c r="A37" s="2762"/>
      <c r="B37" s="1760" t="s">
        <v>5226</v>
      </c>
      <c r="C37" s="1758">
        <f t="shared" si="0"/>
        <v>0</v>
      </c>
      <c r="D37" s="1758">
        <f t="shared" si="1"/>
        <v>0</v>
      </c>
      <c r="E37" s="1758">
        <f t="shared" si="2"/>
        <v>0</v>
      </c>
      <c r="F37" s="1758">
        <f t="shared" si="3"/>
        <v>0</v>
      </c>
      <c r="G37" s="1757">
        <f t="shared" si="4"/>
        <v>0</v>
      </c>
      <c r="H37" s="1757">
        <f t="shared" si="5"/>
        <v>0</v>
      </c>
      <c r="I37" s="1751">
        <f>+VLOOKUP($B37,年度別調書!$A$4:$M$37,10,0)</f>
        <v>22169870622</v>
      </c>
      <c r="J37" s="1751">
        <f>+VLOOKUP($B37,年度別調書!$A$4:$M$37,13,0)</f>
        <v>87897420767</v>
      </c>
      <c r="K37" s="1757">
        <f t="shared" si="10"/>
        <v>0</v>
      </c>
      <c r="L37" s="1757">
        <f t="shared" si="11"/>
        <v>0</v>
      </c>
      <c r="M37" s="1763">
        <f t="shared" si="9"/>
        <v>0</v>
      </c>
      <c r="N37" s="1948">
        <f>+海田!N37</f>
        <v>5</v>
      </c>
      <c r="O37" s="2762"/>
      <c r="P37" s="1759" t="str">
        <f t="shared" si="7"/>
        <v>平成25年度</v>
      </c>
      <c r="Q37" s="2084">
        <v>0</v>
      </c>
      <c r="R37" s="2084">
        <v>0</v>
      </c>
      <c r="S37" s="2084">
        <v>0</v>
      </c>
      <c r="T37" s="2084">
        <v>0</v>
      </c>
      <c r="U37" s="1757"/>
      <c r="V37" s="1764"/>
      <c r="W37" s="2762"/>
      <c r="X37" s="1759" t="str">
        <f t="shared" si="8"/>
        <v>平成25年度</v>
      </c>
      <c r="Y37" s="2084">
        <v>0</v>
      </c>
      <c r="Z37" s="2084">
        <v>0</v>
      </c>
      <c r="AA37" s="2084">
        <v>0</v>
      </c>
      <c r="AB37" s="2084">
        <v>0</v>
      </c>
      <c r="AC37" s="1757"/>
    </row>
    <row r="38" spans="1:29">
      <c r="A38" s="2762"/>
      <c r="B38" s="1760" t="s">
        <v>5227</v>
      </c>
      <c r="C38" s="1758">
        <f t="shared" si="0"/>
        <v>59383</v>
      </c>
      <c r="D38" s="1758">
        <f t="shared" si="1"/>
        <v>9091</v>
      </c>
      <c r="E38" s="1758">
        <f t="shared" si="2"/>
        <v>68474</v>
      </c>
      <c r="F38" s="1758">
        <f t="shared" si="3"/>
        <v>7684</v>
      </c>
      <c r="G38" s="1757">
        <f t="shared" si="4"/>
        <v>6080</v>
      </c>
      <c r="H38" s="1757">
        <f t="shared" si="5"/>
        <v>53303</v>
      </c>
      <c r="I38" s="1751">
        <f>+VLOOKUP($B38,年度別調書!$A$4:$M$37,10,0)</f>
        <v>20924492616</v>
      </c>
      <c r="J38" s="1751">
        <f>+VLOOKUP($B38,年度別調書!$A$4:$M$37,13,0)</f>
        <v>99556890040</v>
      </c>
      <c r="K38" s="1757">
        <f t="shared" si="10"/>
        <v>11203</v>
      </c>
      <c r="L38" s="1757">
        <f t="shared" si="11"/>
        <v>42100</v>
      </c>
      <c r="M38" s="1763">
        <f t="shared" si="9"/>
        <v>0.22000000000025466</v>
      </c>
      <c r="N38" s="1948">
        <f>+海田!N38</f>
        <v>8</v>
      </c>
      <c r="O38" s="2762"/>
      <c r="P38" s="1759" t="str">
        <f t="shared" si="7"/>
        <v>平成26年度</v>
      </c>
      <c r="Q38" s="1991">
        <v>29645</v>
      </c>
      <c r="R38" s="1991">
        <v>4592</v>
      </c>
      <c r="S38" s="1991">
        <v>34237</v>
      </c>
      <c r="T38" s="1991">
        <v>3842</v>
      </c>
      <c r="U38" s="1757"/>
      <c r="V38" s="1764"/>
      <c r="W38" s="2762"/>
      <c r="X38" s="1759" t="str">
        <f t="shared" si="8"/>
        <v>平成26年度</v>
      </c>
      <c r="Y38" s="1993">
        <v>29738</v>
      </c>
      <c r="Z38" s="1993">
        <v>4499</v>
      </c>
      <c r="AA38" s="1993">
        <v>34237</v>
      </c>
      <c r="AB38" s="1993">
        <v>3842</v>
      </c>
      <c r="AC38" s="1757"/>
    </row>
    <row r="39" spans="1:29">
      <c r="A39" s="2762"/>
      <c r="B39" s="1760" t="s">
        <v>5228</v>
      </c>
      <c r="C39" s="1758">
        <f t="shared" si="0"/>
        <v>49914</v>
      </c>
      <c r="D39" s="1758">
        <f t="shared" si="1"/>
        <v>7284</v>
      </c>
      <c r="E39" s="1758">
        <f t="shared" si="2"/>
        <v>57198</v>
      </c>
      <c r="F39" s="1758">
        <f t="shared" si="3"/>
        <v>6420</v>
      </c>
      <c r="G39" s="1757">
        <f t="shared" si="4"/>
        <v>5111</v>
      </c>
      <c r="H39" s="1757">
        <f t="shared" si="5"/>
        <v>44803</v>
      </c>
      <c r="I39" s="1751">
        <f>+VLOOKUP($B39,年度別調書!$A$4:$M$37,10,0)</f>
        <v>21176145645</v>
      </c>
      <c r="J39" s="1751">
        <f>+VLOOKUP($B39,年度別調書!$A$4:$M$37,13,0)</f>
        <v>104805589178</v>
      </c>
      <c r="K39" s="1757">
        <f t="shared" si="10"/>
        <v>9053</v>
      </c>
      <c r="L39" s="1757">
        <f t="shared" si="11"/>
        <v>35750</v>
      </c>
      <c r="M39" s="1763">
        <f t="shared" si="9"/>
        <v>-0.31000000000040018</v>
      </c>
      <c r="N39" s="1948">
        <f>+海田!N39</f>
        <v>8</v>
      </c>
      <c r="O39" s="2762"/>
      <c r="P39" s="1759" t="str">
        <f t="shared" si="7"/>
        <v>平成27年度</v>
      </c>
      <c r="Q39" s="1991">
        <v>24921</v>
      </c>
      <c r="R39" s="1991">
        <v>3678</v>
      </c>
      <c r="S39" s="1991">
        <v>28599</v>
      </c>
      <c r="T39" s="1991">
        <v>3210</v>
      </c>
      <c r="U39" s="1757"/>
      <c r="V39" s="1764"/>
      <c r="W39" s="2762"/>
      <c r="X39" s="1759" t="str">
        <f t="shared" si="8"/>
        <v>平成27年度</v>
      </c>
      <c r="Y39" s="1993">
        <v>24993</v>
      </c>
      <c r="Z39" s="1993">
        <v>3606</v>
      </c>
      <c r="AA39" s="1993">
        <v>28599</v>
      </c>
      <c r="AB39" s="1993">
        <v>3210</v>
      </c>
      <c r="AC39" s="1757"/>
    </row>
    <row r="40" spans="1:29">
      <c r="A40" s="2762"/>
      <c r="B40" s="1760" t="s">
        <v>5229</v>
      </c>
      <c r="C40" s="1758">
        <f>+Q40+Y40</f>
        <v>3170887</v>
      </c>
      <c r="D40" s="1758">
        <f t="shared" si="1"/>
        <v>416052</v>
      </c>
      <c r="E40" s="1758">
        <f t="shared" si="2"/>
        <v>3586939</v>
      </c>
      <c r="F40" s="1758">
        <f t="shared" si="3"/>
        <v>403590</v>
      </c>
      <c r="G40" s="1757">
        <f>ROUND(C40/C$48*G$48,0)</f>
        <v>324667</v>
      </c>
      <c r="H40" s="1757">
        <f>C40-G40</f>
        <v>2846220</v>
      </c>
      <c r="I40" s="1751">
        <f>+VLOOKUP($B40,年度別調書!$A$4:$M$37,10,0)</f>
        <v>23487276785</v>
      </c>
      <c r="J40" s="1751">
        <f>+VLOOKUP($B40,年度別調書!$A$4:$M$37,13,0)</f>
        <v>105396818589</v>
      </c>
      <c r="K40" s="1757">
        <f t="shared" si="10"/>
        <v>634269</v>
      </c>
      <c r="L40" s="1757">
        <f t="shared" si="11"/>
        <v>2211951</v>
      </c>
      <c r="M40" s="1763">
        <f t="shared" si="9"/>
        <v>-0.16399999998975545</v>
      </c>
      <c r="N40" s="1948">
        <f>+海田!N40</f>
        <v>8</v>
      </c>
      <c r="O40" s="2762"/>
      <c r="P40" s="1759" t="str">
        <f t="shared" si="7"/>
        <v>平成28年度</v>
      </c>
      <c r="Q40" s="1796">
        <v>1583562</v>
      </c>
      <c r="R40" s="1796">
        <v>210145</v>
      </c>
      <c r="S40" s="1796">
        <v>1793707</v>
      </c>
      <c r="T40" s="1796">
        <v>201822</v>
      </c>
      <c r="U40" s="1757"/>
      <c r="V40" s="1764"/>
      <c r="W40" s="2762"/>
      <c r="X40" s="1759" t="str">
        <f t="shared" si="8"/>
        <v>平成28年度</v>
      </c>
      <c r="Y40" s="1796">
        <v>1587325</v>
      </c>
      <c r="Z40" s="1796">
        <v>205907</v>
      </c>
      <c r="AA40" s="1796">
        <v>1793232</v>
      </c>
      <c r="AB40" s="1796">
        <v>201768</v>
      </c>
      <c r="AC40" s="1757"/>
    </row>
    <row r="41" spans="1:29">
      <c r="A41" s="2762"/>
      <c r="B41" s="1760" t="s">
        <v>5230</v>
      </c>
      <c r="C41" s="1758">
        <f t="shared" si="0"/>
        <v>11061</v>
      </c>
      <c r="D41" s="1758">
        <f t="shared" si="1"/>
        <v>7945</v>
      </c>
      <c r="E41" s="1758">
        <f t="shared" si="2"/>
        <v>19006</v>
      </c>
      <c r="F41" s="1758">
        <f t="shared" si="3"/>
        <v>2133</v>
      </c>
      <c r="G41" s="1757">
        <f t="shared" si="4"/>
        <v>1133</v>
      </c>
      <c r="H41" s="1757">
        <f t="shared" si="5"/>
        <v>9928</v>
      </c>
      <c r="I41" s="1751">
        <f>+VLOOKUP($B41,年度別調書!$A$4:$M$37,10,0)</f>
        <v>19481573724</v>
      </c>
      <c r="J41" s="1751">
        <f>+VLOOKUP($B41,年度別調書!$A$4:$M$37,13,0)</f>
        <v>99607043975</v>
      </c>
      <c r="K41" s="1757">
        <f t="shared" si="10"/>
        <v>1942</v>
      </c>
      <c r="L41" s="1757">
        <f t="shared" si="11"/>
        <v>7986</v>
      </c>
      <c r="M41" s="1763">
        <f t="shared" si="9"/>
        <v>-0.46499999999991815</v>
      </c>
      <c r="N41" s="1948">
        <f>+海田!N41</f>
        <v>8</v>
      </c>
      <c r="O41" s="2762"/>
      <c r="P41" s="1759" t="str">
        <f t="shared" si="7"/>
        <v>平成29年度</v>
      </c>
      <c r="Q41" s="1796">
        <v>5522</v>
      </c>
      <c r="R41" s="1796">
        <v>3986</v>
      </c>
      <c r="S41" s="1796">
        <v>9508</v>
      </c>
      <c r="T41" s="1796">
        <v>1067</v>
      </c>
      <c r="U41" s="1757"/>
      <c r="V41" s="1764"/>
      <c r="W41" s="2762"/>
      <c r="X41" s="1759" t="str">
        <f t="shared" si="8"/>
        <v>平成29年度</v>
      </c>
      <c r="Y41" s="2084">
        <v>5539</v>
      </c>
      <c r="Z41" s="1796">
        <v>3959</v>
      </c>
      <c r="AA41" s="1796">
        <v>9498</v>
      </c>
      <c r="AB41" s="1796">
        <v>1066</v>
      </c>
      <c r="AC41" s="1757"/>
    </row>
    <row r="42" spans="1:29">
      <c r="A42" s="2762"/>
      <c r="B42" s="1760" t="s">
        <v>5231</v>
      </c>
      <c r="C42" s="1758">
        <f t="shared" si="0"/>
        <v>0</v>
      </c>
      <c r="D42" s="1758">
        <f t="shared" si="1"/>
        <v>18490</v>
      </c>
      <c r="E42" s="1758">
        <f t="shared" si="2"/>
        <v>18490</v>
      </c>
      <c r="F42" s="1758">
        <f t="shared" si="3"/>
        <v>2075</v>
      </c>
      <c r="G42" s="1757">
        <f t="shared" si="4"/>
        <v>0</v>
      </c>
      <c r="H42" s="1757">
        <f t="shared" si="5"/>
        <v>0</v>
      </c>
      <c r="I42" s="1751">
        <f>+VLOOKUP($B42,年度別調書!$A$4:$M$37,10,0)</f>
        <v>19871916207</v>
      </c>
      <c r="J42" s="1751">
        <f>+VLOOKUP($B42,年度別調書!$A$4:$M$37,13,0)</f>
        <v>98551757388</v>
      </c>
      <c r="K42" s="1757">
        <f t="shared" si="10"/>
        <v>0</v>
      </c>
      <c r="L42" s="1757">
        <f t="shared" si="11"/>
        <v>0</v>
      </c>
      <c r="M42" s="1763">
        <f t="shared" si="9"/>
        <v>0</v>
      </c>
      <c r="N42" s="1948">
        <f>+海田!N42</f>
        <v>8</v>
      </c>
      <c r="O42" s="2762"/>
      <c r="P42" s="1759" t="str">
        <f t="shared" si="7"/>
        <v>平成30年度</v>
      </c>
      <c r="Q42" s="1796">
        <v>0</v>
      </c>
      <c r="R42" s="1796">
        <v>9247</v>
      </c>
      <c r="S42" s="1796">
        <v>9247</v>
      </c>
      <c r="T42" s="1796">
        <v>1038</v>
      </c>
      <c r="U42" s="1757"/>
      <c r="V42" s="1764"/>
      <c r="W42" s="2762"/>
      <c r="X42" s="1759" t="str">
        <f t="shared" si="8"/>
        <v>平成30年度</v>
      </c>
      <c r="Y42" s="2084">
        <v>0</v>
      </c>
      <c r="Z42" s="1796">
        <v>9243</v>
      </c>
      <c r="AA42" s="1796">
        <v>9243</v>
      </c>
      <c r="AB42" s="1796">
        <v>1037</v>
      </c>
      <c r="AC42" s="1757"/>
    </row>
    <row r="43" spans="1:29">
      <c r="A43" s="2762"/>
      <c r="B43" s="2751" t="s">
        <v>5276</v>
      </c>
      <c r="C43" s="1758">
        <f>+Q43</f>
        <v>0</v>
      </c>
      <c r="D43" s="1758">
        <f>+R43</f>
        <v>32</v>
      </c>
      <c r="E43" s="1758">
        <f>+S43</f>
        <v>32</v>
      </c>
      <c r="F43" s="1758">
        <f>+T43</f>
        <v>4</v>
      </c>
      <c r="G43" s="1757">
        <f t="shared" si="4"/>
        <v>0</v>
      </c>
      <c r="H43" s="1757">
        <f t="shared" si="5"/>
        <v>0</v>
      </c>
      <c r="I43" s="1751">
        <f>+VLOOKUP($B43,年度別調書!$A$4:$M$37,10,0)</f>
        <v>21889958229</v>
      </c>
      <c r="J43" s="1751">
        <f>+VLOOKUP($B43,年度別調書!$A$4:$M$37,13,0)</f>
        <v>101214576030</v>
      </c>
      <c r="K43" s="1757">
        <f t="shared" si="10"/>
        <v>0</v>
      </c>
      <c r="L43" s="1757">
        <f t="shared" si="11"/>
        <v>0</v>
      </c>
      <c r="M43" s="1763">
        <f t="shared" si="9"/>
        <v>0</v>
      </c>
      <c r="N43" s="1948">
        <f>+海田!N43</f>
        <v>8</v>
      </c>
      <c r="O43" s="2762"/>
      <c r="P43" s="2767" t="str">
        <f t="shared" si="7"/>
        <v>令和元年度</v>
      </c>
      <c r="Q43" s="2769">
        <v>0</v>
      </c>
      <c r="R43" s="2769">
        <v>32</v>
      </c>
      <c r="S43" s="2769">
        <v>32</v>
      </c>
      <c r="T43" s="2769">
        <v>4</v>
      </c>
      <c r="U43" s="2771"/>
      <c r="V43" s="1764"/>
      <c r="W43" s="2762"/>
      <c r="X43" s="2767" t="str">
        <f t="shared" si="8"/>
        <v>令和元年度</v>
      </c>
      <c r="Y43" s="2769">
        <v>0</v>
      </c>
      <c r="Z43" s="2769">
        <v>32</v>
      </c>
      <c r="AA43" s="2769">
        <v>32</v>
      </c>
      <c r="AB43" s="2769">
        <v>4</v>
      </c>
      <c r="AC43" s="2771"/>
    </row>
    <row r="44" spans="1:29">
      <c r="A44" s="2762"/>
      <c r="B44" s="2752"/>
      <c r="C44" s="1758">
        <f>+Y43</f>
        <v>0</v>
      </c>
      <c r="D44" s="1758">
        <f>+Z43</f>
        <v>32</v>
      </c>
      <c r="E44" s="1758">
        <f>+AA43</f>
        <v>32</v>
      </c>
      <c r="F44" s="1758">
        <f>+AB43</f>
        <v>4</v>
      </c>
      <c r="G44" s="1757">
        <f t="shared" ref="G44" si="12">ROUND(C44/C$48*G$48,0)</f>
        <v>0</v>
      </c>
      <c r="H44" s="1757">
        <f t="shared" ref="H44" si="13">C44-G44</f>
        <v>0</v>
      </c>
      <c r="I44" s="1751">
        <f>+VLOOKUP($B43,年度別調書!$A$4:$M$37,10,0)</f>
        <v>21889958229</v>
      </c>
      <c r="J44" s="1751">
        <f>+VLOOKUP($B43,年度別調書!$A$4:$M$37,13,0)</f>
        <v>101214576030</v>
      </c>
      <c r="K44" s="1757">
        <f t="shared" ref="K44" si="14">IFERROR(ROUND(H44*I44/J44,0),0)</f>
        <v>0</v>
      </c>
      <c r="L44" s="1757">
        <f t="shared" ref="L44" si="15">H44-K44</f>
        <v>0</v>
      </c>
      <c r="M44" s="1763">
        <f t="shared" ref="M44" si="16">ROUND(C44/C$48*G$48,3)-ROUND(C44/C$48*G$48,0)</f>
        <v>0</v>
      </c>
      <c r="N44" s="1948">
        <f>+海田!N44</f>
        <v>10</v>
      </c>
      <c r="O44" s="2762"/>
      <c r="P44" s="2768"/>
      <c r="Q44" s="2770"/>
      <c r="R44" s="2770"/>
      <c r="S44" s="2770"/>
      <c r="T44" s="2770"/>
      <c r="U44" s="2772"/>
      <c r="V44" s="1764"/>
      <c r="W44" s="2762"/>
      <c r="X44" s="2768"/>
      <c r="Y44" s="2770"/>
      <c r="Z44" s="2770"/>
      <c r="AA44" s="2770"/>
      <c r="AB44" s="2770"/>
      <c r="AC44" s="2772"/>
    </row>
    <row r="45" spans="1:29">
      <c r="A45" s="2762"/>
      <c r="B45" s="1760" t="s">
        <v>5271</v>
      </c>
      <c r="C45" s="1758">
        <f t="shared" si="0"/>
        <v>0</v>
      </c>
      <c r="D45" s="1758">
        <f t="shared" si="1"/>
        <v>3444</v>
      </c>
      <c r="E45" s="1758">
        <f t="shared" si="2"/>
        <v>3444</v>
      </c>
      <c r="F45" s="1758">
        <f t="shared" si="3"/>
        <v>386</v>
      </c>
      <c r="G45" s="1757">
        <f t="shared" si="4"/>
        <v>0</v>
      </c>
      <c r="H45" s="1757">
        <f t="shared" si="5"/>
        <v>0</v>
      </c>
      <c r="I45" s="1751">
        <f>+VLOOKUP($B45,年度別調書!$A$4:$M$37,10,0)</f>
        <v>25568719436</v>
      </c>
      <c r="J45" s="1751">
        <f>+VLOOKUP($B45,年度別調書!$A$4:$M$37,13,0)</f>
        <v>105092548853</v>
      </c>
      <c r="K45" s="1757">
        <f t="shared" si="10"/>
        <v>0</v>
      </c>
      <c r="L45" s="1757">
        <f t="shared" si="11"/>
        <v>0</v>
      </c>
      <c r="M45" s="1763">
        <f t="shared" si="9"/>
        <v>0</v>
      </c>
      <c r="N45" s="1948">
        <f>+海田!N45</f>
        <v>10</v>
      </c>
      <c r="O45" s="2762"/>
      <c r="P45" s="1759" t="str">
        <f t="shared" si="7"/>
        <v>令和2年度</v>
      </c>
      <c r="Q45" s="1796">
        <v>0</v>
      </c>
      <c r="R45" s="1796">
        <v>1722</v>
      </c>
      <c r="S45" s="1796">
        <v>1722</v>
      </c>
      <c r="T45" s="1796">
        <v>193</v>
      </c>
      <c r="U45" s="1757"/>
      <c r="V45" s="1764"/>
      <c r="W45" s="2762"/>
      <c r="X45" s="1759" t="str">
        <f t="shared" si="8"/>
        <v>令和2年度</v>
      </c>
      <c r="Y45" s="1796">
        <v>0</v>
      </c>
      <c r="Z45" s="1796">
        <v>1722</v>
      </c>
      <c r="AA45" s="1796">
        <v>1722</v>
      </c>
      <c r="AB45" s="1796">
        <v>193</v>
      </c>
      <c r="AC45" s="1757"/>
    </row>
    <row r="46" spans="1:29">
      <c r="A46" s="2762"/>
      <c r="B46" s="1760" t="s">
        <v>5272</v>
      </c>
      <c r="C46" s="1758">
        <f t="shared" si="0"/>
        <v>0</v>
      </c>
      <c r="D46" s="1758">
        <f t="shared" si="1"/>
        <v>119</v>
      </c>
      <c r="E46" s="1758">
        <f t="shared" si="2"/>
        <v>119</v>
      </c>
      <c r="F46" s="1758">
        <f t="shared" si="3"/>
        <v>13</v>
      </c>
      <c r="G46" s="1757">
        <f t="shared" si="4"/>
        <v>0</v>
      </c>
      <c r="H46" s="1757">
        <f t="shared" si="5"/>
        <v>0</v>
      </c>
      <c r="I46" s="1751">
        <f>+VLOOKUP($B46,年度別調書!$A$4:$M$37,10,0)</f>
        <v>25732995336</v>
      </c>
      <c r="J46" s="1751">
        <f>+VLOOKUP($B46,年度別調書!$A$4:$M$37,13,0)</f>
        <v>106246537477</v>
      </c>
      <c r="K46" s="1757">
        <f t="shared" si="10"/>
        <v>0</v>
      </c>
      <c r="L46" s="1757">
        <f t="shared" si="11"/>
        <v>0</v>
      </c>
      <c r="M46" s="1763">
        <f t="shared" si="9"/>
        <v>0</v>
      </c>
      <c r="N46" s="1948">
        <f>+海田!N46</f>
        <v>10</v>
      </c>
      <c r="O46" s="2762"/>
      <c r="P46" s="1759" t="str">
        <f t="shared" si="7"/>
        <v>令和3年度</v>
      </c>
      <c r="Q46" s="1796">
        <v>0</v>
      </c>
      <c r="R46" s="1796">
        <v>55</v>
      </c>
      <c r="S46" s="1796">
        <v>55</v>
      </c>
      <c r="T46" s="1796">
        <v>6</v>
      </c>
      <c r="U46" s="1757"/>
      <c r="V46" s="1764"/>
      <c r="W46" s="2762"/>
      <c r="X46" s="1759" t="str">
        <f t="shared" si="8"/>
        <v>令和3年度</v>
      </c>
      <c r="Y46" s="1796">
        <v>0</v>
      </c>
      <c r="Z46" s="1796">
        <v>64</v>
      </c>
      <c r="AA46" s="1796">
        <v>64</v>
      </c>
      <c r="AB46" s="1796">
        <v>7</v>
      </c>
      <c r="AC46" s="1757"/>
    </row>
    <row r="47" spans="1:29">
      <c r="A47" s="2762"/>
      <c r="B47" s="1760" t="s">
        <v>5273</v>
      </c>
      <c r="C47" s="1758">
        <f t="shared" si="0"/>
        <v>0</v>
      </c>
      <c r="D47" s="1758">
        <f t="shared" si="1"/>
        <v>0</v>
      </c>
      <c r="E47" s="1758">
        <f t="shared" si="2"/>
        <v>0</v>
      </c>
      <c r="F47" s="1758">
        <f t="shared" si="3"/>
        <v>0</v>
      </c>
      <c r="G47" s="1757">
        <f t="shared" si="4"/>
        <v>0</v>
      </c>
      <c r="H47" s="1757">
        <f t="shared" si="5"/>
        <v>0</v>
      </c>
      <c r="I47" s="1751">
        <f>+VLOOKUP($B47,年度別調書!$A$4:$M$37,10,0)</f>
        <v>22974897869</v>
      </c>
      <c r="J47" s="1751">
        <f>+VLOOKUP($B47,年度別調書!$A$4:$M$37,13,0)</f>
        <v>102361733085</v>
      </c>
      <c r="K47" s="1757">
        <f t="shared" si="10"/>
        <v>0</v>
      </c>
      <c r="L47" s="1757">
        <f t="shared" si="11"/>
        <v>0</v>
      </c>
      <c r="M47" s="1763">
        <f t="shared" si="9"/>
        <v>0</v>
      </c>
      <c r="N47" s="1948">
        <f>+海田!N47</f>
        <v>10</v>
      </c>
      <c r="O47" s="2762"/>
      <c r="P47" s="1759" t="str">
        <f t="shared" si="7"/>
        <v>令和4年度</v>
      </c>
      <c r="Q47" s="1796">
        <v>0</v>
      </c>
      <c r="R47" s="1796">
        <v>0</v>
      </c>
      <c r="S47" s="1796">
        <v>0</v>
      </c>
      <c r="T47" s="1796">
        <v>0</v>
      </c>
      <c r="U47" s="1757"/>
      <c r="V47" s="1764"/>
      <c r="W47" s="2762"/>
      <c r="X47" s="1759" t="str">
        <f t="shared" si="8"/>
        <v>令和4年度</v>
      </c>
      <c r="Y47" s="1796">
        <v>0</v>
      </c>
      <c r="Z47" s="1796">
        <v>0</v>
      </c>
      <c r="AA47" s="1796">
        <v>0</v>
      </c>
      <c r="AB47" s="1796">
        <v>0</v>
      </c>
      <c r="AC47" s="1757"/>
    </row>
    <row r="48" spans="1:29">
      <c r="A48" s="2763"/>
      <c r="B48" s="1761" t="s">
        <v>4871</v>
      </c>
      <c r="C48" s="1762">
        <f>SUM(C6:C47)</f>
        <v>30103640</v>
      </c>
      <c r="D48" s="1762">
        <f>SUM(D6:D47)</f>
        <v>3251254</v>
      </c>
      <c r="E48" s="1762">
        <f>SUM(E6:E47)</f>
        <v>33354894</v>
      </c>
      <c r="F48" s="1762">
        <f>SUM(F6:F47)</f>
        <v>3428259</v>
      </c>
      <c r="G48" s="1747">
        <f>+U48+AC48</f>
        <v>3082309</v>
      </c>
      <c r="H48" s="1762">
        <f>SUM(H6:H47)</f>
        <v>27021331</v>
      </c>
      <c r="I48" s="1681"/>
      <c r="J48" s="1681"/>
      <c r="K48" s="1762">
        <f>SUM(K6:K47)</f>
        <v>13433518</v>
      </c>
      <c r="L48" s="1762">
        <f>SUM(L6:L47)</f>
        <v>13587813</v>
      </c>
      <c r="M48" s="1762"/>
      <c r="N48" s="1948">
        <f>+海田!N48</f>
        <v>0</v>
      </c>
      <c r="O48" s="2763"/>
      <c r="P48" s="1761" t="s">
        <v>4871</v>
      </c>
      <c r="Q48" s="1762">
        <f>SUM(Q6:Q47)</f>
        <v>14971441</v>
      </c>
      <c r="R48" s="1762">
        <f>SUM(R6:R47)</f>
        <v>1706246</v>
      </c>
      <c r="S48" s="1762">
        <f>SUM(S6:S47)</f>
        <v>16677687</v>
      </c>
      <c r="T48" s="1762">
        <f>SUM(T6:T47)</f>
        <v>1714157</v>
      </c>
      <c r="U48" s="1876">
        <v>1533460</v>
      </c>
      <c r="V48" s="1755"/>
      <c r="W48" s="2763"/>
      <c r="X48" s="1761" t="s">
        <v>4871</v>
      </c>
      <c r="Y48" s="1762">
        <f>SUM(Y6:Y47)</f>
        <v>15132199</v>
      </c>
      <c r="Z48" s="1762">
        <f>SUM(Z6:Z47)</f>
        <v>1545008</v>
      </c>
      <c r="AA48" s="1762">
        <f>SUM(AA6:AA47)</f>
        <v>16677207</v>
      </c>
      <c r="AB48" s="1762">
        <f>SUM(AB6:AB47)</f>
        <v>1714102</v>
      </c>
      <c r="AC48" s="1876">
        <v>1548849</v>
      </c>
    </row>
    <row r="49" spans="7:29">
      <c r="G49" s="1750">
        <f>G48-SUM(G6:G47)</f>
        <v>0</v>
      </c>
      <c r="K49" s="1715"/>
      <c r="O49" s="1666"/>
      <c r="U49" s="1750"/>
      <c r="AC49" s="1750"/>
    </row>
    <row r="50" spans="7:29">
      <c r="J50" s="1949" t="s">
        <v>5181</v>
      </c>
      <c r="K50" s="1950" t="s">
        <v>5180</v>
      </c>
    </row>
    <row r="51" spans="7:29">
      <c r="J51" s="1950">
        <v>3</v>
      </c>
      <c r="K51" s="1951">
        <f>+SUMIFS($K$4:$K$48,$N$4:$N$48,$J51)</f>
        <v>4472881</v>
      </c>
    </row>
    <row r="52" spans="7:29">
      <c r="J52" s="1950">
        <v>5</v>
      </c>
      <c r="K52" s="1951">
        <f>+SUMIFS($K$4:$K$48,$N$4:$N$48,$J52)</f>
        <v>8304170</v>
      </c>
    </row>
    <row r="53" spans="7:29">
      <c r="J53" s="1950">
        <v>8</v>
      </c>
      <c r="K53" s="1951">
        <f>+SUMIFS($K$4:$K$48,$N$4:$N$48,$J53)</f>
        <v>656467</v>
      </c>
    </row>
    <row r="54" spans="7:29">
      <c r="J54" s="1950">
        <v>10</v>
      </c>
      <c r="K54" s="1951">
        <f>+SUMIFS($K$4:$K$48,$N$4:$N$48,$J54)</f>
        <v>0</v>
      </c>
    </row>
    <row r="55" spans="7:29">
      <c r="J55" s="1949" t="s">
        <v>5182</v>
      </c>
      <c r="K55" s="1952">
        <f>SUM(K51:K54)</f>
        <v>13433518</v>
      </c>
    </row>
    <row r="56" spans="7:29">
      <c r="J56" s="1949" t="s">
        <v>5183</v>
      </c>
      <c r="K56" s="1952">
        <f>+K48-K55</f>
        <v>0</v>
      </c>
    </row>
  </sheetData>
  <mergeCells count="38">
    <mergeCell ref="Q43:Q44"/>
    <mergeCell ref="P43:P44"/>
    <mergeCell ref="B43:B44"/>
    <mergeCell ref="X43:X44"/>
    <mergeCell ref="U43:U44"/>
    <mergeCell ref="T43:T44"/>
    <mergeCell ref="S43:S44"/>
    <mergeCell ref="R43:R44"/>
    <mergeCell ref="AC43:AC44"/>
    <mergeCell ref="AB43:AB44"/>
    <mergeCell ref="AA43:AA44"/>
    <mergeCell ref="Z43:Z44"/>
    <mergeCell ref="Y43:Y44"/>
    <mergeCell ref="L4:L5"/>
    <mergeCell ref="M4:M5"/>
    <mergeCell ref="O4:O5"/>
    <mergeCell ref="A4:A5"/>
    <mergeCell ref="B4:B5"/>
    <mergeCell ref="C4:E4"/>
    <mergeCell ref="F4:F5"/>
    <mergeCell ref="G4:G5"/>
    <mergeCell ref="N4:N5"/>
    <mergeCell ref="Y4:AA4"/>
    <mergeCell ref="AB4:AB5"/>
    <mergeCell ref="AC4:AC5"/>
    <mergeCell ref="A6:A48"/>
    <mergeCell ref="O6:O48"/>
    <mergeCell ref="W6:W48"/>
    <mergeCell ref="P4:P5"/>
    <mergeCell ref="Q4:S4"/>
    <mergeCell ref="T4:T5"/>
    <mergeCell ref="U4:U5"/>
    <mergeCell ref="H4:H5"/>
    <mergeCell ref="W4:W5"/>
    <mergeCell ref="X4:X5"/>
    <mergeCell ref="I4:I5"/>
    <mergeCell ref="J4:J5"/>
    <mergeCell ref="K4:K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w6_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66FF33"/>
  </sheetPr>
  <dimension ref="A1:O98"/>
  <sheetViews>
    <sheetView zoomScaleNormal="100" zoomScaleSheetLayoutView="90" workbookViewId="0">
      <pane xSplit="1" ySplit="3" topLeftCell="B25" activePane="bottomRight" state="frozen"/>
      <selection sqref="A1:XFD1048576"/>
      <selection pane="topRight" sqref="A1:XFD1048576"/>
      <selection pane="bottomLeft" sqref="A1:XFD1048576"/>
      <selection pane="bottomRight" activeCell="H40" sqref="C40:H40"/>
    </sheetView>
  </sheetViews>
  <sheetFormatPr defaultRowHeight="13.5"/>
  <cols>
    <col min="1" max="12" width="12.625" customWidth="1" style="1643"/>
    <col min="13" max="13" width="13.625" customWidth="1" style="1643"/>
    <col min="14" max="14" width="12.625" customWidth="1" style="1643"/>
  </cols>
  <sheetData>
    <row r="1" spans="1:14">
      <c r="A1" s="1666"/>
      <c r="B1" s="1666"/>
      <c r="C1" s="1666"/>
      <c r="D1" s="1666"/>
      <c r="E1" s="1666"/>
    </row>
    <row r="2" spans="1:14" ht="20.100000000000001" customHeight="1">
      <c r="A2" s="2747" t="s">
        <v>4818</v>
      </c>
      <c r="B2" s="1670"/>
      <c r="C2" s="2775" t="s">
        <v>4862</v>
      </c>
      <c r="D2" s="2775"/>
      <c r="E2" s="1673"/>
      <c r="F2" s="1671"/>
      <c r="G2" s="2776" t="s">
        <v>4863</v>
      </c>
      <c r="H2" s="2776"/>
      <c r="I2" s="1672"/>
      <c r="J2" s="1671"/>
      <c r="K2" s="2776" t="s">
        <v>4865</v>
      </c>
      <c r="L2" s="2776"/>
      <c r="M2" s="1672"/>
      <c r="N2" s="2773" t="s">
        <v>4858</v>
      </c>
    </row>
    <row r="3" spans="1:14" ht="20.100000000000001" customHeight="1">
      <c r="A3" s="2749"/>
      <c r="B3" s="1677" t="s">
        <v>4843</v>
      </c>
      <c r="C3" s="1676" t="s">
        <v>4859</v>
      </c>
      <c r="D3" s="1676" t="s">
        <v>4860</v>
      </c>
      <c r="E3" s="1678" t="s">
        <v>4861</v>
      </c>
      <c r="F3" s="1677" t="s">
        <v>4843</v>
      </c>
      <c r="G3" s="1676" t="s">
        <v>4859</v>
      </c>
      <c r="H3" s="1676" t="s">
        <v>4860</v>
      </c>
      <c r="I3" s="1678" t="s">
        <v>4861</v>
      </c>
      <c r="J3" s="1675" t="s">
        <v>4843</v>
      </c>
      <c r="K3" s="1676" t="s">
        <v>4859</v>
      </c>
      <c r="L3" s="1676" t="s">
        <v>4860</v>
      </c>
      <c r="M3" s="1674" t="s">
        <v>4861</v>
      </c>
      <c r="N3" s="2774"/>
    </row>
    <row r="4" spans="1:14" ht="20.100000000000001" customHeight="1">
      <c r="A4" s="1760" t="s">
        <v>5202</v>
      </c>
      <c r="B4" s="1913">
        <v>6638585275</v>
      </c>
      <c r="C4" s="1914">
        <v>10574729590</v>
      </c>
      <c r="D4" s="1914">
        <v>6518666458</v>
      </c>
      <c r="E4" s="1721">
        <f>SUM(B4:D4)</f>
        <v>23731981323</v>
      </c>
      <c r="F4" s="1913">
        <v>23984370625</v>
      </c>
      <c r="G4" s="1914">
        <v>1228439250</v>
      </c>
      <c r="H4" s="1914">
        <v>13958819142</v>
      </c>
      <c r="I4" s="1721">
        <f>SUM(F4:H4)</f>
        <v>39171629017</v>
      </c>
      <c r="J4" s="1722">
        <f>B4+F4</f>
        <v>30622955900</v>
      </c>
      <c r="K4" s="1723">
        <f>C4+G4</f>
        <v>11803168840</v>
      </c>
      <c r="L4" s="1723">
        <f>D4+H4</f>
        <v>20477485600</v>
      </c>
      <c r="M4" s="1679">
        <f>SUM(J4:L4)</f>
        <v>62903610340</v>
      </c>
      <c r="N4" s="1680">
        <f>ROUND(J4/M4,5)</f>
        <v>0.48681999999999997</v>
      </c>
    </row>
    <row r="5" spans="1:14" ht="20.100000000000001" customHeight="1">
      <c r="A5" s="1760" t="s">
        <v>5203</v>
      </c>
      <c r="B5" s="1913">
        <v>6403463162</v>
      </c>
      <c r="C5" s="1914">
        <v>12958792633</v>
      </c>
      <c r="D5" s="1914">
        <v>7298770586</v>
      </c>
      <c r="E5" s="1721">
        <f t="shared" ref="E5:E13" si="0">SUM(B5:D5)</f>
        <v>26661026381</v>
      </c>
      <c r="F5" s="1913">
        <v>30382342456</v>
      </c>
      <c r="G5" s="1914">
        <v>1337020167</v>
      </c>
      <c r="H5" s="1914">
        <v>6827237360</v>
      </c>
      <c r="I5" s="1721">
        <f t="shared" ref="I5:I13" si="1">SUM(F5:H5)</f>
        <v>38546599983</v>
      </c>
      <c r="J5" s="1722">
        <f t="shared" ref="J5:J13" si="2">B5+F5</f>
        <v>36785805618</v>
      </c>
      <c r="K5" s="1723">
        <f t="shared" ref="K5:K13" si="3">C5+G5</f>
        <v>14295812800</v>
      </c>
      <c r="L5" s="1723">
        <f t="shared" ref="L5:L13" si="4">D5+H5</f>
        <v>14126007946</v>
      </c>
      <c r="M5" s="1679">
        <f t="shared" ref="M5:M13" si="5">SUM(J5:L5)</f>
        <v>65207626364</v>
      </c>
      <c r="N5" s="1680">
        <f>ROUND(J5/M5,5)</f>
        <v>0.56413000000000002</v>
      </c>
    </row>
    <row r="6" spans="1:14" ht="20.100000000000001" customHeight="1">
      <c r="A6" s="1760" t="s">
        <v>5204</v>
      </c>
      <c r="B6" s="1913">
        <v>7812527889</v>
      </c>
      <c r="C6" s="1914">
        <v>14204408305</v>
      </c>
      <c r="D6" s="1914">
        <v>7783294580</v>
      </c>
      <c r="E6" s="1721">
        <f t="shared" si="0"/>
        <v>29800230774</v>
      </c>
      <c r="F6" s="1913">
        <v>34235599347</v>
      </c>
      <c r="G6" s="1914">
        <v>1845675735</v>
      </c>
      <c r="H6" s="1914">
        <v>6656909458</v>
      </c>
      <c r="I6" s="1721">
        <f t="shared" si="1"/>
        <v>42738184540</v>
      </c>
      <c r="J6" s="1722">
        <f t="shared" si="2"/>
        <v>42048127236</v>
      </c>
      <c r="K6" s="1723">
        <f t="shared" si="3"/>
        <v>16050084040</v>
      </c>
      <c r="L6" s="1723">
        <f t="shared" si="4"/>
        <v>14440204038</v>
      </c>
      <c r="M6" s="1679">
        <f t="shared" si="5"/>
        <v>72538415314</v>
      </c>
      <c r="N6" s="1680">
        <f t="shared" ref="N6:N13" si="6">ROUND(J6/M6,5)</f>
        <v>0.57967000000000002</v>
      </c>
    </row>
    <row r="7" spans="1:14" ht="20.100000000000001" customHeight="1">
      <c r="A7" s="1760" t="s">
        <v>5205</v>
      </c>
      <c r="B7" s="1913">
        <v>8434098941</v>
      </c>
      <c r="C7" s="1914">
        <v>15065133280</v>
      </c>
      <c r="D7" s="1914">
        <v>8082608376</v>
      </c>
      <c r="E7" s="1721">
        <f t="shared" si="0"/>
        <v>31581840597</v>
      </c>
      <c r="F7" s="1913">
        <v>40886458662</v>
      </c>
      <c r="G7" s="1914">
        <v>1839055667</v>
      </c>
      <c r="H7" s="1914">
        <v>7720698116</v>
      </c>
      <c r="I7" s="1721">
        <f t="shared" si="1"/>
        <v>50446212445</v>
      </c>
      <c r="J7" s="1722">
        <f t="shared" si="2"/>
        <v>49320557603</v>
      </c>
      <c r="K7" s="1723">
        <f t="shared" si="3"/>
        <v>16904188947</v>
      </c>
      <c r="L7" s="1723">
        <f t="shared" si="4"/>
        <v>15803306492</v>
      </c>
      <c r="M7" s="1724">
        <f t="shared" si="5"/>
        <v>82028053042</v>
      </c>
      <c r="N7" s="1680">
        <f t="shared" si="6"/>
        <v>0.60126000000000002</v>
      </c>
    </row>
    <row r="8" spans="1:14" ht="20.100000000000001" customHeight="1">
      <c r="A8" s="1760" t="s">
        <v>5206</v>
      </c>
      <c r="B8" s="1913">
        <v>8086078175</v>
      </c>
      <c r="C8" s="1914">
        <v>16243780470</v>
      </c>
      <c r="D8" s="1914">
        <v>8575652485</v>
      </c>
      <c r="E8" s="1721">
        <f t="shared" si="0"/>
        <v>32905511130</v>
      </c>
      <c r="F8" s="1913">
        <v>46767157951</v>
      </c>
      <c r="G8" s="1914">
        <v>2854358144</v>
      </c>
      <c r="H8" s="1914">
        <v>11866935346</v>
      </c>
      <c r="I8" s="1721">
        <f t="shared" si="1"/>
        <v>61488451441</v>
      </c>
      <c r="J8" s="1722">
        <f t="shared" si="2"/>
        <v>54853236126</v>
      </c>
      <c r="K8" s="1723">
        <f t="shared" si="3"/>
        <v>19098138614</v>
      </c>
      <c r="L8" s="1723">
        <f t="shared" si="4"/>
        <v>20442587831</v>
      </c>
      <c r="M8" s="1724">
        <f t="shared" si="5"/>
        <v>94393962571</v>
      </c>
      <c r="N8" s="1680">
        <f t="shared" si="6"/>
        <v>0.58111000000000002</v>
      </c>
    </row>
    <row r="9" spans="1:14" ht="20.100000000000001" customHeight="1">
      <c r="A9" s="1760" t="s">
        <v>5207</v>
      </c>
      <c r="B9" s="1913">
        <v>7946348657</v>
      </c>
      <c r="C9" s="1914">
        <v>16788556844</v>
      </c>
      <c r="D9" s="1914">
        <v>9253794488</v>
      </c>
      <c r="E9" s="1721">
        <f t="shared" si="0"/>
        <v>33988699989</v>
      </c>
      <c r="F9" s="1913">
        <v>44513556794</v>
      </c>
      <c r="G9" s="1914">
        <v>2113094390</v>
      </c>
      <c r="H9" s="1914">
        <v>11563862763</v>
      </c>
      <c r="I9" s="1721">
        <f t="shared" si="1"/>
        <v>58190513947</v>
      </c>
      <c r="J9" s="1722">
        <f t="shared" si="2"/>
        <v>52459905451</v>
      </c>
      <c r="K9" s="1723">
        <f t="shared" si="3"/>
        <v>18901651234</v>
      </c>
      <c r="L9" s="1723">
        <f t="shared" si="4"/>
        <v>20817657251</v>
      </c>
      <c r="M9" s="1724">
        <f t="shared" si="5"/>
        <v>92179213936</v>
      </c>
      <c r="N9" s="1680">
        <f t="shared" si="6"/>
        <v>0.56911</v>
      </c>
    </row>
    <row r="10" spans="1:14" ht="20.100000000000001" customHeight="1">
      <c r="A10" s="1760" t="s">
        <v>5208</v>
      </c>
      <c r="B10" s="1913">
        <v>8326264681</v>
      </c>
      <c r="C10" s="1914">
        <v>17860310884</v>
      </c>
      <c r="D10" s="1914">
        <v>9862655702</v>
      </c>
      <c r="E10" s="1721">
        <f t="shared" si="0"/>
        <v>36049231267</v>
      </c>
      <c r="F10" s="1913">
        <v>50253513909</v>
      </c>
      <c r="G10" s="1914">
        <v>1106253695</v>
      </c>
      <c r="H10" s="1914">
        <v>11507144605</v>
      </c>
      <c r="I10" s="1721">
        <f t="shared" si="1"/>
        <v>62866912209</v>
      </c>
      <c r="J10" s="1722">
        <f t="shared" si="2"/>
        <v>58579778590</v>
      </c>
      <c r="K10" s="1723">
        <f t="shared" si="3"/>
        <v>18966564579</v>
      </c>
      <c r="L10" s="1723">
        <f t="shared" si="4"/>
        <v>21369800307</v>
      </c>
      <c r="M10" s="1724">
        <f t="shared" si="5"/>
        <v>98916143476</v>
      </c>
      <c r="N10" s="1680">
        <f t="shared" si="6"/>
        <v>0.59221999999999997</v>
      </c>
    </row>
    <row r="11" spans="1:14" ht="20.100000000000001" customHeight="1">
      <c r="A11" s="1760" t="s">
        <v>5209</v>
      </c>
      <c r="B11" s="1913">
        <v>8021766260</v>
      </c>
      <c r="C11" s="1914">
        <v>18240244702</v>
      </c>
      <c r="D11" s="1914">
        <v>10520009874</v>
      </c>
      <c r="E11" s="1721">
        <f t="shared" si="0"/>
        <v>36782020836</v>
      </c>
      <c r="F11" s="1913">
        <v>51833966250</v>
      </c>
      <c r="G11" s="1914">
        <v>2799760859</v>
      </c>
      <c r="H11" s="1914">
        <v>13670322808</v>
      </c>
      <c r="I11" s="1721">
        <f t="shared" si="1"/>
        <v>68304049917</v>
      </c>
      <c r="J11" s="1722">
        <f t="shared" si="2"/>
        <v>59855732510</v>
      </c>
      <c r="K11" s="1723">
        <f t="shared" si="3"/>
        <v>21040005561</v>
      </c>
      <c r="L11" s="1723">
        <f t="shared" si="4"/>
        <v>24190332682</v>
      </c>
      <c r="M11" s="1724">
        <f t="shared" si="5"/>
        <v>105086070753</v>
      </c>
      <c r="N11" s="1680">
        <f t="shared" si="6"/>
        <v>0.56959000000000004</v>
      </c>
    </row>
    <row r="12" spans="1:14" ht="20.100000000000001" customHeight="1">
      <c r="A12" s="1760" t="s">
        <v>5210</v>
      </c>
      <c r="B12" s="1913">
        <v>8482299126</v>
      </c>
      <c r="C12" s="1914">
        <v>18816255593</v>
      </c>
      <c r="D12" s="1914">
        <v>11078580135</v>
      </c>
      <c r="E12" s="1721">
        <f t="shared" si="0"/>
        <v>38377134854</v>
      </c>
      <c r="F12" s="1913">
        <v>57008798663</v>
      </c>
      <c r="G12" s="1914">
        <v>1908240142</v>
      </c>
      <c r="H12" s="1914">
        <v>15250197716</v>
      </c>
      <c r="I12" s="1721">
        <f t="shared" si="1"/>
        <v>74167236521</v>
      </c>
      <c r="J12" s="1722">
        <f t="shared" si="2"/>
        <v>65491097789</v>
      </c>
      <c r="K12" s="1723">
        <f t="shared" si="3"/>
        <v>20724495735</v>
      </c>
      <c r="L12" s="1723">
        <f t="shared" si="4"/>
        <v>26328777851</v>
      </c>
      <c r="M12" s="1724">
        <f t="shared" si="5"/>
        <v>112544371375</v>
      </c>
      <c r="N12" s="1680">
        <f t="shared" si="6"/>
        <v>0.58191000000000004</v>
      </c>
    </row>
    <row r="13" spans="1:14" ht="20.100000000000001" customHeight="1">
      <c r="A13" s="1760" t="s">
        <v>5211</v>
      </c>
      <c r="B13" s="1913">
        <v>8513945841</v>
      </c>
      <c r="C13" s="1914">
        <v>19139404817</v>
      </c>
      <c r="D13" s="1914">
        <v>11758371498</v>
      </c>
      <c r="E13" s="1721">
        <f t="shared" si="0"/>
        <v>39411722156</v>
      </c>
      <c r="F13" s="1913">
        <v>58187301350</v>
      </c>
      <c r="G13" s="1914">
        <v>4095079093</v>
      </c>
      <c r="H13" s="1914">
        <v>16500371054</v>
      </c>
      <c r="I13" s="1721">
        <f t="shared" si="1"/>
        <v>78782751497</v>
      </c>
      <c r="J13" s="1722">
        <f t="shared" si="2"/>
        <v>66701247191</v>
      </c>
      <c r="K13" s="1723">
        <f t="shared" si="3"/>
        <v>23234483910</v>
      </c>
      <c r="L13" s="1723">
        <f t="shared" si="4"/>
        <v>28258742552</v>
      </c>
      <c r="M13" s="1724">
        <f t="shared" si="5"/>
        <v>118194473653</v>
      </c>
      <c r="N13" s="1680">
        <f t="shared" si="6"/>
        <v>0.56433</v>
      </c>
    </row>
    <row r="14" spans="1:14" ht="19.5" customHeight="1">
      <c r="A14" s="1760" t="s">
        <v>5212</v>
      </c>
      <c r="B14" s="1913">
        <v>8587386343</v>
      </c>
      <c r="C14" s="1914">
        <v>19356965458</v>
      </c>
      <c r="D14" s="1914">
        <v>12810557993</v>
      </c>
      <c r="E14" s="1721">
        <f t="shared" ref="E14:E20" si="7">SUM(B14:D14)</f>
        <v>40754909794</v>
      </c>
      <c r="F14" s="1913">
        <v>49687034029</v>
      </c>
      <c r="G14" s="1914">
        <v>2277303465</v>
      </c>
      <c r="H14" s="1914">
        <v>18070814930</v>
      </c>
      <c r="I14" s="1721">
        <f t="shared" ref="I14:I20" si="8">SUM(F14:H14)</f>
        <v>70035152424</v>
      </c>
      <c r="J14" s="1722">
        <f t="shared" ref="J14:L16" si="9">B14+F14</f>
        <v>58274420372</v>
      </c>
      <c r="K14" s="1723">
        <f t="shared" si="9"/>
        <v>21634268923</v>
      </c>
      <c r="L14" s="1723">
        <f t="shared" si="9"/>
        <v>30881372923</v>
      </c>
      <c r="M14" s="1724">
        <f t="shared" ref="M14:M20" si="10">SUM(J14:L14)</f>
        <v>110790062218</v>
      </c>
      <c r="N14" s="1680">
        <f t="shared" ref="N14:N20" si="11">ROUND(J14/M14,5)</f>
        <v>0.52598999999999996</v>
      </c>
    </row>
    <row r="15" spans="1:14" ht="19.5" customHeight="1">
      <c r="A15" s="1760" t="s">
        <v>5213</v>
      </c>
      <c r="B15" s="1913">
        <v>8003528492</v>
      </c>
      <c r="C15" s="1914">
        <v>20335043030</v>
      </c>
      <c r="D15" s="1914">
        <v>13616766355</v>
      </c>
      <c r="E15" s="1721">
        <f t="shared" si="7"/>
        <v>41955337877</v>
      </c>
      <c r="F15" s="1913">
        <v>40350402894</v>
      </c>
      <c r="G15" s="1914">
        <v>2613187479</v>
      </c>
      <c r="H15" s="1914">
        <v>19254679402</v>
      </c>
      <c r="I15" s="1721">
        <f t="shared" si="8"/>
        <v>62218269775</v>
      </c>
      <c r="J15" s="1722">
        <f>B15+F15</f>
        <v>48353931386</v>
      </c>
      <c r="K15" s="1723">
        <f>C15+G15</f>
        <v>22948230509</v>
      </c>
      <c r="L15" s="1723">
        <f>D15+H15</f>
        <v>32871445757</v>
      </c>
      <c r="M15" s="1724">
        <f t="shared" si="10"/>
        <v>104173607652</v>
      </c>
      <c r="N15" s="1680">
        <f t="shared" si="11"/>
        <v>0.46417000000000003</v>
      </c>
    </row>
    <row r="16" spans="1:14" ht="19.5" customHeight="1">
      <c r="A16" s="1760" t="s">
        <v>5214</v>
      </c>
      <c r="B16" s="1913">
        <v>7977522499</v>
      </c>
      <c r="C16" s="1914">
        <v>20678904963</v>
      </c>
      <c r="D16" s="1914">
        <v>14573357905</v>
      </c>
      <c r="E16" s="1721">
        <f t="shared" si="7"/>
        <v>43229785367</v>
      </c>
      <c r="F16" s="1913">
        <v>34764506441</v>
      </c>
      <c r="G16" s="1914">
        <v>2704862668</v>
      </c>
      <c r="H16" s="1914">
        <v>20376788964</v>
      </c>
      <c r="I16" s="1721">
        <f t="shared" si="8"/>
        <v>57846158073</v>
      </c>
      <c r="J16" s="1722">
        <f t="shared" si="9"/>
        <v>42742028940</v>
      </c>
      <c r="K16" s="1723">
        <f t="shared" si="9"/>
        <v>23383767631</v>
      </c>
      <c r="L16" s="1723">
        <f t="shared" si="9"/>
        <v>34950146869</v>
      </c>
      <c r="M16" s="1724">
        <f t="shared" si="10"/>
        <v>101075943440</v>
      </c>
      <c r="N16" s="1680">
        <f t="shared" si="11"/>
        <v>0.42287000000000002</v>
      </c>
    </row>
    <row r="17" spans="1:15" ht="19.5" customHeight="1">
      <c r="A17" s="1760" t="s">
        <v>5215</v>
      </c>
      <c r="B17" s="1913">
        <v>7771762820</v>
      </c>
      <c r="C17" s="1914">
        <v>20501209143</v>
      </c>
      <c r="D17" s="1914">
        <v>15187347293</v>
      </c>
      <c r="E17" s="1721">
        <f t="shared" si="7"/>
        <v>43460319256</v>
      </c>
      <c r="F17" s="1913">
        <v>30922931398</v>
      </c>
      <c r="G17" s="1914">
        <v>1294922419</v>
      </c>
      <c r="H17" s="1914">
        <v>22473253405</v>
      </c>
      <c r="I17" s="1721">
        <f t="shared" si="8"/>
        <v>54691107222</v>
      </c>
      <c r="J17" s="1722">
        <f t="shared" ref="J17:L20" si="12">B17+F17</f>
        <v>38694694218</v>
      </c>
      <c r="K17" s="1723">
        <f t="shared" si="12"/>
        <v>21796131562</v>
      </c>
      <c r="L17" s="1723">
        <f t="shared" si="12"/>
        <v>37660600698</v>
      </c>
      <c r="M17" s="1724">
        <f t="shared" si="10"/>
        <v>98151426478</v>
      </c>
      <c r="N17" s="1680">
        <f t="shared" si="11"/>
        <v>0.39423000000000002</v>
      </c>
    </row>
    <row r="18" spans="1:15" ht="19.5" customHeight="1">
      <c r="A18" s="1760" t="s">
        <v>5216</v>
      </c>
      <c r="B18" s="1913">
        <v>7573415142</v>
      </c>
      <c r="C18" s="1914">
        <v>20214083392</v>
      </c>
      <c r="D18" s="1914">
        <v>15744781166</v>
      </c>
      <c r="E18" s="1721">
        <f t="shared" si="7"/>
        <v>43532279700</v>
      </c>
      <c r="F18" s="1913">
        <v>30048480712</v>
      </c>
      <c r="G18" s="1914">
        <v>779160315</v>
      </c>
      <c r="H18" s="1914">
        <v>26465155845</v>
      </c>
      <c r="I18" s="1721">
        <f t="shared" si="8"/>
        <v>57292796872</v>
      </c>
      <c r="J18" s="1722">
        <f t="shared" si="12"/>
        <v>37621895854</v>
      </c>
      <c r="K18" s="1723">
        <f t="shared" si="12"/>
        <v>20993243707</v>
      </c>
      <c r="L18" s="1723">
        <f t="shared" si="12"/>
        <v>42209937011</v>
      </c>
      <c r="M18" s="1724">
        <f t="shared" si="10"/>
        <v>100825076572</v>
      </c>
      <c r="N18" s="1680">
        <f t="shared" si="11"/>
        <v>0.37314000000000003</v>
      </c>
    </row>
    <row r="19" spans="1:15" ht="19.5" customHeight="1">
      <c r="A19" s="1760" t="s">
        <v>5217</v>
      </c>
      <c r="B19" s="1913">
        <v>7572337729</v>
      </c>
      <c r="C19" s="1914">
        <v>19249668805</v>
      </c>
      <c r="D19" s="1914">
        <v>16012794882</v>
      </c>
      <c r="E19" s="1721">
        <f>SUM(B19:D19)</f>
        <v>42834801416</v>
      </c>
      <c r="F19" s="1913">
        <v>21513127628</v>
      </c>
      <c r="G19" s="1914">
        <v>581437229</v>
      </c>
      <c r="H19" s="1914">
        <v>36375798851</v>
      </c>
      <c r="I19" s="1721">
        <f>SUM(F19:H19)</f>
        <v>58470363708</v>
      </c>
      <c r="J19" s="1722">
        <f>B19+F19</f>
        <v>29085465357</v>
      </c>
      <c r="K19" s="1723">
        <f>C19+G19</f>
        <v>19831106034</v>
      </c>
      <c r="L19" s="1723">
        <f>D19+H19</f>
        <v>52388593733</v>
      </c>
      <c r="M19" s="1724">
        <f>SUM(J19:L19)</f>
        <v>101305165124</v>
      </c>
      <c r="N19" s="1680">
        <f>ROUND(J19/M19,5)</f>
        <v>0.28710999999999998</v>
      </c>
    </row>
    <row r="20" spans="1:15" ht="19.5" customHeight="1">
      <c r="A20" s="1760" t="s">
        <v>5218</v>
      </c>
      <c r="B20" s="1913">
        <v>7117674987</v>
      </c>
      <c r="C20" s="1914">
        <v>18502570644</v>
      </c>
      <c r="D20" s="1914">
        <v>16455894926</v>
      </c>
      <c r="E20" s="1721">
        <f t="shared" si="7"/>
        <v>42076140557</v>
      </c>
      <c r="F20" s="1913">
        <v>17965322147</v>
      </c>
      <c r="G20" s="1914">
        <v>260410517</v>
      </c>
      <c r="H20" s="1914">
        <v>36226852363</v>
      </c>
      <c r="I20" s="1721">
        <f t="shared" si="8"/>
        <v>54452585027</v>
      </c>
      <c r="J20" s="1722">
        <f t="shared" si="12"/>
        <v>25082997134</v>
      </c>
      <c r="K20" s="1723">
        <f t="shared" si="12"/>
        <v>18762981161</v>
      </c>
      <c r="L20" s="1723">
        <f t="shared" si="12"/>
        <v>52682747289</v>
      </c>
      <c r="M20" s="1724">
        <f t="shared" si="10"/>
        <v>96528725584</v>
      </c>
      <c r="N20" s="1680">
        <f t="shared" si="11"/>
        <v>0.25985000000000003</v>
      </c>
    </row>
    <row r="21" spans="1:15" ht="19.5" customHeight="1">
      <c r="A21" s="1760" t="s">
        <v>5219</v>
      </c>
      <c r="B21" s="1913">
        <v>6689492991</v>
      </c>
      <c r="C21" s="1914">
        <v>17712922546</v>
      </c>
      <c r="D21" s="1914">
        <v>16422506480</v>
      </c>
      <c r="E21" s="1721">
        <f t="shared" ref="E21:E26" si="13">SUM(B21:D21)</f>
        <v>40824922017</v>
      </c>
      <c r="F21" s="1913">
        <v>14968214583</v>
      </c>
      <c r="G21" s="1914">
        <v>983325995</v>
      </c>
      <c r="H21" s="1914">
        <v>27992116272</v>
      </c>
      <c r="I21" s="1721">
        <f t="shared" ref="I21:I26" si="14">SUM(F21:H21)</f>
        <v>43943656850</v>
      </c>
      <c r="J21" s="1722">
        <f t="shared" ref="J21:L22" si="15">B21+F21</f>
        <v>21657707574</v>
      </c>
      <c r="K21" s="1723">
        <f t="shared" si="15"/>
        <v>18696248541</v>
      </c>
      <c r="L21" s="1723">
        <f t="shared" si="15"/>
        <v>44414622752</v>
      </c>
      <c r="M21" s="1724">
        <f t="shared" ref="M21:M26" si="16">SUM(J21:L21)</f>
        <v>84768578867</v>
      </c>
      <c r="N21" s="1680">
        <f t="shared" ref="N21:N26" si="17">ROUND(J21/M21,5)</f>
        <v>0.25548999999999999</v>
      </c>
    </row>
    <row r="22" spans="1:15" ht="19.5" customHeight="1">
      <c r="A22" s="1760" t="s">
        <v>5220</v>
      </c>
      <c r="B22" s="1913">
        <v>6524933674</v>
      </c>
      <c r="C22" s="1914">
        <v>17067019471</v>
      </c>
      <c r="D22" s="1914">
        <v>16430463028</v>
      </c>
      <c r="E22" s="1721">
        <f t="shared" si="13"/>
        <v>40022416173</v>
      </c>
      <c r="F22" s="1913">
        <v>18897638322</v>
      </c>
      <c r="G22" s="1914">
        <v>3752542042</v>
      </c>
      <c r="H22" s="1914">
        <v>42903721542</v>
      </c>
      <c r="I22" s="1721">
        <f t="shared" si="14"/>
        <v>65553901906</v>
      </c>
      <c r="J22" s="1722">
        <f t="shared" si="15"/>
        <v>25422571996</v>
      </c>
      <c r="K22" s="1723">
        <f t="shared" si="15"/>
        <v>20819561513</v>
      </c>
      <c r="L22" s="1723">
        <f t="shared" si="15"/>
        <v>59334184570</v>
      </c>
      <c r="M22" s="1724">
        <f t="shared" si="16"/>
        <v>105576318079</v>
      </c>
      <c r="N22" s="1680">
        <f t="shared" si="17"/>
        <v>0.24079999999999999</v>
      </c>
    </row>
    <row r="23" spans="1:15" ht="19.5" customHeight="1">
      <c r="A23" s="1760" t="s">
        <v>5221</v>
      </c>
      <c r="B23" s="1913">
        <v>6868439956</v>
      </c>
      <c r="C23" s="1914">
        <v>15595713532</v>
      </c>
      <c r="D23" s="1914">
        <v>17045198968</v>
      </c>
      <c r="E23" s="1721">
        <f t="shared" si="13"/>
        <v>39509352456</v>
      </c>
      <c r="F23" s="1913">
        <v>17825395506</v>
      </c>
      <c r="G23" s="1914">
        <v>2414127859</v>
      </c>
      <c r="H23" s="1914">
        <v>50652357033</v>
      </c>
      <c r="I23" s="1721">
        <f t="shared" si="14"/>
        <v>70891880398</v>
      </c>
      <c r="J23" s="1722">
        <f t="shared" ref="J23:L24" si="18">B23+F23</f>
        <v>24693835462</v>
      </c>
      <c r="K23" s="1723">
        <f t="shared" si="18"/>
        <v>18009841391</v>
      </c>
      <c r="L23" s="1723">
        <f t="shared" si="18"/>
        <v>67697556001</v>
      </c>
      <c r="M23" s="1724">
        <f t="shared" si="16"/>
        <v>110401232854</v>
      </c>
      <c r="N23" s="1680">
        <f t="shared" si="17"/>
        <v>0.22367000000000001</v>
      </c>
    </row>
    <row r="24" spans="1:15" ht="19.5" customHeight="1">
      <c r="A24" s="1760" t="s">
        <v>5222</v>
      </c>
      <c r="B24" s="1913">
        <v>6894436649</v>
      </c>
      <c r="C24" s="1914">
        <v>14216013334</v>
      </c>
      <c r="D24" s="1914">
        <v>17141070815</v>
      </c>
      <c r="E24" s="1721">
        <f t="shared" si="13"/>
        <v>38251520798</v>
      </c>
      <c r="F24" s="1913">
        <v>15429936231</v>
      </c>
      <c r="G24" s="1914">
        <v>968394665</v>
      </c>
      <c r="H24" s="1914">
        <v>33447256656</v>
      </c>
      <c r="I24" s="1721">
        <f t="shared" si="14"/>
        <v>49845587552</v>
      </c>
      <c r="J24" s="1722">
        <f t="shared" si="18"/>
        <v>22324372880</v>
      </c>
      <c r="K24" s="1723">
        <f t="shared" si="18"/>
        <v>15184407999</v>
      </c>
      <c r="L24" s="1723">
        <f t="shared" si="18"/>
        <v>50588327471</v>
      </c>
      <c r="M24" s="1724">
        <f t="shared" si="16"/>
        <v>88097108350</v>
      </c>
      <c r="N24" s="1680">
        <f t="shared" si="17"/>
        <v>0.25341000000000002</v>
      </c>
      <c r="O24" t="s" s="1643">
        <v>5087</v>
      </c>
    </row>
    <row r="25" spans="1:15" ht="19.5" customHeight="1">
      <c r="A25" s="1760" t="s">
        <v>5223</v>
      </c>
      <c r="B25" s="1913">
        <v>6759860353</v>
      </c>
      <c r="C25" s="1914">
        <v>13658696637</v>
      </c>
      <c r="D25" s="1914">
        <v>17705768744</v>
      </c>
      <c r="E25" s="1721">
        <f t="shared" si="13"/>
        <v>38124325734</v>
      </c>
      <c r="F25" s="1913">
        <v>19566303132</v>
      </c>
      <c r="G25" s="1914">
        <v>300279386</v>
      </c>
      <c r="H25" s="1914">
        <v>44732148891</v>
      </c>
      <c r="I25" s="1721">
        <f t="shared" si="14"/>
        <v>64598731409</v>
      </c>
      <c r="J25" s="1722">
        <f t="shared" ref="J25:L26" si="19">B25+F25</f>
        <v>26326163485</v>
      </c>
      <c r="K25" s="1723">
        <f t="shared" si="19"/>
        <v>13958976023</v>
      </c>
      <c r="L25" s="1723">
        <f t="shared" si="19"/>
        <v>62437917635</v>
      </c>
      <c r="M25" s="1724">
        <f t="shared" si="16"/>
        <v>102723057143</v>
      </c>
      <c r="N25" s="1680">
        <f t="shared" si="17"/>
        <v>0.25628000000000001</v>
      </c>
    </row>
    <row r="26" spans="1:15" ht="19.5" customHeight="1">
      <c r="A26" s="1760" t="s">
        <v>5224</v>
      </c>
      <c r="B26" s="1913">
        <v>7166401906</v>
      </c>
      <c r="C26" s="1914">
        <v>12699860108</v>
      </c>
      <c r="D26" s="1914">
        <v>17657302282</v>
      </c>
      <c r="E26" s="1721">
        <f t="shared" si="13"/>
        <v>37523564296</v>
      </c>
      <c r="F26" s="1913">
        <v>19717038371</v>
      </c>
      <c r="G26" s="1914">
        <v>456886518</v>
      </c>
      <c r="H26" s="1914">
        <v>42060887860</v>
      </c>
      <c r="I26" s="1721">
        <f t="shared" si="14"/>
        <v>62234812749</v>
      </c>
      <c r="J26" s="1722">
        <f t="shared" si="19"/>
        <v>26883440277</v>
      </c>
      <c r="K26" s="1723">
        <f t="shared" si="19"/>
        <v>13156746626</v>
      </c>
      <c r="L26" s="1723">
        <f t="shared" si="19"/>
        <v>59718190142</v>
      </c>
      <c r="M26" s="1724">
        <f t="shared" si="16"/>
        <v>99758377045</v>
      </c>
      <c r="N26" s="1680">
        <f t="shared" si="17"/>
        <v>0.26949000000000001</v>
      </c>
    </row>
    <row r="27" spans="1:15" ht="19.5" customHeight="1">
      <c r="A27" s="1760" t="s">
        <v>5225</v>
      </c>
      <c r="B27" s="1913">
        <v>6887259886</v>
      </c>
      <c r="C27" s="1914">
        <v>11839132984</v>
      </c>
      <c r="D27" s="1914">
        <v>18167483572</v>
      </c>
      <c r="E27" s="1721">
        <f t="shared" ref="E27:E34" si="20">SUM(B27:D27)</f>
        <v>36893876442</v>
      </c>
      <c r="F27" s="1913">
        <v>13933974658</v>
      </c>
      <c r="G27" s="1914">
        <v>395800992</v>
      </c>
      <c r="H27" s="1914">
        <v>49892256332</v>
      </c>
      <c r="I27" s="1721">
        <f t="shared" ref="I27:I34" si="21">SUM(F27:H27)</f>
        <v>64222031982</v>
      </c>
      <c r="J27" s="1722">
        <f t="shared" ref="J27:L28" si="22">B27+F27</f>
        <v>20821234544</v>
      </c>
      <c r="K27" s="1723">
        <f t="shared" si="22"/>
        <v>12234933976</v>
      </c>
      <c r="L27" s="1723">
        <f t="shared" si="22"/>
        <v>68059739904</v>
      </c>
      <c r="M27" s="1724">
        <f t="shared" ref="M27:M34" si="23">SUM(J27:L27)</f>
        <v>101115908424</v>
      </c>
      <c r="N27" s="1680">
        <f t="shared" ref="N27:N34" si="24">ROUND(J27/M27,5)</f>
        <v>0.20591000000000001</v>
      </c>
    </row>
    <row r="28" spans="1:15" ht="19.5" customHeight="1">
      <c r="A28" s="1760" t="s">
        <v>5226</v>
      </c>
      <c r="B28" s="1913">
        <v>6976860328</v>
      </c>
      <c r="C28" s="1914">
        <v>10707772818</v>
      </c>
      <c r="D28" s="1914">
        <f>17994183596+344000000</f>
        <v>18338183596</v>
      </c>
      <c r="E28" s="1721">
        <f t="shared" si="20"/>
        <v>36022816742</v>
      </c>
      <c r="F28" s="1913">
        <v>15193010294</v>
      </c>
      <c r="G28" s="1914">
        <v>263334678</v>
      </c>
      <c r="H28" s="1914">
        <v>36418259053</v>
      </c>
      <c r="I28" s="1721">
        <f t="shared" si="21"/>
        <v>51874604025</v>
      </c>
      <c r="J28" s="1722">
        <f t="shared" si="22"/>
        <v>22169870622</v>
      </c>
      <c r="K28" s="1723">
        <f t="shared" si="22"/>
        <v>10971107496</v>
      </c>
      <c r="L28" s="1723">
        <f t="shared" si="22"/>
        <v>54756442649</v>
      </c>
      <c r="M28" s="1724">
        <f t="shared" si="23"/>
        <v>87897420767</v>
      </c>
      <c r="N28" s="1680">
        <f t="shared" si="24"/>
        <v>0.25222</v>
      </c>
    </row>
    <row r="29" spans="1:15" ht="19.5" customHeight="1">
      <c r="A29" s="1760" t="s">
        <v>5227</v>
      </c>
      <c r="B29" s="1913">
        <v>7405711100</v>
      </c>
      <c r="C29" s="1914">
        <v>10206700741</v>
      </c>
      <c r="D29" s="1914">
        <v>28528174739</v>
      </c>
      <c r="E29" s="1721">
        <f t="shared" si="20"/>
        <v>46140586580</v>
      </c>
      <c r="F29" s="1913">
        <v>13518781516</v>
      </c>
      <c r="G29" s="1914">
        <v>255809374</v>
      </c>
      <c r="H29" s="1914">
        <v>39641712570</v>
      </c>
      <c r="I29" s="1721">
        <f t="shared" si="21"/>
        <v>53416303460</v>
      </c>
      <c r="J29" s="1722">
        <f t="shared" ref="J29:L33" si="25">B29+F29</f>
        <v>20924492616</v>
      </c>
      <c r="K29" s="1723">
        <f t="shared" si="25"/>
        <v>10462510115</v>
      </c>
      <c r="L29" s="1723">
        <f t="shared" si="25"/>
        <v>68169887309</v>
      </c>
      <c r="M29" s="1724">
        <f t="shared" si="23"/>
        <v>99556890040</v>
      </c>
      <c r="N29" s="1680">
        <f t="shared" si="24"/>
        <v>0.21018000000000001</v>
      </c>
    </row>
    <row r="30" spans="1:15" ht="19.5" customHeight="1">
      <c r="A30" s="1760" t="s">
        <v>5228</v>
      </c>
      <c r="B30" s="1913">
        <v>7502403938</v>
      </c>
      <c r="C30" s="1914">
        <v>9568413341</v>
      </c>
      <c r="D30" s="1914">
        <v>28428432413</v>
      </c>
      <c r="E30" s="1721">
        <f t="shared" si="20"/>
        <v>45499249692</v>
      </c>
      <c r="F30" s="1913">
        <v>13673741707</v>
      </c>
      <c r="G30" s="1914">
        <v>250692846</v>
      </c>
      <c r="H30" s="1914">
        <v>45381904933</v>
      </c>
      <c r="I30" s="1721">
        <f t="shared" si="21"/>
        <v>59306339486</v>
      </c>
      <c r="J30" s="1722">
        <f t="shared" si="25"/>
        <v>21176145645</v>
      </c>
      <c r="K30" s="1723">
        <f t="shared" si="25"/>
        <v>9819106187</v>
      </c>
      <c r="L30" s="1723">
        <f t="shared" si="25"/>
        <v>73810337346</v>
      </c>
      <c r="M30" s="1724">
        <f t="shared" si="23"/>
        <v>104805589178</v>
      </c>
      <c r="N30" s="1680">
        <f t="shared" si="24"/>
        <v>0.20205000000000001</v>
      </c>
    </row>
    <row r="31" spans="1:15" ht="19.5" customHeight="1">
      <c r="A31" s="1760" t="s">
        <v>5229</v>
      </c>
      <c r="B31" s="1913">
        <v>7471788417</v>
      </c>
      <c r="C31" s="1914">
        <v>8873947471</v>
      </c>
      <c r="D31" s="1914">
        <v>28082028870</v>
      </c>
      <c r="E31" s="1721">
        <f t="shared" si="20"/>
        <v>44427764758</v>
      </c>
      <c r="F31" s="1913">
        <v>16015488368</v>
      </c>
      <c r="G31" s="1914">
        <v>476090427</v>
      </c>
      <c r="H31" s="1914">
        <v>44477475036</v>
      </c>
      <c r="I31" s="1721">
        <f t="shared" si="21"/>
        <v>60969053831</v>
      </c>
      <c r="J31" s="1722">
        <f t="shared" si="25"/>
        <v>23487276785</v>
      </c>
      <c r="K31" s="1723">
        <f t="shared" si="25"/>
        <v>9350037898</v>
      </c>
      <c r="L31" s="1723">
        <f t="shared" si="25"/>
        <v>72559503906</v>
      </c>
      <c r="M31" s="1724">
        <f t="shared" si="23"/>
        <v>105396818589</v>
      </c>
      <c r="N31" s="1680">
        <f t="shared" si="24"/>
        <v>0.22284999999999999</v>
      </c>
    </row>
    <row r="32" spans="1:15" ht="19.5" customHeight="1">
      <c r="A32" s="1760" t="s">
        <v>5230</v>
      </c>
      <c r="B32" s="1913">
        <v>7288319684</v>
      </c>
      <c r="C32" s="1914">
        <v>8236741525</v>
      </c>
      <c r="D32" s="1914">
        <v>28327916779</v>
      </c>
      <c r="E32" s="1721">
        <f t="shared" si="20"/>
        <v>43852977988</v>
      </c>
      <c r="F32" s="1913">
        <v>12193254040</v>
      </c>
      <c r="G32" s="1914">
        <v>172881326</v>
      </c>
      <c r="H32" s="1914">
        <v>43387930621</v>
      </c>
      <c r="I32" s="1721">
        <f t="shared" si="21"/>
        <v>55754065987</v>
      </c>
      <c r="J32" s="1722">
        <f t="shared" si="25"/>
        <v>19481573724</v>
      </c>
      <c r="K32" s="1723">
        <f t="shared" si="25"/>
        <v>8409622851</v>
      </c>
      <c r="L32" s="1723">
        <f t="shared" si="25"/>
        <v>71715847400</v>
      </c>
      <c r="M32" s="1724">
        <f t="shared" si="23"/>
        <v>99607043975</v>
      </c>
      <c r="N32" s="1680">
        <f t="shared" si="24"/>
        <v>0.19558</v>
      </c>
    </row>
    <row r="33" spans="1:14" ht="19.5" customHeight="1">
      <c r="A33" s="1760" t="s">
        <v>5231</v>
      </c>
      <c r="B33" s="1913">
        <v>7672207507</v>
      </c>
      <c r="C33" s="1914">
        <v>7488450411</v>
      </c>
      <c r="D33" s="1914">
        <v>28561064104</v>
      </c>
      <c r="E33" s="1721">
        <f t="shared" si="20"/>
        <v>43721722022</v>
      </c>
      <c r="F33" s="1913">
        <v>12199708700</v>
      </c>
      <c r="G33" s="1914">
        <v>163488246</v>
      </c>
      <c r="H33" s="1914">
        <v>42466838420</v>
      </c>
      <c r="I33" s="1721">
        <f t="shared" si="21"/>
        <v>54830035366</v>
      </c>
      <c r="J33" s="1722">
        <f t="shared" si="25"/>
        <v>19871916207</v>
      </c>
      <c r="K33" s="1723">
        <f t="shared" si="25"/>
        <v>7651938657</v>
      </c>
      <c r="L33" s="1723">
        <f t="shared" si="25"/>
        <v>71027902524</v>
      </c>
      <c r="M33" s="1724">
        <f t="shared" si="23"/>
        <v>98551757388</v>
      </c>
      <c r="N33" s="1680">
        <f t="shared" si="24"/>
        <v>0.20164000000000001</v>
      </c>
    </row>
    <row r="34" spans="1:14" ht="19.5" customHeight="1">
      <c r="A34" s="1760" t="s">
        <v>5274</v>
      </c>
      <c r="B34" s="1913">
        <v>7409681627</v>
      </c>
      <c r="C34" s="1914">
        <v>6779150888</v>
      </c>
      <c r="D34" s="1914">
        <v>28905116988</v>
      </c>
      <c r="E34" s="1721">
        <f t="shared" si="20"/>
        <v>43093949503</v>
      </c>
      <c r="F34" s="1913">
        <v>14480276602</v>
      </c>
      <c r="G34" s="1914">
        <v>138443253</v>
      </c>
      <c r="H34" s="1914">
        <v>43501906672</v>
      </c>
      <c r="I34" s="1721">
        <f t="shared" si="21"/>
        <v>58120626527</v>
      </c>
      <c r="J34" s="1722">
        <f>B34+F34</f>
        <v>21889958229</v>
      </c>
      <c r="K34" s="1723">
        <f>C34+G34</f>
        <v>6917594141</v>
      </c>
      <c r="L34" s="1723">
        <f>D34+H34</f>
        <v>72407023660</v>
      </c>
      <c r="M34" s="1724">
        <f t="shared" si="23"/>
        <v>101214576030</v>
      </c>
      <c r="N34" s="1680">
        <f t="shared" si="24"/>
        <v>0.21626999999999999</v>
      </c>
    </row>
    <row r="35" spans="1:14" ht="19.5" customHeight="1">
      <c r="A35" s="1760" t="s">
        <v>5271</v>
      </c>
      <c r="B35" s="1913">
        <v>7423029134</v>
      </c>
      <c r="C35" s="1914">
        <v>6070030913</v>
      </c>
      <c r="D35" s="1914">
        <v>28661715861</v>
      </c>
      <c r="E35" s="1721">
        <f t="shared" ref="E35:E41" si="26">SUM(B35:D35)</f>
        <v>42154775908</v>
      </c>
      <c r="F35" s="1913">
        <v>18145690302</v>
      </c>
      <c r="G35" s="1914">
        <v>157634080</v>
      </c>
      <c r="H35" s="1914">
        <v>44634448563</v>
      </c>
      <c r="I35" s="1721">
        <f t="shared" ref="I35:I41" si="27">SUM(F35:H35)</f>
        <v>62937772945</v>
      </c>
      <c r="J35" s="1722">
        <f t="shared" ref="J35:J41" si="28">B35+F35</f>
        <v>25568719436</v>
      </c>
      <c r="K35" s="1723">
        <f t="shared" ref="K35:K41" si="29">C35+G35</f>
        <v>6227664993</v>
      </c>
      <c r="L35" s="1723">
        <f t="shared" ref="L35:L41" si="30">D35+H35</f>
        <v>73296164424</v>
      </c>
      <c r="M35" s="1724">
        <f t="shared" ref="M35:M41" si="31">SUM(J35:L35)</f>
        <v>105092548853</v>
      </c>
      <c r="N35" s="1680">
        <f t="shared" ref="N35:N41" si="32">ROUND(J35/M35,5)</f>
        <v>0.24329999999999999</v>
      </c>
    </row>
    <row r="36" spans="1:14" ht="19.5" customHeight="1">
      <c r="A36" s="1760" t="s">
        <v>5272</v>
      </c>
      <c r="B36" s="1913">
        <v>7687242613</v>
      </c>
      <c r="C36" s="1914">
        <v>5356593326</v>
      </c>
      <c r="D36" s="1914">
        <v>29385463133</v>
      </c>
      <c r="E36" s="1721">
        <f t="shared" si="26"/>
        <v>42429299072</v>
      </c>
      <c r="F36" s="1913">
        <v>18045752723</v>
      </c>
      <c r="G36" s="1914">
        <v>145494597</v>
      </c>
      <c r="H36" s="1914">
        <v>45625991085</v>
      </c>
      <c r="I36" s="1721">
        <f t="shared" si="27"/>
        <v>63817238405</v>
      </c>
      <c r="J36" s="1722">
        <f t="shared" si="28"/>
        <v>25732995336</v>
      </c>
      <c r="K36" s="1723">
        <f t="shared" si="29"/>
        <v>5502087923</v>
      </c>
      <c r="L36" s="1723">
        <f t="shared" si="30"/>
        <v>75011454218</v>
      </c>
      <c r="M36" s="1724">
        <f t="shared" si="31"/>
        <v>106246537477</v>
      </c>
      <c r="N36" s="1680">
        <f t="shared" si="32"/>
        <v>0.2422</v>
      </c>
    </row>
    <row r="37" spans="1:14" ht="19.5" customHeight="1">
      <c r="A37" s="1760" t="s">
        <v>5273</v>
      </c>
      <c r="B37" s="1913">
        <v>8731704068</v>
      </c>
      <c r="C37" s="1914">
        <v>4740173996</v>
      </c>
      <c r="D37" s="1914">
        <v>29180395722</v>
      </c>
      <c r="E37" s="1721">
        <f>SUM(B37:D37)</f>
        <v>42652273786</v>
      </c>
      <c r="F37" s="1913">
        <v>14243193801</v>
      </c>
      <c r="G37" s="1914">
        <v>156372634</v>
      </c>
      <c r="H37" s="1914">
        <v>45309892864</v>
      </c>
      <c r="I37" s="1721">
        <f>SUM(F37:H37)</f>
        <v>59709459299</v>
      </c>
      <c r="J37" s="1722">
        <f t="shared" si="28"/>
        <v>22974897869</v>
      </c>
      <c r="K37" s="1723">
        <f t="shared" si="29"/>
        <v>4896546630</v>
      </c>
      <c r="L37" s="1723">
        <f t="shared" si="30"/>
        <v>74490288586</v>
      </c>
      <c r="M37" s="1724">
        <f t="shared" si="31"/>
        <v>102361733085</v>
      </c>
      <c r="N37" s="1680">
        <f t="shared" si="32"/>
        <v>0.22445000000000001</v>
      </c>
    </row>
    <row r="38" spans="1:14" ht="19.5" customHeight="1">
      <c r="A38" s="1752"/>
      <c r="B38" s="1765"/>
      <c r="C38" s="1766"/>
      <c r="D38" s="1766"/>
      <c r="E38" s="1721">
        <f t="shared" si="26"/>
        <v>0</v>
      </c>
      <c r="F38" s="1765"/>
      <c r="G38" s="1766"/>
      <c r="H38" s="1766"/>
      <c r="I38" s="1721">
        <f t="shared" si="27"/>
        <v>0</v>
      </c>
      <c r="J38" s="1722">
        <f t="shared" si="28"/>
        <v>0</v>
      </c>
      <c r="K38" s="1723">
        <f t="shared" si="29"/>
        <v>0</v>
      </c>
      <c r="L38" s="1723">
        <f t="shared" si="30"/>
        <v>0</v>
      </c>
      <c r="M38" s="1724">
        <f t="shared" si="31"/>
        <v>0</v>
      </c>
      <c r="N38" s="1680" t="str">
        <f>IF(M38=0,"",ROUND(J38/M38,5))</f>
        <v/>
      </c>
    </row>
    <row r="39" spans="1:14" ht="19.5" customHeight="1">
      <c r="A39" s="1752"/>
      <c r="B39" s="1765"/>
      <c r="C39" s="1766"/>
      <c r="D39" s="1766"/>
      <c r="E39" s="1721">
        <f t="shared" si="26"/>
        <v>0</v>
      </c>
      <c r="F39" s="1765"/>
      <c r="G39" s="1766"/>
      <c r="H39" s="1766"/>
      <c r="I39" s="1721">
        <f t="shared" si="27"/>
        <v>0</v>
      </c>
      <c r="J39" s="1722">
        <f t="shared" si="28"/>
        <v>0</v>
      </c>
      <c r="K39" s="1723">
        <f t="shared" si="29"/>
        <v>0</v>
      </c>
      <c r="L39" s="1723">
        <f t="shared" si="30"/>
        <v>0</v>
      </c>
      <c r="M39" s="1724">
        <f t="shared" si="31"/>
        <v>0</v>
      </c>
      <c r="N39" s="1680" t="str">
        <f>IF(M39=0,"",ROUND(J39/M39,5))</f>
        <v/>
      </c>
    </row>
    <row r="40" spans="1:14" ht="19.5" customHeight="1">
      <c r="A40" s="1752"/>
      <c r="B40" s="1765"/>
      <c r="C40" s="1766"/>
      <c r="D40" s="1766"/>
      <c r="E40" s="1721">
        <f t="shared" si="26"/>
        <v>0</v>
      </c>
      <c r="F40" s="1765"/>
      <c r="G40" s="1766"/>
      <c r="H40" s="1766"/>
      <c r="I40" s="1721">
        <f t="shared" si="27"/>
        <v>0</v>
      </c>
      <c r="J40" s="1722">
        <f t="shared" si="28"/>
        <v>0</v>
      </c>
      <c r="K40" s="1723">
        <f t="shared" si="29"/>
        <v>0</v>
      </c>
      <c r="L40" s="1723">
        <f t="shared" si="30"/>
        <v>0</v>
      </c>
      <c r="M40" s="1724">
        <f t="shared" si="31"/>
        <v>0</v>
      </c>
      <c r="N40" s="1680" t="str">
        <f>IF(M40=0,"",ROUND(J40/M40,5))</f>
        <v/>
      </c>
    </row>
    <row r="41" spans="1:14" ht="19.5" customHeight="1">
      <c r="A41" s="1752"/>
      <c r="B41" s="1765"/>
      <c r="C41" s="1766"/>
      <c r="D41" s="1766"/>
      <c r="E41" s="1721">
        <f t="shared" si="26"/>
        <v>0</v>
      </c>
      <c r="F41" s="1765"/>
      <c r="G41" s="1766"/>
      <c r="H41" s="1766"/>
      <c r="I41" s="1721">
        <f t="shared" si="27"/>
        <v>0</v>
      </c>
      <c r="J41" s="1722">
        <f t="shared" si="28"/>
        <v>0</v>
      </c>
      <c r="K41" s="1723">
        <f t="shared" si="29"/>
        <v>0</v>
      </c>
      <c r="L41" s="1723">
        <f t="shared" si="30"/>
        <v>0</v>
      </c>
      <c r="M41" s="1724">
        <f t="shared" si="31"/>
        <v>0</v>
      </c>
      <c r="N41" s="1680" t="str">
        <f>IF(M41=0,"",ROUND(J41/M41,5))</f>
        <v/>
      </c>
    </row>
    <row r="42" spans="1:14" ht="19.5" customHeight="1">
      <c r="A42" s="1752"/>
      <c r="B42" s="1765"/>
      <c r="C42" s="1766"/>
      <c r="D42" s="1766"/>
      <c r="E42" s="1721">
        <f t="shared" ref="E42:E98" si="33">SUM(B42:D42)</f>
        <v>0</v>
      </c>
      <c r="F42" s="1765"/>
      <c r="G42" s="1766"/>
      <c r="H42" s="1766"/>
      <c r="I42" s="1721">
        <f t="shared" ref="I42:I98" si="34">SUM(F42:H42)</f>
        <v>0</v>
      </c>
      <c r="J42" s="1722">
        <f t="shared" ref="J42:J98" si="35">B42+F42</f>
        <v>0</v>
      </c>
      <c r="K42" s="1723">
        <f t="shared" ref="K42:K98" si="36">C42+G42</f>
        <v>0</v>
      </c>
      <c r="L42" s="1723">
        <f t="shared" ref="L42:L98" si="37">D42+H42</f>
        <v>0</v>
      </c>
      <c r="M42" s="1724">
        <f t="shared" ref="M42:M98" si="38">SUM(J42:L42)</f>
        <v>0</v>
      </c>
      <c r="N42" s="1680" t="str">
        <f>IF(M42=0,"",ROUND(J42/M42,5))</f>
        <v/>
      </c>
    </row>
    <row r="43" spans="1:14" ht="19.5" customHeight="1">
      <c r="A43" s="1752"/>
      <c r="B43" s="1765"/>
      <c r="C43" s="1766"/>
      <c r="D43" s="1766"/>
      <c r="E43" s="1721">
        <f t="shared" si="33"/>
        <v>0</v>
      </c>
      <c r="F43" s="1765"/>
      <c r="G43" s="1766"/>
      <c r="H43" s="1766"/>
      <c r="I43" s="1721">
        <f t="shared" si="34"/>
        <v>0</v>
      </c>
      <c r="J43" s="1722">
        <f t="shared" si="35"/>
        <v>0</v>
      </c>
      <c r="K43" s="1723">
        <f t="shared" si="36"/>
        <v>0</v>
      </c>
      <c r="L43" s="1723">
        <f t="shared" si="37"/>
        <v>0</v>
      </c>
      <c r="M43" s="1724">
        <f t="shared" si="38"/>
        <v>0</v>
      </c>
      <c r="N43" s="1680" t="str">
        <f>IF(M43=0,"",ROUND(J43/M43,5))</f>
        <v/>
      </c>
    </row>
    <row r="44" spans="1:14" ht="19.5" customHeight="1">
      <c r="A44" s="1752"/>
      <c r="B44" s="1765"/>
      <c r="C44" s="1766"/>
      <c r="D44" s="1766"/>
      <c r="E44" s="1721">
        <f t="shared" si="33"/>
        <v>0</v>
      </c>
      <c r="F44" s="1765"/>
      <c r="G44" s="1766"/>
      <c r="H44" s="1766"/>
      <c r="I44" s="1721">
        <f t="shared" si="34"/>
        <v>0</v>
      </c>
      <c r="J44" s="1722">
        <f t="shared" si="35"/>
        <v>0</v>
      </c>
      <c r="K44" s="1723">
        <f t="shared" si="36"/>
        <v>0</v>
      </c>
      <c r="L44" s="1723">
        <f t="shared" si="37"/>
        <v>0</v>
      </c>
      <c r="M44" s="1724">
        <f t="shared" si="38"/>
        <v>0</v>
      </c>
      <c r="N44" s="1680" t="str">
        <f>IF(M44=0,"",ROUND(J44/M44,5))</f>
        <v/>
      </c>
    </row>
    <row r="45" spans="1:14" ht="19.5" customHeight="1">
      <c r="A45" s="1752"/>
      <c r="B45" s="1765"/>
      <c r="C45" s="1766"/>
      <c r="D45" s="1766"/>
      <c r="E45" s="1721">
        <f t="shared" si="33"/>
        <v>0</v>
      </c>
      <c r="F45" s="1765"/>
      <c r="G45" s="1766"/>
      <c r="H45" s="1766"/>
      <c r="I45" s="1721">
        <f t="shared" si="34"/>
        <v>0</v>
      </c>
      <c r="J45" s="1722">
        <f t="shared" si="35"/>
        <v>0</v>
      </c>
      <c r="K45" s="1723">
        <f t="shared" si="36"/>
        <v>0</v>
      </c>
      <c r="L45" s="1723">
        <f t="shared" si="37"/>
        <v>0</v>
      </c>
      <c r="M45" s="1724">
        <f t="shared" si="38"/>
        <v>0</v>
      </c>
      <c r="N45" s="1680" t="str">
        <f>IF(M45=0,"",ROUND(J45/M45,5))</f>
        <v/>
      </c>
    </row>
    <row r="46" spans="1:14" ht="19.5" customHeight="1">
      <c r="A46" s="1752"/>
      <c r="B46" s="1765"/>
      <c r="C46" s="1766"/>
      <c r="D46" s="1766"/>
      <c r="E46" s="1721">
        <f t="shared" si="33"/>
        <v>0</v>
      </c>
      <c r="F46" s="1765"/>
      <c r="G46" s="1766"/>
      <c r="H46" s="1766"/>
      <c r="I46" s="1721">
        <f t="shared" si="34"/>
        <v>0</v>
      </c>
      <c r="J46" s="1722">
        <f t="shared" si="35"/>
        <v>0</v>
      </c>
      <c r="K46" s="1723">
        <f t="shared" si="36"/>
        <v>0</v>
      </c>
      <c r="L46" s="1723">
        <f t="shared" si="37"/>
        <v>0</v>
      </c>
      <c r="M46" s="1724">
        <f t="shared" si="38"/>
        <v>0</v>
      </c>
      <c r="N46" s="1680" t="str">
        <f>IF(M46=0,"",ROUND(J46/M46,5))</f>
        <v/>
      </c>
    </row>
    <row r="47" spans="1:14" ht="19.5" customHeight="1">
      <c r="A47" s="1752"/>
      <c r="B47" s="1765"/>
      <c r="C47" s="1766"/>
      <c r="D47" s="1766"/>
      <c r="E47" s="1721">
        <f t="shared" si="33"/>
        <v>0</v>
      </c>
      <c r="F47" s="1765"/>
      <c r="G47" s="1766"/>
      <c r="H47" s="1766"/>
      <c r="I47" s="1721">
        <f t="shared" si="34"/>
        <v>0</v>
      </c>
      <c r="J47" s="1722">
        <f t="shared" si="35"/>
        <v>0</v>
      </c>
      <c r="K47" s="1723">
        <f t="shared" si="36"/>
        <v>0</v>
      </c>
      <c r="L47" s="1723">
        <f t="shared" si="37"/>
        <v>0</v>
      </c>
      <c r="M47" s="1724">
        <f t="shared" si="38"/>
        <v>0</v>
      </c>
      <c r="N47" s="1680" t="str">
        <f>IF(M47=0,"",ROUND(J47/M47,5))</f>
        <v/>
      </c>
    </row>
    <row r="48" spans="1:14" ht="19.5" customHeight="1">
      <c r="A48" s="1752"/>
      <c r="B48" s="1765"/>
      <c r="C48" s="1766"/>
      <c r="D48" s="1766"/>
      <c r="E48" s="1721">
        <f t="shared" si="33"/>
        <v>0</v>
      </c>
      <c r="F48" s="1765"/>
      <c r="G48" s="1766"/>
      <c r="H48" s="1766"/>
      <c r="I48" s="1721">
        <f t="shared" si="34"/>
        <v>0</v>
      </c>
      <c r="J48" s="1722">
        <f t="shared" si="35"/>
        <v>0</v>
      </c>
      <c r="K48" s="1723">
        <f t="shared" si="36"/>
        <v>0</v>
      </c>
      <c r="L48" s="1723">
        <f t="shared" si="37"/>
        <v>0</v>
      </c>
      <c r="M48" s="1724">
        <f t="shared" si="38"/>
        <v>0</v>
      </c>
      <c r="N48" s="1680" t="str">
        <f>IF(M48=0,"",ROUND(J48/M48,5))</f>
        <v/>
      </c>
    </row>
    <row r="49" spans="1:14" ht="19.5" customHeight="1">
      <c r="A49" s="1752"/>
      <c r="B49" s="1765"/>
      <c r="C49" s="1766"/>
      <c r="D49" s="1766"/>
      <c r="E49" s="1721">
        <f t="shared" si="33"/>
        <v>0</v>
      </c>
      <c r="F49" s="1765"/>
      <c r="G49" s="1766"/>
      <c r="H49" s="1766"/>
      <c r="I49" s="1721">
        <f t="shared" si="34"/>
        <v>0</v>
      </c>
      <c r="J49" s="1722">
        <f t="shared" si="35"/>
        <v>0</v>
      </c>
      <c r="K49" s="1723">
        <f t="shared" si="36"/>
        <v>0</v>
      </c>
      <c r="L49" s="1723">
        <f t="shared" si="37"/>
        <v>0</v>
      </c>
      <c r="M49" s="1724">
        <f t="shared" si="38"/>
        <v>0</v>
      </c>
      <c r="N49" s="1680" t="str">
        <f>IF(M49=0,"",ROUND(J49/M49,5))</f>
        <v/>
      </c>
    </row>
    <row r="50" spans="1:14" ht="19.5" customHeight="1">
      <c r="A50" s="1752"/>
      <c r="B50" s="1765"/>
      <c r="C50" s="1766"/>
      <c r="D50" s="1766"/>
      <c r="E50" s="1721">
        <f t="shared" si="33"/>
        <v>0</v>
      </c>
      <c r="F50" s="1765"/>
      <c r="G50" s="1766"/>
      <c r="H50" s="1766"/>
      <c r="I50" s="1721">
        <f t="shared" si="34"/>
        <v>0</v>
      </c>
      <c r="J50" s="1722">
        <f t="shared" si="35"/>
        <v>0</v>
      </c>
      <c r="K50" s="1723">
        <f t="shared" si="36"/>
        <v>0</v>
      </c>
      <c r="L50" s="1723">
        <f t="shared" si="37"/>
        <v>0</v>
      </c>
      <c r="M50" s="1724">
        <f t="shared" si="38"/>
        <v>0</v>
      </c>
      <c r="N50" s="1680" t="str">
        <f>IF(M50=0,"",ROUND(J50/M50,5))</f>
        <v/>
      </c>
    </row>
    <row r="51" spans="1:14" ht="19.5" customHeight="1">
      <c r="A51" s="1752"/>
      <c r="B51" s="1765"/>
      <c r="C51" s="1766"/>
      <c r="D51" s="1766"/>
      <c r="E51" s="1721">
        <f t="shared" si="33"/>
        <v>0</v>
      </c>
      <c r="F51" s="1765"/>
      <c r="G51" s="1766"/>
      <c r="H51" s="1766"/>
      <c r="I51" s="1721">
        <f t="shared" si="34"/>
        <v>0</v>
      </c>
      <c r="J51" s="1722">
        <f t="shared" si="35"/>
        <v>0</v>
      </c>
      <c r="K51" s="1723">
        <f t="shared" si="36"/>
        <v>0</v>
      </c>
      <c r="L51" s="1723">
        <f t="shared" si="37"/>
        <v>0</v>
      </c>
      <c r="M51" s="1724">
        <f t="shared" si="38"/>
        <v>0</v>
      </c>
      <c r="N51" s="1680" t="str">
        <f>IF(M51=0,"",ROUND(J51/M51,5))</f>
        <v/>
      </c>
    </row>
    <row r="52" spans="1:14" ht="19.5" customHeight="1">
      <c r="A52" s="1752"/>
      <c r="B52" s="1765"/>
      <c r="C52" s="1766"/>
      <c r="D52" s="1766"/>
      <c r="E52" s="1721">
        <f t="shared" si="33"/>
        <v>0</v>
      </c>
      <c r="F52" s="1765"/>
      <c r="G52" s="1766"/>
      <c r="H52" s="1766"/>
      <c r="I52" s="1721">
        <f t="shared" si="34"/>
        <v>0</v>
      </c>
      <c r="J52" s="1722">
        <f t="shared" si="35"/>
        <v>0</v>
      </c>
      <c r="K52" s="1723">
        <f t="shared" si="36"/>
        <v>0</v>
      </c>
      <c r="L52" s="1723">
        <f t="shared" si="37"/>
        <v>0</v>
      </c>
      <c r="M52" s="1724">
        <f t="shared" si="38"/>
        <v>0</v>
      </c>
      <c r="N52" s="1680" t="str">
        <f>IF(M52=0,"",ROUND(J52/M52,5))</f>
        <v/>
      </c>
    </row>
    <row r="53" spans="1:14" ht="19.5" customHeight="1">
      <c r="A53" s="1752"/>
      <c r="B53" s="1765"/>
      <c r="C53" s="1766"/>
      <c r="D53" s="1766"/>
      <c r="E53" s="1721">
        <f t="shared" si="33"/>
        <v>0</v>
      </c>
      <c r="F53" s="1765"/>
      <c r="G53" s="1766"/>
      <c r="H53" s="1766"/>
      <c r="I53" s="1721">
        <f t="shared" si="34"/>
        <v>0</v>
      </c>
      <c r="J53" s="1722">
        <f t="shared" si="35"/>
        <v>0</v>
      </c>
      <c r="K53" s="1723">
        <f t="shared" si="36"/>
        <v>0</v>
      </c>
      <c r="L53" s="1723">
        <f t="shared" si="37"/>
        <v>0</v>
      </c>
      <c r="M53" s="1724">
        <f t="shared" si="38"/>
        <v>0</v>
      </c>
      <c r="N53" s="1680" t="str">
        <f>IF(M53=0,"",ROUND(J53/M53,5))</f>
        <v/>
      </c>
    </row>
    <row r="54" spans="1:14" ht="19.5" customHeight="1">
      <c r="A54" s="1752"/>
      <c r="B54" s="1765"/>
      <c r="C54" s="1766"/>
      <c r="D54" s="1766"/>
      <c r="E54" s="1721">
        <f t="shared" si="33"/>
        <v>0</v>
      </c>
      <c r="F54" s="1765"/>
      <c r="G54" s="1766"/>
      <c r="H54" s="1766"/>
      <c r="I54" s="1721">
        <f t="shared" si="34"/>
        <v>0</v>
      </c>
      <c r="J54" s="1722">
        <f t="shared" si="35"/>
        <v>0</v>
      </c>
      <c r="K54" s="1723">
        <f t="shared" si="36"/>
        <v>0</v>
      </c>
      <c r="L54" s="1723">
        <f t="shared" si="37"/>
        <v>0</v>
      </c>
      <c r="M54" s="1724">
        <f t="shared" si="38"/>
        <v>0</v>
      </c>
      <c r="N54" s="1680" t="str">
        <f>IF(M54=0,"",ROUND(J54/M54,5))</f>
        <v/>
      </c>
    </row>
    <row r="55" spans="1:14" ht="19.5" customHeight="1">
      <c r="A55" s="1752"/>
      <c r="B55" s="1765"/>
      <c r="C55" s="1766"/>
      <c r="D55" s="1766"/>
      <c r="E55" s="1721">
        <f t="shared" si="33"/>
        <v>0</v>
      </c>
      <c r="F55" s="1765"/>
      <c r="G55" s="1766"/>
      <c r="H55" s="1766"/>
      <c r="I55" s="1721">
        <f t="shared" si="34"/>
        <v>0</v>
      </c>
      <c r="J55" s="1722">
        <f t="shared" si="35"/>
        <v>0</v>
      </c>
      <c r="K55" s="1723">
        <f t="shared" si="36"/>
        <v>0</v>
      </c>
      <c r="L55" s="1723">
        <f t="shared" si="37"/>
        <v>0</v>
      </c>
      <c r="M55" s="1724">
        <f t="shared" si="38"/>
        <v>0</v>
      </c>
      <c r="N55" s="1680" t="str">
        <f>IF(M55=0,"",ROUND(J55/M55,5))</f>
        <v/>
      </c>
    </row>
    <row r="56" spans="1:14" ht="19.5" customHeight="1">
      <c r="A56" s="1752"/>
      <c r="B56" s="1765"/>
      <c r="C56" s="1766"/>
      <c r="D56" s="1766"/>
      <c r="E56" s="1721">
        <f t="shared" si="33"/>
        <v>0</v>
      </c>
      <c r="F56" s="1765"/>
      <c r="G56" s="1766"/>
      <c r="H56" s="1766"/>
      <c r="I56" s="1721">
        <f t="shared" si="34"/>
        <v>0</v>
      </c>
      <c r="J56" s="1722">
        <f t="shared" si="35"/>
        <v>0</v>
      </c>
      <c r="K56" s="1723">
        <f t="shared" si="36"/>
        <v>0</v>
      </c>
      <c r="L56" s="1723">
        <f t="shared" si="37"/>
        <v>0</v>
      </c>
      <c r="M56" s="1724">
        <f t="shared" si="38"/>
        <v>0</v>
      </c>
      <c r="N56" s="1680" t="str">
        <f>IF(M56=0,"",ROUND(J56/M56,5))</f>
        <v/>
      </c>
    </row>
    <row r="57" spans="1:14" ht="19.5" customHeight="1">
      <c r="A57" s="1752"/>
      <c r="B57" s="1765"/>
      <c r="C57" s="1766"/>
      <c r="D57" s="1766"/>
      <c r="E57" s="1721">
        <f t="shared" si="33"/>
        <v>0</v>
      </c>
      <c r="F57" s="1765"/>
      <c r="G57" s="1766"/>
      <c r="H57" s="1766"/>
      <c r="I57" s="1721">
        <f t="shared" si="34"/>
        <v>0</v>
      </c>
      <c r="J57" s="1722">
        <f t="shared" si="35"/>
        <v>0</v>
      </c>
      <c r="K57" s="1723">
        <f t="shared" si="36"/>
        <v>0</v>
      </c>
      <c r="L57" s="1723">
        <f t="shared" si="37"/>
        <v>0</v>
      </c>
      <c r="M57" s="1724">
        <f t="shared" si="38"/>
        <v>0</v>
      </c>
      <c r="N57" s="1680" t="str">
        <f>IF(M57=0,"",ROUND(J57/M57,5))</f>
        <v/>
      </c>
    </row>
    <row r="58" spans="1:14" ht="19.5" customHeight="1">
      <c r="A58" s="1752"/>
      <c r="B58" s="1765"/>
      <c r="C58" s="1766"/>
      <c r="D58" s="1766"/>
      <c r="E58" s="1721">
        <f t="shared" si="33"/>
        <v>0</v>
      </c>
      <c r="F58" s="1765"/>
      <c r="G58" s="1766"/>
      <c r="H58" s="1766"/>
      <c r="I58" s="1721">
        <f t="shared" si="34"/>
        <v>0</v>
      </c>
      <c r="J58" s="1722">
        <f t="shared" si="35"/>
        <v>0</v>
      </c>
      <c r="K58" s="1723">
        <f t="shared" si="36"/>
        <v>0</v>
      </c>
      <c r="L58" s="1723">
        <f t="shared" si="37"/>
        <v>0</v>
      </c>
      <c r="M58" s="1724">
        <f t="shared" si="38"/>
        <v>0</v>
      </c>
      <c r="N58" s="1680" t="str">
        <f>IF(M58=0,"",ROUND(J58/M58,5))</f>
        <v/>
      </c>
    </row>
    <row r="59" spans="1:14" ht="19.5" customHeight="1">
      <c r="A59" s="1752"/>
      <c r="B59" s="1765"/>
      <c r="C59" s="1766"/>
      <c r="D59" s="1766"/>
      <c r="E59" s="1721">
        <f t="shared" si="33"/>
        <v>0</v>
      </c>
      <c r="F59" s="1765"/>
      <c r="G59" s="1766"/>
      <c r="H59" s="1766"/>
      <c r="I59" s="1721">
        <f t="shared" si="34"/>
        <v>0</v>
      </c>
      <c r="J59" s="1722">
        <f t="shared" si="35"/>
        <v>0</v>
      </c>
      <c r="K59" s="1723">
        <f t="shared" si="36"/>
        <v>0</v>
      </c>
      <c r="L59" s="1723">
        <f t="shared" si="37"/>
        <v>0</v>
      </c>
      <c r="M59" s="1724">
        <f t="shared" si="38"/>
        <v>0</v>
      </c>
      <c r="N59" s="1680" t="str">
        <f>IF(M59=0,"",ROUND(J59/M59,5))</f>
        <v/>
      </c>
    </row>
    <row r="60" spans="1:14" ht="19.5" customHeight="1">
      <c r="A60" s="1752"/>
      <c r="B60" s="1765"/>
      <c r="C60" s="1766"/>
      <c r="D60" s="1766"/>
      <c r="E60" s="1721">
        <f t="shared" si="33"/>
        <v>0</v>
      </c>
      <c r="F60" s="1765"/>
      <c r="G60" s="1766"/>
      <c r="H60" s="1766"/>
      <c r="I60" s="1721">
        <f t="shared" si="34"/>
        <v>0</v>
      </c>
      <c r="J60" s="1722">
        <f t="shared" si="35"/>
        <v>0</v>
      </c>
      <c r="K60" s="1723">
        <f t="shared" si="36"/>
        <v>0</v>
      </c>
      <c r="L60" s="1723">
        <f t="shared" si="37"/>
        <v>0</v>
      </c>
      <c r="M60" s="1724">
        <f t="shared" si="38"/>
        <v>0</v>
      </c>
      <c r="N60" s="1680" t="str">
        <f>IF(M60=0,"",ROUND(J60/M60,5))</f>
        <v/>
      </c>
    </row>
    <row r="61" spans="1:14" ht="19.5" customHeight="1">
      <c r="A61" s="1752"/>
      <c r="B61" s="1765"/>
      <c r="C61" s="1766"/>
      <c r="D61" s="1766"/>
      <c r="E61" s="1721">
        <f t="shared" si="33"/>
        <v>0</v>
      </c>
      <c r="F61" s="1765"/>
      <c r="G61" s="1766"/>
      <c r="H61" s="1766"/>
      <c r="I61" s="1721">
        <f t="shared" si="34"/>
        <v>0</v>
      </c>
      <c r="J61" s="1722">
        <f t="shared" si="35"/>
        <v>0</v>
      </c>
      <c r="K61" s="1723">
        <f t="shared" si="36"/>
        <v>0</v>
      </c>
      <c r="L61" s="1723">
        <f t="shared" si="37"/>
        <v>0</v>
      </c>
      <c r="M61" s="1724">
        <f t="shared" si="38"/>
        <v>0</v>
      </c>
      <c r="N61" s="1680" t="str">
        <f>IF(M61=0,"",ROUND(J61/M61,5))</f>
        <v/>
      </c>
    </row>
    <row r="62" spans="1:14" ht="19.5" customHeight="1">
      <c r="A62" s="1752"/>
      <c r="B62" s="1765"/>
      <c r="C62" s="1766"/>
      <c r="D62" s="1766"/>
      <c r="E62" s="1721">
        <f t="shared" si="33"/>
        <v>0</v>
      </c>
      <c r="F62" s="1765"/>
      <c r="G62" s="1766"/>
      <c r="H62" s="1766"/>
      <c r="I62" s="1721">
        <f t="shared" si="34"/>
        <v>0</v>
      </c>
      <c r="J62" s="1722">
        <f t="shared" si="35"/>
        <v>0</v>
      </c>
      <c r="K62" s="1723">
        <f t="shared" si="36"/>
        <v>0</v>
      </c>
      <c r="L62" s="1723">
        <f t="shared" si="37"/>
        <v>0</v>
      </c>
      <c r="M62" s="1724">
        <f t="shared" si="38"/>
        <v>0</v>
      </c>
      <c r="N62" s="1680" t="str">
        <f>IF(M62=0,"",ROUND(J62/M62,5))</f>
        <v/>
      </c>
    </row>
    <row r="63" spans="1:14" ht="19.5" customHeight="1">
      <c r="A63" s="1752"/>
      <c r="B63" s="1765"/>
      <c r="C63" s="1766"/>
      <c r="D63" s="1766"/>
      <c r="E63" s="1721">
        <f t="shared" si="33"/>
        <v>0</v>
      </c>
      <c r="F63" s="1765"/>
      <c r="G63" s="1766"/>
      <c r="H63" s="1766"/>
      <c r="I63" s="1721">
        <f t="shared" si="34"/>
        <v>0</v>
      </c>
      <c r="J63" s="1722">
        <f t="shared" si="35"/>
        <v>0</v>
      </c>
      <c r="K63" s="1723">
        <f t="shared" si="36"/>
        <v>0</v>
      </c>
      <c r="L63" s="1723">
        <f t="shared" si="37"/>
        <v>0</v>
      </c>
      <c r="M63" s="1724">
        <f t="shared" si="38"/>
        <v>0</v>
      </c>
      <c r="N63" s="1680" t="str">
        <f>IF(M63=0,"",ROUND(J63/M63,5))</f>
        <v/>
      </c>
    </row>
    <row r="64" spans="1:14" ht="19.5" customHeight="1">
      <c r="A64" s="1752"/>
      <c r="B64" s="1765"/>
      <c r="C64" s="1766"/>
      <c r="D64" s="1766"/>
      <c r="E64" s="1721">
        <f t="shared" si="33"/>
        <v>0</v>
      </c>
      <c r="F64" s="1765"/>
      <c r="G64" s="1766"/>
      <c r="H64" s="1766"/>
      <c r="I64" s="1721">
        <f t="shared" si="34"/>
        <v>0</v>
      </c>
      <c r="J64" s="1722">
        <f t="shared" si="35"/>
        <v>0</v>
      </c>
      <c r="K64" s="1723">
        <f t="shared" si="36"/>
        <v>0</v>
      </c>
      <c r="L64" s="1723">
        <f t="shared" si="37"/>
        <v>0</v>
      </c>
      <c r="M64" s="1724">
        <f t="shared" si="38"/>
        <v>0</v>
      </c>
      <c r="N64" s="1680" t="str">
        <f>IF(M64=0,"",ROUND(J64/M64,5))</f>
        <v/>
      </c>
    </row>
    <row r="65" spans="1:14" ht="19.5" customHeight="1">
      <c r="A65" s="1752"/>
      <c r="B65" s="1765"/>
      <c r="C65" s="1766"/>
      <c r="D65" s="1766"/>
      <c r="E65" s="1721">
        <f t="shared" si="33"/>
        <v>0</v>
      </c>
      <c r="F65" s="1765"/>
      <c r="G65" s="1766"/>
      <c r="H65" s="1766"/>
      <c r="I65" s="1721">
        <f t="shared" si="34"/>
        <v>0</v>
      </c>
      <c r="J65" s="1722">
        <f t="shared" si="35"/>
        <v>0</v>
      </c>
      <c r="K65" s="1723">
        <f t="shared" si="36"/>
        <v>0</v>
      </c>
      <c r="L65" s="1723">
        <f t="shared" si="37"/>
        <v>0</v>
      </c>
      <c r="M65" s="1724">
        <f t="shared" si="38"/>
        <v>0</v>
      </c>
      <c r="N65" s="1680" t="str">
        <f>IF(M65=0,"",ROUND(J65/M65,5))</f>
        <v/>
      </c>
    </row>
    <row r="66" spans="1:14" ht="19.5" customHeight="1">
      <c r="A66" s="1752"/>
      <c r="B66" s="1765"/>
      <c r="C66" s="1766"/>
      <c r="D66" s="1766"/>
      <c r="E66" s="1721">
        <f t="shared" si="33"/>
        <v>0</v>
      </c>
      <c r="F66" s="1765"/>
      <c r="G66" s="1766"/>
      <c r="H66" s="1766"/>
      <c r="I66" s="1721">
        <f t="shared" si="34"/>
        <v>0</v>
      </c>
      <c r="J66" s="1722">
        <f t="shared" si="35"/>
        <v>0</v>
      </c>
      <c r="K66" s="1723">
        <f t="shared" si="36"/>
        <v>0</v>
      </c>
      <c r="L66" s="1723">
        <f t="shared" si="37"/>
        <v>0</v>
      </c>
      <c r="M66" s="1724">
        <f t="shared" si="38"/>
        <v>0</v>
      </c>
      <c r="N66" s="1680" t="str">
        <f>IF(M66=0,"",ROUND(J66/M66,5))</f>
        <v/>
      </c>
    </row>
    <row r="67" spans="1:14" ht="19.5" customHeight="1">
      <c r="A67" s="1752"/>
      <c r="B67" s="1765"/>
      <c r="C67" s="1766"/>
      <c r="D67" s="1766"/>
      <c r="E67" s="1721">
        <f t="shared" si="33"/>
        <v>0</v>
      </c>
      <c r="F67" s="1765"/>
      <c r="G67" s="1766"/>
      <c r="H67" s="1766"/>
      <c r="I67" s="1721">
        <f t="shared" si="34"/>
        <v>0</v>
      </c>
      <c r="J67" s="1722">
        <f t="shared" si="35"/>
        <v>0</v>
      </c>
      <c r="K67" s="1723">
        <f t="shared" si="36"/>
        <v>0</v>
      </c>
      <c r="L67" s="1723">
        <f t="shared" si="37"/>
        <v>0</v>
      </c>
      <c r="M67" s="1724">
        <f t="shared" si="38"/>
        <v>0</v>
      </c>
      <c r="N67" s="1680" t="str">
        <f>IF(M67=0,"",ROUND(J67/M67,5))</f>
        <v/>
      </c>
    </row>
    <row r="68" spans="1:14" ht="19.5" customHeight="1">
      <c r="A68" s="1752"/>
      <c r="B68" s="1765"/>
      <c r="C68" s="1766"/>
      <c r="D68" s="1766"/>
      <c r="E68" s="1721">
        <f t="shared" si="33"/>
        <v>0</v>
      </c>
      <c r="F68" s="1765"/>
      <c r="G68" s="1766"/>
      <c r="H68" s="1766"/>
      <c r="I68" s="1721">
        <f t="shared" si="34"/>
        <v>0</v>
      </c>
      <c r="J68" s="1722">
        <f t="shared" si="35"/>
        <v>0</v>
      </c>
      <c r="K68" s="1723">
        <f t="shared" si="36"/>
        <v>0</v>
      </c>
      <c r="L68" s="1723">
        <f t="shared" si="37"/>
        <v>0</v>
      </c>
      <c r="M68" s="1724">
        <f t="shared" si="38"/>
        <v>0</v>
      </c>
      <c r="N68" s="1680" t="str">
        <f>IF(M68=0,"",ROUND(J68/M68,5))</f>
        <v/>
      </c>
    </row>
    <row r="69" spans="1:14" ht="19.5" customHeight="1">
      <c r="A69" s="1752"/>
      <c r="B69" s="1765"/>
      <c r="C69" s="1766"/>
      <c r="D69" s="1766"/>
      <c r="E69" s="1721">
        <f t="shared" si="33"/>
        <v>0</v>
      </c>
      <c r="F69" s="1765"/>
      <c r="G69" s="1766"/>
      <c r="H69" s="1766"/>
      <c r="I69" s="1721">
        <f t="shared" si="34"/>
        <v>0</v>
      </c>
      <c r="J69" s="1722">
        <f t="shared" si="35"/>
        <v>0</v>
      </c>
      <c r="K69" s="1723">
        <f t="shared" si="36"/>
        <v>0</v>
      </c>
      <c r="L69" s="1723">
        <f t="shared" si="37"/>
        <v>0</v>
      </c>
      <c r="M69" s="1724">
        <f t="shared" si="38"/>
        <v>0</v>
      </c>
      <c r="N69" s="1680" t="str">
        <f>IF(M69=0,"",ROUND(J69/M69,5))</f>
        <v/>
      </c>
    </row>
    <row r="70" spans="1:14" ht="19.5" customHeight="1">
      <c r="A70" s="1752"/>
      <c r="B70" s="1765"/>
      <c r="C70" s="1766"/>
      <c r="D70" s="1766"/>
      <c r="E70" s="1721">
        <f t="shared" si="33"/>
        <v>0</v>
      </c>
      <c r="F70" s="1765"/>
      <c r="G70" s="1766"/>
      <c r="H70" s="1766"/>
      <c r="I70" s="1721">
        <f t="shared" si="34"/>
        <v>0</v>
      </c>
      <c r="J70" s="1722">
        <f t="shared" si="35"/>
        <v>0</v>
      </c>
      <c r="K70" s="1723">
        <f t="shared" si="36"/>
        <v>0</v>
      </c>
      <c r="L70" s="1723">
        <f t="shared" si="37"/>
        <v>0</v>
      </c>
      <c r="M70" s="1724">
        <f t="shared" si="38"/>
        <v>0</v>
      </c>
      <c r="N70" s="1680" t="str">
        <f>IF(M70=0,"",ROUND(J70/M70,5))</f>
        <v/>
      </c>
    </row>
    <row r="71" spans="1:14" ht="19.5" customHeight="1">
      <c r="A71" s="1752"/>
      <c r="B71" s="1765"/>
      <c r="C71" s="1766"/>
      <c r="D71" s="1766"/>
      <c r="E71" s="1721">
        <f t="shared" si="33"/>
        <v>0</v>
      </c>
      <c r="F71" s="1765"/>
      <c r="G71" s="1766"/>
      <c r="H71" s="1766"/>
      <c r="I71" s="1721">
        <f t="shared" si="34"/>
        <v>0</v>
      </c>
      <c r="J71" s="1722">
        <f t="shared" si="35"/>
        <v>0</v>
      </c>
      <c r="K71" s="1723">
        <f t="shared" si="36"/>
        <v>0</v>
      </c>
      <c r="L71" s="1723">
        <f t="shared" si="37"/>
        <v>0</v>
      </c>
      <c r="M71" s="1724">
        <f t="shared" si="38"/>
        <v>0</v>
      </c>
      <c r="N71" s="1680" t="str">
        <f>IF(M71=0,"",ROUND(J71/M71,5))</f>
        <v/>
      </c>
    </row>
    <row r="72" spans="1:14" ht="19.5" customHeight="1">
      <c r="A72" s="1752"/>
      <c r="B72" s="1765"/>
      <c r="C72" s="1766"/>
      <c r="D72" s="1766"/>
      <c r="E72" s="1721">
        <f t="shared" si="33"/>
        <v>0</v>
      </c>
      <c r="F72" s="1765"/>
      <c r="G72" s="1766"/>
      <c r="H72" s="1766"/>
      <c r="I72" s="1721">
        <f t="shared" si="34"/>
        <v>0</v>
      </c>
      <c r="J72" s="1722">
        <f t="shared" si="35"/>
        <v>0</v>
      </c>
      <c r="K72" s="1723">
        <f t="shared" si="36"/>
        <v>0</v>
      </c>
      <c r="L72" s="1723">
        <f t="shared" si="37"/>
        <v>0</v>
      </c>
      <c r="M72" s="1724">
        <f t="shared" si="38"/>
        <v>0</v>
      </c>
      <c r="N72" s="1680" t="str">
        <f>IF(M72=0,"",ROUND(J72/M72,5))</f>
        <v/>
      </c>
    </row>
    <row r="73" spans="1:14" ht="19.5" customHeight="1">
      <c r="A73" s="1752"/>
      <c r="B73" s="1765"/>
      <c r="C73" s="1766"/>
      <c r="D73" s="1766"/>
      <c r="E73" s="1721">
        <f t="shared" si="33"/>
        <v>0</v>
      </c>
      <c r="F73" s="1765"/>
      <c r="G73" s="1766"/>
      <c r="H73" s="1766"/>
      <c r="I73" s="1721">
        <f t="shared" si="34"/>
        <v>0</v>
      </c>
      <c r="J73" s="1722">
        <f t="shared" si="35"/>
        <v>0</v>
      </c>
      <c r="K73" s="1723">
        <f t="shared" si="36"/>
        <v>0</v>
      </c>
      <c r="L73" s="1723">
        <f t="shared" si="37"/>
        <v>0</v>
      </c>
      <c r="M73" s="1724">
        <f t="shared" si="38"/>
        <v>0</v>
      </c>
      <c r="N73" s="1680" t="str">
        <f>IF(M73=0,"",ROUND(J73/M73,5))</f>
        <v/>
      </c>
    </row>
    <row r="74" spans="1:14" ht="19.5" customHeight="1">
      <c r="A74" s="1752"/>
      <c r="B74" s="1765"/>
      <c r="C74" s="1766"/>
      <c r="D74" s="1766"/>
      <c r="E74" s="1721">
        <f t="shared" si="33"/>
        <v>0</v>
      </c>
      <c r="F74" s="1765"/>
      <c r="G74" s="1766"/>
      <c r="H74" s="1766"/>
      <c r="I74" s="1721">
        <f t="shared" si="34"/>
        <v>0</v>
      </c>
      <c r="J74" s="1722">
        <f t="shared" si="35"/>
        <v>0</v>
      </c>
      <c r="K74" s="1723">
        <f t="shared" si="36"/>
        <v>0</v>
      </c>
      <c r="L74" s="1723">
        <f t="shared" si="37"/>
        <v>0</v>
      </c>
      <c r="M74" s="1724">
        <f t="shared" si="38"/>
        <v>0</v>
      </c>
      <c r="N74" s="1680" t="str">
        <f>IF(M74=0,"",ROUND(J74/M74,5))</f>
        <v/>
      </c>
    </row>
    <row r="75" spans="1:14" ht="19.5" customHeight="1">
      <c r="A75" s="1752"/>
      <c r="B75" s="1765"/>
      <c r="C75" s="1766"/>
      <c r="D75" s="1766"/>
      <c r="E75" s="1721">
        <f t="shared" si="33"/>
        <v>0</v>
      </c>
      <c r="F75" s="1765"/>
      <c r="G75" s="1766"/>
      <c r="H75" s="1766"/>
      <c r="I75" s="1721">
        <f t="shared" si="34"/>
        <v>0</v>
      </c>
      <c r="J75" s="1722">
        <f t="shared" si="35"/>
        <v>0</v>
      </c>
      <c r="K75" s="1723">
        <f t="shared" si="36"/>
        <v>0</v>
      </c>
      <c r="L75" s="1723">
        <f t="shared" si="37"/>
        <v>0</v>
      </c>
      <c r="M75" s="1724">
        <f t="shared" si="38"/>
        <v>0</v>
      </c>
      <c r="N75" s="1680" t="str">
        <f>IF(M75=0,"",ROUND(J75/M75,5))</f>
        <v/>
      </c>
    </row>
    <row r="76" spans="1:14" ht="19.5" customHeight="1">
      <c r="A76" s="1752"/>
      <c r="B76" s="1765"/>
      <c r="C76" s="1766"/>
      <c r="D76" s="1766"/>
      <c r="E76" s="1721">
        <f t="shared" si="33"/>
        <v>0</v>
      </c>
      <c r="F76" s="1765"/>
      <c r="G76" s="1766"/>
      <c r="H76" s="1766"/>
      <c r="I76" s="1721">
        <f t="shared" si="34"/>
        <v>0</v>
      </c>
      <c r="J76" s="1722">
        <f t="shared" si="35"/>
        <v>0</v>
      </c>
      <c r="K76" s="1723">
        <f t="shared" si="36"/>
        <v>0</v>
      </c>
      <c r="L76" s="1723">
        <f t="shared" si="37"/>
        <v>0</v>
      </c>
      <c r="M76" s="1724">
        <f t="shared" si="38"/>
        <v>0</v>
      </c>
      <c r="N76" s="1680" t="str">
        <f>IF(M76=0,"",ROUND(J76/M76,5))</f>
        <v/>
      </c>
    </row>
    <row r="77" spans="1:14" ht="19.5" customHeight="1">
      <c r="A77" s="1752"/>
      <c r="B77" s="1765"/>
      <c r="C77" s="1766"/>
      <c r="D77" s="1766"/>
      <c r="E77" s="1721">
        <f t="shared" si="33"/>
        <v>0</v>
      </c>
      <c r="F77" s="1765"/>
      <c r="G77" s="1766"/>
      <c r="H77" s="1766"/>
      <c r="I77" s="1721">
        <f t="shared" si="34"/>
        <v>0</v>
      </c>
      <c r="J77" s="1722">
        <f t="shared" si="35"/>
        <v>0</v>
      </c>
      <c r="K77" s="1723">
        <f t="shared" si="36"/>
        <v>0</v>
      </c>
      <c r="L77" s="1723">
        <f t="shared" si="37"/>
        <v>0</v>
      </c>
      <c r="M77" s="1724">
        <f t="shared" si="38"/>
        <v>0</v>
      </c>
      <c r="N77" s="1680" t="str">
        <f>IF(M77=0,"",ROUND(J77/M77,5))</f>
        <v/>
      </c>
    </row>
    <row r="78" spans="1:14" ht="19.5" customHeight="1">
      <c r="A78" s="1752"/>
      <c r="B78" s="1765"/>
      <c r="C78" s="1766"/>
      <c r="D78" s="1766"/>
      <c r="E78" s="1721">
        <f t="shared" si="33"/>
        <v>0</v>
      </c>
      <c r="F78" s="1765"/>
      <c r="G78" s="1766"/>
      <c r="H78" s="1766"/>
      <c r="I78" s="1721">
        <f t="shared" si="34"/>
        <v>0</v>
      </c>
      <c r="J78" s="1722">
        <f t="shared" si="35"/>
        <v>0</v>
      </c>
      <c r="K78" s="1723">
        <f t="shared" si="36"/>
        <v>0</v>
      </c>
      <c r="L78" s="1723">
        <f t="shared" si="37"/>
        <v>0</v>
      </c>
      <c r="M78" s="1724">
        <f t="shared" si="38"/>
        <v>0</v>
      </c>
      <c r="N78" s="1680" t="str">
        <f>IF(M78=0,"",ROUND(J78/M78,5))</f>
        <v/>
      </c>
    </row>
    <row r="79" spans="1:14" ht="19.5" customHeight="1">
      <c r="A79" s="1752"/>
      <c r="B79" s="1765"/>
      <c r="C79" s="1766"/>
      <c r="D79" s="1766"/>
      <c r="E79" s="1721">
        <f t="shared" si="33"/>
        <v>0</v>
      </c>
      <c r="F79" s="1765"/>
      <c r="G79" s="1766"/>
      <c r="H79" s="1766"/>
      <c r="I79" s="1721">
        <f t="shared" si="34"/>
        <v>0</v>
      </c>
      <c r="J79" s="1722">
        <f t="shared" si="35"/>
        <v>0</v>
      </c>
      <c r="K79" s="1723">
        <f t="shared" si="36"/>
        <v>0</v>
      </c>
      <c r="L79" s="1723">
        <f t="shared" si="37"/>
        <v>0</v>
      </c>
      <c r="M79" s="1724">
        <f t="shared" si="38"/>
        <v>0</v>
      </c>
      <c r="N79" s="1680" t="str">
        <f>IF(M79=0,"",ROUND(J79/M79,5))</f>
        <v/>
      </c>
    </row>
    <row r="80" spans="1:14" ht="19.5" customHeight="1">
      <c r="A80" s="1752"/>
      <c r="B80" s="1765"/>
      <c r="C80" s="1766"/>
      <c r="D80" s="1766"/>
      <c r="E80" s="1721">
        <f t="shared" si="33"/>
        <v>0</v>
      </c>
      <c r="F80" s="1765"/>
      <c r="G80" s="1766"/>
      <c r="H80" s="1766"/>
      <c r="I80" s="1721">
        <f t="shared" si="34"/>
        <v>0</v>
      </c>
      <c r="J80" s="1722">
        <f t="shared" si="35"/>
        <v>0</v>
      </c>
      <c r="K80" s="1723">
        <f t="shared" si="36"/>
        <v>0</v>
      </c>
      <c r="L80" s="1723">
        <f t="shared" si="37"/>
        <v>0</v>
      </c>
      <c r="M80" s="1724">
        <f t="shared" si="38"/>
        <v>0</v>
      </c>
      <c r="N80" s="1680" t="str">
        <f>IF(M80=0,"",ROUND(J80/M80,5))</f>
        <v/>
      </c>
    </row>
    <row r="81" spans="1:14" ht="19.5" customHeight="1">
      <c r="A81" s="1752"/>
      <c r="B81" s="1765"/>
      <c r="C81" s="1766"/>
      <c r="D81" s="1766"/>
      <c r="E81" s="1721">
        <f t="shared" si="33"/>
        <v>0</v>
      </c>
      <c r="F81" s="1765"/>
      <c r="G81" s="1766"/>
      <c r="H81" s="1766"/>
      <c r="I81" s="1721">
        <f t="shared" si="34"/>
        <v>0</v>
      </c>
      <c r="J81" s="1722">
        <f t="shared" si="35"/>
        <v>0</v>
      </c>
      <c r="K81" s="1723">
        <f t="shared" si="36"/>
        <v>0</v>
      </c>
      <c r="L81" s="1723">
        <f t="shared" si="37"/>
        <v>0</v>
      </c>
      <c r="M81" s="1724">
        <f t="shared" si="38"/>
        <v>0</v>
      </c>
      <c r="N81" s="1680" t="str">
        <f>IF(M81=0,"",ROUND(J81/M81,5))</f>
        <v/>
      </c>
    </row>
    <row r="82" spans="1:14" ht="19.5" customHeight="1">
      <c r="A82" s="1752"/>
      <c r="B82" s="1765"/>
      <c r="C82" s="1766"/>
      <c r="D82" s="1766"/>
      <c r="E82" s="1721">
        <f t="shared" si="33"/>
        <v>0</v>
      </c>
      <c r="F82" s="1765"/>
      <c r="G82" s="1766"/>
      <c r="H82" s="1766"/>
      <c r="I82" s="1721">
        <f t="shared" si="34"/>
        <v>0</v>
      </c>
      <c r="J82" s="1722">
        <f t="shared" si="35"/>
        <v>0</v>
      </c>
      <c r="K82" s="1723">
        <f t="shared" si="36"/>
        <v>0</v>
      </c>
      <c r="L82" s="1723">
        <f t="shared" si="37"/>
        <v>0</v>
      </c>
      <c r="M82" s="1724">
        <f t="shared" si="38"/>
        <v>0</v>
      </c>
      <c r="N82" s="1680" t="str">
        <f>IF(M82=0,"",ROUND(J82/M82,5))</f>
        <v/>
      </c>
    </row>
    <row r="83" spans="1:14" ht="19.5" customHeight="1">
      <c r="A83" s="1752"/>
      <c r="B83" s="1765"/>
      <c r="C83" s="1766"/>
      <c r="D83" s="1766"/>
      <c r="E83" s="1721">
        <f t="shared" si="33"/>
        <v>0</v>
      </c>
      <c r="F83" s="1765"/>
      <c r="G83" s="1766"/>
      <c r="H83" s="1766"/>
      <c r="I83" s="1721">
        <f t="shared" si="34"/>
        <v>0</v>
      </c>
      <c r="J83" s="1722">
        <f t="shared" si="35"/>
        <v>0</v>
      </c>
      <c r="K83" s="1723">
        <f t="shared" si="36"/>
        <v>0</v>
      </c>
      <c r="L83" s="1723">
        <f t="shared" si="37"/>
        <v>0</v>
      </c>
      <c r="M83" s="1724">
        <f t="shared" si="38"/>
        <v>0</v>
      </c>
      <c r="N83" s="1680" t="str">
        <f>IF(M83=0,"",ROUND(J83/M83,5))</f>
        <v/>
      </c>
    </row>
    <row r="84" spans="1:14" ht="19.5" customHeight="1">
      <c r="A84" s="1752"/>
      <c r="B84" s="1765"/>
      <c r="C84" s="1766"/>
      <c r="D84" s="1766"/>
      <c r="E84" s="1721">
        <f t="shared" si="33"/>
        <v>0</v>
      </c>
      <c r="F84" s="1765"/>
      <c r="G84" s="1766"/>
      <c r="H84" s="1766"/>
      <c r="I84" s="1721">
        <f t="shared" si="34"/>
        <v>0</v>
      </c>
      <c r="J84" s="1722">
        <f t="shared" si="35"/>
        <v>0</v>
      </c>
      <c r="K84" s="1723">
        <f t="shared" si="36"/>
        <v>0</v>
      </c>
      <c r="L84" s="1723">
        <f t="shared" si="37"/>
        <v>0</v>
      </c>
      <c r="M84" s="1724">
        <f t="shared" si="38"/>
        <v>0</v>
      </c>
      <c r="N84" s="1680" t="str">
        <f>IF(M84=0,"",ROUND(J84/M84,5))</f>
        <v/>
      </c>
    </row>
    <row r="85" spans="1:14" ht="19.5" customHeight="1">
      <c r="A85" s="1752"/>
      <c r="B85" s="1765"/>
      <c r="C85" s="1766"/>
      <c r="D85" s="1766"/>
      <c r="E85" s="1721">
        <f t="shared" si="33"/>
        <v>0</v>
      </c>
      <c r="F85" s="1765"/>
      <c r="G85" s="1766"/>
      <c r="H85" s="1766"/>
      <c r="I85" s="1721">
        <f t="shared" si="34"/>
        <v>0</v>
      </c>
      <c r="J85" s="1722">
        <f t="shared" si="35"/>
        <v>0</v>
      </c>
      <c r="K85" s="1723">
        <f t="shared" si="36"/>
        <v>0</v>
      </c>
      <c r="L85" s="1723">
        <f t="shared" si="37"/>
        <v>0</v>
      </c>
      <c r="M85" s="1724">
        <f t="shared" si="38"/>
        <v>0</v>
      </c>
      <c r="N85" s="1680" t="str">
        <f>IF(M85=0,"",ROUND(J85/M85,5))</f>
        <v/>
      </c>
    </row>
    <row r="86" spans="1:14" ht="19.5" customHeight="1">
      <c r="A86" s="1752"/>
      <c r="B86" s="1765"/>
      <c r="C86" s="1766"/>
      <c r="D86" s="1766"/>
      <c r="E86" s="1721">
        <f t="shared" si="33"/>
        <v>0</v>
      </c>
      <c r="F86" s="1765"/>
      <c r="G86" s="1766"/>
      <c r="H86" s="1766"/>
      <c r="I86" s="1721">
        <f t="shared" si="34"/>
        <v>0</v>
      </c>
      <c r="J86" s="1722">
        <f t="shared" si="35"/>
        <v>0</v>
      </c>
      <c r="K86" s="1723">
        <f t="shared" si="36"/>
        <v>0</v>
      </c>
      <c r="L86" s="1723">
        <f t="shared" si="37"/>
        <v>0</v>
      </c>
      <c r="M86" s="1724">
        <f t="shared" si="38"/>
        <v>0</v>
      </c>
      <c r="N86" s="1680" t="str">
        <f>IF(M86=0,"",ROUND(J86/M86,5))</f>
        <v/>
      </c>
    </row>
    <row r="87" spans="1:14" ht="19.5" customHeight="1">
      <c r="A87" s="1752"/>
      <c r="B87" s="1765"/>
      <c r="C87" s="1766"/>
      <c r="D87" s="1766"/>
      <c r="E87" s="1721">
        <f t="shared" si="33"/>
        <v>0</v>
      </c>
      <c r="F87" s="1765"/>
      <c r="G87" s="1766"/>
      <c r="H87" s="1766"/>
      <c r="I87" s="1721">
        <f t="shared" si="34"/>
        <v>0</v>
      </c>
      <c r="J87" s="1722">
        <f t="shared" si="35"/>
        <v>0</v>
      </c>
      <c r="K87" s="1723">
        <f t="shared" si="36"/>
        <v>0</v>
      </c>
      <c r="L87" s="1723">
        <f t="shared" si="37"/>
        <v>0</v>
      </c>
      <c r="M87" s="1724">
        <f t="shared" si="38"/>
        <v>0</v>
      </c>
      <c r="N87" s="1680" t="str">
        <f>IF(M87=0,"",ROUND(J87/M87,5))</f>
        <v/>
      </c>
    </row>
    <row r="88" spans="1:14" ht="19.5" customHeight="1">
      <c r="A88" s="1752"/>
      <c r="B88" s="1765"/>
      <c r="C88" s="1766"/>
      <c r="D88" s="1766"/>
      <c r="E88" s="1721">
        <f t="shared" si="33"/>
        <v>0</v>
      </c>
      <c r="F88" s="1765"/>
      <c r="G88" s="1766"/>
      <c r="H88" s="1766"/>
      <c r="I88" s="1721">
        <f t="shared" si="34"/>
        <v>0</v>
      </c>
      <c r="J88" s="1722">
        <f t="shared" si="35"/>
        <v>0</v>
      </c>
      <c r="K88" s="1723">
        <f t="shared" si="36"/>
        <v>0</v>
      </c>
      <c r="L88" s="1723">
        <f t="shared" si="37"/>
        <v>0</v>
      </c>
      <c r="M88" s="1724">
        <f t="shared" si="38"/>
        <v>0</v>
      </c>
      <c r="N88" s="1680" t="str">
        <f>IF(M88=0,"",ROUND(J88/M88,5))</f>
        <v/>
      </c>
    </row>
    <row r="89" spans="1:14" ht="19.5" customHeight="1">
      <c r="A89" s="1752"/>
      <c r="B89" s="1765"/>
      <c r="C89" s="1766"/>
      <c r="D89" s="1766"/>
      <c r="E89" s="1721">
        <f t="shared" si="33"/>
        <v>0</v>
      </c>
      <c r="F89" s="1765"/>
      <c r="G89" s="1766"/>
      <c r="H89" s="1766"/>
      <c r="I89" s="1721">
        <f t="shared" si="34"/>
        <v>0</v>
      </c>
      <c r="J89" s="1722">
        <f t="shared" si="35"/>
        <v>0</v>
      </c>
      <c r="K89" s="1723">
        <f t="shared" si="36"/>
        <v>0</v>
      </c>
      <c r="L89" s="1723">
        <f t="shared" si="37"/>
        <v>0</v>
      </c>
      <c r="M89" s="1724">
        <f t="shared" si="38"/>
        <v>0</v>
      </c>
      <c r="N89" s="1680" t="str">
        <f>IF(M89=0,"",ROUND(J89/M89,5))</f>
        <v/>
      </c>
    </row>
    <row r="90" spans="1:14" ht="19.5" customHeight="1">
      <c r="A90" s="1752"/>
      <c r="B90" s="1765"/>
      <c r="C90" s="1766"/>
      <c r="D90" s="1766"/>
      <c r="E90" s="1721">
        <f t="shared" si="33"/>
        <v>0</v>
      </c>
      <c r="F90" s="1765"/>
      <c r="G90" s="1766"/>
      <c r="H90" s="1766"/>
      <c r="I90" s="1721">
        <f t="shared" si="34"/>
        <v>0</v>
      </c>
      <c r="J90" s="1722">
        <f t="shared" si="35"/>
        <v>0</v>
      </c>
      <c r="K90" s="1723">
        <f t="shared" si="36"/>
        <v>0</v>
      </c>
      <c r="L90" s="1723">
        <f t="shared" si="37"/>
        <v>0</v>
      </c>
      <c r="M90" s="1724">
        <f t="shared" si="38"/>
        <v>0</v>
      </c>
      <c r="N90" s="1680" t="str">
        <f>IF(M90=0,"",ROUND(J90/M90,5))</f>
        <v/>
      </c>
    </row>
    <row r="91" spans="1:14" ht="19.5" customHeight="1">
      <c r="A91" s="1752"/>
      <c r="B91" s="1765"/>
      <c r="C91" s="1766"/>
      <c r="D91" s="1766"/>
      <c r="E91" s="1721">
        <f t="shared" si="33"/>
        <v>0</v>
      </c>
      <c r="F91" s="1765"/>
      <c r="G91" s="1766"/>
      <c r="H91" s="1766"/>
      <c r="I91" s="1721">
        <f t="shared" si="34"/>
        <v>0</v>
      </c>
      <c r="J91" s="1722">
        <f t="shared" si="35"/>
        <v>0</v>
      </c>
      <c r="K91" s="1723">
        <f t="shared" si="36"/>
        <v>0</v>
      </c>
      <c r="L91" s="1723">
        <f t="shared" si="37"/>
        <v>0</v>
      </c>
      <c r="M91" s="1724">
        <f t="shared" si="38"/>
        <v>0</v>
      </c>
      <c r="N91" s="1680" t="str">
        <f>IF(M91=0,"",ROUND(J91/M91,5))</f>
        <v/>
      </c>
    </row>
    <row r="92" spans="1:14" ht="19.5" customHeight="1">
      <c r="A92" s="1752"/>
      <c r="B92" s="1765"/>
      <c r="C92" s="1766"/>
      <c r="D92" s="1766"/>
      <c r="E92" s="1721">
        <f t="shared" si="33"/>
        <v>0</v>
      </c>
      <c r="F92" s="1765"/>
      <c r="G92" s="1766"/>
      <c r="H92" s="1766"/>
      <c r="I92" s="1721">
        <f t="shared" si="34"/>
        <v>0</v>
      </c>
      <c r="J92" s="1722">
        <f t="shared" si="35"/>
        <v>0</v>
      </c>
      <c r="K92" s="1723">
        <f t="shared" si="36"/>
        <v>0</v>
      </c>
      <c r="L92" s="1723">
        <f t="shared" si="37"/>
        <v>0</v>
      </c>
      <c r="M92" s="1724">
        <f t="shared" si="38"/>
        <v>0</v>
      </c>
      <c r="N92" s="1680" t="str">
        <f>IF(M92=0,"",ROUND(J92/M92,5))</f>
        <v/>
      </c>
    </row>
    <row r="93" spans="1:14" ht="19.5" customHeight="1">
      <c r="A93" s="1752"/>
      <c r="B93" s="1765"/>
      <c r="C93" s="1766"/>
      <c r="D93" s="1766"/>
      <c r="E93" s="1721">
        <f t="shared" si="33"/>
        <v>0</v>
      </c>
      <c r="F93" s="1765"/>
      <c r="G93" s="1766"/>
      <c r="H93" s="1766"/>
      <c r="I93" s="1721">
        <f t="shared" si="34"/>
        <v>0</v>
      </c>
      <c r="J93" s="1722">
        <f t="shared" si="35"/>
        <v>0</v>
      </c>
      <c r="K93" s="1723">
        <f t="shared" si="36"/>
        <v>0</v>
      </c>
      <c r="L93" s="1723">
        <f t="shared" si="37"/>
        <v>0</v>
      </c>
      <c r="M93" s="1724">
        <f t="shared" si="38"/>
        <v>0</v>
      </c>
      <c r="N93" s="1680" t="str">
        <f>IF(M93=0,"",ROUND(J93/M93,5))</f>
        <v/>
      </c>
    </row>
    <row r="94" spans="1:14" ht="19.5" customHeight="1">
      <c r="A94" s="1752"/>
      <c r="B94" s="1765"/>
      <c r="C94" s="1766"/>
      <c r="D94" s="1766"/>
      <c r="E94" s="1721">
        <f t="shared" si="33"/>
        <v>0</v>
      </c>
      <c r="F94" s="1765"/>
      <c r="G94" s="1766"/>
      <c r="H94" s="1766"/>
      <c r="I94" s="1721">
        <f t="shared" si="34"/>
        <v>0</v>
      </c>
      <c r="J94" s="1722">
        <f t="shared" si="35"/>
        <v>0</v>
      </c>
      <c r="K94" s="1723">
        <f t="shared" si="36"/>
        <v>0</v>
      </c>
      <c r="L94" s="1723">
        <f t="shared" si="37"/>
        <v>0</v>
      </c>
      <c r="M94" s="1724">
        <f t="shared" si="38"/>
        <v>0</v>
      </c>
      <c r="N94" s="1680" t="str">
        <f>IF(M94=0,"",ROUND(J94/M94,5))</f>
        <v/>
      </c>
    </row>
    <row r="95" spans="1:14" ht="19.5" customHeight="1">
      <c r="A95" s="1752"/>
      <c r="B95" s="1765"/>
      <c r="C95" s="1766"/>
      <c r="D95" s="1766"/>
      <c r="E95" s="1721">
        <f t="shared" si="33"/>
        <v>0</v>
      </c>
      <c r="F95" s="1765"/>
      <c r="G95" s="1766"/>
      <c r="H95" s="1766"/>
      <c r="I95" s="1721">
        <f t="shared" si="34"/>
        <v>0</v>
      </c>
      <c r="J95" s="1722">
        <f t="shared" si="35"/>
        <v>0</v>
      </c>
      <c r="K95" s="1723">
        <f t="shared" si="36"/>
        <v>0</v>
      </c>
      <c r="L95" s="1723">
        <f t="shared" si="37"/>
        <v>0</v>
      </c>
      <c r="M95" s="1724">
        <f t="shared" si="38"/>
        <v>0</v>
      </c>
      <c r="N95" s="1680" t="str">
        <f>IF(M95=0,"",ROUND(J95/M95,5))</f>
        <v/>
      </c>
    </row>
    <row r="96" spans="1:14" ht="19.5" customHeight="1">
      <c r="A96" s="1752"/>
      <c r="B96" s="1765"/>
      <c r="C96" s="1766"/>
      <c r="D96" s="1766"/>
      <c r="E96" s="1721">
        <f t="shared" si="33"/>
        <v>0</v>
      </c>
      <c r="F96" s="1765"/>
      <c r="G96" s="1766"/>
      <c r="H96" s="1766"/>
      <c r="I96" s="1721">
        <f t="shared" si="34"/>
        <v>0</v>
      </c>
      <c r="J96" s="1722">
        <f t="shared" si="35"/>
        <v>0</v>
      </c>
      <c r="K96" s="1723">
        <f t="shared" si="36"/>
        <v>0</v>
      </c>
      <c r="L96" s="1723">
        <f t="shared" si="37"/>
        <v>0</v>
      </c>
      <c r="M96" s="1724">
        <f t="shared" si="38"/>
        <v>0</v>
      </c>
      <c r="N96" s="1680" t="str">
        <f>IF(M96=0,"",ROUND(J96/M96,5))</f>
        <v/>
      </c>
    </row>
    <row r="97" spans="1:14" ht="19.5" customHeight="1">
      <c r="A97" s="1752"/>
      <c r="B97" s="1765"/>
      <c r="C97" s="1766"/>
      <c r="D97" s="1766"/>
      <c r="E97" s="1721">
        <f t="shared" si="33"/>
        <v>0</v>
      </c>
      <c r="F97" s="1765"/>
      <c r="G97" s="1766"/>
      <c r="H97" s="1766"/>
      <c r="I97" s="1721">
        <f t="shared" si="34"/>
        <v>0</v>
      </c>
      <c r="J97" s="1722">
        <f t="shared" si="35"/>
        <v>0</v>
      </c>
      <c r="K97" s="1723">
        <f t="shared" si="36"/>
        <v>0</v>
      </c>
      <c r="L97" s="1723">
        <f t="shared" si="37"/>
        <v>0</v>
      </c>
      <c r="M97" s="1724">
        <f t="shared" si="38"/>
        <v>0</v>
      </c>
      <c r="N97" s="1680" t="str">
        <f>IF(M97=0,"",ROUND(J97/M97,5))</f>
        <v/>
      </c>
    </row>
    <row r="98" spans="1:14" ht="19.5" customHeight="1">
      <c r="A98" s="1752"/>
      <c r="B98" s="1765"/>
      <c r="C98" s="1766"/>
      <c r="D98" s="1766"/>
      <c r="E98" s="1721">
        <f t="shared" si="33"/>
        <v>0</v>
      </c>
      <c r="F98" s="1765"/>
      <c r="G98" s="1766"/>
      <c r="H98" s="1766"/>
      <c r="I98" s="1721">
        <f t="shared" si="34"/>
        <v>0</v>
      </c>
      <c r="J98" s="1722">
        <f t="shared" si="35"/>
        <v>0</v>
      </c>
      <c r="K98" s="1723">
        <f t="shared" si="36"/>
        <v>0</v>
      </c>
      <c r="L98" s="1723">
        <f t="shared" si="37"/>
        <v>0</v>
      </c>
      <c r="M98" s="1724">
        <f t="shared" si="38"/>
        <v>0</v>
      </c>
      <c r="N98" s="1680" t="str">
        <f>IF(M98=0,"",ROUND(J98/M98,5))</f>
        <v/>
      </c>
    </row>
  </sheetData>
  <mergeCells count="5">
    <mergeCell ref="A2:A3"/>
    <mergeCell ref="N2:N3"/>
    <mergeCell ref="C2:D2"/>
    <mergeCell ref="G2:H2"/>
    <mergeCell ref="K2:L2"/>
  </mergeCells>
  <phoneticPr fontId="2"/>
  <printOptions horizontalCentered="1"/>
  <pageMargins left="0" right="0" top="0.98425196850393704" bottom="0.98425196850393704" header="0.51181102362204722" footer="0.51181102362204722"/>
  <pageSetup paperSize="9" scale="80" orientation="landscape" r:id="rId1"/>
  <headerFooter alignWithMargins="0">
    <oddHeader>&amp;C&amp;"ＭＳ ゴシック,太字"&amp;12年度別課税支出割合</oddHeader>
    <oddFooter>&amp;L&amp;F　&amp;A&amp;R&amp;D &amp;T</oddFooter>
  </headerFooter>
  <drawing r:id="rId2"/>
</worksheet>
</file>

<file path=xl/worksheets/w7_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89" zoomScale="80" zoomScaleNormal="80" workbookViewId="0">
      <selection activeCell="T132" sqref="T132:Y132"/>
    </sheetView>
  </sheetViews>
  <sheetFormatPr defaultColWidth="9" defaultRowHeight="13.5" customHeight="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2865"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2846"/>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2836"/>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2846"/>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2841"/>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2841"/>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2841"/>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2841"/>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2841"/>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2841"/>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2836"/>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2846"/>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2841"/>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2841"/>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2841"/>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2841"/>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2836"/>
    </row>
    <row r="19" spans="2:52" ht="13.5" customHeight="1">
      <c r="B19" s="3498"/>
      <c r="C19" s="3514">
        <v>8</v>
      </c>
      <c r="D19" s="3512" t="s">
        <v>5518</v>
      </c>
      <c r="E19" s="2850"/>
      <c r="F19" s="2849"/>
      <c r="G19" s="2848"/>
      <c r="H19" s="2848"/>
      <c r="I19" s="2848"/>
      <c r="J19" s="2848"/>
      <c r="K19" s="2848"/>
      <c r="L19" s="2848"/>
      <c r="M19" s="2848"/>
      <c r="N19" s="2848"/>
      <c r="O19" s="2848"/>
      <c r="P19" s="2848"/>
      <c r="Q19" s="2848"/>
      <c r="R19" s="2848"/>
      <c r="S19" s="2848"/>
      <c r="T19" s="2848"/>
      <c r="U19" s="2848"/>
      <c r="V19" s="2848"/>
      <c r="W19" s="2848"/>
      <c r="X19" s="2848"/>
      <c r="Y19" s="2848"/>
      <c r="Z19" s="2848"/>
      <c r="AA19" s="2848"/>
      <c r="AB19" s="2848"/>
      <c r="AC19" s="2848"/>
      <c r="AD19" s="2848"/>
      <c r="AE19" s="2848"/>
      <c r="AF19" s="2848"/>
      <c r="AG19" s="2848"/>
      <c r="AH19" s="2848"/>
      <c r="AI19" s="2848"/>
      <c r="AJ19" s="2848"/>
      <c r="AK19" s="2848"/>
      <c r="AL19" s="2848"/>
      <c r="AM19" s="2848"/>
      <c r="AN19" s="2848"/>
      <c r="AO19" s="2848"/>
      <c r="AP19" s="2848"/>
      <c r="AQ19" s="2848"/>
      <c r="AR19" s="2848"/>
      <c r="AS19" s="2848"/>
      <c r="AT19" s="2848"/>
      <c r="AU19" s="2848"/>
      <c r="AV19" s="2848"/>
      <c r="AW19" s="2848"/>
      <c r="AX19" s="2848"/>
      <c r="AY19" s="2847"/>
      <c r="AZ19" s="2846"/>
    </row>
    <row r="20" spans="2:52" ht="13.5" customHeight="1">
      <c r="B20" s="3498"/>
      <c r="C20" s="3498"/>
      <c r="D20" s="3502"/>
      <c r="E20" s="2860" t="s">
        <v>5517</v>
      </c>
      <c r="F20" s="2844"/>
      <c r="G20" s="2844"/>
      <c r="H20" s="2844"/>
      <c r="I20" s="2844"/>
      <c r="J20" s="2844"/>
      <c r="K20" s="2844"/>
      <c r="L20" s="2844"/>
      <c r="M20" s="2844"/>
      <c r="N20" s="2844"/>
      <c r="O20" s="2844"/>
      <c r="P20" s="2844"/>
      <c r="Q20" s="2843"/>
      <c r="R20" s="3519">
        <f>基礎数値!D3</f>
        <v>0</v>
      </c>
      <c r="S20" s="3519"/>
      <c r="T20" s="3519"/>
      <c r="U20" s="3519"/>
      <c r="V20" s="3519"/>
      <c r="W20" s="3519"/>
      <c r="X20" s="2843"/>
      <c r="Y20" s="2851" t="s">
        <v>5476</v>
      </c>
      <c r="Z20" s="2843"/>
      <c r="AA20" s="2843"/>
      <c r="AB20" s="2843"/>
      <c r="AC20" s="2843"/>
      <c r="AD20" s="2843"/>
      <c r="AE20" s="2843"/>
      <c r="AF20" s="2843"/>
      <c r="AG20" s="2843"/>
      <c r="AH20" s="2843"/>
      <c r="AI20" s="2844"/>
      <c r="AJ20" s="2843"/>
      <c r="AK20" s="2843"/>
      <c r="AL20" s="2843"/>
      <c r="AM20" s="2843"/>
      <c r="AN20" s="2843"/>
      <c r="AO20" s="2843"/>
      <c r="AP20" s="2843"/>
      <c r="AQ20" s="2843"/>
      <c r="AR20" s="2843"/>
      <c r="AS20" s="2843"/>
      <c r="AT20" s="2843"/>
      <c r="AU20" s="2843"/>
      <c r="AV20" s="2843"/>
      <c r="AW20" s="2843"/>
      <c r="AX20" s="2843"/>
      <c r="AY20" s="2842"/>
      <c r="AZ20" s="2841"/>
    </row>
    <row r="21" spans="2:52" ht="13.5" customHeight="1">
      <c r="B21" s="3498"/>
      <c r="C21" s="3498"/>
      <c r="D21" s="3502"/>
      <c r="E21" s="2860" t="s">
        <v>5516</v>
      </c>
      <c r="F21" s="2843"/>
      <c r="G21" s="2843"/>
      <c r="H21" s="2843"/>
      <c r="I21" s="2843"/>
      <c r="J21" s="2843"/>
      <c r="K21" s="2843"/>
      <c r="L21" s="2843"/>
      <c r="M21" s="2843"/>
      <c r="N21" s="2843"/>
      <c r="O21" s="2843"/>
      <c r="P21" s="2843"/>
      <c r="Q21" s="2843"/>
      <c r="R21" s="3519">
        <f>基礎数値!D4</f>
        <v>0</v>
      </c>
      <c r="S21" s="3519"/>
      <c r="T21" s="3519"/>
      <c r="U21" s="3519"/>
      <c r="V21" s="3519"/>
      <c r="W21" s="3519"/>
      <c r="X21" s="2843"/>
      <c r="Y21" s="2851" t="s">
        <v>5476</v>
      </c>
      <c r="Z21" s="2843"/>
      <c r="AA21" s="2843"/>
      <c r="AB21" s="2843"/>
      <c r="AC21" s="2843"/>
      <c r="AD21" s="2843"/>
      <c r="AE21" s="2843"/>
      <c r="AF21" s="2843"/>
      <c r="AG21" s="2843"/>
      <c r="AH21" s="2843"/>
      <c r="AI21" s="2843"/>
      <c r="AJ21" s="2843" t="s">
        <v>5447</v>
      </c>
      <c r="AK21" s="3497">
        <f>R20+R21</f>
        <v>0</v>
      </c>
      <c r="AL21" s="3497"/>
      <c r="AM21" s="3497"/>
      <c r="AN21" s="3497"/>
      <c r="AO21" s="3497"/>
      <c r="AP21" s="3497"/>
      <c r="AQ21" s="2843" t="s">
        <v>5515</v>
      </c>
      <c r="AR21" s="2843"/>
      <c r="AS21" s="2843"/>
      <c r="AT21" s="2843"/>
      <c r="AU21" s="2843"/>
      <c r="AV21" s="2843"/>
      <c r="AW21" s="2843"/>
      <c r="AX21" s="2843"/>
      <c r="AY21" s="2842"/>
      <c r="AZ21" s="2841"/>
    </row>
    <row r="22" spans="2:52" ht="13.5" customHeight="1">
      <c r="B22" s="3498"/>
      <c r="C22" s="3498"/>
      <c r="D22" s="3502"/>
      <c r="E22" s="2860"/>
      <c r="F22" s="2843"/>
      <c r="G22" s="2843"/>
      <c r="H22" s="2843"/>
      <c r="I22" s="2843"/>
      <c r="J22" s="2843"/>
      <c r="K22" s="2843"/>
      <c r="L22" s="2843"/>
      <c r="M22" s="2843"/>
      <c r="N22" s="2843"/>
      <c r="O22" s="2843"/>
      <c r="P22" s="2843"/>
      <c r="Q22" s="2843"/>
      <c r="R22" s="2843"/>
      <c r="S22" s="2843"/>
      <c r="T22" s="2843"/>
      <c r="U22" s="2843"/>
      <c r="V22" s="2843"/>
      <c r="W22" s="2843"/>
      <c r="X22" s="2843"/>
      <c r="Y22" s="2843"/>
      <c r="Z22" s="2843"/>
      <c r="AA22" s="2843"/>
      <c r="AB22" s="2843"/>
      <c r="AC22" s="2843"/>
      <c r="AD22" s="2843"/>
      <c r="AE22" s="2843"/>
      <c r="AF22" s="2843"/>
      <c r="AG22" s="2843"/>
      <c r="AH22" s="2843"/>
      <c r="AI22" s="2843"/>
      <c r="AJ22" s="2843"/>
      <c r="AK22" s="2843"/>
      <c r="AL22" s="2843"/>
      <c r="AM22" s="2843"/>
      <c r="AN22" s="2843"/>
      <c r="AO22" s="2843"/>
      <c r="AP22" s="2843"/>
      <c r="AQ22" s="2843"/>
      <c r="AR22" s="2843"/>
      <c r="AS22" s="2843"/>
      <c r="AT22" s="2843"/>
      <c r="AU22" s="2843"/>
      <c r="AV22" s="2843"/>
      <c r="AW22" s="2843"/>
      <c r="AX22" s="2843"/>
      <c r="AY22" s="2842"/>
      <c r="AZ22" s="2841"/>
    </row>
    <row r="23" spans="2:52" ht="13.5" customHeight="1">
      <c r="B23" s="3498"/>
      <c r="C23" s="3498"/>
      <c r="D23" s="3502"/>
      <c r="E23" s="2860" t="s">
        <v>5514</v>
      </c>
      <c r="F23" s="2843"/>
      <c r="G23" s="2843"/>
      <c r="H23" s="2843"/>
      <c r="I23" s="2843"/>
      <c r="J23" s="2843"/>
      <c r="K23" s="2843"/>
      <c r="L23" s="2843"/>
      <c r="M23" s="2843"/>
      <c r="N23" s="2843"/>
      <c r="O23" s="2843"/>
      <c r="P23" s="2843"/>
      <c r="Q23" s="2843"/>
      <c r="R23" s="2843"/>
      <c r="S23" s="2843"/>
      <c r="T23" s="2843"/>
      <c r="U23" s="2843"/>
      <c r="V23" s="2843"/>
      <c r="W23" s="2843"/>
      <c r="X23" s="2843"/>
      <c r="Y23" s="2843"/>
      <c r="Z23" s="2843"/>
      <c r="AA23" s="2843"/>
      <c r="AB23" s="2843"/>
      <c r="AC23" s="2843"/>
      <c r="AD23" s="2843"/>
      <c r="AE23" s="2843"/>
      <c r="AF23" s="2843"/>
      <c r="AG23" s="2843"/>
      <c r="AH23" s="2843"/>
      <c r="AI23" s="2843"/>
      <c r="AJ23" s="2843"/>
      <c r="AK23" s="2843"/>
      <c r="AL23" s="2843"/>
      <c r="AM23" s="2843"/>
      <c r="AN23" s="2843"/>
      <c r="AO23" s="2843"/>
      <c r="AP23" s="2843"/>
      <c r="AQ23" s="2843"/>
      <c r="AR23" s="2843"/>
      <c r="AS23" s="2843"/>
      <c r="AT23" s="2843"/>
      <c r="AU23" s="2843"/>
      <c r="AV23" s="2843"/>
      <c r="AW23" s="2843"/>
      <c r="AX23" s="2843"/>
      <c r="AY23" s="2842"/>
      <c r="AZ23" s="2841"/>
    </row>
    <row r="24" spans="2:52" ht="13.5" customHeight="1">
      <c r="B24" s="3498"/>
      <c r="C24" s="3498"/>
      <c r="D24" s="3502"/>
      <c r="E24" s="2860"/>
      <c r="F24" s="2843"/>
      <c r="G24" s="2843"/>
      <c r="H24" s="2844" t="s">
        <v>5470</v>
      </c>
      <c r="I24" s="2843"/>
      <c r="J24" s="2843"/>
      <c r="K24" s="2843"/>
      <c r="L24" s="2843"/>
      <c r="M24" s="2843"/>
      <c r="N24" s="2843"/>
      <c r="O24" s="2843"/>
      <c r="P24" s="2843"/>
      <c r="Q24" s="2843"/>
      <c r="R24" s="3519">
        <f>基礎数値!D6</f>
        <v>0</v>
      </c>
      <c r="S24" s="3519"/>
      <c r="T24" s="3519"/>
      <c r="U24" s="3519"/>
      <c r="V24" s="3519"/>
      <c r="W24" s="3519"/>
      <c r="X24" s="2843" t="s">
        <v>5513</v>
      </c>
      <c r="Y24" s="2851" t="s">
        <v>5512</v>
      </c>
      <c r="Z24" s="2843"/>
      <c r="AA24" s="2843"/>
      <c r="AB24" s="2843"/>
      <c r="AC24" s="2843"/>
      <c r="AD24" s="2843"/>
      <c r="AE24" s="2843"/>
      <c r="AF24" s="2843"/>
      <c r="AG24" s="2843"/>
      <c r="AH24" s="2843"/>
      <c r="AI24" s="2843"/>
      <c r="AJ24" s="2843"/>
      <c r="AK24" s="2843"/>
      <c r="AL24" s="2843"/>
      <c r="AM24" s="2843"/>
      <c r="AN24" s="2843"/>
      <c r="AO24" s="2843"/>
      <c r="AP24" s="2843"/>
      <c r="AQ24" s="2843"/>
      <c r="AR24" s="2843"/>
      <c r="AS24" s="2843"/>
      <c r="AT24" s="2843"/>
      <c r="AU24" s="2843"/>
      <c r="AV24" s="2843"/>
      <c r="AW24" s="2843"/>
      <c r="AX24" s="2843"/>
      <c r="AY24" s="2842"/>
      <c r="AZ24" s="2841"/>
    </row>
    <row r="25" spans="2:52" ht="13.5" customHeight="1">
      <c r="B25" s="3498"/>
      <c r="C25" s="3498"/>
      <c r="D25" s="3502"/>
      <c r="E25" s="2845"/>
      <c r="F25" s="2844"/>
      <c r="G25" s="2843"/>
      <c r="H25" s="2844" t="s">
        <v>5511</v>
      </c>
      <c r="I25" s="2843"/>
      <c r="J25" s="2843"/>
      <c r="K25" s="2843"/>
      <c r="L25" s="2843"/>
      <c r="M25" s="2843"/>
      <c r="N25" s="2843"/>
      <c r="O25" s="2843"/>
      <c r="P25" s="2843"/>
      <c r="Q25" s="2843"/>
      <c r="R25" s="3519">
        <f>基礎数値!D7</f>
        <v>0</v>
      </c>
      <c r="S25" s="3519"/>
      <c r="T25" s="3519"/>
      <c r="U25" s="3519"/>
      <c r="V25" s="3519"/>
      <c r="W25" s="3519"/>
      <c r="X25" s="2843" t="s">
        <v>5510</v>
      </c>
      <c r="Y25" s="2851" t="s">
        <v>5509</v>
      </c>
      <c r="Z25" s="2843"/>
      <c r="AA25" s="2843"/>
      <c r="AB25" s="2843"/>
      <c r="AC25" s="2843"/>
      <c r="AD25" s="2843"/>
      <c r="AE25" s="2843"/>
      <c r="AF25" s="2843"/>
      <c r="AG25" s="2843"/>
      <c r="AH25" s="2843"/>
      <c r="AI25" s="2843"/>
      <c r="AJ25" s="2843"/>
      <c r="AK25" s="2843"/>
      <c r="AL25" s="2843"/>
      <c r="AM25" s="2843"/>
      <c r="AN25" s="2843"/>
      <c r="AO25" s="2843"/>
      <c r="AP25" s="2843"/>
      <c r="AQ25" s="2843"/>
      <c r="AR25" s="2843"/>
      <c r="AS25" s="2843"/>
      <c r="AT25" s="2843"/>
      <c r="AU25" s="2843"/>
      <c r="AV25" s="2843"/>
      <c r="AW25" s="2843"/>
      <c r="AX25" s="2843"/>
      <c r="AY25" s="2842"/>
      <c r="AZ25" s="2841"/>
    </row>
    <row r="26" spans="2:52" ht="13.5" customHeight="1" thickBot="1">
      <c r="B26" s="3498"/>
      <c r="C26" s="3498"/>
      <c r="D26" s="3502"/>
      <c r="E26" s="2845"/>
      <c r="F26" s="2844"/>
      <c r="G26" s="2843"/>
      <c r="H26" s="2843"/>
      <c r="I26" s="2843"/>
      <c r="J26" s="2843"/>
      <c r="K26" s="2843"/>
      <c r="L26" s="2843"/>
      <c r="M26" s="2843"/>
      <c r="N26" s="2843"/>
      <c r="O26" s="2843"/>
      <c r="P26" s="2843"/>
      <c r="Q26" s="2843"/>
      <c r="R26" s="2843"/>
      <c r="S26" s="2843"/>
      <c r="T26" s="2843"/>
      <c r="U26" s="2843"/>
      <c r="V26" s="2843"/>
      <c r="W26" s="2843"/>
      <c r="X26" s="2843"/>
      <c r="Y26" s="2843"/>
      <c r="Z26" s="2843"/>
      <c r="AA26" s="2843"/>
      <c r="AB26" s="2843"/>
      <c r="AC26" s="2843"/>
      <c r="AD26" s="2843"/>
      <c r="AE26" s="2843"/>
      <c r="AF26" s="2843"/>
      <c r="AG26" s="2843"/>
      <c r="AH26" s="2843"/>
      <c r="AI26" s="2843"/>
      <c r="AJ26" s="2843"/>
      <c r="AK26" s="2843"/>
      <c r="AL26" s="2843"/>
      <c r="AM26" s="2843"/>
      <c r="AN26" s="2843"/>
      <c r="AO26" s="2843"/>
      <c r="AP26" s="2843"/>
      <c r="AQ26" s="2843"/>
      <c r="AR26" s="2843"/>
      <c r="AS26" s="2843"/>
      <c r="AT26" s="2843"/>
      <c r="AU26" s="2843"/>
      <c r="AV26" s="2843"/>
      <c r="AW26" s="2843"/>
      <c r="AX26" s="2843"/>
      <c r="AY26" s="2842"/>
      <c r="AZ26" s="2841"/>
    </row>
    <row r="27" spans="2:52" ht="13.5" customHeight="1" thickTop="1" thickBot="1">
      <c r="B27" s="3498"/>
      <c r="C27" s="3498"/>
      <c r="D27" s="3502"/>
      <c r="E27" s="2845" t="s">
        <v>5445</v>
      </c>
      <c r="F27" s="2844"/>
      <c r="G27" s="2843"/>
      <c r="H27" s="2843"/>
      <c r="I27" s="2843"/>
      <c r="J27" s="2843"/>
      <c r="K27" s="2843"/>
      <c r="L27" s="2843"/>
      <c r="M27" s="2843"/>
      <c r="N27" s="2843"/>
      <c r="O27" s="2843"/>
      <c r="P27" s="2843"/>
      <c r="Q27" s="2843"/>
      <c r="R27" s="3499">
        <f>ROUNDDOWN((AK21-R24-R25)*100/103,0)</f>
        <v>0</v>
      </c>
      <c r="S27" s="3500"/>
      <c r="T27" s="3500"/>
      <c r="U27" s="3500"/>
      <c r="V27" s="3500"/>
      <c r="W27" s="3501"/>
      <c r="X27" s="2843" t="s">
        <v>5508</v>
      </c>
      <c r="Y27" s="2851" t="s">
        <v>5507</v>
      </c>
      <c r="Z27" s="2843"/>
      <c r="AA27" s="2843"/>
      <c r="AB27" s="2843"/>
      <c r="AC27" s="2843"/>
      <c r="AD27" s="2843"/>
      <c r="AE27" s="2843"/>
      <c r="AF27" s="2843"/>
      <c r="AG27" s="2843"/>
      <c r="AH27" s="2843"/>
      <c r="AI27" s="2843"/>
      <c r="AJ27" s="2843"/>
      <c r="AK27" s="2843"/>
      <c r="AL27" s="2843"/>
      <c r="AM27" s="2843"/>
      <c r="AN27" s="2843"/>
      <c r="AO27" s="2843"/>
      <c r="AP27" s="2843"/>
      <c r="AQ27" s="2843"/>
      <c r="AR27" s="2843"/>
      <c r="AS27" s="2843"/>
      <c r="AT27" s="2843"/>
      <c r="AU27" s="2843"/>
      <c r="AV27" s="2843"/>
      <c r="AW27" s="2843"/>
      <c r="AX27" s="2843"/>
      <c r="AY27" s="2842"/>
      <c r="AZ27" s="2841" t="s">
        <v>5506</v>
      </c>
    </row>
    <row r="28" spans="2:52" ht="13.5" customHeight="1" thickTop="1" thickBot="1">
      <c r="B28" s="3498"/>
      <c r="C28" s="3498"/>
      <c r="D28" s="3502"/>
      <c r="E28" s="2845"/>
      <c r="F28" s="2844"/>
      <c r="G28" s="2843"/>
      <c r="H28" s="2843"/>
      <c r="I28" s="2843"/>
      <c r="J28" s="2843"/>
      <c r="K28" s="2843"/>
      <c r="L28" s="2843"/>
      <c r="M28" s="2843"/>
      <c r="N28" s="2843"/>
      <c r="O28" s="2843"/>
      <c r="P28" s="2843"/>
      <c r="Q28" s="2843"/>
      <c r="R28" s="2843"/>
      <c r="S28" s="2843"/>
      <c r="T28" s="2843"/>
      <c r="U28" s="2843"/>
      <c r="V28" s="2843"/>
      <c r="W28" s="2843"/>
      <c r="X28" s="2843"/>
      <c r="Y28" s="2843"/>
      <c r="Z28" s="2843"/>
      <c r="AA28" s="2843"/>
      <c r="AB28" s="2843"/>
      <c r="AC28" s="2843"/>
      <c r="AD28" s="2843"/>
      <c r="AE28" s="2843"/>
      <c r="AF28" s="2843"/>
      <c r="AG28" s="2843"/>
      <c r="AH28" s="2843"/>
      <c r="AI28" s="2843"/>
      <c r="AJ28" s="2843"/>
      <c r="AK28" s="2843"/>
      <c r="AL28" s="2843"/>
      <c r="AM28" s="2843"/>
      <c r="AN28" s="2843"/>
      <c r="AO28" s="2843"/>
      <c r="AP28" s="2843"/>
      <c r="AQ28" s="2843"/>
      <c r="AR28" s="2843"/>
      <c r="AS28" s="2843"/>
      <c r="AT28" s="2843"/>
      <c r="AU28" s="2843"/>
      <c r="AV28" s="2843"/>
      <c r="AW28" s="2843"/>
      <c r="AX28" s="2843"/>
      <c r="AY28" s="2842"/>
      <c r="AZ28" s="2841"/>
    </row>
    <row r="29" spans="2:52" ht="13.5" customHeight="1" thickTop="1" thickBot="1">
      <c r="B29" s="3498"/>
      <c r="C29" s="3498"/>
      <c r="D29" s="3502"/>
      <c r="E29" s="2845" t="s">
        <v>5505</v>
      </c>
      <c r="F29" s="2844"/>
      <c r="G29" s="2843"/>
      <c r="H29" s="2843"/>
      <c r="I29" s="2843"/>
      <c r="J29" s="2843"/>
      <c r="K29" s="2843"/>
      <c r="L29" s="2843"/>
      <c r="M29" s="2843"/>
      <c r="N29" s="2843"/>
      <c r="O29" s="2843"/>
      <c r="P29" s="2843"/>
      <c r="Q29" s="2843"/>
      <c r="R29" s="3499">
        <f>ROUNDDOWN((AK21-R24)*100/103,-3)</f>
        <v>0</v>
      </c>
      <c r="S29" s="3500"/>
      <c r="T29" s="3500"/>
      <c r="U29" s="3500"/>
      <c r="V29" s="3500"/>
      <c r="W29" s="3501"/>
      <c r="X29" s="2843" t="s">
        <v>5504</v>
      </c>
      <c r="Y29" s="2851" t="s">
        <v>5503</v>
      </c>
      <c r="Z29" s="2843"/>
      <c r="AA29" s="2843"/>
      <c r="AB29" s="2843"/>
      <c r="AC29" s="2843"/>
      <c r="AD29" s="2843"/>
      <c r="AE29" s="2843"/>
      <c r="AF29" s="2843"/>
      <c r="AG29" s="2843"/>
      <c r="AH29" s="2843"/>
      <c r="AI29" s="2843"/>
      <c r="AJ29" s="2843"/>
      <c r="AK29" s="2843"/>
      <c r="AL29" s="2843"/>
      <c r="AM29" s="2843"/>
      <c r="AN29" s="2843"/>
      <c r="AO29" s="2843"/>
      <c r="AP29" s="2843"/>
      <c r="AQ29" s="2843"/>
      <c r="AR29" s="2843"/>
      <c r="AS29" s="2843"/>
      <c r="AT29" s="2843"/>
      <c r="AU29" s="2843"/>
      <c r="AV29" s="2843"/>
      <c r="AW29" s="2843"/>
      <c r="AX29" s="2843"/>
      <c r="AY29" s="2842"/>
      <c r="AZ29" s="2841" t="s">
        <v>5502</v>
      </c>
    </row>
    <row r="30" spans="2:52" ht="13.5" customHeight="1" thickTop="1" thickBot="1">
      <c r="B30" s="3498"/>
      <c r="C30" s="3498"/>
      <c r="D30" s="3502"/>
      <c r="E30" s="2845"/>
      <c r="F30" s="2844"/>
      <c r="G30" s="2843"/>
      <c r="H30" s="2843"/>
      <c r="I30" s="2843"/>
      <c r="J30" s="2843"/>
      <c r="K30" s="2843"/>
      <c r="L30" s="2843"/>
      <c r="M30" s="2843"/>
      <c r="N30" s="2843"/>
      <c r="O30" s="2843"/>
      <c r="P30" s="2843"/>
      <c r="Q30" s="2843"/>
      <c r="R30" s="2843"/>
      <c r="S30" s="2843"/>
      <c r="T30" s="2843"/>
      <c r="U30" s="2843"/>
      <c r="V30" s="2843"/>
      <c r="W30" s="2843"/>
      <c r="X30" s="2843"/>
      <c r="Y30" s="2843"/>
      <c r="Z30" s="2843"/>
      <c r="AA30" s="2843"/>
      <c r="AB30" s="2843"/>
      <c r="AC30" s="2843"/>
      <c r="AD30" s="2843"/>
      <c r="AE30" s="2843"/>
      <c r="AF30" s="2843"/>
      <c r="AG30" s="2843"/>
      <c r="AH30" s="2843"/>
      <c r="AI30" s="2843"/>
      <c r="AJ30" s="2843"/>
      <c r="AK30" s="2843"/>
      <c r="AL30" s="2843"/>
      <c r="AM30" s="2843"/>
      <c r="AN30" s="2843"/>
      <c r="AO30" s="2843"/>
      <c r="AP30" s="2843"/>
      <c r="AQ30" s="2843"/>
      <c r="AR30" s="2843"/>
      <c r="AS30" s="2843"/>
      <c r="AT30" s="2843"/>
      <c r="AU30" s="2843"/>
      <c r="AV30" s="2843"/>
      <c r="AW30" s="2843"/>
      <c r="AX30" s="2843"/>
      <c r="AY30" s="2842"/>
      <c r="AZ30" s="2841"/>
    </row>
    <row r="31" spans="2:52" ht="13.5" customHeight="1" thickTop="1" thickBot="1">
      <c r="B31" s="3498"/>
      <c r="C31" s="3498"/>
      <c r="D31" s="3502"/>
      <c r="E31" s="2845" t="s">
        <v>5501</v>
      </c>
      <c r="F31" s="2844"/>
      <c r="G31" s="2843"/>
      <c r="H31" s="2843"/>
      <c r="I31" s="2843"/>
      <c r="J31" s="2843"/>
      <c r="K31" s="2843"/>
      <c r="L31" s="2843"/>
      <c r="M31" s="2843"/>
      <c r="N31" s="2843"/>
      <c r="O31" s="2843"/>
      <c r="P31" s="2843"/>
      <c r="Q31" s="2843"/>
      <c r="R31" s="3499">
        <f>ROUNDDOWN(R29*3/100,0)</f>
        <v>0</v>
      </c>
      <c r="S31" s="3500"/>
      <c r="T31" s="3500"/>
      <c r="U31" s="3500"/>
      <c r="V31" s="3500"/>
      <c r="W31" s="3501"/>
      <c r="X31" s="2843" t="s">
        <v>5500</v>
      </c>
      <c r="Y31" s="2851" t="s">
        <v>5499</v>
      </c>
      <c r="Z31" s="2843"/>
      <c r="AA31" s="2843"/>
      <c r="AB31" s="2843"/>
      <c r="AC31" s="2843"/>
      <c r="AD31" s="2843"/>
      <c r="AE31" s="2843"/>
      <c r="AF31" s="2843"/>
      <c r="AG31" s="2843"/>
      <c r="AH31" s="2843"/>
      <c r="AI31" s="2843"/>
      <c r="AJ31" s="2843"/>
      <c r="AK31" s="2843"/>
      <c r="AL31" s="2843"/>
      <c r="AM31" s="2843"/>
      <c r="AN31" s="2843"/>
      <c r="AO31" s="2843"/>
      <c r="AP31" s="2843"/>
      <c r="AQ31" s="2843"/>
      <c r="AR31" s="2843"/>
      <c r="AS31" s="2843"/>
      <c r="AT31" s="2843"/>
      <c r="AU31" s="2843"/>
      <c r="AV31" s="2843"/>
      <c r="AW31" s="2843"/>
      <c r="AX31" s="2843"/>
      <c r="AY31" s="2842"/>
      <c r="AZ31" s="2841" t="s">
        <v>5498</v>
      </c>
    </row>
    <row r="32" spans="2:52" ht="13.5" customHeight="1" thickTop="1">
      <c r="B32" s="3503"/>
      <c r="C32" s="3503"/>
      <c r="D32" s="3513"/>
      <c r="E32" s="2840"/>
      <c r="F32" s="2839"/>
      <c r="G32" s="2838"/>
      <c r="H32" s="2838"/>
      <c r="I32" s="2838"/>
      <c r="J32" s="2838"/>
      <c r="K32" s="2838"/>
      <c r="L32" s="2838"/>
      <c r="M32" s="2838"/>
      <c r="N32" s="2838"/>
      <c r="O32" s="2838"/>
      <c r="P32" s="2838"/>
      <c r="Q32" s="2838"/>
      <c r="R32" s="2838"/>
      <c r="S32" s="2838"/>
      <c r="T32" s="2838"/>
      <c r="U32" s="2838"/>
      <c r="V32" s="2838"/>
      <c r="W32" s="2838"/>
      <c r="X32" s="2838"/>
      <c r="Y32" s="2838"/>
      <c r="Z32" s="2838"/>
      <c r="AA32" s="2838"/>
      <c r="AB32" s="2838"/>
      <c r="AC32" s="2838"/>
      <c r="AD32" s="2838"/>
      <c r="AE32" s="2838"/>
      <c r="AF32" s="2838"/>
      <c r="AG32" s="2838"/>
      <c r="AH32" s="2838"/>
      <c r="AI32" s="2838"/>
      <c r="AJ32" s="2838"/>
      <c r="AK32" s="2838"/>
      <c r="AL32" s="2838"/>
      <c r="AM32" s="2838"/>
      <c r="AN32" s="2838"/>
      <c r="AO32" s="2838"/>
      <c r="AP32" s="2838"/>
      <c r="AQ32" s="2838"/>
      <c r="AR32" s="2838"/>
      <c r="AS32" s="2838"/>
      <c r="AT32" s="2838"/>
      <c r="AU32" s="2838"/>
      <c r="AV32" s="2838"/>
      <c r="AW32" s="2838"/>
      <c r="AX32" s="2838"/>
      <c r="AY32" s="2837"/>
      <c r="AZ32" s="2836"/>
    </row>
    <row r="33" spans="2:52" ht="13.5" customHeight="1">
      <c r="B33" s="3514" t="s">
        <v>5427</v>
      </c>
      <c r="C33" s="3514">
        <v>1</v>
      </c>
      <c r="D33" s="3514" t="s">
        <v>5497</v>
      </c>
      <c r="E33" s="2850"/>
      <c r="F33" s="2849"/>
      <c r="G33" s="2848"/>
      <c r="H33" s="2848"/>
      <c r="I33" s="2848"/>
      <c r="J33" s="2848"/>
      <c r="K33" s="2848"/>
      <c r="L33" s="2848"/>
      <c r="M33" s="2848"/>
      <c r="N33" s="2848"/>
      <c r="O33" s="2848"/>
      <c r="P33" s="2848"/>
      <c r="Q33" s="2848"/>
      <c r="R33" s="2848"/>
      <c r="S33" s="2848"/>
      <c r="T33" s="2848"/>
      <c r="U33" s="2848"/>
      <c r="V33" s="2848"/>
      <c r="W33" s="2848"/>
      <c r="X33" s="2848"/>
      <c r="Y33" s="2848"/>
      <c r="Z33" s="2848"/>
      <c r="AA33" s="2848"/>
      <c r="AB33" s="2848"/>
      <c r="AC33" s="2848"/>
      <c r="AD33" s="2848"/>
      <c r="AE33" s="2848"/>
      <c r="AF33" s="2848"/>
      <c r="AG33" s="2848"/>
      <c r="AH33" s="2848"/>
      <c r="AI33" s="2848"/>
      <c r="AJ33" s="2848"/>
      <c r="AK33" s="2848"/>
      <c r="AL33" s="2848"/>
      <c r="AM33" s="2848"/>
      <c r="AN33" s="2848"/>
      <c r="AO33" s="2848"/>
      <c r="AP33" s="2848"/>
      <c r="AQ33" s="2848"/>
      <c r="AR33" s="2848"/>
      <c r="AS33" s="2848"/>
      <c r="AT33" s="2848"/>
      <c r="AU33" s="2848"/>
      <c r="AV33" s="2848"/>
      <c r="AW33" s="2848"/>
      <c r="AX33" s="2848"/>
      <c r="AY33" s="2847"/>
      <c r="AZ33" s="2846"/>
    </row>
    <row r="34" spans="2:52" ht="13.5" customHeight="1">
      <c r="B34" s="3498"/>
      <c r="C34" s="3498"/>
      <c r="D34" s="3498"/>
      <c r="E34" s="2845" t="s">
        <v>5496</v>
      </c>
      <c r="F34" s="2844"/>
      <c r="G34" s="2843"/>
      <c r="H34" s="2843"/>
      <c r="I34" s="2843"/>
      <c r="J34" s="2843"/>
      <c r="K34" s="2843"/>
      <c r="L34" s="2843"/>
      <c r="M34" s="2843"/>
      <c r="N34" s="2843"/>
      <c r="O34" s="2843"/>
      <c r="P34" s="2843"/>
      <c r="Q34" s="2843"/>
      <c r="R34" s="2864"/>
      <c r="S34" s="2864"/>
      <c r="T34" s="2864"/>
      <c r="U34" s="2864"/>
      <c r="V34" s="2864"/>
      <c r="W34" s="2864"/>
      <c r="X34" s="2861"/>
      <c r="Y34" s="2862"/>
      <c r="Z34" s="2861"/>
      <c r="AA34" s="2861"/>
      <c r="AB34" s="2861"/>
      <c r="AC34" s="2861"/>
      <c r="AD34" s="2861"/>
      <c r="AE34" s="2861"/>
      <c r="AF34" s="2861"/>
      <c r="AG34" s="2861"/>
      <c r="AH34" s="2861"/>
      <c r="AI34" s="2861"/>
      <c r="AJ34" s="2861"/>
      <c r="AK34" s="2861"/>
      <c r="AL34" s="2861"/>
      <c r="AM34" s="2861"/>
      <c r="AN34" s="2861"/>
      <c r="AO34" s="2861"/>
      <c r="AP34" s="2861"/>
      <c r="AQ34" s="2861"/>
      <c r="AR34" s="2843"/>
      <c r="AS34" s="2843"/>
      <c r="AT34" s="2843"/>
      <c r="AU34" s="2843"/>
      <c r="AV34" s="2843"/>
      <c r="AW34" s="2843"/>
      <c r="AX34" s="2843"/>
      <c r="AY34" s="2842"/>
      <c r="AZ34" s="2841"/>
    </row>
    <row r="35" spans="2:52" ht="13.5" customHeight="1">
      <c r="B35" s="3498"/>
      <c r="C35" s="3498"/>
      <c r="D35" s="3498"/>
      <c r="E35" s="2845" t="s">
        <v>5495</v>
      </c>
      <c r="F35" s="2844"/>
      <c r="G35" s="2843"/>
      <c r="H35" s="2843"/>
      <c r="I35" s="2843"/>
      <c r="J35" s="2843"/>
      <c r="K35" s="2843"/>
      <c r="L35" s="2843"/>
      <c r="M35" s="2843"/>
      <c r="N35" s="2843"/>
      <c r="O35" s="2843"/>
      <c r="P35" s="2843"/>
      <c r="Q35" s="2843"/>
      <c r="R35" s="2864"/>
      <c r="S35" s="2864"/>
      <c r="T35" s="2864"/>
      <c r="U35" s="2864"/>
      <c r="V35" s="2864"/>
      <c r="W35" s="2864"/>
      <c r="X35" s="2861"/>
      <c r="Y35" s="2862"/>
      <c r="Z35" s="2861"/>
      <c r="AA35" s="2861"/>
      <c r="AB35" s="2861"/>
      <c r="AC35" s="2861"/>
      <c r="AD35" s="2861"/>
      <c r="AE35" s="2861"/>
      <c r="AF35" s="2861"/>
      <c r="AG35" s="2861"/>
      <c r="AH35" s="2861"/>
      <c r="AI35" s="2861"/>
      <c r="AJ35" s="2861"/>
      <c r="AK35" s="2861"/>
      <c r="AL35" s="2861"/>
      <c r="AM35" s="2861"/>
      <c r="AN35" s="2861"/>
      <c r="AO35" s="2861"/>
      <c r="AP35" s="2861"/>
      <c r="AQ35" s="2861"/>
      <c r="AR35" s="2843"/>
      <c r="AS35" s="2843"/>
      <c r="AT35" s="2843"/>
      <c r="AU35" s="2843"/>
      <c r="AV35" s="2843"/>
      <c r="AW35" s="2843"/>
      <c r="AX35" s="2843"/>
      <c r="AY35" s="2842"/>
      <c r="AZ35" s="2841"/>
    </row>
    <row r="36" spans="2:52" ht="13.5" customHeight="1">
      <c r="B36" s="3498"/>
      <c r="C36" s="3498"/>
      <c r="D36" s="3498"/>
      <c r="E36" s="2845" t="s">
        <v>5494</v>
      </c>
      <c r="F36" s="2844"/>
      <c r="G36" s="2843"/>
      <c r="H36" s="2843"/>
      <c r="I36" s="2843"/>
      <c r="J36" s="2843"/>
      <c r="K36" s="2843"/>
      <c r="L36" s="2843"/>
      <c r="M36" s="2843"/>
      <c r="N36" s="2843"/>
      <c r="O36" s="2843"/>
      <c r="P36" s="2843"/>
      <c r="Q36" s="2843"/>
      <c r="R36" s="2864"/>
      <c r="S36" s="2864"/>
      <c r="T36" s="2864"/>
      <c r="U36" s="2864"/>
      <c r="V36" s="2864"/>
      <c r="W36" s="2864"/>
      <c r="X36" s="2861"/>
      <c r="Y36" s="2862"/>
      <c r="Z36" s="2861"/>
      <c r="AA36" s="2861"/>
      <c r="AB36" s="2861"/>
      <c r="AC36" s="2861"/>
      <c r="AD36" s="2861"/>
      <c r="AE36" s="2861"/>
      <c r="AF36" s="2861"/>
      <c r="AG36" s="2861"/>
      <c r="AH36" s="2861"/>
      <c r="AI36" s="2861"/>
      <c r="AJ36" s="2861"/>
      <c r="AK36" s="2861"/>
      <c r="AL36" s="2861"/>
      <c r="AM36" s="2861"/>
      <c r="AN36" s="2861"/>
      <c r="AO36" s="2861"/>
      <c r="AP36" s="2861"/>
      <c r="AQ36" s="2861"/>
      <c r="AR36" s="2843"/>
      <c r="AS36" s="2843"/>
      <c r="AT36" s="2843"/>
      <c r="AU36" s="2843"/>
      <c r="AV36" s="2843"/>
      <c r="AW36" s="2843"/>
      <c r="AX36" s="2843"/>
      <c r="AY36" s="2842"/>
      <c r="AZ36" s="3502"/>
    </row>
    <row r="37" spans="2:52" ht="13.5" customHeight="1">
      <c r="B37" s="3498"/>
      <c r="C37" s="3498"/>
      <c r="D37" s="3498"/>
      <c r="E37" s="2845"/>
      <c r="F37" s="2844"/>
      <c r="G37" s="2843"/>
      <c r="H37" s="2843"/>
      <c r="I37" s="2843"/>
      <c r="J37" s="2843"/>
      <c r="K37" s="2843"/>
      <c r="L37" s="2843"/>
      <c r="M37" s="2843"/>
      <c r="N37" s="2843"/>
      <c r="O37" s="2843"/>
      <c r="P37" s="2843"/>
      <c r="Q37" s="2843"/>
      <c r="R37" s="2861"/>
      <c r="S37" s="2861"/>
      <c r="T37" s="2861"/>
      <c r="U37" s="2861"/>
      <c r="V37" s="2861"/>
      <c r="W37" s="2861"/>
      <c r="X37" s="2861"/>
      <c r="Y37" s="2861"/>
      <c r="Z37" s="2861"/>
      <c r="AA37" s="2861"/>
      <c r="AB37" s="2861"/>
      <c r="AC37" s="2861"/>
      <c r="AD37" s="2861"/>
      <c r="AE37" s="2861"/>
      <c r="AF37" s="2861"/>
      <c r="AG37" s="2861"/>
      <c r="AH37" s="2861"/>
      <c r="AI37" s="2861"/>
      <c r="AJ37" s="2861"/>
      <c r="AK37" s="2861"/>
      <c r="AL37" s="2861"/>
      <c r="AM37" s="2861"/>
      <c r="AN37" s="2861"/>
      <c r="AO37" s="2861"/>
      <c r="AP37" s="2861"/>
      <c r="AQ37" s="2861"/>
      <c r="AR37" s="2843"/>
      <c r="AS37" s="2843"/>
      <c r="AT37" s="2843"/>
      <c r="AU37" s="2843"/>
      <c r="AV37" s="2843"/>
      <c r="AW37" s="2843"/>
      <c r="AX37" s="2843"/>
      <c r="AY37" s="2842"/>
      <c r="AZ37" s="3502"/>
    </row>
    <row r="38" spans="2:52" ht="13.5" customHeight="1">
      <c r="B38" s="3498"/>
      <c r="C38" s="3498"/>
      <c r="D38" s="3498"/>
      <c r="E38" s="2860" t="s">
        <v>5493</v>
      </c>
      <c r="F38" s="2844"/>
      <c r="G38" s="2843"/>
      <c r="H38" s="2843"/>
      <c r="I38" s="2843"/>
      <c r="J38" s="2843"/>
      <c r="K38" s="2843"/>
      <c r="L38" s="2843"/>
      <c r="M38" s="2843"/>
      <c r="N38" s="2843"/>
      <c r="O38" s="2843"/>
      <c r="P38" s="2843"/>
      <c r="Q38" s="2843"/>
      <c r="R38" s="2864"/>
      <c r="S38" s="2864"/>
      <c r="T38" s="2864"/>
      <c r="U38" s="2864"/>
      <c r="V38" s="2864"/>
      <c r="W38" s="2864"/>
      <c r="X38" s="2861"/>
      <c r="Y38" s="2862"/>
      <c r="Z38" s="2861"/>
      <c r="AA38" s="2861"/>
      <c r="AB38" s="2861"/>
      <c r="AC38" s="2861"/>
      <c r="AD38" s="2861"/>
      <c r="AE38" s="2861"/>
      <c r="AF38" s="2861"/>
      <c r="AG38" s="2861"/>
      <c r="AH38" s="2861"/>
      <c r="AI38" s="2861"/>
      <c r="AJ38" s="2861"/>
      <c r="AK38" s="2861"/>
      <c r="AL38" s="2861"/>
      <c r="AM38" s="2861"/>
      <c r="AN38" s="2861"/>
      <c r="AO38" s="2861"/>
      <c r="AP38" s="2861"/>
      <c r="AQ38" s="2861"/>
      <c r="AR38" s="2843"/>
      <c r="AS38" s="2843"/>
      <c r="AT38" s="2843"/>
      <c r="AU38" s="2843"/>
      <c r="AV38" s="2843"/>
      <c r="AW38" s="2843"/>
      <c r="AX38" s="2843"/>
      <c r="AY38" s="2842"/>
      <c r="AZ38" s="2841"/>
    </row>
    <row r="39" spans="2:52" ht="13.5" customHeight="1">
      <c r="B39" s="3498"/>
      <c r="C39" s="3498"/>
      <c r="D39" s="3498"/>
      <c r="E39" s="2860" t="s">
        <v>5492</v>
      </c>
      <c r="F39" s="2844"/>
      <c r="G39" s="2843"/>
      <c r="H39" s="2843"/>
      <c r="I39" s="2843"/>
      <c r="J39" s="2843"/>
      <c r="K39" s="2843"/>
      <c r="L39" s="2843"/>
      <c r="M39" s="2843"/>
      <c r="N39" s="2843"/>
      <c r="O39" s="2843"/>
      <c r="P39" s="2843"/>
      <c r="Q39" s="2843"/>
      <c r="R39" s="2864"/>
      <c r="S39" s="2864"/>
      <c r="T39" s="2864"/>
      <c r="U39" s="2864"/>
      <c r="V39" s="2864"/>
      <c r="W39" s="2864"/>
      <c r="X39" s="2861"/>
      <c r="Y39" s="2862"/>
      <c r="Z39" s="2861"/>
      <c r="AA39" s="2861"/>
      <c r="AB39" s="2861"/>
      <c r="AC39" s="2861"/>
      <c r="AD39" s="2861"/>
      <c r="AE39" s="2861"/>
      <c r="AF39" s="2861"/>
      <c r="AG39" s="2861"/>
      <c r="AH39" s="2861"/>
      <c r="AI39" s="2861"/>
      <c r="AJ39" s="2861"/>
      <c r="AK39" s="2864"/>
      <c r="AL39" s="2864"/>
      <c r="AM39" s="2864"/>
      <c r="AN39" s="2864"/>
      <c r="AO39" s="2864"/>
      <c r="AP39" s="2864"/>
      <c r="AQ39" s="2861"/>
      <c r="AR39" s="2843"/>
      <c r="AS39" s="2843"/>
      <c r="AT39" s="2843"/>
      <c r="AU39" s="2843"/>
      <c r="AV39" s="2843"/>
      <c r="AW39" s="2843"/>
      <c r="AX39" s="2843"/>
      <c r="AY39" s="2842"/>
      <c r="AZ39" s="2841"/>
    </row>
    <row r="40" spans="2:52" ht="13.5" customHeight="1">
      <c r="B40" s="3498"/>
      <c r="C40" s="3498"/>
      <c r="D40" s="3498"/>
      <c r="E40" s="2845" t="s">
        <v>5491</v>
      </c>
      <c r="F40" s="2844"/>
      <c r="G40" s="2843"/>
      <c r="H40" s="2843"/>
      <c r="I40" s="2843"/>
      <c r="J40" s="2843"/>
      <c r="K40" s="2843"/>
      <c r="L40" s="2843"/>
      <c r="M40" s="2843"/>
      <c r="N40" s="2843"/>
      <c r="O40" s="2843"/>
      <c r="P40" s="2843"/>
      <c r="Q40" s="2843"/>
      <c r="R40" s="2864"/>
      <c r="S40" s="2864"/>
      <c r="T40" s="2864"/>
      <c r="U40" s="2864"/>
      <c r="V40" s="2864"/>
      <c r="W40" s="2864"/>
      <c r="X40" s="2861"/>
      <c r="Y40" s="2862"/>
      <c r="Z40" s="2861"/>
      <c r="AA40" s="2861"/>
      <c r="AB40" s="2861"/>
      <c r="AC40" s="2861"/>
      <c r="AD40" s="2861"/>
      <c r="AE40" s="2861"/>
      <c r="AF40" s="2861"/>
      <c r="AG40" s="2861"/>
      <c r="AH40" s="2861"/>
      <c r="AI40" s="2861"/>
      <c r="AJ40" s="2861"/>
      <c r="AK40" s="2861"/>
      <c r="AL40" s="2861"/>
      <c r="AM40" s="2861"/>
      <c r="AN40" s="2861"/>
      <c r="AO40" s="2861"/>
      <c r="AP40" s="2861"/>
      <c r="AQ40" s="2861"/>
      <c r="AR40" s="2843"/>
      <c r="AS40" s="2843"/>
      <c r="AT40" s="2843"/>
      <c r="AU40" s="2843"/>
      <c r="AV40" s="2843"/>
      <c r="AW40" s="2843"/>
      <c r="AX40" s="2843"/>
      <c r="AY40" s="2842"/>
      <c r="AZ40" s="3502"/>
    </row>
    <row r="41" spans="2:52" ht="13.5" customHeight="1">
      <c r="B41" s="3498"/>
      <c r="C41" s="3498"/>
      <c r="D41" s="3498"/>
      <c r="E41" s="2845"/>
      <c r="F41" s="2844"/>
      <c r="G41" s="2843"/>
      <c r="H41" s="2843"/>
      <c r="I41" s="2843"/>
      <c r="J41" s="2843"/>
      <c r="K41" s="2843"/>
      <c r="L41" s="2843"/>
      <c r="M41" s="2843"/>
      <c r="N41" s="2843"/>
      <c r="O41" s="2843"/>
      <c r="P41" s="2843"/>
      <c r="Q41" s="2843"/>
      <c r="R41" s="2861"/>
      <c r="S41" s="2861"/>
      <c r="T41" s="2861"/>
      <c r="U41" s="2861"/>
      <c r="V41" s="2861"/>
      <c r="W41" s="2861"/>
      <c r="X41" s="2861"/>
      <c r="Y41" s="2861"/>
      <c r="Z41" s="2861"/>
      <c r="AA41" s="2861"/>
      <c r="AB41" s="2861"/>
      <c r="AC41" s="2861"/>
      <c r="AD41" s="2861"/>
      <c r="AE41" s="2861"/>
      <c r="AF41" s="2861"/>
      <c r="AG41" s="2861"/>
      <c r="AH41" s="2861"/>
      <c r="AI41" s="2861"/>
      <c r="AJ41" s="2861"/>
      <c r="AK41" s="2861"/>
      <c r="AL41" s="2861"/>
      <c r="AM41" s="2861"/>
      <c r="AN41" s="2861"/>
      <c r="AO41" s="2861"/>
      <c r="AP41" s="2861"/>
      <c r="AQ41" s="2861"/>
      <c r="AR41" s="2843"/>
      <c r="AS41" s="2843"/>
      <c r="AT41" s="2843"/>
      <c r="AU41" s="2843"/>
      <c r="AV41" s="2843"/>
      <c r="AW41" s="2843"/>
      <c r="AX41" s="2843"/>
      <c r="AY41" s="2842"/>
      <c r="AZ41" s="3498"/>
    </row>
    <row r="42" spans="2:52" ht="13.5" customHeight="1">
      <c r="B42" s="3498"/>
      <c r="C42" s="3498"/>
      <c r="D42" s="3498"/>
      <c r="E42" s="2845" t="s">
        <v>5427</v>
      </c>
      <c r="F42" s="2844"/>
      <c r="G42" s="2843"/>
      <c r="H42" s="2843"/>
      <c r="I42" s="2843"/>
      <c r="J42" s="2843"/>
      <c r="K42" s="2843"/>
      <c r="L42" s="2843"/>
      <c r="M42" s="2843"/>
      <c r="N42" s="2843"/>
      <c r="O42" s="2843"/>
      <c r="P42" s="2843"/>
      <c r="Q42" s="2843"/>
      <c r="R42" s="2863"/>
      <c r="S42" s="2863"/>
      <c r="T42" s="2863"/>
      <c r="U42" s="2863"/>
      <c r="V42" s="2863"/>
      <c r="W42" s="2863"/>
      <c r="X42" s="2861"/>
      <c r="Y42" s="2862"/>
      <c r="Z42" s="2861"/>
      <c r="AA42" s="2861"/>
      <c r="AB42" s="2861"/>
      <c r="AC42" s="2861"/>
      <c r="AD42" s="2861"/>
      <c r="AE42" s="2861"/>
      <c r="AF42" s="2861"/>
      <c r="AG42" s="2861"/>
      <c r="AH42" s="2861"/>
      <c r="AI42" s="2861"/>
      <c r="AJ42" s="2861"/>
      <c r="AK42" s="2861"/>
      <c r="AL42" s="2861"/>
      <c r="AM42" s="2861"/>
      <c r="AN42" s="2861"/>
      <c r="AO42" s="2861"/>
      <c r="AP42" s="2861"/>
      <c r="AQ42" s="2861"/>
      <c r="AR42" s="2843"/>
      <c r="AS42" s="2843"/>
      <c r="AT42" s="2843"/>
      <c r="AU42" s="2843"/>
      <c r="AV42" s="2843"/>
      <c r="AW42" s="2843"/>
      <c r="AX42" s="2843"/>
      <c r="AY42" s="2842"/>
      <c r="AZ42" s="2841"/>
    </row>
    <row r="43" spans="2:52" ht="13.5" customHeight="1">
      <c r="B43" s="3503"/>
      <c r="C43" s="3503"/>
      <c r="D43" s="3503"/>
      <c r="E43" s="2840"/>
      <c r="F43" s="2839"/>
      <c r="G43" s="2838"/>
      <c r="H43" s="2838"/>
      <c r="I43" s="2838"/>
      <c r="J43" s="2838"/>
      <c r="K43" s="2838"/>
      <c r="L43" s="2838"/>
      <c r="M43" s="2838"/>
      <c r="N43" s="2838"/>
      <c r="O43" s="2838"/>
      <c r="P43" s="2838"/>
      <c r="Q43" s="2838"/>
      <c r="R43" s="2838"/>
      <c r="S43" s="2838"/>
      <c r="T43" s="2838"/>
      <c r="U43" s="2838"/>
      <c r="V43" s="2838"/>
      <c r="W43" s="2838"/>
      <c r="X43" s="2838"/>
      <c r="Y43" s="2838"/>
      <c r="Z43" s="2838"/>
      <c r="AA43" s="2838"/>
      <c r="AB43" s="2838"/>
      <c r="AC43" s="2838"/>
      <c r="AD43" s="2838"/>
      <c r="AE43" s="2838"/>
      <c r="AF43" s="2838"/>
      <c r="AG43" s="2838"/>
      <c r="AH43" s="2838"/>
      <c r="AI43" s="2838"/>
      <c r="AJ43" s="2838"/>
      <c r="AK43" s="2838"/>
      <c r="AL43" s="2838"/>
      <c r="AM43" s="2838"/>
      <c r="AN43" s="2838"/>
      <c r="AO43" s="2838"/>
      <c r="AP43" s="2838"/>
      <c r="AQ43" s="2838"/>
      <c r="AR43" s="2838"/>
      <c r="AS43" s="2838"/>
      <c r="AT43" s="2838"/>
      <c r="AU43" s="2838"/>
      <c r="AV43" s="2838"/>
      <c r="AW43" s="2838"/>
      <c r="AX43" s="2838"/>
      <c r="AY43" s="2837"/>
      <c r="AZ43" s="2836"/>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2846"/>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2841"/>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2836"/>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2846"/>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2841"/>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2841"/>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2841"/>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2836"/>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2841"/>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2841"/>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2846"/>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2836"/>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2841"/>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2841"/>
    </row>
    <row r="58" spans="2:52" ht="13.5" customHeight="1">
      <c r="B58" s="3498"/>
      <c r="C58" s="3514">
        <v>7</v>
      </c>
      <c r="D58" s="3512" t="s">
        <v>5479</v>
      </c>
      <c r="E58" s="2850"/>
      <c r="F58" s="2849"/>
      <c r="G58" s="2848"/>
      <c r="H58" s="2848"/>
      <c r="I58" s="2848"/>
      <c r="J58" s="2848"/>
      <c r="K58" s="2848"/>
      <c r="L58" s="2848"/>
      <c r="M58" s="2848"/>
      <c r="N58" s="2848"/>
      <c r="O58" s="2848"/>
      <c r="P58" s="2848"/>
      <c r="Q58" s="2848"/>
      <c r="R58" s="2848"/>
      <c r="S58" s="2848"/>
      <c r="T58" s="2848"/>
      <c r="U58" s="2848"/>
      <c r="V58" s="2848"/>
      <c r="W58" s="2848"/>
      <c r="X58" s="2848"/>
      <c r="Y58" s="2848"/>
      <c r="Z58" s="2848"/>
      <c r="AA58" s="2848"/>
      <c r="AB58" s="2848"/>
      <c r="AC58" s="2848"/>
      <c r="AD58" s="2848"/>
      <c r="AE58" s="2848"/>
      <c r="AF58" s="2848"/>
      <c r="AG58" s="2848"/>
      <c r="AH58" s="2848"/>
      <c r="AI58" s="2848"/>
      <c r="AJ58" s="2848"/>
      <c r="AK58" s="2848"/>
      <c r="AL58" s="2848"/>
      <c r="AM58" s="2848"/>
      <c r="AN58" s="2848"/>
      <c r="AO58" s="2848"/>
      <c r="AP58" s="2848"/>
      <c r="AQ58" s="2848"/>
      <c r="AR58" s="2848"/>
      <c r="AS58" s="2848"/>
      <c r="AT58" s="2848"/>
      <c r="AU58" s="2848"/>
      <c r="AV58" s="2848"/>
      <c r="AW58" s="2848"/>
      <c r="AX58" s="2848"/>
      <c r="AY58" s="2847"/>
      <c r="AZ58" s="2846"/>
    </row>
    <row r="59" spans="2:52" ht="13.5" customHeight="1">
      <c r="B59" s="3498"/>
      <c r="C59" s="3498"/>
      <c r="D59" s="3502"/>
      <c r="E59" s="2860" t="s">
        <v>5478</v>
      </c>
      <c r="F59" s="2844"/>
      <c r="G59" s="2844"/>
      <c r="H59" s="2844"/>
      <c r="I59" s="2844"/>
      <c r="J59" s="2844"/>
      <c r="K59" s="2844"/>
      <c r="L59" s="2844"/>
      <c r="M59" s="2844"/>
      <c r="N59" s="2844"/>
      <c r="O59" s="2844"/>
      <c r="P59" s="2844"/>
      <c r="Q59" s="2843"/>
      <c r="R59" s="3519">
        <f>基礎数値!D11</f>
        <v>0</v>
      </c>
      <c r="S59" s="3519"/>
      <c r="T59" s="3519"/>
      <c r="U59" s="3519"/>
      <c r="V59" s="3519"/>
      <c r="W59" s="3519"/>
      <c r="X59" s="2843"/>
      <c r="Y59" s="2851" t="s">
        <v>5476</v>
      </c>
      <c r="Z59" s="2843"/>
      <c r="AA59" s="2843"/>
      <c r="AB59" s="2843"/>
      <c r="AC59" s="2843"/>
      <c r="AD59" s="2843"/>
      <c r="AE59" s="2843"/>
      <c r="AF59" s="2843"/>
      <c r="AG59" s="2843"/>
      <c r="AH59" s="2843"/>
      <c r="AI59" s="2844"/>
      <c r="AJ59" s="2843"/>
      <c r="AK59" s="2843"/>
      <c r="AL59" s="2843"/>
      <c r="AM59" s="2843"/>
      <c r="AN59" s="2843"/>
      <c r="AO59" s="2843"/>
      <c r="AP59" s="2843"/>
      <c r="AQ59" s="2843"/>
      <c r="AR59" s="2843"/>
      <c r="AS59" s="2843"/>
      <c r="AT59" s="2843"/>
      <c r="AU59" s="2843"/>
      <c r="AV59" s="2843"/>
      <c r="AW59" s="2843"/>
      <c r="AX59" s="2843"/>
      <c r="AY59" s="2842"/>
      <c r="AZ59" s="2841"/>
    </row>
    <row r="60" spans="2:52" ht="13.5" customHeight="1">
      <c r="B60" s="3498"/>
      <c r="C60" s="3498"/>
      <c r="D60" s="3502"/>
      <c r="E60" s="2860" t="s">
        <v>5477</v>
      </c>
      <c r="F60" s="2843"/>
      <c r="G60" s="2843"/>
      <c r="H60" s="2843"/>
      <c r="I60" s="2843"/>
      <c r="J60" s="2843"/>
      <c r="K60" s="2843"/>
      <c r="L60" s="2843"/>
      <c r="M60" s="2843"/>
      <c r="N60" s="2843"/>
      <c r="O60" s="2843"/>
      <c r="P60" s="2843"/>
      <c r="Q60" s="2843"/>
      <c r="R60" s="3519">
        <f>基礎数値!D12</f>
        <v>0</v>
      </c>
      <c r="S60" s="3519"/>
      <c r="T60" s="3519"/>
      <c r="U60" s="3519"/>
      <c r="V60" s="3519"/>
      <c r="W60" s="3519"/>
      <c r="X60" s="2843"/>
      <c r="Y60" s="2851" t="s">
        <v>5476</v>
      </c>
      <c r="Z60" s="2843"/>
      <c r="AA60" s="2843"/>
      <c r="AB60" s="2843"/>
      <c r="AC60" s="2843"/>
      <c r="AD60" s="2843"/>
      <c r="AE60" s="2843"/>
      <c r="AF60" s="2843"/>
      <c r="AG60" s="2843"/>
      <c r="AH60" s="2843"/>
      <c r="AI60" s="2843"/>
      <c r="AJ60" s="2843" t="s">
        <v>5447</v>
      </c>
      <c r="AK60" s="3497">
        <f>R59+R60</f>
        <v>0</v>
      </c>
      <c r="AL60" s="3497"/>
      <c r="AM60" s="3497"/>
      <c r="AN60" s="3497"/>
      <c r="AO60" s="3497"/>
      <c r="AP60" s="3497"/>
      <c r="AQ60" s="2843" t="s">
        <v>5475</v>
      </c>
      <c r="AR60" s="2843"/>
      <c r="AS60" s="2843"/>
      <c r="AT60" s="2843"/>
      <c r="AU60" s="2843"/>
      <c r="AV60" s="2843"/>
      <c r="AW60" s="2843"/>
      <c r="AX60" s="2843"/>
      <c r="AY60" s="2842"/>
      <c r="AZ60" s="2841"/>
    </row>
    <row r="61" spans="2:52" ht="13.5" customHeight="1">
      <c r="B61" s="3498"/>
      <c r="C61" s="3498"/>
      <c r="D61" s="3502"/>
      <c r="E61" s="2845"/>
      <c r="F61" s="2844"/>
      <c r="G61" s="2843"/>
      <c r="H61" s="2843"/>
      <c r="I61" s="2843"/>
      <c r="J61" s="2843"/>
      <c r="K61" s="2843"/>
      <c r="L61" s="2843"/>
      <c r="M61" s="2843"/>
      <c r="N61" s="2843"/>
      <c r="O61" s="2843"/>
      <c r="P61" s="2843"/>
      <c r="Q61" s="2843"/>
      <c r="R61" s="2843"/>
      <c r="S61" s="2843"/>
      <c r="T61" s="2843"/>
      <c r="U61" s="2843"/>
      <c r="V61" s="2843"/>
      <c r="W61" s="2843"/>
      <c r="X61" s="2843"/>
      <c r="Y61" s="2843"/>
      <c r="Z61" s="2843"/>
      <c r="AA61" s="2843"/>
      <c r="AB61" s="2843"/>
      <c r="AC61" s="2843"/>
      <c r="AD61" s="2843"/>
      <c r="AE61" s="2843"/>
      <c r="AF61" s="2843"/>
      <c r="AG61" s="2843"/>
      <c r="AH61" s="2843"/>
      <c r="AI61" s="2843"/>
      <c r="AJ61" s="2843"/>
      <c r="AK61" s="2843"/>
      <c r="AL61" s="2843"/>
      <c r="AM61" s="2843"/>
      <c r="AN61" s="2843"/>
      <c r="AO61" s="2843"/>
      <c r="AP61" s="2843"/>
      <c r="AQ61" s="2843"/>
      <c r="AR61" s="2843"/>
      <c r="AS61" s="2843"/>
      <c r="AT61" s="2843"/>
      <c r="AU61" s="2843"/>
      <c r="AV61" s="2843"/>
      <c r="AW61" s="2843"/>
      <c r="AX61" s="2843"/>
      <c r="AY61" s="2842"/>
      <c r="AZ61" s="2841"/>
    </row>
    <row r="62" spans="2:52" ht="13.5" customHeight="1">
      <c r="B62" s="3498"/>
      <c r="C62" s="3498"/>
      <c r="D62" s="3502"/>
      <c r="E62" s="3345"/>
      <c r="F62" s="2844"/>
      <c r="G62" s="3342"/>
      <c r="H62" s="3342"/>
      <c r="I62" s="3342"/>
      <c r="J62" s="3342"/>
      <c r="K62" s="3342"/>
      <c r="L62" s="3342"/>
      <c r="M62" s="3342"/>
      <c r="N62" s="3342"/>
      <c r="O62" s="3342"/>
      <c r="P62" s="3342"/>
      <c r="Q62" s="3342"/>
      <c r="R62" s="3342"/>
      <c r="S62" s="3342"/>
      <c r="T62" s="3342"/>
      <c r="U62" s="3342"/>
      <c r="V62" s="3342"/>
      <c r="W62" s="3342"/>
      <c r="X62" s="3342"/>
      <c r="Y62" s="3342"/>
      <c r="Z62" s="3342"/>
      <c r="AA62" s="3342"/>
      <c r="AB62" s="3342"/>
      <c r="AC62" s="3342"/>
      <c r="AD62" s="3342"/>
      <c r="AE62" s="3342"/>
      <c r="AF62" s="3342"/>
      <c r="AG62" s="3342"/>
      <c r="AH62" s="3342"/>
      <c r="AI62" s="3342"/>
      <c r="AJ62" s="3342"/>
      <c r="AK62" s="3342"/>
      <c r="AL62" s="3342"/>
      <c r="AM62" s="3342"/>
      <c r="AN62" s="3342"/>
      <c r="AO62" s="3342"/>
      <c r="AP62" s="3342"/>
      <c r="AQ62" s="3342"/>
      <c r="AR62" s="3342"/>
      <c r="AS62" s="3342"/>
      <c r="AT62" s="3342"/>
      <c r="AU62" s="3342"/>
      <c r="AV62" s="3342"/>
      <c r="AW62" s="3342"/>
      <c r="AX62" s="3342"/>
      <c r="AY62" s="3344"/>
      <c r="AZ62" s="3341"/>
    </row>
    <row r="63" spans="2:52" ht="13.5" customHeight="1">
      <c r="B63" s="3498"/>
      <c r="C63" s="3498"/>
      <c r="D63" s="3502"/>
      <c r="E63" s="3345"/>
      <c r="F63" s="2844"/>
      <c r="G63" s="3342"/>
      <c r="H63" s="3342"/>
      <c r="I63" s="3342"/>
      <c r="J63" s="3342"/>
      <c r="K63" s="3342"/>
      <c r="L63" s="3342"/>
      <c r="M63" s="3342"/>
      <c r="N63" s="3342"/>
      <c r="O63" s="3342"/>
      <c r="P63" s="3342"/>
      <c r="Q63" s="3342"/>
      <c r="R63" s="3342"/>
      <c r="S63" s="3342"/>
      <c r="T63" s="3342"/>
      <c r="U63" s="3342"/>
      <c r="V63" s="3342"/>
      <c r="W63" s="3342"/>
      <c r="X63" s="3342"/>
      <c r="Y63" s="3342"/>
      <c r="Z63" s="3342"/>
      <c r="AA63" s="3342"/>
      <c r="AB63" s="3342"/>
      <c r="AC63" s="3342"/>
      <c r="AD63" s="3342"/>
      <c r="AE63" s="3342"/>
      <c r="AF63" s="3342"/>
      <c r="AG63" s="3342"/>
      <c r="AH63" s="3342"/>
      <c r="AI63" s="3342"/>
      <c r="AJ63" s="3342"/>
      <c r="AK63" s="3342"/>
      <c r="AL63" s="3342"/>
      <c r="AM63" s="3342"/>
      <c r="AN63" s="3342"/>
      <c r="AO63" s="3342"/>
      <c r="AP63" s="3342"/>
      <c r="AQ63" s="3342"/>
      <c r="AR63" s="3342"/>
      <c r="AS63" s="3342"/>
      <c r="AT63" s="3342"/>
      <c r="AU63" s="3342"/>
      <c r="AV63" s="3342"/>
      <c r="AW63" s="3342"/>
      <c r="AX63" s="3342"/>
      <c r="AY63" s="3344"/>
      <c r="AZ63" s="3341"/>
    </row>
    <row r="64" spans="2:52" ht="13.5" customHeight="1">
      <c r="B64" s="3498"/>
      <c r="C64" s="3498"/>
      <c r="D64" s="3502"/>
      <c r="E64" s="2860" t="s">
        <v>5474</v>
      </c>
      <c r="F64" s="2844"/>
      <c r="G64" s="2843"/>
      <c r="H64" s="2843"/>
      <c r="I64" s="2843"/>
      <c r="J64" s="2843"/>
      <c r="K64" s="2843"/>
      <c r="L64" s="2843"/>
      <c r="M64" s="2843"/>
      <c r="N64" s="2843"/>
      <c r="O64" s="2843"/>
      <c r="P64" s="2843"/>
      <c r="Q64" s="2843"/>
      <c r="R64" s="2843"/>
      <c r="S64" s="2843"/>
      <c r="T64" s="2843"/>
      <c r="U64" s="2843"/>
      <c r="V64" s="2843"/>
      <c r="W64" s="2843"/>
      <c r="X64" s="2843"/>
      <c r="Y64" s="2843"/>
      <c r="Z64" s="2843"/>
      <c r="AA64" s="2843"/>
      <c r="AB64" s="2843"/>
      <c r="AC64" s="2843"/>
      <c r="AD64" s="2843"/>
      <c r="AE64" s="2843"/>
      <c r="AF64" s="2843"/>
      <c r="AG64" s="2843"/>
      <c r="AH64" s="2843"/>
      <c r="AI64" s="2843"/>
      <c r="AJ64" s="2843"/>
      <c r="AK64" s="2843"/>
      <c r="AL64" s="2843"/>
      <c r="AM64" s="2843"/>
      <c r="AN64" s="2843"/>
      <c r="AO64" s="2843"/>
      <c r="AP64" s="2843"/>
      <c r="AQ64" s="2843"/>
      <c r="AR64" s="2843"/>
      <c r="AS64" s="2843"/>
      <c r="AT64" s="2843"/>
      <c r="AU64" s="2843"/>
      <c r="AV64" s="2843"/>
      <c r="AW64" s="2843"/>
      <c r="AX64" s="2843"/>
      <c r="AY64" s="2842"/>
      <c r="AZ64" s="2841"/>
    </row>
    <row r="65" spans="2:52" ht="13.5" customHeight="1">
      <c r="B65" s="3498"/>
      <c r="C65" s="3498"/>
      <c r="D65" s="3502"/>
      <c r="E65" s="2845"/>
      <c r="F65" s="2844"/>
      <c r="G65" s="2843"/>
      <c r="H65" s="2844" t="s">
        <v>5473</v>
      </c>
      <c r="I65" s="2843"/>
      <c r="J65" s="2843"/>
      <c r="K65" s="2843"/>
      <c r="L65" s="2843"/>
      <c r="M65" s="2843"/>
      <c r="N65" s="2843"/>
      <c r="O65" s="2843"/>
      <c r="P65" s="2843"/>
      <c r="Q65" s="2843"/>
      <c r="R65" s="3519">
        <f>基礎数値!D14</f>
        <v>0</v>
      </c>
      <c r="S65" s="3519"/>
      <c r="T65" s="3519"/>
      <c r="U65" s="3519"/>
      <c r="V65" s="3519"/>
      <c r="W65" s="3519"/>
      <c r="X65" s="2843" t="s">
        <v>5472</v>
      </c>
      <c r="Y65" s="2851" t="s">
        <v>5471</v>
      </c>
      <c r="Z65" s="2843"/>
      <c r="AA65" s="2843"/>
      <c r="AB65" s="2843"/>
      <c r="AC65" s="2843"/>
      <c r="AD65" s="2843"/>
      <c r="AE65" s="2843"/>
      <c r="AF65" s="2843"/>
      <c r="AG65" s="2843"/>
      <c r="AH65" s="2843"/>
      <c r="AI65" s="2843"/>
      <c r="AJ65" s="2843"/>
      <c r="AK65" s="2843"/>
      <c r="AL65" s="2843"/>
      <c r="AM65" s="2843"/>
      <c r="AN65" s="2843"/>
      <c r="AO65" s="2843"/>
      <c r="AP65" s="2843"/>
      <c r="AQ65" s="2843"/>
      <c r="AR65" s="2843"/>
      <c r="AS65" s="2843"/>
      <c r="AT65" s="2843"/>
      <c r="AU65" s="2843"/>
      <c r="AV65" s="2843"/>
      <c r="AW65" s="2843"/>
      <c r="AX65" s="2843"/>
      <c r="AY65" s="2842"/>
      <c r="AZ65" s="2841"/>
    </row>
    <row r="66" spans="2:52" ht="13.5" customHeight="1">
      <c r="B66" s="3498"/>
      <c r="C66" s="3498"/>
      <c r="D66" s="3502"/>
      <c r="E66" s="2845"/>
      <c r="F66" s="2844"/>
      <c r="G66" s="2843"/>
      <c r="H66" s="2844" t="s">
        <v>5470</v>
      </c>
      <c r="I66" s="2843"/>
      <c r="J66" s="2843"/>
      <c r="K66" s="2843"/>
      <c r="L66" s="2843"/>
      <c r="M66" s="2843"/>
      <c r="N66" s="2843"/>
      <c r="O66" s="2843"/>
      <c r="P66" s="2843"/>
      <c r="Q66" s="2843"/>
      <c r="R66" s="3527">
        <f>R24</f>
        <v>0</v>
      </c>
      <c r="S66" s="3527"/>
      <c r="T66" s="3527"/>
      <c r="U66" s="3527"/>
      <c r="V66" s="3527"/>
      <c r="W66" s="3527"/>
      <c r="X66" s="2843"/>
      <c r="Y66" s="2851" t="s">
        <v>5469</v>
      </c>
      <c r="Z66" s="2843"/>
      <c r="AA66" s="2843"/>
      <c r="AB66" s="2843"/>
      <c r="AC66" s="2843"/>
      <c r="AD66" s="2843"/>
      <c r="AE66" s="2843"/>
      <c r="AF66" s="2843"/>
      <c r="AG66" s="2843"/>
      <c r="AH66" s="2843"/>
      <c r="AI66" s="2843"/>
      <c r="AJ66" s="2843"/>
      <c r="AK66" s="2843"/>
      <c r="AL66" s="2843"/>
      <c r="AM66" s="2843"/>
      <c r="AN66" s="2843"/>
      <c r="AO66" s="2843"/>
      <c r="AP66" s="2843"/>
      <c r="AQ66" s="2843"/>
      <c r="AR66" s="2843"/>
      <c r="AS66" s="2843"/>
      <c r="AT66" s="2843"/>
      <c r="AU66" s="2843"/>
      <c r="AV66" s="2843"/>
      <c r="AW66" s="2843"/>
      <c r="AX66" s="2843"/>
      <c r="AY66" s="2842"/>
      <c r="AZ66" s="2841"/>
    </row>
    <row r="67" spans="2:52" ht="13.5" customHeight="1" thickBot="1">
      <c r="B67" s="3498"/>
      <c r="C67" s="3498"/>
      <c r="D67" s="3502"/>
      <c r="E67" s="2845"/>
      <c r="F67" s="2844"/>
      <c r="G67" s="2843"/>
      <c r="H67" s="2843"/>
      <c r="I67" s="2843"/>
      <c r="J67" s="2843"/>
      <c r="K67" s="2843"/>
      <c r="L67" s="2843"/>
      <c r="M67" s="2843"/>
      <c r="N67" s="2843"/>
      <c r="O67" s="2843"/>
      <c r="P67" s="2843"/>
      <c r="Q67" s="2843"/>
      <c r="R67" s="2843"/>
      <c r="S67" s="2843"/>
      <c r="T67" s="2843"/>
      <c r="U67" s="2843"/>
      <c r="V67" s="2843"/>
      <c r="W67" s="2843"/>
      <c r="X67" s="2843"/>
      <c r="Y67" s="2843"/>
      <c r="Z67" s="2843"/>
      <c r="AA67" s="2843"/>
      <c r="AB67" s="2843"/>
      <c r="AC67" s="2843"/>
      <c r="AD67" s="2843"/>
      <c r="AE67" s="2843"/>
      <c r="AF67" s="2843"/>
      <c r="AG67" s="2843"/>
      <c r="AH67" s="2843"/>
      <c r="AI67" s="2843"/>
      <c r="AJ67" s="2843"/>
      <c r="AK67" s="2843"/>
      <c r="AL67" s="2843"/>
      <c r="AM67" s="2843"/>
      <c r="AN67" s="2843"/>
      <c r="AO67" s="2843"/>
      <c r="AP67" s="2843"/>
      <c r="AQ67" s="2843"/>
      <c r="AR67" s="2843"/>
      <c r="AS67" s="2843"/>
      <c r="AT67" s="2843"/>
      <c r="AU67" s="2843"/>
      <c r="AV67" s="2843"/>
      <c r="AW67" s="2843"/>
      <c r="AX67" s="2843"/>
      <c r="AY67" s="2842"/>
      <c r="AZ67" s="2841"/>
    </row>
    <row r="68" spans="2:52" ht="13.5" customHeight="1" thickTop="1" thickBot="1">
      <c r="B68" s="3498"/>
      <c r="C68" s="3498"/>
      <c r="D68" s="3502"/>
      <c r="E68" s="2860" t="s">
        <v>5468</v>
      </c>
      <c r="F68" s="2844"/>
      <c r="G68" s="2843"/>
      <c r="H68" s="2843"/>
      <c r="I68" s="2843"/>
      <c r="J68" s="2843"/>
      <c r="K68" s="2843"/>
      <c r="L68" s="2843"/>
      <c r="M68" s="2843"/>
      <c r="N68" s="2843"/>
      <c r="O68" s="2843"/>
      <c r="P68" s="2843"/>
      <c r="Q68" s="2843"/>
      <c r="R68" s="2843"/>
      <c r="S68" s="2843"/>
      <c r="T68" s="3507">
        <f>AK60-R65-R66</f>
        <v>0</v>
      </c>
      <c r="U68" s="3508"/>
      <c r="V68" s="3508"/>
      <c r="W68" s="3508"/>
      <c r="X68" s="3508"/>
      <c r="Y68" s="3509"/>
      <c r="Z68" s="2843"/>
      <c r="AA68" s="2851" t="s">
        <v>5467</v>
      </c>
      <c r="AB68" s="2843"/>
      <c r="AC68" s="2843"/>
      <c r="AD68" s="2843"/>
      <c r="AE68" s="2843"/>
      <c r="AF68" s="2843"/>
      <c r="AG68" s="2843"/>
      <c r="AH68" s="2843"/>
      <c r="AI68" s="2843"/>
      <c r="AJ68" s="2843"/>
      <c r="AK68" s="2843"/>
      <c r="AL68" s="2843"/>
      <c r="AM68" s="2843"/>
      <c r="AN68" s="2843"/>
      <c r="AO68" s="2843"/>
      <c r="AP68" s="2843"/>
      <c r="AQ68" s="2843"/>
      <c r="AR68" s="2843"/>
      <c r="AS68" s="2843"/>
      <c r="AT68" s="2843"/>
      <c r="AU68" s="2843"/>
      <c r="AV68" s="2843"/>
      <c r="AW68" s="2843"/>
      <c r="AX68" s="2843"/>
      <c r="AY68" s="2842"/>
      <c r="AZ68" s="2841" t="s">
        <v>5466</v>
      </c>
    </row>
    <row r="69" spans="2:52" ht="13.5" customHeight="1" thickTop="1" thickBot="1">
      <c r="B69" s="3498"/>
      <c r="C69" s="3498"/>
      <c r="D69" s="3502"/>
      <c r="E69" s="2845"/>
      <c r="F69" s="2844"/>
      <c r="G69" s="2843"/>
      <c r="H69" s="2843"/>
      <c r="I69" s="2843"/>
      <c r="J69" s="2843"/>
      <c r="K69" s="2843"/>
      <c r="L69" s="2843"/>
      <c r="M69" s="2843"/>
      <c r="N69" s="2843"/>
      <c r="O69" s="2843"/>
      <c r="P69" s="2843"/>
      <c r="Q69" s="2843"/>
      <c r="R69" s="2843"/>
      <c r="S69" s="2843"/>
      <c r="T69" s="2843"/>
      <c r="U69" s="2843"/>
      <c r="V69" s="2843"/>
      <c r="W69" s="2843"/>
      <c r="X69" s="2843"/>
      <c r="Y69" s="2843"/>
      <c r="Z69" s="2843"/>
      <c r="AA69" s="2843"/>
      <c r="AB69" s="2843"/>
      <c r="AC69" s="2843"/>
      <c r="AD69" s="2843"/>
      <c r="AE69" s="2843"/>
      <c r="AF69" s="2843"/>
      <c r="AG69" s="2843"/>
      <c r="AH69" s="2843"/>
      <c r="AI69" s="2843"/>
      <c r="AJ69" s="2843"/>
      <c r="AK69" s="2843"/>
      <c r="AL69" s="2843"/>
      <c r="AM69" s="2843"/>
      <c r="AN69" s="2843"/>
      <c r="AO69" s="2843"/>
      <c r="AP69" s="2843"/>
      <c r="AQ69" s="2843"/>
      <c r="AR69" s="2843"/>
      <c r="AS69" s="2843"/>
      <c r="AT69" s="2843"/>
      <c r="AU69" s="2843"/>
      <c r="AV69" s="2843"/>
      <c r="AW69" s="2843"/>
      <c r="AX69" s="2843"/>
      <c r="AY69" s="2842"/>
      <c r="AZ69" s="2841"/>
    </row>
    <row r="70" spans="2:52" ht="13.5" customHeight="1" thickTop="1" thickBot="1">
      <c r="B70" s="3498"/>
      <c r="C70" s="3498"/>
      <c r="D70" s="3502"/>
      <c r="E70" s="2860" t="s">
        <v>5465</v>
      </c>
      <c r="F70" s="2844"/>
      <c r="G70" s="2843"/>
      <c r="H70" s="2843"/>
      <c r="I70" s="2843"/>
      <c r="J70" s="2843"/>
      <c r="K70" s="2843"/>
      <c r="L70" s="2843"/>
      <c r="M70" s="2843"/>
      <c r="N70" s="2843"/>
      <c r="O70" s="2843"/>
      <c r="P70" s="2843"/>
      <c r="Q70" s="2843"/>
      <c r="R70" s="2843"/>
      <c r="S70" s="2843"/>
      <c r="T70" s="3507">
        <f>ROUNDDOWN((AK60-R65-R66)*3/103,0)</f>
        <v>0</v>
      </c>
      <c r="U70" s="3508"/>
      <c r="V70" s="3508"/>
      <c r="W70" s="3508"/>
      <c r="X70" s="3508"/>
      <c r="Y70" s="3509"/>
      <c r="Z70" s="3314" t="s">
        <v>5464</v>
      </c>
      <c r="AA70" s="3315" t="s">
        <v>6167</v>
      </c>
      <c r="AB70" s="2843"/>
      <c r="AC70" s="2843"/>
      <c r="AD70" s="2843"/>
      <c r="AE70" s="2843"/>
      <c r="AF70" s="2843"/>
      <c r="AG70" s="2843"/>
      <c r="AH70" s="2843"/>
      <c r="AI70" s="2843"/>
      <c r="AJ70" s="2843"/>
      <c r="AK70" s="2843"/>
      <c r="AL70" s="2843"/>
      <c r="AM70" s="2843"/>
      <c r="AN70" s="2843"/>
      <c r="AO70" s="2843"/>
      <c r="AP70" s="2843"/>
      <c r="AQ70" s="2843"/>
      <c r="AR70" s="2843"/>
      <c r="AS70" s="2843"/>
      <c r="AT70" s="2843"/>
      <c r="AU70" s="2843"/>
      <c r="AV70" s="2843"/>
      <c r="AW70" s="2843"/>
      <c r="AX70" s="2843"/>
      <c r="AY70" s="2842"/>
      <c r="AZ70" s="2841" t="s">
        <v>5463</v>
      </c>
    </row>
    <row r="71" spans="2:52" ht="13.5" customHeight="1" thickTop="1">
      <c r="B71" s="3503"/>
      <c r="C71" s="3503"/>
      <c r="D71" s="3513"/>
      <c r="E71" s="2840"/>
      <c r="F71" s="2839"/>
      <c r="G71" s="2838"/>
      <c r="H71" s="2838"/>
      <c r="I71" s="2838"/>
      <c r="J71" s="2838"/>
      <c r="K71" s="2838"/>
      <c r="L71" s="2838"/>
      <c r="M71" s="2838"/>
      <c r="N71" s="2838"/>
      <c r="O71" s="2838"/>
      <c r="P71" s="2838"/>
      <c r="Q71" s="2838"/>
      <c r="R71" s="2838"/>
      <c r="S71" s="2838"/>
      <c r="T71" s="2838"/>
      <c r="U71" s="2838"/>
      <c r="V71" s="2838"/>
      <c r="W71" s="2838"/>
      <c r="X71" s="2838"/>
      <c r="Y71" s="2838"/>
      <c r="Z71" s="2838"/>
      <c r="AA71" s="2838"/>
      <c r="AB71" s="2838"/>
      <c r="AC71" s="2838"/>
      <c r="AD71" s="2838"/>
      <c r="AE71" s="2838"/>
      <c r="AF71" s="2838"/>
      <c r="AG71" s="2838"/>
      <c r="AH71" s="2838"/>
      <c r="AI71" s="2838"/>
      <c r="AJ71" s="2838"/>
      <c r="AK71" s="2838"/>
      <c r="AL71" s="2838"/>
      <c r="AM71" s="2838"/>
      <c r="AN71" s="2838"/>
      <c r="AO71" s="2838"/>
      <c r="AP71" s="2838"/>
      <c r="AQ71" s="2838"/>
      <c r="AR71" s="2838"/>
      <c r="AS71" s="2838"/>
      <c r="AT71" s="2838"/>
      <c r="AU71" s="2838"/>
      <c r="AV71" s="2838"/>
      <c r="AW71" s="2838"/>
      <c r="AX71" s="2838"/>
      <c r="AY71" s="2837"/>
      <c r="AZ71" s="2836"/>
    </row>
    <row r="72" spans="2:52"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2846"/>
    </row>
    <row r="73" spans="2:52"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2841"/>
    </row>
    <row r="74" spans="2:52"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2841"/>
    </row>
    <row r="75" spans="2:52"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2841"/>
    </row>
    <row r="76" spans="2:52"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2841"/>
    </row>
    <row r="77" spans="2:52"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2841"/>
    </row>
    <row r="78" spans="2:52"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2841"/>
    </row>
    <row r="79" spans="2:52"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2841"/>
    </row>
    <row r="80" spans="2:52"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2841"/>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2841"/>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2841"/>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2841"/>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2841"/>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2841"/>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2836"/>
    </row>
    <row r="87" spans="2:52" ht="13.5" customHeight="1">
      <c r="B87" s="3512" t="s">
        <v>5452</v>
      </c>
      <c r="C87" s="3516">
        <v>1</v>
      </c>
      <c r="D87" s="3512" t="s">
        <v>5451</v>
      </c>
      <c r="E87" s="2850"/>
      <c r="F87" s="2849"/>
      <c r="G87" s="2848"/>
      <c r="H87" s="2848"/>
      <c r="I87" s="2848"/>
      <c r="J87" s="2848"/>
      <c r="K87" s="2848"/>
      <c r="L87" s="2848"/>
      <c r="M87" s="2848"/>
      <c r="N87" s="2848"/>
      <c r="O87" s="2848"/>
      <c r="P87" s="2848"/>
      <c r="Q87" s="2848"/>
      <c r="R87" s="2848"/>
      <c r="S87" s="2848"/>
      <c r="T87" s="2848"/>
      <c r="U87" s="2848"/>
      <c r="V87" s="2848"/>
      <c r="W87" s="2848"/>
      <c r="X87" s="2848"/>
      <c r="Y87" s="2848"/>
      <c r="Z87" s="2848"/>
      <c r="AA87" s="2848"/>
      <c r="AB87" s="2848"/>
      <c r="AC87" s="2848"/>
      <c r="AD87" s="2848"/>
      <c r="AE87" s="2848"/>
      <c r="AF87" s="2848"/>
      <c r="AG87" s="2848"/>
      <c r="AH87" s="2848"/>
      <c r="AI87" s="2848"/>
      <c r="AJ87" s="2848"/>
      <c r="AK87" s="2848"/>
      <c r="AL87" s="2848"/>
      <c r="AM87" s="2848"/>
      <c r="AN87" s="2848"/>
      <c r="AO87" s="2848"/>
      <c r="AP87" s="2848"/>
      <c r="AQ87" s="2848"/>
      <c r="AR87" s="2848"/>
      <c r="AS87" s="2848"/>
      <c r="AT87" s="2848"/>
      <c r="AU87" s="2848"/>
      <c r="AV87" s="2848"/>
      <c r="AW87" s="2848"/>
      <c r="AX87" s="2848"/>
      <c r="AY87" s="2847"/>
      <c r="AZ87" s="3494"/>
    </row>
    <row r="88" spans="2:52" ht="13.5" customHeight="1">
      <c r="B88" s="3502"/>
      <c r="C88" s="3517"/>
      <c r="D88" s="3502"/>
      <c r="E88" s="2860" t="s">
        <v>5450</v>
      </c>
      <c r="F88" s="2844"/>
      <c r="G88" s="2844"/>
      <c r="H88" s="2844"/>
      <c r="I88" s="2844"/>
      <c r="J88" s="2844"/>
      <c r="K88" s="2844"/>
      <c r="L88" s="2844"/>
      <c r="M88" s="2844"/>
      <c r="N88" s="2844"/>
      <c r="O88" s="2844"/>
      <c r="P88" s="3519">
        <f>基礎数値!D18</f>
        <v>0</v>
      </c>
      <c r="Q88" s="3519"/>
      <c r="R88" s="3519"/>
      <c r="S88" s="3519"/>
      <c r="T88" s="3519"/>
      <c r="U88" s="3519"/>
      <c r="V88" s="2843"/>
      <c r="W88" s="2851" t="s">
        <v>5448</v>
      </c>
      <c r="X88" s="2843"/>
      <c r="Y88" s="2843"/>
      <c r="Z88" s="2843"/>
      <c r="AA88" s="2843"/>
      <c r="AB88" s="2843"/>
      <c r="AC88" s="2843"/>
      <c r="AD88" s="2843"/>
      <c r="AE88" s="2843"/>
      <c r="AF88" s="2843"/>
      <c r="AG88" s="2843"/>
      <c r="AH88" s="2843"/>
      <c r="AI88" s="2844"/>
      <c r="AJ88" s="2843"/>
      <c r="AK88" s="2843"/>
      <c r="AL88" s="2843"/>
      <c r="AM88" s="2843"/>
      <c r="AN88" s="2843"/>
      <c r="AO88" s="2843"/>
      <c r="AP88" s="2843"/>
      <c r="AQ88" s="2843"/>
      <c r="AR88" s="2843"/>
      <c r="AS88" s="2843"/>
      <c r="AT88" s="2843"/>
      <c r="AU88" s="2843"/>
      <c r="AV88" s="2843"/>
      <c r="AW88" s="2843"/>
      <c r="AX88" s="2843"/>
      <c r="AY88" s="2842"/>
      <c r="AZ88" s="3495"/>
    </row>
    <row r="89" spans="2:52" ht="13.5" customHeight="1">
      <c r="B89" s="3502"/>
      <c r="C89" s="3517"/>
      <c r="D89" s="3502"/>
      <c r="E89" s="2860" t="s">
        <v>5449</v>
      </c>
      <c r="F89" s="2843"/>
      <c r="G89" s="2843"/>
      <c r="H89" s="2843"/>
      <c r="I89" s="2843"/>
      <c r="J89" s="2843"/>
      <c r="K89" s="2843"/>
      <c r="L89" s="2843"/>
      <c r="M89" s="2843"/>
      <c r="N89" s="2843"/>
      <c r="O89" s="2843"/>
      <c r="P89" s="3519">
        <f>基礎数値!D19</f>
        <v>0</v>
      </c>
      <c r="Q89" s="3519"/>
      <c r="R89" s="3519"/>
      <c r="S89" s="3519"/>
      <c r="T89" s="3519"/>
      <c r="U89" s="3519"/>
      <c r="V89" s="2843"/>
      <c r="W89" s="2851" t="s">
        <v>5448</v>
      </c>
      <c r="X89" s="2843"/>
      <c r="Y89" s="2843"/>
      <c r="Z89" s="2843"/>
      <c r="AA89" s="2843"/>
      <c r="AB89" s="2843"/>
      <c r="AC89" s="2843"/>
      <c r="AD89" s="2843"/>
      <c r="AE89" s="2843"/>
      <c r="AF89" s="2843"/>
      <c r="AG89" s="2843"/>
      <c r="AH89" s="2843"/>
      <c r="AI89" s="2843"/>
      <c r="AJ89" s="2843"/>
      <c r="AK89" s="2843"/>
      <c r="AL89" s="2843"/>
      <c r="AM89" s="2843"/>
      <c r="AN89" s="2843"/>
      <c r="AO89" s="2843"/>
      <c r="AP89" s="2843"/>
      <c r="AQ89" s="2843"/>
      <c r="AR89" s="2843" t="s">
        <v>5447</v>
      </c>
      <c r="AS89" s="3497">
        <f>P88+P89</f>
        <v>0</v>
      </c>
      <c r="AT89" s="3497"/>
      <c r="AU89" s="3497"/>
      <c r="AV89" s="3497"/>
      <c r="AW89" s="3497"/>
      <c r="AX89" s="3497"/>
      <c r="AY89" s="2842" t="s">
        <v>5446</v>
      </c>
      <c r="AZ89" s="3495"/>
    </row>
    <row r="90" spans="2:52" ht="13.5" customHeight="1">
      <c r="B90" s="3502"/>
      <c r="C90" s="3517"/>
      <c r="D90" s="3502"/>
      <c r="E90" s="2845"/>
      <c r="F90" s="2844"/>
      <c r="G90" s="2843"/>
      <c r="H90" s="2843"/>
      <c r="I90" s="2843"/>
      <c r="J90" s="2843"/>
      <c r="K90" s="2843"/>
      <c r="L90" s="2843"/>
      <c r="M90" s="2843"/>
      <c r="N90" s="2843"/>
      <c r="O90" s="2843"/>
      <c r="P90" s="2843"/>
      <c r="Q90" s="2843"/>
      <c r="R90" s="2843"/>
      <c r="S90" s="2843"/>
      <c r="T90" s="2843"/>
      <c r="U90" s="2843"/>
      <c r="V90" s="2843"/>
      <c r="W90" s="2843"/>
      <c r="X90" s="2843"/>
      <c r="Y90" s="2843"/>
      <c r="Z90" s="2843"/>
      <c r="AA90" s="2843"/>
      <c r="AB90" s="2843"/>
      <c r="AC90" s="2843"/>
      <c r="AD90" s="2843"/>
      <c r="AE90" s="2843"/>
      <c r="AF90" s="2843"/>
      <c r="AG90" s="2843"/>
      <c r="AH90" s="2843"/>
      <c r="AI90" s="2843"/>
      <c r="AJ90" s="2843"/>
      <c r="AK90" s="2843"/>
      <c r="AL90" s="2843"/>
      <c r="AM90" s="2843"/>
      <c r="AN90" s="2843"/>
      <c r="AO90" s="2843"/>
      <c r="AP90" s="2843"/>
      <c r="AQ90" s="2843"/>
      <c r="AR90" s="2843"/>
      <c r="AS90" s="2843"/>
      <c r="AT90" s="2843"/>
      <c r="AU90" s="2843"/>
      <c r="AV90" s="2843"/>
      <c r="AW90" s="2843"/>
      <c r="AX90" s="2843"/>
      <c r="AY90" s="2842"/>
      <c r="AZ90" s="3495"/>
    </row>
    <row r="91" spans="2:52" ht="13.5" customHeight="1">
      <c r="B91" s="3502"/>
      <c r="C91" s="3517"/>
      <c r="D91" s="3502"/>
      <c r="E91" s="2845" t="s">
        <v>5445</v>
      </c>
      <c r="F91" s="2844"/>
      <c r="G91" s="2843"/>
      <c r="H91" s="2843"/>
      <c r="I91" s="2843"/>
      <c r="J91" s="2843"/>
      <c r="K91" s="2843"/>
      <c r="L91" s="2843"/>
      <c r="M91" s="2843"/>
      <c r="N91" s="2843"/>
      <c r="O91" s="2843"/>
      <c r="P91" s="3497">
        <f>ROUNDDOWN(AK21*100/103,0)</f>
        <v>0</v>
      </c>
      <c r="Q91" s="3497"/>
      <c r="R91" s="3497"/>
      <c r="S91" s="3497"/>
      <c r="T91" s="3497"/>
      <c r="U91" s="3497"/>
      <c r="V91" s="2843"/>
      <c r="W91" s="2851" t="s">
        <v>5444</v>
      </c>
      <c r="X91" s="2843"/>
      <c r="Y91" s="2843"/>
      <c r="Z91" s="2843"/>
      <c r="AA91" s="2843"/>
      <c r="AB91" s="2843"/>
      <c r="AC91" s="2843"/>
      <c r="AD91" s="2843"/>
      <c r="AE91" s="2843"/>
      <c r="AF91" s="2843"/>
      <c r="AG91" s="2843"/>
      <c r="AH91" s="2843"/>
      <c r="AI91" s="2843"/>
      <c r="AJ91" s="2843"/>
      <c r="AK91" s="2843"/>
      <c r="AL91" s="2843"/>
      <c r="AM91" s="2843"/>
      <c r="AN91" s="2843"/>
      <c r="AO91" s="2843"/>
      <c r="AP91" s="2843"/>
      <c r="AQ91" s="2843"/>
      <c r="AR91" s="2843"/>
      <c r="AS91" s="2843"/>
      <c r="AT91" s="2843"/>
      <c r="AU91" s="2843"/>
      <c r="AV91" s="2843"/>
      <c r="AW91" s="2843"/>
      <c r="AX91" s="2843"/>
      <c r="AY91" s="2842"/>
      <c r="AZ91" s="3495"/>
    </row>
    <row r="92" spans="2:52" ht="13.5" customHeight="1">
      <c r="B92" s="3502"/>
      <c r="C92" s="3517"/>
      <c r="D92" s="3502"/>
      <c r="E92" s="2845" t="s">
        <v>5443</v>
      </c>
      <c r="F92" s="2844"/>
      <c r="G92" s="2843"/>
      <c r="H92" s="2843"/>
      <c r="I92" s="2843"/>
      <c r="J92" s="2843"/>
      <c r="K92" s="2843"/>
      <c r="L92" s="2843"/>
      <c r="M92" s="2843"/>
      <c r="N92" s="2843"/>
      <c r="O92" s="2843"/>
      <c r="P92" s="3497"/>
      <c r="Q92" s="3497"/>
      <c r="R92" s="3497"/>
      <c r="S92" s="3497"/>
      <c r="T92" s="3497"/>
      <c r="U92" s="3497"/>
      <c r="V92" s="2843"/>
      <c r="W92" s="2851"/>
      <c r="X92" s="2843"/>
      <c r="Y92" s="2843"/>
      <c r="Z92" s="2843"/>
      <c r="AA92" s="2843"/>
      <c r="AB92" s="2843"/>
      <c r="AC92" s="2843"/>
      <c r="AD92" s="2843"/>
      <c r="AE92" s="3497"/>
      <c r="AF92" s="3497"/>
      <c r="AG92" s="3497"/>
      <c r="AH92" s="3497"/>
      <c r="AI92" s="3497"/>
      <c r="AJ92" s="3497"/>
      <c r="AK92" s="2851"/>
      <c r="AL92" s="2843"/>
      <c r="AM92" s="2843"/>
      <c r="AN92" s="2843"/>
      <c r="AO92" s="2843"/>
      <c r="AP92" s="2843"/>
      <c r="AQ92" s="2843"/>
      <c r="AR92" s="2843"/>
      <c r="AS92" s="2843"/>
      <c r="AT92" s="2843"/>
      <c r="AU92" s="2843"/>
      <c r="AV92" s="2843"/>
      <c r="AW92" s="2843"/>
      <c r="AX92" s="2843"/>
      <c r="AY92" s="2842"/>
      <c r="AZ92" s="3495"/>
    </row>
    <row r="93" spans="2:52" ht="13.5" customHeight="1">
      <c r="B93" s="3502"/>
      <c r="C93" s="3517"/>
      <c r="D93" s="3502"/>
      <c r="E93" s="2845" t="s">
        <v>5442</v>
      </c>
      <c r="F93" s="2844"/>
      <c r="G93" s="2843"/>
      <c r="H93" s="2843"/>
      <c r="I93" s="2843"/>
      <c r="J93" s="2843"/>
      <c r="K93" s="2843"/>
      <c r="L93" s="2843"/>
      <c r="M93" s="2843"/>
      <c r="N93" s="2843"/>
      <c r="O93" s="2843"/>
      <c r="P93" s="3497"/>
      <c r="Q93" s="3497"/>
      <c r="R93" s="3497"/>
      <c r="S93" s="3497"/>
      <c r="T93" s="3497"/>
      <c r="U93" s="3497"/>
      <c r="V93" s="2843"/>
      <c r="W93" s="2851"/>
      <c r="X93" s="2843"/>
      <c r="Y93" s="2843"/>
      <c r="Z93" s="2843"/>
      <c r="AA93" s="2843"/>
      <c r="AB93" s="2843"/>
      <c r="AC93" s="2843"/>
      <c r="AD93" s="2843"/>
      <c r="AE93" s="2843"/>
      <c r="AF93" s="2843"/>
      <c r="AG93" s="2843"/>
      <c r="AH93" s="2843"/>
      <c r="AI93" s="2843"/>
      <c r="AJ93" s="2843"/>
      <c r="AK93" s="2843"/>
      <c r="AL93" s="2843"/>
      <c r="AM93" s="2843"/>
      <c r="AN93" s="2843"/>
      <c r="AO93" s="2843"/>
      <c r="AP93" s="2843"/>
      <c r="AQ93" s="2843"/>
      <c r="AR93" s="2843"/>
      <c r="AS93" s="2843"/>
      <c r="AT93" s="2843"/>
      <c r="AU93" s="2843"/>
      <c r="AV93" s="2843"/>
      <c r="AW93" s="2843"/>
      <c r="AX93" s="2843"/>
      <c r="AY93" s="2842"/>
      <c r="AZ93" s="3495"/>
    </row>
    <row r="94" spans="2:52" ht="13.5" customHeight="1" thickBot="1">
      <c r="B94" s="3502"/>
      <c r="C94" s="3517"/>
      <c r="D94" s="3502"/>
      <c r="E94" s="2845"/>
      <c r="F94" s="2844"/>
      <c r="G94" s="2843"/>
      <c r="H94" s="2843"/>
      <c r="I94" s="2843"/>
      <c r="J94" s="2843"/>
      <c r="K94" s="2843"/>
      <c r="L94" s="2843"/>
      <c r="M94" s="2843"/>
      <c r="N94" s="2843"/>
      <c r="O94" s="2843"/>
      <c r="P94" s="2843"/>
      <c r="Q94" s="2843"/>
      <c r="R94" s="2843"/>
      <c r="S94" s="2843"/>
      <c r="T94" s="2843"/>
      <c r="U94" s="2843"/>
      <c r="V94" s="2843"/>
      <c r="W94" s="2843"/>
      <c r="X94" s="2843"/>
      <c r="Y94" s="2843"/>
      <c r="Z94" s="2843"/>
      <c r="AA94" s="2843"/>
      <c r="AB94" s="2843"/>
      <c r="AC94" s="2843"/>
      <c r="AD94" s="2843"/>
      <c r="AE94" s="2843"/>
      <c r="AF94" s="2843"/>
      <c r="AG94" s="2843"/>
      <c r="AH94" s="2843"/>
      <c r="AI94" s="2843"/>
      <c r="AJ94" s="2843"/>
      <c r="AK94" s="2843"/>
      <c r="AL94" s="2843"/>
      <c r="AM94" s="2843"/>
      <c r="AN94" s="2843"/>
      <c r="AO94" s="2843"/>
      <c r="AP94" s="2843"/>
      <c r="AQ94" s="2843"/>
      <c r="AR94" s="2843"/>
      <c r="AS94" s="2843"/>
      <c r="AT94" s="2843"/>
      <c r="AU94" s="2843"/>
      <c r="AV94" s="2843"/>
      <c r="AW94" s="2843"/>
      <c r="AX94" s="2843"/>
      <c r="AY94" s="2842"/>
      <c r="AZ94" s="3495"/>
    </row>
    <row r="95" spans="2:52" ht="13.5" customHeight="1" thickTop="1" thickBot="1">
      <c r="B95" s="3502"/>
      <c r="C95" s="3517"/>
      <c r="D95" s="3502"/>
      <c r="E95" s="2845" t="s">
        <v>5441</v>
      </c>
      <c r="F95" s="2844"/>
      <c r="G95" s="2843"/>
      <c r="H95" s="2843"/>
      <c r="I95" s="2843"/>
      <c r="J95" s="2843"/>
      <c r="K95" s="2843"/>
      <c r="L95" s="2843"/>
      <c r="M95" s="2843"/>
      <c r="N95" s="2843"/>
      <c r="O95" s="2843"/>
      <c r="P95" s="3504"/>
      <c r="Q95" s="3505"/>
      <c r="R95" s="3505"/>
      <c r="S95" s="3505"/>
      <c r="T95" s="3505"/>
      <c r="U95" s="3506"/>
      <c r="V95" s="2843"/>
      <c r="W95" s="2851"/>
      <c r="X95" s="2843"/>
      <c r="Y95" s="2843"/>
      <c r="Z95" s="2843"/>
      <c r="AA95" s="2843"/>
      <c r="AB95" s="2843"/>
      <c r="AC95" s="2843"/>
      <c r="AD95" s="2843"/>
      <c r="AE95" s="2843"/>
      <c r="AF95" s="2843"/>
      <c r="AG95" s="2843"/>
      <c r="AH95" s="2843"/>
      <c r="AI95" s="2843"/>
      <c r="AJ95" s="2843"/>
      <c r="AK95" s="2843"/>
      <c r="AL95" s="2843"/>
      <c r="AM95" s="2843"/>
      <c r="AN95" s="2843"/>
      <c r="AO95" s="2843"/>
      <c r="AP95" s="2843"/>
      <c r="AQ95" s="2843"/>
      <c r="AR95" s="2843"/>
      <c r="AS95" s="2843"/>
      <c r="AT95" s="2843"/>
      <c r="AU95" s="2843"/>
      <c r="AV95" s="2843"/>
      <c r="AW95" s="2843"/>
      <c r="AX95" s="2843"/>
      <c r="AY95" s="2842"/>
      <c r="AZ95" s="3495"/>
    </row>
    <row r="96" spans="2:52" ht="13.5" customHeight="1" thickTop="1">
      <c r="B96" s="3502"/>
      <c r="C96" s="3518"/>
      <c r="D96" s="3513"/>
      <c r="E96" s="2840"/>
      <c r="F96" s="2839"/>
      <c r="G96" s="2838"/>
      <c r="H96" s="2838"/>
      <c r="I96" s="2838"/>
      <c r="J96" s="2838"/>
      <c r="K96" s="2838"/>
      <c r="L96" s="2838"/>
      <c r="M96" s="2838"/>
      <c r="N96" s="2838"/>
      <c r="O96" s="2838"/>
      <c r="P96" s="2838"/>
      <c r="Q96" s="2838"/>
      <c r="R96" s="2838"/>
      <c r="S96" s="2838"/>
      <c r="T96" s="2838"/>
      <c r="U96" s="2838"/>
      <c r="V96" s="2838"/>
      <c r="W96" s="2838"/>
      <c r="X96" s="2859"/>
      <c r="Y96" s="2838"/>
      <c r="Z96" s="2838"/>
      <c r="AA96" s="2838"/>
      <c r="AB96" s="2838"/>
      <c r="AC96" s="2838"/>
      <c r="AD96" s="2838"/>
      <c r="AE96" s="2838"/>
      <c r="AF96" s="2838"/>
      <c r="AG96" s="2838"/>
      <c r="AH96" s="2838"/>
      <c r="AI96" s="2838"/>
      <c r="AJ96" s="2838"/>
      <c r="AK96" s="2838"/>
      <c r="AL96" s="2838"/>
      <c r="AM96" s="2838"/>
      <c r="AN96" s="2838"/>
      <c r="AO96" s="2838"/>
      <c r="AP96" s="2838"/>
      <c r="AQ96" s="2838"/>
      <c r="AR96" s="2838"/>
      <c r="AS96" s="2838"/>
      <c r="AT96" s="2838"/>
      <c r="AU96" s="2838"/>
      <c r="AV96" s="2838"/>
      <c r="AW96" s="2838"/>
      <c r="AX96" s="2838"/>
      <c r="AY96" s="2837"/>
      <c r="AZ96" s="3496"/>
    </row>
    <row r="97" spans="2:52" ht="13.5" customHeight="1" thickBot="1">
      <c r="B97" s="3502"/>
      <c r="C97" s="3516">
        <v>2</v>
      </c>
      <c r="D97" s="3512" t="s">
        <v>5440</v>
      </c>
      <c r="E97" s="2850"/>
      <c r="F97" s="2849"/>
      <c r="G97" s="2848"/>
      <c r="H97" s="2848"/>
      <c r="I97" s="2848"/>
      <c r="J97" s="2848"/>
      <c r="K97" s="2848"/>
      <c r="L97" s="2848"/>
      <c r="M97" s="2848"/>
      <c r="N97" s="2848"/>
      <c r="O97" s="2848"/>
      <c r="P97" s="2848"/>
      <c r="Q97" s="2848"/>
      <c r="R97" s="2848"/>
      <c r="S97" s="2848"/>
      <c r="T97" s="2848"/>
      <c r="U97" s="2848"/>
      <c r="V97" s="2848"/>
      <c r="W97" s="2848"/>
      <c r="X97" s="2848"/>
      <c r="Y97" s="2848"/>
      <c r="Z97" s="2848"/>
      <c r="AA97" s="2848"/>
      <c r="AB97" s="2848"/>
      <c r="AC97" s="2848"/>
      <c r="AD97" s="2848"/>
      <c r="AE97" s="2848"/>
      <c r="AF97" s="2848"/>
      <c r="AG97" s="2848"/>
      <c r="AH97" s="2848"/>
      <c r="AI97" s="2848"/>
      <c r="AJ97" s="2848"/>
      <c r="AK97" s="2848"/>
      <c r="AL97" s="2848"/>
      <c r="AM97" s="2848"/>
      <c r="AN97" s="2848"/>
      <c r="AO97" s="2848"/>
      <c r="AP97" s="2848"/>
      <c r="AQ97" s="2848"/>
      <c r="AR97" s="2848"/>
      <c r="AS97" s="2848"/>
      <c r="AT97" s="2848"/>
      <c r="AU97" s="2848"/>
      <c r="AV97" s="2848"/>
      <c r="AW97" s="2848"/>
      <c r="AX97" s="2848"/>
      <c r="AY97" s="2847"/>
      <c r="AZ97" s="3494" t="s">
        <v>5439</v>
      </c>
    </row>
    <row r="98" spans="2:52" ht="13.5" customHeight="1" thickTop="1" thickBot="1">
      <c r="B98" s="3502"/>
      <c r="C98" s="3517"/>
      <c r="D98" s="3502"/>
      <c r="E98" s="2845" t="s">
        <v>5438</v>
      </c>
      <c r="F98" s="2844"/>
      <c r="G98" s="2843"/>
      <c r="H98" s="2843"/>
      <c r="I98" s="2843"/>
      <c r="J98" s="2843"/>
      <c r="K98" s="2843"/>
      <c r="L98" s="2843"/>
      <c r="M98" s="2843"/>
      <c r="N98" s="2843"/>
      <c r="O98" s="2843"/>
      <c r="P98" s="2843"/>
      <c r="Q98" s="2843"/>
      <c r="R98" s="2843"/>
      <c r="S98" s="2843"/>
      <c r="T98" s="2843"/>
      <c r="U98" s="2843"/>
      <c r="V98" s="2843"/>
      <c r="W98" s="2843"/>
      <c r="X98" s="2843"/>
      <c r="Y98" s="2843"/>
      <c r="Z98" s="3499">
        <f>ROUNDDOWN(T70*'(申)計'!R36/'(申)計'!R40,0)</f>
        <v>0</v>
      </c>
      <c r="AA98" s="3500"/>
      <c r="AB98" s="3500"/>
      <c r="AC98" s="3500"/>
      <c r="AD98" s="3500"/>
      <c r="AE98" s="3501"/>
      <c r="AF98" s="2843" t="s">
        <v>5437</v>
      </c>
      <c r="AG98" s="2851" t="s">
        <v>5436</v>
      </c>
      <c r="AH98" s="2843"/>
      <c r="AI98" s="2843"/>
      <c r="AJ98" s="2843"/>
      <c r="AK98" s="2843"/>
      <c r="AL98" s="2843"/>
      <c r="AM98" s="2843"/>
      <c r="AN98" s="2843"/>
      <c r="AO98" s="2843"/>
      <c r="AP98" s="2843"/>
      <c r="AQ98" s="2843"/>
      <c r="AR98" s="2843"/>
      <c r="AS98" s="2843"/>
      <c r="AT98" s="2843"/>
      <c r="AU98" s="2843"/>
      <c r="AV98" s="2843"/>
      <c r="AW98" s="2843"/>
      <c r="AX98" s="2843"/>
      <c r="AY98" s="2842"/>
      <c r="AZ98" s="3515"/>
    </row>
    <row r="99" spans="2:52" ht="13.5" customHeight="1" thickTop="1" thickBot="1">
      <c r="B99" s="3502"/>
      <c r="C99" s="3517"/>
      <c r="D99" s="3502"/>
      <c r="E99" s="2845"/>
      <c r="F99" s="2844"/>
      <c r="G99" s="2843"/>
      <c r="H99" s="2843"/>
      <c r="I99" s="2843"/>
      <c r="J99" s="2843"/>
      <c r="K99" s="2843"/>
      <c r="L99" s="2843"/>
      <c r="M99" s="2843"/>
      <c r="N99" s="2843"/>
      <c r="O99" s="2843"/>
      <c r="P99" s="2843"/>
      <c r="Q99" s="2843"/>
      <c r="R99" s="2843"/>
      <c r="S99" s="2843"/>
      <c r="T99" s="2843"/>
      <c r="U99" s="2858" t="s">
        <v>5435</v>
      </c>
      <c r="V99" s="2843"/>
      <c r="W99" s="2843"/>
      <c r="X99" s="2843"/>
      <c r="Y99" s="2843"/>
      <c r="Z99" s="2843"/>
      <c r="AA99" s="2843"/>
      <c r="AB99" s="2843"/>
      <c r="AC99" s="2843"/>
      <c r="AD99" s="2843"/>
      <c r="AE99" s="2843"/>
      <c r="AF99" s="2843"/>
      <c r="AG99" s="2843"/>
      <c r="AH99" s="2843"/>
      <c r="AI99" s="2843"/>
      <c r="AJ99" s="2843"/>
      <c r="AK99" s="2843"/>
      <c r="AL99" s="2843"/>
      <c r="AM99" s="2843"/>
      <c r="AN99" s="2843"/>
      <c r="AO99" s="2843"/>
      <c r="AP99" s="2843"/>
      <c r="AQ99" s="2843"/>
      <c r="AR99" s="2843"/>
      <c r="AS99" s="2843"/>
      <c r="AT99" s="2843"/>
      <c r="AU99" s="2843"/>
      <c r="AV99" s="2843"/>
      <c r="AW99" s="2843"/>
      <c r="AX99" s="2843"/>
      <c r="AY99" s="2842"/>
      <c r="AZ99" s="2841"/>
    </row>
    <row r="100" spans="2:52" ht="13.5" customHeight="1" thickTop="1" thickBot="1">
      <c r="B100" s="3502"/>
      <c r="C100" s="3517"/>
      <c r="D100" s="3502"/>
      <c r="E100" s="2845" t="s">
        <v>5434</v>
      </c>
      <c r="F100" s="2844"/>
      <c r="G100" s="2843"/>
      <c r="H100" s="2843"/>
      <c r="I100" s="2843"/>
      <c r="J100" s="2843"/>
      <c r="K100" s="2843"/>
      <c r="L100" s="2843"/>
      <c r="M100" s="2843"/>
      <c r="N100" s="2843"/>
      <c r="O100" s="2843"/>
      <c r="P100" s="2843"/>
      <c r="Q100" s="2843"/>
      <c r="R100" s="2843"/>
      <c r="S100" s="2843"/>
      <c r="T100" s="2843"/>
      <c r="U100" s="2843"/>
      <c r="V100" s="2843"/>
      <c r="W100" s="2843"/>
      <c r="X100" s="2843"/>
      <c r="Y100" s="2843"/>
      <c r="Z100" s="3499">
        <f>AS89</f>
        <v>0</v>
      </c>
      <c r="AA100" s="3500"/>
      <c r="AB100" s="3500"/>
      <c r="AC100" s="3500"/>
      <c r="AD100" s="3500"/>
      <c r="AE100" s="3501"/>
      <c r="AF100" s="2843"/>
      <c r="AG100" s="2851" t="s">
        <v>5433</v>
      </c>
      <c r="AH100" s="2843"/>
      <c r="AI100" s="2843"/>
      <c r="AJ100" s="2843"/>
      <c r="AK100" s="2843"/>
      <c r="AL100" s="2843"/>
      <c r="AM100" s="2843"/>
      <c r="AN100" s="2843"/>
      <c r="AO100" s="2843"/>
      <c r="AP100" s="2843"/>
      <c r="AQ100" s="2843"/>
      <c r="AR100" s="2843"/>
      <c r="AS100" s="2843"/>
      <c r="AT100" s="2843"/>
      <c r="AU100" s="2843"/>
      <c r="AV100" s="2843"/>
      <c r="AW100" s="2843"/>
      <c r="AX100" s="2843"/>
      <c r="AY100" s="2842"/>
      <c r="AZ100" s="2841" t="s">
        <v>5432</v>
      </c>
    </row>
    <row r="101" spans="2:52" ht="13.5" customHeight="1" thickTop="1" thickBot="1">
      <c r="B101" s="3502"/>
      <c r="C101" s="3517"/>
      <c r="D101" s="3502"/>
      <c r="E101" s="2857" t="s">
        <v>5431</v>
      </c>
      <c r="F101" s="2844"/>
      <c r="G101" s="2843"/>
      <c r="H101" s="2843"/>
      <c r="I101" s="2843"/>
      <c r="J101" s="2843"/>
      <c r="K101" s="2843"/>
      <c r="L101" s="2843"/>
      <c r="M101" s="2843"/>
      <c r="N101" s="2843"/>
      <c r="O101" s="2843"/>
      <c r="P101" s="2843"/>
      <c r="Q101" s="2843"/>
      <c r="R101" s="2843"/>
      <c r="S101" s="2843"/>
      <c r="T101" s="2843"/>
      <c r="U101" s="2843"/>
      <c r="V101" s="2843"/>
      <c r="W101" s="2843"/>
      <c r="X101" s="2843"/>
      <c r="Y101" s="2843"/>
      <c r="Z101" s="3499">
        <f>ROUNDDOWN(Z100*4/105,0)</f>
        <v>0</v>
      </c>
      <c r="AA101" s="3500"/>
      <c r="AB101" s="3500"/>
      <c r="AC101" s="3500"/>
      <c r="AD101" s="3500"/>
      <c r="AE101" s="3501"/>
      <c r="AF101" s="2843" t="s">
        <v>5430</v>
      </c>
      <c r="AG101" s="2856" t="s">
        <v>5429</v>
      </c>
      <c r="AH101" s="2843"/>
      <c r="AI101" s="2843"/>
      <c r="AJ101" s="2843"/>
      <c r="AK101" s="2843"/>
      <c r="AL101" s="2843"/>
      <c r="AM101" s="2843"/>
      <c r="AN101" s="2843"/>
      <c r="AO101" s="2843"/>
      <c r="AP101" s="2843"/>
      <c r="AQ101" s="2843"/>
      <c r="AR101" s="2843"/>
      <c r="AS101" s="2843"/>
      <c r="AT101" s="2843"/>
      <c r="AU101" s="2843"/>
      <c r="AV101" s="2843"/>
      <c r="AW101" s="2843"/>
      <c r="AX101" s="2843"/>
      <c r="AY101" s="2842"/>
      <c r="AZ101" s="2841" t="s">
        <v>5428</v>
      </c>
    </row>
    <row r="102" spans="2:52" ht="13.5" customHeight="1" thickTop="1" thickBot="1">
      <c r="B102" s="3502"/>
      <c r="C102" s="3517"/>
      <c r="D102" s="3502"/>
      <c r="E102" s="2845"/>
      <c r="F102" s="2844"/>
      <c r="G102" s="2843"/>
      <c r="H102" s="2843"/>
      <c r="I102" s="2843"/>
      <c r="J102" s="2843"/>
      <c r="K102" s="2843"/>
      <c r="L102" s="2843"/>
      <c r="M102" s="2843"/>
      <c r="N102" s="2843"/>
      <c r="O102" s="2843"/>
      <c r="P102" s="2843"/>
      <c r="Q102" s="2843"/>
      <c r="R102" s="2843"/>
      <c r="S102" s="2843"/>
      <c r="T102" s="2843"/>
      <c r="U102" s="2843"/>
      <c r="V102" s="2843"/>
      <c r="W102" s="2843"/>
      <c r="X102" s="2843"/>
      <c r="Y102" s="2843"/>
      <c r="Z102" s="2843"/>
      <c r="AA102" s="2843"/>
      <c r="AB102" s="2843"/>
      <c r="AC102" s="2843"/>
      <c r="AD102" s="2843"/>
      <c r="AE102" s="2843"/>
      <c r="AF102" s="2843"/>
      <c r="AG102" s="2843"/>
      <c r="AH102" s="2843"/>
      <c r="AI102" s="2843"/>
      <c r="AJ102" s="2843"/>
      <c r="AK102" s="2843"/>
      <c r="AL102" s="2843"/>
      <c r="AM102" s="2843"/>
      <c r="AN102" s="2843"/>
      <c r="AO102" s="2843"/>
      <c r="AP102" s="2843"/>
      <c r="AQ102" s="2843"/>
      <c r="AR102" s="2843"/>
      <c r="AS102" s="2843"/>
      <c r="AT102" s="2843"/>
      <c r="AU102" s="2843"/>
      <c r="AV102" s="2843"/>
      <c r="AW102" s="2843"/>
      <c r="AX102" s="2843"/>
      <c r="AY102" s="2842"/>
      <c r="AZ102" s="2841"/>
    </row>
    <row r="103" spans="2:52"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2843"/>
      <c r="T103" s="2843"/>
      <c r="U103" s="2843"/>
      <c r="V103" s="2843"/>
      <c r="W103" s="2843"/>
      <c r="X103" s="2843"/>
      <c r="Y103" s="2843"/>
      <c r="Z103" s="3499">
        <f>'(申)計'!R36</f>
        <v>18871966907</v>
      </c>
      <c r="AA103" s="3500"/>
      <c r="AB103" s="3500"/>
      <c r="AC103" s="3500"/>
      <c r="AD103" s="3500"/>
      <c r="AE103" s="3501"/>
      <c r="AF103" s="2843"/>
      <c r="AG103" s="3510" t="s">
        <v>5426</v>
      </c>
      <c r="AH103" s="2851" t="s">
        <v>5425</v>
      </c>
      <c r="AI103" s="2843"/>
      <c r="AJ103" s="2843"/>
      <c r="AK103" s="2843"/>
      <c r="AL103" s="2843"/>
      <c r="AM103" s="2843"/>
      <c r="AN103" s="2843"/>
      <c r="AO103" s="2843"/>
      <c r="AP103" s="2843"/>
      <c r="AQ103" s="2843"/>
      <c r="AR103" s="2843"/>
      <c r="AS103" s="2843"/>
      <c r="AT103" s="2843"/>
      <c r="AU103" s="2843"/>
      <c r="AV103" s="2843"/>
      <c r="AW103" s="2843"/>
      <c r="AX103" s="2843"/>
      <c r="AY103" s="2842"/>
      <c r="AZ103" s="3498" t="s">
        <v>5424</v>
      </c>
    </row>
    <row r="104" spans="2:52" ht="3" customHeight="1" thickTop="1">
      <c r="B104" s="3502"/>
      <c r="C104" s="3517"/>
      <c r="D104" s="3502"/>
      <c r="E104" s="3521"/>
      <c r="F104" s="3510"/>
      <c r="G104" s="3510"/>
      <c r="H104" s="3510"/>
      <c r="I104" s="3510"/>
      <c r="J104" s="3510"/>
      <c r="K104" s="3510"/>
      <c r="L104" s="3510"/>
      <c r="M104" s="3510"/>
      <c r="N104" s="3510"/>
      <c r="O104" s="3510"/>
      <c r="P104" s="3510"/>
      <c r="Q104" s="3510"/>
      <c r="R104" s="3510"/>
      <c r="S104" s="2843"/>
      <c r="T104" s="2843"/>
      <c r="U104" s="2843"/>
      <c r="V104" s="2843"/>
      <c r="W104" s="2843"/>
      <c r="X104" s="2843"/>
      <c r="Y104" s="2838"/>
      <c r="Z104" s="2838"/>
      <c r="AA104" s="2838"/>
      <c r="AB104" s="2838"/>
      <c r="AC104" s="2838"/>
      <c r="AD104" s="2838"/>
      <c r="AE104" s="2838"/>
      <c r="AF104" s="2838"/>
      <c r="AG104" s="3510"/>
      <c r="AH104" s="2843"/>
      <c r="AI104" s="2843"/>
      <c r="AJ104" s="2843"/>
      <c r="AK104" s="2843"/>
      <c r="AL104" s="2843"/>
      <c r="AM104" s="2843"/>
      <c r="AN104" s="2843"/>
      <c r="AO104" s="2843"/>
      <c r="AP104" s="2843"/>
      <c r="AQ104" s="2843"/>
      <c r="AR104" s="2843"/>
      <c r="AS104" s="2843"/>
      <c r="AT104" s="2843"/>
      <c r="AU104" s="2843"/>
      <c r="AV104" s="2843"/>
      <c r="AW104" s="2843"/>
      <c r="AX104" s="2843"/>
      <c r="AY104" s="2842"/>
      <c r="AZ104" s="3498"/>
    </row>
    <row r="105" spans="2:52" ht="3" customHeight="1" thickBot="1">
      <c r="B105" s="3502"/>
      <c r="C105" s="3517"/>
      <c r="D105" s="3502"/>
      <c r="E105" s="3521"/>
      <c r="F105" s="3510"/>
      <c r="G105" s="3510"/>
      <c r="H105" s="3510"/>
      <c r="I105" s="3510"/>
      <c r="J105" s="3510"/>
      <c r="K105" s="3510"/>
      <c r="L105" s="3510"/>
      <c r="M105" s="3510"/>
      <c r="N105" s="3510"/>
      <c r="O105" s="3510"/>
      <c r="P105" s="3510"/>
      <c r="Q105" s="3510"/>
      <c r="R105" s="3510"/>
      <c r="S105" s="2843"/>
      <c r="T105" s="2843"/>
      <c r="U105" s="2843"/>
      <c r="V105" s="2843"/>
      <c r="W105" s="2843"/>
      <c r="X105" s="2843"/>
      <c r="Y105" s="2843"/>
      <c r="Z105" s="2843"/>
      <c r="AA105" s="2843"/>
      <c r="AB105" s="2843"/>
      <c r="AC105" s="2843"/>
      <c r="AD105" s="2843"/>
      <c r="AE105" s="2843"/>
      <c r="AF105" s="2843"/>
      <c r="AG105" s="3510"/>
      <c r="AH105" s="2843"/>
      <c r="AI105" s="2843"/>
      <c r="AJ105" s="2843"/>
      <c r="AK105" s="2843"/>
      <c r="AL105" s="2843"/>
      <c r="AM105" s="2843"/>
      <c r="AN105" s="2843"/>
      <c r="AO105" s="2843"/>
      <c r="AP105" s="2843"/>
      <c r="AQ105" s="2843"/>
      <c r="AR105" s="2843"/>
      <c r="AS105" s="2843"/>
      <c r="AT105" s="2843"/>
      <c r="AU105" s="2843"/>
      <c r="AV105" s="2843"/>
      <c r="AW105" s="2843"/>
      <c r="AX105" s="2843"/>
      <c r="AY105" s="2842"/>
      <c r="AZ105" s="3498"/>
    </row>
    <row r="106" spans="2:52"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2843"/>
      <c r="T106" s="2843"/>
      <c r="U106" s="2843"/>
      <c r="V106" s="2843"/>
      <c r="W106" s="2843"/>
      <c r="X106" s="2843"/>
      <c r="Y106" s="2843"/>
      <c r="Z106" s="3499">
        <f>'(申)計'!R40</f>
        <v>18940559860</v>
      </c>
      <c r="AA106" s="3500"/>
      <c r="AB106" s="3500"/>
      <c r="AC106" s="3500"/>
      <c r="AD106" s="3500"/>
      <c r="AE106" s="3501"/>
      <c r="AF106" s="2843"/>
      <c r="AG106" s="3510"/>
      <c r="AH106" s="2851" t="s">
        <v>5423</v>
      </c>
      <c r="AI106" s="2843"/>
      <c r="AJ106" s="2843"/>
      <c r="AK106" s="2843"/>
      <c r="AL106" s="2843"/>
      <c r="AM106" s="2843"/>
      <c r="AN106" s="2843"/>
      <c r="AO106" s="2843"/>
      <c r="AP106" s="2843"/>
      <c r="AQ106" s="2843"/>
      <c r="AR106" s="2843"/>
      <c r="AS106" s="2843"/>
      <c r="AT106" s="2843"/>
      <c r="AU106" s="2843"/>
      <c r="AV106" s="2843"/>
      <c r="AW106" s="2843"/>
      <c r="AX106" s="2843"/>
      <c r="AY106" s="2842"/>
      <c r="AZ106" s="3498"/>
    </row>
    <row r="107" spans="2:52" ht="13.5" customHeight="1" thickTop="1" thickBot="1">
      <c r="B107" s="3502"/>
      <c r="C107" s="3517"/>
      <c r="D107" s="3502"/>
      <c r="E107" s="2845"/>
      <c r="F107" s="2844"/>
      <c r="G107" s="2843"/>
      <c r="H107" s="2843"/>
      <c r="I107" s="2843"/>
      <c r="J107" s="2843"/>
      <c r="K107" s="2843"/>
      <c r="L107" s="2843"/>
      <c r="M107" s="2843"/>
      <c r="N107" s="2843"/>
      <c r="O107" s="2843"/>
      <c r="P107" s="2843"/>
      <c r="Q107" s="2843"/>
      <c r="R107" s="2843"/>
      <c r="S107" s="2843"/>
      <c r="T107" s="2843"/>
      <c r="U107" s="2843"/>
      <c r="V107" s="2843"/>
      <c r="W107" s="2843"/>
      <c r="X107" s="2843"/>
      <c r="Y107" s="2843"/>
      <c r="Z107" s="2843"/>
      <c r="AA107" s="2843"/>
      <c r="AB107" s="2843"/>
      <c r="AC107" s="2843"/>
      <c r="AD107" s="2843"/>
      <c r="AE107" s="2843"/>
      <c r="AF107" s="2843"/>
      <c r="AG107" s="2843"/>
      <c r="AH107" s="2843"/>
      <c r="AI107" s="2843"/>
      <c r="AJ107" s="2843"/>
      <c r="AK107" s="2843"/>
      <c r="AL107" s="2843"/>
      <c r="AM107" s="2843"/>
      <c r="AN107" s="2843"/>
      <c r="AO107" s="2843"/>
      <c r="AP107" s="2843"/>
      <c r="AQ107" s="2843"/>
      <c r="AR107" s="2843"/>
      <c r="AS107" s="2843"/>
      <c r="AT107" s="2843"/>
      <c r="AU107" s="2843"/>
      <c r="AV107" s="2843"/>
      <c r="AW107" s="2843"/>
      <c r="AX107" s="2843"/>
      <c r="AY107" s="2842"/>
      <c r="AZ107" s="2841"/>
    </row>
    <row r="108" spans="2:52" ht="13.5" customHeight="1" thickTop="1" thickBot="1">
      <c r="B108" s="3502"/>
      <c r="C108" s="3517"/>
      <c r="D108" s="3502"/>
      <c r="E108" s="2845" t="s">
        <v>5422</v>
      </c>
      <c r="F108" s="2844"/>
      <c r="G108" s="2843"/>
      <c r="H108" s="2843"/>
      <c r="I108" s="2843"/>
      <c r="J108" s="2843"/>
      <c r="K108" s="2843"/>
      <c r="L108" s="2843"/>
      <c r="M108" s="2843"/>
      <c r="N108" s="2843"/>
      <c r="O108" s="2843"/>
      <c r="P108" s="2843"/>
      <c r="Q108" s="2843"/>
      <c r="R108" s="2843"/>
      <c r="S108" s="2843"/>
      <c r="T108" s="2843"/>
      <c r="U108" s="2843"/>
      <c r="V108" s="2843"/>
      <c r="W108" s="2843"/>
      <c r="X108" s="2843"/>
      <c r="Y108" s="2843"/>
      <c r="Z108" s="3499">
        <f>ROUNDDOWN(Z101*Z103/Z106,0)</f>
        <v>0</v>
      </c>
      <c r="AA108" s="3500"/>
      <c r="AB108" s="3500"/>
      <c r="AC108" s="3500"/>
      <c r="AD108" s="3500"/>
      <c r="AE108" s="3501"/>
      <c r="AF108" s="2843" t="s">
        <v>5421</v>
      </c>
      <c r="AG108" s="2851" t="s">
        <v>5420</v>
      </c>
      <c r="AH108" s="2843"/>
      <c r="AI108" s="2843"/>
      <c r="AJ108" s="2843"/>
      <c r="AK108" s="2843"/>
      <c r="AL108" s="2843"/>
      <c r="AM108" s="2843"/>
      <c r="AN108" s="2843"/>
      <c r="AO108" s="2843"/>
      <c r="AP108" s="2843"/>
      <c r="AQ108" s="2843"/>
      <c r="AR108" s="2843"/>
      <c r="AS108" s="2843"/>
      <c r="AT108" s="2843"/>
      <c r="AU108" s="2843"/>
      <c r="AV108" s="2843"/>
      <c r="AW108" s="2843"/>
      <c r="AX108" s="2843"/>
      <c r="AY108" s="2842"/>
      <c r="AZ108" s="2841" t="s">
        <v>5419</v>
      </c>
    </row>
    <row r="109" spans="2:52" ht="13.5" customHeight="1" thickTop="1">
      <c r="B109" s="3502"/>
      <c r="C109" s="3517"/>
      <c r="D109" s="3502"/>
      <c r="E109" s="2845"/>
      <c r="F109" s="2844"/>
      <c r="G109" s="2843"/>
      <c r="H109" s="2843"/>
      <c r="I109" s="2843"/>
      <c r="J109" s="2843"/>
      <c r="K109" s="2843"/>
      <c r="L109" s="2843"/>
      <c r="M109" s="2843"/>
      <c r="N109" s="2843"/>
      <c r="O109" s="2843"/>
      <c r="P109" s="2843"/>
      <c r="Q109" s="2843"/>
      <c r="R109" s="2843"/>
      <c r="S109" s="2843"/>
      <c r="T109" s="2843"/>
      <c r="U109" s="2843"/>
      <c r="V109" s="2843"/>
      <c r="W109" s="2843"/>
      <c r="X109" s="2843"/>
      <c r="Y109" s="2843"/>
      <c r="Z109" s="2843"/>
      <c r="AA109" s="2843"/>
      <c r="AB109" s="2843"/>
      <c r="AC109" s="2843"/>
      <c r="AD109" s="2843"/>
      <c r="AE109" s="2843"/>
      <c r="AF109" s="2843"/>
      <c r="AG109" s="2843"/>
      <c r="AH109" s="2843"/>
      <c r="AI109" s="2843"/>
      <c r="AJ109" s="2843"/>
      <c r="AK109" s="2843"/>
      <c r="AL109" s="2843"/>
      <c r="AM109" s="2843"/>
      <c r="AN109" s="2843"/>
      <c r="AO109" s="2843"/>
      <c r="AP109" s="2843"/>
      <c r="AQ109" s="2843"/>
      <c r="AR109" s="2843"/>
      <c r="AS109" s="2843"/>
      <c r="AT109" s="2843"/>
      <c r="AU109" s="2843"/>
      <c r="AV109" s="2843"/>
      <c r="AW109" s="2843"/>
      <c r="AX109" s="2843"/>
      <c r="AY109" s="2842"/>
      <c r="AZ109" s="2841"/>
    </row>
    <row r="110" spans="2:52" ht="13.5" customHeight="1" thickBot="1">
      <c r="B110" s="3502"/>
      <c r="C110" s="3517"/>
      <c r="D110" s="3502"/>
      <c r="E110" s="2845" t="s">
        <v>5418</v>
      </c>
      <c r="F110" s="2844"/>
      <c r="G110" s="2843"/>
      <c r="H110" s="2843"/>
      <c r="I110" s="2843"/>
      <c r="J110" s="2843"/>
      <c r="K110" s="2843"/>
      <c r="L110" s="2843"/>
      <c r="M110" s="2843"/>
      <c r="N110" s="2843"/>
      <c r="O110" s="2843"/>
      <c r="P110" s="2843"/>
      <c r="Q110" s="2843"/>
      <c r="R110" s="2843"/>
      <c r="S110" s="2843"/>
      <c r="T110" s="2843"/>
      <c r="U110" s="2843"/>
      <c r="V110" s="2843"/>
      <c r="W110" s="2843"/>
      <c r="X110" s="2843"/>
      <c r="Y110" s="2843"/>
      <c r="Z110" s="2843"/>
      <c r="AA110" s="2843"/>
      <c r="AB110" s="2843"/>
      <c r="AC110" s="2843"/>
      <c r="AD110" s="2843"/>
      <c r="AE110" s="2843"/>
      <c r="AF110" s="2843"/>
      <c r="AG110" s="2843"/>
      <c r="AH110" s="2843"/>
      <c r="AI110" s="2843"/>
      <c r="AJ110" s="2843"/>
      <c r="AK110" s="2843"/>
      <c r="AL110" s="2843"/>
      <c r="AM110" s="2843"/>
      <c r="AN110" s="2843"/>
      <c r="AO110" s="2843"/>
      <c r="AP110" s="2843"/>
      <c r="AQ110" s="2843"/>
      <c r="AR110" s="2843"/>
      <c r="AS110" s="2843"/>
      <c r="AT110" s="2843"/>
      <c r="AU110" s="2843"/>
      <c r="AV110" s="2843"/>
      <c r="AW110" s="2843"/>
      <c r="AX110" s="2843"/>
      <c r="AY110" s="2842"/>
      <c r="AZ110" s="2841"/>
    </row>
    <row r="111" spans="2:52" ht="13.5" customHeight="1" thickTop="1" thickBot="1">
      <c r="B111" s="3502"/>
      <c r="C111" s="3517"/>
      <c r="D111" s="3502"/>
      <c r="E111" s="2845"/>
      <c r="F111" s="2844" t="s">
        <v>5417</v>
      </c>
      <c r="G111" s="2843"/>
      <c r="H111" s="2843"/>
      <c r="I111" s="2843"/>
      <c r="J111" s="2843"/>
      <c r="K111" s="2843"/>
      <c r="L111" s="2843"/>
      <c r="M111" s="2843"/>
      <c r="N111" s="2843"/>
      <c r="O111" s="2843"/>
      <c r="P111" s="2843"/>
      <c r="Q111" s="2843"/>
      <c r="R111" s="2843"/>
      <c r="S111" s="2843"/>
      <c r="T111" s="2843"/>
      <c r="U111" s="2843"/>
      <c r="V111" s="2843"/>
      <c r="W111" s="2843"/>
      <c r="X111" s="2843"/>
      <c r="Y111" s="2843"/>
      <c r="Z111" s="2843"/>
      <c r="AA111" s="2843"/>
      <c r="AB111" s="2843"/>
      <c r="AC111" s="3499">
        <f>Z98-Z108</f>
        <v>0</v>
      </c>
      <c r="AD111" s="3500"/>
      <c r="AE111" s="3500"/>
      <c r="AF111" s="3500"/>
      <c r="AG111" s="3500"/>
      <c r="AH111" s="3501"/>
      <c r="AI111" s="2843" t="s">
        <v>5416</v>
      </c>
      <c r="AJ111" s="2851" t="s">
        <v>5415</v>
      </c>
      <c r="AK111" s="2843"/>
      <c r="AL111" s="2843"/>
      <c r="AM111" s="2843"/>
      <c r="AN111" s="2843"/>
      <c r="AO111" s="2843"/>
      <c r="AP111" s="2843"/>
      <c r="AQ111" s="2843"/>
      <c r="AR111" s="2843"/>
      <c r="AS111" s="2843"/>
      <c r="AT111" s="2843"/>
      <c r="AU111" s="2843"/>
      <c r="AV111" s="2843"/>
      <c r="AW111" s="2843"/>
      <c r="AX111" s="2843"/>
      <c r="AY111" s="2842"/>
      <c r="AZ111" s="2841" t="s">
        <v>5414</v>
      </c>
    </row>
    <row r="112" spans="2:52" ht="13.5" customHeight="1" thickTop="1" thickBot="1">
      <c r="B112" s="3502"/>
      <c r="C112" s="3517"/>
      <c r="D112" s="3502"/>
      <c r="E112" s="2845"/>
      <c r="F112" s="2844"/>
      <c r="G112" s="2843"/>
      <c r="H112" s="2843"/>
      <c r="I112" s="2843"/>
      <c r="J112" s="2843"/>
      <c r="K112" s="2843"/>
      <c r="L112" s="2843"/>
      <c r="M112" s="2843"/>
      <c r="N112" s="2843"/>
      <c r="O112" s="2843"/>
      <c r="P112" s="2843"/>
      <c r="Q112" s="2843"/>
      <c r="R112" s="2843"/>
      <c r="S112" s="2843"/>
      <c r="T112" s="2843"/>
      <c r="U112" s="2843"/>
      <c r="V112" s="2843"/>
      <c r="W112" s="2843"/>
      <c r="X112" s="2843"/>
      <c r="Y112" s="2843"/>
      <c r="Z112" s="2843"/>
      <c r="AA112" s="2843"/>
      <c r="AB112" s="2843"/>
      <c r="AC112" s="2843"/>
      <c r="AD112" s="2843"/>
      <c r="AE112" s="2843"/>
      <c r="AF112" s="2843"/>
      <c r="AG112" s="2843"/>
      <c r="AH112" s="2843"/>
      <c r="AI112" s="2843"/>
      <c r="AJ112" s="2843"/>
      <c r="AK112" s="2843"/>
      <c r="AL112" s="2843"/>
      <c r="AM112" s="2843"/>
      <c r="AN112" s="2843"/>
      <c r="AO112" s="2843"/>
      <c r="AP112" s="2843"/>
      <c r="AQ112" s="2843"/>
      <c r="AR112" s="2843"/>
      <c r="AS112" s="2843"/>
      <c r="AT112" s="2843"/>
      <c r="AU112" s="2843"/>
      <c r="AV112" s="2843"/>
      <c r="AW112" s="2843"/>
      <c r="AX112" s="2843"/>
      <c r="AY112" s="2842"/>
      <c r="AZ112" s="2841"/>
    </row>
    <row r="113" spans="2:52" ht="13.5" customHeight="1" thickTop="1" thickBot="1">
      <c r="B113" s="3502"/>
      <c r="C113" s="3517"/>
      <c r="D113" s="3502"/>
      <c r="E113" s="2845"/>
      <c r="F113" s="3510" t="s">
        <v>5413</v>
      </c>
      <c r="G113" s="3510"/>
      <c r="H113" s="3510"/>
      <c r="I113" s="3510"/>
      <c r="J113" s="3510"/>
      <c r="K113" s="3510"/>
      <c r="L113" s="3510"/>
      <c r="M113" s="3510"/>
      <c r="N113" s="3510"/>
      <c r="O113" s="3510"/>
      <c r="P113" s="3510"/>
      <c r="Q113" s="3510"/>
      <c r="R113" s="3510"/>
      <c r="S113" s="3510"/>
      <c r="T113" s="2843"/>
      <c r="U113" s="2843"/>
      <c r="V113" s="2843"/>
      <c r="W113" s="2843"/>
      <c r="X113" s="2843"/>
      <c r="Y113" s="2843"/>
      <c r="Z113" s="2843"/>
      <c r="AA113" s="3507">
        <f>'(申)計'!AA113</f>
        <v>0</v>
      </c>
      <c r="AB113" s="3508"/>
      <c r="AC113" s="3508"/>
      <c r="AD113" s="3508"/>
      <c r="AE113" s="3508"/>
      <c r="AF113" s="3509"/>
      <c r="AG113" s="2843"/>
      <c r="AH113" s="3510" t="s">
        <v>5412</v>
      </c>
      <c r="AI113" s="3511" t="s">
        <v>5411</v>
      </c>
      <c r="AJ113" s="3511"/>
      <c r="AK113" s="3511"/>
      <c r="AL113" s="3511"/>
      <c r="AM113" s="3511"/>
      <c r="AN113" s="3511"/>
      <c r="AO113" s="3511"/>
      <c r="AP113" s="3511"/>
      <c r="AQ113" s="3511"/>
      <c r="AR113" s="2843"/>
      <c r="AS113" s="2843"/>
      <c r="AT113" s="2843"/>
      <c r="AU113" s="2843"/>
      <c r="AV113" s="2843"/>
      <c r="AW113" s="2843"/>
      <c r="AX113" s="2843"/>
      <c r="AY113" s="2842"/>
      <c r="AZ113" s="3498" t="s">
        <v>5410</v>
      </c>
    </row>
    <row r="114" spans="2:52" ht="3" customHeight="1" thickTop="1">
      <c r="B114" s="3502"/>
      <c r="C114" s="3517"/>
      <c r="D114" s="3502"/>
      <c r="E114" s="2845"/>
      <c r="F114" s="3510"/>
      <c r="G114" s="3510"/>
      <c r="H114" s="3510"/>
      <c r="I114" s="3510"/>
      <c r="J114" s="3510"/>
      <c r="K114" s="3510"/>
      <c r="L114" s="3510"/>
      <c r="M114" s="3510"/>
      <c r="N114" s="3510"/>
      <c r="O114" s="3510"/>
      <c r="P114" s="3510"/>
      <c r="Q114" s="3510"/>
      <c r="R114" s="3510"/>
      <c r="S114" s="3510"/>
      <c r="T114" s="2843"/>
      <c r="U114" s="2843"/>
      <c r="V114" s="2843"/>
      <c r="W114" s="2843"/>
      <c r="X114" s="2843"/>
      <c r="Y114" s="2843"/>
      <c r="Z114" s="2838"/>
      <c r="AA114" s="2838"/>
      <c r="AB114" s="2838"/>
      <c r="AC114" s="2838"/>
      <c r="AD114" s="2838"/>
      <c r="AE114" s="2838"/>
      <c r="AF114" s="2838"/>
      <c r="AG114" s="2838"/>
      <c r="AH114" s="3510"/>
      <c r="AI114" s="3511"/>
      <c r="AJ114" s="3511"/>
      <c r="AK114" s="3511"/>
      <c r="AL114" s="3511"/>
      <c r="AM114" s="3511"/>
      <c r="AN114" s="3511"/>
      <c r="AO114" s="3511"/>
      <c r="AP114" s="3511"/>
      <c r="AQ114" s="3511"/>
      <c r="AR114" s="2843"/>
      <c r="AS114" s="2843"/>
      <c r="AT114" s="2843"/>
      <c r="AU114" s="2843"/>
      <c r="AV114" s="2843"/>
      <c r="AW114" s="2843"/>
      <c r="AX114" s="2843"/>
      <c r="AY114" s="2842"/>
      <c r="AZ114" s="3498"/>
    </row>
    <row r="115" spans="2:52" ht="3" customHeight="1" thickBot="1">
      <c r="B115" s="3502"/>
      <c r="C115" s="3517"/>
      <c r="D115" s="3502"/>
      <c r="E115" s="2845"/>
      <c r="F115" s="3510"/>
      <c r="G115" s="3510"/>
      <c r="H115" s="3510"/>
      <c r="I115" s="3510"/>
      <c r="J115" s="3510"/>
      <c r="K115" s="3510"/>
      <c r="L115" s="3510"/>
      <c r="M115" s="3510"/>
      <c r="N115" s="3510"/>
      <c r="O115" s="3510"/>
      <c r="P115" s="3510"/>
      <c r="Q115" s="3510"/>
      <c r="R115" s="3510"/>
      <c r="S115" s="3510"/>
      <c r="T115" s="2843"/>
      <c r="U115" s="2843"/>
      <c r="V115" s="2843"/>
      <c r="W115" s="2843"/>
      <c r="X115" s="2843"/>
      <c r="Y115" s="2843"/>
      <c r="Z115" s="2843"/>
      <c r="AA115" s="2843"/>
      <c r="AB115" s="2843"/>
      <c r="AC115" s="2843"/>
      <c r="AD115" s="2843"/>
      <c r="AE115" s="2843"/>
      <c r="AF115" s="2843"/>
      <c r="AG115" s="2843"/>
      <c r="AH115" s="3510"/>
      <c r="AI115" s="3511"/>
      <c r="AJ115" s="3511"/>
      <c r="AK115" s="3511"/>
      <c r="AL115" s="3511"/>
      <c r="AM115" s="3511"/>
      <c r="AN115" s="3511"/>
      <c r="AO115" s="3511"/>
      <c r="AP115" s="3511"/>
      <c r="AQ115" s="3511"/>
      <c r="AR115" s="2843"/>
      <c r="AS115" s="2843"/>
      <c r="AT115" s="2843"/>
      <c r="AU115" s="2843"/>
      <c r="AV115" s="2843"/>
      <c r="AW115" s="2843"/>
      <c r="AX115" s="2843"/>
      <c r="AY115" s="2842"/>
      <c r="AZ115" s="3498"/>
    </row>
    <row r="116" spans="2:52" ht="13.5" customHeight="1" thickTop="1" thickBot="1">
      <c r="B116" s="3502"/>
      <c r="C116" s="3517"/>
      <c r="D116" s="3502"/>
      <c r="E116" s="2845"/>
      <c r="F116" s="3510"/>
      <c r="G116" s="3510"/>
      <c r="H116" s="3510"/>
      <c r="I116" s="3510"/>
      <c r="J116" s="3510"/>
      <c r="K116" s="3510"/>
      <c r="L116" s="3510"/>
      <c r="M116" s="3510"/>
      <c r="N116" s="3510"/>
      <c r="O116" s="3510"/>
      <c r="P116" s="3510"/>
      <c r="Q116" s="3510"/>
      <c r="R116" s="3510"/>
      <c r="S116" s="3510"/>
      <c r="T116" s="2843"/>
      <c r="U116" s="2843"/>
      <c r="V116" s="2843"/>
      <c r="W116" s="2843"/>
      <c r="X116" s="2843"/>
      <c r="Y116" s="2843"/>
      <c r="Z116" s="2843"/>
      <c r="AA116" s="3499">
        <f>'(申)計'!AA116</f>
        <v>18950268779</v>
      </c>
      <c r="AB116" s="3500"/>
      <c r="AC116" s="3500"/>
      <c r="AD116" s="3500"/>
      <c r="AE116" s="3500"/>
      <c r="AF116" s="3501"/>
      <c r="AG116" s="2843"/>
      <c r="AH116" s="3510"/>
      <c r="AI116" s="3511"/>
      <c r="AJ116" s="3511"/>
      <c r="AK116" s="3511"/>
      <c r="AL116" s="3511"/>
      <c r="AM116" s="3511"/>
      <c r="AN116" s="3511"/>
      <c r="AO116" s="3511"/>
      <c r="AP116" s="3511"/>
      <c r="AQ116" s="3511"/>
      <c r="AR116" s="2843"/>
      <c r="AS116" s="2843"/>
      <c r="AT116" s="2843"/>
      <c r="AU116" s="2843"/>
      <c r="AV116" s="2843"/>
      <c r="AW116" s="2843"/>
      <c r="AX116" s="2843"/>
      <c r="AY116" s="2842"/>
      <c r="AZ116" s="3498"/>
    </row>
    <row r="117" spans="2:52" ht="13.5" customHeight="1" thickTop="1" thickBot="1">
      <c r="B117" s="3502"/>
      <c r="C117" s="3517"/>
      <c r="D117" s="3502"/>
      <c r="E117" s="2845"/>
      <c r="F117" s="2844"/>
      <c r="G117" s="2843"/>
      <c r="H117" s="2843"/>
      <c r="I117" s="2843"/>
      <c r="J117" s="2843"/>
      <c r="K117" s="2843"/>
      <c r="L117" s="2843"/>
      <c r="M117" s="2843"/>
      <c r="N117" s="2843"/>
      <c r="O117" s="2843"/>
      <c r="P117" s="2843"/>
      <c r="Q117" s="2843"/>
      <c r="R117" s="2843"/>
      <c r="S117" s="2843"/>
      <c r="T117" s="2843"/>
      <c r="U117" s="2843"/>
      <c r="V117" s="2843"/>
      <c r="W117" s="2843"/>
      <c r="X117" s="2843"/>
      <c r="Y117" s="2843"/>
      <c r="Z117" s="2843"/>
      <c r="AA117" s="2843"/>
      <c r="AB117" s="2843"/>
      <c r="AC117" s="2843"/>
      <c r="AD117" s="2843"/>
      <c r="AE117" s="2843"/>
      <c r="AF117" s="2843"/>
      <c r="AG117" s="2843"/>
      <c r="AH117" s="2843"/>
      <c r="AI117" s="2843"/>
      <c r="AJ117" s="2843"/>
      <c r="AK117" s="2843"/>
      <c r="AL117" s="2843"/>
      <c r="AM117" s="2843"/>
      <c r="AN117" s="2843"/>
      <c r="AO117" s="2843"/>
      <c r="AP117" s="2843"/>
      <c r="AQ117" s="2843"/>
      <c r="AR117" s="2843"/>
      <c r="AS117" s="2843"/>
      <c r="AT117" s="2843"/>
      <c r="AU117" s="2843"/>
      <c r="AV117" s="2843"/>
      <c r="AW117" s="2843"/>
      <c r="AX117" s="2843"/>
      <c r="AY117" s="2842"/>
      <c r="AZ117" s="2841"/>
    </row>
    <row r="118" spans="2:52" ht="13.5" customHeight="1" thickTop="1" thickBot="1">
      <c r="B118" s="3502"/>
      <c r="C118" s="3517"/>
      <c r="D118" s="3502"/>
      <c r="E118" s="2845"/>
      <c r="F118" s="2843" t="s">
        <v>5409</v>
      </c>
      <c r="G118" s="2843"/>
      <c r="H118" s="2843"/>
      <c r="I118" s="2843"/>
      <c r="J118" s="2843"/>
      <c r="K118" s="2843"/>
      <c r="L118" s="2843"/>
      <c r="M118" s="2843"/>
      <c r="N118" s="2843"/>
      <c r="O118" s="2843"/>
      <c r="P118" s="2843"/>
      <c r="Q118" s="2843"/>
      <c r="R118" s="2843"/>
      <c r="S118" s="2843"/>
      <c r="T118" s="2843"/>
      <c r="U118" s="2843"/>
      <c r="V118" s="2843"/>
      <c r="W118" s="2843"/>
      <c r="X118" s="2843"/>
      <c r="Y118" s="2843"/>
      <c r="Z118" s="2843"/>
      <c r="AA118" s="3499">
        <f>ROUNDDOWN(AC111*AA113/AA116,0)</f>
        <v>0</v>
      </c>
      <c r="AB118" s="3500"/>
      <c r="AC118" s="3500"/>
      <c r="AD118" s="3500"/>
      <c r="AE118" s="3500"/>
      <c r="AF118" s="3501"/>
      <c r="AG118" s="2843" t="s">
        <v>5408</v>
      </c>
      <c r="AH118" s="2851" t="s">
        <v>5407</v>
      </c>
      <c r="AI118" s="2843"/>
      <c r="AJ118" s="2843"/>
      <c r="AK118" s="2843"/>
      <c r="AL118" s="2843"/>
      <c r="AM118" s="2843"/>
      <c r="AN118" s="2843"/>
      <c r="AO118" s="2843"/>
      <c r="AP118" s="2843"/>
      <c r="AQ118" s="2843"/>
      <c r="AR118" s="2843"/>
      <c r="AS118" s="2843"/>
      <c r="AT118" s="2843"/>
      <c r="AU118" s="2843"/>
      <c r="AV118" s="2843"/>
      <c r="AW118" s="2843"/>
      <c r="AX118" s="2843"/>
      <c r="AY118" s="2842"/>
      <c r="AZ118" s="2841" t="s">
        <v>5406</v>
      </c>
    </row>
    <row r="119" spans="2:52" ht="13.5" customHeight="1" thickTop="1" thickBot="1">
      <c r="B119" s="3502"/>
      <c r="C119" s="3517"/>
      <c r="D119" s="3502"/>
      <c r="E119" s="2845"/>
      <c r="F119" s="2844"/>
      <c r="G119" s="2843"/>
      <c r="H119" s="2843"/>
      <c r="I119" s="2843"/>
      <c r="J119" s="2843"/>
      <c r="K119" s="2843"/>
      <c r="L119" s="2843"/>
      <c r="M119" s="2843"/>
      <c r="N119" s="2843"/>
      <c r="O119" s="2843"/>
      <c r="P119" s="2843"/>
      <c r="Q119" s="2843"/>
      <c r="R119" s="2843"/>
      <c r="S119" s="2843"/>
      <c r="T119" s="2843"/>
      <c r="U119" s="2843"/>
      <c r="V119" s="2843"/>
      <c r="W119" s="2843"/>
      <c r="X119" s="2843"/>
      <c r="Y119" s="2843"/>
      <c r="Z119" s="2843"/>
      <c r="AA119" s="2843"/>
      <c r="AB119" s="2843"/>
      <c r="AC119" s="2843"/>
      <c r="AD119" s="2843"/>
      <c r="AE119" s="2843"/>
      <c r="AF119" s="2843"/>
      <c r="AG119" s="2843"/>
      <c r="AH119" s="2843"/>
      <c r="AI119" s="2843"/>
      <c r="AJ119" s="2843"/>
      <c r="AK119" s="2843"/>
      <c r="AL119" s="2843"/>
      <c r="AM119" s="2843"/>
      <c r="AN119" s="2843"/>
      <c r="AO119" s="2843"/>
      <c r="AP119" s="2843"/>
      <c r="AQ119" s="2843"/>
      <c r="AR119" s="2843"/>
      <c r="AS119" s="2843"/>
      <c r="AT119" s="2843"/>
      <c r="AU119" s="2843"/>
      <c r="AV119" s="2843"/>
      <c r="AW119" s="2843"/>
      <c r="AX119" s="2843"/>
      <c r="AY119" s="2842"/>
      <c r="AZ119" s="2841"/>
    </row>
    <row r="120" spans="2:52" ht="13.5" customHeight="1" thickTop="1" thickBot="1">
      <c r="B120" s="3502"/>
      <c r="C120" s="3517"/>
      <c r="D120" s="3502"/>
      <c r="E120" s="2845" t="s">
        <v>5405</v>
      </c>
      <c r="F120" s="2844"/>
      <c r="G120" s="2843"/>
      <c r="H120" s="2843"/>
      <c r="I120" s="2843"/>
      <c r="J120" s="2843"/>
      <c r="K120" s="2843"/>
      <c r="L120" s="2843"/>
      <c r="M120" s="2843"/>
      <c r="N120" s="2843"/>
      <c r="O120" s="2843"/>
      <c r="P120" s="2843"/>
      <c r="Q120" s="2843"/>
      <c r="R120" s="2843"/>
      <c r="S120" s="2843"/>
      <c r="T120" s="2843"/>
      <c r="U120" s="2843"/>
      <c r="V120" s="2843"/>
      <c r="W120" s="2843"/>
      <c r="X120" s="2843"/>
      <c r="Y120" s="2843"/>
      <c r="Z120" s="3499">
        <f>Z108+AA118</f>
        <v>0</v>
      </c>
      <c r="AA120" s="3500"/>
      <c r="AB120" s="3500"/>
      <c r="AC120" s="3500"/>
      <c r="AD120" s="3500"/>
      <c r="AE120" s="3501"/>
      <c r="AF120" s="2843" t="s">
        <v>5404</v>
      </c>
      <c r="AG120" s="2851" t="s">
        <v>5403</v>
      </c>
      <c r="AH120" s="2843"/>
      <c r="AI120" s="2843"/>
      <c r="AJ120" s="2843"/>
      <c r="AK120" s="2843"/>
      <c r="AL120" s="2843"/>
      <c r="AM120" s="2843"/>
      <c r="AN120" s="2843"/>
      <c r="AO120" s="2843"/>
      <c r="AP120" s="2843"/>
      <c r="AQ120" s="2843"/>
      <c r="AR120" s="2843"/>
      <c r="AS120" s="2843"/>
      <c r="AT120" s="2843"/>
      <c r="AU120" s="2843"/>
      <c r="AV120" s="2843"/>
      <c r="AW120" s="2843"/>
      <c r="AX120" s="2843"/>
      <c r="AY120" s="2842"/>
      <c r="AZ120" s="2841" t="s">
        <v>5402</v>
      </c>
    </row>
    <row r="121" spans="2:52" ht="13.5" customHeight="1" thickTop="1" thickBot="1">
      <c r="B121" s="3502"/>
      <c r="C121" s="3517"/>
      <c r="D121" s="3502"/>
      <c r="E121" s="2845"/>
      <c r="F121" s="2844"/>
      <c r="G121" s="2843"/>
      <c r="H121" s="2843"/>
      <c r="I121" s="2843"/>
      <c r="J121" s="2843"/>
      <c r="K121" s="2843"/>
      <c r="L121" s="2843"/>
      <c r="M121" s="2843"/>
      <c r="N121" s="2843"/>
      <c r="O121" s="2843"/>
      <c r="P121" s="2843"/>
      <c r="Q121" s="2843"/>
      <c r="R121" s="2843"/>
      <c r="S121" s="2843"/>
      <c r="T121" s="2843"/>
      <c r="U121" s="2843"/>
      <c r="V121" s="2843"/>
      <c r="W121" s="2843"/>
      <c r="X121" s="2843"/>
      <c r="Y121" s="2843"/>
      <c r="Z121" s="2843"/>
      <c r="AA121" s="2843"/>
      <c r="AB121" s="2843"/>
      <c r="AC121" s="2843"/>
      <c r="AD121" s="2843"/>
      <c r="AE121" s="2843"/>
      <c r="AF121" s="2843"/>
      <c r="AG121" s="2843"/>
      <c r="AH121" s="2843"/>
      <c r="AI121" s="2843"/>
      <c r="AJ121" s="2843"/>
      <c r="AK121" s="2843"/>
      <c r="AL121" s="2843"/>
      <c r="AM121" s="2843"/>
      <c r="AN121" s="2843"/>
      <c r="AO121" s="2843"/>
      <c r="AP121" s="2843"/>
      <c r="AQ121" s="2843"/>
      <c r="AR121" s="2843"/>
      <c r="AS121" s="2843"/>
      <c r="AT121" s="2843"/>
      <c r="AU121" s="2843"/>
      <c r="AV121" s="2843"/>
      <c r="AW121" s="2843"/>
      <c r="AX121" s="2843"/>
      <c r="AY121" s="2842"/>
      <c r="AZ121" s="3502" t="s">
        <v>5401</v>
      </c>
    </row>
    <row r="122" spans="2:52" ht="13.5" customHeight="1" thickTop="1" thickBot="1">
      <c r="B122" s="3502"/>
      <c r="C122" s="3517"/>
      <c r="D122" s="3502"/>
      <c r="E122" s="2845" t="s">
        <v>5400</v>
      </c>
      <c r="F122" s="2844"/>
      <c r="G122" s="2843"/>
      <c r="H122" s="2843"/>
      <c r="I122" s="2843"/>
      <c r="J122" s="2843"/>
      <c r="K122" s="2843"/>
      <c r="L122" s="2843"/>
      <c r="M122" s="2843"/>
      <c r="N122" s="2843"/>
      <c r="O122" s="2843"/>
      <c r="P122" s="2843"/>
      <c r="Q122" s="2843"/>
      <c r="R122" s="2843"/>
      <c r="S122" s="2843"/>
      <c r="T122" s="2843"/>
      <c r="U122" s="2843"/>
      <c r="V122" s="2843"/>
      <c r="W122" s="2843"/>
      <c r="X122" s="2843"/>
      <c r="Y122" s="2843"/>
      <c r="Z122" s="3499">
        <f>Z98-Z120</f>
        <v>0</v>
      </c>
      <c r="AA122" s="3500"/>
      <c r="AB122" s="3500"/>
      <c r="AC122" s="3500"/>
      <c r="AD122" s="3500"/>
      <c r="AE122" s="3501"/>
      <c r="AF122" s="2843" t="s">
        <v>5399</v>
      </c>
      <c r="AG122" s="2851" t="s">
        <v>5398</v>
      </c>
      <c r="AH122" s="2843"/>
      <c r="AI122" s="2843"/>
      <c r="AJ122" s="2843"/>
      <c r="AK122" s="2843"/>
      <c r="AL122" s="2843"/>
      <c r="AM122" s="2843"/>
      <c r="AN122" s="2843"/>
      <c r="AO122" s="2843"/>
      <c r="AP122" s="2843"/>
      <c r="AQ122" s="2843"/>
      <c r="AR122" s="2843"/>
      <c r="AS122" s="2843"/>
      <c r="AT122" s="2843"/>
      <c r="AU122" s="2843"/>
      <c r="AV122" s="2843"/>
      <c r="AW122" s="2843"/>
      <c r="AX122" s="2843"/>
      <c r="AY122" s="2842"/>
      <c r="AZ122" s="3498"/>
    </row>
    <row r="123" spans="2:52" ht="13.5" customHeight="1" thickTop="1">
      <c r="B123" s="3502"/>
      <c r="C123" s="3518"/>
      <c r="D123" s="3513"/>
      <c r="E123" s="2840"/>
      <c r="F123" s="2839"/>
      <c r="G123" s="2838"/>
      <c r="H123" s="2838"/>
      <c r="I123" s="2838"/>
      <c r="J123" s="2838"/>
      <c r="K123" s="2838"/>
      <c r="L123" s="2838"/>
      <c r="M123" s="2838"/>
      <c r="N123" s="2838"/>
      <c r="O123" s="2838"/>
      <c r="P123" s="2838"/>
      <c r="Q123" s="2838"/>
      <c r="R123" s="2838"/>
      <c r="S123" s="2838"/>
      <c r="T123" s="2838"/>
      <c r="U123" s="2838"/>
      <c r="V123" s="2838"/>
      <c r="W123" s="2838"/>
      <c r="X123" s="2838"/>
      <c r="Y123" s="2838"/>
      <c r="Z123" s="2838"/>
      <c r="AA123" s="2838"/>
      <c r="AB123" s="2838"/>
      <c r="AC123" s="2838"/>
      <c r="AD123" s="2838"/>
      <c r="AE123" s="2838"/>
      <c r="AF123" s="2838"/>
      <c r="AG123" s="2838"/>
      <c r="AH123" s="2838"/>
      <c r="AI123" s="2838"/>
      <c r="AJ123" s="2838"/>
      <c r="AK123" s="2838"/>
      <c r="AL123" s="2838"/>
      <c r="AM123" s="2838"/>
      <c r="AN123" s="2838"/>
      <c r="AO123" s="2838"/>
      <c r="AP123" s="2838"/>
      <c r="AQ123" s="2838"/>
      <c r="AR123" s="2838"/>
      <c r="AS123" s="2838"/>
      <c r="AT123" s="2838"/>
      <c r="AU123" s="2838"/>
      <c r="AV123" s="2838"/>
      <c r="AW123" s="2838"/>
      <c r="AX123" s="2838"/>
      <c r="AY123" s="2837"/>
      <c r="AZ123" s="3503"/>
    </row>
    <row r="124" spans="2:52" ht="13.5" customHeight="1">
      <c r="B124" s="3502"/>
      <c r="C124" s="2846"/>
      <c r="D124" s="2855"/>
      <c r="E124" s="2850"/>
      <c r="F124" s="2849"/>
      <c r="G124" s="2848"/>
      <c r="H124" s="2848"/>
      <c r="I124" s="2848"/>
      <c r="J124" s="2848"/>
      <c r="K124" s="2848"/>
      <c r="L124" s="2848"/>
      <c r="M124" s="2848"/>
      <c r="N124" s="2848"/>
      <c r="O124" s="2848"/>
      <c r="P124" s="2848"/>
      <c r="Q124" s="2848"/>
      <c r="R124" s="2848"/>
      <c r="S124" s="2848"/>
      <c r="T124" s="2848"/>
      <c r="U124" s="2848"/>
      <c r="V124" s="2848"/>
      <c r="W124" s="2848"/>
      <c r="X124" s="2848"/>
      <c r="Y124" s="2848"/>
      <c r="Z124" s="2848"/>
      <c r="AA124" s="2848"/>
      <c r="AB124" s="2848"/>
      <c r="AC124" s="2848"/>
      <c r="AD124" s="2848"/>
      <c r="AE124" s="2848"/>
      <c r="AF124" s="2848"/>
      <c r="AG124" s="2848"/>
      <c r="AH124" s="2848"/>
      <c r="AI124" s="2848"/>
      <c r="AJ124" s="2848"/>
      <c r="AK124" s="2848"/>
      <c r="AL124" s="2848"/>
      <c r="AM124" s="2848"/>
      <c r="AN124" s="2848"/>
      <c r="AO124" s="2848"/>
      <c r="AP124" s="2848"/>
      <c r="AQ124" s="2848"/>
      <c r="AR124" s="2848"/>
      <c r="AS124" s="2848"/>
      <c r="AT124" s="2848"/>
      <c r="AU124" s="2848"/>
      <c r="AV124" s="2848"/>
      <c r="AW124" s="2848"/>
      <c r="AX124" s="2848"/>
      <c r="AY124" s="2847"/>
      <c r="AZ124" s="2846"/>
    </row>
    <row r="125" spans="2:52" ht="13.5" customHeight="1">
      <c r="B125" s="3502"/>
      <c r="C125" s="2841"/>
      <c r="D125" s="2854"/>
      <c r="E125" s="2845"/>
      <c r="F125" s="2844"/>
      <c r="G125" s="2843"/>
      <c r="H125" s="2843"/>
      <c r="I125" s="2843"/>
      <c r="J125" s="2843"/>
      <c r="K125" s="2843"/>
      <c r="L125" s="2843"/>
      <c r="M125" s="2843"/>
      <c r="N125" s="2843"/>
      <c r="O125" s="2843"/>
      <c r="P125" s="2843"/>
      <c r="Q125" s="2843"/>
      <c r="R125" s="2843"/>
      <c r="S125" s="2843"/>
      <c r="T125" s="2843"/>
      <c r="U125" s="2843"/>
      <c r="V125" s="2843"/>
      <c r="W125" s="2843"/>
      <c r="X125" s="2843"/>
      <c r="Y125" s="2843"/>
      <c r="Z125" s="2843"/>
      <c r="AA125" s="2843"/>
      <c r="AB125" s="2843"/>
      <c r="AC125" s="2843"/>
      <c r="AD125" s="2843"/>
      <c r="AE125" s="2843"/>
      <c r="AF125" s="2843"/>
      <c r="AG125" s="2843"/>
      <c r="AH125" s="2843"/>
      <c r="AI125" s="2843"/>
      <c r="AJ125" s="2843"/>
      <c r="AK125" s="2843"/>
      <c r="AL125" s="2843"/>
      <c r="AM125" s="2843"/>
      <c r="AN125" s="2843"/>
      <c r="AO125" s="2843"/>
      <c r="AP125" s="2843"/>
      <c r="AQ125" s="2843"/>
      <c r="AR125" s="2843"/>
      <c r="AS125" s="2843"/>
      <c r="AT125" s="2843"/>
      <c r="AU125" s="2843"/>
      <c r="AV125" s="2843"/>
      <c r="AW125" s="2843"/>
      <c r="AX125" s="2843"/>
      <c r="AY125" s="2842"/>
      <c r="AZ125" s="2841"/>
    </row>
    <row r="126" spans="2:52" ht="13.5" customHeight="1">
      <c r="B126" s="3502"/>
      <c r="C126" s="2841"/>
      <c r="D126" s="2854"/>
      <c r="E126" s="2845"/>
      <c r="F126" s="2844"/>
      <c r="G126" s="2843"/>
      <c r="H126" s="2843"/>
      <c r="I126" s="2843"/>
      <c r="J126" s="2843"/>
      <c r="K126" s="2843"/>
      <c r="L126" s="2843"/>
      <c r="M126" s="2843"/>
      <c r="N126" s="2843"/>
      <c r="O126" s="2843"/>
      <c r="P126" s="2843"/>
      <c r="Q126" s="2843"/>
      <c r="R126" s="2843"/>
      <c r="S126" s="2843"/>
      <c r="T126" s="2843"/>
      <c r="U126" s="2843"/>
      <c r="V126" s="2843"/>
      <c r="W126" s="2843"/>
      <c r="X126" s="2843"/>
      <c r="Y126" s="2843"/>
      <c r="Z126" s="2843"/>
      <c r="AA126" s="2843"/>
      <c r="AB126" s="2843"/>
      <c r="AC126" s="2843"/>
      <c r="AD126" s="2843"/>
      <c r="AE126" s="2843"/>
      <c r="AF126" s="2843"/>
      <c r="AG126" s="2843"/>
      <c r="AH126" s="2843"/>
      <c r="AI126" s="2843"/>
      <c r="AJ126" s="2843"/>
      <c r="AK126" s="2843"/>
      <c r="AL126" s="2843"/>
      <c r="AM126" s="2843"/>
      <c r="AN126" s="2843"/>
      <c r="AO126" s="2843"/>
      <c r="AP126" s="2843"/>
      <c r="AQ126" s="2843"/>
      <c r="AR126" s="2843"/>
      <c r="AS126" s="2843"/>
      <c r="AT126" s="2843"/>
      <c r="AU126" s="2843"/>
      <c r="AV126" s="2843"/>
      <c r="AW126" s="2843"/>
      <c r="AX126" s="2843"/>
      <c r="AY126" s="2842"/>
      <c r="AZ126" s="2841"/>
    </row>
    <row r="127" spans="2:52" ht="13.5" customHeight="1">
      <c r="B127" s="3502"/>
      <c r="C127" s="2841"/>
      <c r="D127" s="2854"/>
      <c r="E127" s="2845"/>
      <c r="F127" s="2844"/>
      <c r="G127" s="2843"/>
      <c r="H127" s="2843"/>
      <c r="I127" s="2843"/>
      <c r="J127" s="2843"/>
      <c r="K127" s="2843"/>
      <c r="L127" s="2843"/>
      <c r="M127" s="2843"/>
      <c r="N127" s="2843"/>
      <c r="O127" s="2843"/>
      <c r="P127" s="2843"/>
      <c r="Q127" s="2843"/>
      <c r="R127" s="2843"/>
      <c r="S127" s="2843"/>
      <c r="T127" s="2843"/>
      <c r="U127" s="2843"/>
      <c r="V127" s="2843"/>
      <c r="W127" s="2843"/>
      <c r="X127" s="2843"/>
      <c r="Y127" s="2843"/>
      <c r="Z127" s="2843"/>
      <c r="AA127" s="2843"/>
      <c r="AB127" s="2843"/>
      <c r="AC127" s="2843"/>
      <c r="AD127" s="2843"/>
      <c r="AE127" s="2843"/>
      <c r="AF127" s="2843"/>
      <c r="AG127" s="2843"/>
      <c r="AH127" s="2843"/>
      <c r="AI127" s="2843"/>
      <c r="AJ127" s="2843"/>
      <c r="AK127" s="2843"/>
      <c r="AL127" s="2843"/>
      <c r="AM127" s="2843"/>
      <c r="AN127" s="2843"/>
      <c r="AO127" s="2843"/>
      <c r="AP127" s="2843"/>
      <c r="AQ127" s="2843"/>
      <c r="AR127" s="2843"/>
      <c r="AS127" s="2843"/>
      <c r="AT127" s="2843"/>
      <c r="AU127" s="2843"/>
      <c r="AV127" s="2843"/>
      <c r="AW127" s="2843"/>
      <c r="AX127" s="2843"/>
      <c r="AY127" s="2842"/>
      <c r="AZ127" s="2841"/>
    </row>
    <row r="128" spans="2:52" ht="13.5" customHeight="1">
      <c r="B128" s="3502"/>
      <c r="C128" s="2841"/>
      <c r="D128" s="2854"/>
      <c r="E128" s="2845"/>
      <c r="F128" s="2844"/>
      <c r="G128" s="2843"/>
      <c r="H128" s="2843"/>
      <c r="I128" s="2843"/>
      <c r="J128" s="2843"/>
      <c r="K128" s="2843"/>
      <c r="L128" s="2843"/>
      <c r="M128" s="2843"/>
      <c r="N128" s="2843"/>
      <c r="O128" s="2843"/>
      <c r="P128" s="2843"/>
      <c r="Q128" s="2843"/>
      <c r="R128" s="2843"/>
      <c r="S128" s="2843"/>
      <c r="T128" s="2843"/>
      <c r="U128" s="2843"/>
      <c r="V128" s="2843"/>
      <c r="W128" s="2843"/>
      <c r="X128" s="2843"/>
      <c r="Y128" s="2843"/>
      <c r="Z128" s="2843"/>
      <c r="AA128" s="2843"/>
      <c r="AB128" s="2843"/>
      <c r="AC128" s="2843"/>
      <c r="AD128" s="2843"/>
      <c r="AE128" s="2843"/>
      <c r="AF128" s="2843"/>
      <c r="AG128" s="2843"/>
      <c r="AH128" s="2843"/>
      <c r="AI128" s="2843"/>
      <c r="AJ128" s="2843"/>
      <c r="AK128" s="2843"/>
      <c r="AL128" s="2843"/>
      <c r="AM128" s="2843"/>
      <c r="AN128" s="2843"/>
      <c r="AO128" s="2843"/>
      <c r="AP128" s="2843"/>
      <c r="AQ128" s="2843"/>
      <c r="AR128" s="2843"/>
      <c r="AS128" s="2843"/>
      <c r="AT128" s="2843"/>
      <c r="AU128" s="2843"/>
      <c r="AV128" s="2843"/>
      <c r="AW128" s="2843"/>
      <c r="AX128" s="2843"/>
      <c r="AY128" s="2842"/>
      <c r="AZ128" s="2841"/>
    </row>
    <row r="129" spans="2:52" ht="13.5" customHeight="1">
      <c r="B129" s="3502"/>
      <c r="C129" s="2841"/>
      <c r="D129" s="2854"/>
      <c r="E129" s="2845"/>
      <c r="F129" s="2844"/>
      <c r="G129" s="2843"/>
      <c r="H129" s="2843"/>
      <c r="I129" s="2843"/>
      <c r="J129" s="2843"/>
      <c r="K129" s="2843"/>
      <c r="L129" s="2843"/>
      <c r="M129" s="2843"/>
      <c r="N129" s="2843"/>
      <c r="O129" s="2843"/>
      <c r="P129" s="2843"/>
      <c r="Q129" s="2843"/>
      <c r="R129" s="2843"/>
      <c r="S129" s="2843"/>
      <c r="T129" s="2843"/>
      <c r="U129" s="2843"/>
      <c r="V129" s="2843"/>
      <c r="W129" s="2843"/>
      <c r="X129" s="2843"/>
      <c r="Y129" s="2843"/>
      <c r="Z129" s="2843"/>
      <c r="AA129" s="2843"/>
      <c r="AB129" s="2843"/>
      <c r="AC129" s="2843"/>
      <c r="AD129" s="2843"/>
      <c r="AE129" s="2843"/>
      <c r="AF129" s="2843"/>
      <c r="AG129" s="2843"/>
      <c r="AH129" s="2843"/>
      <c r="AI129" s="2843"/>
      <c r="AJ129" s="2843"/>
      <c r="AK129" s="2843"/>
      <c r="AL129" s="2843"/>
      <c r="AM129" s="2843"/>
      <c r="AN129" s="2843"/>
      <c r="AO129" s="2843"/>
      <c r="AP129" s="2843"/>
      <c r="AQ129" s="2843"/>
      <c r="AR129" s="2843"/>
      <c r="AS129" s="2843"/>
      <c r="AT129" s="2843"/>
      <c r="AU129" s="2843"/>
      <c r="AV129" s="2843"/>
      <c r="AW129" s="2843"/>
      <c r="AX129" s="2843"/>
      <c r="AY129" s="2842"/>
      <c r="AZ129" s="2841"/>
    </row>
    <row r="130" spans="2:52" ht="13.5" customHeight="1">
      <c r="B130" s="3513"/>
      <c r="C130" s="2836"/>
      <c r="D130" s="2853"/>
      <c r="E130" s="2840"/>
      <c r="F130" s="2839"/>
      <c r="G130" s="2838"/>
      <c r="H130" s="2838"/>
      <c r="I130" s="2838"/>
      <c r="J130" s="2838"/>
      <c r="K130" s="2838"/>
      <c r="L130" s="2838"/>
      <c r="M130" s="2838"/>
      <c r="N130" s="2838"/>
      <c r="O130" s="2838"/>
      <c r="P130" s="2838"/>
      <c r="Q130" s="2838"/>
      <c r="R130" s="2838"/>
      <c r="S130" s="2838"/>
      <c r="T130" s="2838"/>
      <c r="U130" s="2838"/>
      <c r="V130" s="2838"/>
      <c r="W130" s="2838"/>
      <c r="X130" s="2838"/>
      <c r="Y130" s="2838"/>
      <c r="Z130" s="2838"/>
      <c r="AA130" s="2838"/>
      <c r="AB130" s="2838"/>
      <c r="AC130" s="2838"/>
      <c r="AD130" s="2838"/>
      <c r="AE130" s="2838"/>
      <c r="AF130" s="2838"/>
      <c r="AG130" s="2838"/>
      <c r="AH130" s="2838"/>
      <c r="AI130" s="2838"/>
      <c r="AJ130" s="2838"/>
      <c r="AK130" s="2838"/>
      <c r="AL130" s="2838"/>
      <c r="AM130" s="2838"/>
      <c r="AN130" s="2838"/>
      <c r="AO130" s="2838"/>
      <c r="AP130" s="2838"/>
      <c r="AQ130" s="2838"/>
      <c r="AR130" s="2838"/>
      <c r="AS130" s="2838"/>
      <c r="AT130" s="2838"/>
      <c r="AU130" s="2838"/>
      <c r="AV130" s="2838"/>
      <c r="AW130" s="2838"/>
      <c r="AX130" s="2838"/>
      <c r="AY130" s="2837"/>
      <c r="AZ130" s="2836"/>
    </row>
    <row r="131" spans="2:52" ht="13.5" customHeight="1">
      <c r="B131" s="3512" t="s">
        <v>5397</v>
      </c>
      <c r="C131" s="3514">
        <v>1</v>
      </c>
      <c r="D131" s="3514" t="s">
        <v>5396</v>
      </c>
      <c r="E131" s="2850"/>
      <c r="F131" s="2849"/>
      <c r="G131" s="2848"/>
      <c r="H131" s="2848"/>
      <c r="I131" s="2848"/>
      <c r="J131" s="2848"/>
      <c r="K131" s="2848"/>
      <c r="L131" s="2848"/>
      <c r="M131" s="2848"/>
      <c r="N131" s="2848"/>
      <c r="O131" s="2848"/>
      <c r="P131" s="2848"/>
      <c r="Q131" s="2848"/>
      <c r="R131" s="2848"/>
      <c r="S131" s="2848"/>
      <c r="T131" s="2852"/>
      <c r="U131" s="2852"/>
      <c r="V131" s="2852"/>
      <c r="W131" s="2852"/>
      <c r="X131" s="2852"/>
      <c r="Y131" s="2852"/>
      <c r="Z131" s="2848"/>
      <c r="AA131" s="2848"/>
      <c r="AB131" s="2848"/>
      <c r="AC131" s="2848"/>
      <c r="AD131" s="2848"/>
      <c r="AE131" s="2848"/>
      <c r="AF131" s="2848"/>
      <c r="AG131" s="2848"/>
      <c r="AH131" s="2848"/>
      <c r="AI131" s="2848"/>
      <c r="AJ131" s="2848"/>
      <c r="AK131" s="2848"/>
      <c r="AL131" s="2848"/>
      <c r="AM131" s="2848"/>
      <c r="AN131" s="2848"/>
      <c r="AO131" s="2848"/>
      <c r="AP131" s="2848"/>
      <c r="AQ131" s="2848"/>
      <c r="AR131" s="2848"/>
      <c r="AS131" s="2848"/>
      <c r="AT131" s="2848"/>
      <c r="AU131" s="2848"/>
      <c r="AV131" s="2848"/>
      <c r="AW131" s="2848"/>
      <c r="AX131" s="2848"/>
      <c r="AY131" s="2847"/>
      <c r="AZ131" s="2846"/>
    </row>
    <row r="132" spans="2:52" ht="13.5" customHeight="1">
      <c r="B132" s="3502"/>
      <c r="C132" s="3498"/>
      <c r="D132" s="3498"/>
      <c r="E132" s="2845" t="s">
        <v>5375</v>
      </c>
      <c r="F132" s="2844"/>
      <c r="G132" s="2843"/>
      <c r="H132" s="2843"/>
      <c r="I132" s="2843"/>
      <c r="J132" s="2843" t="s">
        <v>5395</v>
      </c>
      <c r="K132" s="2843"/>
      <c r="L132" s="2843"/>
      <c r="M132" s="2843"/>
      <c r="N132" s="2843"/>
      <c r="O132" s="2843"/>
      <c r="P132" s="2843"/>
      <c r="Q132" s="2843"/>
      <c r="R132" s="2843"/>
      <c r="S132" s="2843"/>
      <c r="T132" s="3497">
        <f>Z122</f>
        <v>0</v>
      </c>
      <c r="U132" s="3497"/>
      <c r="V132" s="3497"/>
      <c r="W132" s="3497"/>
      <c r="X132" s="3497"/>
      <c r="Y132" s="3497"/>
      <c r="Z132" s="2843"/>
      <c r="AA132" s="2851" t="s">
        <v>5394</v>
      </c>
      <c r="AB132" s="2843"/>
      <c r="AC132" s="2843"/>
      <c r="AD132" s="2843"/>
      <c r="AE132" s="2843"/>
      <c r="AF132" s="2843"/>
      <c r="AG132" s="2843"/>
      <c r="AH132" s="2843"/>
      <c r="AI132" s="2843"/>
      <c r="AJ132" s="2843"/>
      <c r="AK132" s="2843"/>
      <c r="AL132" s="2843"/>
      <c r="AM132" s="2843"/>
      <c r="AN132" s="2843"/>
      <c r="AO132" s="2843"/>
      <c r="AP132" s="2843"/>
      <c r="AQ132" s="2843"/>
      <c r="AR132" s="2843"/>
      <c r="AS132" s="2843"/>
      <c r="AT132" s="2843"/>
      <c r="AU132" s="2843"/>
      <c r="AV132" s="2843"/>
      <c r="AW132" s="2843"/>
      <c r="AX132" s="2843"/>
      <c r="AY132" s="2842"/>
      <c r="AZ132" s="2841"/>
    </row>
    <row r="133" spans="2:52" ht="13.5" customHeight="1" thickBot="1">
      <c r="B133" s="3502"/>
      <c r="C133" s="3498"/>
      <c r="D133" s="3498"/>
      <c r="E133" s="2845"/>
      <c r="F133" s="2844"/>
      <c r="G133" s="2843"/>
      <c r="H133" s="2843"/>
      <c r="I133" s="2843"/>
      <c r="J133" s="2843"/>
      <c r="K133" s="2843"/>
      <c r="L133" s="2843"/>
      <c r="M133" s="2843"/>
      <c r="N133" s="2843"/>
      <c r="O133" s="2843"/>
      <c r="P133" s="2843"/>
      <c r="Q133" s="2843"/>
      <c r="R133" s="2843"/>
      <c r="S133" s="2843"/>
      <c r="T133" s="2843"/>
      <c r="U133" s="2843"/>
      <c r="V133" s="2843"/>
      <c r="W133" s="2843"/>
      <c r="X133" s="2843"/>
      <c r="Y133" s="2843"/>
      <c r="Z133" s="2843"/>
      <c r="AA133" s="2843"/>
      <c r="AB133" s="2843"/>
      <c r="AC133" s="2843"/>
      <c r="AD133" s="2843"/>
      <c r="AE133" s="2843"/>
      <c r="AF133" s="2843"/>
      <c r="AG133" s="2843"/>
      <c r="AH133" s="2843"/>
      <c r="AI133" s="2843"/>
      <c r="AJ133" s="2843"/>
      <c r="AK133" s="2843"/>
      <c r="AL133" s="2843"/>
      <c r="AM133" s="2843"/>
      <c r="AN133" s="2843"/>
      <c r="AO133" s="2843"/>
      <c r="AP133" s="2843"/>
      <c r="AQ133" s="2843"/>
      <c r="AR133" s="2843"/>
      <c r="AS133" s="2843"/>
      <c r="AT133" s="2843"/>
      <c r="AU133" s="2843"/>
      <c r="AV133" s="2843"/>
      <c r="AW133" s="2843"/>
      <c r="AX133" s="2843"/>
      <c r="AY133" s="2842"/>
      <c r="AZ133" s="2841"/>
    </row>
    <row r="134" spans="2:52" ht="13.5" customHeight="1" thickTop="1" thickBot="1">
      <c r="B134" s="3502"/>
      <c r="C134" s="3498"/>
      <c r="D134" s="3498"/>
      <c r="E134" s="2845"/>
      <c r="F134" s="2844"/>
      <c r="G134" s="2843"/>
      <c r="H134" s="2843"/>
      <c r="I134" s="2843"/>
      <c r="J134" s="2843" t="s">
        <v>5393</v>
      </c>
      <c r="K134" s="2843"/>
      <c r="L134" s="2843"/>
      <c r="M134" s="2843"/>
      <c r="N134" s="2843"/>
      <c r="O134" s="2843"/>
      <c r="P134" s="2843"/>
      <c r="Q134" s="2843"/>
      <c r="R134" s="2843"/>
      <c r="S134" s="2843"/>
      <c r="T134" s="3499">
        <f>ROUNDDOWN(R25*3/103,0)</f>
        <v>0</v>
      </c>
      <c r="U134" s="3500"/>
      <c r="V134" s="3500"/>
      <c r="W134" s="3500"/>
      <c r="X134" s="3500"/>
      <c r="Y134" s="3501"/>
      <c r="Z134" s="2843" t="s">
        <v>5392</v>
      </c>
      <c r="AA134" s="2851" t="s">
        <v>5391</v>
      </c>
      <c r="AB134" s="2843"/>
      <c r="AC134" s="2843"/>
      <c r="AD134" s="2843"/>
      <c r="AE134" s="2843"/>
      <c r="AF134" s="2843"/>
      <c r="AG134" s="2843"/>
      <c r="AH134" s="2843"/>
      <c r="AI134" s="2843"/>
      <c r="AJ134" s="2843"/>
      <c r="AK134" s="2843"/>
      <c r="AL134" s="2843"/>
      <c r="AM134" s="2843"/>
      <c r="AN134" s="2843"/>
      <c r="AO134" s="2843"/>
      <c r="AP134" s="2843"/>
      <c r="AQ134" s="2843"/>
      <c r="AR134" s="2843"/>
      <c r="AS134" s="2843"/>
      <c r="AT134" s="2843"/>
      <c r="AU134" s="2843"/>
      <c r="AV134" s="2843"/>
      <c r="AW134" s="2843"/>
      <c r="AX134" s="2843"/>
      <c r="AY134" s="2842"/>
      <c r="AZ134" s="2841" t="s">
        <v>5390</v>
      </c>
    </row>
    <row r="135" spans="2:52" ht="13.5" customHeight="1" thickTop="1">
      <c r="B135" s="3502"/>
      <c r="C135" s="3498"/>
      <c r="D135" s="3498"/>
      <c r="E135" s="2845"/>
      <c r="F135" s="2844"/>
      <c r="G135" s="2843"/>
      <c r="H135" s="2843"/>
      <c r="I135" s="2843"/>
      <c r="J135" s="2843"/>
      <c r="K135" s="2843"/>
      <c r="L135" s="2843"/>
      <c r="M135" s="2843"/>
      <c r="N135" s="2843"/>
      <c r="O135" s="2843"/>
      <c r="P135" s="2843"/>
      <c r="Q135" s="2843"/>
      <c r="R135" s="2843"/>
      <c r="S135" s="2843"/>
      <c r="T135" s="2843"/>
      <c r="U135" s="2843"/>
      <c r="V135" s="2843"/>
      <c r="W135" s="2843"/>
      <c r="X135" s="2843"/>
      <c r="Y135" s="2843"/>
      <c r="Z135" s="2843"/>
      <c r="AA135" s="2843"/>
      <c r="AB135" s="2843"/>
      <c r="AC135" s="2843"/>
      <c r="AD135" s="2843"/>
      <c r="AE135" s="2843"/>
      <c r="AF135" s="2843"/>
      <c r="AG135" s="2843"/>
      <c r="AH135" s="2843"/>
      <c r="AI135" s="2843"/>
      <c r="AJ135" s="2843"/>
      <c r="AK135" s="2843"/>
      <c r="AL135" s="2843"/>
      <c r="AM135" s="2843"/>
      <c r="AN135" s="2843"/>
      <c r="AO135" s="2843"/>
      <c r="AP135" s="2843"/>
      <c r="AQ135" s="2843"/>
      <c r="AR135" s="2843"/>
      <c r="AS135" s="2843"/>
      <c r="AT135" s="2843"/>
      <c r="AU135" s="2843"/>
      <c r="AV135" s="2843"/>
      <c r="AW135" s="2843"/>
      <c r="AX135" s="2843"/>
      <c r="AY135" s="2842"/>
      <c r="AZ135" s="2841"/>
    </row>
    <row r="136" spans="2:52" ht="13.5" customHeight="1" thickBot="1">
      <c r="B136" s="3502"/>
      <c r="C136" s="3498"/>
      <c r="D136" s="3498"/>
      <c r="E136" s="2845"/>
      <c r="F136" s="2844"/>
      <c r="G136" s="2843"/>
      <c r="H136" s="2843"/>
      <c r="I136" s="2843"/>
      <c r="J136" s="2843" t="s">
        <v>5389</v>
      </c>
      <c r="K136" s="2843"/>
      <c r="L136" s="2843"/>
      <c r="M136" s="2843"/>
      <c r="N136" s="2843"/>
      <c r="O136" s="2843"/>
      <c r="P136" s="2843"/>
      <c r="Q136" s="2843"/>
      <c r="R136" s="2843"/>
      <c r="S136" s="2843"/>
      <c r="T136" s="3519">
        <f>基礎数値!D17</f>
        <v>0</v>
      </c>
      <c r="U136" s="3519"/>
      <c r="V136" s="3519"/>
      <c r="W136" s="3519"/>
      <c r="X136" s="3519"/>
      <c r="Y136" s="3519"/>
      <c r="Z136" s="2843" t="s">
        <v>5388</v>
      </c>
      <c r="AA136" s="2851" t="s">
        <v>5387</v>
      </c>
      <c r="AB136" s="2843"/>
      <c r="AC136" s="2843"/>
      <c r="AD136" s="2843"/>
      <c r="AE136" s="2843"/>
      <c r="AF136" s="2843"/>
      <c r="AG136" s="2843"/>
      <c r="AH136" s="2843"/>
      <c r="AI136" s="2843"/>
      <c r="AJ136" s="2843"/>
      <c r="AK136" s="2843"/>
      <c r="AL136" s="2843"/>
      <c r="AM136" s="2843"/>
      <c r="AN136" s="2843"/>
      <c r="AO136" s="2843"/>
      <c r="AP136" s="2843"/>
      <c r="AQ136" s="2843"/>
      <c r="AR136" s="2843"/>
      <c r="AS136" s="2843"/>
      <c r="AT136" s="2843"/>
      <c r="AU136" s="2843"/>
      <c r="AV136" s="2843"/>
      <c r="AW136" s="2843"/>
      <c r="AX136" s="2843"/>
      <c r="AY136" s="2842"/>
      <c r="AZ136" s="2841"/>
    </row>
    <row r="137" spans="2:52" ht="13.5" customHeight="1" thickTop="1" thickBot="1">
      <c r="B137" s="3502"/>
      <c r="C137" s="3498"/>
      <c r="D137" s="3498"/>
      <c r="E137" s="2845"/>
      <c r="F137" s="2844"/>
      <c r="G137" s="2843"/>
      <c r="H137" s="2843"/>
      <c r="I137" s="2843"/>
      <c r="J137" s="2843" t="s">
        <v>5386</v>
      </c>
      <c r="K137" s="2843"/>
      <c r="L137" s="2843"/>
      <c r="M137" s="2843"/>
      <c r="N137" s="2843"/>
      <c r="O137" s="2843"/>
      <c r="P137" s="2843"/>
      <c r="Q137" s="2843"/>
      <c r="R137" s="2843"/>
      <c r="S137" s="2843"/>
      <c r="T137" s="3499">
        <f>ROUNDDOWN(T136*3/103,0)</f>
        <v>0</v>
      </c>
      <c r="U137" s="3500"/>
      <c r="V137" s="3500"/>
      <c r="W137" s="3500"/>
      <c r="X137" s="3500"/>
      <c r="Y137" s="3501"/>
      <c r="Z137" s="2843" t="s">
        <v>5385</v>
      </c>
      <c r="AA137" s="2851" t="s">
        <v>5384</v>
      </c>
      <c r="AB137" s="2843"/>
      <c r="AC137" s="2843"/>
      <c r="AD137" s="2843"/>
      <c r="AE137" s="2843"/>
      <c r="AF137" s="2843"/>
      <c r="AG137" s="2843"/>
      <c r="AH137" s="2843"/>
      <c r="AI137" s="2843"/>
      <c r="AJ137" s="2843"/>
      <c r="AK137" s="2843"/>
      <c r="AL137" s="2843"/>
      <c r="AM137" s="2843"/>
      <c r="AN137" s="2843"/>
      <c r="AO137" s="2843"/>
      <c r="AP137" s="2843"/>
      <c r="AQ137" s="2843"/>
      <c r="AR137" s="2843"/>
      <c r="AS137" s="2843"/>
      <c r="AT137" s="2843"/>
      <c r="AU137" s="2843"/>
      <c r="AV137" s="2843"/>
      <c r="AW137" s="2843"/>
      <c r="AX137" s="2843"/>
      <c r="AY137" s="2842"/>
      <c r="AZ137" s="2841" t="s">
        <v>5383</v>
      </c>
    </row>
    <row r="138" spans="2:52" ht="13.5" customHeight="1" thickTop="1" thickBot="1">
      <c r="B138" s="3502"/>
      <c r="C138" s="3498"/>
      <c r="D138" s="3498"/>
      <c r="E138" s="2845"/>
      <c r="F138" s="2844"/>
      <c r="G138" s="2843"/>
      <c r="H138" s="2843"/>
      <c r="I138" s="2843"/>
      <c r="J138" s="2843"/>
      <c r="K138" s="2843"/>
      <c r="L138" s="2843"/>
      <c r="M138" s="2843"/>
      <c r="N138" s="2843"/>
      <c r="O138" s="2843"/>
      <c r="P138" s="2843"/>
      <c r="Q138" s="2843"/>
      <c r="R138" s="2843"/>
      <c r="S138" s="2843"/>
      <c r="T138" s="2843"/>
      <c r="U138" s="2843"/>
      <c r="V138" s="2843"/>
      <c r="W138" s="2843"/>
      <c r="X138" s="2843"/>
      <c r="Y138" s="2843"/>
      <c r="Z138" s="2843"/>
      <c r="AA138" s="2843"/>
      <c r="AB138" s="2843"/>
      <c r="AC138" s="2843"/>
      <c r="AD138" s="2843"/>
      <c r="AE138" s="2843"/>
      <c r="AF138" s="2843"/>
      <c r="AG138" s="2843"/>
      <c r="AH138" s="2843"/>
      <c r="AI138" s="2843"/>
      <c r="AJ138" s="2843"/>
      <c r="AK138" s="2843"/>
      <c r="AL138" s="2843"/>
      <c r="AM138" s="2843"/>
      <c r="AN138" s="2843"/>
      <c r="AO138" s="2843"/>
      <c r="AP138" s="2843"/>
      <c r="AQ138" s="2843"/>
      <c r="AR138" s="2843"/>
      <c r="AS138" s="2843"/>
      <c r="AT138" s="2843"/>
      <c r="AU138" s="2843"/>
      <c r="AV138" s="2843"/>
      <c r="AW138" s="2843"/>
      <c r="AX138" s="2843"/>
      <c r="AY138" s="2842"/>
      <c r="AZ138" s="2841"/>
    </row>
    <row r="139" spans="2:52" ht="13.5" customHeight="1" thickTop="1" thickBot="1">
      <c r="B139" s="3502"/>
      <c r="C139" s="3498"/>
      <c r="D139" s="3498"/>
      <c r="E139" s="2845"/>
      <c r="F139" s="2844"/>
      <c r="G139" s="2843"/>
      <c r="H139" s="2843"/>
      <c r="I139" s="2843"/>
      <c r="J139" s="2843" t="s">
        <v>5382</v>
      </c>
      <c r="K139" s="2843"/>
      <c r="L139" s="2843"/>
      <c r="M139" s="2843"/>
      <c r="N139" s="2843"/>
      <c r="O139" s="2843"/>
      <c r="P139" s="2843"/>
      <c r="Q139" s="2843"/>
      <c r="R139" s="2843"/>
      <c r="S139" s="2843"/>
      <c r="T139" s="3499">
        <f>T132+T134+T137</f>
        <v>0</v>
      </c>
      <c r="U139" s="3500"/>
      <c r="V139" s="3500"/>
      <c r="W139" s="3500"/>
      <c r="X139" s="3500"/>
      <c r="Y139" s="3501"/>
      <c r="Z139" s="2843" t="s">
        <v>5381</v>
      </c>
      <c r="AB139" s="2851" t="s">
        <v>5380</v>
      </c>
      <c r="AC139" s="2843"/>
      <c r="AD139" s="2843"/>
      <c r="AE139" s="2843"/>
      <c r="AF139" s="2843"/>
      <c r="AG139" s="2843"/>
      <c r="AH139" s="2843"/>
      <c r="AI139" s="2843"/>
      <c r="AJ139" s="2843"/>
      <c r="AK139" s="2843"/>
      <c r="AL139" s="2843"/>
      <c r="AM139" s="2843"/>
      <c r="AN139" s="2843"/>
      <c r="AO139" s="2843"/>
      <c r="AP139" s="2843"/>
      <c r="AQ139" s="2843"/>
      <c r="AR139" s="2843"/>
      <c r="AS139" s="2843"/>
      <c r="AT139" s="2843"/>
      <c r="AU139" s="2843"/>
      <c r="AV139" s="2843"/>
      <c r="AW139" s="2843"/>
      <c r="AX139" s="2843"/>
      <c r="AY139" s="2842"/>
      <c r="AZ139" s="2841" t="s">
        <v>5379</v>
      </c>
    </row>
    <row r="140" spans="2:52" ht="13.5" customHeight="1" thickTop="1">
      <c r="B140" s="3502"/>
      <c r="C140" s="3503"/>
      <c r="D140" s="3503"/>
      <c r="E140" s="2840"/>
      <c r="F140" s="2839"/>
      <c r="G140" s="2838"/>
      <c r="H140" s="2838"/>
      <c r="I140" s="2838"/>
      <c r="J140" s="2838"/>
      <c r="K140" s="2838"/>
      <c r="L140" s="2838"/>
      <c r="M140" s="2838"/>
      <c r="N140" s="2838"/>
      <c r="O140" s="2838"/>
      <c r="P140" s="2838"/>
      <c r="Q140" s="2838"/>
      <c r="R140" s="2838"/>
      <c r="S140" s="2838"/>
      <c r="T140" s="2838"/>
      <c r="U140" s="2838"/>
      <c r="V140" s="2838"/>
      <c r="W140" s="2838"/>
      <c r="X140" s="2838"/>
      <c r="Y140" s="2838"/>
      <c r="Z140" s="2838"/>
      <c r="AA140" s="2838"/>
      <c r="AB140" s="2838"/>
      <c r="AC140" s="2838"/>
      <c r="AD140" s="2838"/>
      <c r="AE140" s="2838"/>
      <c r="AF140" s="2838"/>
      <c r="AG140" s="2838"/>
      <c r="AH140" s="2838"/>
      <c r="AI140" s="2838"/>
      <c r="AJ140" s="2838"/>
      <c r="AK140" s="2838"/>
      <c r="AL140" s="2838"/>
      <c r="AM140" s="2838"/>
      <c r="AN140" s="2838"/>
      <c r="AO140" s="2838"/>
      <c r="AP140" s="2838"/>
      <c r="AQ140" s="2838"/>
      <c r="AR140" s="2838"/>
      <c r="AS140" s="2838"/>
      <c r="AT140" s="2838"/>
      <c r="AU140" s="2838"/>
      <c r="AV140" s="2838"/>
      <c r="AW140" s="2838"/>
      <c r="AX140" s="2838"/>
      <c r="AY140" s="2837"/>
      <c r="AZ140" s="2836"/>
    </row>
    <row r="141" spans="2:52" ht="13.5" customHeight="1">
      <c r="B141" s="3502"/>
      <c r="C141" s="3514">
        <v>2</v>
      </c>
      <c r="D141" s="3512" t="s">
        <v>5378</v>
      </c>
      <c r="E141" s="2850"/>
      <c r="F141" s="2849"/>
      <c r="G141" s="2848"/>
      <c r="H141" s="2848"/>
      <c r="I141" s="2848"/>
      <c r="J141" s="2848"/>
      <c r="K141" s="2848"/>
      <c r="L141" s="2848"/>
      <c r="M141" s="2848"/>
      <c r="N141" s="2848"/>
      <c r="O141" s="2848"/>
      <c r="P141" s="2848"/>
      <c r="Q141" s="2848"/>
      <c r="R141" s="2848"/>
      <c r="S141" s="2848"/>
      <c r="T141" s="2848"/>
      <c r="U141" s="2848"/>
      <c r="V141" s="2848"/>
      <c r="W141" s="2848"/>
      <c r="X141" s="2848"/>
      <c r="Y141" s="2848"/>
      <c r="Z141" s="2848"/>
      <c r="AA141" s="2848"/>
      <c r="AB141" s="2848"/>
      <c r="AC141" s="2848"/>
      <c r="AD141" s="2848"/>
      <c r="AE141" s="2848"/>
      <c r="AF141" s="2848"/>
      <c r="AG141" s="2848"/>
      <c r="AH141" s="2848"/>
      <c r="AI141" s="2848"/>
      <c r="AJ141" s="2848"/>
      <c r="AK141" s="2848"/>
      <c r="AL141" s="2848"/>
      <c r="AM141" s="2848"/>
      <c r="AN141" s="2848"/>
      <c r="AO141" s="2848"/>
      <c r="AP141" s="2848"/>
      <c r="AQ141" s="2848"/>
      <c r="AR141" s="2848"/>
      <c r="AS141" s="2848"/>
      <c r="AT141" s="2848"/>
      <c r="AU141" s="2848"/>
      <c r="AV141" s="2848"/>
      <c r="AW141" s="2848"/>
      <c r="AX141" s="2848"/>
      <c r="AY141" s="2847"/>
      <c r="AZ141" s="2846"/>
    </row>
    <row r="142" spans="2:52" ht="13.5" customHeight="1">
      <c r="B142" s="3502"/>
      <c r="C142" s="3498"/>
      <c r="D142" s="3502"/>
      <c r="E142" s="2845" t="s">
        <v>5377</v>
      </c>
      <c r="F142" s="2844"/>
      <c r="G142" s="2843"/>
      <c r="H142" s="2843"/>
      <c r="I142" s="2843"/>
      <c r="J142" s="2843"/>
      <c r="K142" s="2843"/>
      <c r="L142" s="2843"/>
      <c r="M142" s="2843"/>
      <c r="N142" s="2843"/>
      <c r="O142" s="2843"/>
      <c r="P142" s="2843"/>
      <c r="Q142" s="2843"/>
      <c r="R142" s="2843"/>
      <c r="S142" s="2843"/>
      <c r="T142" s="3497">
        <f>R31</f>
        <v>0</v>
      </c>
      <c r="U142" s="3497"/>
      <c r="V142" s="3497"/>
      <c r="W142" s="3497"/>
      <c r="X142" s="3497"/>
      <c r="Y142" s="3497"/>
      <c r="Z142" s="2843"/>
      <c r="AA142" s="2843"/>
      <c r="AB142" s="2851" t="s">
        <v>5376</v>
      </c>
      <c r="AC142" s="2843"/>
      <c r="AD142" s="2843"/>
      <c r="AE142" s="2843"/>
      <c r="AF142" s="2843"/>
      <c r="AG142" s="2843"/>
      <c r="AH142" s="2843"/>
      <c r="AI142" s="2843"/>
      <c r="AJ142" s="2843"/>
      <c r="AK142" s="2843"/>
      <c r="AL142" s="2843"/>
      <c r="AM142" s="2843"/>
      <c r="AN142" s="2843"/>
      <c r="AO142" s="2843"/>
      <c r="AP142" s="2843"/>
      <c r="AQ142" s="2843"/>
      <c r="AR142" s="2843"/>
      <c r="AS142" s="2843"/>
      <c r="AT142" s="2843"/>
      <c r="AU142" s="2843"/>
      <c r="AV142" s="2843"/>
      <c r="AW142" s="2843"/>
      <c r="AX142" s="2843"/>
      <c r="AY142" s="2842"/>
      <c r="AZ142" s="2841"/>
    </row>
    <row r="143" spans="2:52" ht="13.5" customHeight="1" thickBot="1">
      <c r="B143" s="3502"/>
      <c r="C143" s="3498"/>
      <c r="D143" s="3502"/>
      <c r="E143" s="2845" t="s">
        <v>5375</v>
      </c>
      <c r="F143" s="2844"/>
      <c r="G143" s="2843"/>
      <c r="H143" s="2843"/>
      <c r="I143" s="2843"/>
      <c r="J143" s="2843"/>
      <c r="K143" s="2843"/>
      <c r="L143" s="2843"/>
      <c r="M143" s="2843"/>
      <c r="N143" s="2843"/>
      <c r="O143" s="2843"/>
      <c r="P143" s="2843"/>
      <c r="Q143" s="2843"/>
      <c r="R143" s="2843"/>
      <c r="S143" s="2843"/>
      <c r="T143" s="3497">
        <f>T139</f>
        <v>0</v>
      </c>
      <c r="U143" s="3497"/>
      <c r="V143" s="3497"/>
      <c r="W143" s="3497"/>
      <c r="X143" s="3497"/>
      <c r="Y143" s="3497"/>
      <c r="Z143" s="2843"/>
      <c r="AA143" s="2843"/>
      <c r="AB143" s="2851" t="s">
        <v>5374</v>
      </c>
      <c r="AC143" s="2843"/>
      <c r="AD143" s="2843"/>
      <c r="AE143" s="2843"/>
      <c r="AF143" s="2843"/>
      <c r="AG143" s="2843"/>
      <c r="AH143" s="2843"/>
      <c r="AI143" s="2843"/>
      <c r="AJ143" s="2843"/>
      <c r="AK143" s="2843"/>
      <c r="AL143" s="2843"/>
      <c r="AM143" s="2843"/>
      <c r="AN143" s="2843"/>
      <c r="AO143" s="2843"/>
      <c r="AP143" s="2843"/>
      <c r="AQ143" s="2843"/>
      <c r="AR143" s="2843"/>
      <c r="AS143" s="2843"/>
      <c r="AT143" s="2843"/>
      <c r="AU143" s="2843"/>
      <c r="AV143" s="2843"/>
      <c r="AW143" s="2843"/>
      <c r="AX143" s="2843"/>
      <c r="AY143" s="2842"/>
      <c r="AZ143" s="2841"/>
    </row>
    <row r="144" spans="2:52" ht="13.5" customHeight="1" thickTop="1" thickBot="1">
      <c r="B144" s="3502"/>
      <c r="C144" s="3498"/>
      <c r="D144" s="3502"/>
      <c r="E144" s="2845" t="s">
        <v>5373</v>
      </c>
      <c r="F144" s="2844"/>
      <c r="G144" s="2843"/>
      <c r="H144" s="2843"/>
      <c r="I144" s="2843"/>
      <c r="J144" s="2843"/>
      <c r="K144" s="2843"/>
      <c r="L144" s="2843"/>
      <c r="M144" s="2843"/>
      <c r="N144" s="2843"/>
      <c r="O144" s="2843"/>
      <c r="P144" s="2843"/>
      <c r="Q144" s="2843"/>
      <c r="R144" s="2843"/>
      <c r="S144" s="2843"/>
      <c r="T144" s="3499">
        <f>ROUNDDOWN(T142-T143,-2)</f>
        <v>0</v>
      </c>
      <c r="U144" s="3500"/>
      <c r="V144" s="3500"/>
      <c r="W144" s="3500"/>
      <c r="X144" s="3500"/>
      <c r="Y144" s="3501"/>
      <c r="Z144" s="2843" t="s">
        <v>5372</v>
      </c>
      <c r="AA144" s="2843"/>
      <c r="AB144" s="2851" t="s">
        <v>5371</v>
      </c>
      <c r="AC144" s="2843"/>
      <c r="AD144" s="2843"/>
      <c r="AE144" s="2843"/>
      <c r="AF144" s="2843"/>
      <c r="AG144" s="2843"/>
      <c r="AH144" s="2843"/>
      <c r="AI144" s="2843"/>
      <c r="AJ144" s="2843"/>
      <c r="AK144" s="2843"/>
      <c r="AL144" s="2843"/>
      <c r="AM144" s="2843"/>
      <c r="AN144" s="2843"/>
      <c r="AO144" s="2843"/>
      <c r="AP144" s="2843"/>
      <c r="AQ144" s="2843"/>
      <c r="AR144" s="2843"/>
      <c r="AS144" s="2843"/>
      <c r="AT144" s="2843"/>
      <c r="AU144" s="2843"/>
      <c r="AV144" s="2843"/>
      <c r="AW144" s="2843"/>
      <c r="AX144" s="2843"/>
      <c r="AY144" s="2842"/>
      <c r="AZ144" s="2841" t="s">
        <v>5370</v>
      </c>
    </row>
    <row r="145" spans="2:52" ht="13.5" customHeight="1" thickTop="1">
      <c r="B145" s="3502"/>
      <c r="C145" s="3498"/>
      <c r="D145" s="3502"/>
      <c r="E145" s="2845"/>
      <c r="F145" s="2844"/>
      <c r="G145" s="2843"/>
      <c r="H145" s="2843"/>
      <c r="I145" s="2843"/>
      <c r="J145" s="2843"/>
      <c r="K145" s="2843"/>
      <c r="L145" s="2843"/>
      <c r="M145" s="2843"/>
      <c r="N145" s="2843"/>
      <c r="O145" s="2843"/>
      <c r="P145" s="2843"/>
      <c r="Q145" s="2843"/>
      <c r="R145" s="2843"/>
      <c r="S145" s="2843"/>
      <c r="T145" s="2843"/>
      <c r="U145" s="2843"/>
      <c r="V145" s="2843"/>
      <c r="W145" s="2843"/>
      <c r="X145" s="2843"/>
      <c r="Y145" s="2843"/>
      <c r="Z145" s="2843"/>
      <c r="AA145" s="2843"/>
      <c r="AB145" s="2843"/>
      <c r="AC145" s="2843"/>
      <c r="AD145" s="2843"/>
      <c r="AE145" s="2843"/>
      <c r="AF145" s="2843"/>
      <c r="AG145" s="2843"/>
      <c r="AH145" s="2843"/>
      <c r="AI145" s="2843"/>
      <c r="AJ145" s="2843"/>
      <c r="AK145" s="2843"/>
      <c r="AL145" s="2843"/>
      <c r="AM145" s="2843"/>
      <c r="AN145" s="2843"/>
      <c r="AO145" s="2843"/>
      <c r="AP145" s="2843"/>
      <c r="AQ145" s="2843"/>
      <c r="AR145" s="2843"/>
      <c r="AS145" s="2843"/>
      <c r="AT145" s="2843"/>
      <c r="AU145" s="2843"/>
      <c r="AV145" s="2843"/>
      <c r="AW145" s="2843"/>
      <c r="AX145" s="2843"/>
      <c r="AY145" s="2842"/>
      <c r="AZ145" s="2841"/>
    </row>
    <row r="146" spans="2:52" ht="13.5" customHeight="1">
      <c r="B146" s="3502"/>
      <c r="C146" s="3498"/>
      <c r="D146" s="3502"/>
      <c r="E146" s="2845"/>
      <c r="F146" s="2844"/>
      <c r="G146" s="2843"/>
      <c r="H146" s="2843"/>
      <c r="I146" s="2843"/>
      <c r="J146" s="2843"/>
      <c r="K146" s="2843"/>
      <c r="L146" s="2843"/>
      <c r="M146" s="2843"/>
      <c r="N146" s="2843"/>
      <c r="O146" s="2843"/>
      <c r="P146" s="2843"/>
      <c r="Q146" s="2843"/>
      <c r="R146" s="2843"/>
      <c r="S146" s="2843"/>
      <c r="T146" s="2843"/>
      <c r="U146" s="2843"/>
      <c r="V146" s="2843"/>
      <c r="W146" s="2843"/>
      <c r="X146" s="2843"/>
      <c r="Y146" s="2843"/>
      <c r="Z146" s="2843"/>
      <c r="AA146" s="2843"/>
      <c r="AB146" s="2843"/>
      <c r="AC146" s="2843"/>
      <c r="AD146" s="2843"/>
      <c r="AE146" s="2843"/>
      <c r="AF146" s="2843"/>
      <c r="AG146" s="2843"/>
      <c r="AH146" s="2843"/>
      <c r="AI146" s="2843"/>
      <c r="AJ146" s="2843"/>
      <c r="AK146" s="2843"/>
      <c r="AL146" s="2843"/>
      <c r="AM146" s="2843"/>
      <c r="AN146" s="2843"/>
      <c r="AO146" s="2843"/>
      <c r="AP146" s="2843"/>
      <c r="AQ146" s="2843"/>
      <c r="AR146" s="2843"/>
      <c r="AS146" s="2843"/>
      <c r="AT146" s="2843"/>
      <c r="AU146" s="2843"/>
      <c r="AV146" s="2843"/>
      <c r="AW146" s="2843"/>
      <c r="AX146" s="2843"/>
      <c r="AY146" s="2842"/>
      <c r="AZ146" s="2841"/>
    </row>
    <row r="147" spans="2:52" ht="13.5" customHeight="1">
      <c r="B147" s="3502"/>
      <c r="C147" s="3498"/>
      <c r="D147" s="3502"/>
      <c r="E147" s="2845"/>
      <c r="F147" s="2844"/>
      <c r="G147" s="2843"/>
      <c r="H147" s="2843"/>
      <c r="I147" s="2843"/>
      <c r="J147" s="2843"/>
      <c r="K147" s="2843"/>
      <c r="L147" s="2843"/>
      <c r="M147" s="2843"/>
      <c r="N147" s="2843"/>
      <c r="O147" s="2843"/>
      <c r="P147" s="2843"/>
      <c r="Q147" s="2843"/>
      <c r="R147" s="2843"/>
      <c r="S147" s="2843"/>
      <c r="T147" s="2843"/>
      <c r="U147" s="2843"/>
      <c r="V147" s="2843"/>
      <c r="W147" s="2843"/>
      <c r="X147" s="2843"/>
      <c r="Y147" s="2843"/>
      <c r="Z147" s="2843"/>
      <c r="AA147" s="2843"/>
      <c r="AB147" s="2843"/>
      <c r="AC147" s="2843"/>
      <c r="AD147" s="2843"/>
      <c r="AE147" s="2843"/>
      <c r="AF147" s="2843"/>
      <c r="AG147" s="2843"/>
      <c r="AH147" s="2843"/>
      <c r="AI147" s="2843"/>
      <c r="AJ147" s="2843"/>
      <c r="AK147" s="2843"/>
      <c r="AL147" s="2843"/>
      <c r="AM147" s="2843"/>
      <c r="AN147" s="2843"/>
      <c r="AO147" s="2843"/>
      <c r="AP147" s="2843"/>
      <c r="AQ147" s="2843"/>
      <c r="AR147" s="2843"/>
      <c r="AS147" s="2843"/>
      <c r="AT147" s="2843"/>
      <c r="AU147" s="2843"/>
      <c r="AV147" s="2843"/>
      <c r="AW147" s="2843"/>
      <c r="AX147" s="2843"/>
      <c r="AY147" s="2842"/>
      <c r="AZ147" s="2841"/>
    </row>
    <row r="148" spans="2:52" ht="13.5" customHeight="1">
      <c r="B148" s="3502"/>
      <c r="C148" s="3498"/>
      <c r="D148" s="3502"/>
      <c r="E148" s="2845"/>
      <c r="F148" s="2844"/>
      <c r="G148" s="2843"/>
      <c r="H148" s="2843"/>
      <c r="I148" s="2843"/>
      <c r="J148" s="2843"/>
      <c r="K148" s="2843"/>
      <c r="L148" s="2843"/>
      <c r="M148" s="2843"/>
      <c r="N148" s="2843"/>
      <c r="O148" s="2843"/>
      <c r="P148" s="2843"/>
      <c r="Q148" s="2843"/>
      <c r="R148" s="2843"/>
      <c r="S148" s="2843"/>
      <c r="T148" s="2843"/>
      <c r="U148" s="2843"/>
      <c r="V148" s="2843"/>
      <c r="W148" s="2843"/>
      <c r="X148" s="2843"/>
      <c r="Y148" s="2843"/>
      <c r="Z148" s="2843"/>
      <c r="AA148" s="2843"/>
      <c r="AB148" s="2843"/>
      <c r="AC148" s="2843"/>
      <c r="AD148" s="2843"/>
      <c r="AE148" s="2843"/>
      <c r="AF148" s="2843"/>
      <c r="AG148" s="2843"/>
      <c r="AH148" s="2851"/>
      <c r="AI148" s="2843"/>
      <c r="AJ148" s="2843"/>
      <c r="AK148" s="2843"/>
      <c r="AL148" s="2843"/>
      <c r="AM148" s="2843"/>
      <c r="AN148" s="2843"/>
      <c r="AO148" s="2843"/>
      <c r="AP148" s="2843"/>
      <c r="AQ148" s="2843"/>
      <c r="AR148" s="2843"/>
      <c r="AS148" s="2843"/>
      <c r="AT148" s="2843"/>
      <c r="AU148" s="2843"/>
      <c r="AV148" s="2843"/>
      <c r="AW148" s="2843"/>
      <c r="AX148" s="2843"/>
      <c r="AY148" s="2842"/>
      <c r="AZ148" s="2841"/>
    </row>
    <row r="149" spans="2:52" ht="13.5" customHeight="1">
      <c r="B149" s="3502"/>
      <c r="C149" s="3503"/>
      <c r="D149" s="3513"/>
      <c r="E149" s="2840"/>
      <c r="F149" s="2839"/>
      <c r="G149" s="2838"/>
      <c r="H149" s="2838"/>
      <c r="I149" s="2838"/>
      <c r="J149" s="2838"/>
      <c r="K149" s="2838"/>
      <c r="L149" s="2838"/>
      <c r="M149" s="2838"/>
      <c r="N149" s="2838"/>
      <c r="O149" s="2838"/>
      <c r="P149" s="2838"/>
      <c r="Q149" s="2838"/>
      <c r="R149" s="2838"/>
      <c r="S149" s="2838"/>
      <c r="T149" s="2838"/>
      <c r="U149" s="2838"/>
      <c r="V149" s="2838"/>
      <c r="W149" s="2838"/>
      <c r="X149" s="2838"/>
      <c r="Y149" s="2838"/>
      <c r="Z149" s="2838"/>
      <c r="AA149" s="2838"/>
      <c r="AB149" s="2838"/>
      <c r="AC149" s="2838"/>
      <c r="AD149" s="2838"/>
      <c r="AE149" s="2838"/>
      <c r="AF149" s="2838"/>
      <c r="AG149" s="2838"/>
      <c r="AH149" s="2838"/>
      <c r="AI149" s="2838"/>
      <c r="AJ149" s="2838"/>
      <c r="AK149" s="2838"/>
      <c r="AL149" s="2838"/>
      <c r="AM149" s="2838"/>
      <c r="AN149" s="2838"/>
      <c r="AO149" s="2838"/>
      <c r="AP149" s="2838"/>
      <c r="AQ149" s="2838"/>
      <c r="AR149" s="2838"/>
      <c r="AS149" s="2838"/>
      <c r="AT149" s="2838"/>
      <c r="AU149" s="2838"/>
      <c r="AV149" s="2838"/>
      <c r="AW149" s="2838"/>
      <c r="AX149" s="2838"/>
      <c r="AY149" s="2837"/>
      <c r="AZ149" s="2836"/>
    </row>
    <row r="150" spans="2:52" ht="13.5" customHeight="1" thickBot="1">
      <c r="B150" s="3502"/>
      <c r="C150" s="3514">
        <v>3</v>
      </c>
      <c r="D150" s="3512" t="s">
        <v>5369</v>
      </c>
      <c r="E150" s="2850"/>
      <c r="F150" s="2849"/>
      <c r="G150" s="2848"/>
      <c r="H150" s="2848"/>
      <c r="I150" s="2848"/>
      <c r="J150" s="2848"/>
      <c r="K150" s="2848"/>
      <c r="L150" s="2848"/>
      <c r="M150" s="2848"/>
      <c r="N150" s="2848"/>
      <c r="O150" s="2848"/>
      <c r="P150" s="2848"/>
      <c r="Q150" s="2848"/>
      <c r="R150" s="2848"/>
      <c r="S150" s="2848"/>
      <c r="T150" s="2848"/>
      <c r="U150" s="2848"/>
      <c r="V150" s="2848"/>
      <c r="W150" s="2848"/>
      <c r="X150" s="2848"/>
      <c r="Y150" s="2848"/>
      <c r="Z150" s="2848"/>
      <c r="AA150" s="2848"/>
      <c r="AB150" s="2848"/>
      <c r="AC150" s="2848"/>
      <c r="AD150" s="2848"/>
      <c r="AE150" s="2848"/>
      <c r="AF150" s="2848"/>
      <c r="AG150" s="2848"/>
      <c r="AH150" s="2848"/>
      <c r="AI150" s="2848"/>
      <c r="AJ150" s="2848"/>
      <c r="AK150" s="2848"/>
      <c r="AL150" s="2848"/>
      <c r="AM150" s="2848"/>
      <c r="AN150" s="2848"/>
      <c r="AO150" s="2848"/>
      <c r="AP150" s="2848"/>
      <c r="AQ150" s="2848"/>
      <c r="AR150" s="2848"/>
      <c r="AS150" s="2848"/>
      <c r="AT150" s="2848"/>
      <c r="AU150" s="2848"/>
      <c r="AV150" s="2848"/>
      <c r="AW150" s="2848"/>
      <c r="AX150" s="2848"/>
      <c r="AY150" s="2847"/>
      <c r="AZ150" s="2846"/>
    </row>
    <row r="151" spans="2:52" ht="13.5" customHeight="1" thickTop="1" thickBot="1">
      <c r="B151" s="3502"/>
      <c r="C151" s="3498"/>
      <c r="D151" s="3502"/>
      <c r="E151" s="2845" t="s">
        <v>5368</v>
      </c>
      <c r="F151" s="2844"/>
      <c r="G151" s="2843"/>
      <c r="H151" s="2843"/>
      <c r="I151" s="2843"/>
      <c r="J151" s="2843"/>
      <c r="K151" s="2843"/>
      <c r="L151" s="2843"/>
      <c r="M151" s="2843"/>
      <c r="N151" s="2843"/>
      <c r="O151" s="2843"/>
      <c r="P151" s="2843"/>
      <c r="Q151" s="2843"/>
      <c r="R151" s="2843"/>
      <c r="S151" s="2843"/>
      <c r="T151" s="3499">
        <f>T144</f>
        <v>0</v>
      </c>
      <c r="U151" s="3500"/>
      <c r="V151" s="3500"/>
      <c r="W151" s="3500"/>
      <c r="X151" s="3500"/>
      <c r="Y151" s="3501"/>
      <c r="Z151" s="2843"/>
      <c r="AA151" s="2843"/>
      <c r="AB151" s="2851" t="s">
        <v>5367</v>
      </c>
      <c r="AC151" s="2843"/>
      <c r="AD151" s="2843"/>
      <c r="AE151" s="2843"/>
      <c r="AF151" s="2843"/>
      <c r="AG151" s="2843"/>
      <c r="AH151" s="2843"/>
      <c r="AI151" s="2843"/>
      <c r="AJ151" s="2843"/>
      <c r="AK151" s="2843"/>
      <c r="AL151" s="2843"/>
      <c r="AM151" s="2843"/>
      <c r="AN151" s="2843"/>
      <c r="AO151" s="2843"/>
      <c r="AP151" s="2843"/>
      <c r="AQ151" s="2843"/>
      <c r="AR151" s="2843"/>
      <c r="AS151" s="2843"/>
      <c r="AT151" s="2843"/>
      <c r="AU151" s="2843"/>
      <c r="AV151" s="2843"/>
      <c r="AW151" s="2843"/>
      <c r="AX151" s="2843"/>
      <c r="AY151" s="2842"/>
      <c r="AZ151" s="2841"/>
    </row>
    <row r="152" spans="2:52" ht="13.5" customHeight="1" thickTop="1" thickBot="1">
      <c r="B152" s="3502"/>
      <c r="C152" s="3498"/>
      <c r="D152" s="3502"/>
      <c r="E152" s="2845" t="s">
        <v>5366</v>
      </c>
      <c r="F152" s="2844"/>
      <c r="G152" s="2843"/>
      <c r="H152" s="2843"/>
      <c r="I152" s="2843"/>
      <c r="J152" s="2843"/>
      <c r="K152" s="2843"/>
      <c r="L152" s="2843"/>
      <c r="M152" s="2843"/>
      <c r="N152" s="2843"/>
      <c r="O152" s="2843"/>
      <c r="P152" s="2843"/>
      <c r="Q152" s="2843"/>
      <c r="R152" s="2843"/>
      <c r="S152" s="2843"/>
      <c r="T152" s="3499">
        <f>ROUNDDOWN(T151*0/100,-2)</f>
        <v>0</v>
      </c>
      <c r="U152" s="3500"/>
      <c r="V152" s="3500"/>
      <c r="W152" s="3500"/>
      <c r="X152" s="3500"/>
      <c r="Y152" s="3501"/>
      <c r="Z152" s="2843" t="s">
        <v>5365</v>
      </c>
      <c r="AA152" s="2843"/>
      <c r="AB152" s="2851" t="s">
        <v>5364</v>
      </c>
      <c r="AC152" s="2843"/>
      <c r="AD152" s="2843"/>
      <c r="AE152" s="2843"/>
      <c r="AF152" s="2843"/>
      <c r="AG152" s="2843"/>
      <c r="AH152" s="2843"/>
      <c r="AI152" s="2843"/>
      <c r="AJ152" s="2843"/>
      <c r="AK152" s="2843"/>
      <c r="AL152" s="2843"/>
      <c r="AM152" s="2843"/>
      <c r="AN152" s="2843"/>
      <c r="AO152" s="2843"/>
      <c r="AP152" s="2843"/>
      <c r="AQ152" s="2843"/>
      <c r="AR152" s="2843"/>
      <c r="AS152" s="2843"/>
      <c r="AT152" s="2843"/>
      <c r="AU152" s="2843"/>
      <c r="AV152" s="2843"/>
      <c r="AW152" s="2843"/>
      <c r="AX152" s="2843"/>
      <c r="AY152" s="2842"/>
      <c r="AZ152" s="2841" t="s">
        <v>5363</v>
      </c>
    </row>
    <row r="153" spans="2:52" ht="13.5" customHeight="1" thickTop="1">
      <c r="B153" s="3502"/>
      <c r="C153" s="3498"/>
      <c r="D153" s="3502"/>
      <c r="E153" s="2845"/>
      <c r="F153" s="2844"/>
      <c r="G153" s="2843"/>
      <c r="H153" s="2843"/>
      <c r="I153" s="2843"/>
      <c r="J153" s="2843"/>
      <c r="K153" s="2843"/>
      <c r="L153" s="2843"/>
      <c r="M153" s="2843"/>
      <c r="N153" s="2843"/>
      <c r="O153" s="2843"/>
      <c r="P153" s="2843"/>
      <c r="Q153" s="2843"/>
      <c r="R153" s="2843"/>
      <c r="S153" s="2843"/>
      <c r="T153" s="2843"/>
      <c r="U153" s="2843"/>
      <c r="V153" s="2843"/>
      <c r="W153" s="2843"/>
      <c r="X153" s="2843"/>
      <c r="Y153" s="2843"/>
      <c r="Z153" s="2843"/>
      <c r="AA153" s="2843"/>
      <c r="AB153" s="2843"/>
      <c r="AC153" s="2843"/>
      <c r="AD153" s="2843"/>
      <c r="AE153" s="2843"/>
      <c r="AF153" s="2843"/>
      <c r="AG153" s="2843"/>
      <c r="AH153" s="2843"/>
      <c r="AI153" s="2843"/>
      <c r="AJ153" s="2843"/>
      <c r="AK153" s="2843"/>
      <c r="AL153" s="2843"/>
      <c r="AM153" s="2843"/>
      <c r="AN153" s="2843"/>
      <c r="AO153" s="2843"/>
      <c r="AP153" s="2843"/>
      <c r="AQ153" s="2843"/>
      <c r="AR153" s="2843"/>
      <c r="AS153" s="2843"/>
      <c r="AT153" s="2843"/>
      <c r="AU153" s="2843"/>
      <c r="AV153" s="2843"/>
      <c r="AW153" s="2843"/>
      <c r="AX153" s="2843"/>
      <c r="AY153" s="2842"/>
      <c r="AZ153" s="2841"/>
    </row>
    <row r="154" spans="2:52" ht="13.5" customHeight="1">
      <c r="B154" s="3502"/>
      <c r="C154" s="3498"/>
      <c r="D154" s="3502"/>
      <c r="E154" s="2845"/>
      <c r="F154" s="2844"/>
      <c r="G154" s="2843"/>
      <c r="H154" s="2843"/>
      <c r="I154" s="2843"/>
      <c r="J154" s="2843"/>
      <c r="K154" s="2843"/>
      <c r="L154" s="2843"/>
      <c r="M154" s="2843"/>
      <c r="N154" s="2843"/>
      <c r="O154" s="2843"/>
      <c r="P154" s="2843"/>
      <c r="Q154" s="2843"/>
      <c r="R154" s="2843"/>
      <c r="S154" s="2843"/>
      <c r="T154" s="2843"/>
      <c r="U154" s="2843"/>
      <c r="V154" s="2843"/>
      <c r="W154" s="2843"/>
      <c r="X154" s="2843"/>
      <c r="Y154" s="2843"/>
      <c r="Z154" s="2843"/>
      <c r="AA154" s="2843"/>
      <c r="AB154" s="2843"/>
      <c r="AC154" s="2843"/>
      <c r="AD154" s="2843"/>
      <c r="AE154" s="2843"/>
      <c r="AF154" s="2843"/>
      <c r="AG154" s="2843"/>
      <c r="AH154" s="2843"/>
      <c r="AI154" s="2843"/>
      <c r="AJ154" s="2843"/>
      <c r="AK154" s="2843"/>
      <c r="AL154" s="2843"/>
      <c r="AM154" s="2843"/>
      <c r="AN154" s="2843"/>
      <c r="AO154" s="2843"/>
      <c r="AP154" s="2843"/>
      <c r="AQ154" s="2843"/>
      <c r="AR154" s="2843"/>
      <c r="AS154" s="2843"/>
      <c r="AT154" s="2843"/>
      <c r="AU154" s="2843"/>
      <c r="AV154" s="2843"/>
      <c r="AW154" s="2843"/>
      <c r="AX154" s="2843"/>
      <c r="AY154" s="2842"/>
      <c r="AZ154" s="2841"/>
    </row>
    <row r="155" spans="2:52" ht="13.5" customHeight="1">
      <c r="B155" s="3502"/>
      <c r="C155" s="3498"/>
      <c r="D155" s="3502"/>
      <c r="E155" s="2845"/>
      <c r="F155" s="2844"/>
      <c r="G155" s="2843"/>
      <c r="H155" s="2843"/>
      <c r="I155" s="2843"/>
      <c r="J155" s="2843"/>
      <c r="K155" s="2843"/>
      <c r="L155" s="2843"/>
      <c r="M155" s="2843"/>
      <c r="N155" s="2843"/>
      <c r="O155" s="2843"/>
      <c r="P155" s="2843"/>
      <c r="Q155" s="2843"/>
      <c r="R155" s="2843"/>
      <c r="S155" s="2843"/>
      <c r="T155" s="2843"/>
      <c r="U155" s="2843"/>
      <c r="V155" s="2843"/>
      <c r="W155" s="2843"/>
      <c r="X155" s="2843"/>
      <c r="Y155" s="2843"/>
      <c r="Z155" s="2843"/>
      <c r="AA155" s="2843"/>
      <c r="AB155" s="2843"/>
      <c r="AC155" s="2843"/>
      <c r="AD155" s="2843"/>
      <c r="AE155" s="2843"/>
      <c r="AF155" s="2843"/>
      <c r="AG155" s="2843"/>
      <c r="AH155" s="2843"/>
      <c r="AI155" s="2843"/>
      <c r="AJ155" s="2843"/>
      <c r="AK155" s="2843"/>
      <c r="AL155" s="2843"/>
      <c r="AM155" s="2843"/>
      <c r="AN155" s="2843"/>
      <c r="AO155" s="2843"/>
      <c r="AP155" s="2843"/>
      <c r="AQ155" s="2843"/>
      <c r="AR155" s="2843"/>
      <c r="AS155" s="2843"/>
      <c r="AT155" s="2843"/>
      <c r="AU155" s="2843"/>
      <c r="AV155" s="2843"/>
      <c r="AW155" s="2843"/>
      <c r="AX155" s="2843"/>
      <c r="AY155" s="2842"/>
      <c r="AZ155" s="2841"/>
    </row>
    <row r="156" spans="2:52" ht="13.5" customHeight="1">
      <c r="B156" s="3502"/>
      <c r="C156" s="3498"/>
      <c r="D156" s="3502"/>
      <c r="E156" s="2845"/>
      <c r="F156" s="2844"/>
      <c r="G156" s="2843"/>
      <c r="H156" s="2843"/>
      <c r="I156" s="2843"/>
      <c r="J156" s="2843"/>
      <c r="K156" s="2843"/>
      <c r="L156" s="2843"/>
      <c r="M156" s="2843"/>
      <c r="N156" s="2843"/>
      <c r="O156" s="2843"/>
      <c r="P156" s="2843"/>
      <c r="Q156" s="2843"/>
      <c r="R156" s="2843"/>
      <c r="S156" s="2843"/>
      <c r="T156" s="2843"/>
      <c r="U156" s="2843"/>
      <c r="V156" s="2843"/>
      <c r="W156" s="2843"/>
      <c r="X156" s="2843"/>
      <c r="Y156" s="2843"/>
      <c r="Z156" s="2843"/>
      <c r="AA156" s="2843"/>
      <c r="AB156" s="2843"/>
      <c r="AC156" s="2843"/>
      <c r="AD156" s="2843"/>
      <c r="AE156" s="2843"/>
      <c r="AF156" s="2843"/>
      <c r="AG156" s="2843"/>
      <c r="AH156" s="2851"/>
      <c r="AI156" s="2843"/>
      <c r="AJ156" s="2843"/>
      <c r="AK156" s="2843"/>
      <c r="AL156" s="2843"/>
      <c r="AM156" s="2843"/>
      <c r="AN156" s="2843"/>
      <c r="AO156" s="2843"/>
      <c r="AP156" s="2843"/>
      <c r="AQ156" s="2843"/>
      <c r="AR156" s="2843"/>
      <c r="AS156" s="2843"/>
      <c r="AT156" s="2843"/>
      <c r="AU156" s="2843"/>
      <c r="AV156" s="2843"/>
      <c r="AW156" s="2843"/>
      <c r="AX156" s="2843"/>
      <c r="AY156" s="2842"/>
      <c r="AZ156" s="2841"/>
    </row>
    <row r="157" spans="2:52" ht="13.5" customHeight="1">
      <c r="B157" s="3502"/>
      <c r="C157" s="3503"/>
      <c r="D157" s="3513"/>
      <c r="E157" s="2840"/>
      <c r="F157" s="2839"/>
      <c r="G157" s="2838"/>
      <c r="H157" s="2838"/>
      <c r="I157" s="2838"/>
      <c r="J157" s="2838"/>
      <c r="K157" s="2838"/>
      <c r="L157" s="2838"/>
      <c r="M157" s="2838"/>
      <c r="N157" s="2838"/>
      <c r="O157" s="2838"/>
      <c r="P157" s="2838"/>
      <c r="Q157" s="2838"/>
      <c r="R157" s="2838"/>
      <c r="S157" s="2838"/>
      <c r="T157" s="2838"/>
      <c r="U157" s="2838"/>
      <c r="V157" s="2838"/>
      <c r="W157" s="2838"/>
      <c r="X157" s="2838"/>
      <c r="Y157" s="2838"/>
      <c r="Z157" s="2838"/>
      <c r="AA157" s="2838"/>
      <c r="AB157" s="2838"/>
      <c r="AC157" s="2838"/>
      <c r="AD157" s="2838"/>
      <c r="AE157" s="2838"/>
      <c r="AF157" s="2838"/>
      <c r="AG157" s="2838"/>
      <c r="AH157" s="2838"/>
      <c r="AI157" s="2838"/>
      <c r="AJ157" s="2838"/>
      <c r="AK157" s="2838"/>
      <c r="AL157" s="2838"/>
      <c r="AM157" s="2838"/>
      <c r="AN157" s="2838"/>
      <c r="AO157" s="2838"/>
      <c r="AP157" s="2838"/>
      <c r="AQ157" s="2838"/>
      <c r="AR157" s="2838"/>
      <c r="AS157" s="2838"/>
      <c r="AT157" s="2838"/>
      <c r="AU157" s="2838"/>
      <c r="AV157" s="2838"/>
      <c r="AW157" s="2838"/>
      <c r="AX157" s="2838"/>
      <c r="AY157" s="2837"/>
      <c r="AZ157" s="2836"/>
    </row>
    <row r="158" spans="2:52" ht="13.5" customHeight="1">
      <c r="B158" s="3502"/>
      <c r="C158" s="3514">
        <v>4</v>
      </c>
      <c r="D158" s="3512" t="s">
        <v>5362</v>
      </c>
      <c r="E158" s="2850"/>
      <c r="F158" s="2849"/>
      <c r="G158" s="2848"/>
      <c r="H158" s="2848"/>
      <c r="I158" s="2848"/>
      <c r="J158" s="2848"/>
      <c r="K158" s="2848"/>
      <c r="L158" s="2848"/>
      <c r="M158" s="2848"/>
      <c r="N158" s="2848"/>
      <c r="O158" s="2848"/>
      <c r="P158" s="2848"/>
      <c r="Q158" s="2848"/>
      <c r="R158" s="2848"/>
      <c r="S158" s="2848"/>
      <c r="T158" s="2848"/>
      <c r="U158" s="2848"/>
      <c r="V158" s="2848"/>
      <c r="W158" s="2848"/>
      <c r="X158" s="2848"/>
      <c r="Y158" s="2848"/>
      <c r="Z158" s="2848"/>
      <c r="AA158" s="2848"/>
      <c r="AB158" s="2848"/>
      <c r="AC158" s="2848"/>
      <c r="AD158" s="2848"/>
      <c r="AE158" s="2848"/>
      <c r="AF158" s="2848"/>
      <c r="AG158" s="2848"/>
      <c r="AH158" s="2848"/>
      <c r="AI158" s="2848"/>
      <c r="AJ158" s="2848"/>
      <c r="AK158" s="2848"/>
      <c r="AL158" s="2848"/>
      <c r="AM158" s="2848"/>
      <c r="AN158" s="2848"/>
      <c r="AO158" s="2848"/>
      <c r="AP158" s="2848"/>
      <c r="AQ158" s="2848"/>
      <c r="AR158" s="2848"/>
      <c r="AS158" s="2848"/>
      <c r="AT158" s="2848"/>
      <c r="AU158" s="2848"/>
      <c r="AV158" s="2848"/>
      <c r="AW158" s="2848"/>
      <c r="AX158" s="2848"/>
      <c r="AY158" s="2847"/>
      <c r="AZ158" s="2846"/>
    </row>
    <row r="159" spans="2:52" ht="13.5" customHeight="1">
      <c r="B159" s="3502"/>
      <c r="C159" s="3498"/>
      <c r="D159" s="3502"/>
      <c r="E159" s="2845"/>
      <c r="F159" s="2844"/>
      <c r="G159" s="2843"/>
      <c r="H159" s="2843"/>
      <c r="I159" s="2843"/>
      <c r="J159" s="2843"/>
      <c r="K159" s="2843"/>
      <c r="L159" s="2843"/>
      <c r="M159" s="2843"/>
      <c r="N159" s="2843"/>
      <c r="O159" s="2843"/>
      <c r="P159" s="2843"/>
      <c r="Q159" s="2843"/>
      <c r="R159" s="2843"/>
      <c r="S159" s="2843"/>
      <c r="T159" s="2843"/>
      <c r="U159" s="2843"/>
      <c r="V159" s="2843"/>
      <c r="W159" s="2843"/>
      <c r="X159" s="2843"/>
      <c r="Y159" s="2843"/>
      <c r="Z159" s="2843"/>
      <c r="AA159" s="2843"/>
      <c r="AB159" s="2843"/>
      <c r="AC159" s="2843"/>
      <c r="AD159" s="2843"/>
      <c r="AE159" s="2843"/>
      <c r="AF159" s="2843"/>
      <c r="AG159" s="2843"/>
      <c r="AH159" s="2843"/>
      <c r="AI159" s="2843"/>
      <c r="AJ159" s="2843"/>
      <c r="AK159" s="2843"/>
      <c r="AL159" s="2843"/>
      <c r="AM159" s="2843"/>
      <c r="AN159" s="2843"/>
      <c r="AO159" s="2843"/>
      <c r="AP159" s="2843"/>
      <c r="AQ159" s="2843"/>
      <c r="AR159" s="2843"/>
      <c r="AS159" s="2843"/>
      <c r="AT159" s="2843"/>
      <c r="AU159" s="2843"/>
      <c r="AV159" s="2843"/>
      <c r="AW159" s="2843"/>
      <c r="AX159" s="2843"/>
      <c r="AY159" s="2842"/>
      <c r="AZ159" s="2841"/>
    </row>
    <row r="160" spans="2:52" ht="13.5" customHeight="1">
      <c r="B160" s="3513"/>
      <c r="C160" s="3503"/>
      <c r="D160" s="3513"/>
      <c r="E160" s="2840"/>
      <c r="F160" s="2839"/>
      <c r="G160" s="2838"/>
      <c r="H160" s="2838"/>
      <c r="I160" s="2838"/>
      <c r="J160" s="2838"/>
      <c r="K160" s="2838"/>
      <c r="L160" s="2838"/>
      <c r="M160" s="2838"/>
      <c r="N160" s="2838"/>
      <c r="O160" s="2838"/>
      <c r="P160" s="2838"/>
      <c r="Q160" s="2838"/>
      <c r="R160" s="2838"/>
      <c r="S160" s="2838"/>
      <c r="T160" s="2838"/>
      <c r="U160" s="2838"/>
      <c r="V160" s="2838"/>
      <c r="W160" s="2838"/>
      <c r="X160" s="2838"/>
      <c r="Y160" s="2838"/>
      <c r="Z160" s="2838"/>
      <c r="AA160" s="2838"/>
      <c r="AB160" s="2838"/>
      <c r="AC160" s="2838"/>
      <c r="AD160" s="2838"/>
      <c r="AE160" s="2838"/>
      <c r="AF160" s="2838"/>
      <c r="AG160" s="2838"/>
      <c r="AH160" s="2838"/>
      <c r="AI160" s="2838"/>
      <c r="AJ160" s="2838"/>
      <c r="AK160" s="2838"/>
      <c r="AL160" s="2838"/>
      <c r="AM160" s="2838"/>
      <c r="AN160" s="2838"/>
      <c r="AO160" s="2838"/>
      <c r="AP160" s="2838"/>
      <c r="AQ160" s="2838"/>
      <c r="AR160" s="2838"/>
      <c r="AS160" s="2838"/>
      <c r="AT160" s="2838"/>
      <c r="AU160" s="2838"/>
      <c r="AV160" s="2838"/>
      <c r="AW160" s="2838"/>
      <c r="AX160" s="2838"/>
      <c r="AY160" s="2837"/>
      <c r="AZ160" s="2836"/>
    </row>
  </sheetData>
  <mergeCells count="132">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AZ97:AZ98"/>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AZ121:AZ123"/>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3"/>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w7_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118" zoomScaleNormal="100" workbookViewId="0">
      <selection activeCell="Z98" sqref="Z98:AE98"/>
    </sheetView>
  </sheetViews>
  <sheetFormatPr defaultColWidth="9" defaultRowHeight="13.5" customHeight="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2865"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2846"/>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2836"/>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2846"/>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2841"/>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2841"/>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2841"/>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2841"/>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2841"/>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2841"/>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2836"/>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2846"/>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2841"/>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2841"/>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2841"/>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2841"/>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2836"/>
    </row>
    <row r="19" spans="2:52" ht="13.5" customHeight="1">
      <c r="B19" s="3498"/>
      <c r="C19" s="3514">
        <v>8</v>
      </c>
      <c r="D19" s="3512" t="s">
        <v>5518</v>
      </c>
      <c r="E19" s="2850"/>
      <c r="F19" s="2849"/>
      <c r="G19" s="2848"/>
      <c r="H19" s="2848"/>
      <c r="I19" s="2848"/>
      <c r="J19" s="2848"/>
      <c r="K19" s="2848"/>
      <c r="L19" s="2848"/>
      <c r="M19" s="2848"/>
      <c r="N19" s="2848"/>
      <c r="O19" s="2848"/>
      <c r="P19" s="2848"/>
      <c r="Q19" s="2848"/>
      <c r="R19" s="2848"/>
      <c r="S19" s="2848"/>
      <c r="T19" s="2848"/>
      <c r="U19" s="2848"/>
      <c r="V19" s="2848"/>
      <c r="W19" s="2848"/>
      <c r="X19" s="2848"/>
      <c r="Y19" s="2848"/>
      <c r="Z19" s="2848"/>
      <c r="AA19" s="2848"/>
      <c r="AB19" s="2848"/>
      <c r="AC19" s="2848"/>
      <c r="AD19" s="2848"/>
      <c r="AE19" s="2848"/>
      <c r="AF19" s="2848"/>
      <c r="AG19" s="2848"/>
      <c r="AH19" s="2848"/>
      <c r="AI19" s="2848"/>
      <c r="AJ19" s="2848"/>
      <c r="AK19" s="2848"/>
      <c r="AL19" s="2848"/>
      <c r="AM19" s="2848"/>
      <c r="AN19" s="2848"/>
      <c r="AO19" s="2848"/>
      <c r="AP19" s="2848"/>
      <c r="AQ19" s="2848"/>
      <c r="AR19" s="2848"/>
      <c r="AS19" s="2848"/>
      <c r="AT19" s="2848"/>
      <c r="AU19" s="2848"/>
      <c r="AV19" s="2848"/>
      <c r="AW19" s="2848"/>
      <c r="AX19" s="2848"/>
      <c r="AY19" s="2847"/>
      <c r="AZ19" s="2846"/>
    </row>
    <row r="20" spans="2:52" ht="13.5" customHeight="1">
      <c r="B20" s="3498"/>
      <c r="C20" s="3498"/>
      <c r="D20" s="3502"/>
      <c r="E20" s="2860" t="s">
        <v>5517</v>
      </c>
      <c r="F20" s="2844"/>
      <c r="G20" s="2844"/>
      <c r="H20" s="2844"/>
      <c r="I20" s="2844"/>
      <c r="J20" s="2844"/>
      <c r="K20" s="2844"/>
      <c r="L20" s="2844"/>
      <c r="M20" s="2844"/>
      <c r="N20" s="2844"/>
      <c r="O20" s="2844"/>
      <c r="P20" s="2844"/>
      <c r="Q20" s="2843"/>
      <c r="R20" s="3519">
        <f>基礎数値!E3</f>
        <v>0</v>
      </c>
      <c r="S20" s="3519"/>
      <c r="T20" s="3519"/>
      <c r="U20" s="3519"/>
      <c r="V20" s="3519"/>
      <c r="W20" s="3519"/>
      <c r="X20" s="2843"/>
      <c r="Y20" s="2851" t="s">
        <v>5476</v>
      </c>
      <c r="Z20" s="2843"/>
      <c r="AA20" s="2843"/>
      <c r="AB20" s="2843"/>
      <c r="AC20" s="2843"/>
      <c r="AD20" s="2843"/>
      <c r="AE20" s="2843"/>
      <c r="AF20" s="2843"/>
      <c r="AG20" s="2843"/>
      <c r="AH20" s="2843"/>
      <c r="AI20" s="2844"/>
      <c r="AJ20" s="2843"/>
      <c r="AK20" s="2843"/>
      <c r="AL20" s="2843"/>
      <c r="AM20" s="2843"/>
      <c r="AN20" s="2843"/>
      <c r="AO20" s="2843"/>
      <c r="AP20" s="2843"/>
      <c r="AQ20" s="2843"/>
      <c r="AR20" s="2843"/>
      <c r="AS20" s="2843"/>
      <c r="AT20" s="2843"/>
      <c r="AU20" s="2843"/>
      <c r="AV20" s="2843"/>
      <c r="AW20" s="2843"/>
      <c r="AX20" s="2843"/>
      <c r="AY20" s="2842"/>
      <c r="AZ20" s="2841"/>
    </row>
    <row r="21" spans="2:52" ht="13.5" customHeight="1">
      <c r="B21" s="3498"/>
      <c r="C21" s="3498"/>
      <c r="D21" s="3502"/>
      <c r="E21" s="2860" t="s">
        <v>5516</v>
      </c>
      <c r="F21" s="2843"/>
      <c r="G21" s="2843"/>
      <c r="H21" s="2843"/>
      <c r="I21" s="2843"/>
      <c r="J21" s="2843"/>
      <c r="K21" s="2843"/>
      <c r="L21" s="2843"/>
      <c r="M21" s="2843"/>
      <c r="N21" s="2843"/>
      <c r="O21" s="2843"/>
      <c r="P21" s="2843"/>
      <c r="Q21" s="2843"/>
      <c r="R21" s="3519">
        <f>基礎数値!E4</f>
        <v>0</v>
      </c>
      <c r="S21" s="3519"/>
      <c r="T21" s="3519"/>
      <c r="U21" s="3519"/>
      <c r="V21" s="3519"/>
      <c r="W21" s="3519"/>
      <c r="X21" s="2843"/>
      <c r="Y21" s="2851" t="s">
        <v>5476</v>
      </c>
      <c r="Z21" s="2843"/>
      <c r="AA21" s="2843"/>
      <c r="AB21" s="2843"/>
      <c r="AC21" s="2843"/>
      <c r="AD21" s="2843"/>
      <c r="AE21" s="2843"/>
      <c r="AF21" s="2843"/>
      <c r="AG21" s="2843"/>
      <c r="AH21" s="2843"/>
      <c r="AI21" s="2843"/>
      <c r="AJ21" s="2843" t="s">
        <v>5447</v>
      </c>
      <c r="AK21" s="3497">
        <f>R20+R21</f>
        <v>0</v>
      </c>
      <c r="AL21" s="3497"/>
      <c r="AM21" s="3497"/>
      <c r="AN21" s="3497"/>
      <c r="AO21" s="3497"/>
      <c r="AP21" s="3497"/>
      <c r="AQ21" s="2843" t="s">
        <v>5515</v>
      </c>
      <c r="AR21" s="2843"/>
      <c r="AS21" s="2843"/>
      <c r="AT21" s="2843"/>
      <c r="AU21" s="2843"/>
      <c r="AV21" s="2843"/>
      <c r="AW21" s="2843"/>
      <c r="AX21" s="2843"/>
      <c r="AY21" s="2842"/>
      <c r="AZ21" s="2841"/>
    </row>
    <row r="22" spans="2:52" ht="13.5" customHeight="1">
      <c r="B22" s="3498"/>
      <c r="C22" s="3498"/>
      <c r="D22" s="3502"/>
      <c r="E22" s="2860"/>
      <c r="F22" s="2843"/>
      <c r="G22" s="2843"/>
      <c r="H22" s="2843"/>
      <c r="I22" s="2843"/>
      <c r="J22" s="2843"/>
      <c r="K22" s="2843"/>
      <c r="L22" s="2843"/>
      <c r="M22" s="2843"/>
      <c r="N22" s="2843"/>
      <c r="O22" s="2843"/>
      <c r="P22" s="2843"/>
      <c r="Q22" s="2843"/>
      <c r="R22" s="2843"/>
      <c r="S22" s="2843"/>
      <c r="T22" s="2843"/>
      <c r="U22" s="2843"/>
      <c r="V22" s="2843"/>
      <c r="W22" s="2843"/>
      <c r="X22" s="2843"/>
      <c r="Y22" s="2843"/>
      <c r="Z22" s="2843"/>
      <c r="AA22" s="2843"/>
      <c r="AB22" s="2843"/>
      <c r="AC22" s="2843"/>
      <c r="AD22" s="2843"/>
      <c r="AE22" s="2843"/>
      <c r="AF22" s="2843"/>
      <c r="AG22" s="2843"/>
      <c r="AH22" s="2843"/>
      <c r="AI22" s="2843"/>
      <c r="AJ22" s="2843"/>
      <c r="AK22" s="2843"/>
      <c r="AL22" s="2843"/>
      <c r="AM22" s="2843"/>
      <c r="AN22" s="2843"/>
      <c r="AO22" s="2843"/>
      <c r="AP22" s="2843"/>
      <c r="AQ22" s="2843"/>
      <c r="AR22" s="2843"/>
      <c r="AS22" s="2843"/>
      <c r="AT22" s="2843"/>
      <c r="AU22" s="2843"/>
      <c r="AV22" s="2843"/>
      <c r="AW22" s="2843"/>
      <c r="AX22" s="2843"/>
      <c r="AY22" s="2842"/>
      <c r="AZ22" s="2841"/>
    </row>
    <row r="23" spans="2:52" ht="13.5" customHeight="1">
      <c r="B23" s="3498"/>
      <c r="C23" s="3498"/>
      <c r="D23" s="3502"/>
      <c r="E23" s="2860" t="s">
        <v>5514</v>
      </c>
      <c r="F23" s="2843"/>
      <c r="G23" s="2843"/>
      <c r="H23" s="2843"/>
      <c r="I23" s="2843"/>
      <c r="J23" s="2843"/>
      <c r="K23" s="2843"/>
      <c r="L23" s="2843"/>
      <c r="M23" s="2843"/>
      <c r="N23" s="2843"/>
      <c r="O23" s="2843"/>
      <c r="P23" s="2843"/>
      <c r="Q23" s="2843"/>
      <c r="R23" s="2843"/>
      <c r="S23" s="2843"/>
      <c r="T23" s="2843"/>
      <c r="U23" s="2843"/>
      <c r="V23" s="2843"/>
      <c r="W23" s="2843"/>
      <c r="X23" s="2843"/>
      <c r="Y23" s="2843"/>
      <c r="Z23" s="2843"/>
      <c r="AA23" s="2843"/>
      <c r="AB23" s="2843"/>
      <c r="AC23" s="2843"/>
      <c r="AD23" s="2843"/>
      <c r="AE23" s="2843"/>
      <c r="AF23" s="2843"/>
      <c r="AG23" s="2843"/>
      <c r="AH23" s="2843"/>
      <c r="AI23" s="2843"/>
      <c r="AJ23" s="2843"/>
      <c r="AK23" s="2843"/>
      <c r="AL23" s="2843"/>
      <c r="AM23" s="2843"/>
      <c r="AN23" s="2843"/>
      <c r="AO23" s="2843"/>
      <c r="AP23" s="2843"/>
      <c r="AQ23" s="2843"/>
      <c r="AR23" s="2843"/>
      <c r="AS23" s="2843"/>
      <c r="AT23" s="2843"/>
      <c r="AU23" s="2843"/>
      <c r="AV23" s="2843"/>
      <c r="AW23" s="2843"/>
      <c r="AX23" s="2843"/>
      <c r="AY23" s="2842"/>
      <c r="AZ23" s="2841"/>
    </row>
    <row r="24" spans="2:52" ht="13.5" customHeight="1">
      <c r="B24" s="3498"/>
      <c r="C24" s="3498"/>
      <c r="D24" s="3502"/>
      <c r="E24" s="2860"/>
      <c r="F24" s="2843"/>
      <c r="G24" s="2843"/>
      <c r="H24" s="2844" t="s">
        <v>5470</v>
      </c>
      <c r="I24" s="2843"/>
      <c r="J24" s="2843"/>
      <c r="K24" s="2843"/>
      <c r="L24" s="2843"/>
      <c r="M24" s="2843"/>
      <c r="N24" s="2843"/>
      <c r="O24" s="2843"/>
      <c r="P24" s="2843"/>
      <c r="Q24" s="2843"/>
      <c r="R24" s="3519">
        <f>基礎数値!E6</f>
        <v>0</v>
      </c>
      <c r="S24" s="3519"/>
      <c r="T24" s="3519"/>
      <c r="U24" s="3519"/>
      <c r="V24" s="3519"/>
      <c r="W24" s="3519"/>
      <c r="X24" s="2843" t="s">
        <v>5513</v>
      </c>
      <c r="Y24" s="2851" t="s">
        <v>5512</v>
      </c>
      <c r="Z24" s="2843"/>
      <c r="AA24" s="2843"/>
      <c r="AB24" s="2843"/>
      <c r="AC24" s="2843"/>
      <c r="AD24" s="2843"/>
      <c r="AE24" s="2843"/>
      <c r="AF24" s="2843"/>
      <c r="AG24" s="2843"/>
      <c r="AH24" s="2843"/>
      <c r="AI24" s="2843"/>
      <c r="AJ24" s="2843"/>
      <c r="AK24" s="2843"/>
      <c r="AL24" s="2843"/>
      <c r="AM24" s="2843"/>
      <c r="AN24" s="2843"/>
      <c r="AO24" s="2843"/>
      <c r="AP24" s="2843"/>
      <c r="AQ24" s="2843"/>
      <c r="AR24" s="2843"/>
      <c r="AS24" s="2843"/>
      <c r="AT24" s="2843"/>
      <c r="AU24" s="2843"/>
      <c r="AV24" s="2843"/>
      <c r="AW24" s="2843"/>
      <c r="AX24" s="2843"/>
      <c r="AY24" s="2842"/>
      <c r="AZ24" s="2841"/>
    </row>
    <row r="25" spans="2:52" ht="13.5" customHeight="1">
      <c r="B25" s="3498"/>
      <c r="C25" s="3498"/>
      <c r="D25" s="3502"/>
      <c r="E25" s="2845"/>
      <c r="F25" s="2844"/>
      <c r="G25" s="2843"/>
      <c r="H25" s="2844" t="s">
        <v>5511</v>
      </c>
      <c r="I25" s="2843"/>
      <c r="J25" s="2843"/>
      <c r="K25" s="2843"/>
      <c r="L25" s="2843"/>
      <c r="M25" s="2843"/>
      <c r="N25" s="2843"/>
      <c r="O25" s="2843"/>
      <c r="P25" s="2843"/>
      <c r="Q25" s="2843"/>
      <c r="R25" s="3519">
        <f>基礎数値!E7</f>
        <v>0</v>
      </c>
      <c r="S25" s="3519"/>
      <c r="T25" s="3519"/>
      <c r="U25" s="3519"/>
      <c r="V25" s="3519"/>
      <c r="W25" s="3519"/>
      <c r="X25" s="2843" t="s">
        <v>5510</v>
      </c>
      <c r="Y25" s="2851" t="s">
        <v>5509</v>
      </c>
      <c r="Z25" s="2843"/>
      <c r="AA25" s="2843"/>
      <c r="AB25" s="2843"/>
      <c r="AC25" s="2843"/>
      <c r="AD25" s="2843"/>
      <c r="AE25" s="2843"/>
      <c r="AF25" s="2843"/>
      <c r="AG25" s="2843"/>
      <c r="AH25" s="2843"/>
      <c r="AI25" s="2843"/>
      <c r="AJ25" s="2843"/>
      <c r="AK25" s="2843"/>
      <c r="AL25" s="2843"/>
      <c r="AM25" s="2843"/>
      <c r="AN25" s="2843"/>
      <c r="AO25" s="2843"/>
      <c r="AP25" s="2843"/>
      <c r="AQ25" s="2843"/>
      <c r="AR25" s="2843"/>
      <c r="AS25" s="2843"/>
      <c r="AT25" s="2843"/>
      <c r="AU25" s="2843"/>
      <c r="AV25" s="2843"/>
      <c r="AW25" s="2843"/>
      <c r="AX25" s="2843"/>
      <c r="AY25" s="2842"/>
      <c r="AZ25" s="2841"/>
    </row>
    <row r="26" spans="2:52" ht="13.5" customHeight="1" thickBot="1">
      <c r="B26" s="3498"/>
      <c r="C26" s="3498"/>
      <c r="D26" s="3502"/>
      <c r="E26" s="2845"/>
      <c r="F26" s="2844"/>
      <c r="G26" s="2843"/>
      <c r="H26" s="2843"/>
      <c r="I26" s="2843"/>
      <c r="J26" s="2843"/>
      <c r="K26" s="2843"/>
      <c r="L26" s="2843"/>
      <c r="M26" s="2843"/>
      <c r="N26" s="2843"/>
      <c r="O26" s="2843"/>
      <c r="P26" s="2843"/>
      <c r="Q26" s="2843"/>
      <c r="R26" s="2843"/>
      <c r="S26" s="2843"/>
      <c r="T26" s="2843"/>
      <c r="U26" s="2843"/>
      <c r="V26" s="2843"/>
      <c r="W26" s="2843"/>
      <c r="X26" s="2843"/>
      <c r="Y26" s="2843"/>
      <c r="Z26" s="2843"/>
      <c r="AA26" s="2843"/>
      <c r="AB26" s="2843"/>
      <c r="AC26" s="2843"/>
      <c r="AD26" s="2843"/>
      <c r="AE26" s="2843"/>
      <c r="AF26" s="2843"/>
      <c r="AG26" s="2843"/>
      <c r="AH26" s="2843"/>
      <c r="AI26" s="2843"/>
      <c r="AJ26" s="2843"/>
      <c r="AK26" s="2843"/>
      <c r="AL26" s="2843"/>
      <c r="AM26" s="2843"/>
      <c r="AN26" s="2843"/>
      <c r="AO26" s="2843"/>
      <c r="AP26" s="2843"/>
      <c r="AQ26" s="2843"/>
      <c r="AR26" s="2843"/>
      <c r="AS26" s="2843"/>
      <c r="AT26" s="2843"/>
      <c r="AU26" s="2843"/>
      <c r="AV26" s="2843"/>
      <c r="AW26" s="2843"/>
      <c r="AX26" s="2843"/>
      <c r="AY26" s="2842"/>
      <c r="AZ26" s="2841"/>
    </row>
    <row r="27" spans="2:52" ht="13.5" customHeight="1" thickTop="1" thickBot="1">
      <c r="B27" s="3498"/>
      <c r="C27" s="3498"/>
      <c r="D27" s="3502"/>
      <c r="E27" s="2845" t="s">
        <v>5445</v>
      </c>
      <c r="F27" s="2844"/>
      <c r="G27" s="2843"/>
      <c r="H27" s="2843"/>
      <c r="I27" s="2843"/>
      <c r="J27" s="2843"/>
      <c r="K27" s="2843"/>
      <c r="L27" s="2843"/>
      <c r="M27" s="2843"/>
      <c r="N27" s="2843"/>
      <c r="O27" s="2843"/>
      <c r="P27" s="2843"/>
      <c r="Q27" s="2843"/>
      <c r="R27" s="3499">
        <f>ROUNDDOWN((AK21-R24-R25)*100/105,0)</f>
        <v>0</v>
      </c>
      <c r="S27" s="3500"/>
      <c r="T27" s="3500"/>
      <c r="U27" s="3500"/>
      <c r="V27" s="3500"/>
      <c r="W27" s="3501"/>
      <c r="X27" s="2843" t="s">
        <v>5508</v>
      </c>
      <c r="Y27" s="2851" t="s">
        <v>5568</v>
      </c>
      <c r="Z27" s="2843"/>
      <c r="AA27" s="2843"/>
      <c r="AB27" s="2843"/>
      <c r="AC27" s="2843"/>
      <c r="AD27" s="2843"/>
      <c r="AE27" s="2843"/>
      <c r="AF27" s="2843"/>
      <c r="AG27" s="2843"/>
      <c r="AH27" s="2843"/>
      <c r="AI27" s="2843"/>
      <c r="AJ27" s="2843"/>
      <c r="AK27" s="2843"/>
      <c r="AL27" s="2843"/>
      <c r="AM27" s="2843"/>
      <c r="AN27" s="2843"/>
      <c r="AO27" s="2843"/>
      <c r="AP27" s="2843"/>
      <c r="AQ27" s="2843"/>
      <c r="AR27" s="2843"/>
      <c r="AS27" s="2843"/>
      <c r="AT27" s="2843"/>
      <c r="AU27" s="2843"/>
      <c r="AV27" s="2843"/>
      <c r="AW27" s="2843"/>
      <c r="AX27" s="2843"/>
      <c r="AY27" s="2842"/>
      <c r="AZ27" s="2841" t="s">
        <v>5506</v>
      </c>
    </row>
    <row r="28" spans="2:52" ht="13.5" customHeight="1" thickTop="1" thickBot="1">
      <c r="B28" s="3498"/>
      <c r="C28" s="3498"/>
      <c r="D28" s="3502"/>
      <c r="E28" s="2845"/>
      <c r="F28" s="2844"/>
      <c r="G28" s="2843"/>
      <c r="H28" s="2843"/>
      <c r="I28" s="2843"/>
      <c r="J28" s="2843"/>
      <c r="K28" s="2843"/>
      <c r="L28" s="2843"/>
      <c r="M28" s="2843"/>
      <c r="N28" s="2843"/>
      <c r="O28" s="2843"/>
      <c r="P28" s="2843"/>
      <c r="Q28" s="2843"/>
      <c r="R28" s="2843"/>
      <c r="S28" s="2843"/>
      <c r="T28" s="2843"/>
      <c r="U28" s="2843"/>
      <c r="V28" s="2843"/>
      <c r="W28" s="2843"/>
      <c r="X28" s="2843"/>
      <c r="Y28" s="2843"/>
      <c r="Z28" s="2843"/>
      <c r="AA28" s="2843"/>
      <c r="AB28" s="2843"/>
      <c r="AC28" s="2843"/>
      <c r="AD28" s="2843"/>
      <c r="AE28" s="2843"/>
      <c r="AF28" s="2843"/>
      <c r="AG28" s="2843"/>
      <c r="AH28" s="2843"/>
      <c r="AI28" s="2843"/>
      <c r="AJ28" s="2843"/>
      <c r="AK28" s="2843"/>
      <c r="AL28" s="2843"/>
      <c r="AM28" s="2843"/>
      <c r="AN28" s="2843"/>
      <c r="AO28" s="2843"/>
      <c r="AP28" s="2843"/>
      <c r="AQ28" s="2843"/>
      <c r="AR28" s="2843"/>
      <c r="AS28" s="2843"/>
      <c r="AT28" s="2843"/>
      <c r="AU28" s="2843"/>
      <c r="AV28" s="2843"/>
      <c r="AW28" s="2843"/>
      <c r="AX28" s="2843"/>
      <c r="AY28" s="2842"/>
      <c r="AZ28" s="2841"/>
    </row>
    <row r="29" spans="2:52" ht="13.5" customHeight="1" thickTop="1" thickBot="1">
      <c r="B29" s="3498"/>
      <c r="C29" s="3498"/>
      <c r="D29" s="3502"/>
      <c r="E29" s="2845" t="s">
        <v>5505</v>
      </c>
      <c r="F29" s="2844"/>
      <c r="G29" s="2843"/>
      <c r="H29" s="2843"/>
      <c r="I29" s="2843"/>
      <c r="J29" s="2843"/>
      <c r="K29" s="2843"/>
      <c r="L29" s="2843"/>
      <c r="M29" s="2843"/>
      <c r="N29" s="2843"/>
      <c r="O29" s="2843"/>
      <c r="P29" s="2843"/>
      <c r="Q29" s="2843"/>
      <c r="R29" s="3499">
        <f>ROUNDDOWN((AK21-R24)*100/105,-3)</f>
        <v>0</v>
      </c>
      <c r="S29" s="3500"/>
      <c r="T29" s="3500"/>
      <c r="U29" s="3500"/>
      <c r="V29" s="3500"/>
      <c r="W29" s="3501"/>
      <c r="X29" s="2843" t="s">
        <v>5504</v>
      </c>
      <c r="Y29" s="2851" t="s">
        <v>5567</v>
      </c>
      <c r="Z29" s="2843"/>
      <c r="AA29" s="2843"/>
      <c r="AB29" s="2843"/>
      <c r="AC29" s="2843"/>
      <c r="AD29" s="2843"/>
      <c r="AE29" s="2843"/>
      <c r="AF29" s="2843"/>
      <c r="AG29" s="2843"/>
      <c r="AH29" s="2843"/>
      <c r="AI29" s="2843"/>
      <c r="AJ29" s="2843"/>
      <c r="AK29" s="2843"/>
      <c r="AL29" s="2843"/>
      <c r="AM29" s="2843"/>
      <c r="AN29" s="2843"/>
      <c r="AO29" s="2843"/>
      <c r="AP29" s="2843"/>
      <c r="AQ29" s="2843"/>
      <c r="AR29" s="2843"/>
      <c r="AS29" s="2843"/>
      <c r="AT29" s="2843"/>
      <c r="AU29" s="2843"/>
      <c r="AV29" s="2843"/>
      <c r="AW29" s="2843"/>
      <c r="AX29" s="2843"/>
      <c r="AY29" s="2842"/>
      <c r="AZ29" s="2841" t="s">
        <v>5502</v>
      </c>
    </row>
    <row r="30" spans="2:52" ht="13.5" customHeight="1" thickTop="1" thickBot="1">
      <c r="B30" s="3498"/>
      <c r="C30" s="3498"/>
      <c r="D30" s="3502"/>
      <c r="E30" s="2845"/>
      <c r="F30" s="2844"/>
      <c r="G30" s="2843"/>
      <c r="H30" s="2843"/>
      <c r="I30" s="2843"/>
      <c r="J30" s="2843"/>
      <c r="K30" s="2843"/>
      <c r="L30" s="2843"/>
      <c r="M30" s="2843"/>
      <c r="N30" s="2843"/>
      <c r="O30" s="2843"/>
      <c r="P30" s="2843"/>
      <c r="Q30" s="2843"/>
      <c r="R30" s="2843"/>
      <c r="S30" s="2843"/>
      <c r="T30" s="2843"/>
      <c r="U30" s="2843"/>
      <c r="V30" s="2843"/>
      <c r="W30" s="2843"/>
      <c r="X30" s="2843"/>
      <c r="Y30" s="2843"/>
      <c r="Z30" s="2843"/>
      <c r="AA30" s="2843"/>
      <c r="AB30" s="2843"/>
      <c r="AC30" s="2843"/>
      <c r="AD30" s="2843"/>
      <c r="AE30" s="2843"/>
      <c r="AF30" s="2843"/>
      <c r="AG30" s="2843"/>
      <c r="AH30" s="2843"/>
      <c r="AI30" s="2843"/>
      <c r="AJ30" s="2843"/>
      <c r="AK30" s="2843"/>
      <c r="AL30" s="2843"/>
      <c r="AM30" s="2843"/>
      <c r="AN30" s="2843"/>
      <c r="AO30" s="2843"/>
      <c r="AP30" s="2843"/>
      <c r="AQ30" s="2843"/>
      <c r="AR30" s="2843"/>
      <c r="AS30" s="2843"/>
      <c r="AT30" s="2843"/>
      <c r="AU30" s="2843"/>
      <c r="AV30" s="2843"/>
      <c r="AW30" s="2843"/>
      <c r="AX30" s="2843"/>
      <c r="AY30" s="2842"/>
      <c r="AZ30" s="2841"/>
    </row>
    <row r="31" spans="2:52" ht="13.5" customHeight="1" thickTop="1" thickBot="1">
      <c r="B31" s="3498"/>
      <c r="C31" s="3498"/>
      <c r="D31" s="3502"/>
      <c r="E31" s="2845" t="s">
        <v>5501</v>
      </c>
      <c r="F31" s="2844"/>
      <c r="G31" s="2843"/>
      <c r="H31" s="2843"/>
      <c r="I31" s="2843"/>
      <c r="J31" s="2843"/>
      <c r="K31" s="2843"/>
      <c r="L31" s="2843"/>
      <c r="M31" s="2843"/>
      <c r="N31" s="2843"/>
      <c r="O31" s="2843"/>
      <c r="P31" s="2843"/>
      <c r="Q31" s="2843"/>
      <c r="R31" s="3499">
        <f>ROUNDDOWN(R29*4/100,0)</f>
        <v>0</v>
      </c>
      <c r="S31" s="3500"/>
      <c r="T31" s="3500"/>
      <c r="U31" s="3500"/>
      <c r="V31" s="3500"/>
      <c r="W31" s="3501"/>
      <c r="X31" s="2843" t="s">
        <v>5500</v>
      </c>
      <c r="Y31" s="2851" t="s">
        <v>5566</v>
      </c>
      <c r="Z31" s="2843"/>
      <c r="AA31" s="2843"/>
      <c r="AB31" s="2843"/>
      <c r="AC31" s="2843"/>
      <c r="AD31" s="2843"/>
      <c r="AE31" s="2843"/>
      <c r="AF31" s="2843"/>
      <c r="AG31" s="2843"/>
      <c r="AH31" s="2843"/>
      <c r="AI31" s="2843"/>
      <c r="AJ31" s="2843"/>
      <c r="AK31" s="2843"/>
      <c r="AL31" s="2843"/>
      <c r="AM31" s="2843"/>
      <c r="AN31" s="2843"/>
      <c r="AO31" s="2843"/>
      <c r="AP31" s="2843"/>
      <c r="AQ31" s="2843"/>
      <c r="AR31" s="2843"/>
      <c r="AS31" s="2843"/>
      <c r="AT31" s="2843"/>
      <c r="AU31" s="2843"/>
      <c r="AV31" s="2843"/>
      <c r="AW31" s="2843"/>
      <c r="AX31" s="2843"/>
      <c r="AY31" s="2842"/>
      <c r="AZ31" s="2841" t="s">
        <v>5498</v>
      </c>
    </row>
    <row r="32" spans="2:52" ht="13.5" customHeight="1" thickTop="1">
      <c r="B32" s="3503"/>
      <c r="C32" s="3503"/>
      <c r="D32" s="3513"/>
      <c r="E32" s="2840"/>
      <c r="F32" s="2839"/>
      <c r="G32" s="2838"/>
      <c r="H32" s="2838"/>
      <c r="I32" s="2838"/>
      <c r="J32" s="2838"/>
      <c r="K32" s="2838"/>
      <c r="L32" s="2838"/>
      <c r="M32" s="2838"/>
      <c r="N32" s="2838"/>
      <c r="O32" s="2838"/>
      <c r="P32" s="2838"/>
      <c r="Q32" s="2838"/>
      <c r="R32" s="2838"/>
      <c r="S32" s="2838"/>
      <c r="T32" s="2838"/>
      <c r="U32" s="2838"/>
      <c r="V32" s="2838"/>
      <c r="W32" s="2838"/>
      <c r="X32" s="2838"/>
      <c r="Y32" s="2838"/>
      <c r="Z32" s="2838"/>
      <c r="AA32" s="2838"/>
      <c r="AB32" s="2838"/>
      <c r="AC32" s="2838"/>
      <c r="AD32" s="2838"/>
      <c r="AE32" s="2838"/>
      <c r="AF32" s="2838"/>
      <c r="AG32" s="2838"/>
      <c r="AH32" s="2838"/>
      <c r="AI32" s="2838"/>
      <c r="AJ32" s="2838"/>
      <c r="AK32" s="2838"/>
      <c r="AL32" s="2838"/>
      <c r="AM32" s="2838"/>
      <c r="AN32" s="2838"/>
      <c r="AO32" s="2838"/>
      <c r="AP32" s="2838"/>
      <c r="AQ32" s="2838"/>
      <c r="AR32" s="2838"/>
      <c r="AS32" s="2838"/>
      <c r="AT32" s="2838"/>
      <c r="AU32" s="2838"/>
      <c r="AV32" s="2838"/>
      <c r="AW32" s="2838"/>
      <c r="AX32" s="2838"/>
      <c r="AY32" s="2837"/>
      <c r="AZ32" s="2836"/>
    </row>
    <row r="33" spans="2:52" ht="13.5" customHeight="1">
      <c r="B33" s="3514" t="s">
        <v>5427</v>
      </c>
      <c r="C33" s="3514">
        <v>1</v>
      </c>
      <c r="D33" s="3514" t="s">
        <v>5497</v>
      </c>
      <c r="E33" s="2850"/>
      <c r="F33" s="2849"/>
      <c r="G33" s="2848"/>
      <c r="H33" s="2848"/>
      <c r="I33" s="2848"/>
      <c r="J33" s="2848"/>
      <c r="K33" s="2848"/>
      <c r="L33" s="2848"/>
      <c r="M33" s="2848"/>
      <c r="N33" s="2848"/>
      <c r="O33" s="2848"/>
      <c r="P33" s="2848"/>
      <c r="Q33" s="2848"/>
      <c r="R33" s="2848"/>
      <c r="S33" s="2848"/>
      <c r="T33" s="2848"/>
      <c r="U33" s="2848"/>
      <c r="V33" s="2848"/>
      <c r="W33" s="2848"/>
      <c r="X33" s="2848"/>
      <c r="Y33" s="2848"/>
      <c r="Z33" s="2848"/>
      <c r="AA33" s="2848"/>
      <c r="AB33" s="2848"/>
      <c r="AC33" s="2848"/>
      <c r="AD33" s="2848"/>
      <c r="AE33" s="2848"/>
      <c r="AF33" s="2848"/>
      <c r="AG33" s="2848"/>
      <c r="AH33" s="2848"/>
      <c r="AI33" s="2848"/>
      <c r="AJ33" s="2848"/>
      <c r="AK33" s="2848"/>
      <c r="AL33" s="2848"/>
      <c r="AM33" s="2848"/>
      <c r="AN33" s="2848"/>
      <c r="AO33" s="2848"/>
      <c r="AP33" s="2848"/>
      <c r="AQ33" s="2848"/>
      <c r="AR33" s="2848"/>
      <c r="AS33" s="2848"/>
      <c r="AT33" s="2848"/>
      <c r="AU33" s="2848"/>
      <c r="AV33" s="2848"/>
      <c r="AW33" s="2848"/>
      <c r="AX33" s="2848"/>
      <c r="AY33" s="2847"/>
      <c r="AZ33" s="2846"/>
    </row>
    <row r="34" spans="2:52" ht="13.5" customHeight="1">
      <c r="B34" s="3498"/>
      <c r="C34" s="3498"/>
      <c r="D34" s="3498"/>
      <c r="E34" s="2845" t="s">
        <v>5496</v>
      </c>
      <c r="F34" s="2844"/>
      <c r="G34" s="2843"/>
      <c r="H34" s="2843"/>
      <c r="I34" s="2843"/>
      <c r="J34" s="2843"/>
      <c r="K34" s="2843"/>
      <c r="L34" s="2843"/>
      <c r="M34" s="2843"/>
      <c r="N34" s="2843"/>
      <c r="O34" s="2843"/>
      <c r="P34" s="2843"/>
      <c r="Q34" s="2843"/>
      <c r="R34" s="2864"/>
      <c r="S34" s="2864"/>
      <c r="T34" s="2864"/>
      <c r="U34" s="2864"/>
      <c r="V34" s="2864"/>
      <c r="W34" s="2864"/>
      <c r="X34" s="2861"/>
      <c r="Y34" s="2862"/>
      <c r="Z34" s="2861"/>
      <c r="AA34" s="2861"/>
      <c r="AB34" s="2861"/>
      <c r="AC34" s="2861"/>
      <c r="AD34" s="2861"/>
      <c r="AE34" s="2861"/>
      <c r="AF34" s="2861"/>
      <c r="AG34" s="2861"/>
      <c r="AH34" s="2861"/>
      <c r="AI34" s="2861"/>
      <c r="AJ34" s="2861"/>
      <c r="AK34" s="2861"/>
      <c r="AL34" s="2861"/>
      <c r="AM34" s="2861"/>
      <c r="AN34" s="2861"/>
      <c r="AO34" s="2861"/>
      <c r="AP34" s="2861"/>
      <c r="AQ34" s="2861"/>
      <c r="AR34" s="2843"/>
      <c r="AS34" s="2843"/>
      <c r="AT34" s="2843"/>
      <c r="AU34" s="2843"/>
      <c r="AV34" s="2843"/>
      <c r="AW34" s="2843"/>
      <c r="AX34" s="2843"/>
      <c r="AY34" s="2842"/>
      <c r="AZ34" s="2841"/>
    </row>
    <row r="35" spans="2:52" ht="13.5" customHeight="1">
      <c r="B35" s="3498"/>
      <c r="C35" s="3498"/>
      <c r="D35" s="3498"/>
      <c r="E35" s="2845" t="s">
        <v>5495</v>
      </c>
      <c r="F35" s="2844"/>
      <c r="G35" s="2843"/>
      <c r="H35" s="2843"/>
      <c r="I35" s="2843"/>
      <c r="J35" s="2843"/>
      <c r="K35" s="2843"/>
      <c r="L35" s="2843"/>
      <c r="M35" s="2843"/>
      <c r="N35" s="2843"/>
      <c r="O35" s="2843"/>
      <c r="P35" s="2843"/>
      <c r="Q35" s="2843"/>
      <c r="R35" s="2864"/>
      <c r="S35" s="2864"/>
      <c r="T35" s="2864"/>
      <c r="U35" s="2864"/>
      <c r="V35" s="2864"/>
      <c r="W35" s="2864"/>
      <c r="X35" s="2861"/>
      <c r="Y35" s="2862"/>
      <c r="Z35" s="2861"/>
      <c r="AA35" s="2861"/>
      <c r="AB35" s="2861"/>
      <c r="AC35" s="2861"/>
      <c r="AD35" s="2861"/>
      <c r="AE35" s="2861"/>
      <c r="AF35" s="2861"/>
      <c r="AG35" s="2861"/>
      <c r="AH35" s="2861"/>
      <c r="AI35" s="2861"/>
      <c r="AJ35" s="2861"/>
      <c r="AK35" s="2861"/>
      <c r="AL35" s="2861"/>
      <c r="AM35" s="2861"/>
      <c r="AN35" s="2861"/>
      <c r="AO35" s="2861"/>
      <c r="AP35" s="2861"/>
      <c r="AQ35" s="2861"/>
      <c r="AR35" s="2843"/>
      <c r="AS35" s="2843"/>
      <c r="AT35" s="2843"/>
      <c r="AU35" s="2843"/>
      <c r="AV35" s="2843"/>
      <c r="AW35" s="2843"/>
      <c r="AX35" s="2843"/>
      <c r="AY35" s="2842"/>
      <c r="AZ35" s="2841"/>
    </row>
    <row r="36" spans="2:52" ht="13.5" customHeight="1">
      <c r="B36" s="3498"/>
      <c r="C36" s="3498"/>
      <c r="D36" s="3498"/>
      <c r="E36" s="2845" t="s">
        <v>5494</v>
      </c>
      <c r="F36" s="2844"/>
      <c r="G36" s="2843"/>
      <c r="H36" s="2843"/>
      <c r="I36" s="2843"/>
      <c r="J36" s="2843"/>
      <c r="K36" s="2843"/>
      <c r="L36" s="2843"/>
      <c r="M36" s="2843"/>
      <c r="N36" s="2843"/>
      <c r="O36" s="2843"/>
      <c r="P36" s="2843"/>
      <c r="Q36" s="2843"/>
      <c r="R36" s="2864"/>
      <c r="S36" s="2864"/>
      <c r="T36" s="2864"/>
      <c r="U36" s="2864"/>
      <c r="V36" s="2864"/>
      <c r="W36" s="2864"/>
      <c r="X36" s="2861"/>
      <c r="Y36" s="2862"/>
      <c r="Z36" s="2861"/>
      <c r="AA36" s="2861"/>
      <c r="AB36" s="2861"/>
      <c r="AC36" s="2861"/>
      <c r="AD36" s="2861"/>
      <c r="AE36" s="2861"/>
      <c r="AF36" s="2861"/>
      <c r="AG36" s="2861"/>
      <c r="AH36" s="2861"/>
      <c r="AI36" s="2861"/>
      <c r="AJ36" s="2861"/>
      <c r="AK36" s="2861"/>
      <c r="AL36" s="2861"/>
      <c r="AM36" s="2861"/>
      <c r="AN36" s="2861"/>
      <c r="AO36" s="2861"/>
      <c r="AP36" s="2861"/>
      <c r="AQ36" s="2861"/>
      <c r="AR36" s="2843"/>
      <c r="AS36" s="2843"/>
      <c r="AT36" s="2843"/>
      <c r="AU36" s="2843"/>
      <c r="AV36" s="2843"/>
      <c r="AW36" s="2843"/>
      <c r="AX36" s="2843"/>
      <c r="AY36" s="2842"/>
      <c r="AZ36" s="3502"/>
    </row>
    <row r="37" spans="2:52" ht="13.5" customHeight="1">
      <c r="B37" s="3498"/>
      <c r="C37" s="3498"/>
      <c r="D37" s="3498"/>
      <c r="E37" s="2845"/>
      <c r="F37" s="2844"/>
      <c r="G37" s="2843"/>
      <c r="H37" s="2843"/>
      <c r="I37" s="2843"/>
      <c r="J37" s="2843"/>
      <c r="K37" s="2843"/>
      <c r="L37" s="2843"/>
      <c r="M37" s="2843"/>
      <c r="N37" s="2843"/>
      <c r="O37" s="2843"/>
      <c r="P37" s="2843"/>
      <c r="Q37" s="2843"/>
      <c r="R37" s="2861"/>
      <c r="S37" s="2861"/>
      <c r="T37" s="2861"/>
      <c r="U37" s="2861"/>
      <c r="V37" s="2861"/>
      <c r="W37" s="2861"/>
      <c r="X37" s="2861"/>
      <c r="Y37" s="2861"/>
      <c r="Z37" s="2861"/>
      <c r="AA37" s="2861"/>
      <c r="AB37" s="2861"/>
      <c r="AC37" s="2861"/>
      <c r="AD37" s="2861"/>
      <c r="AE37" s="2861"/>
      <c r="AF37" s="2861"/>
      <c r="AG37" s="2861"/>
      <c r="AH37" s="2861"/>
      <c r="AI37" s="2861"/>
      <c r="AJ37" s="2861"/>
      <c r="AK37" s="2861"/>
      <c r="AL37" s="2861"/>
      <c r="AM37" s="2861"/>
      <c r="AN37" s="2861"/>
      <c r="AO37" s="2861"/>
      <c r="AP37" s="2861"/>
      <c r="AQ37" s="2861"/>
      <c r="AR37" s="2843"/>
      <c r="AS37" s="2843"/>
      <c r="AT37" s="2843"/>
      <c r="AU37" s="2843"/>
      <c r="AV37" s="2843"/>
      <c r="AW37" s="2843"/>
      <c r="AX37" s="2843"/>
      <c r="AY37" s="2842"/>
      <c r="AZ37" s="3502"/>
    </row>
    <row r="38" spans="2:52" ht="13.5" customHeight="1">
      <c r="B38" s="3498"/>
      <c r="C38" s="3498"/>
      <c r="D38" s="3498"/>
      <c r="E38" s="2860" t="s">
        <v>5493</v>
      </c>
      <c r="F38" s="2844"/>
      <c r="G38" s="2843"/>
      <c r="H38" s="2843"/>
      <c r="I38" s="2843"/>
      <c r="J38" s="2843"/>
      <c r="K38" s="2843"/>
      <c r="L38" s="2843"/>
      <c r="M38" s="2843"/>
      <c r="N38" s="2843"/>
      <c r="O38" s="2843"/>
      <c r="P38" s="2843"/>
      <c r="Q38" s="2843"/>
      <c r="R38" s="2864"/>
      <c r="S38" s="2864"/>
      <c r="T38" s="2864"/>
      <c r="U38" s="2864"/>
      <c r="V38" s="2864"/>
      <c r="W38" s="2864"/>
      <c r="X38" s="2861"/>
      <c r="Y38" s="2862"/>
      <c r="Z38" s="2861"/>
      <c r="AA38" s="2861"/>
      <c r="AB38" s="2861"/>
      <c r="AC38" s="2861"/>
      <c r="AD38" s="2861"/>
      <c r="AE38" s="2861"/>
      <c r="AF38" s="2861"/>
      <c r="AG38" s="2861"/>
      <c r="AH38" s="2861"/>
      <c r="AI38" s="2861"/>
      <c r="AJ38" s="2861"/>
      <c r="AK38" s="2861"/>
      <c r="AL38" s="2861"/>
      <c r="AM38" s="2861"/>
      <c r="AN38" s="2861"/>
      <c r="AO38" s="2861"/>
      <c r="AP38" s="2861"/>
      <c r="AQ38" s="2861"/>
      <c r="AR38" s="2843"/>
      <c r="AS38" s="2843"/>
      <c r="AT38" s="2843"/>
      <c r="AU38" s="2843"/>
      <c r="AV38" s="2843"/>
      <c r="AW38" s="2843"/>
      <c r="AX38" s="2843"/>
      <c r="AY38" s="2842"/>
      <c r="AZ38" s="2841"/>
    </row>
    <row r="39" spans="2:52" ht="13.5" customHeight="1">
      <c r="B39" s="3498"/>
      <c r="C39" s="3498"/>
      <c r="D39" s="3498"/>
      <c r="E39" s="2860" t="s">
        <v>5492</v>
      </c>
      <c r="F39" s="2844"/>
      <c r="G39" s="2843"/>
      <c r="H39" s="2843"/>
      <c r="I39" s="2843"/>
      <c r="J39" s="2843"/>
      <c r="K39" s="2843"/>
      <c r="L39" s="2843"/>
      <c r="M39" s="2843"/>
      <c r="N39" s="2843"/>
      <c r="O39" s="2843"/>
      <c r="P39" s="2843"/>
      <c r="Q39" s="2843"/>
      <c r="R39" s="2864"/>
      <c r="S39" s="2864"/>
      <c r="T39" s="2864"/>
      <c r="U39" s="2864"/>
      <c r="V39" s="2864"/>
      <c r="W39" s="2864"/>
      <c r="X39" s="2861"/>
      <c r="Y39" s="2862"/>
      <c r="Z39" s="2861"/>
      <c r="AA39" s="2861"/>
      <c r="AB39" s="2861"/>
      <c r="AC39" s="2861"/>
      <c r="AD39" s="2861"/>
      <c r="AE39" s="2861"/>
      <c r="AF39" s="2861"/>
      <c r="AG39" s="2861"/>
      <c r="AH39" s="2861"/>
      <c r="AI39" s="2861"/>
      <c r="AJ39" s="2861"/>
      <c r="AK39" s="2864"/>
      <c r="AL39" s="2864"/>
      <c r="AM39" s="2864"/>
      <c r="AN39" s="2864"/>
      <c r="AO39" s="2864"/>
      <c r="AP39" s="2864"/>
      <c r="AQ39" s="2861"/>
      <c r="AR39" s="2843"/>
      <c r="AS39" s="2843"/>
      <c r="AT39" s="2843"/>
      <c r="AU39" s="2843"/>
      <c r="AV39" s="2843"/>
      <c r="AW39" s="2843"/>
      <c r="AX39" s="2843"/>
      <c r="AY39" s="2842"/>
      <c r="AZ39" s="2841"/>
    </row>
    <row r="40" spans="2:52" ht="13.5" customHeight="1">
      <c r="B40" s="3498"/>
      <c r="C40" s="3498"/>
      <c r="D40" s="3498"/>
      <c r="E40" s="2845" t="s">
        <v>5491</v>
      </c>
      <c r="F40" s="2844"/>
      <c r="G40" s="2843"/>
      <c r="H40" s="2843"/>
      <c r="I40" s="2843"/>
      <c r="J40" s="2843"/>
      <c r="K40" s="2843"/>
      <c r="L40" s="2843"/>
      <c r="M40" s="2843"/>
      <c r="N40" s="2843"/>
      <c r="O40" s="2843"/>
      <c r="P40" s="2843"/>
      <c r="Q40" s="2843"/>
      <c r="R40" s="2864"/>
      <c r="S40" s="2864"/>
      <c r="T40" s="2864"/>
      <c r="U40" s="2864"/>
      <c r="V40" s="2864"/>
      <c r="W40" s="2864"/>
      <c r="X40" s="2861"/>
      <c r="Y40" s="2862"/>
      <c r="Z40" s="2861"/>
      <c r="AA40" s="2861"/>
      <c r="AB40" s="2861"/>
      <c r="AC40" s="2861"/>
      <c r="AD40" s="2861"/>
      <c r="AE40" s="2861"/>
      <c r="AF40" s="2861"/>
      <c r="AG40" s="2861"/>
      <c r="AH40" s="2861"/>
      <c r="AI40" s="2861"/>
      <c r="AJ40" s="2861"/>
      <c r="AK40" s="2861"/>
      <c r="AL40" s="2861"/>
      <c r="AM40" s="2861"/>
      <c r="AN40" s="2861"/>
      <c r="AO40" s="2861"/>
      <c r="AP40" s="2861"/>
      <c r="AQ40" s="2861"/>
      <c r="AR40" s="2843"/>
      <c r="AS40" s="2843"/>
      <c r="AT40" s="2843"/>
      <c r="AU40" s="2843"/>
      <c r="AV40" s="2843"/>
      <c r="AW40" s="2843"/>
      <c r="AX40" s="2843"/>
      <c r="AY40" s="2842"/>
      <c r="AZ40" s="3502"/>
    </row>
    <row r="41" spans="2:52" ht="13.5" customHeight="1">
      <c r="B41" s="3498"/>
      <c r="C41" s="3498"/>
      <c r="D41" s="3498"/>
      <c r="E41" s="2845"/>
      <c r="F41" s="2844"/>
      <c r="G41" s="2843"/>
      <c r="H41" s="2843"/>
      <c r="I41" s="2843"/>
      <c r="J41" s="2843"/>
      <c r="K41" s="2843"/>
      <c r="L41" s="2843"/>
      <c r="M41" s="2843"/>
      <c r="N41" s="2843"/>
      <c r="O41" s="2843"/>
      <c r="P41" s="2843"/>
      <c r="Q41" s="2843"/>
      <c r="R41" s="2861"/>
      <c r="S41" s="2861"/>
      <c r="T41" s="2861"/>
      <c r="U41" s="2861"/>
      <c r="V41" s="2861"/>
      <c r="W41" s="2861"/>
      <c r="X41" s="2861"/>
      <c r="Y41" s="2861"/>
      <c r="Z41" s="2861"/>
      <c r="AA41" s="2861"/>
      <c r="AB41" s="2861"/>
      <c r="AC41" s="2861"/>
      <c r="AD41" s="2861"/>
      <c r="AE41" s="2861"/>
      <c r="AF41" s="2861"/>
      <c r="AG41" s="2861"/>
      <c r="AH41" s="2861"/>
      <c r="AI41" s="2861"/>
      <c r="AJ41" s="2861"/>
      <c r="AK41" s="2861"/>
      <c r="AL41" s="2861"/>
      <c r="AM41" s="2861"/>
      <c r="AN41" s="2861"/>
      <c r="AO41" s="2861"/>
      <c r="AP41" s="2861"/>
      <c r="AQ41" s="2861"/>
      <c r="AR41" s="2843"/>
      <c r="AS41" s="2843"/>
      <c r="AT41" s="2843"/>
      <c r="AU41" s="2843"/>
      <c r="AV41" s="2843"/>
      <c r="AW41" s="2843"/>
      <c r="AX41" s="2843"/>
      <c r="AY41" s="2842"/>
      <c r="AZ41" s="3498"/>
    </row>
    <row r="42" spans="2:52" ht="13.5" customHeight="1">
      <c r="B42" s="3498"/>
      <c r="C42" s="3498"/>
      <c r="D42" s="3498"/>
      <c r="E42" s="2845" t="s">
        <v>5427</v>
      </c>
      <c r="F42" s="2844"/>
      <c r="G42" s="2843"/>
      <c r="H42" s="2843"/>
      <c r="I42" s="2843"/>
      <c r="J42" s="2843"/>
      <c r="K42" s="2843"/>
      <c r="L42" s="2843"/>
      <c r="M42" s="2843"/>
      <c r="N42" s="2843"/>
      <c r="O42" s="2843"/>
      <c r="P42" s="2843"/>
      <c r="Q42" s="2843"/>
      <c r="R42" s="2863"/>
      <c r="S42" s="2863"/>
      <c r="T42" s="2863"/>
      <c r="U42" s="2863"/>
      <c r="V42" s="2863"/>
      <c r="W42" s="2863"/>
      <c r="X42" s="2861"/>
      <c r="Y42" s="2862"/>
      <c r="Z42" s="2861"/>
      <c r="AA42" s="2861"/>
      <c r="AB42" s="2861"/>
      <c r="AC42" s="2861"/>
      <c r="AD42" s="2861"/>
      <c r="AE42" s="2861"/>
      <c r="AF42" s="2861"/>
      <c r="AG42" s="2861"/>
      <c r="AH42" s="2861"/>
      <c r="AI42" s="2861"/>
      <c r="AJ42" s="2861"/>
      <c r="AK42" s="2861"/>
      <c r="AL42" s="2861"/>
      <c r="AM42" s="2861"/>
      <c r="AN42" s="2861"/>
      <c r="AO42" s="2861"/>
      <c r="AP42" s="2861"/>
      <c r="AQ42" s="2861"/>
      <c r="AR42" s="2843"/>
      <c r="AS42" s="2843"/>
      <c r="AT42" s="2843"/>
      <c r="AU42" s="2843"/>
      <c r="AV42" s="2843"/>
      <c r="AW42" s="2843"/>
      <c r="AX42" s="2843"/>
      <c r="AY42" s="2842"/>
      <c r="AZ42" s="2841"/>
    </row>
    <row r="43" spans="2:52" ht="13.5" customHeight="1">
      <c r="B43" s="3503"/>
      <c r="C43" s="3503"/>
      <c r="D43" s="3503"/>
      <c r="E43" s="2840"/>
      <c r="F43" s="2839"/>
      <c r="G43" s="2838"/>
      <c r="H43" s="2838"/>
      <c r="I43" s="2838"/>
      <c r="J43" s="2838"/>
      <c r="K43" s="2838"/>
      <c r="L43" s="2838"/>
      <c r="M43" s="2838"/>
      <c r="N43" s="2838"/>
      <c r="O43" s="2838"/>
      <c r="P43" s="2838"/>
      <c r="Q43" s="2838"/>
      <c r="R43" s="2838"/>
      <c r="S43" s="2838"/>
      <c r="T43" s="2838"/>
      <c r="U43" s="2838"/>
      <c r="V43" s="2838"/>
      <c r="W43" s="2838"/>
      <c r="X43" s="2838"/>
      <c r="Y43" s="2838"/>
      <c r="Z43" s="2838"/>
      <c r="AA43" s="2838"/>
      <c r="AB43" s="2838"/>
      <c r="AC43" s="2838"/>
      <c r="AD43" s="2838"/>
      <c r="AE43" s="2838"/>
      <c r="AF43" s="2838"/>
      <c r="AG43" s="2838"/>
      <c r="AH43" s="2838"/>
      <c r="AI43" s="2838"/>
      <c r="AJ43" s="2838"/>
      <c r="AK43" s="2838"/>
      <c r="AL43" s="2838"/>
      <c r="AM43" s="2838"/>
      <c r="AN43" s="2838"/>
      <c r="AO43" s="2838"/>
      <c r="AP43" s="2838"/>
      <c r="AQ43" s="2838"/>
      <c r="AR43" s="2838"/>
      <c r="AS43" s="2838"/>
      <c r="AT43" s="2838"/>
      <c r="AU43" s="2838"/>
      <c r="AV43" s="2838"/>
      <c r="AW43" s="2838"/>
      <c r="AX43" s="2838"/>
      <c r="AY43" s="2837"/>
      <c r="AZ43" s="2836"/>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2846"/>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2841"/>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2836"/>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2846"/>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2841"/>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2841"/>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2841"/>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2836"/>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2841"/>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2841"/>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2846"/>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2836"/>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2841"/>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2841"/>
    </row>
    <row r="58" spans="2:52" ht="13.5" customHeight="1">
      <c r="B58" s="3498"/>
      <c r="C58" s="3514">
        <v>7</v>
      </c>
      <c r="D58" s="3512" t="s">
        <v>5479</v>
      </c>
      <c r="E58" s="2850"/>
      <c r="F58" s="2849"/>
      <c r="G58" s="2848"/>
      <c r="H58" s="2848"/>
      <c r="I58" s="2848"/>
      <c r="J58" s="2848"/>
      <c r="K58" s="2848"/>
      <c r="L58" s="2848"/>
      <c r="M58" s="2848"/>
      <c r="N58" s="2848"/>
      <c r="O58" s="2848"/>
      <c r="P58" s="2848"/>
      <c r="Q58" s="2848"/>
      <c r="R58" s="2848"/>
      <c r="S58" s="2848"/>
      <c r="T58" s="2848"/>
      <c r="U58" s="2848"/>
      <c r="V58" s="2848"/>
      <c r="W58" s="2848"/>
      <c r="X58" s="2848"/>
      <c r="Y58" s="2848"/>
      <c r="Z58" s="2848"/>
      <c r="AA58" s="2848"/>
      <c r="AB58" s="2848"/>
      <c r="AC58" s="2848"/>
      <c r="AD58" s="2848"/>
      <c r="AE58" s="2848"/>
      <c r="AF58" s="2848"/>
      <c r="AG58" s="2848"/>
      <c r="AH58" s="2848"/>
      <c r="AI58" s="2848"/>
      <c r="AJ58" s="2848"/>
      <c r="AK58" s="2848"/>
      <c r="AL58" s="2848"/>
      <c r="AM58" s="2848"/>
      <c r="AN58" s="2848"/>
      <c r="AO58" s="2848"/>
      <c r="AP58" s="2848"/>
      <c r="AQ58" s="2848"/>
      <c r="AR58" s="2848"/>
      <c r="AS58" s="2848"/>
      <c r="AT58" s="2848"/>
      <c r="AU58" s="2848"/>
      <c r="AV58" s="2848"/>
      <c r="AW58" s="2848"/>
      <c r="AX58" s="2848"/>
      <c r="AY58" s="2847"/>
      <c r="AZ58" s="2846"/>
    </row>
    <row r="59" spans="2:52" ht="13.5" customHeight="1">
      <c r="B59" s="3498"/>
      <c r="C59" s="3498"/>
      <c r="D59" s="3502"/>
      <c r="E59" s="2860" t="s">
        <v>5478</v>
      </c>
      <c r="F59" s="2844"/>
      <c r="G59" s="2844"/>
      <c r="H59" s="2844"/>
      <c r="I59" s="2844"/>
      <c r="J59" s="2844"/>
      <c r="K59" s="2844"/>
      <c r="L59" s="2844"/>
      <c r="M59" s="2844"/>
      <c r="N59" s="2844"/>
      <c r="O59" s="2844"/>
      <c r="P59" s="2844"/>
      <c r="Q59" s="2843"/>
      <c r="R59" s="3519">
        <f>基礎数値!E11</f>
        <v>1120996</v>
      </c>
      <c r="S59" s="3519"/>
      <c r="T59" s="3519"/>
      <c r="U59" s="3519"/>
      <c r="V59" s="3519"/>
      <c r="W59" s="3519"/>
      <c r="X59" s="2843"/>
      <c r="Y59" s="2851" t="s">
        <v>5476</v>
      </c>
      <c r="Z59" s="2843"/>
      <c r="AA59" s="2843"/>
      <c r="AB59" s="2843"/>
      <c r="AC59" s="2843"/>
      <c r="AD59" s="2843"/>
      <c r="AE59" s="2843"/>
      <c r="AF59" s="2843"/>
      <c r="AG59" s="2843"/>
      <c r="AH59" s="2843"/>
      <c r="AI59" s="2844"/>
      <c r="AJ59" s="2843"/>
      <c r="AK59" s="2843"/>
      <c r="AL59" s="2843"/>
      <c r="AM59" s="2843"/>
      <c r="AN59" s="2843"/>
      <c r="AO59" s="2843"/>
      <c r="AP59" s="2843"/>
      <c r="AQ59" s="2843"/>
      <c r="AR59" s="2843"/>
      <c r="AS59" s="2843"/>
      <c r="AT59" s="2843"/>
      <c r="AU59" s="2843"/>
      <c r="AV59" s="2843"/>
      <c r="AW59" s="2843"/>
      <c r="AX59" s="2843"/>
      <c r="AY59" s="2842"/>
      <c r="AZ59" s="2841"/>
    </row>
    <row r="60" spans="2:52" ht="13.5" customHeight="1">
      <c r="B60" s="3498"/>
      <c r="C60" s="3498"/>
      <c r="D60" s="3502"/>
      <c r="E60" s="2860" t="s">
        <v>5477</v>
      </c>
      <c r="F60" s="2843"/>
      <c r="G60" s="2843"/>
      <c r="H60" s="2843"/>
      <c r="I60" s="2843"/>
      <c r="J60" s="2843"/>
      <c r="K60" s="2843"/>
      <c r="L60" s="2843"/>
      <c r="M60" s="2843"/>
      <c r="N60" s="2843"/>
      <c r="O60" s="2843"/>
      <c r="P60" s="2843"/>
      <c r="Q60" s="2843"/>
      <c r="R60" s="3519">
        <f>基礎数値!E12</f>
        <v>0</v>
      </c>
      <c r="S60" s="3519"/>
      <c r="T60" s="3519"/>
      <c r="U60" s="3519"/>
      <c r="V60" s="3519"/>
      <c r="W60" s="3519"/>
      <c r="X60" s="2843"/>
      <c r="Y60" s="2851" t="s">
        <v>5476</v>
      </c>
      <c r="Z60" s="2843"/>
      <c r="AA60" s="2843"/>
      <c r="AB60" s="2843"/>
      <c r="AC60" s="2843"/>
      <c r="AD60" s="2843"/>
      <c r="AE60" s="2843"/>
      <c r="AF60" s="2843"/>
      <c r="AG60" s="2843"/>
      <c r="AH60" s="2843"/>
      <c r="AI60" s="2843"/>
      <c r="AJ60" s="2843" t="s">
        <v>5447</v>
      </c>
      <c r="AK60" s="3497">
        <f>R59+R60</f>
        <v>1120996</v>
      </c>
      <c r="AL60" s="3497"/>
      <c r="AM60" s="3497"/>
      <c r="AN60" s="3497"/>
      <c r="AO60" s="3497"/>
      <c r="AP60" s="3497"/>
      <c r="AQ60" s="2843" t="s">
        <v>5475</v>
      </c>
      <c r="AR60" s="2843"/>
      <c r="AS60" s="2843"/>
      <c r="AT60" s="2843"/>
      <c r="AU60" s="2843"/>
      <c r="AV60" s="2843"/>
      <c r="AW60" s="2843"/>
      <c r="AX60" s="2843"/>
      <c r="AY60" s="2842"/>
      <c r="AZ60" s="2841"/>
    </row>
    <row r="61" spans="2:52" ht="13.5" customHeight="1">
      <c r="B61" s="3498"/>
      <c r="C61" s="3498"/>
      <c r="D61" s="3502"/>
      <c r="E61" s="2845"/>
      <c r="F61" s="2844"/>
      <c r="G61" s="2843"/>
      <c r="H61" s="2843"/>
      <c r="I61" s="2843"/>
      <c r="J61" s="2843"/>
      <c r="K61" s="2843"/>
      <c r="L61" s="2843"/>
      <c r="M61" s="2843"/>
      <c r="N61" s="2843"/>
      <c r="O61" s="2843"/>
      <c r="P61" s="2843"/>
      <c r="Q61" s="2843"/>
      <c r="R61" s="2843"/>
      <c r="S61" s="2843"/>
      <c r="T61" s="2843"/>
      <c r="U61" s="2843"/>
      <c r="V61" s="2843"/>
      <c r="W61" s="2843"/>
      <c r="X61" s="2843"/>
      <c r="Y61" s="2843"/>
      <c r="Z61" s="2843"/>
      <c r="AA61" s="2843"/>
      <c r="AB61" s="2843"/>
      <c r="AC61" s="2843"/>
      <c r="AD61" s="2843"/>
      <c r="AE61" s="2843"/>
      <c r="AF61" s="2843"/>
      <c r="AG61" s="2843"/>
      <c r="AH61" s="2843"/>
      <c r="AI61" s="2843"/>
      <c r="AJ61" s="2843"/>
      <c r="AK61" s="2843"/>
      <c r="AL61" s="2843"/>
      <c r="AM61" s="2843"/>
      <c r="AN61" s="2843"/>
      <c r="AO61" s="2843"/>
      <c r="AP61" s="2843"/>
      <c r="AQ61" s="2843"/>
      <c r="AR61" s="2843"/>
      <c r="AS61" s="2843"/>
      <c r="AT61" s="2843"/>
      <c r="AU61" s="2843"/>
      <c r="AV61" s="2843"/>
      <c r="AW61" s="2843"/>
      <c r="AX61" s="2843"/>
      <c r="AY61" s="2842"/>
      <c r="AZ61" s="2841"/>
    </row>
    <row r="62" spans="2:52" ht="13.5" customHeight="1">
      <c r="B62" s="3498"/>
      <c r="C62" s="3498"/>
      <c r="D62" s="3502"/>
      <c r="E62" s="3345"/>
      <c r="F62" s="2844"/>
      <c r="G62" s="3342"/>
      <c r="H62" s="3342"/>
      <c r="I62" s="3342"/>
      <c r="J62" s="3342"/>
      <c r="K62" s="3342"/>
      <c r="L62" s="3342"/>
      <c r="M62" s="3342"/>
      <c r="N62" s="3342"/>
      <c r="O62" s="3342"/>
      <c r="P62" s="3342"/>
      <c r="Q62" s="3342"/>
      <c r="R62" s="3342"/>
      <c r="S62" s="3342"/>
      <c r="T62" s="3342"/>
      <c r="U62" s="3342"/>
      <c r="V62" s="3342"/>
      <c r="W62" s="3342"/>
      <c r="X62" s="3342"/>
      <c r="Y62" s="3342"/>
      <c r="Z62" s="3342"/>
      <c r="AA62" s="3342"/>
      <c r="AB62" s="3342"/>
      <c r="AC62" s="3342"/>
      <c r="AD62" s="3342"/>
      <c r="AE62" s="3342"/>
      <c r="AF62" s="3342"/>
      <c r="AG62" s="3342"/>
      <c r="AH62" s="3342"/>
      <c r="AI62" s="3342"/>
      <c r="AJ62" s="3342"/>
      <c r="AK62" s="3342"/>
      <c r="AL62" s="3342"/>
      <c r="AM62" s="3342"/>
      <c r="AN62" s="3342"/>
      <c r="AO62" s="3342"/>
      <c r="AP62" s="3342"/>
      <c r="AQ62" s="3342"/>
      <c r="AR62" s="3342"/>
      <c r="AS62" s="3342"/>
      <c r="AT62" s="3342"/>
      <c r="AU62" s="3342"/>
      <c r="AV62" s="3342"/>
      <c r="AW62" s="3342"/>
      <c r="AX62" s="3342"/>
      <c r="AY62" s="3344"/>
      <c r="AZ62" s="3341"/>
    </row>
    <row r="63" spans="2:52" ht="13.5" customHeight="1">
      <c r="B63" s="3498"/>
      <c r="C63" s="3498"/>
      <c r="D63" s="3502"/>
      <c r="E63" s="3345"/>
      <c r="F63" s="2844"/>
      <c r="G63" s="3342"/>
      <c r="H63" s="3342"/>
      <c r="I63" s="3342"/>
      <c r="J63" s="3342"/>
      <c r="K63" s="3342"/>
      <c r="L63" s="3342"/>
      <c r="M63" s="3342"/>
      <c r="N63" s="3342"/>
      <c r="O63" s="3342"/>
      <c r="P63" s="3342"/>
      <c r="Q63" s="3342"/>
      <c r="R63" s="3342"/>
      <c r="S63" s="3342"/>
      <c r="T63" s="3342"/>
      <c r="U63" s="3342"/>
      <c r="V63" s="3342"/>
      <c r="W63" s="3342"/>
      <c r="X63" s="3342"/>
      <c r="Y63" s="3342"/>
      <c r="Z63" s="3342"/>
      <c r="AA63" s="3342"/>
      <c r="AB63" s="3342"/>
      <c r="AC63" s="3342"/>
      <c r="AD63" s="3342"/>
      <c r="AE63" s="3342"/>
      <c r="AF63" s="3342"/>
      <c r="AG63" s="3342"/>
      <c r="AH63" s="3342"/>
      <c r="AI63" s="3342"/>
      <c r="AJ63" s="3342"/>
      <c r="AK63" s="3342"/>
      <c r="AL63" s="3342"/>
      <c r="AM63" s="3342"/>
      <c r="AN63" s="3342"/>
      <c r="AO63" s="3342"/>
      <c r="AP63" s="3342"/>
      <c r="AQ63" s="3342"/>
      <c r="AR63" s="3342"/>
      <c r="AS63" s="3342"/>
      <c r="AT63" s="3342"/>
      <c r="AU63" s="3342"/>
      <c r="AV63" s="3342"/>
      <c r="AW63" s="3342"/>
      <c r="AX63" s="3342"/>
      <c r="AY63" s="3344"/>
      <c r="AZ63" s="3341"/>
    </row>
    <row r="64" spans="2:52" ht="13.5" customHeight="1">
      <c r="B64" s="3498"/>
      <c r="C64" s="3498"/>
      <c r="D64" s="3502"/>
      <c r="E64" s="2860" t="s">
        <v>5474</v>
      </c>
      <c r="F64" s="2844"/>
      <c r="G64" s="2843"/>
      <c r="H64" s="2843"/>
      <c r="I64" s="2843"/>
      <c r="J64" s="2843"/>
      <c r="K64" s="2843"/>
      <c r="L64" s="2843"/>
      <c r="M64" s="2843"/>
      <c r="N64" s="2843"/>
      <c r="O64" s="2843"/>
      <c r="P64" s="2843"/>
      <c r="Q64" s="2843"/>
      <c r="R64" s="2843"/>
      <c r="S64" s="2843"/>
      <c r="T64" s="2843"/>
      <c r="U64" s="2843"/>
      <c r="V64" s="2843"/>
      <c r="W64" s="2843"/>
      <c r="X64" s="2843"/>
      <c r="Y64" s="2843"/>
      <c r="Z64" s="2843"/>
      <c r="AA64" s="2843"/>
      <c r="AB64" s="2843"/>
      <c r="AC64" s="2843"/>
      <c r="AD64" s="2843"/>
      <c r="AE64" s="2843"/>
      <c r="AF64" s="2843"/>
      <c r="AG64" s="2843"/>
      <c r="AH64" s="2843"/>
      <c r="AI64" s="2843"/>
      <c r="AJ64" s="2843"/>
      <c r="AK64" s="2843"/>
      <c r="AL64" s="2843"/>
      <c r="AM64" s="2843"/>
      <c r="AN64" s="2843"/>
      <c r="AO64" s="2843"/>
      <c r="AP64" s="2843"/>
      <c r="AQ64" s="2843"/>
      <c r="AR64" s="2843"/>
      <c r="AS64" s="2843"/>
      <c r="AT64" s="2843"/>
      <c r="AU64" s="2843"/>
      <c r="AV64" s="2843"/>
      <c r="AW64" s="2843"/>
      <c r="AX64" s="2843"/>
      <c r="AY64" s="2842"/>
      <c r="AZ64" s="2841"/>
    </row>
    <row r="65" spans="2:52" ht="13.5" customHeight="1">
      <c r="B65" s="3498"/>
      <c r="C65" s="3498"/>
      <c r="D65" s="3502"/>
      <c r="E65" s="2845"/>
      <c r="F65" s="2844"/>
      <c r="G65" s="2843"/>
      <c r="H65" s="2844" t="s">
        <v>5473</v>
      </c>
      <c r="I65" s="2843"/>
      <c r="J65" s="2843"/>
      <c r="K65" s="2843"/>
      <c r="L65" s="2843"/>
      <c r="M65" s="2843"/>
      <c r="N65" s="2843"/>
      <c r="O65" s="2843"/>
      <c r="P65" s="2843"/>
      <c r="Q65" s="2843"/>
      <c r="R65" s="3519">
        <f>基礎数値!E14</f>
        <v>1120996</v>
      </c>
      <c r="S65" s="3519"/>
      <c r="T65" s="3519"/>
      <c r="U65" s="3519"/>
      <c r="V65" s="3519"/>
      <c r="W65" s="3519"/>
      <c r="X65" s="2843" t="s">
        <v>5472</v>
      </c>
      <c r="Y65" s="2851" t="s">
        <v>5471</v>
      </c>
      <c r="Z65" s="2843"/>
      <c r="AA65" s="2843"/>
      <c r="AB65" s="2843"/>
      <c r="AC65" s="2843"/>
      <c r="AD65" s="2843"/>
      <c r="AE65" s="2843"/>
      <c r="AF65" s="2843"/>
      <c r="AG65" s="2843"/>
      <c r="AH65" s="2843"/>
      <c r="AI65" s="2843"/>
      <c r="AJ65" s="2843"/>
      <c r="AK65" s="2843"/>
      <c r="AL65" s="2843"/>
      <c r="AM65" s="2843"/>
      <c r="AN65" s="2843"/>
      <c r="AO65" s="2843"/>
      <c r="AP65" s="2843"/>
      <c r="AQ65" s="2843"/>
      <c r="AR65" s="2843"/>
      <c r="AS65" s="2843"/>
      <c r="AT65" s="2843"/>
      <c r="AU65" s="2843"/>
      <c r="AV65" s="2843"/>
      <c r="AW65" s="2843"/>
      <c r="AX65" s="2843"/>
      <c r="AY65" s="2842"/>
      <c r="AZ65" s="2841"/>
    </row>
    <row r="66" spans="2:52" ht="13.5" customHeight="1">
      <c r="B66" s="3498"/>
      <c r="C66" s="3498"/>
      <c r="D66" s="3502"/>
      <c r="E66" s="2845"/>
      <c r="F66" s="2844"/>
      <c r="G66" s="2843"/>
      <c r="H66" s="2844" t="s">
        <v>5470</v>
      </c>
      <c r="I66" s="2843"/>
      <c r="J66" s="2843"/>
      <c r="K66" s="2843"/>
      <c r="L66" s="2843"/>
      <c r="M66" s="2843"/>
      <c r="N66" s="2843"/>
      <c r="O66" s="2843"/>
      <c r="P66" s="2843"/>
      <c r="Q66" s="2843"/>
      <c r="R66" s="3527">
        <f>R24</f>
        <v>0</v>
      </c>
      <c r="S66" s="3527"/>
      <c r="T66" s="3527"/>
      <c r="U66" s="3527"/>
      <c r="V66" s="3527"/>
      <c r="W66" s="3527"/>
      <c r="X66" s="2843"/>
      <c r="Y66" s="2851" t="s">
        <v>5469</v>
      </c>
      <c r="Z66" s="2843"/>
      <c r="AA66" s="2843"/>
      <c r="AB66" s="2843"/>
      <c r="AC66" s="2843"/>
      <c r="AD66" s="2843"/>
      <c r="AE66" s="2843"/>
      <c r="AF66" s="2843"/>
      <c r="AG66" s="2843"/>
      <c r="AH66" s="2843"/>
      <c r="AI66" s="2843"/>
      <c r="AJ66" s="2843"/>
      <c r="AK66" s="2843"/>
      <c r="AL66" s="2843"/>
      <c r="AM66" s="2843"/>
      <c r="AN66" s="2843"/>
      <c r="AO66" s="2843"/>
      <c r="AP66" s="2843"/>
      <c r="AQ66" s="2843"/>
      <c r="AR66" s="2843"/>
      <c r="AS66" s="2843"/>
      <c r="AT66" s="2843"/>
      <c r="AU66" s="2843"/>
      <c r="AV66" s="2843"/>
      <c r="AW66" s="2843"/>
      <c r="AX66" s="2843"/>
      <c r="AY66" s="2842"/>
      <c r="AZ66" s="2841"/>
    </row>
    <row r="67" spans="2:52" ht="13.5" customHeight="1" thickBot="1">
      <c r="B67" s="3498"/>
      <c r="C67" s="3498"/>
      <c r="D67" s="3502"/>
      <c r="E67" s="2845"/>
      <c r="F67" s="2844"/>
      <c r="G67" s="2843"/>
      <c r="H67" s="2843"/>
      <c r="I67" s="2843"/>
      <c r="J67" s="2843"/>
      <c r="K67" s="2843"/>
      <c r="L67" s="2843"/>
      <c r="M67" s="2843"/>
      <c r="N67" s="2843"/>
      <c r="O67" s="2843"/>
      <c r="P67" s="2843"/>
      <c r="Q67" s="2843"/>
      <c r="R67" s="2843"/>
      <c r="S67" s="2843"/>
      <c r="T67" s="2843"/>
      <c r="U67" s="2843"/>
      <c r="V67" s="2843"/>
      <c r="W67" s="2843"/>
      <c r="X67" s="2843"/>
      <c r="Y67" s="2843"/>
      <c r="Z67" s="2843"/>
      <c r="AA67" s="2843"/>
      <c r="AB67" s="2843"/>
      <c r="AC67" s="2843"/>
      <c r="AD67" s="2843"/>
      <c r="AE67" s="2843"/>
      <c r="AF67" s="2843"/>
      <c r="AG67" s="2843"/>
      <c r="AH67" s="2843"/>
      <c r="AI67" s="2843"/>
      <c r="AJ67" s="2843"/>
      <c r="AK67" s="2843"/>
      <c r="AL67" s="2843"/>
      <c r="AM67" s="2843"/>
      <c r="AN67" s="2843"/>
      <c r="AO67" s="2843"/>
      <c r="AP67" s="2843"/>
      <c r="AQ67" s="2843"/>
      <c r="AR67" s="2843"/>
      <c r="AS67" s="2843"/>
      <c r="AT67" s="2843"/>
      <c r="AU67" s="2843"/>
      <c r="AV67" s="2843"/>
      <c r="AW67" s="2843"/>
      <c r="AX67" s="2843"/>
      <c r="AY67" s="2842"/>
      <c r="AZ67" s="2841"/>
    </row>
    <row r="68" spans="2:52" ht="13.5" customHeight="1" thickTop="1" thickBot="1">
      <c r="B68" s="3498"/>
      <c r="C68" s="3498"/>
      <c r="D68" s="3502"/>
      <c r="E68" s="2860" t="s">
        <v>5468</v>
      </c>
      <c r="F68" s="2844"/>
      <c r="G68" s="2843"/>
      <c r="H68" s="2843"/>
      <c r="I68" s="2843"/>
      <c r="J68" s="2843"/>
      <c r="K68" s="2843"/>
      <c r="L68" s="2843"/>
      <c r="M68" s="2843"/>
      <c r="N68" s="2843"/>
      <c r="O68" s="2843"/>
      <c r="P68" s="2843"/>
      <c r="Q68" s="2843"/>
      <c r="R68" s="2843"/>
      <c r="S68" s="2843"/>
      <c r="T68" s="3507">
        <f>AK60-R65-R66</f>
        <v>0</v>
      </c>
      <c r="U68" s="3508"/>
      <c r="V68" s="3508"/>
      <c r="W68" s="3508"/>
      <c r="X68" s="3508"/>
      <c r="Y68" s="3509"/>
      <c r="Z68" s="2843"/>
      <c r="AA68" s="2851" t="s">
        <v>5467</v>
      </c>
      <c r="AB68" s="2843"/>
      <c r="AC68" s="2843"/>
      <c r="AD68" s="2843"/>
      <c r="AE68" s="2843"/>
      <c r="AF68" s="2843"/>
      <c r="AG68" s="2843"/>
      <c r="AH68" s="2843"/>
      <c r="AI68" s="2843"/>
      <c r="AJ68" s="2843"/>
      <c r="AK68" s="2843"/>
      <c r="AL68" s="2843"/>
      <c r="AM68" s="2843"/>
      <c r="AN68" s="2843"/>
      <c r="AO68" s="2843"/>
      <c r="AP68" s="2843"/>
      <c r="AQ68" s="2843"/>
      <c r="AR68" s="2843"/>
      <c r="AS68" s="2843"/>
      <c r="AT68" s="2843"/>
      <c r="AU68" s="2843"/>
      <c r="AV68" s="2843"/>
      <c r="AW68" s="2843"/>
      <c r="AX68" s="2843"/>
      <c r="AY68" s="2842"/>
      <c r="AZ68" s="3319" t="s">
        <v>6189</v>
      </c>
    </row>
    <row r="69" spans="2:52" ht="13.5" customHeight="1" thickTop="1" thickBot="1">
      <c r="B69" s="3498"/>
      <c r="C69" s="3498"/>
      <c r="D69" s="3502"/>
      <c r="E69" s="2845"/>
      <c r="F69" s="2844"/>
      <c r="G69" s="2843"/>
      <c r="H69" s="2843"/>
      <c r="I69" s="2843"/>
      <c r="J69" s="2843"/>
      <c r="K69" s="2843"/>
      <c r="L69" s="2843"/>
      <c r="M69" s="2843"/>
      <c r="N69" s="2843"/>
      <c r="O69" s="2843"/>
      <c r="P69" s="2843"/>
      <c r="Q69" s="2843"/>
      <c r="R69" s="2843"/>
      <c r="S69" s="2843"/>
      <c r="T69" s="2843"/>
      <c r="U69" s="2843"/>
      <c r="V69" s="2843"/>
      <c r="W69" s="2843"/>
      <c r="X69" s="2843"/>
      <c r="Y69" s="2843"/>
      <c r="Z69" s="2843"/>
      <c r="AA69" s="2843"/>
      <c r="AB69" s="2843"/>
      <c r="AC69" s="2843"/>
      <c r="AD69" s="2843"/>
      <c r="AE69" s="2843"/>
      <c r="AF69" s="2843"/>
      <c r="AG69" s="2843"/>
      <c r="AH69" s="2843"/>
      <c r="AI69" s="2843"/>
      <c r="AJ69" s="2843"/>
      <c r="AK69" s="2843"/>
      <c r="AL69" s="2843"/>
      <c r="AM69" s="2843"/>
      <c r="AN69" s="2843"/>
      <c r="AO69" s="2843"/>
      <c r="AP69" s="2843"/>
      <c r="AQ69" s="2843"/>
      <c r="AR69" s="2843"/>
      <c r="AS69" s="2843"/>
      <c r="AT69" s="2843"/>
      <c r="AU69" s="2843"/>
      <c r="AV69" s="2843"/>
      <c r="AW69" s="2843"/>
      <c r="AX69" s="2843"/>
      <c r="AY69" s="2842"/>
      <c r="AZ69" s="3319"/>
    </row>
    <row r="70" spans="2:52" ht="13.5" customHeight="1" thickTop="1" thickBot="1">
      <c r="B70" s="3498"/>
      <c r="C70" s="3498"/>
      <c r="D70" s="3502"/>
      <c r="E70" s="2860" t="s">
        <v>5465</v>
      </c>
      <c r="F70" s="2844"/>
      <c r="G70" s="2843"/>
      <c r="H70" s="2843"/>
      <c r="I70" s="2843"/>
      <c r="J70" s="2843"/>
      <c r="K70" s="2843"/>
      <c r="L70" s="2843"/>
      <c r="M70" s="2843"/>
      <c r="N70" s="2843"/>
      <c r="O70" s="2843"/>
      <c r="P70" s="2843"/>
      <c r="Q70" s="2843"/>
      <c r="R70" s="2843"/>
      <c r="S70" s="2843"/>
      <c r="T70" s="3507">
        <f>ROUNDDOWN((AK60-R65-R66)*4/105,0)</f>
        <v>0</v>
      </c>
      <c r="U70" s="3508"/>
      <c r="V70" s="3508"/>
      <c r="W70" s="3508"/>
      <c r="X70" s="3508"/>
      <c r="Y70" s="3509"/>
      <c r="Z70" s="2843" t="s">
        <v>5464</v>
      </c>
      <c r="AA70" s="3315" t="s">
        <v>6166</v>
      </c>
      <c r="AB70" s="2843"/>
      <c r="AC70" s="2843"/>
      <c r="AD70" s="2843"/>
      <c r="AE70" s="2843"/>
      <c r="AF70" s="2843"/>
      <c r="AG70" s="2843"/>
      <c r="AH70" s="2843"/>
      <c r="AI70" s="2843"/>
      <c r="AJ70" s="2843"/>
      <c r="AK70" s="2843"/>
      <c r="AL70" s="2843"/>
      <c r="AM70" s="2843"/>
      <c r="AN70" s="2843"/>
      <c r="AO70" s="2843"/>
      <c r="AP70" s="2843"/>
      <c r="AQ70" s="2843"/>
      <c r="AR70" s="2843"/>
      <c r="AS70" s="2843"/>
      <c r="AT70" s="2843"/>
      <c r="AU70" s="2843"/>
      <c r="AV70" s="2843"/>
      <c r="AW70" s="2843"/>
      <c r="AX70" s="2843"/>
      <c r="AY70" s="2842"/>
      <c r="AZ70" s="3319" t="s">
        <v>6190</v>
      </c>
    </row>
    <row r="71" spans="2:52" ht="13.5" customHeight="1" thickTop="1">
      <c r="B71" s="3503"/>
      <c r="C71" s="3503"/>
      <c r="D71" s="3513"/>
      <c r="E71" s="2840"/>
      <c r="F71" s="2839"/>
      <c r="G71" s="2838"/>
      <c r="H71" s="2838"/>
      <c r="I71" s="2838"/>
      <c r="J71" s="2838"/>
      <c r="K71" s="2838"/>
      <c r="L71" s="2838"/>
      <c r="M71" s="2838"/>
      <c r="N71" s="2838"/>
      <c r="O71" s="2838"/>
      <c r="P71" s="2838"/>
      <c r="Q71" s="2838"/>
      <c r="R71" s="2838"/>
      <c r="S71" s="2838"/>
      <c r="T71" s="2838"/>
      <c r="U71" s="2838"/>
      <c r="V71" s="2838"/>
      <c r="W71" s="2838"/>
      <c r="X71" s="2838"/>
      <c r="Y71" s="2838"/>
      <c r="Z71" s="2838"/>
      <c r="AA71" s="2838"/>
      <c r="AB71" s="2838"/>
      <c r="AC71" s="2838"/>
      <c r="AD71" s="2838"/>
      <c r="AE71" s="2838"/>
      <c r="AF71" s="2838"/>
      <c r="AG71" s="2838"/>
      <c r="AH71" s="2838"/>
      <c r="AI71" s="2838"/>
      <c r="AJ71" s="2838"/>
      <c r="AK71" s="2838"/>
      <c r="AL71" s="2838"/>
      <c r="AM71" s="2838"/>
      <c r="AN71" s="2838"/>
      <c r="AO71" s="2838"/>
      <c r="AP71" s="2838"/>
      <c r="AQ71" s="2838"/>
      <c r="AR71" s="2838"/>
      <c r="AS71" s="2838"/>
      <c r="AT71" s="2838"/>
      <c r="AU71" s="2838"/>
      <c r="AV71" s="2838"/>
      <c r="AW71" s="2838"/>
      <c r="AX71" s="2838"/>
      <c r="AY71" s="2837"/>
      <c r="AZ71" s="2836"/>
    </row>
    <row r="72" spans="2:52"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2846"/>
    </row>
    <row r="73" spans="2:52"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2841"/>
    </row>
    <row r="74" spans="2:52"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2841"/>
    </row>
    <row r="75" spans="2:52"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2841"/>
    </row>
    <row r="76" spans="2:52"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2841"/>
    </row>
    <row r="77" spans="2:52"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2841"/>
    </row>
    <row r="78" spans="2:52"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2841"/>
    </row>
    <row r="79" spans="2:52"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2841"/>
    </row>
    <row r="80" spans="2:52"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2841"/>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2841"/>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2841"/>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2841"/>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2841"/>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2841"/>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2836"/>
    </row>
    <row r="87" spans="2:52" ht="13.5" customHeight="1">
      <c r="B87" s="3512" t="s">
        <v>5452</v>
      </c>
      <c r="C87" s="3516">
        <v>1</v>
      </c>
      <c r="D87" s="3512" t="s">
        <v>5451</v>
      </c>
      <c r="E87" s="2850"/>
      <c r="F87" s="2849"/>
      <c r="G87" s="2848"/>
      <c r="H87" s="2848"/>
      <c r="I87" s="2848"/>
      <c r="J87" s="2848"/>
      <c r="K87" s="2848"/>
      <c r="L87" s="2848"/>
      <c r="M87" s="2848"/>
      <c r="N87" s="2848"/>
      <c r="O87" s="2848"/>
      <c r="P87" s="2848"/>
      <c r="Q87" s="2848"/>
      <c r="R87" s="2848"/>
      <c r="S87" s="2848"/>
      <c r="T87" s="2848"/>
      <c r="U87" s="2848"/>
      <c r="V87" s="2848"/>
      <c r="W87" s="2848"/>
      <c r="X87" s="2848"/>
      <c r="Y87" s="2848"/>
      <c r="Z87" s="2848"/>
      <c r="AA87" s="2848"/>
      <c r="AB87" s="2848"/>
      <c r="AC87" s="2848"/>
      <c r="AD87" s="2848"/>
      <c r="AE87" s="2848"/>
      <c r="AF87" s="2848"/>
      <c r="AG87" s="2848"/>
      <c r="AH87" s="2848"/>
      <c r="AI87" s="2848"/>
      <c r="AJ87" s="2848"/>
      <c r="AK87" s="2848"/>
      <c r="AL87" s="2848"/>
      <c r="AM87" s="2848"/>
      <c r="AN87" s="2848"/>
      <c r="AO87" s="2848"/>
      <c r="AP87" s="2848"/>
      <c r="AQ87" s="2848"/>
      <c r="AR87" s="2848"/>
      <c r="AS87" s="2848"/>
      <c r="AT87" s="2848"/>
      <c r="AU87" s="2848"/>
      <c r="AV87" s="2848"/>
      <c r="AW87" s="2848"/>
      <c r="AX87" s="2848"/>
      <c r="AY87" s="2847"/>
      <c r="AZ87" s="3494"/>
    </row>
    <row r="88" spans="2:52" ht="13.5" customHeight="1">
      <c r="B88" s="3502"/>
      <c r="C88" s="3517"/>
      <c r="D88" s="3502"/>
      <c r="E88" s="2860" t="s">
        <v>5450</v>
      </c>
      <c r="F88" s="2844"/>
      <c r="G88" s="2844"/>
      <c r="H88" s="2844"/>
      <c r="I88" s="2844"/>
      <c r="J88" s="2844"/>
      <c r="K88" s="2844"/>
      <c r="L88" s="2844"/>
      <c r="M88" s="2844"/>
      <c r="N88" s="2844"/>
      <c r="O88" s="2844"/>
      <c r="P88" s="3519">
        <f>基礎数値!E18</f>
        <v>0</v>
      </c>
      <c r="Q88" s="3519"/>
      <c r="R88" s="3519"/>
      <c r="S88" s="3519"/>
      <c r="T88" s="3519"/>
      <c r="U88" s="3519"/>
      <c r="V88" s="2843"/>
      <c r="W88" s="2851" t="s">
        <v>5448</v>
      </c>
      <c r="X88" s="2843"/>
      <c r="Y88" s="2843"/>
      <c r="Z88" s="2843"/>
      <c r="AA88" s="2843"/>
      <c r="AB88" s="2843"/>
      <c r="AC88" s="2843"/>
      <c r="AD88" s="2843"/>
      <c r="AE88" s="2843"/>
      <c r="AF88" s="2843"/>
      <c r="AG88" s="2843"/>
      <c r="AH88" s="2843"/>
      <c r="AI88" s="2844"/>
      <c r="AJ88" s="2843"/>
      <c r="AK88" s="2843"/>
      <c r="AL88" s="2843"/>
      <c r="AM88" s="2843"/>
      <c r="AN88" s="2843"/>
      <c r="AO88" s="2843"/>
      <c r="AP88" s="2843"/>
      <c r="AQ88" s="2843"/>
      <c r="AR88" s="2843"/>
      <c r="AS88" s="2843"/>
      <c r="AT88" s="2843"/>
      <c r="AU88" s="2843"/>
      <c r="AV88" s="2843"/>
      <c r="AW88" s="2843"/>
      <c r="AX88" s="2843"/>
      <c r="AY88" s="2842"/>
      <c r="AZ88" s="3495"/>
    </row>
    <row r="89" spans="2:52" ht="13.5" customHeight="1">
      <c r="B89" s="3502"/>
      <c r="C89" s="3517"/>
      <c r="D89" s="3502"/>
      <c r="E89" s="2860" t="s">
        <v>5449</v>
      </c>
      <c r="F89" s="2843"/>
      <c r="G89" s="2843"/>
      <c r="H89" s="2843"/>
      <c r="I89" s="2843"/>
      <c r="J89" s="2843"/>
      <c r="K89" s="2843"/>
      <c r="L89" s="2843"/>
      <c r="M89" s="2843"/>
      <c r="N89" s="2843"/>
      <c r="O89" s="2843"/>
      <c r="P89" s="3519">
        <f>基礎数値!E19</f>
        <v>131982078</v>
      </c>
      <c r="Q89" s="3519"/>
      <c r="R89" s="3519"/>
      <c r="S89" s="3519"/>
      <c r="T89" s="3519"/>
      <c r="U89" s="3519"/>
      <c r="V89" s="2843"/>
      <c r="W89" s="2851" t="s">
        <v>5448</v>
      </c>
      <c r="X89" s="2843"/>
      <c r="Y89" s="2843"/>
      <c r="Z89" s="2843"/>
      <c r="AA89" s="2843"/>
      <c r="AB89" s="2843"/>
      <c r="AC89" s="2843"/>
      <c r="AD89" s="2843"/>
      <c r="AE89" s="2843"/>
      <c r="AF89" s="2843"/>
      <c r="AG89" s="2843"/>
      <c r="AH89" s="2843"/>
      <c r="AI89" s="2843"/>
      <c r="AJ89" s="2843"/>
      <c r="AK89" s="2843"/>
      <c r="AL89" s="2843"/>
      <c r="AM89" s="2843"/>
      <c r="AN89" s="2843"/>
      <c r="AO89" s="2843"/>
      <c r="AP89" s="2843"/>
      <c r="AQ89" s="2843"/>
      <c r="AR89" s="2843" t="s">
        <v>5447</v>
      </c>
      <c r="AS89" s="3497">
        <f>P88+P89</f>
        <v>131982078</v>
      </c>
      <c r="AT89" s="3497"/>
      <c r="AU89" s="3497"/>
      <c r="AV89" s="3497"/>
      <c r="AW89" s="3497"/>
      <c r="AX89" s="3497"/>
      <c r="AY89" s="2842" t="s">
        <v>5565</v>
      </c>
      <c r="AZ89" s="3495"/>
    </row>
    <row r="90" spans="2:52" ht="13.5" customHeight="1">
      <c r="B90" s="3502"/>
      <c r="C90" s="3517"/>
      <c r="D90" s="3502"/>
      <c r="E90" s="2845"/>
      <c r="F90" s="2844"/>
      <c r="G90" s="2843"/>
      <c r="H90" s="2843"/>
      <c r="I90" s="2843"/>
      <c r="J90" s="2843"/>
      <c r="K90" s="2843"/>
      <c r="L90" s="2843"/>
      <c r="M90" s="2843"/>
      <c r="N90" s="2843"/>
      <c r="O90" s="2843"/>
      <c r="P90" s="2843"/>
      <c r="Q90" s="2843"/>
      <c r="R90" s="2843"/>
      <c r="S90" s="2843"/>
      <c r="T90" s="2843"/>
      <c r="U90" s="2843"/>
      <c r="V90" s="2843"/>
      <c r="W90" s="2843"/>
      <c r="X90" s="2843"/>
      <c r="Y90" s="2843"/>
      <c r="Z90" s="2843"/>
      <c r="AA90" s="2843"/>
      <c r="AB90" s="2843"/>
      <c r="AC90" s="2843"/>
      <c r="AD90" s="2843"/>
      <c r="AE90" s="2843"/>
      <c r="AF90" s="2843"/>
      <c r="AG90" s="2843"/>
      <c r="AH90" s="2843"/>
      <c r="AI90" s="2843"/>
      <c r="AJ90" s="2843"/>
      <c r="AK90" s="2843"/>
      <c r="AL90" s="2843"/>
      <c r="AM90" s="2843"/>
      <c r="AN90" s="2843"/>
      <c r="AO90" s="2843"/>
      <c r="AP90" s="2843"/>
      <c r="AQ90" s="2843"/>
      <c r="AR90" s="2843"/>
      <c r="AS90" s="2843"/>
      <c r="AT90" s="2843"/>
      <c r="AU90" s="2843"/>
      <c r="AV90" s="2843"/>
      <c r="AW90" s="2843"/>
      <c r="AX90" s="2843"/>
      <c r="AY90" s="2842"/>
      <c r="AZ90" s="3495"/>
    </row>
    <row r="91" spans="2:52" ht="13.5" customHeight="1">
      <c r="B91" s="3502"/>
      <c r="C91" s="3517"/>
      <c r="D91" s="3502"/>
      <c r="E91" s="2845" t="s">
        <v>5445</v>
      </c>
      <c r="F91" s="2844"/>
      <c r="G91" s="2843"/>
      <c r="H91" s="2843"/>
      <c r="I91" s="2843"/>
      <c r="J91" s="2843"/>
      <c r="K91" s="2843"/>
      <c r="L91" s="2843"/>
      <c r="M91" s="2843"/>
      <c r="N91" s="2843"/>
      <c r="O91" s="2843"/>
      <c r="P91" s="3497">
        <f>ROUNDDOWN(AK21*100/105,0)</f>
        <v>0</v>
      </c>
      <c r="Q91" s="3497"/>
      <c r="R91" s="3497"/>
      <c r="S91" s="3497"/>
      <c r="T91" s="3497"/>
      <c r="U91" s="3497"/>
      <c r="V91" s="2843"/>
      <c r="W91" s="2851" t="s">
        <v>5564</v>
      </c>
      <c r="X91" s="2843"/>
      <c r="Y91" s="2843"/>
      <c r="Z91" s="2843"/>
      <c r="AA91" s="2843"/>
      <c r="AB91" s="2843"/>
      <c r="AC91" s="2843"/>
      <c r="AD91" s="2843"/>
      <c r="AE91" s="2843"/>
      <c r="AF91" s="2843"/>
      <c r="AG91" s="2843"/>
      <c r="AH91" s="2843"/>
      <c r="AI91" s="2843"/>
      <c r="AJ91" s="2843"/>
      <c r="AK91" s="2843"/>
      <c r="AL91" s="2843"/>
      <c r="AM91" s="2843"/>
      <c r="AN91" s="2843"/>
      <c r="AO91" s="2843"/>
      <c r="AP91" s="2843"/>
      <c r="AQ91" s="2843"/>
      <c r="AR91" s="2843"/>
      <c r="AS91" s="2843"/>
      <c r="AT91" s="2843"/>
      <c r="AU91" s="2843"/>
      <c r="AV91" s="2843"/>
      <c r="AW91" s="2843"/>
      <c r="AX91" s="2843"/>
      <c r="AY91" s="2842"/>
      <c r="AZ91" s="3495"/>
    </row>
    <row r="92" spans="2:52" ht="13.5" customHeight="1">
      <c r="B92" s="3502"/>
      <c r="C92" s="3517"/>
      <c r="D92" s="3502"/>
      <c r="E92" s="2845" t="s">
        <v>5563</v>
      </c>
      <c r="F92" s="2844"/>
      <c r="G92" s="2843"/>
      <c r="H92" s="2843"/>
      <c r="I92" s="2843"/>
      <c r="J92" s="2843"/>
      <c r="K92" s="2843"/>
      <c r="L92" s="2843"/>
      <c r="M92" s="2843"/>
      <c r="N92" s="2843"/>
      <c r="O92" s="2843"/>
      <c r="P92" s="3497"/>
      <c r="Q92" s="3497"/>
      <c r="R92" s="3497"/>
      <c r="S92" s="3497"/>
      <c r="T92" s="3497"/>
      <c r="U92" s="3497"/>
      <c r="V92" s="2843"/>
      <c r="W92" s="2851"/>
      <c r="X92" s="2843"/>
      <c r="Y92" s="2843"/>
      <c r="Z92" s="2843"/>
      <c r="AA92" s="2843"/>
      <c r="AB92" s="2843"/>
      <c r="AC92" s="2843"/>
      <c r="AD92" s="2843"/>
      <c r="AE92" s="3497"/>
      <c r="AF92" s="3497"/>
      <c r="AG92" s="3497"/>
      <c r="AH92" s="3497"/>
      <c r="AI92" s="3497"/>
      <c r="AJ92" s="3497"/>
      <c r="AK92" s="2851"/>
      <c r="AL92" s="2843"/>
      <c r="AM92" s="2843"/>
      <c r="AN92" s="2843"/>
      <c r="AO92" s="2843"/>
      <c r="AP92" s="2843"/>
      <c r="AQ92" s="2843"/>
      <c r="AR92" s="2843"/>
      <c r="AS92" s="2843"/>
      <c r="AT92" s="2843"/>
      <c r="AU92" s="2843"/>
      <c r="AV92" s="2843"/>
      <c r="AW92" s="2843"/>
      <c r="AX92" s="2843"/>
      <c r="AY92" s="2842"/>
      <c r="AZ92" s="3495"/>
    </row>
    <row r="93" spans="2:52" ht="13.5" customHeight="1">
      <c r="B93" s="3502"/>
      <c r="C93" s="3517"/>
      <c r="D93" s="3502"/>
      <c r="E93" s="2845" t="s">
        <v>5442</v>
      </c>
      <c r="F93" s="2844"/>
      <c r="G93" s="2843"/>
      <c r="H93" s="2843"/>
      <c r="I93" s="2843"/>
      <c r="J93" s="2843"/>
      <c r="K93" s="2843"/>
      <c r="L93" s="2843"/>
      <c r="M93" s="2843"/>
      <c r="N93" s="2843"/>
      <c r="O93" s="2843"/>
      <c r="P93" s="3497"/>
      <c r="Q93" s="3497"/>
      <c r="R93" s="3497"/>
      <c r="S93" s="3497"/>
      <c r="T93" s="3497"/>
      <c r="U93" s="3497"/>
      <c r="V93" s="2843"/>
      <c r="W93" s="2851"/>
      <c r="X93" s="2843"/>
      <c r="Y93" s="2843"/>
      <c r="Z93" s="2843"/>
      <c r="AA93" s="2843"/>
      <c r="AB93" s="2843"/>
      <c r="AC93" s="2843"/>
      <c r="AD93" s="2843"/>
      <c r="AE93" s="2843"/>
      <c r="AF93" s="2843"/>
      <c r="AG93" s="2843"/>
      <c r="AH93" s="2843"/>
      <c r="AI93" s="2843"/>
      <c r="AJ93" s="2843"/>
      <c r="AK93" s="2843"/>
      <c r="AL93" s="2843"/>
      <c r="AM93" s="2843"/>
      <c r="AN93" s="2843"/>
      <c r="AO93" s="2843"/>
      <c r="AP93" s="2843"/>
      <c r="AQ93" s="2843"/>
      <c r="AR93" s="2843"/>
      <c r="AS93" s="2843"/>
      <c r="AT93" s="2843"/>
      <c r="AU93" s="2843"/>
      <c r="AV93" s="2843"/>
      <c r="AW93" s="2843"/>
      <c r="AX93" s="2843"/>
      <c r="AY93" s="2842"/>
      <c r="AZ93" s="3495"/>
    </row>
    <row r="94" spans="2:52" ht="13.5" customHeight="1" thickBot="1">
      <c r="B94" s="3502"/>
      <c r="C94" s="3517"/>
      <c r="D94" s="3502"/>
      <c r="E94" s="2845"/>
      <c r="F94" s="2844"/>
      <c r="G94" s="2843"/>
      <c r="H94" s="2843"/>
      <c r="I94" s="2843"/>
      <c r="J94" s="2843"/>
      <c r="K94" s="2843"/>
      <c r="L94" s="2843"/>
      <c r="M94" s="2843"/>
      <c r="N94" s="2843"/>
      <c r="O94" s="2843"/>
      <c r="P94" s="2843"/>
      <c r="Q94" s="2843"/>
      <c r="R94" s="2843"/>
      <c r="S94" s="2843"/>
      <c r="T94" s="2843"/>
      <c r="U94" s="2843"/>
      <c r="V94" s="2843"/>
      <c r="W94" s="2843"/>
      <c r="X94" s="2843"/>
      <c r="Y94" s="2843"/>
      <c r="Z94" s="2843"/>
      <c r="AA94" s="2843"/>
      <c r="AB94" s="2843"/>
      <c r="AC94" s="2843"/>
      <c r="AD94" s="2843"/>
      <c r="AE94" s="2843"/>
      <c r="AF94" s="2843"/>
      <c r="AG94" s="2843"/>
      <c r="AH94" s="2843"/>
      <c r="AI94" s="2843"/>
      <c r="AJ94" s="2843"/>
      <c r="AK94" s="2843"/>
      <c r="AL94" s="2843"/>
      <c r="AM94" s="2843"/>
      <c r="AN94" s="2843"/>
      <c r="AO94" s="2843"/>
      <c r="AP94" s="2843"/>
      <c r="AQ94" s="2843"/>
      <c r="AR94" s="2843"/>
      <c r="AS94" s="2843"/>
      <c r="AT94" s="2843"/>
      <c r="AU94" s="2843"/>
      <c r="AV94" s="2843"/>
      <c r="AW94" s="2843"/>
      <c r="AX94" s="2843"/>
      <c r="AY94" s="2842"/>
      <c r="AZ94" s="3495"/>
    </row>
    <row r="95" spans="2:52" ht="13.5" customHeight="1" thickTop="1" thickBot="1">
      <c r="B95" s="3502"/>
      <c r="C95" s="3517"/>
      <c r="D95" s="3502"/>
      <c r="E95" s="2845" t="s">
        <v>5441</v>
      </c>
      <c r="F95" s="2844"/>
      <c r="G95" s="2843"/>
      <c r="H95" s="2843"/>
      <c r="I95" s="2843"/>
      <c r="J95" s="2843"/>
      <c r="K95" s="2843"/>
      <c r="L95" s="2843"/>
      <c r="M95" s="2843"/>
      <c r="N95" s="2843"/>
      <c r="O95" s="2843"/>
      <c r="P95" s="3504"/>
      <c r="Q95" s="3505"/>
      <c r="R95" s="3505"/>
      <c r="S95" s="3505"/>
      <c r="T95" s="3505"/>
      <c r="U95" s="3506"/>
      <c r="V95" s="2843"/>
      <c r="W95" s="2851"/>
      <c r="X95" s="2843"/>
      <c r="Y95" s="2843"/>
      <c r="Z95" s="2843"/>
      <c r="AA95" s="2843"/>
      <c r="AB95" s="2843"/>
      <c r="AC95" s="2843"/>
      <c r="AD95" s="2843"/>
      <c r="AE95" s="2843"/>
      <c r="AF95" s="2843"/>
      <c r="AG95" s="2843"/>
      <c r="AH95" s="2843"/>
      <c r="AI95" s="2843"/>
      <c r="AJ95" s="2843"/>
      <c r="AK95" s="2843"/>
      <c r="AL95" s="2843"/>
      <c r="AM95" s="2843"/>
      <c r="AN95" s="2843"/>
      <c r="AO95" s="2843"/>
      <c r="AP95" s="2843"/>
      <c r="AQ95" s="2843"/>
      <c r="AR95" s="2843"/>
      <c r="AS95" s="2843"/>
      <c r="AT95" s="2843"/>
      <c r="AU95" s="2843"/>
      <c r="AV95" s="2843"/>
      <c r="AW95" s="2843"/>
      <c r="AX95" s="2843"/>
      <c r="AY95" s="2842"/>
      <c r="AZ95" s="3495"/>
    </row>
    <row r="96" spans="2:52" ht="13.5" customHeight="1" thickTop="1">
      <c r="B96" s="3502"/>
      <c r="C96" s="3518"/>
      <c r="D96" s="3513"/>
      <c r="E96" s="2840"/>
      <c r="F96" s="2839"/>
      <c r="G96" s="2838"/>
      <c r="H96" s="2838"/>
      <c r="I96" s="2838"/>
      <c r="J96" s="2838"/>
      <c r="K96" s="2838"/>
      <c r="L96" s="2838"/>
      <c r="M96" s="2838"/>
      <c r="N96" s="2838"/>
      <c r="O96" s="2838"/>
      <c r="P96" s="2838"/>
      <c r="Q96" s="2838"/>
      <c r="R96" s="2838"/>
      <c r="S96" s="2838"/>
      <c r="T96" s="2838"/>
      <c r="U96" s="2838"/>
      <c r="V96" s="2838"/>
      <c r="W96" s="2838"/>
      <c r="X96" s="2859"/>
      <c r="Y96" s="2838"/>
      <c r="Z96" s="2838"/>
      <c r="AA96" s="2838"/>
      <c r="AB96" s="2838"/>
      <c r="AC96" s="2838"/>
      <c r="AD96" s="2838"/>
      <c r="AE96" s="2838"/>
      <c r="AF96" s="2838"/>
      <c r="AG96" s="2838"/>
      <c r="AH96" s="2838"/>
      <c r="AI96" s="2838"/>
      <c r="AJ96" s="2838"/>
      <c r="AK96" s="2838"/>
      <c r="AL96" s="2838"/>
      <c r="AM96" s="2838"/>
      <c r="AN96" s="2838"/>
      <c r="AO96" s="2838"/>
      <c r="AP96" s="2838"/>
      <c r="AQ96" s="2838"/>
      <c r="AR96" s="2838"/>
      <c r="AS96" s="2838"/>
      <c r="AT96" s="2838"/>
      <c r="AU96" s="2838"/>
      <c r="AV96" s="2838"/>
      <c r="AW96" s="2838"/>
      <c r="AX96" s="2838"/>
      <c r="AY96" s="2837"/>
      <c r="AZ96" s="3496"/>
    </row>
    <row r="97" spans="2:52" ht="13.5" customHeight="1" thickBot="1">
      <c r="B97" s="3502"/>
      <c r="C97" s="3516">
        <v>2</v>
      </c>
      <c r="D97" s="3512" t="s">
        <v>5440</v>
      </c>
      <c r="E97" s="2850"/>
      <c r="F97" s="2849"/>
      <c r="G97" s="2848"/>
      <c r="H97" s="2848"/>
      <c r="I97" s="2848"/>
      <c r="J97" s="2848"/>
      <c r="K97" s="2848"/>
      <c r="L97" s="2848"/>
      <c r="M97" s="2848"/>
      <c r="N97" s="2848"/>
      <c r="O97" s="2848"/>
      <c r="P97" s="2848"/>
      <c r="Q97" s="2848"/>
      <c r="R97" s="2848"/>
      <c r="S97" s="2848"/>
      <c r="T97" s="2848"/>
      <c r="U97" s="2848"/>
      <c r="V97" s="2848"/>
      <c r="W97" s="2848"/>
      <c r="X97" s="2848"/>
      <c r="Y97" s="2848"/>
      <c r="Z97" s="2848"/>
      <c r="AA97" s="2848"/>
      <c r="AB97" s="2848"/>
      <c r="AC97" s="2848"/>
      <c r="AD97" s="2848"/>
      <c r="AE97" s="2848"/>
      <c r="AF97" s="2848"/>
      <c r="AG97" s="2848"/>
      <c r="AH97" s="2848"/>
      <c r="AI97" s="2848"/>
      <c r="AJ97" s="2848"/>
      <c r="AK97" s="2848"/>
      <c r="AL97" s="2848"/>
      <c r="AM97" s="2848"/>
      <c r="AN97" s="2848"/>
      <c r="AO97" s="2848"/>
      <c r="AP97" s="2848"/>
      <c r="AQ97" s="2848"/>
      <c r="AR97" s="2848"/>
      <c r="AS97" s="2848"/>
      <c r="AT97" s="2848"/>
      <c r="AU97" s="2848"/>
      <c r="AV97" s="2848"/>
      <c r="AW97" s="2848"/>
      <c r="AX97" s="2848"/>
      <c r="AY97" s="2847"/>
      <c r="AZ97" s="3321" t="s">
        <v>6191</v>
      </c>
    </row>
    <row r="98" spans="2:52" ht="13.5" customHeight="1" thickTop="1" thickBot="1">
      <c r="B98" s="3502"/>
      <c r="C98" s="3517"/>
      <c r="D98" s="3502"/>
      <c r="E98" s="2845" t="s">
        <v>5438</v>
      </c>
      <c r="F98" s="2844"/>
      <c r="G98" s="2843"/>
      <c r="H98" s="2843"/>
      <c r="I98" s="2843"/>
      <c r="J98" s="2843"/>
      <c r="K98" s="2843"/>
      <c r="L98" s="2843"/>
      <c r="M98" s="2843"/>
      <c r="N98" s="2843"/>
      <c r="O98" s="2843"/>
      <c r="P98" s="2843"/>
      <c r="Q98" s="2843"/>
      <c r="R98" s="2843"/>
      <c r="S98" s="2843"/>
      <c r="T98" s="2843"/>
      <c r="U98" s="2843"/>
      <c r="V98" s="2843"/>
      <c r="W98" s="2843"/>
      <c r="X98" s="2843"/>
      <c r="Y98" s="2843"/>
      <c r="Z98" s="3499">
        <f>ROUNDDOWN(T70*'(申)計'!R36/'(申)計'!R40,0)</f>
        <v>0</v>
      </c>
      <c r="AA98" s="3500"/>
      <c r="AB98" s="3500"/>
      <c r="AC98" s="3500"/>
      <c r="AD98" s="3500"/>
      <c r="AE98" s="3501"/>
      <c r="AF98" s="2843" t="s">
        <v>5562</v>
      </c>
      <c r="AG98" s="2851" t="s">
        <v>5436</v>
      </c>
      <c r="AH98" s="2843"/>
      <c r="AI98" s="2843"/>
      <c r="AJ98" s="2843"/>
      <c r="AK98" s="2843"/>
      <c r="AL98" s="2843"/>
      <c r="AM98" s="2843"/>
      <c r="AN98" s="2843"/>
      <c r="AO98" s="2843"/>
      <c r="AP98" s="2843"/>
      <c r="AQ98" s="2843"/>
      <c r="AR98" s="2843"/>
      <c r="AS98" s="2843"/>
      <c r="AT98" s="2843"/>
      <c r="AU98" s="2843"/>
      <c r="AV98" s="2843"/>
      <c r="AW98" s="2843"/>
      <c r="AX98" s="2843"/>
      <c r="AY98" s="2842"/>
      <c r="AZ98" s="3041" t="s">
        <v>6192</v>
      </c>
    </row>
    <row r="99" spans="2:52" ht="13.5" customHeight="1" thickTop="1" thickBot="1">
      <c r="B99" s="3502"/>
      <c r="C99" s="3517"/>
      <c r="D99" s="3502"/>
      <c r="E99" s="2845"/>
      <c r="F99" s="2844"/>
      <c r="G99" s="2843"/>
      <c r="H99" s="2843"/>
      <c r="I99" s="2843"/>
      <c r="J99" s="2843"/>
      <c r="K99" s="2843"/>
      <c r="L99" s="2843"/>
      <c r="M99" s="2843"/>
      <c r="N99" s="2843"/>
      <c r="O99" s="2843"/>
      <c r="P99" s="2843"/>
      <c r="Q99" s="2843"/>
      <c r="R99" s="2843"/>
      <c r="S99" s="2843"/>
      <c r="T99" s="2843"/>
      <c r="U99" s="2858" t="s">
        <v>5435</v>
      </c>
      <c r="V99" s="2843"/>
      <c r="W99" s="2843"/>
      <c r="X99" s="2843"/>
      <c r="Y99" s="2843"/>
      <c r="Z99" s="2843"/>
      <c r="AA99" s="2843"/>
      <c r="AB99" s="2843"/>
      <c r="AC99" s="2843"/>
      <c r="AD99" s="2843"/>
      <c r="AE99" s="2843"/>
      <c r="AF99" s="2843"/>
      <c r="AG99" s="2843"/>
      <c r="AH99" s="2843"/>
      <c r="AI99" s="2843"/>
      <c r="AJ99" s="2843"/>
      <c r="AK99" s="2843"/>
      <c r="AL99" s="2843"/>
      <c r="AM99" s="2843"/>
      <c r="AN99" s="2843"/>
      <c r="AO99" s="2843"/>
      <c r="AP99" s="2843"/>
      <c r="AQ99" s="2843"/>
      <c r="AR99" s="2843"/>
      <c r="AS99" s="2843"/>
      <c r="AT99" s="2843"/>
      <c r="AU99" s="2843"/>
      <c r="AV99" s="2843"/>
      <c r="AW99" s="2843"/>
      <c r="AX99" s="2843"/>
      <c r="AY99" s="2842"/>
      <c r="AZ99" s="3319"/>
    </row>
    <row r="100" spans="2:52" ht="13.5" customHeight="1" thickTop="1" thickBot="1">
      <c r="B100" s="3502"/>
      <c r="C100" s="3517"/>
      <c r="D100" s="3502"/>
      <c r="E100" s="2845" t="s">
        <v>5434</v>
      </c>
      <c r="F100" s="2844"/>
      <c r="G100" s="2843"/>
      <c r="H100" s="2843"/>
      <c r="I100" s="2843"/>
      <c r="J100" s="2843"/>
      <c r="K100" s="2843"/>
      <c r="L100" s="2843"/>
      <c r="M100" s="2843"/>
      <c r="N100" s="2843"/>
      <c r="O100" s="2843"/>
      <c r="P100" s="2843"/>
      <c r="Q100" s="2843"/>
      <c r="R100" s="2843"/>
      <c r="S100" s="2843"/>
      <c r="T100" s="2843"/>
      <c r="U100" s="2843"/>
      <c r="V100" s="2843"/>
      <c r="W100" s="2843"/>
      <c r="X100" s="2843"/>
      <c r="Y100" s="2843"/>
      <c r="Z100" s="3499">
        <f>AS89</f>
        <v>131982078</v>
      </c>
      <c r="AA100" s="3500"/>
      <c r="AB100" s="3500"/>
      <c r="AC100" s="3500"/>
      <c r="AD100" s="3500"/>
      <c r="AE100" s="3501"/>
      <c r="AF100" s="2843"/>
      <c r="AG100" s="2851" t="s">
        <v>5433</v>
      </c>
      <c r="AH100" s="2843"/>
      <c r="AI100" s="2843"/>
      <c r="AJ100" s="2843"/>
      <c r="AK100" s="2843"/>
      <c r="AL100" s="2843"/>
      <c r="AM100" s="2843"/>
      <c r="AN100" s="2843"/>
      <c r="AO100" s="2843"/>
      <c r="AP100" s="2843"/>
      <c r="AQ100" s="2843"/>
      <c r="AR100" s="2843"/>
      <c r="AS100" s="2843"/>
      <c r="AT100" s="2843"/>
      <c r="AU100" s="2843"/>
      <c r="AV100" s="2843"/>
      <c r="AW100" s="2843"/>
      <c r="AX100" s="2843"/>
      <c r="AY100" s="2842"/>
      <c r="AZ100" s="3319" t="s">
        <v>6193</v>
      </c>
    </row>
    <row r="101" spans="2:52" ht="13.5" customHeight="1" thickTop="1" thickBot="1">
      <c r="B101" s="3502"/>
      <c r="C101" s="3517"/>
      <c r="D101" s="3502"/>
      <c r="E101" s="2845" t="s">
        <v>5431</v>
      </c>
      <c r="F101" s="2844"/>
      <c r="G101" s="2843"/>
      <c r="H101" s="2843"/>
      <c r="I101" s="2843"/>
      <c r="J101" s="2843"/>
      <c r="K101" s="2843"/>
      <c r="L101" s="2843"/>
      <c r="M101" s="2843"/>
      <c r="N101" s="2843"/>
      <c r="O101" s="2843"/>
      <c r="P101" s="2843"/>
      <c r="Q101" s="2843"/>
      <c r="R101" s="2843"/>
      <c r="S101" s="2843"/>
      <c r="T101" s="2843"/>
      <c r="U101" s="2843"/>
      <c r="V101" s="2843"/>
      <c r="W101" s="2843"/>
      <c r="X101" s="2843"/>
      <c r="Y101" s="2843"/>
      <c r="Z101" s="3499">
        <f>ROUNDDOWN(Z100*4/105,0)</f>
        <v>5027888</v>
      </c>
      <c r="AA101" s="3500"/>
      <c r="AB101" s="3500"/>
      <c r="AC101" s="3500"/>
      <c r="AD101" s="3500"/>
      <c r="AE101" s="3501"/>
      <c r="AF101" s="2843" t="s">
        <v>5561</v>
      </c>
      <c r="AG101" s="2851" t="s">
        <v>5560</v>
      </c>
      <c r="AH101" s="2843"/>
      <c r="AI101" s="2843"/>
      <c r="AJ101" s="2843"/>
      <c r="AK101" s="2843"/>
      <c r="AL101" s="2843"/>
      <c r="AM101" s="2843"/>
      <c r="AN101" s="2843"/>
      <c r="AO101" s="2843"/>
      <c r="AP101" s="2843"/>
      <c r="AQ101" s="2843"/>
      <c r="AR101" s="2843"/>
      <c r="AS101" s="2843"/>
      <c r="AT101" s="2843"/>
      <c r="AU101" s="2843"/>
      <c r="AV101" s="2843"/>
      <c r="AW101" s="2843"/>
      <c r="AX101" s="2843"/>
      <c r="AY101" s="2842"/>
      <c r="AZ101" s="3319" t="s">
        <v>6194</v>
      </c>
    </row>
    <row r="102" spans="2:52" ht="13.5" customHeight="1" thickTop="1" thickBot="1">
      <c r="B102" s="3502"/>
      <c r="C102" s="3517"/>
      <c r="D102" s="3502"/>
      <c r="E102" s="2845"/>
      <c r="F102" s="2844"/>
      <c r="G102" s="2843"/>
      <c r="H102" s="2843"/>
      <c r="I102" s="2843"/>
      <c r="J102" s="2843"/>
      <c r="K102" s="2843"/>
      <c r="L102" s="2843"/>
      <c r="M102" s="2843"/>
      <c r="N102" s="2843"/>
      <c r="O102" s="2843"/>
      <c r="P102" s="2843"/>
      <c r="Q102" s="2843"/>
      <c r="R102" s="2843"/>
      <c r="S102" s="2843"/>
      <c r="T102" s="2843"/>
      <c r="U102" s="2843"/>
      <c r="V102" s="2843"/>
      <c r="W102" s="2843"/>
      <c r="X102" s="2843"/>
      <c r="Y102" s="2843"/>
      <c r="Z102" s="2843"/>
      <c r="AA102" s="2843"/>
      <c r="AB102" s="2843"/>
      <c r="AC102" s="2843"/>
      <c r="AD102" s="2843"/>
      <c r="AE102" s="2843"/>
      <c r="AF102" s="2843"/>
      <c r="AG102" s="2843"/>
      <c r="AH102" s="2843"/>
      <c r="AI102" s="2843"/>
      <c r="AJ102" s="2843"/>
      <c r="AK102" s="2843"/>
      <c r="AL102" s="2843"/>
      <c r="AM102" s="2843"/>
      <c r="AN102" s="2843"/>
      <c r="AO102" s="2843"/>
      <c r="AP102" s="2843"/>
      <c r="AQ102" s="2843"/>
      <c r="AR102" s="2843"/>
      <c r="AS102" s="2843"/>
      <c r="AT102" s="2843"/>
      <c r="AU102" s="2843"/>
      <c r="AV102" s="2843"/>
      <c r="AW102" s="2843"/>
      <c r="AX102" s="2843"/>
      <c r="AY102" s="2842"/>
      <c r="AZ102" s="3319"/>
    </row>
    <row r="103" spans="2:52"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2843"/>
      <c r="T103" s="2843"/>
      <c r="U103" s="2843"/>
      <c r="V103" s="2843"/>
      <c r="W103" s="2843"/>
      <c r="X103" s="2843"/>
      <c r="Y103" s="2843"/>
      <c r="Z103" s="3499">
        <f>'(申)計'!R36</f>
        <v>18871966907</v>
      </c>
      <c r="AA103" s="3500"/>
      <c r="AB103" s="3500"/>
      <c r="AC103" s="3500"/>
      <c r="AD103" s="3500"/>
      <c r="AE103" s="3501"/>
      <c r="AF103" s="2843"/>
      <c r="AG103" s="3510" t="s">
        <v>5559</v>
      </c>
      <c r="AH103" s="2851" t="s">
        <v>5425</v>
      </c>
      <c r="AI103" s="2843"/>
      <c r="AJ103" s="2843"/>
      <c r="AK103" s="2843"/>
      <c r="AL103" s="2843"/>
      <c r="AM103" s="2843"/>
      <c r="AN103" s="2843"/>
      <c r="AO103" s="2843"/>
      <c r="AP103" s="2843"/>
      <c r="AQ103" s="2843"/>
      <c r="AR103" s="2843"/>
      <c r="AS103" s="2843"/>
      <c r="AT103" s="2843"/>
      <c r="AU103" s="2843"/>
      <c r="AV103" s="2843"/>
      <c r="AW103" s="2843"/>
      <c r="AX103" s="2843"/>
      <c r="AY103" s="2842"/>
      <c r="AZ103" s="3498" t="s">
        <v>6195</v>
      </c>
    </row>
    <row r="104" spans="2:52" ht="3" customHeight="1" thickTop="1">
      <c r="B104" s="3502"/>
      <c r="C104" s="3517"/>
      <c r="D104" s="3502"/>
      <c r="E104" s="3521"/>
      <c r="F104" s="3510"/>
      <c r="G104" s="3510"/>
      <c r="H104" s="3510"/>
      <c r="I104" s="3510"/>
      <c r="J104" s="3510"/>
      <c r="K104" s="3510"/>
      <c r="L104" s="3510"/>
      <c r="M104" s="3510"/>
      <c r="N104" s="3510"/>
      <c r="O104" s="3510"/>
      <c r="P104" s="3510"/>
      <c r="Q104" s="3510"/>
      <c r="R104" s="3510"/>
      <c r="S104" s="2843"/>
      <c r="T104" s="2843"/>
      <c r="U104" s="2843"/>
      <c r="V104" s="2843"/>
      <c r="W104" s="2843"/>
      <c r="X104" s="2843"/>
      <c r="Y104" s="2838"/>
      <c r="Z104" s="2838"/>
      <c r="AA104" s="2838"/>
      <c r="AB104" s="2838"/>
      <c r="AC104" s="2838"/>
      <c r="AD104" s="2838"/>
      <c r="AE104" s="2838"/>
      <c r="AF104" s="2838"/>
      <c r="AG104" s="3510"/>
      <c r="AH104" s="2843"/>
      <c r="AI104" s="2843"/>
      <c r="AJ104" s="2843"/>
      <c r="AK104" s="2843"/>
      <c r="AL104" s="2843"/>
      <c r="AM104" s="2843"/>
      <c r="AN104" s="2843"/>
      <c r="AO104" s="2843"/>
      <c r="AP104" s="2843"/>
      <c r="AQ104" s="2843"/>
      <c r="AR104" s="2843"/>
      <c r="AS104" s="2843"/>
      <c r="AT104" s="2843"/>
      <c r="AU104" s="2843"/>
      <c r="AV104" s="2843"/>
      <c r="AW104" s="2843"/>
      <c r="AX104" s="2843"/>
      <c r="AY104" s="2842"/>
      <c r="AZ104" s="3498"/>
    </row>
    <row r="105" spans="2:52" ht="3" customHeight="1" thickBot="1">
      <c r="B105" s="3502"/>
      <c r="C105" s="3517"/>
      <c r="D105" s="3502"/>
      <c r="E105" s="3521"/>
      <c r="F105" s="3510"/>
      <c r="G105" s="3510"/>
      <c r="H105" s="3510"/>
      <c r="I105" s="3510"/>
      <c r="J105" s="3510"/>
      <c r="K105" s="3510"/>
      <c r="L105" s="3510"/>
      <c r="M105" s="3510"/>
      <c r="N105" s="3510"/>
      <c r="O105" s="3510"/>
      <c r="P105" s="3510"/>
      <c r="Q105" s="3510"/>
      <c r="R105" s="3510"/>
      <c r="S105" s="2843"/>
      <c r="T105" s="2843"/>
      <c r="U105" s="2843"/>
      <c r="V105" s="2843"/>
      <c r="W105" s="2843"/>
      <c r="X105" s="2843"/>
      <c r="Y105" s="2843"/>
      <c r="Z105" s="2843"/>
      <c r="AA105" s="2843"/>
      <c r="AB105" s="2843"/>
      <c r="AC105" s="2843"/>
      <c r="AD105" s="2843"/>
      <c r="AE105" s="2843"/>
      <c r="AF105" s="2843"/>
      <c r="AG105" s="3510"/>
      <c r="AH105" s="2843"/>
      <c r="AI105" s="2843"/>
      <c r="AJ105" s="2843"/>
      <c r="AK105" s="2843"/>
      <c r="AL105" s="2843"/>
      <c r="AM105" s="2843"/>
      <c r="AN105" s="2843"/>
      <c r="AO105" s="2843"/>
      <c r="AP105" s="2843"/>
      <c r="AQ105" s="2843"/>
      <c r="AR105" s="2843"/>
      <c r="AS105" s="2843"/>
      <c r="AT105" s="2843"/>
      <c r="AU105" s="2843"/>
      <c r="AV105" s="2843"/>
      <c r="AW105" s="2843"/>
      <c r="AX105" s="2843"/>
      <c r="AY105" s="2842"/>
      <c r="AZ105" s="3498"/>
    </row>
    <row r="106" spans="2:52"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2843"/>
      <c r="T106" s="2843"/>
      <c r="U106" s="2843"/>
      <c r="V106" s="2843"/>
      <c r="W106" s="2843"/>
      <c r="X106" s="2843"/>
      <c r="Y106" s="2843"/>
      <c r="Z106" s="3499">
        <f>'(申)計'!R40</f>
        <v>18940559860</v>
      </c>
      <c r="AA106" s="3500"/>
      <c r="AB106" s="3500"/>
      <c r="AC106" s="3500"/>
      <c r="AD106" s="3500"/>
      <c r="AE106" s="3501"/>
      <c r="AF106" s="2843"/>
      <c r="AG106" s="3510"/>
      <c r="AH106" s="2851" t="s">
        <v>5423</v>
      </c>
      <c r="AI106" s="2843"/>
      <c r="AJ106" s="2843"/>
      <c r="AK106" s="2843"/>
      <c r="AL106" s="2843"/>
      <c r="AM106" s="2843"/>
      <c r="AN106" s="2843"/>
      <c r="AO106" s="2843"/>
      <c r="AP106" s="2843"/>
      <c r="AQ106" s="2843"/>
      <c r="AR106" s="2843"/>
      <c r="AS106" s="2843"/>
      <c r="AT106" s="2843"/>
      <c r="AU106" s="2843"/>
      <c r="AV106" s="2843"/>
      <c r="AW106" s="2843"/>
      <c r="AX106" s="2843"/>
      <c r="AY106" s="2842"/>
      <c r="AZ106" s="3498"/>
    </row>
    <row r="107" spans="2:52" ht="13.5" customHeight="1" thickTop="1" thickBot="1">
      <c r="B107" s="3502"/>
      <c r="C107" s="3517"/>
      <c r="D107" s="3502"/>
      <c r="E107" s="2845"/>
      <c r="F107" s="2844"/>
      <c r="G107" s="2843"/>
      <c r="H107" s="2843"/>
      <c r="I107" s="2843"/>
      <c r="J107" s="2843"/>
      <c r="K107" s="2843"/>
      <c r="L107" s="2843"/>
      <c r="M107" s="2843"/>
      <c r="N107" s="2843"/>
      <c r="O107" s="2843"/>
      <c r="P107" s="2843"/>
      <c r="Q107" s="2843"/>
      <c r="R107" s="2843"/>
      <c r="S107" s="2843"/>
      <c r="T107" s="2843"/>
      <c r="U107" s="2843"/>
      <c r="V107" s="2843"/>
      <c r="W107" s="2843"/>
      <c r="X107" s="2843"/>
      <c r="Y107" s="2843"/>
      <c r="Z107" s="2843"/>
      <c r="AA107" s="2843"/>
      <c r="AB107" s="2843"/>
      <c r="AC107" s="2843"/>
      <c r="AD107" s="2843"/>
      <c r="AE107" s="2843"/>
      <c r="AF107" s="2843"/>
      <c r="AG107" s="2843"/>
      <c r="AH107" s="2843"/>
      <c r="AI107" s="2843"/>
      <c r="AJ107" s="2843"/>
      <c r="AK107" s="2843"/>
      <c r="AL107" s="2843"/>
      <c r="AM107" s="2843"/>
      <c r="AN107" s="2843"/>
      <c r="AO107" s="2843"/>
      <c r="AP107" s="2843"/>
      <c r="AQ107" s="2843"/>
      <c r="AR107" s="2843"/>
      <c r="AS107" s="2843"/>
      <c r="AT107" s="2843"/>
      <c r="AU107" s="2843"/>
      <c r="AV107" s="2843"/>
      <c r="AW107" s="2843"/>
      <c r="AX107" s="2843"/>
      <c r="AY107" s="2842"/>
      <c r="AZ107" s="3319"/>
    </row>
    <row r="108" spans="2:52" ht="13.5" customHeight="1" thickTop="1" thickBot="1">
      <c r="B108" s="3502"/>
      <c r="C108" s="3517"/>
      <c r="D108" s="3502"/>
      <c r="E108" s="2845" t="s">
        <v>5422</v>
      </c>
      <c r="F108" s="2844"/>
      <c r="G108" s="2843"/>
      <c r="H108" s="2843"/>
      <c r="I108" s="2843"/>
      <c r="J108" s="2843"/>
      <c r="K108" s="2843"/>
      <c r="L108" s="2843"/>
      <c r="M108" s="2843"/>
      <c r="N108" s="2843"/>
      <c r="O108" s="2843"/>
      <c r="P108" s="2843"/>
      <c r="Q108" s="2843"/>
      <c r="R108" s="2843"/>
      <c r="S108" s="2843"/>
      <c r="T108" s="2843"/>
      <c r="U108" s="2843"/>
      <c r="V108" s="2843"/>
      <c r="W108" s="2843"/>
      <c r="X108" s="2843"/>
      <c r="Y108" s="2843"/>
      <c r="Z108" s="3499">
        <f>ROUNDDOWN(Z101*Z103/Z106,0)</f>
        <v>5009679</v>
      </c>
      <c r="AA108" s="3500"/>
      <c r="AB108" s="3500"/>
      <c r="AC108" s="3500"/>
      <c r="AD108" s="3500"/>
      <c r="AE108" s="3501"/>
      <c r="AF108" s="2843" t="s">
        <v>5558</v>
      </c>
      <c r="AG108" s="2851" t="s">
        <v>5557</v>
      </c>
      <c r="AH108" s="2843"/>
      <c r="AI108" s="2843"/>
      <c r="AJ108" s="2843"/>
      <c r="AK108" s="2843"/>
      <c r="AL108" s="2843"/>
      <c r="AM108" s="2843"/>
      <c r="AN108" s="2843"/>
      <c r="AO108" s="2843"/>
      <c r="AP108" s="2843"/>
      <c r="AQ108" s="2843"/>
      <c r="AR108" s="2843"/>
      <c r="AS108" s="2843"/>
      <c r="AT108" s="2843"/>
      <c r="AU108" s="2843"/>
      <c r="AV108" s="2843"/>
      <c r="AW108" s="2843"/>
      <c r="AX108" s="2843"/>
      <c r="AY108" s="2842"/>
      <c r="AZ108" s="3319" t="s">
        <v>6196</v>
      </c>
    </row>
    <row r="109" spans="2:52" ht="13.5" customHeight="1" thickTop="1">
      <c r="B109" s="3502"/>
      <c r="C109" s="3517"/>
      <c r="D109" s="3502"/>
      <c r="E109" s="2845"/>
      <c r="F109" s="2844"/>
      <c r="G109" s="2843"/>
      <c r="H109" s="2843"/>
      <c r="I109" s="2843"/>
      <c r="J109" s="2843"/>
      <c r="K109" s="2843"/>
      <c r="L109" s="2843"/>
      <c r="M109" s="2843"/>
      <c r="N109" s="2843"/>
      <c r="O109" s="2843"/>
      <c r="P109" s="2843"/>
      <c r="Q109" s="2843"/>
      <c r="R109" s="2843"/>
      <c r="S109" s="2843"/>
      <c r="T109" s="2843"/>
      <c r="U109" s="2843"/>
      <c r="V109" s="2843"/>
      <c r="W109" s="2843"/>
      <c r="X109" s="2843"/>
      <c r="Y109" s="2843"/>
      <c r="Z109" s="2843"/>
      <c r="AA109" s="2843"/>
      <c r="AB109" s="2843"/>
      <c r="AC109" s="2843"/>
      <c r="AD109" s="2843"/>
      <c r="AE109" s="2843"/>
      <c r="AF109" s="2843"/>
      <c r="AG109" s="2843"/>
      <c r="AH109" s="2843"/>
      <c r="AI109" s="2843"/>
      <c r="AJ109" s="2843"/>
      <c r="AK109" s="2843"/>
      <c r="AL109" s="2843"/>
      <c r="AM109" s="2843"/>
      <c r="AN109" s="2843"/>
      <c r="AO109" s="2843"/>
      <c r="AP109" s="2843"/>
      <c r="AQ109" s="2843"/>
      <c r="AR109" s="2843"/>
      <c r="AS109" s="2843"/>
      <c r="AT109" s="2843"/>
      <c r="AU109" s="2843"/>
      <c r="AV109" s="2843"/>
      <c r="AW109" s="2843"/>
      <c r="AX109" s="2843"/>
      <c r="AY109" s="2842"/>
      <c r="AZ109" s="3319"/>
    </row>
    <row r="110" spans="2:52" ht="13.5" customHeight="1" thickBot="1">
      <c r="B110" s="3502"/>
      <c r="C110" s="3517"/>
      <c r="D110" s="3502"/>
      <c r="E110" s="2845" t="s">
        <v>5418</v>
      </c>
      <c r="F110" s="2844"/>
      <c r="G110" s="2843"/>
      <c r="H110" s="2843"/>
      <c r="I110" s="2843"/>
      <c r="J110" s="2843"/>
      <c r="K110" s="2843"/>
      <c r="L110" s="2843"/>
      <c r="M110" s="2843"/>
      <c r="N110" s="2843"/>
      <c r="O110" s="2843"/>
      <c r="P110" s="2843"/>
      <c r="Q110" s="2843"/>
      <c r="R110" s="2843"/>
      <c r="S110" s="2843"/>
      <c r="T110" s="2843"/>
      <c r="U110" s="2843"/>
      <c r="V110" s="2843"/>
      <c r="W110" s="2843"/>
      <c r="X110" s="2843"/>
      <c r="Y110" s="2843"/>
      <c r="Z110" s="2843"/>
      <c r="AA110" s="2843"/>
      <c r="AB110" s="2843"/>
      <c r="AC110" s="2843"/>
      <c r="AD110" s="2843"/>
      <c r="AE110" s="2843"/>
      <c r="AF110" s="2843"/>
      <c r="AG110" s="2843"/>
      <c r="AH110" s="2843"/>
      <c r="AI110" s="2843"/>
      <c r="AJ110" s="2843"/>
      <c r="AK110" s="2843"/>
      <c r="AL110" s="2843"/>
      <c r="AM110" s="2843"/>
      <c r="AN110" s="2843"/>
      <c r="AO110" s="2843"/>
      <c r="AP110" s="2843"/>
      <c r="AQ110" s="2843"/>
      <c r="AR110" s="2843"/>
      <c r="AS110" s="2843"/>
      <c r="AT110" s="2843"/>
      <c r="AU110" s="2843"/>
      <c r="AV110" s="2843"/>
      <c r="AW110" s="2843"/>
      <c r="AX110" s="2843"/>
      <c r="AY110" s="2842"/>
      <c r="AZ110" s="3319"/>
    </row>
    <row r="111" spans="2:52" ht="13.5" customHeight="1" thickTop="1" thickBot="1">
      <c r="B111" s="3502"/>
      <c r="C111" s="3517"/>
      <c r="D111" s="3502"/>
      <c r="E111" s="2845"/>
      <c r="F111" s="2844" t="s">
        <v>5556</v>
      </c>
      <c r="G111" s="2843"/>
      <c r="H111" s="2843"/>
      <c r="I111" s="2843"/>
      <c r="J111" s="2843"/>
      <c r="K111" s="2843"/>
      <c r="L111" s="2843"/>
      <c r="M111" s="2843"/>
      <c r="N111" s="2843"/>
      <c r="O111" s="2843"/>
      <c r="P111" s="2843"/>
      <c r="Q111" s="2843"/>
      <c r="R111" s="2843"/>
      <c r="S111" s="2843"/>
      <c r="T111" s="2843"/>
      <c r="U111" s="2843"/>
      <c r="V111" s="2843"/>
      <c r="W111" s="2843"/>
      <c r="X111" s="2843"/>
      <c r="Y111" s="2843"/>
      <c r="Z111" s="2843"/>
      <c r="AA111" s="2843"/>
      <c r="AB111" s="2843"/>
      <c r="AC111" s="3499">
        <f>Z98-Z108</f>
        <v>-5009679</v>
      </c>
      <c r="AD111" s="3500"/>
      <c r="AE111" s="3500"/>
      <c r="AF111" s="3500"/>
      <c r="AG111" s="3500"/>
      <c r="AH111" s="3501"/>
      <c r="AI111" s="2843" t="s">
        <v>5555</v>
      </c>
      <c r="AJ111" s="2851" t="s">
        <v>5554</v>
      </c>
      <c r="AK111" s="2843"/>
      <c r="AL111" s="2843"/>
      <c r="AM111" s="2843"/>
      <c r="AN111" s="2843"/>
      <c r="AO111" s="2843"/>
      <c r="AP111" s="2843"/>
      <c r="AQ111" s="2843"/>
      <c r="AR111" s="2843"/>
      <c r="AS111" s="2843"/>
      <c r="AT111" s="2843"/>
      <c r="AU111" s="2843"/>
      <c r="AV111" s="2843"/>
      <c r="AW111" s="2843"/>
      <c r="AX111" s="2843"/>
      <c r="AY111" s="2842"/>
      <c r="AZ111" s="3319" t="s">
        <v>6197</v>
      </c>
    </row>
    <row r="112" spans="2:52" ht="13.5" customHeight="1" thickTop="1" thickBot="1">
      <c r="B112" s="3502"/>
      <c r="C112" s="3517"/>
      <c r="D112" s="3502"/>
      <c r="E112" s="2845"/>
      <c r="F112" s="2844"/>
      <c r="G112" s="2843"/>
      <c r="H112" s="2843"/>
      <c r="I112" s="2843"/>
      <c r="J112" s="2843"/>
      <c r="K112" s="2843"/>
      <c r="L112" s="2843"/>
      <c r="M112" s="2843"/>
      <c r="N112" s="2843"/>
      <c r="O112" s="2843"/>
      <c r="P112" s="2843"/>
      <c r="Q112" s="2843"/>
      <c r="R112" s="2843"/>
      <c r="S112" s="2843"/>
      <c r="T112" s="2843"/>
      <c r="U112" s="2843"/>
      <c r="V112" s="2843"/>
      <c r="W112" s="2843"/>
      <c r="X112" s="2843"/>
      <c r="Y112" s="2843"/>
      <c r="Z112" s="2843"/>
      <c r="AA112" s="2843"/>
      <c r="AB112" s="2843"/>
      <c r="AC112" s="2843"/>
      <c r="AD112" s="2843"/>
      <c r="AE112" s="2843"/>
      <c r="AF112" s="2843"/>
      <c r="AG112" s="2843"/>
      <c r="AH112" s="2843"/>
      <c r="AI112" s="2843"/>
      <c r="AJ112" s="2843"/>
      <c r="AK112" s="2843"/>
      <c r="AL112" s="2843"/>
      <c r="AM112" s="2843"/>
      <c r="AN112" s="2843"/>
      <c r="AO112" s="2843"/>
      <c r="AP112" s="2843"/>
      <c r="AQ112" s="2843"/>
      <c r="AR112" s="2843"/>
      <c r="AS112" s="2843"/>
      <c r="AT112" s="2843"/>
      <c r="AU112" s="2843"/>
      <c r="AV112" s="2843"/>
      <c r="AW112" s="2843"/>
      <c r="AX112" s="2843"/>
      <c r="AY112" s="2842"/>
      <c r="AZ112" s="3319"/>
    </row>
    <row r="113" spans="2:52" ht="13.5" customHeight="1" thickTop="1" thickBot="1">
      <c r="B113" s="3502"/>
      <c r="C113" s="3517"/>
      <c r="D113" s="3502"/>
      <c r="E113" s="2845"/>
      <c r="F113" s="3510" t="s">
        <v>5413</v>
      </c>
      <c r="G113" s="3510"/>
      <c r="H113" s="3510"/>
      <c r="I113" s="3510"/>
      <c r="J113" s="3510"/>
      <c r="K113" s="3510"/>
      <c r="L113" s="3510"/>
      <c r="M113" s="3510"/>
      <c r="N113" s="3510"/>
      <c r="O113" s="3510"/>
      <c r="P113" s="3510"/>
      <c r="Q113" s="3510"/>
      <c r="R113" s="3510"/>
      <c r="S113" s="3510"/>
      <c r="T113" s="2843"/>
      <c r="U113" s="2843"/>
      <c r="V113" s="2843"/>
      <c r="W113" s="2843"/>
      <c r="X113" s="2843"/>
      <c r="Y113" s="2843"/>
      <c r="Z113" s="2843"/>
      <c r="AA113" s="3507">
        <f>'(申)計'!AA113</f>
        <v>0</v>
      </c>
      <c r="AB113" s="3508"/>
      <c r="AC113" s="3508"/>
      <c r="AD113" s="3508"/>
      <c r="AE113" s="3508"/>
      <c r="AF113" s="3509"/>
      <c r="AG113" s="2843"/>
      <c r="AH113" s="3510" t="s">
        <v>5553</v>
      </c>
      <c r="AI113" s="3511" t="s">
        <v>5411</v>
      </c>
      <c r="AJ113" s="3511"/>
      <c r="AK113" s="3511"/>
      <c r="AL113" s="3511"/>
      <c r="AM113" s="3511"/>
      <c r="AN113" s="3511"/>
      <c r="AO113" s="3511"/>
      <c r="AP113" s="3511"/>
      <c r="AQ113" s="3511"/>
      <c r="AR113" s="2843"/>
      <c r="AS113" s="2843"/>
      <c r="AT113" s="2843"/>
      <c r="AU113" s="2843"/>
      <c r="AV113" s="2843"/>
      <c r="AW113" s="2843"/>
      <c r="AX113" s="2843"/>
      <c r="AY113" s="2842"/>
      <c r="AZ113" s="3498" t="s">
        <v>6198</v>
      </c>
    </row>
    <row r="114" spans="2:52" ht="3" customHeight="1" thickTop="1">
      <c r="B114" s="3502"/>
      <c r="C114" s="3517"/>
      <c r="D114" s="3502"/>
      <c r="E114" s="2845"/>
      <c r="F114" s="3510"/>
      <c r="G114" s="3510"/>
      <c r="H114" s="3510"/>
      <c r="I114" s="3510"/>
      <c r="J114" s="3510"/>
      <c r="K114" s="3510"/>
      <c r="L114" s="3510"/>
      <c r="M114" s="3510"/>
      <c r="N114" s="3510"/>
      <c r="O114" s="3510"/>
      <c r="P114" s="3510"/>
      <c r="Q114" s="3510"/>
      <c r="R114" s="3510"/>
      <c r="S114" s="3510"/>
      <c r="T114" s="2843"/>
      <c r="U114" s="2843"/>
      <c r="V114" s="2843"/>
      <c r="W114" s="2843"/>
      <c r="X114" s="2843"/>
      <c r="Y114" s="2843"/>
      <c r="Z114" s="2838"/>
      <c r="AA114" s="2838"/>
      <c r="AB114" s="2838"/>
      <c r="AC114" s="2838"/>
      <c r="AD114" s="2838"/>
      <c r="AE114" s="2838"/>
      <c r="AF114" s="2838"/>
      <c r="AG114" s="2838"/>
      <c r="AH114" s="3510"/>
      <c r="AI114" s="3511"/>
      <c r="AJ114" s="3511"/>
      <c r="AK114" s="3511"/>
      <c r="AL114" s="3511"/>
      <c r="AM114" s="3511"/>
      <c r="AN114" s="3511"/>
      <c r="AO114" s="3511"/>
      <c r="AP114" s="3511"/>
      <c r="AQ114" s="3511"/>
      <c r="AR114" s="2843"/>
      <c r="AS114" s="2843"/>
      <c r="AT114" s="2843"/>
      <c r="AU114" s="2843"/>
      <c r="AV114" s="2843"/>
      <c r="AW114" s="2843"/>
      <c r="AX114" s="2843"/>
      <c r="AY114" s="2842"/>
      <c r="AZ114" s="3498"/>
    </row>
    <row r="115" spans="2:52" ht="3" customHeight="1" thickBot="1">
      <c r="B115" s="3502"/>
      <c r="C115" s="3517"/>
      <c r="D115" s="3502"/>
      <c r="E115" s="2845"/>
      <c r="F115" s="3510"/>
      <c r="G115" s="3510"/>
      <c r="H115" s="3510"/>
      <c r="I115" s="3510"/>
      <c r="J115" s="3510"/>
      <c r="K115" s="3510"/>
      <c r="L115" s="3510"/>
      <c r="M115" s="3510"/>
      <c r="N115" s="3510"/>
      <c r="O115" s="3510"/>
      <c r="P115" s="3510"/>
      <c r="Q115" s="3510"/>
      <c r="R115" s="3510"/>
      <c r="S115" s="3510"/>
      <c r="T115" s="2843"/>
      <c r="U115" s="2843"/>
      <c r="V115" s="2843"/>
      <c r="W115" s="2843"/>
      <c r="X115" s="2843"/>
      <c r="Y115" s="2843"/>
      <c r="Z115" s="2843"/>
      <c r="AA115" s="2843"/>
      <c r="AB115" s="2843"/>
      <c r="AC115" s="2843"/>
      <c r="AD115" s="2843"/>
      <c r="AE115" s="2843"/>
      <c r="AF115" s="2843"/>
      <c r="AG115" s="2843"/>
      <c r="AH115" s="3510"/>
      <c r="AI115" s="3511"/>
      <c r="AJ115" s="3511"/>
      <c r="AK115" s="3511"/>
      <c r="AL115" s="3511"/>
      <c r="AM115" s="3511"/>
      <c r="AN115" s="3511"/>
      <c r="AO115" s="3511"/>
      <c r="AP115" s="3511"/>
      <c r="AQ115" s="3511"/>
      <c r="AR115" s="2843"/>
      <c r="AS115" s="2843"/>
      <c r="AT115" s="2843"/>
      <c r="AU115" s="2843"/>
      <c r="AV115" s="2843"/>
      <c r="AW115" s="2843"/>
      <c r="AX115" s="2843"/>
      <c r="AY115" s="2842"/>
      <c r="AZ115" s="3498"/>
    </row>
    <row r="116" spans="2:52" ht="13.5" customHeight="1" thickTop="1" thickBot="1">
      <c r="B116" s="3502"/>
      <c r="C116" s="3517"/>
      <c r="D116" s="3502"/>
      <c r="E116" s="2845"/>
      <c r="F116" s="3510"/>
      <c r="G116" s="3510"/>
      <c r="H116" s="3510"/>
      <c r="I116" s="3510"/>
      <c r="J116" s="3510"/>
      <c r="K116" s="3510"/>
      <c r="L116" s="3510"/>
      <c r="M116" s="3510"/>
      <c r="N116" s="3510"/>
      <c r="O116" s="3510"/>
      <c r="P116" s="3510"/>
      <c r="Q116" s="3510"/>
      <c r="R116" s="3510"/>
      <c r="S116" s="3510"/>
      <c r="T116" s="2843"/>
      <c r="U116" s="2843"/>
      <c r="V116" s="2843"/>
      <c r="W116" s="2843"/>
      <c r="X116" s="2843"/>
      <c r="Y116" s="2843"/>
      <c r="Z116" s="2843"/>
      <c r="AA116" s="3499">
        <f>'(申)計'!AA116</f>
        <v>18950268779</v>
      </c>
      <c r="AB116" s="3500"/>
      <c r="AC116" s="3500"/>
      <c r="AD116" s="3500"/>
      <c r="AE116" s="3500"/>
      <c r="AF116" s="3501"/>
      <c r="AG116" s="2843"/>
      <c r="AH116" s="3510"/>
      <c r="AI116" s="3511"/>
      <c r="AJ116" s="3511"/>
      <c r="AK116" s="3511"/>
      <c r="AL116" s="3511"/>
      <c r="AM116" s="3511"/>
      <c r="AN116" s="3511"/>
      <c r="AO116" s="3511"/>
      <c r="AP116" s="3511"/>
      <c r="AQ116" s="3511"/>
      <c r="AR116" s="2843"/>
      <c r="AS116" s="2843"/>
      <c r="AT116" s="2843"/>
      <c r="AU116" s="2843"/>
      <c r="AV116" s="2843"/>
      <c r="AW116" s="2843"/>
      <c r="AX116" s="2843"/>
      <c r="AY116" s="2842"/>
      <c r="AZ116" s="3498"/>
    </row>
    <row r="117" spans="2:52" ht="13.5" customHeight="1" thickTop="1" thickBot="1">
      <c r="B117" s="3502"/>
      <c r="C117" s="3517"/>
      <c r="D117" s="3502"/>
      <c r="E117" s="2845"/>
      <c r="F117" s="2844"/>
      <c r="G117" s="2843"/>
      <c r="H117" s="2843"/>
      <c r="I117" s="2843"/>
      <c r="J117" s="2843"/>
      <c r="K117" s="2843"/>
      <c r="L117" s="2843"/>
      <c r="M117" s="2843"/>
      <c r="N117" s="2843"/>
      <c r="O117" s="2843"/>
      <c r="P117" s="2843"/>
      <c r="Q117" s="2843"/>
      <c r="R117" s="2843"/>
      <c r="S117" s="2843"/>
      <c r="T117" s="2843"/>
      <c r="U117" s="2843"/>
      <c r="V117" s="2843"/>
      <c r="W117" s="2843"/>
      <c r="X117" s="2843"/>
      <c r="Y117" s="2843"/>
      <c r="Z117" s="2843"/>
      <c r="AA117" s="2843"/>
      <c r="AB117" s="2843"/>
      <c r="AC117" s="2843"/>
      <c r="AD117" s="2843"/>
      <c r="AE117" s="2843"/>
      <c r="AF117" s="2843"/>
      <c r="AG117" s="2843"/>
      <c r="AH117" s="2843"/>
      <c r="AI117" s="2843"/>
      <c r="AJ117" s="2843"/>
      <c r="AK117" s="2843"/>
      <c r="AL117" s="2843"/>
      <c r="AM117" s="2843"/>
      <c r="AN117" s="2843"/>
      <c r="AO117" s="2843"/>
      <c r="AP117" s="2843"/>
      <c r="AQ117" s="2843"/>
      <c r="AR117" s="2843"/>
      <c r="AS117" s="2843"/>
      <c r="AT117" s="2843"/>
      <c r="AU117" s="2843"/>
      <c r="AV117" s="2843"/>
      <c r="AW117" s="2843"/>
      <c r="AX117" s="2843"/>
      <c r="AY117" s="2842"/>
      <c r="AZ117" s="3319"/>
    </row>
    <row r="118" spans="2:52" ht="13.5" customHeight="1" thickTop="1" thickBot="1">
      <c r="B118" s="3502"/>
      <c r="C118" s="3517"/>
      <c r="D118" s="3502"/>
      <c r="E118" s="2845"/>
      <c r="F118" s="2843" t="s">
        <v>5409</v>
      </c>
      <c r="G118" s="2843"/>
      <c r="H118" s="2843"/>
      <c r="I118" s="2843"/>
      <c r="J118" s="2843"/>
      <c r="K118" s="2843"/>
      <c r="L118" s="2843"/>
      <c r="M118" s="2843"/>
      <c r="N118" s="2843"/>
      <c r="O118" s="2843"/>
      <c r="P118" s="2843"/>
      <c r="Q118" s="2843"/>
      <c r="R118" s="2843"/>
      <c r="S118" s="2843"/>
      <c r="T118" s="2843"/>
      <c r="U118" s="2843"/>
      <c r="V118" s="2843"/>
      <c r="W118" s="2843"/>
      <c r="X118" s="2843"/>
      <c r="Y118" s="2843"/>
      <c r="Z118" s="2843"/>
      <c r="AA118" s="3499">
        <f>ROUNDDOWN(AC111*AA113/AA116,0)</f>
        <v>0</v>
      </c>
      <c r="AB118" s="3500"/>
      <c r="AC118" s="3500"/>
      <c r="AD118" s="3500"/>
      <c r="AE118" s="3500"/>
      <c r="AF118" s="3501"/>
      <c r="AG118" s="2843" t="s">
        <v>5551</v>
      </c>
      <c r="AH118" s="2851" t="s">
        <v>5550</v>
      </c>
      <c r="AI118" s="2843"/>
      <c r="AJ118" s="2843"/>
      <c r="AK118" s="2843"/>
      <c r="AL118" s="2843"/>
      <c r="AM118" s="2843"/>
      <c r="AN118" s="2843"/>
      <c r="AO118" s="2843"/>
      <c r="AP118" s="2843"/>
      <c r="AQ118" s="2843"/>
      <c r="AR118" s="2843"/>
      <c r="AS118" s="2843"/>
      <c r="AT118" s="2843"/>
      <c r="AU118" s="2843"/>
      <c r="AV118" s="2843"/>
      <c r="AW118" s="2843"/>
      <c r="AX118" s="2843"/>
      <c r="AY118" s="2842"/>
      <c r="AZ118" s="3319" t="s">
        <v>6199</v>
      </c>
    </row>
    <row r="119" spans="2:52" ht="13.5" customHeight="1" thickTop="1" thickBot="1">
      <c r="B119" s="3502"/>
      <c r="C119" s="3517"/>
      <c r="D119" s="3502"/>
      <c r="E119" s="2845"/>
      <c r="F119" s="2844"/>
      <c r="G119" s="2843"/>
      <c r="H119" s="2843"/>
      <c r="I119" s="2843"/>
      <c r="J119" s="2843"/>
      <c r="K119" s="2843"/>
      <c r="L119" s="2843"/>
      <c r="M119" s="2843"/>
      <c r="N119" s="2843"/>
      <c r="O119" s="2843"/>
      <c r="P119" s="2843"/>
      <c r="Q119" s="2843"/>
      <c r="R119" s="2843"/>
      <c r="S119" s="2843"/>
      <c r="T119" s="2843"/>
      <c r="U119" s="2843"/>
      <c r="V119" s="2843"/>
      <c r="W119" s="2843"/>
      <c r="X119" s="2843"/>
      <c r="Y119" s="2843"/>
      <c r="Z119" s="2843"/>
      <c r="AA119" s="2843"/>
      <c r="AB119" s="2843"/>
      <c r="AC119" s="2843"/>
      <c r="AD119" s="2843"/>
      <c r="AE119" s="2843"/>
      <c r="AF119" s="2843"/>
      <c r="AG119" s="2843"/>
      <c r="AH119" s="2843"/>
      <c r="AI119" s="2843"/>
      <c r="AJ119" s="2843"/>
      <c r="AK119" s="2843"/>
      <c r="AL119" s="2843"/>
      <c r="AM119" s="2843"/>
      <c r="AN119" s="2843"/>
      <c r="AO119" s="2843"/>
      <c r="AP119" s="2843"/>
      <c r="AQ119" s="2843"/>
      <c r="AR119" s="2843"/>
      <c r="AS119" s="2843"/>
      <c r="AT119" s="2843"/>
      <c r="AU119" s="2843"/>
      <c r="AV119" s="2843"/>
      <c r="AW119" s="2843"/>
      <c r="AX119" s="2843"/>
      <c r="AY119" s="2842"/>
      <c r="AZ119" s="3319" t="s">
        <v>6200</v>
      </c>
    </row>
    <row r="120" spans="2:52" ht="13.5" customHeight="1" thickTop="1" thickBot="1">
      <c r="B120" s="3502"/>
      <c r="C120" s="3517"/>
      <c r="D120" s="3502"/>
      <c r="E120" s="2845" t="s">
        <v>5405</v>
      </c>
      <c r="F120" s="2844"/>
      <c r="G120" s="2843"/>
      <c r="H120" s="2843"/>
      <c r="I120" s="2843"/>
      <c r="J120" s="2843"/>
      <c r="K120" s="2843"/>
      <c r="L120" s="2843"/>
      <c r="M120" s="2843"/>
      <c r="N120" s="2843"/>
      <c r="O120" s="2843"/>
      <c r="P120" s="2843"/>
      <c r="Q120" s="2843"/>
      <c r="R120" s="2843"/>
      <c r="S120" s="2843"/>
      <c r="T120" s="2843"/>
      <c r="U120" s="2843"/>
      <c r="V120" s="2843"/>
      <c r="W120" s="2843"/>
      <c r="X120" s="2843"/>
      <c r="Y120" s="2843"/>
      <c r="Z120" s="3499">
        <f>Z108+AA118</f>
        <v>5009679</v>
      </c>
      <c r="AA120" s="3500"/>
      <c r="AB120" s="3500"/>
      <c r="AC120" s="3500"/>
      <c r="AD120" s="3500"/>
      <c r="AE120" s="3501"/>
      <c r="AF120" s="2843" t="s">
        <v>5549</v>
      </c>
      <c r="AG120" s="2851" t="s">
        <v>5548</v>
      </c>
      <c r="AH120" s="2843"/>
      <c r="AI120" s="2843"/>
      <c r="AJ120" s="2843"/>
      <c r="AK120" s="2843"/>
      <c r="AL120" s="2843"/>
      <c r="AM120" s="2843"/>
      <c r="AN120" s="2843"/>
      <c r="AO120" s="2843"/>
      <c r="AP120" s="2843"/>
      <c r="AQ120" s="2843"/>
      <c r="AR120" s="2843"/>
      <c r="AS120" s="2843"/>
      <c r="AT120" s="2843"/>
      <c r="AU120" s="2843"/>
      <c r="AV120" s="2843"/>
      <c r="AW120" s="2843"/>
      <c r="AX120" s="2843"/>
      <c r="AY120" s="2842"/>
      <c r="AZ120" s="3319" t="s">
        <v>6201</v>
      </c>
    </row>
    <row r="121" spans="2:52" ht="13.5" customHeight="1" thickTop="1" thickBot="1">
      <c r="B121" s="3502"/>
      <c r="C121" s="3517"/>
      <c r="D121" s="3502"/>
      <c r="E121" s="2845"/>
      <c r="F121" s="2844"/>
      <c r="G121" s="2843"/>
      <c r="H121" s="2843"/>
      <c r="I121" s="2843"/>
      <c r="J121" s="2843"/>
      <c r="K121" s="2843"/>
      <c r="L121" s="2843"/>
      <c r="M121" s="2843"/>
      <c r="N121" s="2843"/>
      <c r="O121" s="2843"/>
      <c r="P121" s="2843"/>
      <c r="Q121" s="2843"/>
      <c r="R121" s="2843"/>
      <c r="S121" s="2843"/>
      <c r="T121" s="2843"/>
      <c r="U121" s="2843"/>
      <c r="V121" s="2843"/>
      <c r="W121" s="2843"/>
      <c r="X121" s="2843"/>
      <c r="Y121" s="2843"/>
      <c r="Z121" s="2843"/>
      <c r="AA121" s="2843"/>
      <c r="AB121" s="2843"/>
      <c r="AC121" s="2843"/>
      <c r="AD121" s="2843"/>
      <c r="AE121" s="2843"/>
      <c r="AF121" s="2843"/>
      <c r="AG121" s="2843"/>
      <c r="AH121" s="2843"/>
      <c r="AI121" s="2843"/>
      <c r="AJ121" s="2843"/>
      <c r="AK121" s="2843"/>
      <c r="AL121" s="2843"/>
      <c r="AM121" s="2843"/>
      <c r="AN121" s="2843"/>
      <c r="AO121" s="2843"/>
      <c r="AP121" s="2843"/>
      <c r="AQ121" s="2843"/>
      <c r="AR121" s="2843"/>
      <c r="AS121" s="2843"/>
      <c r="AT121" s="2843"/>
      <c r="AU121" s="2843"/>
      <c r="AV121" s="2843"/>
      <c r="AW121" s="2843"/>
      <c r="AX121" s="2843"/>
      <c r="AY121" s="2842"/>
      <c r="AZ121" s="3320" t="s">
        <v>6203</v>
      </c>
    </row>
    <row r="122" spans="2:52" ht="13.5" customHeight="1" thickTop="1" thickBot="1">
      <c r="B122" s="3502"/>
      <c r="C122" s="3517"/>
      <c r="D122" s="3502"/>
      <c r="E122" s="2845" t="s">
        <v>5400</v>
      </c>
      <c r="F122" s="2844"/>
      <c r="G122" s="2843"/>
      <c r="H122" s="2843"/>
      <c r="I122" s="2843"/>
      <c r="J122" s="2843"/>
      <c r="K122" s="2843"/>
      <c r="L122" s="2843"/>
      <c r="M122" s="2843"/>
      <c r="N122" s="2843"/>
      <c r="O122" s="2843"/>
      <c r="P122" s="2843"/>
      <c r="Q122" s="2843"/>
      <c r="R122" s="2843"/>
      <c r="S122" s="2843"/>
      <c r="T122" s="2843"/>
      <c r="U122" s="2843"/>
      <c r="V122" s="2843"/>
      <c r="W122" s="2843"/>
      <c r="X122" s="2843"/>
      <c r="Y122" s="2843"/>
      <c r="Z122" s="3499">
        <f>Z98-Z120</f>
        <v>-5009679</v>
      </c>
      <c r="AA122" s="3500"/>
      <c r="AB122" s="3500"/>
      <c r="AC122" s="3500"/>
      <c r="AD122" s="3500"/>
      <c r="AE122" s="3501"/>
      <c r="AF122" s="2843" t="s">
        <v>5547</v>
      </c>
      <c r="AG122" s="2851" t="s">
        <v>5546</v>
      </c>
      <c r="AH122" s="2843"/>
      <c r="AI122" s="2843"/>
      <c r="AJ122" s="2843"/>
      <c r="AK122" s="2843"/>
      <c r="AL122" s="2843"/>
      <c r="AM122" s="2843"/>
      <c r="AN122" s="2843"/>
      <c r="AO122" s="2843"/>
      <c r="AP122" s="2843"/>
      <c r="AQ122" s="2843"/>
      <c r="AR122" s="2843"/>
      <c r="AS122" s="2843"/>
      <c r="AT122" s="2843"/>
      <c r="AU122" s="2843"/>
      <c r="AV122" s="2843"/>
      <c r="AW122" s="2843"/>
      <c r="AX122" s="2843"/>
      <c r="AY122" s="2842"/>
      <c r="AZ122" s="3041" t="s">
        <v>6204</v>
      </c>
    </row>
    <row r="123" spans="2:52" ht="13.5" customHeight="1" thickTop="1">
      <c r="B123" s="3502"/>
      <c r="C123" s="3518"/>
      <c r="D123" s="3513"/>
      <c r="E123" s="2840"/>
      <c r="F123" s="2839"/>
      <c r="G123" s="2838"/>
      <c r="H123" s="2838"/>
      <c r="I123" s="2838"/>
      <c r="J123" s="2838"/>
      <c r="K123" s="2838"/>
      <c r="L123" s="2838"/>
      <c r="M123" s="2838"/>
      <c r="N123" s="2838"/>
      <c r="O123" s="2838"/>
      <c r="P123" s="2838"/>
      <c r="Q123" s="2838"/>
      <c r="R123" s="2838"/>
      <c r="S123" s="2838"/>
      <c r="T123" s="2838"/>
      <c r="U123" s="2838"/>
      <c r="V123" s="2838"/>
      <c r="W123" s="2838"/>
      <c r="X123" s="2838"/>
      <c r="Y123" s="2838"/>
      <c r="Z123" s="2838"/>
      <c r="AA123" s="2838"/>
      <c r="AB123" s="2838"/>
      <c r="AC123" s="2838"/>
      <c r="AD123" s="2838"/>
      <c r="AE123" s="2838"/>
      <c r="AF123" s="2838"/>
      <c r="AG123" s="2838"/>
      <c r="AH123" s="2838"/>
      <c r="AI123" s="2838"/>
      <c r="AJ123" s="2838"/>
      <c r="AK123" s="2838"/>
      <c r="AL123" s="2838"/>
      <c r="AM123" s="2838"/>
      <c r="AN123" s="2838"/>
      <c r="AO123" s="2838"/>
      <c r="AP123" s="2838"/>
      <c r="AQ123" s="2838"/>
      <c r="AR123" s="2838"/>
      <c r="AS123" s="2838"/>
      <c r="AT123" s="2838"/>
      <c r="AU123" s="2838"/>
      <c r="AV123" s="2838"/>
      <c r="AW123" s="2838"/>
      <c r="AX123" s="2838"/>
      <c r="AY123" s="2837"/>
      <c r="AZ123" s="3047" t="s">
        <v>6206</v>
      </c>
    </row>
    <row r="124" spans="2:52" ht="13.5" customHeight="1">
      <c r="B124" s="3502"/>
      <c r="C124" s="2846"/>
      <c r="D124" s="2855"/>
      <c r="E124" s="2850"/>
      <c r="F124" s="2849"/>
      <c r="G124" s="2848"/>
      <c r="H124" s="2848"/>
      <c r="I124" s="2848"/>
      <c r="J124" s="2848"/>
      <c r="K124" s="2848"/>
      <c r="L124" s="2848"/>
      <c r="M124" s="2848"/>
      <c r="N124" s="2848"/>
      <c r="O124" s="2848"/>
      <c r="P124" s="2848"/>
      <c r="Q124" s="2848"/>
      <c r="R124" s="2848"/>
      <c r="S124" s="2848"/>
      <c r="T124" s="2848"/>
      <c r="U124" s="2848"/>
      <c r="V124" s="2848"/>
      <c r="W124" s="2848"/>
      <c r="X124" s="2848"/>
      <c r="Y124" s="2848"/>
      <c r="Z124" s="2848"/>
      <c r="AA124" s="2848"/>
      <c r="AB124" s="2848"/>
      <c r="AC124" s="2848"/>
      <c r="AD124" s="2848"/>
      <c r="AE124" s="2848"/>
      <c r="AF124" s="2848"/>
      <c r="AG124" s="2848"/>
      <c r="AH124" s="2848"/>
      <c r="AI124" s="2848"/>
      <c r="AJ124" s="2848"/>
      <c r="AK124" s="2848"/>
      <c r="AL124" s="2848"/>
      <c r="AM124" s="2848"/>
      <c r="AN124" s="2848"/>
      <c r="AO124" s="2848"/>
      <c r="AP124" s="2848"/>
      <c r="AQ124" s="2848"/>
      <c r="AR124" s="2848"/>
      <c r="AS124" s="2848"/>
      <c r="AT124" s="2848"/>
      <c r="AU124" s="2848"/>
      <c r="AV124" s="2848"/>
      <c r="AW124" s="2848"/>
      <c r="AX124" s="2848"/>
      <c r="AY124" s="2847"/>
      <c r="AZ124" s="2846"/>
    </row>
    <row r="125" spans="2:52" ht="13.5" customHeight="1">
      <c r="B125" s="3502"/>
      <c r="C125" s="2841"/>
      <c r="D125" s="2854"/>
      <c r="E125" s="2845"/>
      <c r="F125" s="2844"/>
      <c r="G125" s="2843"/>
      <c r="H125" s="2843"/>
      <c r="I125" s="2843"/>
      <c r="J125" s="2843"/>
      <c r="K125" s="2843"/>
      <c r="L125" s="2843"/>
      <c r="M125" s="2843"/>
      <c r="N125" s="2843"/>
      <c r="O125" s="2843"/>
      <c r="P125" s="2843"/>
      <c r="Q125" s="2843"/>
      <c r="R125" s="2843"/>
      <c r="S125" s="2843"/>
      <c r="T125" s="2843"/>
      <c r="U125" s="2843"/>
      <c r="V125" s="2843"/>
      <c r="W125" s="2843"/>
      <c r="X125" s="2843"/>
      <c r="Y125" s="2843"/>
      <c r="Z125" s="2843"/>
      <c r="AA125" s="2843"/>
      <c r="AB125" s="2843"/>
      <c r="AC125" s="2843"/>
      <c r="AD125" s="2843"/>
      <c r="AE125" s="2843"/>
      <c r="AF125" s="2843"/>
      <c r="AG125" s="2843"/>
      <c r="AH125" s="2843"/>
      <c r="AI125" s="2843"/>
      <c r="AJ125" s="2843"/>
      <c r="AK125" s="2843"/>
      <c r="AL125" s="2843"/>
      <c r="AM125" s="2843"/>
      <c r="AN125" s="2843"/>
      <c r="AO125" s="2843"/>
      <c r="AP125" s="2843"/>
      <c r="AQ125" s="2843"/>
      <c r="AR125" s="2843"/>
      <c r="AS125" s="2843"/>
      <c r="AT125" s="2843"/>
      <c r="AU125" s="2843"/>
      <c r="AV125" s="2843"/>
      <c r="AW125" s="2843"/>
      <c r="AX125" s="2843"/>
      <c r="AY125" s="2842"/>
      <c r="AZ125" s="2841"/>
    </row>
    <row r="126" spans="2:52" ht="13.5" customHeight="1">
      <c r="B126" s="3502"/>
      <c r="C126" s="2841"/>
      <c r="D126" s="2854"/>
      <c r="E126" s="2845"/>
      <c r="F126" s="2844"/>
      <c r="G126" s="2843"/>
      <c r="H126" s="2843"/>
      <c r="I126" s="2843"/>
      <c r="J126" s="2843"/>
      <c r="K126" s="2843"/>
      <c r="L126" s="2843"/>
      <c r="M126" s="2843"/>
      <c r="N126" s="2843"/>
      <c r="O126" s="2843"/>
      <c r="P126" s="2843"/>
      <c r="Q126" s="2843"/>
      <c r="R126" s="2843"/>
      <c r="S126" s="2843"/>
      <c r="T126" s="2843"/>
      <c r="U126" s="2843"/>
      <c r="V126" s="2843"/>
      <c r="W126" s="2843"/>
      <c r="X126" s="2843"/>
      <c r="Y126" s="2843"/>
      <c r="Z126" s="2843"/>
      <c r="AA126" s="2843"/>
      <c r="AB126" s="2843"/>
      <c r="AC126" s="2843"/>
      <c r="AD126" s="2843"/>
      <c r="AE126" s="2843"/>
      <c r="AF126" s="2843"/>
      <c r="AG126" s="2843"/>
      <c r="AH126" s="2843"/>
      <c r="AI126" s="2843"/>
      <c r="AJ126" s="2843"/>
      <c r="AK126" s="2843"/>
      <c r="AL126" s="2843"/>
      <c r="AM126" s="2843"/>
      <c r="AN126" s="2843"/>
      <c r="AO126" s="2843"/>
      <c r="AP126" s="2843"/>
      <c r="AQ126" s="2843"/>
      <c r="AR126" s="2843"/>
      <c r="AS126" s="2843"/>
      <c r="AT126" s="2843"/>
      <c r="AU126" s="2843"/>
      <c r="AV126" s="2843"/>
      <c r="AW126" s="2843"/>
      <c r="AX126" s="2843"/>
      <c r="AY126" s="2842"/>
      <c r="AZ126" s="2841"/>
    </row>
    <row r="127" spans="2:52" ht="13.5" customHeight="1">
      <c r="B127" s="3502"/>
      <c r="C127" s="2841"/>
      <c r="D127" s="2854"/>
      <c r="E127" s="2845"/>
      <c r="F127" s="2844"/>
      <c r="G127" s="2843"/>
      <c r="H127" s="2843"/>
      <c r="I127" s="2843"/>
      <c r="J127" s="2843"/>
      <c r="K127" s="2843"/>
      <c r="L127" s="2843"/>
      <c r="M127" s="2843"/>
      <c r="N127" s="2843"/>
      <c r="O127" s="2843"/>
      <c r="P127" s="2843"/>
      <c r="Q127" s="2843"/>
      <c r="R127" s="2843"/>
      <c r="S127" s="2843"/>
      <c r="T127" s="2843"/>
      <c r="U127" s="2843"/>
      <c r="V127" s="2843"/>
      <c r="W127" s="2843"/>
      <c r="X127" s="2843"/>
      <c r="Y127" s="2843"/>
      <c r="Z127" s="2843"/>
      <c r="AA127" s="2843"/>
      <c r="AB127" s="2843"/>
      <c r="AC127" s="2843"/>
      <c r="AD127" s="2843"/>
      <c r="AE127" s="2843"/>
      <c r="AF127" s="2843"/>
      <c r="AG127" s="2843"/>
      <c r="AH127" s="2843"/>
      <c r="AI127" s="2843"/>
      <c r="AJ127" s="2843"/>
      <c r="AK127" s="2843"/>
      <c r="AL127" s="2843"/>
      <c r="AM127" s="2843"/>
      <c r="AN127" s="2843"/>
      <c r="AO127" s="2843"/>
      <c r="AP127" s="2843"/>
      <c r="AQ127" s="2843"/>
      <c r="AR127" s="2843"/>
      <c r="AS127" s="2843"/>
      <c r="AT127" s="2843"/>
      <c r="AU127" s="2843"/>
      <c r="AV127" s="2843"/>
      <c r="AW127" s="2843"/>
      <c r="AX127" s="2843"/>
      <c r="AY127" s="2842"/>
      <c r="AZ127" s="2841"/>
    </row>
    <row r="128" spans="2:52" ht="13.5" customHeight="1">
      <c r="B128" s="3502"/>
      <c r="C128" s="2841"/>
      <c r="D128" s="2854"/>
      <c r="E128" s="2845"/>
      <c r="F128" s="2844"/>
      <c r="G128" s="2843"/>
      <c r="H128" s="2843"/>
      <c r="I128" s="2843"/>
      <c r="J128" s="2843"/>
      <c r="K128" s="2843"/>
      <c r="L128" s="2843"/>
      <c r="M128" s="2843"/>
      <c r="N128" s="2843"/>
      <c r="O128" s="2843"/>
      <c r="P128" s="2843"/>
      <c r="Q128" s="2843"/>
      <c r="R128" s="2843"/>
      <c r="S128" s="2843"/>
      <c r="T128" s="2843"/>
      <c r="U128" s="2843"/>
      <c r="V128" s="2843"/>
      <c r="W128" s="2843"/>
      <c r="X128" s="2843"/>
      <c r="Y128" s="2843"/>
      <c r="Z128" s="2843"/>
      <c r="AA128" s="2843"/>
      <c r="AB128" s="2843"/>
      <c r="AC128" s="2843"/>
      <c r="AD128" s="2843"/>
      <c r="AE128" s="2843"/>
      <c r="AF128" s="2843"/>
      <c r="AG128" s="2843"/>
      <c r="AH128" s="2843"/>
      <c r="AI128" s="2843"/>
      <c r="AJ128" s="2843"/>
      <c r="AK128" s="2843"/>
      <c r="AL128" s="2843"/>
      <c r="AM128" s="2843"/>
      <c r="AN128" s="2843"/>
      <c r="AO128" s="2843"/>
      <c r="AP128" s="2843"/>
      <c r="AQ128" s="2843"/>
      <c r="AR128" s="2843"/>
      <c r="AS128" s="2843"/>
      <c r="AT128" s="2843"/>
      <c r="AU128" s="2843"/>
      <c r="AV128" s="2843"/>
      <c r="AW128" s="2843"/>
      <c r="AX128" s="2843"/>
      <c r="AY128" s="2842"/>
      <c r="AZ128" s="2841"/>
    </row>
    <row r="129" spans="2:52" ht="13.5" customHeight="1">
      <c r="B129" s="3502"/>
      <c r="C129" s="2841"/>
      <c r="D129" s="2854"/>
      <c r="E129" s="2845"/>
      <c r="F129" s="2844"/>
      <c r="G129" s="2843"/>
      <c r="H129" s="2843"/>
      <c r="I129" s="2843"/>
      <c r="J129" s="2843"/>
      <c r="K129" s="2843"/>
      <c r="L129" s="2843"/>
      <c r="M129" s="2843"/>
      <c r="N129" s="2843"/>
      <c r="O129" s="2843"/>
      <c r="P129" s="2843"/>
      <c r="Q129" s="2843"/>
      <c r="R129" s="2843"/>
      <c r="S129" s="2843"/>
      <c r="T129" s="2843"/>
      <c r="U129" s="2843"/>
      <c r="V129" s="2843"/>
      <c r="W129" s="2843"/>
      <c r="X129" s="2843"/>
      <c r="Y129" s="2843"/>
      <c r="Z129" s="2843"/>
      <c r="AA129" s="2843"/>
      <c r="AB129" s="2843"/>
      <c r="AC129" s="2843"/>
      <c r="AD129" s="2843"/>
      <c r="AE129" s="2843"/>
      <c r="AF129" s="2843"/>
      <c r="AG129" s="2843"/>
      <c r="AH129" s="2843"/>
      <c r="AI129" s="2843"/>
      <c r="AJ129" s="2843"/>
      <c r="AK129" s="2843"/>
      <c r="AL129" s="2843"/>
      <c r="AM129" s="2843"/>
      <c r="AN129" s="2843"/>
      <c r="AO129" s="2843"/>
      <c r="AP129" s="2843"/>
      <c r="AQ129" s="2843"/>
      <c r="AR129" s="2843"/>
      <c r="AS129" s="2843"/>
      <c r="AT129" s="2843"/>
      <c r="AU129" s="2843"/>
      <c r="AV129" s="2843"/>
      <c r="AW129" s="2843"/>
      <c r="AX129" s="2843"/>
      <c r="AY129" s="2842"/>
      <c r="AZ129" s="2841"/>
    </row>
    <row r="130" spans="2:52" ht="13.5" customHeight="1">
      <c r="B130" s="3513"/>
      <c r="C130" s="2836"/>
      <c r="D130" s="2853"/>
      <c r="E130" s="2840"/>
      <c r="F130" s="2839"/>
      <c r="G130" s="2838"/>
      <c r="H130" s="2838"/>
      <c r="I130" s="2838"/>
      <c r="J130" s="2838"/>
      <c r="K130" s="2838"/>
      <c r="L130" s="2838"/>
      <c r="M130" s="2838"/>
      <c r="N130" s="2838"/>
      <c r="O130" s="2838"/>
      <c r="P130" s="2838"/>
      <c r="Q130" s="2838"/>
      <c r="R130" s="2838"/>
      <c r="S130" s="2838"/>
      <c r="T130" s="2838"/>
      <c r="U130" s="2838"/>
      <c r="V130" s="2838"/>
      <c r="W130" s="2838"/>
      <c r="X130" s="2838"/>
      <c r="Y130" s="2838"/>
      <c r="Z130" s="2838"/>
      <c r="AA130" s="2838"/>
      <c r="AB130" s="2838"/>
      <c r="AC130" s="2838"/>
      <c r="AD130" s="2838"/>
      <c r="AE130" s="2838"/>
      <c r="AF130" s="2838"/>
      <c r="AG130" s="2838"/>
      <c r="AH130" s="2838"/>
      <c r="AI130" s="2838"/>
      <c r="AJ130" s="2838"/>
      <c r="AK130" s="2838"/>
      <c r="AL130" s="2838"/>
      <c r="AM130" s="2838"/>
      <c r="AN130" s="2838"/>
      <c r="AO130" s="2838"/>
      <c r="AP130" s="2838"/>
      <c r="AQ130" s="2838"/>
      <c r="AR130" s="2838"/>
      <c r="AS130" s="2838"/>
      <c r="AT130" s="2838"/>
      <c r="AU130" s="2838"/>
      <c r="AV130" s="2838"/>
      <c r="AW130" s="2838"/>
      <c r="AX130" s="2838"/>
      <c r="AY130" s="2837"/>
      <c r="AZ130" s="2836"/>
    </row>
    <row r="131" spans="2:52" ht="13.5" customHeight="1">
      <c r="B131" s="3512" t="s">
        <v>5397</v>
      </c>
      <c r="C131" s="3514">
        <v>1</v>
      </c>
      <c r="D131" s="3514" t="s">
        <v>5396</v>
      </c>
      <c r="E131" s="2850"/>
      <c r="F131" s="2849"/>
      <c r="G131" s="2848"/>
      <c r="H131" s="2848"/>
      <c r="I131" s="2848"/>
      <c r="J131" s="2848"/>
      <c r="K131" s="2848"/>
      <c r="L131" s="2848"/>
      <c r="M131" s="2848"/>
      <c r="N131" s="2848"/>
      <c r="O131" s="2848"/>
      <c r="P131" s="2848"/>
      <c r="Q131" s="2848"/>
      <c r="R131" s="2848"/>
      <c r="S131" s="2848"/>
      <c r="T131" s="2852"/>
      <c r="U131" s="2852"/>
      <c r="V131" s="2852"/>
      <c r="W131" s="2852"/>
      <c r="X131" s="2852"/>
      <c r="Y131" s="2852"/>
      <c r="Z131" s="2848"/>
      <c r="AA131" s="2848"/>
      <c r="AB131" s="2848"/>
      <c r="AC131" s="2848"/>
      <c r="AD131" s="2848"/>
      <c r="AE131" s="2848"/>
      <c r="AF131" s="2848"/>
      <c r="AG131" s="2848"/>
      <c r="AH131" s="2848"/>
      <c r="AI131" s="2848"/>
      <c r="AJ131" s="2848"/>
      <c r="AK131" s="2848"/>
      <c r="AL131" s="2848"/>
      <c r="AM131" s="2848"/>
      <c r="AN131" s="2848"/>
      <c r="AO131" s="2848"/>
      <c r="AP131" s="2848"/>
      <c r="AQ131" s="2848"/>
      <c r="AR131" s="2848"/>
      <c r="AS131" s="2848"/>
      <c r="AT131" s="2848"/>
      <c r="AU131" s="2848"/>
      <c r="AV131" s="2848"/>
      <c r="AW131" s="2848"/>
      <c r="AX131" s="2848"/>
      <c r="AY131" s="2847"/>
      <c r="AZ131" s="2846"/>
    </row>
    <row r="132" spans="2:52" ht="13.5" customHeight="1">
      <c r="B132" s="3502"/>
      <c r="C132" s="3498"/>
      <c r="D132" s="3498"/>
      <c r="E132" s="2845" t="s">
        <v>5375</v>
      </c>
      <c r="F132" s="2844"/>
      <c r="G132" s="2843"/>
      <c r="H132" s="2843"/>
      <c r="I132" s="2843"/>
      <c r="J132" s="2843" t="s">
        <v>5395</v>
      </c>
      <c r="K132" s="2843"/>
      <c r="L132" s="2843"/>
      <c r="M132" s="2843"/>
      <c r="N132" s="2843"/>
      <c r="O132" s="2843"/>
      <c r="P132" s="2843"/>
      <c r="Q132" s="2843"/>
      <c r="R132" s="2843"/>
      <c r="S132" s="2843"/>
      <c r="T132" s="3497">
        <f>IF(0&gt;Z122,0,Z122)</f>
        <v>0</v>
      </c>
      <c r="U132" s="3497"/>
      <c r="V132" s="3497"/>
      <c r="W132" s="3497"/>
      <c r="X132" s="3497"/>
      <c r="Y132" s="3497"/>
      <c r="Z132" s="2843"/>
      <c r="AA132" s="2851" t="s">
        <v>5394</v>
      </c>
      <c r="AB132" s="2843"/>
      <c r="AC132" s="2843"/>
      <c r="AD132" s="2843"/>
      <c r="AE132" s="2843"/>
      <c r="AF132" s="2843"/>
      <c r="AG132" s="3323"/>
      <c r="AH132" s="2843"/>
      <c r="AI132" s="2843"/>
      <c r="AJ132" s="2843"/>
      <c r="AK132" s="2843"/>
      <c r="AL132" s="2843"/>
      <c r="AM132" s="2843"/>
      <c r="AN132" s="2843"/>
      <c r="AO132" s="2843"/>
      <c r="AP132" s="2843"/>
      <c r="AQ132" s="2843"/>
      <c r="AR132" s="2843"/>
      <c r="AS132" s="2843"/>
      <c r="AT132" s="2843"/>
      <c r="AU132" s="2843"/>
      <c r="AV132" s="2843"/>
      <c r="AW132" s="2843"/>
      <c r="AX132" s="2843"/>
      <c r="AY132" s="2842"/>
      <c r="AZ132" s="2841" t="s">
        <v>6230</v>
      </c>
    </row>
    <row r="133" spans="2:52" ht="13.5" customHeight="1" thickBot="1">
      <c r="B133" s="3502"/>
      <c r="C133" s="3498"/>
      <c r="D133" s="3498"/>
      <c r="E133" s="2845"/>
      <c r="F133" s="2844"/>
      <c r="G133" s="2843"/>
      <c r="H133" s="2843"/>
      <c r="I133" s="2843"/>
      <c r="J133" s="2843"/>
      <c r="K133" s="2843"/>
      <c r="L133" s="2843"/>
      <c r="M133" s="2843"/>
      <c r="N133" s="2843"/>
      <c r="O133" s="2843"/>
      <c r="P133" s="2843"/>
      <c r="Q133" s="2843"/>
      <c r="R133" s="2843"/>
      <c r="S133" s="2843"/>
      <c r="T133" s="2843"/>
      <c r="U133" s="2843"/>
      <c r="V133" s="2843"/>
      <c r="W133" s="2843"/>
      <c r="X133" s="2843"/>
      <c r="Y133" s="2843"/>
      <c r="Z133" s="2843"/>
      <c r="AA133" s="2843"/>
      <c r="AB133" s="2843"/>
      <c r="AC133" s="2843"/>
      <c r="AD133" s="2843"/>
      <c r="AE133" s="2843"/>
      <c r="AF133" s="2843"/>
      <c r="AG133" s="2843"/>
      <c r="AH133" s="2843"/>
      <c r="AI133" s="2843"/>
      <c r="AJ133" s="2843"/>
      <c r="AK133" s="2843"/>
      <c r="AL133" s="2843"/>
      <c r="AM133" s="2843"/>
      <c r="AN133" s="2843"/>
      <c r="AO133" s="2843"/>
      <c r="AP133" s="2843"/>
      <c r="AQ133" s="2843"/>
      <c r="AR133" s="2843"/>
      <c r="AS133" s="2843"/>
      <c r="AT133" s="2843"/>
      <c r="AU133" s="2843"/>
      <c r="AV133" s="2843"/>
      <c r="AW133" s="2843"/>
      <c r="AX133" s="2843"/>
      <c r="AY133" s="2842"/>
      <c r="AZ133" s="2841">
        <v>0</v>
      </c>
    </row>
    <row r="134" spans="2:52" ht="13.5" customHeight="1" thickTop="1" thickBot="1">
      <c r="B134" s="3502"/>
      <c r="C134" s="3498"/>
      <c r="D134" s="3498"/>
      <c r="E134" s="2845"/>
      <c r="F134" s="2844"/>
      <c r="G134" s="2843"/>
      <c r="H134" s="2843"/>
      <c r="I134" s="2843"/>
      <c r="J134" s="2843" t="s">
        <v>5393</v>
      </c>
      <c r="K134" s="2843"/>
      <c r="L134" s="2843"/>
      <c r="M134" s="2843"/>
      <c r="N134" s="2843"/>
      <c r="O134" s="2843"/>
      <c r="P134" s="2843"/>
      <c r="Q134" s="2843"/>
      <c r="R134" s="2843"/>
      <c r="S134" s="2843"/>
      <c r="T134" s="3499">
        <f>ROUNDDOWN(R25*4/105,0)</f>
        <v>0</v>
      </c>
      <c r="U134" s="3500"/>
      <c r="V134" s="3500"/>
      <c r="W134" s="3500"/>
      <c r="X134" s="3500"/>
      <c r="Y134" s="3501"/>
      <c r="Z134" s="2843" t="s">
        <v>5545</v>
      </c>
      <c r="AA134" s="2851" t="s">
        <v>5544</v>
      </c>
      <c r="AB134" s="2843"/>
      <c r="AC134" s="2843"/>
      <c r="AD134" s="2843"/>
      <c r="AE134" s="2843"/>
      <c r="AF134" s="2843"/>
      <c r="AG134" s="2843"/>
      <c r="AH134" s="2843"/>
      <c r="AI134" s="2843"/>
      <c r="AJ134" s="2843"/>
      <c r="AK134" s="2843"/>
      <c r="AL134" s="2843"/>
      <c r="AM134" s="2843"/>
      <c r="AN134" s="2843"/>
      <c r="AO134" s="2843"/>
      <c r="AP134" s="2843"/>
      <c r="AQ134" s="2843"/>
      <c r="AR134" s="2843"/>
      <c r="AS134" s="2843"/>
      <c r="AT134" s="2843"/>
      <c r="AU134" s="2843"/>
      <c r="AV134" s="2843"/>
      <c r="AW134" s="2843"/>
      <c r="AX134" s="2843"/>
      <c r="AY134" s="2842"/>
      <c r="AZ134" s="2841" t="s">
        <v>5390</v>
      </c>
    </row>
    <row r="135" spans="2:52" ht="13.5" customHeight="1" thickTop="1">
      <c r="B135" s="3502"/>
      <c r="C135" s="3498"/>
      <c r="D135" s="3498"/>
      <c r="E135" s="2845"/>
      <c r="F135" s="2844"/>
      <c r="G135" s="2843"/>
      <c r="H135" s="2843"/>
      <c r="I135" s="2843"/>
      <c r="J135" s="2843"/>
      <c r="K135" s="2843"/>
      <c r="L135" s="2843"/>
      <c r="M135" s="2843"/>
      <c r="N135" s="2843"/>
      <c r="O135" s="2843"/>
      <c r="P135" s="2843"/>
      <c r="Q135" s="2843"/>
      <c r="R135" s="2843"/>
      <c r="S135" s="2843"/>
      <c r="T135" s="2843"/>
      <c r="U135" s="2843"/>
      <c r="V135" s="2843"/>
      <c r="W135" s="2843"/>
      <c r="X135" s="2843"/>
      <c r="Y135" s="2843"/>
      <c r="Z135" s="2843"/>
      <c r="AA135" s="2843"/>
      <c r="AB135" s="2843"/>
      <c r="AC135" s="2843"/>
      <c r="AD135" s="2843"/>
      <c r="AE135" s="2843"/>
      <c r="AF135" s="2843"/>
      <c r="AG135" s="2843"/>
      <c r="AH135" s="2843"/>
      <c r="AI135" s="2843"/>
      <c r="AJ135" s="2843"/>
      <c r="AK135" s="2843"/>
      <c r="AL135" s="2843"/>
      <c r="AM135" s="2843"/>
      <c r="AN135" s="2843"/>
      <c r="AO135" s="2843"/>
      <c r="AP135" s="2843"/>
      <c r="AQ135" s="2843"/>
      <c r="AR135" s="2843"/>
      <c r="AS135" s="2843"/>
      <c r="AT135" s="2843"/>
      <c r="AU135" s="2843"/>
      <c r="AV135" s="2843"/>
      <c r="AW135" s="2843"/>
      <c r="AX135" s="2843"/>
      <c r="AY135" s="2842"/>
      <c r="AZ135" s="2841"/>
    </row>
    <row r="136" spans="2:52" ht="13.5" customHeight="1" thickBot="1">
      <c r="B136" s="3502"/>
      <c r="C136" s="3498"/>
      <c r="D136" s="3498"/>
      <c r="E136" s="2845"/>
      <c r="F136" s="2844"/>
      <c r="G136" s="2843"/>
      <c r="H136" s="2843"/>
      <c r="I136" s="2843"/>
      <c r="J136" s="2843" t="s">
        <v>5389</v>
      </c>
      <c r="K136" s="2843"/>
      <c r="L136" s="2843"/>
      <c r="M136" s="2843"/>
      <c r="N136" s="2843"/>
      <c r="O136" s="2843"/>
      <c r="P136" s="2843"/>
      <c r="Q136" s="2843"/>
      <c r="R136" s="2843"/>
      <c r="S136" s="2843"/>
      <c r="T136" s="3519">
        <f>基礎数値!E17</f>
        <v>1120996</v>
      </c>
      <c r="U136" s="3519"/>
      <c r="V136" s="3519"/>
      <c r="W136" s="3519"/>
      <c r="X136" s="3519"/>
      <c r="Y136" s="3519"/>
      <c r="Z136" s="2843" t="s">
        <v>5543</v>
      </c>
      <c r="AA136" s="2851" t="s">
        <v>5387</v>
      </c>
      <c r="AB136" s="2843"/>
      <c r="AC136" s="2843"/>
      <c r="AD136" s="2843"/>
      <c r="AE136" s="2843"/>
      <c r="AF136" s="2843"/>
      <c r="AG136" s="2843"/>
      <c r="AH136" s="2843"/>
      <c r="AI136" s="2843"/>
      <c r="AJ136" s="2843"/>
      <c r="AK136" s="2843"/>
      <c r="AL136" s="2843"/>
      <c r="AM136" s="2843"/>
      <c r="AN136" s="2843"/>
      <c r="AO136" s="2843"/>
      <c r="AP136" s="2843"/>
      <c r="AQ136" s="2843"/>
      <c r="AR136" s="2843"/>
      <c r="AS136" s="2843"/>
      <c r="AT136" s="2843"/>
      <c r="AU136" s="2843"/>
      <c r="AV136" s="2843"/>
      <c r="AW136" s="2843"/>
      <c r="AX136" s="2843"/>
      <c r="AY136" s="2842"/>
      <c r="AZ136" s="2841"/>
    </row>
    <row r="137" spans="2:52" ht="13.5" customHeight="1" thickTop="1" thickBot="1">
      <c r="B137" s="3502"/>
      <c r="C137" s="3498"/>
      <c r="D137" s="3498"/>
      <c r="E137" s="2845"/>
      <c r="F137" s="2844"/>
      <c r="G137" s="2843"/>
      <c r="H137" s="2843"/>
      <c r="I137" s="2843"/>
      <c r="J137" s="2843" t="s">
        <v>5386</v>
      </c>
      <c r="K137" s="2843"/>
      <c r="L137" s="2843"/>
      <c r="M137" s="2843"/>
      <c r="N137" s="2843"/>
      <c r="O137" s="2843"/>
      <c r="P137" s="2843"/>
      <c r="Q137" s="2843"/>
      <c r="R137" s="2843"/>
      <c r="S137" s="2843"/>
      <c r="T137" s="3499">
        <f>ROUNDDOWN(T136*4/105,0)</f>
        <v>42704</v>
      </c>
      <c r="U137" s="3500"/>
      <c r="V137" s="3500"/>
      <c r="W137" s="3500"/>
      <c r="X137" s="3500"/>
      <c r="Y137" s="3501"/>
      <c r="Z137" s="2843" t="s">
        <v>5542</v>
      </c>
      <c r="AA137" s="2851" t="s">
        <v>5541</v>
      </c>
      <c r="AB137" s="2843"/>
      <c r="AC137" s="2843"/>
      <c r="AD137" s="2843"/>
      <c r="AE137" s="2843"/>
      <c r="AF137" s="2843"/>
      <c r="AG137" s="2843"/>
      <c r="AH137" s="2843"/>
      <c r="AI137" s="2843"/>
      <c r="AJ137" s="2843"/>
      <c r="AK137" s="2843"/>
      <c r="AL137" s="2843"/>
      <c r="AM137" s="2843"/>
      <c r="AN137" s="2843"/>
      <c r="AO137" s="2843"/>
      <c r="AP137" s="2843"/>
      <c r="AQ137" s="2843"/>
      <c r="AR137" s="2843"/>
      <c r="AS137" s="2843"/>
      <c r="AT137" s="2843"/>
      <c r="AU137" s="2843"/>
      <c r="AV137" s="2843"/>
      <c r="AW137" s="2843"/>
      <c r="AX137" s="2843"/>
      <c r="AY137" s="2842"/>
      <c r="AZ137" s="2841" t="s">
        <v>5540</v>
      </c>
    </row>
    <row r="138" spans="2:52" ht="13.5" customHeight="1" thickTop="1" thickBot="1">
      <c r="B138" s="3502"/>
      <c r="C138" s="3498"/>
      <c r="D138" s="3498"/>
      <c r="E138" s="2845"/>
      <c r="F138" s="2844"/>
      <c r="G138" s="2843"/>
      <c r="H138" s="2843"/>
      <c r="I138" s="2843"/>
      <c r="J138" s="2843"/>
      <c r="K138" s="2843"/>
      <c r="L138" s="2843"/>
      <c r="M138" s="2843"/>
      <c r="N138" s="2843"/>
      <c r="O138" s="2843"/>
      <c r="P138" s="2843"/>
      <c r="Q138" s="2843"/>
      <c r="R138" s="2843"/>
      <c r="S138" s="2843"/>
      <c r="T138" s="2843"/>
      <c r="U138" s="2843"/>
      <c r="V138" s="2843"/>
      <c r="W138" s="2843"/>
      <c r="X138" s="2843"/>
      <c r="Y138" s="2843"/>
      <c r="Z138" s="2843"/>
      <c r="AA138" s="2843"/>
      <c r="AB138" s="2843"/>
      <c r="AC138" s="2843"/>
      <c r="AD138" s="2843"/>
      <c r="AE138" s="2843"/>
      <c r="AF138" s="2843"/>
      <c r="AG138" s="2843"/>
      <c r="AH138" s="2843"/>
      <c r="AI138" s="2843"/>
      <c r="AJ138" s="2843"/>
      <c r="AK138" s="2843"/>
      <c r="AL138" s="2843"/>
      <c r="AM138" s="2843"/>
      <c r="AN138" s="2843"/>
      <c r="AO138" s="2843"/>
      <c r="AP138" s="2843"/>
      <c r="AQ138" s="2843"/>
      <c r="AR138" s="2843"/>
      <c r="AS138" s="2843"/>
      <c r="AT138" s="2843"/>
      <c r="AU138" s="2843"/>
      <c r="AV138" s="2843"/>
      <c r="AW138" s="2843"/>
      <c r="AX138" s="2843"/>
      <c r="AY138" s="2842"/>
      <c r="AZ138" s="2841"/>
    </row>
    <row r="139" spans="2:52" ht="13.5" customHeight="1" thickTop="1" thickBot="1">
      <c r="B139" s="3502"/>
      <c r="C139" s="3498"/>
      <c r="D139" s="3498"/>
      <c r="E139" s="2845"/>
      <c r="F139" s="2844"/>
      <c r="G139" s="2843"/>
      <c r="H139" s="2843"/>
      <c r="I139" s="2843"/>
      <c r="J139" s="2843" t="s">
        <v>5382</v>
      </c>
      <c r="K139" s="2843"/>
      <c r="L139" s="2843"/>
      <c r="M139" s="2843"/>
      <c r="N139" s="2843"/>
      <c r="O139" s="2843"/>
      <c r="P139" s="2843"/>
      <c r="Q139" s="2843"/>
      <c r="R139" s="2843"/>
      <c r="S139" s="2843"/>
      <c r="T139" s="3499">
        <f>T132+T134+T137</f>
        <v>42704</v>
      </c>
      <c r="U139" s="3500"/>
      <c r="V139" s="3500"/>
      <c r="W139" s="3500"/>
      <c r="X139" s="3500"/>
      <c r="Y139" s="3501"/>
      <c r="Z139" s="2843" t="s">
        <v>5539</v>
      </c>
      <c r="AB139" s="2851" t="s">
        <v>5538</v>
      </c>
      <c r="AC139" s="2843"/>
      <c r="AD139" s="2843"/>
      <c r="AE139" s="2843"/>
      <c r="AF139" s="2843"/>
      <c r="AG139" s="3323"/>
      <c r="AH139" s="2843"/>
      <c r="AI139" s="2843"/>
      <c r="AJ139" s="2843"/>
      <c r="AK139" s="2843"/>
      <c r="AL139" s="2843"/>
      <c r="AM139" s="2843"/>
      <c r="AN139" s="2843"/>
      <c r="AO139" s="2843"/>
      <c r="AP139" s="2843"/>
      <c r="AQ139" s="2843"/>
      <c r="AR139" s="2843"/>
      <c r="AS139" s="2843"/>
      <c r="AT139" s="2843"/>
      <c r="AU139" s="2843"/>
      <c r="AV139" s="2843"/>
      <c r="AW139" s="2843"/>
      <c r="AX139" s="2843"/>
      <c r="AY139" s="2842"/>
      <c r="AZ139" s="2841" t="s">
        <v>5537</v>
      </c>
    </row>
    <row r="140" spans="2:52" ht="13.5" customHeight="1" thickTop="1">
      <c r="B140" s="3502"/>
      <c r="C140" s="3503"/>
      <c r="D140" s="3503"/>
      <c r="E140" s="2840"/>
      <c r="F140" s="2839"/>
      <c r="G140" s="2838"/>
      <c r="H140" s="2838"/>
      <c r="I140" s="2838"/>
      <c r="J140" s="2838"/>
      <c r="K140" s="2838"/>
      <c r="L140" s="2838"/>
      <c r="M140" s="2838"/>
      <c r="N140" s="2838"/>
      <c r="O140" s="2838"/>
      <c r="P140" s="2838"/>
      <c r="Q140" s="2838"/>
      <c r="R140" s="2838"/>
      <c r="S140" s="2838"/>
      <c r="T140" s="2838"/>
      <c r="U140" s="2838"/>
      <c r="V140" s="2838"/>
      <c r="W140" s="2838"/>
      <c r="X140" s="2838"/>
      <c r="Y140" s="2838"/>
      <c r="Z140" s="2838"/>
      <c r="AA140" s="2838"/>
      <c r="AB140" s="2838"/>
      <c r="AC140" s="2838"/>
      <c r="AD140" s="2838"/>
      <c r="AE140" s="2838"/>
      <c r="AF140" s="2838"/>
      <c r="AG140" s="2838"/>
      <c r="AH140" s="2838"/>
      <c r="AI140" s="2838"/>
      <c r="AJ140" s="2838"/>
      <c r="AK140" s="2838"/>
      <c r="AL140" s="2838"/>
      <c r="AM140" s="2838"/>
      <c r="AN140" s="2838"/>
      <c r="AO140" s="2838"/>
      <c r="AP140" s="2838"/>
      <c r="AQ140" s="2838"/>
      <c r="AR140" s="2838"/>
      <c r="AS140" s="2838"/>
      <c r="AT140" s="2838"/>
      <c r="AU140" s="2838"/>
      <c r="AV140" s="2838"/>
      <c r="AW140" s="2838"/>
      <c r="AX140" s="2838"/>
      <c r="AY140" s="2837"/>
      <c r="AZ140" s="2836"/>
    </row>
    <row r="141" spans="2:52" ht="13.5" customHeight="1">
      <c r="B141" s="3502"/>
      <c r="C141" s="3514">
        <v>2</v>
      </c>
      <c r="D141" s="3512" t="s">
        <v>5378</v>
      </c>
      <c r="E141" s="2850"/>
      <c r="F141" s="2849"/>
      <c r="G141" s="2848"/>
      <c r="H141" s="2848"/>
      <c r="I141" s="2848"/>
      <c r="J141" s="2848"/>
      <c r="K141" s="2848"/>
      <c r="L141" s="2848"/>
      <c r="M141" s="2848"/>
      <c r="N141" s="2848"/>
      <c r="O141" s="2848"/>
      <c r="P141" s="2848"/>
      <c r="Q141" s="2848"/>
      <c r="R141" s="2848"/>
      <c r="S141" s="2848"/>
      <c r="T141" s="2848"/>
      <c r="U141" s="2848"/>
      <c r="V141" s="2848"/>
      <c r="W141" s="2848"/>
      <c r="X141" s="2848"/>
      <c r="Y141" s="2848"/>
      <c r="Z141" s="2848"/>
      <c r="AA141" s="2848"/>
      <c r="AB141" s="2848"/>
      <c r="AC141" s="2848"/>
      <c r="AD141" s="2848"/>
      <c r="AE141" s="2848"/>
      <c r="AF141" s="2848"/>
      <c r="AG141" s="2848"/>
      <c r="AH141" s="2848"/>
      <c r="AI141" s="2848"/>
      <c r="AJ141" s="2848"/>
      <c r="AK141" s="2848"/>
      <c r="AL141" s="2848"/>
      <c r="AM141" s="2848"/>
      <c r="AN141" s="2848"/>
      <c r="AO141" s="2848"/>
      <c r="AP141" s="2848"/>
      <c r="AQ141" s="2848"/>
      <c r="AR141" s="2848"/>
      <c r="AS141" s="2848"/>
      <c r="AT141" s="2848"/>
      <c r="AU141" s="2848"/>
      <c r="AV141" s="2848"/>
      <c r="AW141" s="2848"/>
      <c r="AX141" s="2848"/>
      <c r="AY141" s="2847"/>
      <c r="AZ141" s="2846"/>
    </row>
    <row r="142" spans="2:52" ht="13.5" customHeight="1">
      <c r="B142" s="3502"/>
      <c r="C142" s="3498"/>
      <c r="D142" s="3502"/>
      <c r="E142" s="2845" t="s">
        <v>5377</v>
      </c>
      <c r="F142" s="2844"/>
      <c r="G142" s="2843"/>
      <c r="H142" s="2843"/>
      <c r="I142" s="2843"/>
      <c r="J142" s="2843"/>
      <c r="K142" s="2843"/>
      <c r="L142" s="2843"/>
      <c r="M142" s="2843"/>
      <c r="N142" s="2843"/>
      <c r="O142" s="2843"/>
      <c r="P142" s="2843"/>
      <c r="Q142" s="2843"/>
      <c r="R142" s="2843"/>
      <c r="S142" s="2843"/>
      <c r="T142" s="3497">
        <f>R31</f>
        <v>0</v>
      </c>
      <c r="U142" s="3497"/>
      <c r="V142" s="3497"/>
      <c r="W142" s="3497"/>
      <c r="X142" s="3497"/>
      <c r="Y142" s="3497"/>
      <c r="Z142" s="2843"/>
      <c r="AA142" s="2843"/>
      <c r="AB142" s="2851" t="s">
        <v>5376</v>
      </c>
      <c r="AC142" s="2843"/>
      <c r="AD142" s="2843"/>
      <c r="AE142" s="2843"/>
      <c r="AF142" s="2843"/>
      <c r="AG142" s="2843"/>
      <c r="AH142" s="2843"/>
      <c r="AI142" s="2843"/>
      <c r="AJ142" s="2843"/>
      <c r="AK142" s="2843"/>
      <c r="AL142" s="2843"/>
      <c r="AM142" s="2843"/>
      <c r="AN142" s="2843"/>
      <c r="AO142" s="2843"/>
      <c r="AP142" s="2843"/>
      <c r="AQ142" s="2843"/>
      <c r="AR142" s="2843"/>
      <c r="AS142" s="2843"/>
      <c r="AT142" s="2843"/>
      <c r="AU142" s="2843"/>
      <c r="AV142" s="2843"/>
      <c r="AW142" s="2843"/>
      <c r="AX142" s="2843"/>
      <c r="AY142" s="2842"/>
      <c r="AZ142" s="2841"/>
    </row>
    <row r="143" spans="2:52" ht="13.5" customHeight="1" thickBot="1">
      <c r="B143" s="3502"/>
      <c r="C143" s="3498"/>
      <c r="D143" s="3502"/>
      <c r="E143" s="2845" t="s">
        <v>5375</v>
      </c>
      <c r="F143" s="2844"/>
      <c r="G143" s="2843"/>
      <c r="H143" s="2843"/>
      <c r="I143" s="2843"/>
      <c r="J143" s="2843"/>
      <c r="K143" s="2843"/>
      <c r="L143" s="2843"/>
      <c r="M143" s="2843"/>
      <c r="N143" s="2843"/>
      <c r="O143" s="2843"/>
      <c r="P143" s="2843"/>
      <c r="Q143" s="2843"/>
      <c r="R143" s="2843"/>
      <c r="S143" s="2843"/>
      <c r="T143" s="3529">
        <f>T139</f>
        <v>42704</v>
      </c>
      <c r="U143" s="3530"/>
      <c r="V143" s="3530"/>
      <c r="W143" s="3530"/>
      <c r="X143" s="3530"/>
      <c r="Y143" s="3531"/>
      <c r="Z143" s="2843"/>
      <c r="AA143" s="2843"/>
      <c r="AB143" s="2851" t="s">
        <v>5374</v>
      </c>
      <c r="AC143" s="2843"/>
      <c r="AD143" s="2843"/>
      <c r="AE143" s="2843"/>
      <c r="AF143" s="2843"/>
      <c r="AG143" s="2843"/>
      <c r="AH143" s="2843"/>
      <c r="AI143" s="2843"/>
      <c r="AJ143" s="2843"/>
      <c r="AK143" s="2843"/>
      <c r="AL143" s="2843"/>
      <c r="AM143" s="2843"/>
      <c r="AN143" s="2843"/>
      <c r="AO143" s="2843"/>
      <c r="AP143" s="2843"/>
      <c r="AQ143" s="2843"/>
      <c r="AR143" s="2843"/>
      <c r="AS143" s="2843"/>
      <c r="AT143" s="2843"/>
      <c r="AU143" s="2843"/>
      <c r="AV143" s="2843"/>
      <c r="AW143" s="2843"/>
      <c r="AX143" s="2843"/>
      <c r="AY143" s="2842"/>
      <c r="AZ143" s="2841"/>
    </row>
    <row r="144" spans="2:52" ht="13.5" customHeight="1" thickTop="1" thickBot="1">
      <c r="B144" s="3502"/>
      <c r="C144" s="3498"/>
      <c r="D144" s="3502"/>
      <c r="E144" s="2845" t="s">
        <v>5373</v>
      </c>
      <c r="F144" s="2844"/>
      <c r="G144" s="2843"/>
      <c r="H144" s="2843"/>
      <c r="I144" s="2843"/>
      <c r="J144" s="2843"/>
      <c r="K144" s="2843"/>
      <c r="L144" s="2843"/>
      <c r="M144" s="2843"/>
      <c r="N144" s="2843"/>
      <c r="O144" s="2843"/>
      <c r="P144" s="2843"/>
      <c r="Q144" s="2843"/>
      <c r="R144" s="2843"/>
      <c r="S144" s="2843"/>
      <c r="T144" s="3499">
        <f>ROUNDDOWN(Z120-T143,0)</f>
        <v>4966975</v>
      </c>
      <c r="U144" s="3500"/>
      <c r="V144" s="3500"/>
      <c r="W144" s="3500"/>
      <c r="X144" s="3500"/>
      <c r="Y144" s="3501"/>
      <c r="Z144" s="2843" t="s">
        <v>5536</v>
      </c>
      <c r="AA144" s="2843"/>
      <c r="AB144" s="2851" t="s">
        <v>6231</v>
      </c>
      <c r="AC144" s="2843"/>
      <c r="AD144" s="2843"/>
      <c r="AE144" s="2843"/>
      <c r="AF144" s="2843"/>
      <c r="AG144" s="3323"/>
      <c r="AH144" s="2843"/>
      <c r="AI144" s="2843"/>
      <c r="AJ144" s="2843"/>
      <c r="AK144" s="2843"/>
      <c r="AL144" s="2843"/>
      <c r="AM144" s="2843"/>
      <c r="AN144" s="2843"/>
      <c r="AO144" s="2843"/>
      <c r="AP144" s="2843"/>
      <c r="AQ144" s="2843"/>
      <c r="AR144" s="2843"/>
      <c r="AS144" s="2843"/>
      <c r="AT144" s="2843"/>
      <c r="AU144" s="2843"/>
      <c r="AV144" s="2843"/>
      <c r="AW144" s="2843"/>
      <c r="AX144" s="2843"/>
      <c r="AY144" s="2842"/>
      <c r="AZ144" s="3319" t="s">
        <v>6217</v>
      </c>
    </row>
    <row r="145" spans="2:52" ht="13.5" customHeight="1" thickTop="1">
      <c r="B145" s="3502"/>
      <c r="C145" s="3498"/>
      <c r="D145" s="3502"/>
      <c r="E145" s="2845"/>
      <c r="F145" s="2844"/>
      <c r="G145" s="2843"/>
      <c r="H145" s="2843"/>
      <c r="I145" s="2843"/>
      <c r="J145" s="2843"/>
      <c r="K145" s="2843"/>
      <c r="L145" s="2843"/>
      <c r="M145" s="2843"/>
      <c r="N145" s="2843"/>
      <c r="O145" s="2843"/>
      <c r="P145" s="2843"/>
      <c r="Q145" s="2843"/>
      <c r="R145" s="2843"/>
      <c r="S145" s="2843"/>
      <c r="T145" s="2843"/>
      <c r="U145" s="2843"/>
      <c r="V145" s="2843"/>
      <c r="W145" s="2843"/>
      <c r="X145" s="2843"/>
      <c r="Y145" s="2843"/>
      <c r="Z145" s="2843"/>
      <c r="AA145" s="2843"/>
      <c r="AB145" s="2843"/>
      <c r="AC145" s="2843"/>
      <c r="AD145" s="2843"/>
      <c r="AE145" s="2843"/>
      <c r="AF145" s="2843"/>
      <c r="AG145" s="2843"/>
      <c r="AH145" s="2843"/>
      <c r="AI145" s="2843"/>
      <c r="AJ145" s="2843"/>
      <c r="AK145" s="2843"/>
      <c r="AL145" s="2843"/>
      <c r="AM145" s="2843"/>
      <c r="AN145" s="2843"/>
      <c r="AO145" s="2843"/>
      <c r="AP145" s="2843"/>
      <c r="AQ145" s="2843"/>
      <c r="AR145" s="2843"/>
      <c r="AS145" s="2843"/>
      <c r="AT145" s="2843"/>
      <c r="AU145" s="2843"/>
      <c r="AV145" s="2843"/>
      <c r="AW145" s="2843"/>
      <c r="AX145" s="2843"/>
      <c r="AY145" s="2842"/>
      <c r="AZ145" s="2841"/>
    </row>
    <row r="146" spans="2:52" ht="13.5" customHeight="1">
      <c r="B146" s="3502"/>
      <c r="C146" s="3498"/>
      <c r="D146" s="3502"/>
      <c r="E146" s="2845"/>
      <c r="F146" s="2844"/>
      <c r="G146" s="2843"/>
      <c r="H146" s="2843"/>
      <c r="I146" s="2843"/>
      <c r="J146" s="2843"/>
      <c r="K146" s="2843"/>
      <c r="L146" s="2843"/>
      <c r="M146" s="2843"/>
      <c r="N146" s="2843"/>
      <c r="O146" s="2843"/>
      <c r="P146" s="2843"/>
      <c r="Q146" s="2843"/>
      <c r="R146" s="2843"/>
      <c r="S146" s="2843"/>
      <c r="T146" s="2843"/>
      <c r="U146" s="2843"/>
      <c r="V146" s="2843"/>
      <c r="W146" s="2843"/>
      <c r="X146" s="2843"/>
      <c r="Y146" s="2843"/>
      <c r="Z146" s="2843"/>
      <c r="AA146" s="2843"/>
      <c r="AB146" s="2843"/>
      <c r="AC146" s="2843"/>
      <c r="AD146" s="2843"/>
      <c r="AE146" s="2843"/>
      <c r="AF146" s="2843"/>
      <c r="AG146" s="2843"/>
      <c r="AH146" s="2843"/>
      <c r="AI146" s="2843"/>
      <c r="AJ146" s="2843"/>
      <c r="AK146" s="2843"/>
      <c r="AL146" s="2843"/>
      <c r="AM146" s="2843"/>
      <c r="AN146" s="2843"/>
      <c r="AO146" s="2843"/>
      <c r="AP146" s="2843"/>
      <c r="AQ146" s="2843"/>
      <c r="AR146" s="2843"/>
      <c r="AS146" s="2843"/>
      <c r="AT146" s="2843"/>
      <c r="AU146" s="2843"/>
      <c r="AV146" s="2843"/>
      <c r="AW146" s="2843"/>
      <c r="AX146" s="2843"/>
      <c r="AY146" s="2842"/>
      <c r="AZ146" s="2841"/>
    </row>
    <row r="147" spans="2:52" ht="13.5" customHeight="1">
      <c r="B147" s="3502"/>
      <c r="C147" s="3498"/>
      <c r="D147" s="3502"/>
      <c r="E147" s="2845"/>
      <c r="F147" s="2844"/>
      <c r="G147" s="2843"/>
      <c r="H147" s="2843"/>
      <c r="I147" s="2843"/>
      <c r="J147" s="2843"/>
      <c r="K147" s="2843"/>
      <c r="L147" s="2843"/>
      <c r="M147" s="2843"/>
      <c r="N147" s="2843"/>
      <c r="O147" s="2843"/>
      <c r="P147" s="2843"/>
      <c r="Q147" s="2843"/>
      <c r="R147" s="2843"/>
      <c r="S147" s="2843"/>
      <c r="T147" s="2843"/>
      <c r="U147" s="2843"/>
      <c r="V147" s="2843"/>
      <c r="W147" s="2843"/>
      <c r="X147" s="2843"/>
      <c r="Y147" s="2843"/>
      <c r="Z147" s="2843"/>
      <c r="AA147" s="2843"/>
      <c r="AB147" s="2843"/>
      <c r="AC147" s="2843"/>
      <c r="AD147" s="2843"/>
      <c r="AE147" s="2843"/>
      <c r="AF147" s="2843"/>
      <c r="AG147" s="2843"/>
      <c r="AH147" s="2843"/>
      <c r="AI147" s="2843"/>
      <c r="AJ147" s="2843"/>
      <c r="AK147" s="2843"/>
      <c r="AL147" s="2843"/>
      <c r="AM147" s="2843"/>
      <c r="AN147" s="2843"/>
      <c r="AO147" s="2843"/>
      <c r="AP147" s="2843"/>
      <c r="AQ147" s="2843"/>
      <c r="AR147" s="2843"/>
      <c r="AS147" s="2843"/>
      <c r="AT147" s="2843"/>
      <c r="AU147" s="2843"/>
      <c r="AV147" s="2843"/>
      <c r="AW147" s="2843"/>
      <c r="AX147" s="2843"/>
      <c r="AY147" s="2842"/>
      <c r="AZ147" s="2841"/>
    </row>
    <row r="148" spans="2:52" ht="13.5" customHeight="1">
      <c r="B148" s="3502"/>
      <c r="C148" s="3498"/>
      <c r="D148" s="3502"/>
      <c r="E148" s="2845"/>
      <c r="F148" s="2844"/>
      <c r="G148" s="2843"/>
      <c r="H148" s="2843"/>
      <c r="I148" s="2843"/>
      <c r="J148" s="2843"/>
      <c r="K148" s="2843"/>
      <c r="L148" s="2843"/>
      <c r="M148" s="2843"/>
      <c r="N148" s="2843"/>
      <c r="O148" s="2843"/>
      <c r="P148" s="2843"/>
      <c r="Q148" s="2843"/>
      <c r="R148" s="2843"/>
      <c r="S148" s="2843"/>
      <c r="T148" s="2843"/>
      <c r="U148" s="2843"/>
      <c r="V148" s="2843"/>
      <c r="W148" s="2843"/>
      <c r="X148" s="2843"/>
      <c r="Y148" s="2843"/>
      <c r="Z148" s="2843"/>
      <c r="AA148" s="2843"/>
      <c r="AB148" s="2843"/>
      <c r="AC148" s="2843"/>
      <c r="AD148" s="2843"/>
      <c r="AE148" s="2843"/>
      <c r="AF148" s="2843"/>
      <c r="AG148" s="2843"/>
      <c r="AH148" s="2851"/>
      <c r="AI148" s="2843"/>
      <c r="AJ148" s="2843"/>
      <c r="AK148" s="2843"/>
      <c r="AL148" s="2843"/>
      <c r="AM148" s="2843"/>
      <c r="AN148" s="2843"/>
      <c r="AO148" s="2843"/>
      <c r="AP148" s="2843"/>
      <c r="AQ148" s="2843"/>
      <c r="AR148" s="2843"/>
      <c r="AS148" s="2843"/>
      <c r="AT148" s="2843"/>
      <c r="AU148" s="2843"/>
      <c r="AV148" s="2843"/>
      <c r="AW148" s="2843"/>
      <c r="AX148" s="2843"/>
      <c r="AY148" s="2842"/>
      <c r="AZ148" s="2841"/>
    </row>
    <row r="149" spans="2:52" ht="13.5" customHeight="1">
      <c r="B149" s="3502"/>
      <c r="C149" s="3503"/>
      <c r="D149" s="3513"/>
      <c r="E149" s="2840"/>
      <c r="F149" s="2839"/>
      <c r="G149" s="2838"/>
      <c r="H149" s="2838"/>
      <c r="I149" s="2838"/>
      <c r="J149" s="2838"/>
      <c r="K149" s="2838"/>
      <c r="L149" s="2838"/>
      <c r="M149" s="2838"/>
      <c r="N149" s="2838"/>
      <c r="O149" s="2838"/>
      <c r="P149" s="2838"/>
      <c r="Q149" s="2838"/>
      <c r="R149" s="2838"/>
      <c r="S149" s="2838"/>
      <c r="T149" s="2838"/>
      <c r="U149" s="2838"/>
      <c r="V149" s="2838"/>
      <c r="W149" s="2838"/>
      <c r="X149" s="2838"/>
      <c r="Y149" s="2838"/>
      <c r="Z149" s="2838"/>
      <c r="AA149" s="2838"/>
      <c r="AB149" s="2838"/>
      <c r="AC149" s="2838"/>
      <c r="AD149" s="2838"/>
      <c r="AE149" s="2838"/>
      <c r="AF149" s="2838"/>
      <c r="AG149" s="2838"/>
      <c r="AH149" s="2838"/>
      <c r="AI149" s="2838"/>
      <c r="AJ149" s="2838"/>
      <c r="AK149" s="2838"/>
      <c r="AL149" s="2838"/>
      <c r="AM149" s="2838"/>
      <c r="AN149" s="2838"/>
      <c r="AO149" s="2838"/>
      <c r="AP149" s="2838"/>
      <c r="AQ149" s="2838"/>
      <c r="AR149" s="2838"/>
      <c r="AS149" s="2838"/>
      <c r="AT149" s="2838"/>
      <c r="AU149" s="2838"/>
      <c r="AV149" s="2838"/>
      <c r="AW149" s="2838"/>
      <c r="AX149" s="2838"/>
      <c r="AY149" s="2837"/>
      <c r="AZ149" s="2836"/>
    </row>
    <row r="150" spans="2:52" ht="13.5" customHeight="1" thickBot="1">
      <c r="B150" s="3502"/>
      <c r="C150" s="3514">
        <v>3</v>
      </c>
      <c r="D150" s="3512" t="s">
        <v>5369</v>
      </c>
      <c r="E150" s="2850"/>
      <c r="F150" s="2849"/>
      <c r="G150" s="2848"/>
      <c r="H150" s="2848"/>
      <c r="I150" s="2848"/>
      <c r="J150" s="2848"/>
      <c r="K150" s="2848"/>
      <c r="L150" s="2848"/>
      <c r="M150" s="2848"/>
      <c r="N150" s="2848"/>
      <c r="O150" s="2848"/>
      <c r="P150" s="2848"/>
      <c r="Q150" s="2848"/>
      <c r="R150" s="2848"/>
      <c r="S150" s="2848"/>
      <c r="T150" s="2848"/>
      <c r="U150" s="2848"/>
      <c r="V150" s="2848"/>
      <c r="W150" s="2848"/>
      <c r="X150" s="2848"/>
      <c r="Y150" s="2848"/>
      <c r="Z150" s="2848"/>
      <c r="AA150" s="2848"/>
      <c r="AB150" s="2848"/>
      <c r="AC150" s="2848"/>
      <c r="AD150" s="2848"/>
      <c r="AE150" s="2848"/>
      <c r="AF150" s="2848"/>
      <c r="AG150" s="2848"/>
      <c r="AH150" s="2848"/>
      <c r="AI150" s="2848"/>
      <c r="AJ150" s="2848"/>
      <c r="AK150" s="2848"/>
      <c r="AL150" s="2848"/>
      <c r="AM150" s="2848"/>
      <c r="AN150" s="2848"/>
      <c r="AO150" s="2848"/>
      <c r="AP150" s="2848"/>
      <c r="AQ150" s="2848"/>
      <c r="AR150" s="2848"/>
      <c r="AS150" s="2848"/>
      <c r="AT150" s="2848"/>
      <c r="AU150" s="2848"/>
      <c r="AV150" s="2848"/>
      <c r="AW150" s="2848"/>
      <c r="AX150" s="2848"/>
      <c r="AY150" s="2847"/>
      <c r="AZ150" s="2846"/>
    </row>
    <row r="151" spans="2:52" ht="13.5" customHeight="1" thickTop="1" thickBot="1">
      <c r="B151" s="3502"/>
      <c r="C151" s="3498"/>
      <c r="D151" s="3502"/>
      <c r="E151" s="2845" t="s">
        <v>5368</v>
      </c>
      <c r="F151" s="2844"/>
      <c r="G151" s="2843"/>
      <c r="H151" s="2843"/>
      <c r="I151" s="2843"/>
      <c r="J151" s="2843"/>
      <c r="K151" s="2843"/>
      <c r="L151" s="2843"/>
      <c r="M151" s="2843"/>
      <c r="N151" s="2843"/>
      <c r="O151" s="2843"/>
      <c r="P151" s="2843"/>
      <c r="Q151" s="2843"/>
      <c r="R151" s="2843"/>
      <c r="S151" s="2843"/>
      <c r="T151" s="3499">
        <f>T144</f>
        <v>4966975</v>
      </c>
      <c r="U151" s="3500"/>
      <c r="V151" s="3500"/>
      <c r="W151" s="3500"/>
      <c r="X151" s="3500"/>
      <c r="Y151" s="3501"/>
      <c r="Z151" s="2843"/>
      <c r="AA151" s="2843"/>
      <c r="AB151" s="2851" t="s">
        <v>5367</v>
      </c>
      <c r="AC151" s="2843"/>
      <c r="AD151" s="2843"/>
      <c r="AE151" s="2843"/>
      <c r="AF151" s="2843"/>
      <c r="AG151" s="2843"/>
      <c r="AH151" s="2843"/>
      <c r="AI151" s="2843"/>
      <c r="AJ151" s="2843"/>
      <c r="AK151" s="2843"/>
      <c r="AL151" s="2843"/>
      <c r="AM151" s="2843"/>
      <c r="AN151" s="2843"/>
      <c r="AO151" s="2843"/>
      <c r="AP151" s="2843"/>
      <c r="AQ151" s="2843"/>
      <c r="AR151" s="2843"/>
      <c r="AS151" s="2843"/>
      <c r="AT151" s="2843"/>
      <c r="AU151" s="2843"/>
      <c r="AV151" s="2843"/>
      <c r="AW151" s="2843"/>
      <c r="AX151" s="2843"/>
      <c r="AY151" s="2842"/>
      <c r="AZ151" s="2841"/>
    </row>
    <row r="152" spans="2:52" ht="13.5" customHeight="1" thickTop="1" thickBot="1">
      <c r="B152" s="3502"/>
      <c r="C152" s="3498"/>
      <c r="D152" s="3502"/>
      <c r="E152" s="2845" t="s">
        <v>5366</v>
      </c>
      <c r="F152" s="2844"/>
      <c r="G152" s="2843"/>
      <c r="H152" s="2843"/>
      <c r="I152" s="2843"/>
      <c r="J152" s="2843"/>
      <c r="K152" s="2843"/>
      <c r="L152" s="2843"/>
      <c r="M152" s="2843"/>
      <c r="N152" s="2843"/>
      <c r="O152" s="2843"/>
      <c r="P152" s="2843"/>
      <c r="Q152" s="2843"/>
      <c r="R152" s="2843"/>
      <c r="S152" s="2843"/>
      <c r="T152" s="3499">
        <f>ROUNDDOWN(T151*25/100,0)</f>
        <v>1241743</v>
      </c>
      <c r="U152" s="3500"/>
      <c r="V152" s="3500"/>
      <c r="W152" s="3500"/>
      <c r="X152" s="3500"/>
      <c r="Y152" s="3501"/>
      <c r="Z152" s="2843" t="s">
        <v>5535</v>
      </c>
      <c r="AA152" s="2843"/>
      <c r="AB152" s="2851" t="s">
        <v>6234</v>
      </c>
      <c r="AC152" s="2843"/>
      <c r="AD152" s="2843"/>
      <c r="AE152" s="2843"/>
      <c r="AF152" s="2843"/>
      <c r="AG152" s="3323"/>
      <c r="AH152" s="2843"/>
      <c r="AI152" s="2843"/>
      <c r="AJ152" s="2843"/>
      <c r="AK152" s="2843"/>
      <c r="AL152" s="2843"/>
      <c r="AM152" s="2843"/>
      <c r="AN152" s="2843"/>
      <c r="AO152" s="2843"/>
      <c r="AP152" s="2843"/>
      <c r="AQ152" s="2843"/>
      <c r="AR152" s="2843"/>
      <c r="AS152" s="2843"/>
      <c r="AT152" s="2843"/>
      <c r="AU152" s="2843"/>
      <c r="AV152" s="2843"/>
      <c r="AW152" s="2843"/>
      <c r="AX152" s="2843"/>
      <c r="AY152" s="2842"/>
      <c r="AZ152" s="3319" t="s">
        <v>6220</v>
      </c>
    </row>
    <row r="153" spans="2:52" ht="13.5" customHeight="1" thickTop="1">
      <c r="B153" s="3502"/>
      <c r="C153" s="3498"/>
      <c r="D153" s="3502"/>
      <c r="E153" s="2845"/>
      <c r="F153" s="2844"/>
      <c r="G153" s="2843"/>
      <c r="H153" s="2843"/>
      <c r="I153" s="2843"/>
      <c r="J153" s="2843"/>
      <c r="K153" s="2843"/>
      <c r="L153" s="2843"/>
      <c r="M153" s="2843"/>
      <c r="N153" s="2843"/>
      <c r="O153" s="2843"/>
      <c r="P153" s="2843"/>
      <c r="Q153" s="2843"/>
      <c r="R153" s="2843"/>
      <c r="S153" s="2843"/>
      <c r="T153" s="2843"/>
      <c r="U153" s="2843"/>
      <c r="V153" s="2843"/>
      <c r="W153" s="2843"/>
      <c r="X153" s="2843"/>
      <c r="Y153" s="2843"/>
      <c r="Z153" s="2843"/>
      <c r="AA153" s="2843"/>
      <c r="AB153" s="2843"/>
      <c r="AC153" s="2843"/>
      <c r="AD153" s="2843"/>
      <c r="AE153" s="2843"/>
      <c r="AF153" s="2843"/>
      <c r="AG153" s="2843"/>
      <c r="AH153" s="2843"/>
      <c r="AI153" s="2843"/>
      <c r="AJ153" s="2843"/>
      <c r="AK153" s="2843"/>
      <c r="AL153" s="2843"/>
      <c r="AM153" s="2843"/>
      <c r="AN153" s="2843"/>
      <c r="AO153" s="2843"/>
      <c r="AP153" s="2843"/>
      <c r="AQ153" s="2843"/>
      <c r="AR153" s="2843"/>
      <c r="AS153" s="2843"/>
      <c r="AT153" s="2843"/>
      <c r="AU153" s="2843"/>
      <c r="AV153" s="2843"/>
      <c r="AW153" s="2843"/>
      <c r="AX153" s="2843"/>
      <c r="AY153" s="2842"/>
      <c r="AZ153" s="2841"/>
    </row>
    <row r="154" spans="2:52" ht="13.5" customHeight="1">
      <c r="B154" s="3502"/>
      <c r="C154" s="3498"/>
      <c r="D154" s="3502"/>
      <c r="E154" s="2845"/>
      <c r="F154" s="2844"/>
      <c r="G154" s="2843"/>
      <c r="H154" s="2843"/>
      <c r="I154" s="2843"/>
      <c r="J154" s="2843"/>
      <c r="K154" s="2843"/>
      <c r="L154" s="2843"/>
      <c r="M154" s="2843"/>
      <c r="N154" s="2843"/>
      <c r="O154" s="2843"/>
      <c r="P154" s="2843"/>
      <c r="Q154" s="2843"/>
      <c r="R154" s="2843"/>
      <c r="S154" s="2843"/>
      <c r="T154" s="2843"/>
      <c r="U154" s="2843"/>
      <c r="V154" s="2843"/>
      <c r="W154" s="2843"/>
      <c r="X154" s="2843"/>
      <c r="Y154" s="2843"/>
      <c r="Z154" s="2843"/>
      <c r="AA154" s="2843"/>
      <c r="AB154" s="2843"/>
      <c r="AC154" s="2843"/>
      <c r="AD154" s="2843"/>
      <c r="AE154" s="2843"/>
      <c r="AF154" s="2843"/>
      <c r="AG154" s="2843"/>
      <c r="AH154" s="2843"/>
      <c r="AI154" s="2843"/>
      <c r="AJ154" s="2843"/>
      <c r="AK154" s="2843"/>
      <c r="AL154" s="2843"/>
      <c r="AM154" s="2843"/>
      <c r="AN154" s="2843"/>
      <c r="AO154" s="2843"/>
      <c r="AP154" s="2843"/>
      <c r="AQ154" s="2843"/>
      <c r="AR154" s="2843"/>
      <c r="AS154" s="2843"/>
      <c r="AT154" s="2843"/>
      <c r="AU154" s="2843"/>
      <c r="AV154" s="2843"/>
      <c r="AW154" s="2843"/>
      <c r="AX154" s="2843"/>
      <c r="AY154" s="2842"/>
      <c r="AZ154" s="2841"/>
    </row>
    <row r="155" spans="2:52" ht="13.5" customHeight="1">
      <c r="B155" s="3502"/>
      <c r="C155" s="3498"/>
      <c r="D155" s="3502"/>
      <c r="E155" s="2845"/>
      <c r="F155" s="2844"/>
      <c r="G155" s="2843"/>
      <c r="H155" s="2843"/>
      <c r="I155" s="2843"/>
      <c r="J155" s="2843"/>
      <c r="K155" s="2843"/>
      <c r="L155" s="2843"/>
      <c r="M155" s="2843"/>
      <c r="N155" s="2843"/>
      <c r="O155" s="2843"/>
      <c r="P155" s="2843"/>
      <c r="Q155" s="2843"/>
      <c r="R155" s="2843"/>
      <c r="S155" s="2843"/>
      <c r="T155" s="2843"/>
      <c r="U155" s="2843"/>
      <c r="V155" s="2843"/>
      <c r="W155" s="2843"/>
      <c r="X155" s="2843"/>
      <c r="Y155" s="2843"/>
      <c r="Z155" s="2843"/>
      <c r="AA155" s="2843"/>
      <c r="AB155" s="2843"/>
      <c r="AC155" s="2843"/>
      <c r="AD155" s="2843"/>
      <c r="AE155" s="2843"/>
      <c r="AF155" s="2843"/>
      <c r="AG155" s="2843"/>
      <c r="AH155" s="2843"/>
      <c r="AI155" s="2843"/>
      <c r="AJ155" s="2843"/>
      <c r="AK155" s="2843"/>
      <c r="AL155" s="2843"/>
      <c r="AM155" s="2843"/>
      <c r="AN155" s="2843"/>
      <c r="AO155" s="2843"/>
      <c r="AP155" s="2843"/>
      <c r="AQ155" s="2843"/>
      <c r="AR155" s="2843"/>
      <c r="AS155" s="2843"/>
      <c r="AT155" s="2843"/>
      <c r="AU155" s="2843"/>
      <c r="AV155" s="2843"/>
      <c r="AW155" s="2843"/>
      <c r="AX155" s="2843"/>
      <c r="AY155" s="2842"/>
      <c r="AZ155" s="2841"/>
    </row>
    <row r="156" spans="2:52" ht="13.5" customHeight="1">
      <c r="B156" s="3502"/>
      <c r="C156" s="3498"/>
      <c r="D156" s="3502"/>
      <c r="E156" s="2845"/>
      <c r="F156" s="2844"/>
      <c r="G156" s="2843"/>
      <c r="H156" s="2843"/>
      <c r="I156" s="2843"/>
      <c r="J156" s="2843"/>
      <c r="K156" s="2843"/>
      <c r="L156" s="2843"/>
      <c r="M156" s="2843"/>
      <c r="N156" s="2843"/>
      <c r="O156" s="2843"/>
      <c r="P156" s="2843"/>
      <c r="Q156" s="2843"/>
      <c r="R156" s="2843"/>
      <c r="S156" s="2843"/>
      <c r="T156" s="2843"/>
      <c r="U156" s="2843"/>
      <c r="V156" s="2843"/>
      <c r="W156" s="2843"/>
      <c r="X156" s="2843"/>
      <c r="Y156" s="2843"/>
      <c r="Z156" s="2843"/>
      <c r="AA156" s="2843"/>
      <c r="AB156" s="2843"/>
      <c r="AC156" s="2843"/>
      <c r="AD156" s="2843"/>
      <c r="AE156" s="2843"/>
      <c r="AF156" s="2843"/>
      <c r="AG156" s="2843"/>
      <c r="AH156" s="2851"/>
      <c r="AI156" s="2843"/>
      <c r="AJ156" s="2843"/>
      <c r="AK156" s="2843"/>
      <c r="AL156" s="2843"/>
      <c r="AM156" s="2843"/>
      <c r="AN156" s="2843"/>
      <c r="AO156" s="2843"/>
      <c r="AP156" s="2843"/>
      <c r="AQ156" s="2843"/>
      <c r="AR156" s="2843"/>
      <c r="AS156" s="2843"/>
      <c r="AT156" s="2843"/>
      <c r="AU156" s="2843"/>
      <c r="AV156" s="2843"/>
      <c r="AW156" s="2843"/>
      <c r="AX156" s="2843"/>
      <c r="AY156" s="2842"/>
      <c r="AZ156" s="2841"/>
    </row>
    <row r="157" spans="2:52" ht="13.5" customHeight="1">
      <c r="B157" s="3502"/>
      <c r="C157" s="3503"/>
      <c r="D157" s="3513"/>
      <c r="E157" s="2840"/>
      <c r="F157" s="2839"/>
      <c r="G157" s="2838"/>
      <c r="H157" s="2838"/>
      <c r="I157" s="2838"/>
      <c r="J157" s="2838"/>
      <c r="K157" s="2838"/>
      <c r="L157" s="2838"/>
      <c r="M157" s="2838"/>
      <c r="N157" s="2838"/>
      <c r="O157" s="2838"/>
      <c r="P157" s="2838"/>
      <c r="Q157" s="2838"/>
      <c r="R157" s="2838"/>
      <c r="S157" s="2838"/>
      <c r="T157" s="2838"/>
      <c r="U157" s="2838"/>
      <c r="V157" s="2838"/>
      <c r="W157" s="2838"/>
      <c r="X157" s="2838"/>
      <c r="Y157" s="2838"/>
      <c r="Z157" s="2838"/>
      <c r="AA157" s="2838"/>
      <c r="AB157" s="2838"/>
      <c r="AC157" s="2838"/>
      <c r="AD157" s="2838"/>
      <c r="AE157" s="2838"/>
      <c r="AF157" s="2838"/>
      <c r="AG157" s="2838"/>
      <c r="AH157" s="2838"/>
      <c r="AI157" s="2838"/>
      <c r="AJ157" s="2838"/>
      <c r="AK157" s="2838"/>
      <c r="AL157" s="2838"/>
      <c r="AM157" s="2838"/>
      <c r="AN157" s="2838"/>
      <c r="AO157" s="2838"/>
      <c r="AP157" s="2838"/>
      <c r="AQ157" s="2838"/>
      <c r="AR157" s="2838"/>
      <c r="AS157" s="2838"/>
      <c r="AT157" s="2838"/>
      <c r="AU157" s="2838"/>
      <c r="AV157" s="2838"/>
      <c r="AW157" s="2838"/>
      <c r="AX157" s="2838"/>
      <c r="AY157" s="2837"/>
      <c r="AZ157" s="2836"/>
    </row>
    <row r="158" spans="2:52" ht="13.5" customHeight="1">
      <c r="B158" s="3502"/>
      <c r="C158" s="3514">
        <v>4</v>
      </c>
      <c r="D158" s="3512" t="s">
        <v>5362</v>
      </c>
      <c r="E158" s="2850"/>
      <c r="F158" s="2849"/>
      <c r="G158" s="2848"/>
      <c r="H158" s="2848"/>
      <c r="I158" s="2848"/>
      <c r="J158" s="2848"/>
      <c r="K158" s="2848"/>
      <c r="L158" s="2848"/>
      <c r="M158" s="2848"/>
      <c r="N158" s="2848"/>
      <c r="O158" s="2848"/>
      <c r="P158" s="2848"/>
      <c r="Q158" s="2848"/>
      <c r="R158" s="2848"/>
      <c r="S158" s="2848"/>
      <c r="T158" s="2848"/>
      <c r="U158" s="2848"/>
      <c r="V158" s="2848"/>
      <c r="W158" s="2848"/>
      <c r="X158" s="2848"/>
      <c r="Y158" s="2848"/>
      <c r="Z158" s="2848"/>
      <c r="AA158" s="2848"/>
      <c r="AB158" s="2848"/>
      <c r="AC158" s="2848"/>
      <c r="AD158" s="2848"/>
      <c r="AE158" s="2848"/>
      <c r="AF158" s="2848"/>
      <c r="AG158" s="2848"/>
      <c r="AH158" s="2848"/>
      <c r="AI158" s="2848"/>
      <c r="AJ158" s="2848"/>
      <c r="AK158" s="2848"/>
      <c r="AL158" s="2848"/>
      <c r="AM158" s="2848"/>
      <c r="AN158" s="2848"/>
      <c r="AO158" s="2848"/>
      <c r="AP158" s="2848"/>
      <c r="AQ158" s="2848"/>
      <c r="AR158" s="2848"/>
      <c r="AS158" s="2848"/>
      <c r="AT158" s="2848"/>
      <c r="AU158" s="2848"/>
      <c r="AV158" s="2848"/>
      <c r="AW158" s="2848"/>
      <c r="AX158" s="2848"/>
      <c r="AY158" s="2847"/>
      <c r="AZ158" s="2846"/>
    </row>
    <row r="159" spans="2:52" ht="13.5" customHeight="1">
      <c r="B159" s="3502"/>
      <c r="C159" s="3498"/>
      <c r="D159" s="3502"/>
      <c r="E159" s="2845"/>
      <c r="F159" s="2844"/>
      <c r="G159" s="2843"/>
      <c r="H159" s="2843"/>
      <c r="I159" s="2843"/>
      <c r="J159" s="2843"/>
      <c r="K159" s="2843"/>
      <c r="L159" s="2843"/>
      <c r="M159" s="2843"/>
      <c r="N159" s="2843"/>
      <c r="O159" s="2843"/>
      <c r="P159" s="2843"/>
      <c r="Q159" s="2843"/>
      <c r="R159" s="2843"/>
      <c r="S159" s="2843"/>
      <c r="T159" s="2843"/>
      <c r="U159" s="2843"/>
      <c r="V159" s="2843"/>
      <c r="W159" s="2843"/>
      <c r="X159" s="2843"/>
      <c r="Y159" s="2843"/>
      <c r="Z159" s="2843"/>
      <c r="AA159" s="2843"/>
      <c r="AB159" s="2843"/>
      <c r="AC159" s="2843"/>
      <c r="AD159" s="2843"/>
      <c r="AE159" s="2843"/>
      <c r="AF159" s="2843"/>
      <c r="AG159" s="2843"/>
      <c r="AH159" s="2843"/>
      <c r="AI159" s="2843"/>
      <c r="AJ159" s="2843"/>
      <c r="AK159" s="2843"/>
      <c r="AL159" s="2843"/>
      <c r="AM159" s="2843"/>
      <c r="AN159" s="2843"/>
      <c r="AO159" s="2843"/>
      <c r="AP159" s="2843"/>
      <c r="AQ159" s="2843"/>
      <c r="AR159" s="2843"/>
      <c r="AS159" s="2843"/>
      <c r="AT159" s="2843"/>
      <c r="AU159" s="2843"/>
      <c r="AV159" s="2843"/>
      <c r="AW159" s="2843"/>
      <c r="AX159" s="2843"/>
      <c r="AY159" s="2842"/>
      <c r="AZ159" s="2841"/>
    </row>
    <row r="160" spans="2:52" ht="13.5" customHeight="1">
      <c r="B160" s="3513"/>
      <c r="C160" s="3503"/>
      <c r="D160" s="3513"/>
      <c r="E160" s="2840"/>
      <c r="F160" s="2839"/>
      <c r="G160" s="2838"/>
      <c r="H160" s="2838"/>
      <c r="I160" s="2838"/>
      <c r="J160" s="2838"/>
      <c r="K160" s="2838"/>
      <c r="L160" s="2838"/>
      <c r="M160" s="2838"/>
      <c r="N160" s="2838"/>
      <c r="O160" s="2838"/>
      <c r="P160" s="2838"/>
      <c r="Q160" s="2838"/>
      <c r="R160" s="2838"/>
      <c r="S160" s="2838"/>
      <c r="T160" s="2838"/>
      <c r="U160" s="2838"/>
      <c r="V160" s="2838"/>
      <c r="W160" s="2838"/>
      <c r="X160" s="2838"/>
      <c r="Y160" s="2838"/>
      <c r="Z160" s="2838"/>
      <c r="AA160" s="2838"/>
      <c r="AB160" s="2838"/>
      <c r="AC160" s="2838"/>
      <c r="AD160" s="2838"/>
      <c r="AE160" s="2838"/>
      <c r="AF160" s="2838"/>
      <c r="AG160" s="2838"/>
      <c r="AH160" s="2838"/>
      <c r="AI160" s="2838"/>
      <c r="AJ160" s="2838"/>
      <c r="AK160" s="2838"/>
      <c r="AL160" s="2838"/>
      <c r="AM160" s="2838"/>
      <c r="AN160" s="2838"/>
      <c r="AO160" s="2838"/>
      <c r="AP160" s="2838"/>
      <c r="AQ160" s="2838"/>
      <c r="AR160" s="2838"/>
      <c r="AS160" s="2838"/>
      <c r="AT160" s="2838"/>
      <c r="AU160" s="2838"/>
      <c r="AV160" s="2838"/>
      <c r="AW160" s="2838"/>
      <c r="AX160" s="2838"/>
      <c r="AY160" s="2837"/>
      <c r="AZ160" s="2836"/>
    </row>
  </sheetData>
  <mergeCells count="130">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w7_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91" zoomScale="115" zoomScaleNormal="115" workbookViewId="0">
      <selection activeCell="T144" sqref="T144:Y144"/>
    </sheetView>
  </sheetViews>
  <sheetFormatPr defaultColWidth="9" defaultRowHeight="13.5" customHeight="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2865"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2846"/>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2836"/>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2846"/>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2841"/>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2841"/>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2841"/>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2841"/>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2841"/>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2841"/>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2836"/>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2846"/>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2841"/>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2841"/>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2841"/>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2841"/>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2836"/>
    </row>
    <row r="19" spans="2:52" ht="13.5" customHeight="1">
      <c r="B19" s="3498"/>
      <c r="C19" s="3514">
        <v>8</v>
      </c>
      <c r="D19" s="3512" t="s">
        <v>5518</v>
      </c>
      <c r="E19" s="2850"/>
      <c r="F19" s="2849"/>
      <c r="G19" s="2848"/>
      <c r="H19" s="2848"/>
      <c r="I19" s="2848"/>
      <c r="J19" s="2848"/>
      <c r="K19" s="2848"/>
      <c r="L19" s="2848"/>
      <c r="M19" s="2848"/>
      <c r="N19" s="2848"/>
      <c r="O19" s="2848"/>
      <c r="P19" s="2848"/>
      <c r="Q19" s="2848"/>
      <c r="R19" s="2848"/>
      <c r="S19" s="2848"/>
      <c r="T19" s="2848"/>
      <c r="U19" s="2848"/>
      <c r="V19" s="2848"/>
      <c r="W19" s="2848"/>
      <c r="X19" s="2848"/>
      <c r="Y19" s="2848"/>
      <c r="Z19" s="2848"/>
      <c r="AA19" s="2848"/>
      <c r="AB19" s="2848"/>
      <c r="AC19" s="2848"/>
      <c r="AD19" s="2848"/>
      <c r="AE19" s="2848"/>
      <c r="AF19" s="2848"/>
      <c r="AG19" s="2848"/>
      <c r="AH19" s="2848"/>
      <c r="AI19" s="2848"/>
      <c r="AJ19" s="2848"/>
      <c r="AK19" s="2848"/>
      <c r="AL19" s="2848"/>
      <c r="AM19" s="2848"/>
      <c r="AN19" s="2848"/>
      <c r="AO19" s="2848"/>
      <c r="AP19" s="2848"/>
      <c r="AQ19" s="2848"/>
      <c r="AR19" s="2848"/>
      <c r="AS19" s="2848"/>
      <c r="AT19" s="2848"/>
      <c r="AU19" s="2848"/>
      <c r="AV19" s="2848"/>
      <c r="AW19" s="2848"/>
      <c r="AX19" s="2848"/>
      <c r="AY19" s="2847"/>
      <c r="AZ19" s="2846"/>
    </row>
    <row r="20" spans="2:52" ht="13.5" customHeight="1">
      <c r="B20" s="3498"/>
      <c r="C20" s="3498"/>
      <c r="D20" s="3502"/>
      <c r="E20" s="2860" t="s">
        <v>5517</v>
      </c>
      <c r="F20" s="2844"/>
      <c r="G20" s="2844"/>
      <c r="H20" s="2844"/>
      <c r="I20" s="2844"/>
      <c r="J20" s="2844"/>
      <c r="K20" s="2844"/>
      <c r="L20" s="2844"/>
      <c r="M20" s="2844"/>
      <c r="N20" s="2844"/>
      <c r="O20" s="2844"/>
      <c r="P20" s="2844"/>
      <c r="Q20" s="2843"/>
      <c r="R20" s="3519">
        <f>基礎数値!F3</f>
        <v>47053</v>
      </c>
      <c r="S20" s="3519"/>
      <c r="T20" s="3519"/>
      <c r="U20" s="3519"/>
      <c r="V20" s="3519"/>
      <c r="W20" s="3519"/>
      <c r="X20" s="2843"/>
      <c r="Y20" s="2851" t="s">
        <v>5476</v>
      </c>
      <c r="Z20" s="2843"/>
      <c r="AA20" s="2843"/>
      <c r="AB20" s="2843"/>
      <c r="AC20" s="2843"/>
      <c r="AD20" s="2843"/>
      <c r="AE20" s="2843"/>
      <c r="AF20" s="2843"/>
      <c r="AG20" s="2843"/>
      <c r="AH20" s="2843"/>
      <c r="AI20" s="2844"/>
      <c r="AJ20" s="2843"/>
      <c r="AK20" s="2843"/>
      <c r="AL20" s="2843"/>
      <c r="AM20" s="2843"/>
      <c r="AN20" s="2843"/>
      <c r="AO20" s="2843"/>
      <c r="AP20" s="2843"/>
      <c r="AQ20" s="2843"/>
      <c r="AR20" s="2843"/>
      <c r="AS20" s="2843"/>
      <c r="AT20" s="2843"/>
      <c r="AU20" s="2843"/>
      <c r="AV20" s="2843"/>
      <c r="AW20" s="2843"/>
      <c r="AX20" s="2843"/>
      <c r="AY20" s="2842"/>
      <c r="AZ20" s="2841"/>
    </row>
    <row r="21" spans="2:52" ht="13.5" customHeight="1">
      <c r="B21" s="3498"/>
      <c r="C21" s="3498"/>
      <c r="D21" s="3502"/>
      <c r="E21" s="2860" t="s">
        <v>5516</v>
      </c>
      <c r="F21" s="2843"/>
      <c r="G21" s="2843"/>
      <c r="H21" s="2843"/>
      <c r="I21" s="2843"/>
      <c r="J21" s="2843"/>
      <c r="K21" s="2843"/>
      <c r="L21" s="2843"/>
      <c r="M21" s="2843"/>
      <c r="N21" s="2843"/>
      <c r="O21" s="2843"/>
      <c r="P21" s="2843"/>
      <c r="Q21" s="2843"/>
      <c r="R21" s="3519">
        <f>基礎数値!F4</f>
        <v>0</v>
      </c>
      <c r="S21" s="3519"/>
      <c r="T21" s="3519"/>
      <c r="U21" s="3519"/>
      <c r="V21" s="3519"/>
      <c r="W21" s="3519"/>
      <c r="X21" s="2843"/>
      <c r="Y21" s="2851" t="s">
        <v>5476</v>
      </c>
      <c r="Z21" s="2843"/>
      <c r="AA21" s="2843"/>
      <c r="AB21" s="2843"/>
      <c r="AC21" s="2843"/>
      <c r="AD21" s="2843"/>
      <c r="AE21" s="2843"/>
      <c r="AF21" s="2843"/>
      <c r="AG21" s="2843"/>
      <c r="AH21" s="2843"/>
      <c r="AI21" s="2843"/>
      <c r="AJ21" s="2843" t="s">
        <v>5447</v>
      </c>
      <c r="AK21" s="3497">
        <f>R20+R21</f>
        <v>47053</v>
      </c>
      <c r="AL21" s="3497"/>
      <c r="AM21" s="3497"/>
      <c r="AN21" s="3497"/>
      <c r="AO21" s="3497"/>
      <c r="AP21" s="3497"/>
      <c r="AQ21" s="2843" t="s">
        <v>5515</v>
      </c>
      <c r="AR21" s="2843"/>
      <c r="AS21" s="2843"/>
      <c r="AT21" s="2843"/>
      <c r="AU21" s="2843"/>
      <c r="AV21" s="2843"/>
      <c r="AW21" s="2843"/>
      <c r="AX21" s="2843"/>
      <c r="AY21" s="2842"/>
      <c r="AZ21" s="2841"/>
    </row>
    <row r="22" spans="2:52" ht="13.5" customHeight="1">
      <c r="B22" s="3498"/>
      <c r="C22" s="3498"/>
      <c r="D22" s="3502"/>
      <c r="E22" s="2860"/>
      <c r="F22" s="2843"/>
      <c r="G22" s="2843"/>
      <c r="H22" s="2843"/>
      <c r="I22" s="2843"/>
      <c r="J22" s="2843"/>
      <c r="K22" s="2843"/>
      <c r="L22" s="2843"/>
      <c r="M22" s="2843"/>
      <c r="N22" s="2843"/>
      <c r="O22" s="2843"/>
      <c r="P22" s="2843"/>
      <c r="Q22" s="2843"/>
      <c r="R22" s="2843"/>
      <c r="S22" s="2843"/>
      <c r="T22" s="2843"/>
      <c r="U22" s="2843"/>
      <c r="V22" s="2843"/>
      <c r="W22" s="2843"/>
      <c r="X22" s="2843"/>
      <c r="Y22" s="2843"/>
      <c r="Z22" s="2843"/>
      <c r="AA22" s="2843"/>
      <c r="AB22" s="2843"/>
      <c r="AC22" s="2843"/>
      <c r="AD22" s="2843"/>
      <c r="AE22" s="2843"/>
      <c r="AF22" s="2843"/>
      <c r="AG22" s="2843"/>
      <c r="AH22" s="2843"/>
      <c r="AI22" s="2843"/>
      <c r="AJ22" s="2843"/>
      <c r="AK22" s="2843"/>
      <c r="AL22" s="2843"/>
      <c r="AM22" s="2843"/>
      <c r="AN22" s="2843"/>
      <c r="AO22" s="2843"/>
      <c r="AP22" s="2843"/>
      <c r="AQ22" s="2843"/>
      <c r="AR22" s="2843"/>
      <c r="AS22" s="2843"/>
      <c r="AT22" s="2843"/>
      <c r="AU22" s="2843"/>
      <c r="AV22" s="2843"/>
      <c r="AW22" s="2843"/>
      <c r="AX22" s="2843"/>
      <c r="AY22" s="2842"/>
      <c r="AZ22" s="2841"/>
    </row>
    <row r="23" spans="2:52" ht="13.5" customHeight="1">
      <c r="B23" s="3498"/>
      <c r="C23" s="3498"/>
      <c r="D23" s="3502"/>
      <c r="E23" s="2860" t="s">
        <v>5514</v>
      </c>
      <c r="F23" s="2843"/>
      <c r="G23" s="2843"/>
      <c r="H23" s="2843"/>
      <c r="I23" s="2843"/>
      <c r="J23" s="2843"/>
      <c r="K23" s="2843"/>
      <c r="L23" s="2843"/>
      <c r="M23" s="2843"/>
      <c r="N23" s="2843"/>
      <c r="O23" s="2843"/>
      <c r="P23" s="2843"/>
      <c r="Q23" s="2843"/>
      <c r="R23" s="2843"/>
      <c r="S23" s="2843"/>
      <c r="T23" s="2843"/>
      <c r="U23" s="2843"/>
      <c r="V23" s="2843"/>
      <c r="W23" s="2843"/>
      <c r="X23" s="2843"/>
      <c r="Y23" s="2843"/>
      <c r="Z23" s="2843"/>
      <c r="AA23" s="2843"/>
      <c r="AB23" s="2843"/>
      <c r="AC23" s="2843"/>
      <c r="AD23" s="2843"/>
      <c r="AE23" s="2843"/>
      <c r="AF23" s="2843"/>
      <c r="AG23" s="2843"/>
      <c r="AH23" s="2843"/>
      <c r="AI23" s="2843"/>
      <c r="AJ23" s="2843"/>
      <c r="AK23" s="2843"/>
      <c r="AL23" s="2843"/>
      <c r="AM23" s="2843"/>
      <c r="AN23" s="2843"/>
      <c r="AO23" s="2843"/>
      <c r="AP23" s="2843"/>
      <c r="AQ23" s="2843"/>
      <c r="AR23" s="2843"/>
      <c r="AS23" s="2843"/>
      <c r="AT23" s="2843"/>
      <c r="AU23" s="2843"/>
      <c r="AV23" s="2843"/>
      <c r="AW23" s="2843"/>
      <c r="AX23" s="2843"/>
      <c r="AY23" s="2842"/>
      <c r="AZ23" s="2841"/>
    </row>
    <row r="24" spans="2:52" ht="13.5" customHeight="1">
      <c r="B24" s="3498"/>
      <c r="C24" s="3498"/>
      <c r="D24" s="3502"/>
      <c r="E24" s="2860"/>
      <c r="F24" s="2843"/>
      <c r="G24" s="2843"/>
      <c r="H24" s="2844" t="s">
        <v>5470</v>
      </c>
      <c r="I24" s="2843"/>
      <c r="J24" s="2843"/>
      <c r="K24" s="2843"/>
      <c r="L24" s="2843"/>
      <c r="M24" s="2843"/>
      <c r="N24" s="2843"/>
      <c r="O24" s="2843"/>
      <c r="P24" s="2843"/>
      <c r="Q24" s="2843"/>
      <c r="R24" s="3519">
        <f>基礎数値!F6</f>
        <v>0</v>
      </c>
      <c r="S24" s="3519"/>
      <c r="T24" s="3519"/>
      <c r="U24" s="3519"/>
      <c r="V24" s="3519"/>
      <c r="W24" s="3519"/>
      <c r="X24" s="2843" t="s">
        <v>5513</v>
      </c>
      <c r="Y24" s="2851" t="s">
        <v>5512</v>
      </c>
      <c r="Z24" s="2843"/>
      <c r="AA24" s="2843"/>
      <c r="AB24" s="2843"/>
      <c r="AC24" s="2843"/>
      <c r="AD24" s="2843"/>
      <c r="AE24" s="2843"/>
      <c r="AF24" s="2843"/>
      <c r="AG24" s="2843"/>
      <c r="AH24" s="2843"/>
      <c r="AI24" s="2843"/>
      <c r="AJ24" s="2843"/>
      <c r="AK24" s="2843"/>
      <c r="AL24" s="2843"/>
      <c r="AM24" s="2843"/>
      <c r="AN24" s="2843"/>
      <c r="AO24" s="2843"/>
      <c r="AP24" s="2843"/>
      <c r="AQ24" s="2843"/>
      <c r="AR24" s="2843"/>
      <c r="AS24" s="2843"/>
      <c r="AT24" s="2843"/>
      <c r="AU24" s="2843"/>
      <c r="AV24" s="2843"/>
      <c r="AW24" s="2843"/>
      <c r="AX24" s="2843"/>
      <c r="AY24" s="2842"/>
      <c r="AZ24" s="2841"/>
    </row>
    <row r="25" spans="2:52" ht="13.5" customHeight="1">
      <c r="B25" s="3498"/>
      <c r="C25" s="3498"/>
      <c r="D25" s="3502"/>
      <c r="E25" s="2845"/>
      <c r="F25" s="2844"/>
      <c r="G25" s="2843"/>
      <c r="H25" s="2844" t="s">
        <v>5511</v>
      </c>
      <c r="I25" s="2843"/>
      <c r="J25" s="2843"/>
      <c r="K25" s="2843"/>
      <c r="L25" s="2843"/>
      <c r="M25" s="2843"/>
      <c r="N25" s="2843"/>
      <c r="O25" s="2843"/>
      <c r="P25" s="2843"/>
      <c r="Q25" s="2843"/>
      <c r="R25" s="3519">
        <f>基礎数値!F7</f>
        <v>39339</v>
      </c>
      <c r="S25" s="3519"/>
      <c r="T25" s="3519"/>
      <c r="U25" s="3519"/>
      <c r="V25" s="3519"/>
      <c r="W25" s="3519"/>
      <c r="X25" s="2843" t="s">
        <v>5510</v>
      </c>
      <c r="Y25" s="2851" t="s">
        <v>5509</v>
      </c>
      <c r="Z25" s="2843"/>
      <c r="AA25" s="2843"/>
      <c r="AB25" s="2843"/>
      <c r="AC25" s="2843"/>
      <c r="AD25" s="2843"/>
      <c r="AE25" s="2843"/>
      <c r="AF25" s="2843"/>
      <c r="AG25" s="2843"/>
      <c r="AH25" s="2843"/>
      <c r="AI25" s="2843"/>
      <c r="AJ25" s="2843"/>
      <c r="AK25" s="2843"/>
      <c r="AL25" s="2843"/>
      <c r="AM25" s="2843"/>
      <c r="AN25" s="2843"/>
      <c r="AO25" s="2843"/>
      <c r="AP25" s="2843"/>
      <c r="AQ25" s="2843"/>
      <c r="AR25" s="2843"/>
      <c r="AS25" s="2843"/>
      <c r="AT25" s="2843"/>
      <c r="AU25" s="2843"/>
      <c r="AV25" s="2843"/>
      <c r="AW25" s="2843"/>
      <c r="AX25" s="2843"/>
      <c r="AY25" s="2842"/>
      <c r="AZ25" s="2841"/>
    </row>
    <row r="26" spans="2:52" ht="13.5" customHeight="1" thickBot="1">
      <c r="B26" s="3498"/>
      <c r="C26" s="3498"/>
      <c r="D26" s="3502"/>
      <c r="E26" s="2845"/>
      <c r="F26" s="2844"/>
      <c r="G26" s="2843"/>
      <c r="H26" s="2843"/>
      <c r="I26" s="2843"/>
      <c r="J26" s="2843"/>
      <c r="K26" s="2843"/>
      <c r="L26" s="2843"/>
      <c r="M26" s="2843"/>
      <c r="N26" s="2843"/>
      <c r="O26" s="2843"/>
      <c r="P26" s="2843"/>
      <c r="Q26" s="2843"/>
      <c r="R26" s="2843"/>
      <c r="S26" s="2843"/>
      <c r="T26" s="2843"/>
      <c r="U26" s="2843"/>
      <c r="V26" s="2843"/>
      <c r="W26" s="2843"/>
      <c r="X26" s="2843"/>
      <c r="Y26" s="2843"/>
      <c r="Z26" s="2843"/>
      <c r="AA26" s="2843"/>
      <c r="AB26" s="2843"/>
      <c r="AC26" s="2843"/>
      <c r="AD26" s="2843"/>
      <c r="AE26" s="2843"/>
      <c r="AF26" s="2843"/>
      <c r="AG26" s="2843"/>
      <c r="AH26" s="2843"/>
      <c r="AI26" s="2843"/>
      <c r="AJ26" s="2843"/>
      <c r="AK26" s="2843"/>
      <c r="AL26" s="2843"/>
      <c r="AM26" s="2843"/>
      <c r="AN26" s="2843"/>
      <c r="AO26" s="2843"/>
      <c r="AP26" s="2843"/>
      <c r="AQ26" s="2843"/>
      <c r="AR26" s="2843"/>
      <c r="AS26" s="2843"/>
      <c r="AT26" s="2843"/>
      <c r="AU26" s="2843"/>
      <c r="AV26" s="2843"/>
      <c r="AW26" s="2843"/>
      <c r="AX26" s="2843"/>
      <c r="AY26" s="2842"/>
      <c r="AZ26" s="2841"/>
    </row>
    <row r="27" spans="2:52" ht="13.5" customHeight="1" thickTop="1" thickBot="1">
      <c r="B27" s="3498"/>
      <c r="C27" s="3498"/>
      <c r="D27" s="3502"/>
      <c r="E27" s="2845" t="s">
        <v>5445</v>
      </c>
      <c r="F27" s="2844"/>
      <c r="G27" s="2843"/>
      <c r="H27" s="2843"/>
      <c r="I27" s="2843"/>
      <c r="J27" s="2843"/>
      <c r="K27" s="2843"/>
      <c r="L27" s="2843"/>
      <c r="M27" s="2843"/>
      <c r="N27" s="2843"/>
      <c r="O27" s="2843"/>
      <c r="P27" s="2843"/>
      <c r="Q27" s="2843"/>
      <c r="R27" s="3499">
        <f>ROUNDDOWN((AK21-R24-R25)*100/108,0)</f>
        <v>7142</v>
      </c>
      <c r="S27" s="3500"/>
      <c r="T27" s="3500"/>
      <c r="U27" s="3500"/>
      <c r="V27" s="3500"/>
      <c r="W27" s="3501"/>
      <c r="X27" s="2843" t="s">
        <v>5508</v>
      </c>
      <c r="Y27" s="2851" t="s">
        <v>5576</v>
      </c>
      <c r="Z27" s="2843"/>
      <c r="AA27" s="2843"/>
      <c r="AB27" s="2843"/>
      <c r="AC27" s="2843"/>
      <c r="AD27" s="2843"/>
      <c r="AE27" s="2843"/>
      <c r="AF27" s="2843"/>
      <c r="AG27" s="2843"/>
      <c r="AH27" s="2843"/>
      <c r="AI27" s="2843"/>
      <c r="AJ27" s="2843"/>
      <c r="AK27" s="2843"/>
      <c r="AL27" s="2843"/>
      <c r="AM27" s="2843"/>
      <c r="AN27" s="2843"/>
      <c r="AO27" s="2843"/>
      <c r="AP27" s="2843"/>
      <c r="AQ27" s="2843"/>
      <c r="AR27" s="2843"/>
      <c r="AS27" s="2843"/>
      <c r="AT27" s="2843"/>
      <c r="AU27" s="2843"/>
      <c r="AV27" s="2843"/>
      <c r="AW27" s="2843"/>
      <c r="AX27" s="2843"/>
      <c r="AY27" s="2842"/>
      <c r="AZ27" s="2841" t="s">
        <v>5506</v>
      </c>
    </row>
    <row r="28" spans="2:52" ht="13.5" customHeight="1" thickTop="1" thickBot="1">
      <c r="B28" s="3498"/>
      <c r="C28" s="3498"/>
      <c r="D28" s="3502"/>
      <c r="E28" s="2845"/>
      <c r="F28" s="2844"/>
      <c r="G28" s="2843"/>
      <c r="H28" s="2843"/>
      <c r="I28" s="2843"/>
      <c r="J28" s="2843"/>
      <c r="K28" s="2843"/>
      <c r="L28" s="2843"/>
      <c r="M28" s="2843"/>
      <c r="N28" s="2843"/>
      <c r="O28" s="2843"/>
      <c r="P28" s="2843"/>
      <c r="Q28" s="2843"/>
      <c r="R28" s="2843"/>
      <c r="S28" s="2843"/>
      <c r="T28" s="2843"/>
      <c r="U28" s="2843"/>
      <c r="V28" s="2843"/>
      <c r="W28" s="2843"/>
      <c r="X28" s="2843"/>
      <c r="Y28" s="2843"/>
      <c r="Z28" s="2843"/>
      <c r="AA28" s="2843"/>
      <c r="AB28" s="2843"/>
      <c r="AC28" s="2843"/>
      <c r="AD28" s="2843"/>
      <c r="AE28" s="2843"/>
      <c r="AF28" s="2843"/>
      <c r="AG28" s="2843"/>
      <c r="AH28" s="2843"/>
      <c r="AI28" s="2843"/>
      <c r="AJ28" s="2843"/>
      <c r="AK28" s="2843"/>
      <c r="AL28" s="2843"/>
      <c r="AM28" s="2843"/>
      <c r="AN28" s="2843"/>
      <c r="AO28" s="2843"/>
      <c r="AP28" s="2843"/>
      <c r="AQ28" s="2843"/>
      <c r="AR28" s="2843"/>
      <c r="AS28" s="2843"/>
      <c r="AT28" s="2843"/>
      <c r="AU28" s="2843"/>
      <c r="AV28" s="2843"/>
      <c r="AW28" s="2843"/>
      <c r="AX28" s="2843"/>
      <c r="AY28" s="2842"/>
      <c r="AZ28" s="2841"/>
    </row>
    <row r="29" spans="2:52" ht="13.5" customHeight="1" thickTop="1" thickBot="1">
      <c r="B29" s="3498"/>
      <c r="C29" s="3498"/>
      <c r="D29" s="3502"/>
      <c r="E29" s="2845" t="s">
        <v>5505</v>
      </c>
      <c r="F29" s="2844"/>
      <c r="G29" s="2843"/>
      <c r="H29" s="2843"/>
      <c r="I29" s="2843"/>
      <c r="J29" s="2843"/>
      <c r="K29" s="2843"/>
      <c r="L29" s="2843"/>
      <c r="M29" s="2843"/>
      <c r="N29" s="2843"/>
      <c r="O29" s="2843"/>
      <c r="P29" s="2843"/>
      <c r="Q29" s="2843"/>
      <c r="R29" s="3499">
        <f>ROUNDDOWN((AK21-R24)*100/108,-3)</f>
        <v>43000</v>
      </c>
      <c r="S29" s="3500"/>
      <c r="T29" s="3500"/>
      <c r="U29" s="3500"/>
      <c r="V29" s="3500"/>
      <c r="W29" s="3501"/>
      <c r="X29" s="2843" t="s">
        <v>5504</v>
      </c>
      <c r="Y29" s="2851" t="s">
        <v>5575</v>
      </c>
      <c r="Z29" s="2843"/>
      <c r="AA29" s="2843"/>
      <c r="AB29" s="2843"/>
      <c r="AC29" s="2843"/>
      <c r="AD29" s="2843"/>
      <c r="AE29" s="2843"/>
      <c r="AF29" s="2843"/>
      <c r="AG29" s="2843"/>
      <c r="AH29" s="2843"/>
      <c r="AI29" s="2843"/>
      <c r="AJ29" s="2843"/>
      <c r="AK29" s="2843"/>
      <c r="AL29" s="2843"/>
      <c r="AM29" s="2843"/>
      <c r="AN29" s="2843"/>
      <c r="AO29" s="2843"/>
      <c r="AP29" s="2843"/>
      <c r="AQ29" s="2843"/>
      <c r="AR29" s="2843"/>
      <c r="AS29" s="2843"/>
      <c r="AT29" s="2843"/>
      <c r="AU29" s="2843"/>
      <c r="AV29" s="2843"/>
      <c r="AW29" s="2843"/>
      <c r="AX29" s="2843"/>
      <c r="AY29" s="2842"/>
      <c r="AZ29" s="2841" t="s">
        <v>5502</v>
      </c>
    </row>
    <row r="30" spans="2:52" ht="13.5" customHeight="1" thickTop="1" thickBot="1">
      <c r="B30" s="3498"/>
      <c r="C30" s="3498"/>
      <c r="D30" s="3502"/>
      <c r="E30" s="2845"/>
      <c r="F30" s="2844"/>
      <c r="G30" s="2843"/>
      <c r="H30" s="2843"/>
      <c r="I30" s="2843"/>
      <c r="J30" s="2843"/>
      <c r="K30" s="2843"/>
      <c r="L30" s="2843"/>
      <c r="M30" s="2843"/>
      <c r="N30" s="2843"/>
      <c r="O30" s="2843"/>
      <c r="P30" s="2843"/>
      <c r="Q30" s="2843"/>
      <c r="R30" s="2843"/>
      <c r="S30" s="2843"/>
      <c r="T30" s="2843"/>
      <c r="U30" s="2843"/>
      <c r="V30" s="2843"/>
      <c r="W30" s="2843"/>
      <c r="X30" s="2843"/>
      <c r="Y30" s="2843"/>
      <c r="Z30" s="2843"/>
      <c r="AA30" s="2843"/>
      <c r="AB30" s="2843"/>
      <c r="AC30" s="2843"/>
      <c r="AD30" s="2843"/>
      <c r="AE30" s="2843"/>
      <c r="AF30" s="2843"/>
      <c r="AG30" s="2843"/>
      <c r="AH30" s="2843"/>
      <c r="AI30" s="2843"/>
      <c r="AJ30" s="2843"/>
      <c r="AK30" s="2843"/>
      <c r="AL30" s="2843"/>
      <c r="AM30" s="2843"/>
      <c r="AN30" s="2843"/>
      <c r="AO30" s="2843"/>
      <c r="AP30" s="2843"/>
      <c r="AQ30" s="2843"/>
      <c r="AR30" s="2843"/>
      <c r="AS30" s="2843"/>
      <c r="AT30" s="2843"/>
      <c r="AU30" s="2843"/>
      <c r="AV30" s="2843"/>
      <c r="AW30" s="2843"/>
      <c r="AX30" s="2843"/>
      <c r="AY30" s="2842"/>
      <c r="AZ30" s="2841"/>
    </row>
    <row r="31" spans="2:52" ht="13.5" customHeight="1" thickTop="1" thickBot="1">
      <c r="B31" s="3498"/>
      <c r="C31" s="3498"/>
      <c r="D31" s="3502"/>
      <c r="E31" s="2845" t="s">
        <v>5501</v>
      </c>
      <c r="F31" s="2844"/>
      <c r="G31" s="2843"/>
      <c r="H31" s="2843"/>
      <c r="I31" s="2843"/>
      <c r="J31" s="2843"/>
      <c r="K31" s="2843"/>
      <c r="L31" s="2843"/>
      <c r="M31" s="2843"/>
      <c r="N31" s="2843"/>
      <c r="O31" s="2843"/>
      <c r="P31" s="2843"/>
      <c r="Q31" s="2843"/>
      <c r="R31" s="3499">
        <f>ROUNDDOWN(R29*63/1000,0)</f>
        <v>2709</v>
      </c>
      <c r="S31" s="3500"/>
      <c r="T31" s="3500"/>
      <c r="U31" s="3500"/>
      <c r="V31" s="3500"/>
      <c r="W31" s="3501"/>
      <c r="X31" s="2843" t="s">
        <v>5500</v>
      </c>
      <c r="Y31" s="2851" t="s">
        <v>5574</v>
      </c>
      <c r="Z31" s="2843"/>
      <c r="AA31" s="2843"/>
      <c r="AB31" s="2843"/>
      <c r="AC31" s="2843"/>
      <c r="AD31" s="2843"/>
      <c r="AE31" s="2843"/>
      <c r="AF31" s="2843"/>
      <c r="AG31" s="2843"/>
      <c r="AH31" s="2843"/>
      <c r="AI31" s="2843"/>
      <c r="AJ31" s="2843"/>
      <c r="AK31" s="2843"/>
      <c r="AL31" s="2843"/>
      <c r="AM31" s="2843"/>
      <c r="AN31" s="2843"/>
      <c r="AO31" s="2843"/>
      <c r="AP31" s="2843"/>
      <c r="AQ31" s="2843"/>
      <c r="AR31" s="2843"/>
      <c r="AS31" s="2843"/>
      <c r="AT31" s="2843"/>
      <c r="AU31" s="2843"/>
      <c r="AV31" s="2843"/>
      <c r="AW31" s="2843"/>
      <c r="AX31" s="2843"/>
      <c r="AY31" s="2842"/>
      <c r="AZ31" s="2841" t="s">
        <v>5498</v>
      </c>
    </row>
    <row r="32" spans="2:52" ht="13.5" customHeight="1" thickTop="1">
      <c r="B32" s="3503"/>
      <c r="C32" s="3503"/>
      <c r="D32" s="3513"/>
      <c r="E32" s="2840"/>
      <c r="F32" s="2839"/>
      <c r="G32" s="2838"/>
      <c r="H32" s="2838"/>
      <c r="I32" s="2838"/>
      <c r="J32" s="2838"/>
      <c r="K32" s="2838"/>
      <c r="L32" s="2838"/>
      <c r="M32" s="2838"/>
      <c r="N32" s="2838"/>
      <c r="O32" s="2838"/>
      <c r="P32" s="2838"/>
      <c r="Q32" s="2838"/>
      <c r="R32" s="2838"/>
      <c r="S32" s="2838"/>
      <c r="T32" s="2838"/>
      <c r="U32" s="2838"/>
      <c r="V32" s="2838"/>
      <c r="W32" s="2838"/>
      <c r="X32" s="2838"/>
      <c r="Y32" s="2838"/>
      <c r="Z32" s="2838"/>
      <c r="AA32" s="2838"/>
      <c r="AB32" s="2838"/>
      <c r="AC32" s="2838"/>
      <c r="AD32" s="2838"/>
      <c r="AE32" s="2838"/>
      <c r="AF32" s="2838"/>
      <c r="AG32" s="2838"/>
      <c r="AH32" s="2838"/>
      <c r="AI32" s="2838"/>
      <c r="AJ32" s="2838"/>
      <c r="AK32" s="2838"/>
      <c r="AL32" s="2838"/>
      <c r="AM32" s="2838"/>
      <c r="AN32" s="2838"/>
      <c r="AO32" s="2838"/>
      <c r="AP32" s="2838"/>
      <c r="AQ32" s="2838"/>
      <c r="AR32" s="2838"/>
      <c r="AS32" s="2838"/>
      <c r="AT32" s="2838"/>
      <c r="AU32" s="2838"/>
      <c r="AV32" s="2838"/>
      <c r="AW32" s="2838"/>
      <c r="AX32" s="2838"/>
      <c r="AY32" s="2837"/>
      <c r="AZ32" s="2836"/>
    </row>
    <row r="33" spans="2:52" ht="13.5" customHeight="1">
      <c r="B33" s="3514" t="s">
        <v>5427</v>
      </c>
      <c r="C33" s="3514">
        <v>1</v>
      </c>
      <c r="D33" s="3514" t="s">
        <v>5497</v>
      </c>
      <c r="E33" s="2850"/>
      <c r="F33" s="2849"/>
      <c r="G33" s="2848"/>
      <c r="H33" s="2848"/>
      <c r="I33" s="2848"/>
      <c r="J33" s="2848"/>
      <c r="K33" s="2848"/>
      <c r="L33" s="2848"/>
      <c r="M33" s="2848"/>
      <c r="N33" s="2848"/>
      <c r="O33" s="2848"/>
      <c r="P33" s="2848"/>
      <c r="Q33" s="2848"/>
      <c r="R33" s="2848"/>
      <c r="S33" s="2848"/>
      <c r="T33" s="2848"/>
      <c r="U33" s="2848"/>
      <c r="V33" s="2848"/>
      <c r="W33" s="2848"/>
      <c r="X33" s="2848"/>
      <c r="Y33" s="2848"/>
      <c r="Z33" s="2848"/>
      <c r="AA33" s="2848"/>
      <c r="AB33" s="2848"/>
      <c r="AC33" s="2848"/>
      <c r="AD33" s="2848"/>
      <c r="AE33" s="2848"/>
      <c r="AF33" s="2848"/>
      <c r="AG33" s="2848"/>
      <c r="AH33" s="2848"/>
      <c r="AI33" s="2848"/>
      <c r="AJ33" s="2848"/>
      <c r="AK33" s="2848"/>
      <c r="AL33" s="2848"/>
      <c r="AM33" s="2848"/>
      <c r="AN33" s="2848"/>
      <c r="AO33" s="2848"/>
      <c r="AP33" s="2848"/>
      <c r="AQ33" s="2848"/>
      <c r="AR33" s="2848"/>
      <c r="AS33" s="2848"/>
      <c r="AT33" s="2848"/>
      <c r="AU33" s="2848"/>
      <c r="AV33" s="2848"/>
      <c r="AW33" s="2848"/>
      <c r="AX33" s="2848"/>
      <c r="AY33" s="2847"/>
      <c r="AZ33" s="2846"/>
    </row>
    <row r="34" spans="2:52" ht="13.5" customHeight="1">
      <c r="B34" s="3498"/>
      <c r="C34" s="3498"/>
      <c r="D34" s="3498"/>
      <c r="E34" s="2845" t="s">
        <v>5496</v>
      </c>
      <c r="F34" s="2844"/>
      <c r="G34" s="2843"/>
      <c r="H34" s="2843"/>
      <c r="I34" s="2843"/>
      <c r="J34" s="2843"/>
      <c r="K34" s="2843"/>
      <c r="L34" s="2843"/>
      <c r="M34" s="2843"/>
      <c r="N34" s="2843"/>
      <c r="O34" s="2843"/>
      <c r="P34" s="2843"/>
      <c r="Q34" s="2843"/>
      <c r="R34" s="2864"/>
      <c r="S34" s="2864"/>
      <c r="T34" s="2864"/>
      <c r="U34" s="2864"/>
      <c r="V34" s="2864"/>
      <c r="W34" s="2864"/>
      <c r="X34" s="2861"/>
      <c r="Y34" s="2862"/>
      <c r="Z34" s="2861"/>
      <c r="AA34" s="2861"/>
      <c r="AB34" s="2861"/>
      <c r="AC34" s="2861"/>
      <c r="AD34" s="2861"/>
      <c r="AE34" s="2861"/>
      <c r="AF34" s="2861"/>
      <c r="AG34" s="2861"/>
      <c r="AH34" s="2861"/>
      <c r="AI34" s="2861"/>
      <c r="AJ34" s="2861"/>
      <c r="AK34" s="2861"/>
      <c r="AL34" s="2861"/>
      <c r="AM34" s="2861"/>
      <c r="AN34" s="2861"/>
      <c r="AO34" s="2861"/>
      <c r="AP34" s="2861"/>
      <c r="AQ34" s="2861"/>
      <c r="AR34" s="2843"/>
      <c r="AS34" s="2843"/>
      <c r="AT34" s="2843"/>
      <c r="AU34" s="2843"/>
      <c r="AV34" s="2843"/>
      <c r="AW34" s="2843"/>
      <c r="AX34" s="2843"/>
      <c r="AY34" s="2842"/>
      <c r="AZ34" s="2841"/>
    </row>
    <row r="35" spans="2:52" ht="13.5" customHeight="1">
      <c r="B35" s="3498"/>
      <c r="C35" s="3498"/>
      <c r="D35" s="3498"/>
      <c r="E35" s="2845" t="s">
        <v>5495</v>
      </c>
      <c r="F35" s="2844"/>
      <c r="G35" s="2843"/>
      <c r="H35" s="2843"/>
      <c r="I35" s="2843"/>
      <c r="J35" s="2843"/>
      <c r="K35" s="2843"/>
      <c r="L35" s="2843"/>
      <c r="M35" s="2843"/>
      <c r="N35" s="2843"/>
      <c r="O35" s="2843"/>
      <c r="P35" s="2843"/>
      <c r="Q35" s="2843"/>
      <c r="R35" s="2864"/>
      <c r="S35" s="2864"/>
      <c r="T35" s="2864"/>
      <c r="U35" s="2864"/>
      <c r="V35" s="2864"/>
      <c r="W35" s="2864"/>
      <c r="X35" s="2861"/>
      <c r="Y35" s="2862"/>
      <c r="Z35" s="2861"/>
      <c r="AA35" s="2861"/>
      <c r="AB35" s="2861"/>
      <c r="AC35" s="2861"/>
      <c r="AD35" s="2861"/>
      <c r="AE35" s="2861"/>
      <c r="AF35" s="2861"/>
      <c r="AG35" s="2861"/>
      <c r="AH35" s="2861"/>
      <c r="AI35" s="2861"/>
      <c r="AJ35" s="2861"/>
      <c r="AK35" s="2861"/>
      <c r="AL35" s="2861"/>
      <c r="AM35" s="2861"/>
      <c r="AN35" s="2861"/>
      <c r="AO35" s="2861"/>
      <c r="AP35" s="2861"/>
      <c r="AQ35" s="2861"/>
      <c r="AR35" s="2843"/>
      <c r="AS35" s="2843"/>
      <c r="AT35" s="2843"/>
      <c r="AU35" s="2843"/>
      <c r="AV35" s="2843"/>
      <c r="AW35" s="2843"/>
      <c r="AX35" s="2843"/>
      <c r="AY35" s="2842"/>
      <c r="AZ35" s="2841"/>
    </row>
    <row r="36" spans="2:52" ht="13.5" customHeight="1">
      <c r="B36" s="3498"/>
      <c r="C36" s="3498"/>
      <c r="D36" s="3498"/>
      <c r="E36" s="2845" t="s">
        <v>5494</v>
      </c>
      <c r="F36" s="2844"/>
      <c r="G36" s="2843"/>
      <c r="H36" s="2843"/>
      <c r="I36" s="2843"/>
      <c r="J36" s="2843"/>
      <c r="K36" s="2843"/>
      <c r="L36" s="2843"/>
      <c r="M36" s="2843"/>
      <c r="N36" s="2843"/>
      <c r="O36" s="2843"/>
      <c r="P36" s="2843"/>
      <c r="Q36" s="2843"/>
      <c r="R36" s="2864"/>
      <c r="S36" s="2864"/>
      <c r="T36" s="2864"/>
      <c r="U36" s="2864"/>
      <c r="V36" s="2864"/>
      <c r="W36" s="2864"/>
      <c r="X36" s="2861"/>
      <c r="Y36" s="2862"/>
      <c r="Z36" s="2861"/>
      <c r="AA36" s="2861"/>
      <c r="AB36" s="2861"/>
      <c r="AC36" s="2861"/>
      <c r="AD36" s="2861"/>
      <c r="AE36" s="2861"/>
      <c r="AF36" s="2861"/>
      <c r="AG36" s="2861"/>
      <c r="AH36" s="2861"/>
      <c r="AI36" s="2861"/>
      <c r="AJ36" s="2861"/>
      <c r="AK36" s="2861"/>
      <c r="AL36" s="2861"/>
      <c r="AM36" s="2861"/>
      <c r="AN36" s="2861"/>
      <c r="AO36" s="2861"/>
      <c r="AP36" s="2861"/>
      <c r="AQ36" s="2861"/>
      <c r="AR36" s="2843"/>
      <c r="AS36" s="2843"/>
      <c r="AT36" s="2843"/>
      <c r="AU36" s="2843"/>
      <c r="AV36" s="2843"/>
      <c r="AW36" s="2843"/>
      <c r="AX36" s="2843"/>
      <c r="AY36" s="2842"/>
      <c r="AZ36" s="3502"/>
    </row>
    <row r="37" spans="2:52" ht="13.5" customHeight="1">
      <c r="B37" s="3498"/>
      <c r="C37" s="3498"/>
      <c r="D37" s="3498"/>
      <c r="E37" s="2845"/>
      <c r="F37" s="2844"/>
      <c r="G37" s="2843"/>
      <c r="H37" s="2843"/>
      <c r="I37" s="2843"/>
      <c r="J37" s="2843"/>
      <c r="K37" s="2843"/>
      <c r="L37" s="2843"/>
      <c r="M37" s="2843"/>
      <c r="N37" s="2843"/>
      <c r="O37" s="2843"/>
      <c r="P37" s="2843"/>
      <c r="Q37" s="2843"/>
      <c r="R37" s="2861"/>
      <c r="S37" s="2861"/>
      <c r="T37" s="2861"/>
      <c r="U37" s="2861"/>
      <c r="V37" s="2861"/>
      <c r="W37" s="2861"/>
      <c r="X37" s="2861"/>
      <c r="Y37" s="2861"/>
      <c r="Z37" s="2861"/>
      <c r="AA37" s="2861"/>
      <c r="AB37" s="2861"/>
      <c r="AC37" s="2861"/>
      <c r="AD37" s="2861"/>
      <c r="AE37" s="2861"/>
      <c r="AF37" s="2861"/>
      <c r="AG37" s="2861"/>
      <c r="AH37" s="2861"/>
      <c r="AI37" s="2861"/>
      <c r="AJ37" s="2861"/>
      <c r="AK37" s="2861"/>
      <c r="AL37" s="2861"/>
      <c r="AM37" s="2861"/>
      <c r="AN37" s="2861"/>
      <c r="AO37" s="2861"/>
      <c r="AP37" s="2861"/>
      <c r="AQ37" s="2861"/>
      <c r="AR37" s="2843"/>
      <c r="AS37" s="2843"/>
      <c r="AT37" s="2843"/>
      <c r="AU37" s="2843"/>
      <c r="AV37" s="2843"/>
      <c r="AW37" s="2843"/>
      <c r="AX37" s="2843"/>
      <c r="AY37" s="2842"/>
      <c r="AZ37" s="3502"/>
    </row>
    <row r="38" spans="2:52" ht="13.5" customHeight="1">
      <c r="B38" s="3498"/>
      <c r="C38" s="3498"/>
      <c r="D38" s="3498"/>
      <c r="E38" s="2860" t="s">
        <v>5493</v>
      </c>
      <c r="F38" s="2844"/>
      <c r="G38" s="2843"/>
      <c r="H38" s="2843"/>
      <c r="I38" s="2843"/>
      <c r="J38" s="2843"/>
      <c r="K38" s="2843"/>
      <c r="L38" s="2843"/>
      <c r="M38" s="2843"/>
      <c r="N38" s="2843"/>
      <c r="O38" s="2843"/>
      <c r="P38" s="2843"/>
      <c r="Q38" s="2843"/>
      <c r="R38" s="2864"/>
      <c r="S38" s="2864"/>
      <c r="T38" s="2864"/>
      <c r="U38" s="2864"/>
      <c r="V38" s="2864"/>
      <c r="W38" s="2864"/>
      <c r="X38" s="2861"/>
      <c r="Y38" s="2862"/>
      <c r="Z38" s="2861"/>
      <c r="AA38" s="2861"/>
      <c r="AB38" s="2861"/>
      <c r="AC38" s="2861"/>
      <c r="AD38" s="2861"/>
      <c r="AE38" s="2861"/>
      <c r="AF38" s="2861"/>
      <c r="AG38" s="2861"/>
      <c r="AH38" s="2861"/>
      <c r="AI38" s="2861"/>
      <c r="AJ38" s="2861"/>
      <c r="AK38" s="2861"/>
      <c r="AL38" s="2861"/>
      <c r="AM38" s="2861"/>
      <c r="AN38" s="2861"/>
      <c r="AO38" s="2861"/>
      <c r="AP38" s="2861"/>
      <c r="AQ38" s="2861"/>
      <c r="AR38" s="2843"/>
      <c r="AS38" s="2843"/>
      <c r="AT38" s="2843"/>
      <c r="AU38" s="2843"/>
      <c r="AV38" s="2843"/>
      <c r="AW38" s="2843"/>
      <c r="AX38" s="2843"/>
      <c r="AY38" s="2842"/>
      <c r="AZ38" s="2841"/>
    </row>
    <row r="39" spans="2:52" ht="13.5" customHeight="1">
      <c r="B39" s="3498"/>
      <c r="C39" s="3498"/>
      <c r="D39" s="3498"/>
      <c r="E39" s="2860" t="s">
        <v>5492</v>
      </c>
      <c r="F39" s="2844"/>
      <c r="G39" s="2843"/>
      <c r="H39" s="2843"/>
      <c r="I39" s="2843"/>
      <c r="J39" s="2843"/>
      <c r="K39" s="2843"/>
      <c r="L39" s="2843"/>
      <c r="M39" s="2843"/>
      <c r="N39" s="2843"/>
      <c r="O39" s="2843"/>
      <c r="P39" s="2843"/>
      <c r="Q39" s="2843"/>
      <c r="R39" s="2864"/>
      <c r="S39" s="2864"/>
      <c r="T39" s="2864"/>
      <c r="U39" s="2864"/>
      <c r="V39" s="2864"/>
      <c r="W39" s="2864"/>
      <c r="X39" s="2861"/>
      <c r="Y39" s="2862"/>
      <c r="Z39" s="2861"/>
      <c r="AA39" s="2861"/>
      <c r="AB39" s="2861"/>
      <c r="AC39" s="2861"/>
      <c r="AD39" s="2861"/>
      <c r="AE39" s="2861"/>
      <c r="AF39" s="2861"/>
      <c r="AG39" s="2861"/>
      <c r="AH39" s="2861"/>
      <c r="AI39" s="2861"/>
      <c r="AJ39" s="2861"/>
      <c r="AK39" s="2864"/>
      <c r="AL39" s="2864"/>
      <c r="AM39" s="2864"/>
      <c r="AN39" s="2864"/>
      <c r="AO39" s="2864"/>
      <c r="AP39" s="2864"/>
      <c r="AQ39" s="2861"/>
      <c r="AR39" s="2843"/>
      <c r="AS39" s="2843"/>
      <c r="AT39" s="2843"/>
      <c r="AU39" s="2843"/>
      <c r="AV39" s="2843"/>
      <c r="AW39" s="2843"/>
      <c r="AX39" s="2843"/>
      <c r="AY39" s="2842"/>
      <c r="AZ39" s="2841"/>
    </row>
    <row r="40" spans="2:52" ht="13.5" customHeight="1">
      <c r="B40" s="3498"/>
      <c r="C40" s="3498"/>
      <c r="D40" s="3498"/>
      <c r="E40" s="2845" t="s">
        <v>5491</v>
      </c>
      <c r="F40" s="2844"/>
      <c r="G40" s="2843"/>
      <c r="H40" s="2843"/>
      <c r="I40" s="2843"/>
      <c r="J40" s="2843"/>
      <c r="K40" s="2843"/>
      <c r="L40" s="2843"/>
      <c r="M40" s="2843"/>
      <c r="N40" s="2843"/>
      <c r="O40" s="2843"/>
      <c r="P40" s="2843"/>
      <c r="Q40" s="2843"/>
      <c r="R40" s="2864"/>
      <c r="S40" s="2864"/>
      <c r="T40" s="2864"/>
      <c r="U40" s="2864"/>
      <c r="V40" s="2864"/>
      <c r="W40" s="2864"/>
      <c r="X40" s="2861"/>
      <c r="Y40" s="2862"/>
      <c r="Z40" s="2861"/>
      <c r="AA40" s="2861"/>
      <c r="AB40" s="2861"/>
      <c r="AC40" s="2861"/>
      <c r="AD40" s="2861"/>
      <c r="AE40" s="2861"/>
      <c r="AF40" s="2861"/>
      <c r="AG40" s="2861"/>
      <c r="AH40" s="2861"/>
      <c r="AI40" s="2861"/>
      <c r="AJ40" s="2861"/>
      <c r="AK40" s="2861"/>
      <c r="AL40" s="2861"/>
      <c r="AM40" s="2861"/>
      <c r="AN40" s="2861"/>
      <c r="AO40" s="2861"/>
      <c r="AP40" s="2861"/>
      <c r="AQ40" s="2861"/>
      <c r="AR40" s="2843"/>
      <c r="AS40" s="2843"/>
      <c r="AT40" s="2843"/>
      <c r="AU40" s="2843"/>
      <c r="AV40" s="2843"/>
      <c r="AW40" s="2843"/>
      <c r="AX40" s="2843"/>
      <c r="AY40" s="2842"/>
      <c r="AZ40" s="3502"/>
    </row>
    <row r="41" spans="2:52" ht="13.5" customHeight="1">
      <c r="B41" s="3498"/>
      <c r="C41" s="3498"/>
      <c r="D41" s="3498"/>
      <c r="E41" s="2845"/>
      <c r="F41" s="2844"/>
      <c r="G41" s="2843"/>
      <c r="H41" s="2843"/>
      <c r="I41" s="2843"/>
      <c r="J41" s="2843"/>
      <c r="K41" s="2843"/>
      <c r="L41" s="2843"/>
      <c r="M41" s="2843"/>
      <c r="N41" s="2843"/>
      <c r="O41" s="2843"/>
      <c r="P41" s="2843"/>
      <c r="Q41" s="2843"/>
      <c r="R41" s="2861"/>
      <c r="S41" s="2861"/>
      <c r="T41" s="2861"/>
      <c r="U41" s="2861"/>
      <c r="V41" s="2861"/>
      <c r="W41" s="2861"/>
      <c r="X41" s="2861"/>
      <c r="Y41" s="2861"/>
      <c r="Z41" s="2861"/>
      <c r="AA41" s="2861"/>
      <c r="AB41" s="2861"/>
      <c r="AC41" s="2861"/>
      <c r="AD41" s="2861"/>
      <c r="AE41" s="2861"/>
      <c r="AF41" s="2861"/>
      <c r="AG41" s="2861"/>
      <c r="AH41" s="2861"/>
      <c r="AI41" s="2861"/>
      <c r="AJ41" s="2861"/>
      <c r="AK41" s="2861"/>
      <c r="AL41" s="2861"/>
      <c r="AM41" s="2861"/>
      <c r="AN41" s="2861"/>
      <c r="AO41" s="2861"/>
      <c r="AP41" s="2861"/>
      <c r="AQ41" s="2861"/>
      <c r="AR41" s="2843"/>
      <c r="AS41" s="2843"/>
      <c r="AT41" s="2843"/>
      <c r="AU41" s="2843"/>
      <c r="AV41" s="2843"/>
      <c r="AW41" s="2843"/>
      <c r="AX41" s="2843"/>
      <c r="AY41" s="2842"/>
      <c r="AZ41" s="3498"/>
    </row>
    <row r="42" spans="2:52" ht="13.5" customHeight="1">
      <c r="B42" s="3498"/>
      <c r="C42" s="3498"/>
      <c r="D42" s="3498"/>
      <c r="E42" s="2845" t="s">
        <v>5427</v>
      </c>
      <c r="F42" s="2844"/>
      <c r="G42" s="2843"/>
      <c r="H42" s="2843"/>
      <c r="I42" s="2843"/>
      <c r="J42" s="2843"/>
      <c r="K42" s="2843"/>
      <c r="L42" s="2843"/>
      <c r="M42" s="2843"/>
      <c r="N42" s="2843"/>
      <c r="O42" s="2843"/>
      <c r="P42" s="2843"/>
      <c r="Q42" s="2843"/>
      <c r="R42" s="2863"/>
      <c r="S42" s="2863"/>
      <c r="T42" s="2863"/>
      <c r="U42" s="2863"/>
      <c r="V42" s="2863"/>
      <c r="W42" s="2863"/>
      <c r="X42" s="2861"/>
      <c r="Y42" s="2862"/>
      <c r="Z42" s="2861"/>
      <c r="AA42" s="2861"/>
      <c r="AB42" s="2861"/>
      <c r="AC42" s="2861"/>
      <c r="AD42" s="2861"/>
      <c r="AE42" s="2861"/>
      <c r="AF42" s="2861"/>
      <c r="AG42" s="2861"/>
      <c r="AH42" s="2861"/>
      <c r="AI42" s="2861"/>
      <c r="AJ42" s="2861"/>
      <c r="AK42" s="2861"/>
      <c r="AL42" s="2861"/>
      <c r="AM42" s="2861"/>
      <c r="AN42" s="2861"/>
      <c r="AO42" s="2861"/>
      <c r="AP42" s="2861"/>
      <c r="AQ42" s="2861"/>
      <c r="AR42" s="2843"/>
      <c r="AS42" s="2843"/>
      <c r="AT42" s="2843"/>
      <c r="AU42" s="2843"/>
      <c r="AV42" s="2843"/>
      <c r="AW42" s="2843"/>
      <c r="AX42" s="2843"/>
      <c r="AY42" s="2842"/>
      <c r="AZ42" s="2841"/>
    </row>
    <row r="43" spans="2:52" ht="13.5" customHeight="1">
      <c r="B43" s="3503"/>
      <c r="C43" s="3503"/>
      <c r="D43" s="3503"/>
      <c r="E43" s="2840"/>
      <c r="F43" s="2839"/>
      <c r="G43" s="2838"/>
      <c r="H43" s="2838"/>
      <c r="I43" s="2838"/>
      <c r="J43" s="2838"/>
      <c r="K43" s="2838"/>
      <c r="L43" s="2838"/>
      <c r="M43" s="2838"/>
      <c r="N43" s="2838"/>
      <c r="O43" s="2838"/>
      <c r="P43" s="2838"/>
      <c r="Q43" s="2838"/>
      <c r="R43" s="2838"/>
      <c r="S43" s="2838"/>
      <c r="T43" s="2838"/>
      <c r="U43" s="2838"/>
      <c r="V43" s="2838"/>
      <c r="W43" s="2838"/>
      <c r="X43" s="2838"/>
      <c r="Y43" s="2838"/>
      <c r="Z43" s="2838"/>
      <c r="AA43" s="2838"/>
      <c r="AB43" s="2838"/>
      <c r="AC43" s="2838"/>
      <c r="AD43" s="2838"/>
      <c r="AE43" s="2838"/>
      <c r="AF43" s="2838"/>
      <c r="AG43" s="2838"/>
      <c r="AH43" s="2838"/>
      <c r="AI43" s="2838"/>
      <c r="AJ43" s="2838"/>
      <c r="AK43" s="2838"/>
      <c r="AL43" s="2838"/>
      <c r="AM43" s="2838"/>
      <c r="AN43" s="2838"/>
      <c r="AO43" s="2838"/>
      <c r="AP43" s="2838"/>
      <c r="AQ43" s="2838"/>
      <c r="AR43" s="2838"/>
      <c r="AS43" s="2838"/>
      <c r="AT43" s="2838"/>
      <c r="AU43" s="2838"/>
      <c r="AV43" s="2838"/>
      <c r="AW43" s="2838"/>
      <c r="AX43" s="2838"/>
      <c r="AY43" s="2837"/>
      <c r="AZ43" s="2836"/>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2846"/>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2841"/>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2836"/>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2846"/>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2841"/>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2841"/>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2841"/>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2836"/>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2841"/>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2841"/>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2846"/>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2836"/>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2841"/>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2841"/>
    </row>
    <row r="58" spans="2:52" ht="13.5" customHeight="1">
      <c r="B58" s="3498"/>
      <c r="C58" s="3514">
        <v>7</v>
      </c>
      <c r="D58" s="3512" t="s">
        <v>5479</v>
      </c>
      <c r="E58" s="2850"/>
      <c r="F58" s="2849"/>
      <c r="G58" s="2848"/>
      <c r="H58" s="2848"/>
      <c r="I58" s="2848"/>
      <c r="J58" s="2848"/>
      <c r="K58" s="2848"/>
      <c r="L58" s="2848"/>
      <c r="M58" s="2848"/>
      <c r="N58" s="2848"/>
      <c r="O58" s="2848"/>
      <c r="P58" s="2848"/>
      <c r="Q58" s="2848"/>
      <c r="R58" s="2848"/>
      <c r="S58" s="2848"/>
      <c r="T58" s="2848"/>
      <c r="U58" s="2848"/>
      <c r="V58" s="2848"/>
      <c r="W58" s="2848"/>
      <c r="X58" s="2848"/>
      <c r="Y58" s="2848"/>
      <c r="Z58" s="2848"/>
      <c r="AA58" s="2848"/>
      <c r="AB58" s="2848"/>
      <c r="AC58" s="2848"/>
      <c r="AD58" s="2848"/>
      <c r="AE58" s="2848"/>
      <c r="AF58" s="2848"/>
      <c r="AG58" s="2848"/>
      <c r="AH58" s="2848"/>
      <c r="AI58" s="2848"/>
      <c r="AJ58" s="2848"/>
      <c r="AK58" s="2848"/>
      <c r="AL58" s="2848"/>
      <c r="AM58" s="2848"/>
      <c r="AN58" s="2848"/>
      <c r="AO58" s="2848"/>
      <c r="AP58" s="2848"/>
      <c r="AQ58" s="2848"/>
      <c r="AR58" s="2848"/>
      <c r="AS58" s="2848"/>
      <c r="AT58" s="2848"/>
      <c r="AU58" s="2848"/>
      <c r="AV58" s="2848"/>
      <c r="AW58" s="2848"/>
      <c r="AX58" s="2848"/>
      <c r="AY58" s="2847"/>
      <c r="AZ58" s="2846"/>
    </row>
    <row r="59" spans="2:52" ht="13.5" customHeight="1">
      <c r="B59" s="3498"/>
      <c r="C59" s="3498"/>
      <c r="D59" s="3502"/>
      <c r="E59" s="2860" t="s">
        <v>5478</v>
      </c>
      <c r="F59" s="2844"/>
      <c r="G59" s="2844"/>
      <c r="H59" s="2844"/>
      <c r="I59" s="2844"/>
      <c r="J59" s="2844"/>
      <c r="K59" s="2844"/>
      <c r="L59" s="2844"/>
      <c r="M59" s="2844"/>
      <c r="N59" s="2844"/>
      <c r="O59" s="2844"/>
      <c r="P59" s="2844"/>
      <c r="Q59" s="2843"/>
      <c r="R59" s="3519">
        <f>基礎数値!F11</f>
        <v>25903142</v>
      </c>
      <c r="S59" s="3519"/>
      <c r="T59" s="3519"/>
      <c r="U59" s="3519"/>
      <c r="V59" s="3519"/>
      <c r="W59" s="3519"/>
      <c r="X59" s="2843"/>
      <c r="Y59" s="2851" t="s">
        <v>5476</v>
      </c>
      <c r="Z59" s="2843"/>
      <c r="AA59" s="2843"/>
      <c r="AB59" s="2843"/>
      <c r="AC59" s="2843"/>
      <c r="AD59" s="2843"/>
      <c r="AE59" s="2843"/>
      <c r="AF59" s="2843"/>
      <c r="AG59" s="2843"/>
      <c r="AH59" s="2843"/>
      <c r="AI59" s="2844"/>
      <c r="AJ59" s="2843"/>
      <c r="AK59" s="2843"/>
      <c r="AL59" s="2843"/>
      <c r="AM59" s="2843"/>
      <c r="AN59" s="2843"/>
      <c r="AO59" s="2843"/>
      <c r="AP59" s="2843"/>
      <c r="AQ59" s="2843"/>
      <c r="AR59" s="2843"/>
      <c r="AS59" s="2843"/>
      <c r="AT59" s="2843"/>
      <c r="AU59" s="2843"/>
      <c r="AV59" s="2843"/>
      <c r="AW59" s="2843"/>
      <c r="AX59" s="2843"/>
      <c r="AY59" s="2842"/>
      <c r="AZ59" s="2841"/>
    </row>
    <row r="60" spans="2:52" ht="13.5" customHeight="1">
      <c r="B60" s="3498"/>
      <c r="C60" s="3498"/>
      <c r="D60" s="3502"/>
      <c r="E60" s="2860" t="s">
        <v>5477</v>
      </c>
      <c r="F60" s="2843"/>
      <c r="G60" s="2843"/>
      <c r="H60" s="2843"/>
      <c r="I60" s="2843"/>
      <c r="J60" s="2843"/>
      <c r="K60" s="2843"/>
      <c r="L60" s="2843"/>
      <c r="M60" s="2843"/>
      <c r="N60" s="2843"/>
      <c r="O60" s="2843"/>
      <c r="P60" s="2843"/>
      <c r="Q60" s="2843"/>
      <c r="R60" s="3519">
        <f>基礎数値!F12</f>
        <v>125712</v>
      </c>
      <c r="S60" s="3519"/>
      <c r="T60" s="3519"/>
      <c r="U60" s="3519"/>
      <c r="V60" s="3519"/>
      <c r="W60" s="3519"/>
      <c r="X60" s="2843"/>
      <c r="Y60" s="2851" t="s">
        <v>5476</v>
      </c>
      <c r="Z60" s="2843"/>
      <c r="AA60" s="2843"/>
      <c r="AB60" s="2843"/>
      <c r="AC60" s="2843"/>
      <c r="AD60" s="2843"/>
      <c r="AE60" s="2843"/>
      <c r="AF60" s="2843"/>
      <c r="AG60" s="2843"/>
      <c r="AH60" s="2843"/>
      <c r="AI60" s="2843"/>
      <c r="AJ60" s="2843" t="s">
        <v>5447</v>
      </c>
      <c r="AK60" s="3497">
        <f>R59+R60</f>
        <v>26028854</v>
      </c>
      <c r="AL60" s="3497"/>
      <c r="AM60" s="3497"/>
      <c r="AN60" s="3497"/>
      <c r="AO60" s="3497"/>
      <c r="AP60" s="3497"/>
      <c r="AQ60" s="2843" t="s">
        <v>5475</v>
      </c>
      <c r="AR60" s="2843"/>
      <c r="AS60" s="2843"/>
      <c r="AT60" s="2843"/>
      <c r="AU60" s="2843"/>
      <c r="AV60" s="2843"/>
      <c r="AW60" s="2843"/>
      <c r="AX60" s="2843"/>
      <c r="AY60" s="2842"/>
      <c r="AZ60" s="2841"/>
    </row>
    <row r="61" spans="2:52" ht="13.5" customHeight="1">
      <c r="B61" s="3498"/>
      <c r="C61" s="3498"/>
      <c r="D61" s="3502"/>
      <c r="E61" s="2845"/>
      <c r="F61" s="2844"/>
      <c r="G61" s="2843"/>
      <c r="H61" s="2843"/>
      <c r="I61" s="2843"/>
      <c r="J61" s="2843"/>
      <c r="K61" s="2843"/>
      <c r="L61" s="2843"/>
      <c r="M61" s="2843"/>
      <c r="N61" s="2843"/>
      <c r="O61" s="2843"/>
      <c r="P61" s="2843"/>
      <c r="Q61" s="2843"/>
      <c r="R61" s="2843"/>
      <c r="S61" s="2843"/>
      <c r="T61" s="2843"/>
      <c r="U61" s="2843"/>
      <c r="V61" s="2843"/>
      <c r="W61" s="2843"/>
      <c r="X61" s="2843"/>
      <c r="Y61" s="2843"/>
      <c r="Z61" s="2843"/>
      <c r="AA61" s="2843"/>
      <c r="AB61" s="2843"/>
      <c r="AC61" s="2843"/>
      <c r="AD61" s="2843"/>
      <c r="AE61" s="2843"/>
      <c r="AF61" s="2843"/>
      <c r="AG61" s="2843"/>
      <c r="AH61" s="2843"/>
      <c r="AI61" s="2843"/>
      <c r="AJ61" s="2843"/>
      <c r="AK61" s="2843"/>
      <c r="AL61" s="2843"/>
      <c r="AM61" s="2843"/>
      <c r="AN61" s="2843"/>
      <c r="AO61" s="2843"/>
      <c r="AP61" s="2843"/>
      <c r="AQ61" s="2843"/>
      <c r="AR61" s="2843"/>
      <c r="AS61" s="2843"/>
      <c r="AT61" s="2843"/>
      <c r="AU61" s="2843"/>
      <c r="AV61" s="2843"/>
      <c r="AW61" s="2843"/>
      <c r="AX61" s="2843"/>
      <c r="AY61" s="2842"/>
      <c r="AZ61" s="2841"/>
    </row>
    <row r="62" spans="2:52" ht="13.5" customHeight="1">
      <c r="B62" s="3498"/>
      <c r="C62" s="3498"/>
      <c r="D62" s="3502"/>
      <c r="E62" s="3345"/>
      <c r="F62" s="2844"/>
      <c r="G62" s="3342"/>
      <c r="H62" s="3342"/>
      <c r="I62" s="3342"/>
      <c r="J62" s="3342"/>
      <c r="K62" s="3342"/>
      <c r="L62" s="3342"/>
      <c r="M62" s="3342"/>
      <c r="N62" s="3342"/>
      <c r="O62" s="3342"/>
      <c r="P62" s="3342"/>
      <c r="Q62" s="3342"/>
      <c r="R62" s="3342"/>
      <c r="S62" s="3342"/>
      <c r="T62" s="3342"/>
      <c r="U62" s="3342"/>
      <c r="V62" s="3342"/>
      <c r="W62" s="3342"/>
      <c r="X62" s="3342"/>
      <c r="Y62" s="3342"/>
      <c r="Z62" s="3342"/>
      <c r="AA62" s="3342"/>
      <c r="AB62" s="3342"/>
      <c r="AC62" s="3342"/>
      <c r="AD62" s="3342"/>
      <c r="AE62" s="3342"/>
      <c r="AF62" s="3342"/>
      <c r="AG62" s="3342"/>
      <c r="AH62" s="3342"/>
      <c r="AI62" s="3342"/>
      <c r="AJ62" s="3342"/>
      <c r="AK62" s="3342"/>
      <c r="AL62" s="3342"/>
      <c r="AM62" s="3342"/>
      <c r="AN62" s="3342"/>
      <c r="AO62" s="3342"/>
      <c r="AP62" s="3342"/>
      <c r="AQ62" s="3342"/>
      <c r="AR62" s="3342"/>
      <c r="AS62" s="3342"/>
      <c r="AT62" s="3342"/>
      <c r="AU62" s="3342"/>
      <c r="AV62" s="3342"/>
      <c r="AW62" s="3342"/>
      <c r="AX62" s="3342"/>
      <c r="AY62" s="3344"/>
      <c r="AZ62" s="3341"/>
    </row>
    <row r="63" spans="2:52" ht="13.5" customHeight="1">
      <c r="B63" s="3498"/>
      <c r="C63" s="3498"/>
      <c r="D63" s="3502"/>
      <c r="E63" s="3345"/>
      <c r="F63" s="2844"/>
      <c r="G63" s="3342"/>
      <c r="H63" s="3342"/>
      <c r="I63" s="3342"/>
      <c r="J63" s="3342"/>
      <c r="K63" s="3342"/>
      <c r="L63" s="3342"/>
      <c r="M63" s="3342"/>
      <c r="N63" s="3342"/>
      <c r="O63" s="3342"/>
      <c r="P63" s="3342"/>
      <c r="Q63" s="3342"/>
      <c r="R63" s="3342"/>
      <c r="S63" s="3342"/>
      <c r="T63" s="3342"/>
      <c r="U63" s="3342"/>
      <c r="V63" s="3342"/>
      <c r="W63" s="3342"/>
      <c r="X63" s="3342"/>
      <c r="Y63" s="3342"/>
      <c r="Z63" s="3342"/>
      <c r="AA63" s="3342"/>
      <c r="AB63" s="3342"/>
      <c r="AC63" s="3342"/>
      <c r="AD63" s="3342"/>
      <c r="AE63" s="3342"/>
      <c r="AF63" s="3342"/>
      <c r="AG63" s="3342"/>
      <c r="AH63" s="3342"/>
      <c r="AI63" s="3342"/>
      <c r="AJ63" s="3342"/>
      <c r="AK63" s="3342"/>
      <c r="AL63" s="3342"/>
      <c r="AM63" s="3342"/>
      <c r="AN63" s="3342"/>
      <c r="AO63" s="3342"/>
      <c r="AP63" s="3342"/>
      <c r="AQ63" s="3342"/>
      <c r="AR63" s="3342"/>
      <c r="AS63" s="3342"/>
      <c r="AT63" s="3342"/>
      <c r="AU63" s="3342"/>
      <c r="AV63" s="3342"/>
      <c r="AW63" s="3342"/>
      <c r="AX63" s="3342"/>
      <c r="AY63" s="3344"/>
      <c r="AZ63" s="3341"/>
    </row>
    <row r="64" spans="2:52" ht="13.5" customHeight="1">
      <c r="B64" s="3498"/>
      <c r="C64" s="3498"/>
      <c r="D64" s="3502"/>
      <c r="E64" s="2860" t="s">
        <v>5474</v>
      </c>
      <c r="F64" s="2844"/>
      <c r="G64" s="2843"/>
      <c r="H64" s="2843"/>
      <c r="I64" s="2843"/>
      <c r="J64" s="2843"/>
      <c r="K64" s="2843"/>
      <c r="L64" s="2843"/>
      <c r="M64" s="2843"/>
      <c r="N64" s="2843"/>
      <c r="O64" s="2843"/>
      <c r="P64" s="2843"/>
      <c r="Q64" s="2843"/>
      <c r="R64" s="2843"/>
      <c r="S64" s="2843"/>
      <c r="T64" s="2843"/>
      <c r="U64" s="2843"/>
      <c r="V64" s="2843"/>
      <c r="W64" s="2843"/>
      <c r="X64" s="2843"/>
      <c r="Y64" s="2843"/>
      <c r="Z64" s="2843"/>
      <c r="AA64" s="2843"/>
      <c r="AB64" s="2843"/>
      <c r="AC64" s="2843"/>
      <c r="AD64" s="2843"/>
      <c r="AE64" s="2843"/>
      <c r="AF64" s="2843"/>
      <c r="AG64" s="2843"/>
      <c r="AH64" s="2843"/>
      <c r="AI64" s="2843"/>
      <c r="AJ64" s="2843"/>
      <c r="AK64" s="2843"/>
      <c r="AL64" s="2843"/>
      <c r="AM64" s="2843"/>
      <c r="AN64" s="2843"/>
      <c r="AO64" s="2843"/>
      <c r="AP64" s="2843"/>
      <c r="AQ64" s="2843"/>
      <c r="AR64" s="2843"/>
      <c r="AS64" s="2843"/>
      <c r="AT64" s="2843"/>
      <c r="AU64" s="2843"/>
      <c r="AV64" s="2843"/>
      <c r="AW64" s="2843"/>
      <c r="AX64" s="2843"/>
      <c r="AY64" s="2842"/>
      <c r="AZ64" s="2841"/>
    </row>
    <row r="65" spans="2:52" ht="13.5" customHeight="1">
      <c r="B65" s="3498"/>
      <c r="C65" s="3498"/>
      <c r="D65" s="3502"/>
      <c r="E65" s="2845"/>
      <c r="F65" s="2844"/>
      <c r="G65" s="2843"/>
      <c r="H65" s="2844" t="s">
        <v>5473</v>
      </c>
      <c r="I65" s="2843"/>
      <c r="J65" s="2843"/>
      <c r="K65" s="2843"/>
      <c r="L65" s="2843"/>
      <c r="M65" s="2843"/>
      <c r="N65" s="2843"/>
      <c r="O65" s="2843"/>
      <c r="P65" s="2843"/>
      <c r="Q65" s="2843"/>
      <c r="R65" s="3519">
        <f>基礎数値!F14</f>
        <v>24706340</v>
      </c>
      <c r="S65" s="3519"/>
      <c r="T65" s="3519"/>
      <c r="U65" s="3519"/>
      <c r="V65" s="3519"/>
      <c r="W65" s="3519"/>
      <c r="X65" s="2843" t="s">
        <v>5472</v>
      </c>
      <c r="Y65" s="2851" t="s">
        <v>5471</v>
      </c>
      <c r="Z65" s="2843"/>
      <c r="AA65" s="2843"/>
      <c r="AB65" s="2843"/>
      <c r="AC65" s="2843"/>
      <c r="AD65" s="2843"/>
      <c r="AE65" s="2843"/>
      <c r="AF65" s="2843"/>
      <c r="AG65" s="2843"/>
      <c r="AH65" s="2843"/>
      <c r="AI65" s="2843"/>
      <c r="AJ65" s="2843"/>
      <c r="AK65" s="2843"/>
      <c r="AL65" s="2843"/>
      <c r="AM65" s="2843"/>
      <c r="AN65" s="2843"/>
      <c r="AO65" s="2843"/>
      <c r="AP65" s="2843"/>
      <c r="AQ65" s="2843"/>
      <c r="AR65" s="2843"/>
      <c r="AS65" s="2843"/>
      <c r="AT65" s="2843"/>
      <c r="AU65" s="2843"/>
      <c r="AV65" s="2843"/>
      <c r="AW65" s="2843"/>
      <c r="AX65" s="2843"/>
      <c r="AY65" s="2842"/>
      <c r="AZ65" s="2841"/>
    </row>
    <row r="66" spans="2:52" ht="13.5" customHeight="1">
      <c r="B66" s="3498"/>
      <c r="C66" s="3498"/>
      <c r="D66" s="3502"/>
      <c r="E66" s="2845"/>
      <c r="F66" s="2844"/>
      <c r="G66" s="2843"/>
      <c r="H66" s="2844" t="s">
        <v>5470</v>
      </c>
      <c r="I66" s="2843"/>
      <c r="J66" s="2843"/>
      <c r="K66" s="2843"/>
      <c r="L66" s="2843"/>
      <c r="M66" s="2843"/>
      <c r="N66" s="2843"/>
      <c r="O66" s="2843"/>
      <c r="P66" s="2843"/>
      <c r="Q66" s="2843"/>
      <c r="R66" s="3527">
        <f>R24</f>
        <v>0</v>
      </c>
      <c r="S66" s="3527"/>
      <c r="T66" s="3527"/>
      <c r="U66" s="3527"/>
      <c r="V66" s="3527"/>
      <c r="W66" s="3527"/>
      <c r="X66" s="2843"/>
      <c r="Y66" s="2851" t="s">
        <v>5469</v>
      </c>
      <c r="Z66" s="2843"/>
      <c r="AA66" s="2843"/>
      <c r="AB66" s="2843"/>
      <c r="AC66" s="2843"/>
      <c r="AD66" s="2843"/>
      <c r="AE66" s="2843"/>
      <c r="AF66" s="2843"/>
      <c r="AG66" s="2843"/>
      <c r="AH66" s="2843"/>
      <c r="AI66" s="2843"/>
      <c r="AJ66" s="2843"/>
      <c r="AK66" s="2843"/>
      <c r="AL66" s="2843"/>
      <c r="AM66" s="2843"/>
      <c r="AN66" s="2843"/>
      <c r="AO66" s="2843"/>
      <c r="AP66" s="2843"/>
      <c r="AQ66" s="2843"/>
      <c r="AR66" s="2843"/>
      <c r="AS66" s="2843"/>
      <c r="AT66" s="2843"/>
      <c r="AU66" s="2843"/>
      <c r="AV66" s="2843"/>
      <c r="AW66" s="2843"/>
      <c r="AX66" s="2843"/>
      <c r="AY66" s="2842"/>
      <c r="AZ66" s="2841"/>
    </row>
    <row r="67" spans="2:52" ht="13.5" customHeight="1" thickBot="1">
      <c r="B67" s="3498"/>
      <c r="C67" s="3498"/>
      <c r="D67" s="3502"/>
      <c r="E67" s="2845"/>
      <c r="F67" s="2844"/>
      <c r="G67" s="2843"/>
      <c r="H67" s="2843"/>
      <c r="I67" s="2843"/>
      <c r="J67" s="2843"/>
      <c r="K67" s="2843"/>
      <c r="L67" s="2843"/>
      <c r="M67" s="2843"/>
      <c r="N67" s="2843"/>
      <c r="O67" s="2843"/>
      <c r="P67" s="2843"/>
      <c r="Q67" s="2843"/>
      <c r="R67" s="2843"/>
      <c r="S67" s="2843"/>
      <c r="T67" s="2843"/>
      <c r="U67" s="2843"/>
      <c r="V67" s="2843"/>
      <c r="W67" s="2843"/>
      <c r="X67" s="2843"/>
      <c r="Y67" s="2843"/>
      <c r="Z67" s="2843"/>
      <c r="AA67" s="2843"/>
      <c r="AB67" s="2843"/>
      <c r="AC67" s="2843"/>
      <c r="AD67" s="2843"/>
      <c r="AE67" s="2843"/>
      <c r="AF67" s="2843"/>
      <c r="AG67" s="2843"/>
      <c r="AH67" s="2843"/>
      <c r="AI67" s="2843"/>
      <c r="AJ67" s="2843"/>
      <c r="AK67" s="2843"/>
      <c r="AL67" s="2843"/>
      <c r="AM67" s="2843"/>
      <c r="AN67" s="2843"/>
      <c r="AO67" s="2843"/>
      <c r="AP67" s="2843"/>
      <c r="AQ67" s="2843"/>
      <c r="AR67" s="2843"/>
      <c r="AS67" s="2843"/>
      <c r="AT67" s="2843"/>
      <c r="AU67" s="2843"/>
      <c r="AV67" s="2843"/>
      <c r="AW67" s="2843"/>
      <c r="AX67" s="2843"/>
      <c r="AY67" s="2842"/>
      <c r="AZ67" s="2841"/>
    </row>
    <row r="68" spans="2:52" ht="13.5" customHeight="1" thickTop="1" thickBot="1">
      <c r="B68" s="3498"/>
      <c r="C68" s="3498"/>
      <c r="D68" s="3502"/>
      <c r="E68" s="2860" t="s">
        <v>5468</v>
      </c>
      <c r="F68" s="2844"/>
      <c r="G68" s="2843"/>
      <c r="H68" s="2843"/>
      <c r="I68" s="2843"/>
      <c r="J68" s="2843"/>
      <c r="K68" s="2843"/>
      <c r="L68" s="2843"/>
      <c r="M68" s="2843"/>
      <c r="N68" s="2843"/>
      <c r="O68" s="2843"/>
      <c r="P68" s="2843"/>
      <c r="Q68" s="2843"/>
      <c r="R68" s="2843"/>
      <c r="S68" s="2843"/>
      <c r="T68" s="3507">
        <f>AK60-R65-R66</f>
        <v>1322514</v>
      </c>
      <c r="U68" s="3508"/>
      <c r="V68" s="3508"/>
      <c r="W68" s="3508"/>
      <c r="X68" s="3508"/>
      <c r="Y68" s="3509"/>
      <c r="Z68" s="2843"/>
      <c r="AA68" s="2851" t="s">
        <v>5467</v>
      </c>
      <c r="AB68" s="2843"/>
      <c r="AC68" s="2843"/>
      <c r="AD68" s="2843"/>
      <c r="AE68" s="2843"/>
      <c r="AF68" s="2843"/>
      <c r="AG68" s="2843"/>
      <c r="AH68" s="2843"/>
      <c r="AI68" s="2843"/>
      <c r="AJ68" s="2843"/>
      <c r="AK68" s="2843"/>
      <c r="AL68" s="2843"/>
      <c r="AM68" s="2843"/>
      <c r="AN68" s="2843"/>
      <c r="AO68" s="2843"/>
      <c r="AP68" s="2843"/>
      <c r="AQ68" s="2843"/>
      <c r="AR68" s="2843"/>
      <c r="AS68" s="2843"/>
      <c r="AT68" s="2843"/>
      <c r="AU68" s="2843"/>
      <c r="AV68" s="2843"/>
      <c r="AW68" s="2843"/>
      <c r="AX68" s="2843"/>
      <c r="AY68" s="2842"/>
      <c r="AZ68" s="3319" t="s">
        <v>6189</v>
      </c>
    </row>
    <row r="69" spans="2:52" ht="13.5" customHeight="1" thickTop="1" thickBot="1">
      <c r="B69" s="3498"/>
      <c r="C69" s="3498"/>
      <c r="D69" s="3502"/>
      <c r="E69" s="2845"/>
      <c r="F69" s="2844"/>
      <c r="G69" s="2843"/>
      <c r="H69" s="2843"/>
      <c r="I69" s="2843"/>
      <c r="J69" s="2843"/>
      <c r="K69" s="2843"/>
      <c r="L69" s="2843"/>
      <c r="M69" s="2843"/>
      <c r="N69" s="2843"/>
      <c r="O69" s="2843"/>
      <c r="P69" s="2843"/>
      <c r="Q69" s="2843"/>
      <c r="R69" s="2843"/>
      <c r="S69" s="2843"/>
      <c r="T69" s="2843"/>
      <c r="U69" s="2843"/>
      <c r="V69" s="2843"/>
      <c r="W69" s="2843"/>
      <c r="X69" s="2843"/>
      <c r="Y69" s="2843"/>
      <c r="Z69" s="2843"/>
      <c r="AA69" s="2843"/>
      <c r="AB69" s="2843"/>
      <c r="AC69" s="2843"/>
      <c r="AD69" s="2843"/>
      <c r="AE69" s="2843"/>
      <c r="AF69" s="2843"/>
      <c r="AG69" s="2843"/>
      <c r="AH69" s="2843"/>
      <c r="AI69" s="2843"/>
      <c r="AJ69" s="2843"/>
      <c r="AK69" s="2843"/>
      <c r="AL69" s="2843"/>
      <c r="AM69" s="2843"/>
      <c r="AN69" s="2843"/>
      <c r="AO69" s="2843"/>
      <c r="AP69" s="2843"/>
      <c r="AQ69" s="2843"/>
      <c r="AR69" s="2843"/>
      <c r="AS69" s="2843"/>
      <c r="AT69" s="2843"/>
      <c r="AU69" s="2843"/>
      <c r="AV69" s="2843"/>
      <c r="AW69" s="2843"/>
      <c r="AX69" s="2843"/>
      <c r="AY69" s="2842"/>
      <c r="AZ69" s="3319"/>
    </row>
    <row r="70" spans="2:52" ht="13.5" customHeight="1" thickTop="1" thickBot="1">
      <c r="B70" s="3498"/>
      <c r="C70" s="3498"/>
      <c r="D70" s="3502"/>
      <c r="E70" s="2860" t="s">
        <v>5465</v>
      </c>
      <c r="F70" s="2844"/>
      <c r="G70" s="2843"/>
      <c r="H70" s="2843"/>
      <c r="I70" s="2843"/>
      <c r="J70" s="2843"/>
      <c r="K70" s="2843"/>
      <c r="L70" s="2843"/>
      <c r="M70" s="2843"/>
      <c r="N70" s="2843"/>
      <c r="O70" s="2843"/>
      <c r="P70" s="2843"/>
      <c r="Q70" s="2843"/>
      <c r="R70" s="2843"/>
      <c r="S70" s="2843"/>
      <c r="T70" s="3507">
        <f>ROUNDDOWN((AK60-R65-R66)*63/1080,0)</f>
        <v>77146</v>
      </c>
      <c r="U70" s="3508"/>
      <c r="V70" s="3508"/>
      <c r="W70" s="3508"/>
      <c r="X70" s="3508"/>
      <c r="Y70" s="3509"/>
      <c r="Z70" s="2843" t="s">
        <v>5464</v>
      </c>
      <c r="AA70" s="3315" t="s">
        <v>6165</v>
      </c>
      <c r="AB70" s="2843"/>
      <c r="AC70" s="2843"/>
      <c r="AD70" s="2843"/>
      <c r="AE70" s="2843"/>
      <c r="AF70" s="2843"/>
      <c r="AG70" s="2843"/>
      <c r="AH70" s="2843"/>
      <c r="AI70" s="2843"/>
      <c r="AJ70" s="2843"/>
      <c r="AK70" s="2843"/>
      <c r="AL70" s="2843"/>
      <c r="AM70" s="2843"/>
      <c r="AN70" s="2843"/>
      <c r="AO70" s="2843"/>
      <c r="AP70" s="2843"/>
      <c r="AQ70" s="2843"/>
      <c r="AR70" s="2843"/>
      <c r="AS70" s="2843"/>
      <c r="AT70" s="2843"/>
      <c r="AU70" s="2843"/>
      <c r="AV70" s="2843"/>
      <c r="AW70" s="2843"/>
      <c r="AX70" s="2843"/>
      <c r="AY70" s="2842"/>
      <c r="AZ70" s="3319" t="s">
        <v>6190</v>
      </c>
    </row>
    <row r="71" spans="2:52" ht="13.5" customHeight="1" thickTop="1">
      <c r="B71" s="3503"/>
      <c r="C71" s="3503"/>
      <c r="D71" s="3513"/>
      <c r="E71" s="2840"/>
      <c r="F71" s="2839"/>
      <c r="G71" s="2838"/>
      <c r="H71" s="2838"/>
      <c r="I71" s="2838"/>
      <c r="J71" s="2838"/>
      <c r="K71" s="2838"/>
      <c r="L71" s="2838"/>
      <c r="M71" s="2838"/>
      <c r="N71" s="2838"/>
      <c r="O71" s="2838"/>
      <c r="P71" s="2838"/>
      <c r="Q71" s="2838"/>
      <c r="R71" s="2838"/>
      <c r="S71" s="2838"/>
      <c r="T71" s="2838"/>
      <c r="U71" s="2838"/>
      <c r="V71" s="2838"/>
      <c r="W71" s="2838"/>
      <c r="X71" s="2838"/>
      <c r="Y71" s="2838"/>
      <c r="Z71" s="2838"/>
      <c r="AA71" s="2838"/>
      <c r="AB71" s="2838"/>
      <c r="AC71" s="2838"/>
      <c r="AD71" s="2838"/>
      <c r="AE71" s="2838"/>
      <c r="AF71" s="2838"/>
      <c r="AG71" s="2838"/>
      <c r="AH71" s="2838"/>
      <c r="AI71" s="2838"/>
      <c r="AJ71" s="2838"/>
      <c r="AK71" s="2838"/>
      <c r="AL71" s="2838"/>
      <c r="AM71" s="2838"/>
      <c r="AN71" s="2838"/>
      <c r="AO71" s="2838"/>
      <c r="AP71" s="2838"/>
      <c r="AQ71" s="2838"/>
      <c r="AR71" s="2838"/>
      <c r="AS71" s="2838"/>
      <c r="AT71" s="2838"/>
      <c r="AU71" s="2838"/>
      <c r="AV71" s="2838"/>
      <c r="AW71" s="2838"/>
      <c r="AX71" s="2838"/>
      <c r="AY71" s="2837"/>
      <c r="AZ71" s="2836"/>
    </row>
    <row r="72" spans="2:52"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2846"/>
    </row>
    <row r="73" spans="2:52"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2841"/>
    </row>
    <row r="74" spans="2:52"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2841"/>
    </row>
    <row r="75" spans="2:52"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2841"/>
    </row>
    <row r="76" spans="2:52"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2841"/>
    </row>
    <row r="77" spans="2:52"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2841"/>
    </row>
    <row r="78" spans="2:52"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2841"/>
    </row>
    <row r="79" spans="2:52"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2841"/>
    </row>
    <row r="80" spans="2:52"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2841"/>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2841"/>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2841"/>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2841"/>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2841"/>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2841"/>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2836"/>
    </row>
    <row r="87" spans="2:52" ht="13.5" customHeight="1">
      <c r="B87" s="3512" t="s">
        <v>5452</v>
      </c>
      <c r="C87" s="3516">
        <v>1</v>
      </c>
      <c r="D87" s="3512" t="s">
        <v>5451</v>
      </c>
      <c r="E87" s="2850"/>
      <c r="F87" s="2849"/>
      <c r="G87" s="2848"/>
      <c r="H87" s="2848"/>
      <c r="I87" s="2848"/>
      <c r="J87" s="2848"/>
      <c r="K87" s="2848"/>
      <c r="L87" s="2848"/>
      <c r="M87" s="2848"/>
      <c r="N87" s="2848"/>
      <c r="O87" s="2848"/>
      <c r="P87" s="2848"/>
      <c r="Q87" s="2848"/>
      <c r="R87" s="2848"/>
      <c r="S87" s="2848"/>
      <c r="T87" s="2848"/>
      <c r="U87" s="2848"/>
      <c r="V87" s="2848"/>
      <c r="W87" s="2848"/>
      <c r="X87" s="2848"/>
      <c r="Y87" s="2848"/>
      <c r="Z87" s="2848"/>
      <c r="AA87" s="2848"/>
      <c r="AB87" s="2848"/>
      <c r="AC87" s="2848"/>
      <c r="AD87" s="2848"/>
      <c r="AE87" s="2848"/>
      <c r="AF87" s="2848"/>
      <c r="AG87" s="2848"/>
      <c r="AH87" s="2848"/>
      <c r="AI87" s="2848"/>
      <c r="AJ87" s="2848"/>
      <c r="AK87" s="2848"/>
      <c r="AL87" s="2848"/>
      <c r="AM87" s="2848"/>
      <c r="AN87" s="2848"/>
      <c r="AO87" s="2848"/>
      <c r="AP87" s="2848"/>
      <c r="AQ87" s="2848"/>
      <c r="AR87" s="2848"/>
      <c r="AS87" s="2848"/>
      <c r="AT87" s="2848"/>
      <c r="AU87" s="2848"/>
      <c r="AV87" s="2848"/>
      <c r="AW87" s="2848"/>
      <c r="AX87" s="2848"/>
      <c r="AY87" s="2847"/>
      <c r="AZ87" s="3494"/>
    </row>
    <row r="88" spans="2:52" ht="13.5" customHeight="1">
      <c r="B88" s="3502"/>
      <c r="C88" s="3517"/>
      <c r="D88" s="3502"/>
      <c r="E88" s="2860" t="s">
        <v>5450</v>
      </c>
      <c r="F88" s="2844"/>
      <c r="G88" s="2844"/>
      <c r="H88" s="2844"/>
      <c r="I88" s="2844"/>
      <c r="J88" s="2844"/>
      <c r="K88" s="2844"/>
      <c r="L88" s="2844"/>
      <c r="M88" s="2844"/>
      <c r="N88" s="2844"/>
      <c r="O88" s="2844"/>
      <c r="P88" s="3519">
        <f>基礎数値!F18</f>
        <v>455392</v>
      </c>
      <c r="Q88" s="3519"/>
      <c r="R88" s="3519"/>
      <c r="S88" s="3519"/>
      <c r="T88" s="3519"/>
      <c r="U88" s="3519"/>
      <c r="V88" s="2843"/>
      <c r="W88" s="2851" t="s">
        <v>5448</v>
      </c>
      <c r="X88" s="2843"/>
      <c r="Y88" s="2843"/>
      <c r="Z88" s="2843"/>
      <c r="AA88" s="2843"/>
      <c r="AB88" s="2843"/>
      <c r="AC88" s="2843"/>
      <c r="AD88" s="2843"/>
      <c r="AE88" s="2843"/>
      <c r="AF88" s="2843"/>
      <c r="AG88" s="2843"/>
      <c r="AH88" s="2843"/>
      <c r="AI88" s="2844"/>
      <c r="AJ88" s="2843"/>
      <c r="AK88" s="2843"/>
      <c r="AL88" s="2843"/>
      <c r="AM88" s="2843"/>
      <c r="AN88" s="2843"/>
      <c r="AO88" s="2843"/>
      <c r="AP88" s="2843"/>
      <c r="AQ88" s="2843"/>
      <c r="AR88" s="2843"/>
      <c r="AS88" s="2843"/>
      <c r="AT88" s="2843"/>
      <c r="AU88" s="2843"/>
      <c r="AV88" s="2843"/>
      <c r="AW88" s="2843"/>
      <c r="AX88" s="2843"/>
      <c r="AY88" s="2842"/>
      <c r="AZ88" s="3495"/>
    </row>
    <row r="89" spans="2:52" ht="13.5" customHeight="1">
      <c r="B89" s="3502"/>
      <c r="C89" s="3517"/>
      <c r="D89" s="3502"/>
      <c r="E89" s="2860" t="s">
        <v>5449</v>
      </c>
      <c r="F89" s="2843"/>
      <c r="G89" s="2843"/>
      <c r="H89" s="2843"/>
      <c r="I89" s="2843"/>
      <c r="J89" s="2843"/>
      <c r="K89" s="2843"/>
      <c r="L89" s="2843"/>
      <c r="M89" s="2843"/>
      <c r="N89" s="2843"/>
      <c r="O89" s="2843"/>
      <c r="P89" s="3519">
        <f>基礎数値!F19</f>
        <v>1246904</v>
      </c>
      <c r="Q89" s="3519"/>
      <c r="R89" s="3519"/>
      <c r="S89" s="3519"/>
      <c r="T89" s="3519"/>
      <c r="U89" s="3519"/>
      <c r="V89" s="2843"/>
      <c r="W89" s="2851" t="s">
        <v>5448</v>
      </c>
      <c r="X89" s="2843"/>
      <c r="Y89" s="2843"/>
      <c r="Z89" s="2843"/>
      <c r="AA89" s="2843"/>
      <c r="AB89" s="2843"/>
      <c r="AC89" s="2843"/>
      <c r="AD89" s="2843"/>
      <c r="AE89" s="2843"/>
      <c r="AF89" s="2843"/>
      <c r="AG89" s="2843"/>
      <c r="AH89" s="2843"/>
      <c r="AI89" s="2843"/>
      <c r="AJ89" s="2843"/>
      <c r="AK89" s="2843"/>
      <c r="AL89" s="2843"/>
      <c r="AM89" s="2843"/>
      <c r="AN89" s="2843"/>
      <c r="AO89" s="2843"/>
      <c r="AP89" s="2843"/>
      <c r="AQ89" s="2843"/>
      <c r="AR89" s="2843" t="s">
        <v>5447</v>
      </c>
      <c r="AS89" s="3497">
        <f>P88+P89</f>
        <v>1702296</v>
      </c>
      <c r="AT89" s="3497"/>
      <c r="AU89" s="3497"/>
      <c r="AV89" s="3497"/>
      <c r="AW89" s="3497"/>
      <c r="AX89" s="3497"/>
      <c r="AY89" s="2842" t="s">
        <v>5565</v>
      </c>
      <c r="AZ89" s="3495"/>
    </row>
    <row r="90" spans="2:52" ht="13.5" customHeight="1">
      <c r="B90" s="3502"/>
      <c r="C90" s="3517"/>
      <c r="D90" s="3502"/>
      <c r="E90" s="2845"/>
      <c r="F90" s="2844"/>
      <c r="G90" s="2843"/>
      <c r="H90" s="2843"/>
      <c r="I90" s="2843"/>
      <c r="J90" s="2843"/>
      <c r="K90" s="2843"/>
      <c r="L90" s="2843"/>
      <c r="M90" s="2843"/>
      <c r="N90" s="2843"/>
      <c r="O90" s="2843"/>
      <c r="P90" s="2843"/>
      <c r="Q90" s="2843"/>
      <c r="R90" s="2843"/>
      <c r="S90" s="2843"/>
      <c r="T90" s="2843"/>
      <c r="U90" s="2843"/>
      <c r="V90" s="2843"/>
      <c r="W90" s="2843"/>
      <c r="X90" s="2843"/>
      <c r="Y90" s="2843"/>
      <c r="Z90" s="2843"/>
      <c r="AA90" s="2843"/>
      <c r="AB90" s="2843"/>
      <c r="AC90" s="2843"/>
      <c r="AD90" s="2843"/>
      <c r="AE90" s="2843"/>
      <c r="AF90" s="2843"/>
      <c r="AG90" s="2843"/>
      <c r="AH90" s="2843"/>
      <c r="AI90" s="2843"/>
      <c r="AJ90" s="2843"/>
      <c r="AK90" s="2843"/>
      <c r="AL90" s="2843"/>
      <c r="AM90" s="2843"/>
      <c r="AN90" s="2843"/>
      <c r="AO90" s="2843"/>
      <c r="AP90" s="2843"/>
      <c r="AQ90" s="2843"/>
      <c r="AR90" s="2843"/>
      <c r="AS90" s="2843"/>
      <c r="AT90" s="2843"/>
      <c r="AU90" s="2843"/>
      <c r="AV90" s="2843"/>
      <c r="AW90" s="2843"/>
      <c r="AX90" s="2843"/>
      <c r="AY90" s="2842"/>
      <c r="AZ90" s="3495"/>
    </row>
    <row r="91" spans="2:52" ht="13.5" customHeight="1">
      <c r="B91" s="3502"/>
      <c r="C91" s="3517"/>
      <c r="D91" s="3502"/>
      <c r="E91" s="2845" t="s">
        <v>5445</v>
      </c>
      <c r="F91" s="2844"/>
      <c r="G91" s="2843"/>
      <c r="H91" s="2843"/>
      <c r="I91" s="2843"/>
      <c r="J91" s="2843"/>
      <c r="K91" s="2843"/>
      <c r="L91" s="2843"/>
      <c r="M91" s="2843"/>
      <c r="N91" s="2843"/>
      <c r="O91" s="2843"/>
      <c r="P91" s="3497">
        <f>ROUNDDOWN(AK21*100/108,0)</f>
        <v>43567</v>
      </c>
      <c r="Q91" s="3497"/>
      <c r="R91" s="3497"/>
      <c r="S91" s="3497"/>
      <c r="T91" s="3497"/>
      <c r="U91" s="3497"/>
      <c r="V91" s="2843"/>
      <c r="W91" s="2851" t="s">
        <v>5573</v>
      </c>
      <c r="X91" s="2843"/>
      <c r="Y91" s="2843"/>
      <c r="Z91" s="2843"/>
      <c r="AA91" s="2843"/>
      <c r="AB91" s="2843"/>
      <c r="AC91" s="2843"/>
      <c r="AD91" s="2843"/>
      <c r="AE91" s="2843"/>
      <c r="AF91" s="2843"/>
      <c r="AG91" s="2843"/>
      <c r="AH91" s="2843"/>
      <c r="AI91" s="2843"/>
      <c r="AJ91" s="2843"/>
      <c r="AK91" s="2843"/>
      <c r="AL91" s="2843"/>
      <c r="AM91" s="2843"/>
      <c r="AN91" s="2843"/>
      <c r="AO91" s="2843"/>
      <c r="AP91" s="2843"/>
      <c r="AQ91" s="2843"/>
      <c r="AR91" s="2843"/>
      <c r="AS91" s="2843"/>
      <c r="AT91" s="2843"/>
      <c r="AU91" s="2843"/>
      <c r="AV91" s="2843"/>
      <c r="AW91" s="2843"/>
      <c r="AX91" s="2843"/>
      <c r="AY91" s="2842"/>
      <c r="AZ91" s="3495"/>
    </row>
    <row r="92" spans="2:52" ht="13.5" customHeight="1">
      <c r="B92" s="3502"/>
      <c r="C92" s="3517"/>
      <c r="D92" s="3502"/>
      <c r="E92" s="2845" t="s">
        <v>5563</v>
      </c>
      <c r="F92" s="2844"/>
      <c r="G92" s="2843"/>
      <c r="H92" s="2843"/>
      <c r="I92" s="2843"/>
      <c r="J92" s="2843"/>
      <c r="K92" s="2843"/>
      <c r="L92" s="2843"/>
      <c r="M92" s="2843"/>
      <c r="N92" s="2843"/>
      <c r="O92" s="2843"/>
      <c r="P92" s="3497"/>
      <c r="Q92" s="3497"/>
      <c r="R92" s="3497"/>
      <c r="S92" s="3497"/>
      <c r="T92" s="3497"/>
      <c r="U92" s="3497"/>
      <c r="V92" s="2843"/>
      <c r="W92" s="2851"/>
      <c r="X92" s="2843"/>
      <c r="Y92" s="2843"/>
      <c r="Z92" s="2843"/>
      <c r="AA92" s="2843"/>
      <c r="AB92" s="2843"/>
      <c r="AC92" s="2843"/>
      <c r="AD92" s="2843"/>
      <c r="AE92" s="3497"/>
      <c r="AF92" s="3497"/>
      <c r="AG92" s="3497"/>
      <c r="AH92" s="3497"/>
      <c r="AI92" s="3497"/>
      <c r="AJ92" s="3497"/>
      <c r="AK92" s="2851"/>
      <c r="AL92" s="2843"/>
      <c r="AM92" s="2843"/>
      <c r="AN92" s="2843"/>
      <c r="AO92" s="2843"/>
      <c r="AP92" s="2843"/>
      <c r="AQ92" s="2843"/>
      <c r="AR92" s="2843"/>
      <c r="AS92" s="2843"/>
      <c r="AT92" s="2843"/>
      <c r="AU92" s="2843"/>
      <c r="AV92" s="2843"/>
      <c r="AW92" s="2843"/>
      <c r="AX92" s="2843"/>
      <c r="AY92" s="2842"/>
      <c r="AZ92" s="3495"/>
    </row>
    <row r="93" spans="2:52" ht="13.5" customHeight="1">
      <c r="B93" s="3502"/>
      <c r="C93" s="3517"/>
      <c r="D93" s="3502"/>
      <c r="E93" s="2845" t="s">
        <v>5442</v>
      </c>
      <c r="F93" s="2844"/>
      <c r="G93" s="2843"/>
      <c r="H93" s="2843"/>
      <c r="I93" s="2843"/>
      <c r="J93" s="2843"/>
      <c r="K93" s="2843"/>
      <c r="L93" s="2843"/>
      <c r="M93" s="2843"/>
      <c r="N93" s="2843"/>
      <c r="O93" s="2843"/>
      <c r="P93" s="3497"/>
      <c r="Q93" s="3497"/>
      <c r="R93" s="3497"/>
      <c r="S93" s="3497"/>
      <c r="T93" s="3497"/>
      <c r="U93" s="3497"/>
      <c r="V93" s="2843"/>
      <c r="W93" s="2851"/>
      <c r="X93" s="2843"/>
      <c r="Y93" s="2843"/>
      <c r="Z93" s="2843"/>
      <c r="AA93" s="2843"/>
      <c r="AB93" s="2843"/>
      <c r="AC93" s="2843"/>
      <c r="AD93" s="2843"/>
      <c r="AE93" s="2843"/>
      <c r="AF93" s="2843"/>
      <c r="AG93" s="2843"/>
      <c r="AH93" s="2843"/>
      <c r="AI93" s="2843"/>
      <c r="AJ93" s="2843"/>
      <c r="AK93" s="2843"/>
      <c r="AL93" s="2843"/>
      <c r="AM93" s="2843"/>
      <c r="AN93" s="2843"/>
      <c r="AO93" s="2843"/>
      <c r="AP93" s="2843"/>
      <c r="AQ93" s="2843"/>
      <c r="AR93" s="2843"/>
      <c r="AS93" s="2843"/>
      <c r="AT93" s="2843"/>
      <c r="AU93" s="2843"/>
      <c r="AV93" s="2843"/>
      <c r="AW93" s="2843"/>
      <c r="AX93" s="2843"/>
      <c r="AY93" s="2842"/>
      <c r="AZ93" s="3495"/>
    </row>
    <row r="94" spans="2:52" ht="13.5" customHeight="1" thickBot="1">
      <c r="B94" s="3502"/>
      <c r="C94" s="3517"/>
      <c r="D94" s="3502"/>
      <c r="E94" s="2845"/>
      <c r="F94" s="2844"/>
      <c r="G94" s="2843"/>
      <c r="H94" s="2843"/>
      <c r="I94" s="2843"/>
      <c r="J94" s="2843"/>
      <c r="K94" s="2843"/>
      <c r="L94" s="2843"/>
      <c r="M94" s="2843"/>
      <c r="N94" s="2843"/>
      <c r="O94" s="2843"/>
      <c r="P94" s="2843"/>
      <c r="Q94" s="2843"/>
      <c r="R94" s="2843"/>
      <c r="S94" s="2843"/>
      <c r="T94" s="2843"/>
      <c r="U94" s="2843"/>
      <c r="V94" s="2843"/>
      <c r="W94" s="2843"/>
      <c r="X94" s="2843"/>
      <c r="Y94" s="2843"/>
      <c r="Z94" s="2843"/>
      <c r="AA94" s="2843"/>
      <c r="AB94" s="2843"/>
      <c r="AC94" s="2843"/>
      <c r="AD94" s="2843"/>
      <c r="AE94" s="2843"/>
      <c r="AF94" s="2843"/>
      <c r="AG94" s="2843"/>
      <c r="AH94" s="2843"/>
      <c r="AI94" s="2843"/>
      <c r="AJ94" s="2843"/>
      <c r="AK94" s="2843"/>
      <c r="AL94" s="2843"/>
      <c r="AM94" s="2843"/>
      <c r="AN94" s="2843"/>
      <c r="AO94" s="2843"/>
      <c r="AP94" s="2843"/>
      <c r="AQ94" s="2843"/>
      <c r="AR94" s="2843"/>
      <c r="AS94" s="2843"/>
      <c r="AT94" s="2843"/>
      <c r="AU94" s="2843"/>
      <c r="AV94" s="2843"/>
      <c r="AW94" s="2843"/>
      <c r="AX94" s="2843"/>
      <c r="AY94" s="2842"/>
      <c r="AZ94" s="3495"/>
    </row>
    <row r="95" spans="2:52" ht="13.5" customHeight="1" thickTop="1" thickBot="1">
      <c r="B95" s="3502"/>
      <c r="C95" s="3517"/>
      <c r="D95" s="3502"/>
      <c r="E95" s="2845" t="s">
        <v>5441</v>
      </c>
      <c r="F95" s="2844"/>
      <c r="G95" s="2843"/>
      <c r="H95" s="2843"/>
      <c r="I95" s="2843"/>
      <c r="J95" s="2843"/>
      <c r="K95" s="2843"/>
      <c r="L95" s="2843"/>
      <c r="M95" s="2843"/>
      <c r="N95" s="2843"/>
      <c r="O95" s="2843"/>
      <c r="P95" s="3504"/>
      <c r="Q95" s="3505"/>
      <c r="R95" s="3505"/>
      <c r="S95" s="3505"/>
      <c r="T95" s="3505"/>
      <c r="U95" s="3506"/>
      <c r="V95" s="2843"/>
      <c r="W95" s="2851"/>
      <c r="X95" s="2843"/>
      <c r="Y95" s="2843"/>
      <c r="Z95" s="2843"/>
      <c r="AA95" s="2843"/>
      <c r="AB95" s="2843"/>
      <c r="AC95" s="2843"/>
      <c r="AD95" s="2843"/>
      <c r="AE95" s="2843"/>
      <c r="AF95" s="2843"/>
      <c r="AG95" s="2843"/>
      <c r="AH95" s="2843"/>
      <c r="AI95" s="2843"/>
      <c r="AJ95" s="2843"/>
      <c r="AK95" s="2843"/>
      <c r="AL95" s="2843"/>
      <c r="AM95" s="2843"/>
      <c r="AN95" s="2843"/>
      <c r="AO95" s="2843"/>
      <c r="AP95" s="2843"/>
      <c r="AQ95" s="2843"/>
      <c r="AR95" s="2843"/>
      <c r="AS95" s="2843"/>
      <c r="AT95" s="2843"/>
      <c r="AU95" s="2843"/>
      <c r="AV95" s="2843"/>
      <c r="AW95" s="2843"/>
      <c r="AX95" s="2843"/>
      <c r="AY95" s="2842"/>
      <c r="AZ95" s="3495"/>
    </row>
    <row r="96" spans="2:52" ht="13.5" customHeight="1" thickTop="1">
      <c r="B96" s="3502"/>
      <c r="C96" s="3518"/>
      <c r="D96" s="3513"/>
      <c r="E96" s="2840"/>
      <c r="F96" s="2839"/>
      <c r="G96" s="2838"/>
      <c r="H96" s="2838"/>
      <c r="I96" s="2838"/>
      <c r="J96" s="2838"/>
      <c r="K96" s="2838"/>
      <c r="L96" s="2838"/>
      <c r="M96" s="2838"/>
      <c r="N96" s="2838"/>
      <c r="O96" s="2838"/>
      <c r="P96" s="2838"/>
      <c r="Q96" s="2838"/>
      <c r="R96" s="2838"/>
      <c r="S96" s="2838"/>
      <c r="T96" s="2838"/>
      <c r="U96" s="2838"/>
      <c r="V96" s="2838"/>
      <c r="W96" s="2838"/>
      <c r="X96" s="2859"/>
      <c r="Y96" s="2838"/>
      <c r="Z96" s="2838"/>
      <c r="AA96" s="2838"/>
      <c r="AB96" s="2838"/>
      <c r="AC96" s="2838"/>
      <c r="AD96" s="2838"/>
      <c r="AE96" s="2838"/>
      <c r="AF96" s="2838"/>
      <c r="AG96" s="2838"/>
      <c r="AH96" s="2838"/>
      <c r="AI96" s="2838"/>
      <c r="AJ96" s="2838"/>
      <c r="AK96" s="2838"/>
      <c r="AL96" s="2838"/>
      <c r="AM96" s="2838"/>
      <c r="AN96" s="2838"/>
      <c r="AO96" s="2838"/>
      <c r="AP96" s="2838"/>
      <c r="AQ96" s="2838"/>
      <c r="AR96" s="2838"/>
      <c r="AS96" s="2838"/>
      <c r="AT96" s="2838"/>
      <c r="AU96" s="2838"/>
      <c r="AV96" s="2838"/>
      <c r="AW96" s="2838"/>
      <c r="AX96" s="2838"/>
      <c r="AY96" s="2837"/>
      <c r="AZ96" s="3496"/>
    </row>
    <row r="97" spans="2:52" ht="13.5" customHeight="1" thickBot="1">
      <c r="B97" s="3502"/>
      <c r="C97" s="3516">
        <v>2</v>
      </c>
      <c r="D97" s="3512" t="s">
        <v>5440</v>
      </c>
      <c r="E97" s="2850"/>
      <c r="F97" s="2849"/>
      <c r="G97" s="2848"/>
      <c r="H97" s="2848"/>
      <c r="I97" s="2848"/>
      <c r="J97" s="2848"/>
      <c r="K97" s="2848"/>
      <c r="L97" s="2848"/>
      <c r="M97" s="2848"/>
      <c r="N97" s="2848"/>
      <c r="O97" s="2848"/>
      <c r="P97" s="2848"/>
      <c r="Q97" s="2848"/>
      <c r="R97" s="2848"/>
      <c r="S97" s="2848"/>
      <c r="T97" s="2848"/>
      <c r="U97" s="2848"/>
      <c r="V97" s="2848"/>
      <c r="W97" s="2848"/>
      <c r="X97" s="2848"/>
      <c r="Y97" s="2848"/>
      <c r="Z97" s="2848"/>
      <c r="AA97" s="2848"/>
      <c r="AB97" s="2848"/>
      <c r="AC97" s="2848"/>
      <c r="AD97" s="2848"/>
      <c r="AE97" s="2848"/>
      <c r="AF97" s="2848"/>
      <c r="AG97" s="2848"/>
      <c r="AH97" s="2848"/>
      <c r="AI97" s="2848"/>
      <c r="AJ97" s="2848"/>
      <c r="AK97" s="2848"/>
      <c r="AL97" s="2848"/>
      <c r="AM97" s="2848"/>
      <c r="AN97" s="2848"/>
      <c r="AO97" s="2848"/>
      <c r="AP97" s="2848"/>
      <c r="AQ97" s="2848"/>
      <c r="AR97" s="2848"/>
      <c r="AS97" s="2848"/>
      <c r="AT97" s="2848"/>
      <c r="AU97" s="2848"/>
      <c r="AV97" s="2848"/>
      <c r="AW97" s="2848"/>
      <c r="AX97" s="2848"/>
      <c r="AY97" s="2847"/>
      <c r="AZ97" s="3321" t="s">
        <v>6191</v>
      </c>
    </row>
    <row r="98" spans="2:52" ht="13.5" customHeight="1" thickTop="1" thickBot="1">
      <c r="B98" s="3502"/>
      <c r="C98" s="3517"/>
      <c r="D98" s="3502"/>
      <c r="E98" s="2845" t="s">
        <v>5438</v>
      </c>
      <c r="F98" s="2844"/>
      <c r="G98" s="2843"/>
      <c r="H98" s="2843"/>
      <c r="I98" s="2843"/>
      <c r="J98" s="2843"/>
      <c r="K98" s="2843"/>
      <c r="L98" s="2843"/>
      <c r="M98" s="2843"/>
      <c r="N98" s="2843"/>
      <c r="O98" s="2843"/>
      <c r="P98" s="2843"/>
      <c r="Q98" s="2843"/>
      <c r="R98" s="2843"/>
      <c r="S98" s="2843"/>
      <c r="T98" s="2843"/>
      <c r="U98" s="2843"/>
      <c r="V98" s="2843"/>
      <c r="W98" s="2843"/>
      <c r="X98" s="2843"/>
      <c r="Y98" s="2843"/>
      <c r="Z98" s="3499">
        <f>ROUNDDOWN(T70*'(申)計'!R36/'(申)計'!R40,0)</f>
        <v>76866</v>
      </c>
      <c r="AA98" s="3500"/>
      <c r="AB98" s="3500"/>
      <c r="AC98" s="3500"/>
      <c r="AD98" s="3500"/>
      <c r="AE98" s="3501"/>
      <c r="AF98" s="2843" t="s">
        <v>5562</v>
      </c>
      <c r="AG98" s="2851" t="s">
        <v>5436</v>
      </c>
      <c r="AH98" s="2843"/>
      <c r="AI98" s="2843"/>
      <c r="AJ98" s="2843"/>
      <c r="AK98" s="2843"/>
      <c r="AL98" s="2843"/>
      <c r="AM98" s="2843"/>
      <c r="AN98" s="2843"/>
      <c r="AO98" s="2843"/>
      <c r="AP98" s="2843"/>
      <c r="AQ98" s="2843"/>
      <c r="AR98" s="2843"/>
      <c r="AS98" s="2843"/>
      <c r="AT98" s="2843"/>
      <c r="AU98" s="2843"/>
      <c r="AV98" s="2843"/>
      <c r="AW98" s="2843"/>
      <c r="AX98" s="2843"/>
      <c r="AY98" s="2842"/>
      <c r="AZ98" s="3041" t="s">
        <v>6215</v>
      </c>
    </row>
    <row r="99" spans="2:52" ht="13.5" customHeight="1" thickTop="1" thickBot="1">
      <c r="B99" s="3502"/>
      <c r="C99" s="3517"/>
      <c r="D99" s="3502"/>
      <c r="E99" s="2845"/>
      <c r="F99" s="2844"/>
      <c r="G99" s="2843"/>
      <c r="H99" s="2843"/>
      <c r="I99" s="2843"/>
      <c r="J99" s="2843"/>
      <c r="K99" s="2843"/>
      <c r="L99" s="2843"/>
      <c r="M99" s="2843"/>
      <c r="N99" s="2843"/>
      <c r="O99" s="2843"/>
      <c r="P99" s="2843"/>
      <c r="Q99" s="2843"/>
      <c r="R99" s="2843"/>
      <c r="S99" s="2843"/>
      <c r="T99" s="2843"/>
      <c r="U99" s="2858" t="s">
        <v>5435</v>
      </c>
      <c r="V99" s="2843"/>
      <c r="W99" s="2843"/>
      <c r="X99" s="2843"/>
      <c r="Y99" s="2843"/>
      <c r="Z99" s="2843"/>
      <c r="AA99" s="2843"/>
      <c r="AB99" s="2843"/>
      <c r="AC99" s="2843"/>
      <c r="AD99" s="2843"/>
      <c r="AE99" s="2843"/>
      <c r="AF99" s="2843"/>
      <c r="AG99" s="2843"/>
      <c r="AH99" s="2843"/>
      <c r="AI99" s="2843"/>
      <c r="AJ99" s="2843"/>
      <c r="AK99" s="2843"/>
      <c r="AL99" s="2843"/>
      <c r="AM99" s="2843"/>
      <c r="AN99" s="2843"/>
      <c r="AO99" s="2843"/>
      <c r="AP99" s="2843"/>
      <c r="AQ99" s="2843"/>
      <c r="AR99" s="2843"/>
      <c r="AS99" s="2843"/>
      <c r="AT99" s="2843"/>
      <c r="AU99" s="2843"/>
      <c r="AV99" s="2843"/>
      <c r="AW99" s="2843"/>
      <c r="AX99" s="2843"/>
      <c r="AY99" s="2842"/>
      <c r="AZ99" s="3319"/>
    </row>
    <row r="100" spans="2:52" ht="13.5" customHeight="1" thickTop="1" thickBot="1">
      <c r="B100" s="3502"/>
      <c r="C100" s="3517"/>
      <c r="D100" s="3502"/>
      <c r="E100" s="2845" t="s">
        <v>5434</v>
      </c>
      <c r="F100" s="2844"/>
      <c r="G100" s="2843"/>
      <c r="H100" s="2843"/>
      <c r="I100" s="2843"/>
      <c r="J100" s="2843"/>
      <c r="K100" s="2843"/>
      <c r="L100" s="2843"/>
      <c r="M100" s="2843"/>
      <c r="N100" s="2843"/>
      <c r="O100" s="2843"/>
      <c r="P100" s="2843"/>
      <c r="Q100" s="2843"/>
      <c r="R100" s="2843"/>
      <c r="S100" s="2843"/>
      <c r="T100" s="2843"/>
      <c r="U100" s="2843"/>
      <c r="V100" s="2843"/>
      <c r="W100" s="2843"/>
      <c r="X100" s="2843"/>
      <c r="Y100" s="2843"/>
      <c r="Z100" s="3499">
        <f>AS89</f>
        <v>1702296</v>
      </c>
      <c r="AA100" s="3500"/>
      <c r="AB100" s="3500"/>
      <c r="AC100" s="3500"/>
      <c r="AD100" s="3500"/>
      <c r="AE100" s="3501"/>
      <c r="AF100" s="2843"/>
      <c r="AG100" s="2851" t="s">
        <v>5433</v>
      </c>
      <c r="AH100" s="2843"/>
      <c r="AI100" s="2843"/>
      <c r="AJ100" s="2843"/>
      <c r="AK100" s="2843"/>
      <c r="AL100" s="2843"/>
      <c r="AM100" s="2843"/>
      <c r="AN100" s="2843"/>
      <c r="AO100" s="2843"/>
      <c r="AP100" s="2843"/>
      <c r="AQ100" s="2843"/>
      <c r="AR100" s="2843"/>
      <c r="AS100" s="2843"/>
      <c r="AT100" s="2843"/>
      <c r="AU100" s="2843"/>
      <c r="AV100" s="2843"/>
      <c r="AW100" s="2843"/>
      <c r="AX100" s="2843"/>
      <c r="AY100" s="2842"/>
      <c r="AZ100" s="3319" t="s">
        <v>6221</v>
      </c>
    </row>
    <row r="101" spans="2:52" ht="13.5" customHeight="1" thickTop="1" thickBot="1">
      <c r="B101" s="3502"/>
      <c r="C101" s="3517"/>
      <c r="D101" s="3502"/>
      <c r="E101" s="2845" t="s">
        <v>5572</v>
      </c>
      <c r="F101" s="2844"/>
      <c r="G101" s="2843"/>
      <c r="H101" s="2843"/>
      <c r="I101" s="2843"/>
      <c r="J101" s="2843"/>
      <c r="K101" s="2843"/>
      <c r="L101" s="2843"/>
      <c r="M101" s="2843"/>
      <c r="N101" s="2843"/>
      <c r="O101" s="2843"/>
      <c r="P101" s="2843"/>
      <c r="Q101" s="2843"/>
      <c r="R101" s="2843"/>
      <c r="S101" s="2843"/>
      <c r="T101" s="2843"/>
      <c r="U101" s="2843"/>
      <c r="V101" s="2843"/>
      <c r="W101" s="2843"/>
      <c r="X101" s="2843"/>
      <c r="Y101" s="2843"/>
      <c r="Z101" s="3499">
        <f>ROUNDDOWN(Z100*63/1080,0)</f>
        <v>99300</v>
      </c>
      <c r="AA101" s="3500"/>
      <c r="AB101" s="3500"/>
      <c r="AC101" s="3500"/>
      <c r="AD101" s="3500"/>
      <c r="AE101" s="3501"/>
      <c r="AF101" s="2843" t="s">
        <v>5561</v>
      </c>
      <c r="AG101" s="2851" t="s">
        <v>5571</v>
      </c>
      <c r="AH101" s="2843"/>
      <c r="AI101" s="2843"/>
      <c r="AJ101" s="2843"/>
      <c r="AK101" s="2843"/>
      <c r="AL101" s="2843"/>
      <c r="AM101" s="2843"/>
      <c r="AN101" s="2843"/>
      <c r="AO101" s="2843"/>
      <c r="AP101" s="2843"/>
      <c r="AQ101" s="2843"/>
      <c r="AR101" s="2843"/>
      <c r="AS101" s="2843"/>
      <c r="AT101" s="2843"/>
      <c r="AU101" s="2843"/>
      <c r="AV101" s="2843"/>
      <c r="AW101" s="2843"/>
      <c r="AX101" s="2843"/>
      <c r="AY101" s="2842"/>
      <c r="AZ101" s="3319" t="s">
        <v>6222</v>
      </c>
    </row>
    <row r="102" spans="2:52" ht="13.5" customHeight="1" thickTop="1" thickBot="1">
      <c r="B102" s="3502"/>
      <c r="C102" s="3517"/>
      <c r="D102" s="3502"/>
      <c r="E102" s="2845"/>
      <c r="F102" s="2844"/>
      <c r="G102" s="2843"/>
      <c r="H102" s="2843"/>
      <c r="I102" s="2843"/>
      <c r="J102" s="2843"/>
      <c r="K102" s="2843"/>
      <c r="L102" s="2843"/>
      <c r="M102" s="2843"/>
      <c r="N102" s="2843"/>
      <c r="O102" s="2843"/>
      <c r="P102" s="2843"/>
      <c r="Q102" s="2843"/>
      <c r="R102" s="2843"/>
      <c r="S102" s="2843"/>
      <c r="T102" s="2843"/>
      <c r="U102" s="2843"/>
      <c r="V102" s="2843"/>
      <c r="W102" s="2843"/>
      <c r="X102" s="2843"/>
      <c r="Y102" s="2843"/>
      <c r="Z102" s="2843"/>
      <c r="AA102" s="2843"/>
      <c r="AB102" s="2843"/>
      <c r="AC102" s="2843"/>
      <c r="AD102" s="2843"/>
      <c r="AE102" s="2843"/>
      <c r="AF102" s="2843"/>
      <c r="AG102" s="2843"/>
      <c r="AH102" s="2843"/>
      <c r="AI102" s="2843"/>
      <c r="AJ102" s="2843"/>
      <c r="AK102" s="2843"/>
      <c r="AL102" s="2843"/>
      <c r="AM102" s="2843"/>
      <c r="AN102" s="2843"/>
      <c r="AO102" s="2843"/>
      <c r="AP102" s="2843"/>
      <c r="AQ102" s="2843"/>
      <c r="AR102" s="2843"/>
      <c r="AS102" s="2843"/>
      <c r="AT102" s="2843"/>
      <c r="AU102" s="2843"/>
      <c r="AV102" s="2843"/>
      <c r="AW102" s="2843"/>
      <c r="AX102" s="2843"/>
      <c r="AY102" s="2842"/>
      <c r="AZ102" s="3319"/>
    </row>
    <row r="103" spans="2:52"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2843"/>
      <c r="T103" s="2843"/>
      <c r="U103" s="2843"/>
      <c r="V103" s="2843"/>
      <c r="W103" s="2843"/>
      <c r="X103" s="2843"/>
      <c r="Y103" s="2843"/>
      <c r="Z103" s="3499">
        <f>'(申)計'!R36</f>
        <v>18871966907</v>
      </c>
      <c r="AA103" s="3500"/>
      <c r="AB103" s="3500"/>
      <c r="AC103" s="3500"/>
      <c r="AD103" s="3500"/>
      <c r="AE103" s="3501"/>
      <c r="AF103" s="2843"/>
      <c r="AG103" s="3510" t="s">
        <v>5559</v>
      </c>
      <c r="AH103" s="2851" t="s">
        <v>5425</v>
      </c>
      <c r="AI103" s="2843"/>
      <c r="AJ103" s="2843"/>
      <c r="AK103" s="2843"/>
      <c r="AL103" s="2843"/>
      <c r="AM103" s="2843"/>
      <c r="AN103" s="2843"/>
      <c r="AO103" s="2843"/>
      <c r="AP103" s="2843"/>
      <c r="AQ103" s="2843"/>
      <c r="AR103" s="2843"/>
      <c r="AS103" s="2843"/>
      <c r="AT103" s="2843"/>
      <c r="AU103" s="2843"/>
      <c r="AV103" s="2843"/>
      <c r="AW103" s="2843"/>
      <c r="AX103" s="2843"/>
      <c r="AY103" s="2842"/>
      <c r="AZ103" s="3498" t="s">
        <v>5406</v>
      </c>
    </row>
    <row r="104" spans="2:52" ht="3" customHeight="1" thickTop="1">
      <c r="B104" s="3502"/>
      <c r="C104" s="3517"/>
      <c r="D104" s="3502"/>
      <c r="E104" s="3521"/>
      <c r="F104" s="3510"/>
      <c r="G104" s="3510"/>
      <c r="H104" s="3510"/>
      <c r="I104" s="3510"/>
      <c r="J104" s="3510"/>
      <c r="K104" s="3510"/>
      <c r="L104" s="3510"/>
      <c r="M104" s="3510"/>
      <c r="N104" s="3510"/>
      <c r="O104" s="3510"/>
      <c r="P104" s="3510"/>
      <c r="Q104" s="3510"/>
      <c r="R104" s="3510"/>
      <c r="S104" s="2843"/>
      <c r="T104" s="2843"/>
      <c r="U104" s="2843"/>
      <c r="V104" s="2843"/>
      <c r="W104" s="2843"/>
      <c r="X104" s="2843"/>
      <c r="Y104" s="2838"/>
      <c r="Z104" s="2838"/>
      <c r="AA104" s="2838"/>
      <c r="AB104" s="2838"/>
      <c r="AC104" s="2838"/>
      <c r="AD104" s="2838"/>
      <c r="AE104" s="2838"/>
      <c r="AF104" s="2838"/>
      <c r="AG104" s="3510"/>
      <c r="AH104" s="2843"/>
      <c r="AI104" s="2843"/>
      <c r="AJ104" s="2843"/>
      <c r="AK104" s="2843"/>
      <c r="AL104" s="2843"/>
      <c r="AM104" s="2843"/>
      <c r="AN104" s="2843"/>
      <c r="AO104" s="2843"/>
      <c r="AP104" s="2843"/>
      <c r="AQ104" s="2843"/>
      <c r="AR104" s="2843"/>
      <c r="AS104" s="2843"/>
      <c r="AT104" s="2843"/>
      <c r="AU104" s="2843"/>
      <c r="AV104" s="2843"/>
      <c r="AW104" s="2843"/>
      <c r="AX104" s="2843"/>
      <c r="AY104" s="2842"/>
      <c r="AZ104" s="3498"/>
    </row>
    <row r="105" spans="2:52" ht="3" customHeight="1" thickBot="1">
      <c r="B105" s="3502"/>
      <c r="C105" s="3517"/>
      <c r="D105" s="3502"/>
      <c r="E105" s="3521"/>
      <c r="F105" s="3510"/>
      <c r="G105" s="3510"/>
      <c r="H105" s="3510"/>
      <c r="I105" s="3510"/>
      <c r="J105" s="3510"/>
      <c r="K105" s="3510"/>
      <c r="L105" s="3510"/>
      <c r="M105" s="3510"/>
      <c r="N105" s="3510"/>
      <c r="O105" s="3510"/>
      <c r="P105" s="3510"/>
      <c r="Q105" s="3510"/>
      <c r="R105" s="3510"/>
      <c r="S105" s="2843"/>
      <c r="T105" s="2843"/>
      <c r="U105" s="2843"/>
      <c r="V105" s="2843"/>
      <c r="W105" s="2843"/>
      <c r="X105" s="2843"/>
      <c r="Y105" s="2843"/>
      <c r="Z105" s="2843"/>
      <c r="AA105" s="2843"/>
      <c r="AB105" s="2843"/>
      <c r="AC105" s="2843"/>
      <c r="AD105" s="2843"/>
      <c r="AE105" s="2843"/>
      <c r="AF105" s="2843"/>
      <c r="AG105" s="3510"/>
      <c r="AH105" s="2843"/>
      <c r="AI105" s="2843"/>
      <c r="AJ105" s="2843"/>
      <c r="AK105" s="2843"/>
      <c r="AL105" s="2843"/>
      <c r="AM105" s="2843"/>
      <c r="AN105" s="2843"/>
      <c r="AO105" s="2843"/>
      <c r="AP105" s="2843"/>
      <c r="AQ105" s="2843"/>
      <c r="AR105" s="2843"/>
      <c r="AS105" s="2843"/>
      <c r="AT105" s="2843"/>
      <c r="AU105" s="2843"/>
      <c r="AV105" s="2843"/>
      <c r="AW105" s="2843"/>
      <c r="AX105" s="2843"/>
      <c r="AY105" s="2842"/>
      <c r="AZ105" s="3498"/>
    </row>
    <row r="106" spans="2:52"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2843"/>
      <c r="T106" s="2843"/>
      <c r="U106" s="2843"/>
      <c r="V106" s="2843"/>
      <c r="W106" s="2843"/>
      <c r="X106" s="2843"/>
      <c r="Y106" s="2843"/>
      <c r="Z106" s="3499">
        <f>'(申)計'!R40</f>
        <v>18940559860</v>
      </c>
      <c r="AA106" s="3500"/>
      <c r="AB106" s="3500"/>
      <c r="AC106" s="3500"/>
      <c r="AD106" s="3500"/>
      <c r="AE106" s="3501"/>
      <c r="AF106" s="2843"/>
      <c r="AG106" s="3510"/>
      <c r="AH106" s="2851" t="s">
        <v>5423</v>
      </c>
      <c r="AI106" s="2843"/>
      <c r="AJ106" s="2843"/>
      <c r="AK106" s="2843"/>
      <c r="AL106" s="2843"/>
      <c r="AM106" s="2843"/>
      <c r="AN106" s="2843"/>
      <c r="AO106" s="2843"/>
      <c r="AP106" s="2843"/>
      <c r="AQ106" s="2843"/>
      <c r="AR106" s="2843"/>
      <c r="AS106" s="2843"/>
      <c r="AT106" s="2843"/>
      <c r="AU106" s="2843"/>
      <c r="AV106" s="2843"/>
      <c r="AW106" s="2843"/>
      <c r="AX106" s="2843"/>
      <c r="AY106" s="2842"/>
      <c r="AZ106" s="3498"/>
    </row>
    <row r="107" spans="2:52" ht="13.5" customHeight="1" thickTop="1" thickBot="1">
      <c r="B107" s="3502"/>
      <c r="C107" s="3517"/>
      <c r="D107" s="3502"/>
      <c r="E107" s="2845"/>
      <c r="F107" s="2844"/>
      <c r="G107" s="2843"/>
      <c r="H107" s="2843"/>
      <c r="I107" s="2843"/>
      <c r="J107" s="2843"/>
      <c r="K107" s="2843"/>
      <c r="L107" s="2843"/>
      <c r="M107" s="2843"/>
      <c r="N107" s="2843"/>
      <c r="O107" s="2843"/>
      <c r="P107" s="2843"/>
      <c r="Q107" s="2843"/>
      <c r="R107" s="2843"/>
      <c r="S107" s="2843"/>
      <c r="T107" s="2843"/>
      <c r="U107" s="2843"/>
      <c r="V107" s="2843"/>
      <c r="W107" s="2843"/>
      <c r="X107" s="2843"/>
      <c r="Y107" s="2843"/>
      <c r="Z107" s="2843"/>
      <c r="AA107" s="2843"/>
      <c r="AB107" s="2843"/>
      <c r="AC107" s="2843"/>
      <c r="AD107" s="2843"/>
      <c r="AE107" s="2843"/>
      <c r="AF107" s="2843"/>
      <c r="AG107" s="2843"/>
      <c r="AH107" s="2843"/>
      <c r="AI107" s="2843"/>
      <c r="AJ107" s="2843"/>
      <c r="AK107" s="2843"/>
      <c r="AL107" s="2843"/>
      <c r="AM107" s="2843"/>
      <c r="AN107" s="2843"/>
      <c r="AO107" s="2843"/>
      <c r="AP107" s="2843"/>
      <c r="AQ107" s="2843"/>
      <c r="AR107" s="2843"/>
      <c r="AS107" s="2843"/>
      <c r="AT107" s="2843"/>
      <c r="AU107" s="2843"/>
      <c r="AV107" s="2843"/>
      <c r="AW107" s="2843"/>
      <c r="AX107" s="2843"/>
      <c r="AY107" s="2842"/>
      <c r="AZ107" s="3319"/>
    </row>
    <row r="108" spans="2:52" ht="13.5" customHeight="1" thickTop="1" thickBot="1">
      <c r="B108" s="3502"/>
      <c r="C108" s="3517"/>
      <c r="D108" s="3502"/>
      <c r="E108" s="2845" t="s">
        <v>5422</v>
      </c>
      <c r="F108" s="2844"/>
      <c r="G108" s="2843"/>
      <c r="H108" s="2843"/>
      <c r="I108" s="2843"/>
      <c r="J108" s="2843"/>
      <c r="K108" s="2843"/>
      <c r="L108" s="2843"/>
      <c r="M108" s="2843"/>
      <c r="N108" s="2843"/>
      <c r="O108" s="2843"/>
      <c r="P108" s="2843"/>
      <c r="Q108" s="2843"/>
      <c r="R108" s="2843"/>
      <c r="S108" s="2843"/>
      <c r="T108" s="2843"/>
      <c r="U108" s="2843"/>
      <c r="V108" s="2843"/>
      <c r="W108" s="2843"/>
      <c r="X108" s="2843"/>
      <c r="Y108" s="2843"/>
      <c r="Z108" s="3499">
        <f>ROUNDDOWN(Z101*Z103/Z106,0)</f>
        <v>98940</v>
      </c>
      <c r="AA108" s="3500"/>
      <c r="AB108" s="3500"/>
      <c r="AC108" s="3500"/>
      <c r="AD108" s="3500"/>
      <c r="AE108" s="3501"/>
      <c r="AF108" s="2843" t="s">
        <v>5558</v>
      </c>
      <c r="AG108" s="2851" t="s">
        <v>5557</v>
      </c>
      <c r="AH108" s="2843"/>
      <c r="AI108" s="2843"/>
      <c r="AJ108" s="2843"/>
      <c r="AK108" s="2843"/>
      <c r="AL108" s="2843"/>
      <c r="AM108" s="2843"/>
      <c r="AN108" s="2843"/>
      <c r="AO108" s="2843"/>
      <c r="AP108" s="2843"/>
      <c r="AQ108" s="2843"/>
      <c r="AR108" s="2843"/>
      <c r="AS108" s="2843"/>
      <c r="AT108" s="2843"/>
      <c r="AU108" s="2843"/>
      <c r="AV108" s="2843"/>
      <c r="AW108" s="2843"/>
      <c r="AX108" s="2843"/>
      <c r="AY108" s="2842"/>
      <c r="AZ108" s="3319" t="s">
        <v>6208</v>
      </c>
    </row>
    <row r="109" spans="2:52" ht="13.5" customHeight="1" thickTop="1">
      <c r="B109" s="3502"/>
      <c r="C109" s="3517"/>
      <c r="D109" s="3502"/>
      <c r="E109" s="2845"/>
      <c r="F109" s="2844"/>
      <c r="G109" s="2843"/>
      <c r="H109" s="2843"/>
      <c r="I109" s="2843"/>
      <c r="J109" s="2843"/>
      <c r="K109" s="2843"/>
      <c r="L109" s="2843"/>
      <c r="M109" s="2843"/>
      <c r="N109" s="2843"/>
      <c r="O109" s="2843"/>
      <c r="P109" s="2843"/>
      <c r="Q109" s="2843"/>
      <c r="R109" s="2843"/>
      <c r="S109" s="2843"/>
      <c r="T109" s="2843"/>
      <c r="U109" s="2843"/>
      <c r="V109" s="2843"/>
      <c r="W109" s="2843"/>
      <c r="X109" s="2843"/>
      <c r="Y109" s="2843"/>
      <c r="Z109" s="2843"/>
      <c r="AA109" s="2843"/>
      <c r="AB109" s="2843"/>
      <c r="AC109" s="2843"/>
      <c r="AD109" s="2843"/>
      <c r="AE109" s="2843"/>
      <c r="AF109" s="2843"/>
      <c r="AG109" s="2843"/>
      <c r="AH109" s="2843"/>
      <c r="AI109" s="2843"/>
      <c r="AJ109" s="2843"/>
      <c r="AK109" s="2843"/>
      <c r="AL109" s="2843"/>
      <c r="AM109" s="2843"/>
      <c r="AN109" s="2843"/>
      <c r="AO109" s="2843"/>
      <c r="AP109" s="2843"/>
      <c r="AQ109" s="2843"/>
      <c r="AR109" s="2843"/>
      <c r="AS109" s="2843"/>
      <c r="AT109" s="2843"/>
      <c r="AU109" s="2843"/>
      <c r="AV109" s="2843"/>
      <c r="AW109" s="2843"/>
      <c r="AX109" s="2843"/>
      <c r="AY109" s="2842"/>
      <c r="AZ109" s="3319"/>
    </row>
    <row r="110" spans="2:52" ht="13.5" customHeight="1" thickBot="1">
      <c r="B110" s="3502"/>
      <c r="C110" s="3517"/>
      <c r="D110" s="3502"/>
      <c r="E110" s="2845" t="s">
        <v>5418</v>
      </c>
      <c r="F110" s="2844"/>
      <c r="G110" s="2843"/>
      <c r="H110" s="2843"/>
      <c r="I110" s="2843"/>
      <c r="J110" s="2843"/>
      <c r="K110" s="2843"/>
      <c r="L110" s="2843"/>
      <c r="M110" s="2843"/>
      <c r="N110" s="2843"/>
      <c r="O110" s="2843"/>
      <c r="P110" s="2843"/>
      <c r="Q110" s="2843"/>
      <c r="R110" s="2843"/>
      <c r="S110" s="2843"/>
      <c r="T110" s="2843"/>
      <c r="U110" s="2843"/>
      <c r="V110" s="2843"/>
      <c r="W110" s="2843"/>
      <c r="X110" s="2843"/>
      <c r="Y110" s="2843"/>
      <c r="Z110" s="2843"/>
      <c r="AA110" s="2843"/>
      <c r="AB110" s="2843"/>
      <c r="AC110" s="2843"/>
      <c r="AD110" s="2843"/>
      <c r="AE110" s="2843"/>
      <c r="AF110" s="2843"/>
      <c r="AG110" s="2843"/>
      <c r="AH110" s="2843"/>
      <c r="AI110" s="2843"/>
      <c r="AJ110" s="2843"/>
      <c r="AK110" s="2843"/>
      <c r="AL110" s="2843"/>
      <c r="AM110" s="2843"/>
      <c r="AN110" s="2843"/>
      <c r="AO110" s="2843"/>
      <c r="AP110" s="2843"/>
      <c r="AQ110" s="2843"/>
      <c r="AR110" s="2843"/>
      <c r="AS110" s="2843"/>
      <c r="AT110" s="2843"/>
      <c r="AU110" s="2843"/>
      <c r="AV110" s="2843"/>
      <c r="AW110" s="2843"/>
      <c r="AX110" s="2843"/>
      <c r="AY110" s="2842"/>
      <c r="AZ110" s="3319"/>
    </row>
    <row r="111" spans="2:52" ht="13.5" customHeight="1" thickTop="1" thickBot="1">
      <c r="B111" s="3502"/>
      <c r="C111" s="3517"/>
      <c r="D111" s="3502"/>
      <c r="E111" s="2845"/>
      <c r="F111" s="2844" t="s">
        <v>5556</v>
      </c>
      <c r="G111" s="2843"/>
      <c r="H111" s="2843"/>
      <c r="I111" s="2843"/>
      <c r="J111" s="2843"/>
      <c r="K111" s="2843"/>
      <c r="L111" s="2843"/>
      <c r="M111" s="2843"/>
      <c r="N111" s="2843"/>
      <c r="O111" s="2843"/>
      <c r="P111" s="2843"/>
      <c r="Q111" s="2843"/>
      <c r="R111" s="2843"/>
      <c r="S111" s="2843"/>
      <c r="T111" s="2843"/>
      <c r="U111" s="2843"/>
      <c r="V111" s="2843"/>
      <c r="W111" s="2843"/>
      <c r="X111" s="2843"/>
      <c r="Y111" s="2843"/>
      <c r="Z111" s="2843"/>
      <c r="AA111" s="2843"/>
      <c r="AB111" s="2843"/>
      <c r="AC111" s="3499">
        <f>Z98-Z108</f>
        <v>-22074</v>
      </c>
      <c r="AD111" s="3500"/>
      <c r="AE111" s="3500"/>
      <c r="AF111" s="3500"/>
      <c r="AG111" s="3500"/>
      <c r="AH111" s="3501"/>
      <c r="AI111" s="2843" t="s">
        <v>5555</v>
      </c>
      <c r="AJ111" s="2851" t="s">
        <v>5554</v>
      </c>
      <c r="AK111" s="2843"/>
      <c r="AL111" s="2843"/>
      <c r="AM111" s="2843"/>
      <c r="AN111" s="2843"/>
      <c r="AO111" s="2843"/>
      <c r="AP111" s="2843"/>
      <c r="AQ111" s="2843"/>
      <c r="AR111" s="2843"/>
      <c r="AS111" s="2843"/>
      <c r="AT111" s="2843"/>
      <c r="AU111" s="2843"/>
      <c r="AV111" s="2843"/>
      <c r="AW111" s="2843"/>
      <c r="AX111" s="2843"/>
      <c r="AY111" s="2842"/>
      <c r="AZ111" s="3319" t="s">
        <v>6209</v>
      </c>
    </row>
    <row r="112" spans="2:52" ht="13.5" customHeight="1" thickTop="1" thickBot="1">
      <c r="B112" s="3502"/>
      <c r="C112" s="3517"/>
      <c r="D112" s="3502"/>
      <c r="E112" s="2845"/>
      <c r="F112" s="2844"/>
      <c r="G112" s="2843"/>
      <c r="H112" s="2843"/>
      <c r="I112" s="2843"/>
      <c r="J112" s="2843"/>
      <c r="K112" s="2843"/>
      <c r="L112" s="2843"/>
      <c r="M112" s="2843"/>
      <c r="N112" s="2843"/>
      <c r="O112" s="2843"/>
      <c r="P112" s="2843"/>
      <c r="Q112" s="2843"/>
      <c r="R112" s="2843"/>
      <c r="S112" s="2843"/>
      <c r="T112" s="2843"/>
      <c r="U112" s="2843"/>
      <c r="V112" s="2843"/>
      <c r="W112" s="2843"/>
      <c r="X112" s="2843"/>
      <c r="Y112" s="2843"/>
      <c r="Z112" s="2843"/>
      <c r="AA112" s="2843"/>
      <c r="AB112" s="2843"/>
      <c r="AC112" s="2843"/>
      <c r="AD112" s="2843"/>
      <c r="AE112" s="2843"/>
      <c r="AF112" s="2843"/>
      <c r="AG112" s="2843"/>
      <c r="AH112" s="2843"/>
      <c r="AI112" s="2843"/>
      <c r="AJ112" s="2843"/>
      <c r="AK112" s="2843"/>
      <c r="AL112" s="2843"/>
      <c r="AM112" s="2843"/>
      <c r="AN112" s="2843"/>
      <c r="AO112" s="2843"/>
      <c r="AP112" s="2843"/>
      <c r="AQ112" s="2843"/>
      <c r="AR112" s="2843"/>
      <c r="AS112" s="2843"/>
      <c r="AT112" s="2843"/>
      <c r="AU112" s="2843"/>
      <c r="AV112" s="2843"/>
      <c r="AW112" s="2843"/>
      <c r="AX112" s="2843"/>
      <c r="AY112" s="2842"/>
      <c r="AZ112" s="3319"/>
    </row>
    <row r="113" spans="2:52" ht="13.5" customHeight="1" thickTop="1" thickBot="1">
      <c r="B113" s="3502"/>
      <c r="C113" s="3517"/>
      <c r="D113" s="3502"/>
      <c r="E113" s="2845"/>
      <c r="F113" s="3510" t="s">
        <v>5413</v>
      </c>
      <c r="G113" s="3510"/>
      <c r="H113" s="3510"/>
      <c r="I113" s="3510"/>
      <c r="J113" s="3510"/>
      <c r="K113" s="3510"/>
      <c r="L113" s="3510"/>
      <c r="M113" s="3510"/>
      <c r="N113" s="3510"/>
      <c r="O113" s="3510"/>
      <c r="P113" s="3510"/>
      <c r="Q113" s="3510"/>
      <c r="R113" s="3510"/>
      <c r="S113" s="3510"/>
      <c r="T113" s="2843"/>
      <c r="U113" s="2843"/>
      <c r="V113" s="2843"/>
      <c r="W113" s="2843"/>
      <c r="X113" s="2843"/>
      <c r="Y113" s="2843"/>
      <c r="Z113" s="2843"/>
      <c r="AA113" s="3507">
        <f>'(申)計'!AA113</f>
        <v>0</v>
      </c>
      <c r="AB113" s="3508"/>
      <c r="AC113" s="3508"/>
      <c r="AD113" s="3508"/>
      <c r="AE113" s="3508"/>
      <c r="AF113" s="3509"/>
      <c r="AG113" s="2843"/>
      <c r="AH113" s="3510" t="s">
        <v>5553</v>
      </c>
      <c r="AI113" s="3511" t="s">
        <v>5411</v>
      </c>
      <c r="AJ113" s="3511"/>
      <c r="AK113" s="3511"/>
      <c r="AL113" s="3511"/>
      <c r="AM113" s="3511"/>
      <c r="AN113" s="3511"/>
      <c r="AO113" s="3511"/>
      <c r="AP113" s="3511"/>
      <c r="AQ113" s="3511"/>
      <c r="AR113" s="2843"/>
      <c r="AS113" s="2843"/>
      <c r="AT113" s="2843"/>
      <c r="AU113" s="2843"/>
      <c r="AV113" s="2843"/>
      <c r="AW113" s="2843"/>
      <c r="AX113" s="2843"/>
      <c r="AY113" s="2842"/>
      <c r="AZ113" s="3498" t="s">
        <v>6214</v>
      </c>
    </row>
    <row r="114" spans="2:52" ht="3" customHeight="1" thickTop="1">
      <c r="B114" s="3502"/>
      <c r="C114" s="3517"/>
      <c r="D114" s="3502"/>
      <c r="E114" s="2845"/>
      <c r="F114" s="3510"/>
      <c r="G114" s="3510"/>
      <c r="H114" s="3510"/>
      <c r="I114" s="3510"/>
      <c r="J114" s="3510"/>
      <c r="K114" s="3510"/>
      <c r="L114" s="3510"/>
      <c r="M114" s="3510"/>
      <c r="N114" s="3510"/>
      <c r="O114" s="3510"/>
      <c r="P114" s="3510"/>
      <c r="Q114" s="3510"/>
      <c r="R114" s="3510"/>
      <c r="S114" s="3510"/>
      <c r="T114" s="2843"/>
      <c r="U114" s="2843"/>
      <c r="V114" s="2843"/>
      <c r="W114" s="2843"/>
      <c r="X114" s="2843"/>
      <c r="Y114" s="2843"/>
      <c r="Z114" s="2838"/>
      <c r="AA114" s="2838"/>
      <c r="AB114" s="2838"/>
      <c r="AC114" s="2838"/>
      <c r="AD114" s="2838"/>
      <c r="AE114" s="2838"/>
      <c r="AF114" s="2838"/>
      <c r="AG114" s="2838"/>
      <c r="AH114" s="3510"/>
      <c r="AI114" s="3511"/>
      <c r="AJ114" s="3511"/>
      <c r="AK114" s="3511"/>
      <c r="AL114" s="3511"/>
      <c r="AM114" s="3511"/>
      <c r="AN114" s="3511"/>
      <c r="AO114" s="3511"/>
      <c r="AP114" s="3511"/>
      <c r="AQ114" s="3511"/>
      <c r="AR114" s="2843"/>
      <c r="AS114" s="2843"/>
      <c r="AT114" s="2843"/>
      <c r="AU114" s="2843"/>
      <c r="AV114" s="2843"/>
      <c r="AW114" s="2843"/>
      <c r="AX114" s="2843"/>
      <c r="AY114" s="2842"/>
      <c r="AZ114" s="3498"/>
    </row>
    <row r="115" spans="2:52" ht="3" customHeight="1" thickBot="1">
      <c r="B115" s="3502"/>
      <c r="C115" s="3517"/>
      <c r="D115" s="3502"/>
      <c r="E115" s="2845"/>
      <c r="F115" s="3510"/>
      <c r="G115" s="3510"/>
      <c r="H115" s="3510"/>
      <c r="I115" s="3510"/>
      <c r="J115" s="3510"/>
      <c r="K115" s="3510"/>
      <c r="L115" s="3510"/>
      <c r="M115" s="3510"/>
      <c r="N115" s="3510"/>
      <c r="O115" s="3510"/>
      <c r="P115" s="3510"/>
      <c r="Q115" s="3510"/>
      <c r="R115" s="3510"/>
      <c r="S115" s="3510"/>
      <c r="T115" s="2843"/>
      <c r="U115" s="2843"/>
      <c r="V115" s="2843"/>
      <c r="W115" s="2843"/>
      <c r="X115" s="2843"/>
      <c r="Y115" s="2843"/>
      <c r="Z115" s="2843"/>
      <c r="AA115" s="2843"/>
      <c r="AB115" s="2843"/>
      <c r="AC115" s="2843"/>
      <c r="AD115" s="2843"/>
      <c r="AE115" s="2843"/>
      <c r="AF115" s="2843"/>
      <c r="AG115" s="2843"/>
      <c r="AH115" s="3510"/>
      <c r="AI115" s="3511"/>
      <c r="AJ115" s="3511"/>
      <c r="AK115" s="3511"/>
      <c r="AL115" s="3511"/>
      <c r="AM115" s="3511"/>
      <c r="AN115" s="3511"/>
      <c r="AO115" s="3511"/>
      <c r="AP115" s="3511"/>
      <c r="AQ115" s="3511"/>
      <c r="AR115" s="2843"/>
      <c r="AS115" s="2843"/>
      <c r="AT115" s="2843"/>
      <c r="AU115" s="2843"/>
      <c r="AV115" s="2843"/>
      <c r="AW115" s="2843"/>
      <c r="AX115" s="2843"/>
      <c r="AY115" s="2842"/>
      <c r="AZ115" s="3498"/>
    </row>
    <row r="116" spans="2:52" ht="13.5" customHeight="1" thickTop="1" thickBot="1">
      <c r="B116" s="3502"/>
      <c r="C116" s="3517"/>
      <c r="D116" s="3502"/>
      <c r="E116" s="2845"/>
      <c r="F116" s="3510"/>
      <c r="G116" s="3510"/>
      <c r="H116" s="3510"/>
      <c r="I116" s="3510"/>
      <c r="J116" s="3510"/>
      <c r="K116" s="3510"/>
      <c r="L116" s="3510"/>
      <c r="M116" s="3510"/>
      <c r="N116" s="3510"/>
      <c r="O116" s="3510"/>
      <c r="P116" s="3510"/>
      <c r="Q116" s="3510"/>
      <c r="R116" s="3510"/>
      <c r="S116" s="3510"/>
      <c r="T116" s="2843"/>
      <c r="U116" s="2843"/>
      <c r="V116" s="2843"/>
      <c r="W116" s="2843"/>
      <c r="X116" s="2843"/>
      <c r="Y116" s="2843"/>
      <c r="Z116" s="2843"/>
      <c r="AA116" s="3499">
        <f>'(申)計'!AA116</f>
        <v>18950268779</v>
      </c>
      <c r="AB116" s="3500"/>
      <c r="AC116" s="3500"/>
      <c r="AD116" s="3500"/>
      <c r="AE116" s="3500"/>
      <c r="AF116" s="3501"/>
      <c r="AG116" s="2843"/>
      <c r="AH116" s="3510"/>
      <c r="AI116" s="3511"/>
      <c r="AJ116" s="3511"/>
      <c r="AK116" s="3511"/>
      <c r="AL116" s="3511"/>
      <c r="AM116" s="3511"/>
      <c r="AN116" s="3511"/>
      <c r="AO116" s="3511"/>
      <c r="AP116" s="3511"/>
      <c r="AQ116" s="3511"/>
      <c r="AR116" s="2843"/>
      <c r="AS116" s="2843"/>
      <c r="AT116" s="2843"/>
      <c r="AU116" s="2843"/>
      <c r="AV116" s="2843"/>
      <c r="AW116" s="2843"/>
      <c r="AX116" s="2843"/>
      <c r="AY116" s="2842"/>
      <c r="AZ116" s="3498"/>
    </row>
    <row r="117" spans="2:52" ht="13.5" customHeight="1" thickTop="1" thickBot="1">
      <c r="B117" s="3502"/>
      <c r="C117" s="3517"/>
      <c r="D117" s="3502"/>
      <c r="E117" s="2845"/>
      <c r="F117" s="2844"/>
      <c r="G117" s="2843"/>
      <c r="H117" s="2843"/>
      <c r="I117" s="2843"/>
      <c r="J117" s="2843"/>
      <c r="K117" s="2843"/>
      <c r="L117" s="2843"/>
      <c r="M117" s="2843"/>
      <c r="N117" s="2843"/>
      <c r="O117" s="2843"/>
      <c r="P117" s="2843"/>
      <c r="Q117" s="2843"/>
      <c r="R117" s="2843"/>
      <c r="S117" s="2843"/>
      <c r="T117" s="2843"/>
      <c r="U117" s="2843"/>
      <c r="V117" s="2843"/>
      <c r="W117" s="2843"/>
      <c r="X117" s="2843"/>
      <c r="Y117" s="2843"/>
      <c r="Z117" s="2843"/>
      <c r="AA117" s="2843"/>
      <c r="AB117" s="2843"/>
      <c r="AC117" s="2843"/>
      <c r="AD117" s="2843"/>
      <c r="AE117" s="2843"/>
      <c r="AF117" s="2843"/>
      <c r="AG117" s="2843"/>
      <c r="AH117" s="2843"/>
      <c r="AI117" s="2843"/>
      <c r="AJ117" s="2843"/>
      <c r="AK117" s="2843"/>
      <c r="AL117" s="2843"/>
      <c r="AM117" s="2843"/>
      <c r="AN117" s="2843"/>
      <c r="AO117" s="2843"/>
      <c r="AP117" s="2843"/>
      <c r="AQ117" s="2843"/>
      <c r="AR117" s="2843"/>
      <c r="AS117" s="2843"/>
      <c r="AT117" s="2843"/>
      <c r="AU117" s="2843"/>
      <c r="AV117" s="2843"/>
      <c r="AW117" s="2843"/>
      <c r="AX117" s="2843"/>
      <c r="AY117" s="2842"/>
      <c r="AZ117" s="3319"/>
    </row>
    <row r="118" spans="2:52" ht="13.5" customHeight="1" thickTop="1" thickBot="1">
      <c r="B118" s="3502"/>
      <c r="C118" s="3517"/>
      <c r="D118" s="3502"/>
      <c r="E118" s="2845"/>
      <c r="F118" s="2843" t="s">
        <v>5409</v>
      </c>
      <c r="G118" s="2843"/>
      <c r="H118" s="2843"/>
      <c r="I118" s="2843"/>
      <c r="J118" s="2843"/>
      <c r="K118" s="2843"/>
      <c r="L118" s="2843"/>
      <c r="M118" s="2843"/>
      <c r="N118" s="2843"/>
      <c r="O118" s="2843"/>
      <c r="P118" s="2843"/>
      <c r="Q118" s="2843"/>
      <c r="R118" s="2843"/>
      <c r="S118" s="2843"/>
      <c r="T118" s="2843"/>
      <c r="U118" s="2843"/>
      <c r="V118" s="2843"/>
      <c r="W118" s="2843"/>
      <c r="X118" s="2843"/>
      <c r="Y118" s="2843"/>
      <c r="Z118" s="2843"/>
      <c r="AA118" s="3499">
        <f>ROUNDDOWN(AC111*AA113/AA116,0)</f>
        <v>0</v>
      </c>
      <c r="AB118" s="3500"/>
      <c r="AC118" s="3500"/>
      <c r="AD118" s="3500"/>
      <c r="AE118" s="3500"/>
      <c r="AF118" s="3501"/>
      <c r="AG118" s="2843" t="s">
        <v>5551</v>
      </c>
      <c r="AH118" s="2851" t="s">
        <v>5550</v>
      </c>
      <c r="AI118" s="2843"/>
      <c r="AJ118" s="2843"/>
      <c r="AK118" s="2843"/>
      <c r="AL118" s="2843"/>
      <c r="AM118" s="2843"/>
      <c r="AN118" s="2843"/>
      <c r="AO118" s="2843"/>
      <c r="AP118" s="2843"/>
      <c r="AQ118" s="2843"/>
      <c r="AR118" s="2843"/>
      <c r="AS118" s="2843"/>
      <c r="AT118" s="2843"/>
      <c r="AU118" s="2843"/>
      <c r="AV118" s="2843"/>
      <c r="AW118" s="2843"/>
      <c r="AX118" s="2843"/>
      <c r="AY118" s="2842"/>
      <c r="AZ118" s="3319" t="s">
        <v>6199</v>
      </c>
    </row>
    <row r="119" spans="2:52" ht="13.5" customHeight="1" thickTop="1" thickBot="1">
      <c r="B119" s="3502"/>
      <c r="C119" s="3517"/>
      <c r="D119" s="3502"/>
      <c r="E119" s="2845"/>
      <c r="F119" s="2844"/>
      <c r="G119" s="2843"/>
      <c r="H119" s="2843"/>
      <c r="I119" s="2843"/>
      <c r="J119" s="2843"/>
      <c r="K119" s="2843"/>
      <c r="L119" s="2843"/>
      <c r="M119" s="2843"/>
      <c r="N119" s="2843"/>
      <c r="O119" s="2843"/>
      <c r="P119" s="2843"/>
      <c r="Q119" s="2843"/>
      <c r="R119" s="2843"/>
      <c r="S119" s="2843"/>
      <c r="T119" s="2843"/>
      <c r="U119" s="2843"/>
      <c r="V119" s="2843"/>
      <c r="W119" s="2843"/>
      <c r="X119" s="2843"/>
      <c r="Y119" s="2843"/>
      <c r="Z119" s="2843"/>
      <c r="AA119" s="2843"/>
      <c r="AB119" s="2843"/>
      <c r="AC119" s="2843"/>
      <c r="AD119" s="2843"/>
      <c r="AE119" s="2843"/>
      <c r="AF119" s="2843"/>
      <c r="AG119" s="2843"/>
      <c r="AH119" s="2843"/>
      <c r="AI119" s="2843"/>
      <c r="AJ119" s="2843"/>
      <c r="AK119" s="2843"/>
      <c r="AL119" s="2843"/>
      <c r="AM119" s="2843"/>
      <c r="AN119" s="2843"/>
      <c r="AO119" s="2843"/>
      <c r="AP119" s="2843"/>
      <c r="AQ119" s="2843"/>
      <c r="AR119" s="2843"/>
      <c r="AS119" s="2843"/>
      <c r="AT119" s="2843"/>
      <c r="AU119" s="2843"/>
      <c r="AV119" s="2843"/>
      <c r="AW119" s="2843"/>
      <c r="AX119" s="2843"/>
      <c r="AY119" s="2842"/>
      <c r="AZ119" s="3319" t="s">
        <v>6200</v>
      </c>
    </row>
    <row r="120" spans="2:52" ht="13.5" customHeight="1" thickTop="1" thickBot="1">
      <c r="B120" s="3502"/>
      <c r="C120" s="3517"/>
      <c r="D120" s="3502"/>
      <c r="E120" s="2845" t="s">
        <v>5405</v>
      </c>
      <c r="F120" s="2844"/>
      <c r="G120" s="2843"/>
      <c r="H120" s="2843"/>
      <c r="I120" s="2843"/>
      <c r="J120" s="2843"/>
      <c r="K120" s="2843"/>
      <c r="L120" s="2843"/>
      <c r="M120" s="2843"/>
      <c r="N120" s="2843"/>
      <c r="O120" s="2843"/>
      <c r="P120" s="2843"/>
      <c r="Q120" s="2843"/>
      <c r="R120" s="2843"/>
      <c r="S120" s="2843"/>
      <c r="T120" s="2843"/>
      <c r="U120" s="2843"/>
      <c r="V120" s="2843"/>
      <c r="W120" s="2843"/>
      <c r="X120" s="2843"/>
      <c r="Y120" s="2843"/>
      <c r="Z120" s="3499">
        <f>Z108+AA118</f>
        <v>98940</v>
      </c>
      <c r="AA120" s="3500"/>
      <c r="AB120" s="3500"/>
      <c r="AC120" s="3500"/>
      <c r="AD120" s="3500"/>
      <c r="AE120" s="3501"/>
      <c r="AF120" s="2843" t="s">
        <v>5549</v>
      </c>
      <c r="AG120" s="2851" t="s">
        <v>5548</v>
      </c>
      <c r="AH120" s="2843"/>
      <c r="AI120" s="2843"/>
      <c r="AJ120" s="2843"/>
      <c r="AK120" s="2843"/>
      <c r="AL120" s="2843"/>
      <c r="AM120" s="2843"/>
      <c r="AN120" s="2843"/>
      <c r="AO120" s="2843"/>
      <c r="AP120" s="2843"/>
      <c r="AQ120" s="2843"/>
      <c r="AR120" s="2843"/>
      <c r="AS120" s="2843"/>
      <c r="AT120" s="2843"/>
      <c r="AU120" s="2843"/>
      <c r="AV120" s="2843"/>
      <c r="AW120" s="2843"/>
      <c r="AX120" s="2843"/>
      <c r="AY120" s="2842"/>
      <c r="AZ120" s="3319" t="s">
        <v>6213</v>
      </c>
    </row>
    <row r="121" spans="2:52" ht="13.5" customHeight="1" thickTop="1" thickBot="1">
      <c r="B121" s="3502"/>
      <c r="C121" s="3517"/>
      <c r="D121" s="3502"/>
      <c r="E121" s="2845"/>
      <c r="F121" s="2844"/>
      <c r="G121" s="2843"/>
      <c r="H121" s="2843"/>
      <c r="I121" s="2843"/>
      <c r="J121" s="2843"/>
      <c r="K121" s="2843"/>
      <c r="L121" s="2843"/>
      <c r="M121" s="2843"/>
      <c r="N121" s="2843"/>
      <c r="O121" s="2843"/>
      <c r="P121" s="2843"/>
      <c r="Q121" s="2843"/>
      <c r="R121" s="2843"/>
      <c r="S121" s="2843"/>
      <c r="T121" s="2843"/>
      <c r="U121" s="2843"/>
      <c r="V121" s="2843"/>
      <c r="W121" s="2843"/>
      <c r="X121" s="2843"/>
      <c r="Y121" s="2843"/>
      <c r="Z121" s="2843"/>
      <c r="AA121" s="2843"/>
      <c r="AB121" s="2843"/>
      <c r="AC121" s="2843"/>
      <c r="AD121" s="2843"/>
      <c r="AE121" s="2843"/>
      <c r="AF121" s="2843"/>
      <c r="AG121" s="2843"/>
      <c r="AH121" s="2843"/>
      <c r="AI121" s="2843"/>
      <c r="AJ121" s="2843"/>
      <c r="AK121" s="2843"/>
      <c r="AL121" s="2843"/>
      <c r="AM121" s="2843"/>
      <c r="AN121" s="2843"/>
      <c r="AO121" s="2843"/>
      <c r="AP121" s="2843"/>
      <c r="AQ121" s="2843"/>
      <c r="AR121" s="2843"/>
      <c r="AS121" s="2843"/>
      <c r="AT121" s="2843"/>
      <c r="AU121" s="2843"/>
      <c r="AV121" s="2843"/>
      <c r="AW121" s="2843"/>
      <c r="AX121" s="2843"/>
      <c r="AY121" s="2842"/>
      <c r="AZ121" s="3320" t="s">
        <v>6202</v>
      </c>
    </row>
    <row r="122" spans="2:52" ht="13.5" customHeight="1" thickTop="1" thickBot="1">
      <c r="B122" s="3502"/>
      <c r="C122" s="3517"/>
      <c r="D122" s="3502"/>
      <c r="E122" s="2845" t="s">
        <v>5400</v>
      </c>
      <c r="F122" s="2844"/>
      <c r="G122" s="2843"/>
      <c r="H122" s="2843"/>
      <c r="I122" s="2843"/>
      <c r="J122" s="2843"/>
      <c r="K122" s="2843"/>
      <c r="L122" s="2843"/>
      <c r="M122" s="2843"/>
      <c r="N122" s="2843"/>
      <c r="O122" s="2843"/>
      <c r="P122" s="2843"/>
      <c r="Q122" s="2843"/>
      <c r="R122" s="2843"/>
      <c r="S122" s="2843"/>
      <c r="T122" s="2843"/>
      <c r="U122" s="2843"/>
      <c r="V122" s="2843"/>
      <c r="W122" s="2843"/>
      <c r="X122" s="2843"/>
      <c r="Y122" s="2843"/>
      <c r="Z122" s="3499">
        <f>Z98-Z120</f>
        <v>-22074</v>
      </c>
      <c r="AA122" s="3500"/>
      <c r="AB122" s="3500"/>
      <c r="AC122" s="3500"/>
      <c r="AD122" s="3500"/>
      <c r="AE122" s="3501"/>
      <c r="AF122" s="2843" t="s">
        <v>5547</v>
      </c>
      <c r="AG122" s="2851" t="s">
        <v>5546</v>
      </c>
      <c r="AH122" s="2843"/>
      <c r="AI122" s="2843"/>
      <c r="AJ122" s="2843"/>
      <c r="AK122" s="2843"/>
      <c r="AL122" s="2843"/>
      <c r="AM122" s="2843"/>
      <c r="AN122" s="2843"/>
      <c r="AO122" s="2843"/>
      <c r="AP122" s="2843"/>
      <c r="AQ122" s="2843"/>
      <c r="AR122" s="2843"/>
      <c r="AS122" s="2843"/>
      <c r="AT122" s="2843"/>
      <c r="AU122" s="2843"/>
      <c r="AV122" s="2843"/>
      <c r="AW122" s="2843"/>
      <c r="AX122" s="2843"/>
      <c r="AY122" s="2842"/>
      <c r="AZ122" s="3041" t="s">
        <v>6204</v>
      </c>
    </row>
    <row r="123" spans="2:52" ht="13.5" customHeight="1" thickTop="1">
      <c r="B123" s="3502"/>
      <c r="C123" s="3518"/>
      <c r="D123" s="3513"/>
      <c r="E123" s="2840"/>
      <c r="F123" s="2839"/>
      <c r="G123" s="2838"/>
      <c r="H123" s="2838"/>
      <c r="I123" s="2838"/>
      <c r="J123" s="2838"/>
      <c r="K123" s="2838"/>
      <c r="L123" s="2838"/>
      <c r="M123" s="2838"/>
      <c r="N123" s="2838"/>
      <c r="O123" s="2838"/>
      <c r="P123" s="2838"/>
      <c r="Q123" s="2838"/>
      <c r="R123" s="2838"/>
      <c r="S123" s="2838"/>
      <c r="T123" s="2838"/>
      <c r="U123" s="2838"/>
      <c r="V123" s="2838"/>
      <c r="W123" s="2838"/>
      <c r="X123" s="2838"/>
      <c r="Y123" s="2838"/>
      <c r="Z123" s="2838"/>
      <c r="AA123" s="2838"/>
      <c r="AB123" s="2838"/>
      <c r="AC123" s="2838"/>
      <c r="AD123" s="2838"/>
      <c r="AE123" s="2838"/>
      <c r="AF123" s="2838"/>
      <c r="AG123" s="2838"/>
      <c r="AH123" s="2838"/>
      <c r="AI123" s="2838"/>
      <c r="AJ123" s="2838"/>
      <c r="AK123" s="2838"/>
      <c r="AL123" s="2838"/>
      <c r="AM123" s="2838"/>
      <c r="AN123" s="2838"/>
      <c r="AO123" s="2838"/>
      <c r="AP123" s="2838"/>
      <c r="AQ123" s="2838"/>
      <c r="AR123" s="2838"/>
      <c r="AS123" s="2838"/>
      <c r="AT123" s="2838"/>
      <c r="AU123" s="2838"/>
      <c r="AV123" s="2838"/>
      <c r="AW123" s="2838"/>
      <c r="AX123" s="2838"/>
      <c r="AY123" s="2837"/>
      <c r="AZ123" s="3047" t="s">
        <v>6216</v>
      </c>
    </row>
    <row r="124" spans="2:52" ht="13.5" customHeight="1">
      <c r="B124" s="3502"/>
      <c r="C124" s="2846"/>
      <c r="D124" s="2855"/>
      <c r="E124" s="2850"/>
      <c r="F124" s="2849"/>
      <c r="G124" s="2848"/>
      <c r="H124" s="2848"/>
      <c r="I124" s="2848"/>
      <c r="J124" s="2848"/>
      <c r="K124" s="2848"/>
      <c r="L124" s="2848"/>
      <c r="M124" s="2848"/>
      <c r="N124" s="2848"/>
      <c r="O124" s="2848"/>
      <c r="P124" s="2848"/>
      <c r="Q124" s="2848"/>
      <c r="R124" s="2848"/>
      <c r="S124" s="2848"/>
      <c r="T124" s="2848"/>
      <c r="U124" s="2848"/>
      <c r="V124" s="2848"/>
      <c r="W124" s="2848"/>
      <c r="X124" s="2848"/>
      <c r="Y124" s="2848"/>
      <c r="Z124" s="2848"/>
      <c r="AA124" s="2848"/>
      <c r="AB124" s="2848"/>
      <c r="AC124" s="2848"/>
      <c r="AD124" s="2848"/>
      <c r="AE124" s="2848"/>
      <c r="AF124" s="2848"/>
      <c r="AG124" s="2848"/>
      <c r="AH124" s="2848"/>
      <c r="AI124" s="2848"/>
      <c r="AJ124" s="2848"/>
      <c r="AK124" s="2848"/>
      <c r="AL124" s="2848"/>
      <c r="AM124" s="2848"/>
      <c r="AN124" s="2848"/>
      <c r="AO124" s="2848"/>
      <c r="AP124" s="2848"/>
      <c r="AQ124" s="2848"/>
      <c r="AR124" s="2848"/>
      <c r="AS124" s="2848"/>
      <c r="AT124" s="2848"/>
      <c r="AU124" s="2848"/>
      <c r="AV124" s="2848"/>
      <c r="AW124" s="2848"/>
      <c r="AX124" s="2848"/>
      <c r="AY124" s="2847"/>
      <c r="AZ124" s="2846"/>
    </row>
    <row r="125" spans="2:52" ht="13.5" customHeight="1">
      <c r="B125" s="3502"/>
      <c r="C125" s="2841"/>
      <c r="D125" s="2854"/>
      <c r="E125" s="2845"/>
      <c r="F125" s="2844"/>
      <c r="G125" s="2843"/>
      <c r="H125" s="2843"/>
      <c r="I125" s="2843"/>
      <c r="J125" s="2843"/>
      <c r="K125" s="2843"/>
      <c r="L125" s="2843"/>
      <c r="M125" s="2843"/>
      <c r="N125" s="2843"/>
      <c r="O125" s="2843"/>
      <c r="P125" s="2843"/>
      <c r="Q125" s="2843"/>
      <c r="R125" s="2843"/>
      <c r="S125" s="2843"/>
      <c r="T125" s="2843"/>
      <c r="U125" s="2843"/>
      <c r="V125" s="2843"/>
      <c r="W125" s="2843"/>
      <c r="X125" s="2843"/>
      <c r="Y125" s="2843"/>
      <c r="Z125" s="2843"/>
      <c r="AA125" s="2843"/>
      <c r="AB125" s="2843"/>
      <c r="AC125" s="2843"/>
      <c r="AD125" s="2843"/>
      <c r="AE125" s="2843"/>
      <c r="AF125" s="2843"/>
      <c r="AG125" s="2843"/>
      <c r="AH125" s="2843"/>
      <c r="AI125" s="2843"/>
      <c r="AJ125" s="2843"/>
      <c r="AK125" s="2843"/>
      <c r="AL125" s="2843"/>
      <c r="AM125" s="2843"/>
      <c r="AN125" s="2843"/>
      <c r="AO125" s="2843"/>
      <c r="AP125" s="2843"/>
      <c r="AQ125" s="2843"/>
      <c r="AR125" s="2843"/>
      <c r="AS125" s="2843"/>
      <c r="AT125" s="2843"/>
      <c r="AU125" s="2843"/>
      <c r="AV125" s="2843"/>
      <c r="AW125" s="2843"/>
      <c r="AX125" s="2843"/>
      <c r="AY125" s="2842"/>
      <c r="AZ125" s="2841"/>
    </row>
    <row r="126" spans="2:52" ht="13.5" customHeight="1">
      <c r="B126" s="3502"/>
      <c r="C126" s="2841"/>
      <c r="D126" s="2854"/>
      <c r="E126" s="2845"/>
      <c r="F126" s="2844"/>
      <c r="G126" s="2843"/>
      <c r="H126" s="2843"/>
      <c r="I126" s="2843"/>
      <c r="J126" s="2843"/>
      <c r="K126" s="2843"/>
      <c r="L126" s="2843"/>
      <c r="M126" s="2843"/>
      <c r="N126" s="2843"/>
      <c r="O126" s="2843"/>
      <c r="P126" s="2843"/>
      <c r="Q126" s="2843"/>
      <c r="R126" s="2843"/>
      <c r="S126" s="2843"/>
      <c r="T126" s="2843"/>
      <c r="U126" s="2843"/>
      <c r="V126" s="2843"/>
      <c r="W126" s="2843"/>
      <c r="X126" s="2843"/>
      <c r="Y126" s="2843"/>
      <c r="Z126" s="2843"/>
      <c r="AA126" s="2843"/>
      <c r="AB126" s="2843"/>
      <c r="AC126" s="2843"/>
      <c r="AD126" s="2843"/>
      <c r="AE126" s="2843"/>
      <c r="AF126" s="2843"/>
      <c r="AG126" s="2843"/>
      <c r="AH126" s="2843"/>
      <c r="AI126" s="2843"/>
      <c r="AJ126" s="2843"/>
      <c r="AK126" s="2843"/>
      <c r="AL126" s="2843"/>
      <c r="AM126" s="2843"/>
      <c r="AN126" s="2843"/>
      <c r="AO126" s="2843"/>
      <c r="AP126" s="2843"/>
      <c r="AQ126" s="2843"/>
      <c r="AR126" s="2843"/>
      <c r="AS126" s="2843"/>
      <c r="AT126" s="2843"/>
      <c r="AU126" s="2843"/>
      <c r="AV126" s="2843"/>
      <c r="AW126" s="2843"/>
      <c r="AX126" s="2843"/>
      <c r="AY126" s="2842"/>
      <c r="AZ126" s="2841"/>
    </row>
    <row r="127" spans="2:52" ht="13.5" customHeight="1">
      <c r="B127" s="3502"/>
      <c r="C127" s="2841"/>
      <c r="D127" s="2854"/>
      <c r="E127" s="2845"/>
      <c r="F127" s="2844"/>
      <c r="G127" s="2843"/>
      <c r="H127" s="2843"/>
      <c r="I127" s="2843"/>
      <c r="J127" s="2843"/>
      <c r="K127" s="2843"/>
      <c r="L127" s="2843"/>
      <c r="M127" s="2843"/>
      <c r="N127" s="2843"/>
      <c r="O127" s="2843"/>
      <c r="P127" s="2843"/>
      <c r="Q127" s="2843"/>
      <c r="R127" s="2843"/>
      <c r="S127" s="2843"/>
      <c r="T127" s="2843"/>
      <c r="U127" s="2843"/>
      <c r="V127" s="2843"/>
      <c r="W127" s="2843"/>
      <c r="X127" s="2843"/>
      <c r="Y127" s="2843"/>
      <c r="Z127" s="2843"/>
      <c r="AA127" s="2843"/>
      <c r="AB127" s="2843"/>
      <c r="AC127" s="2843"/>
      <c r="AD127" s="2843"/>
      <c r="AE127" s="2843"/>
      <c r="AF127" s="2843"/>
      <c r="AG127" s="2843"/>
      <c r="AH127" s="2843"/>
      <c r="AI127" s="2843"/>
      <c r="AJ127" s="2843"/>
      <c r="AK127" s="2843"/>
      <c r="AL127" s="2843"/>
      <c r="AM127" s="2843"/>
      <c r="AN127" s="2843"/>
      <c r="AO127" s="2843"/>
      <c r="AP127" s="2843"/>
      <c r="AQ127" s="2843"/>
      <c r="AR127" s="2843"/>
      <c r="AS127" s="2843"/>
      <c r="AT127" s="2843"/>
      <c r="AU127" s="2843"/>
      <c r="AV127" s="2843"/>
      <c r="AW127" s="2843"/>
      <c r="AX127" s="2843"/>
      <c r="AY127" s="2842"/>
      <c r="AZ127" s="2841"/>
    </row>
    <row r="128" spans="2:52" ht="13.5" customHeight="1">
      <c r="B128" s="3502"/>
      <c r="C128" s="2841"/>
      <c r="D128" s="2854"/>
      <c r="E128" s="2845"/>
      <c r="F128" s="2844"/>
      <c r="G128" s="2843"/>
      <c r="H128" s="2843"/>
      <c r="I128" s="2843"/>
      <c r="J128" s="2843"/>
      <c r="K128" s="2843"/>
      <c r="L128" s="2843"/>
      <c r="M128" s="2843"/>
      <c r="N128" s="2843"/>
      <c r="O128" s="2843"/>
      <c r="P128" s="2843"/>
      <c r="Q128" s="2843"/>
      <c r="R128" s="2843"/>
      <c r="S128" s="2843"/>
      <c r="T128" s="2843"/>
      <c r="U128" s="2843"/>
      <c r="V128" s="2843"/>
      <c r="W128" s="2843"/>
      <c r="X128" s="2843"/>
      <c r="Y128" s="2843"/>
      <c r="Z128" s="2843"/>
      <c r="AA128" s="2843"/>
      <c r="AB128" s="2843"/>
      <c r="AC128" s="2843"/>
      <c r="AD128" s="2843"/>
      <c r="AE128" s="2843"/>
      <c r="AF128" s="2843"/>
      <c r="AG128" s="2843"/>
      <c r="AH128" s="2843"/>
      <c r="AI128" s="2843"/>
      <c r="AJ128" s="2843"/>
      <c r="AK128" s="2843"/>
      <c r="AL128" s="2843"/>
      <c r="AM128" s="2843"/>
      <c r="AN128" s="2843"/>
      <c r="AO128" s="2843"/>
      <c r="AP128" s="2843"/>
      <c r="AQ128" s="2843"/>
      <c r="AR128" s="2843"/>
      <c r="AS128" s="2843"/>
      <c r="AT128" s="2843"/>
      <c r="AU128" s="2843"/>
      <c r="AV128" s="2843"/>
      <c r="AW128" s="2843"/>
      <c r="AX128" s="2843"/>
      <c r="AY128" s="2842"/>
      <c r="AZ128" s="2841"/>
    </row>
    <row r="129" spans="2:52" ht="13.5" customHeight="1">
      <c r="B129" s="3502"/>
      <c r="C129" s="2841"/>
      <c r="D129" s="2854"/>
      <c r="E129" s="2845"/>
      <c r="F129" s="2844"/>
      <c r="G129" s="2843"/>
      <c r="H129" s="2843"/>
      <c r="I129" s="2843"/>
      <c r="J129" s="2843"/>
      <c r="K129" s="2843"/>
      <c r="L129" s="2843"/>
      <c r="M129" s="2843"/>
      <c r="N129" s="2843"/>
      <c r="O129" s="2843"/>
      <c r="P129" s="2843"/>
      <c r="Q129" s="2843"/>
      <c r="R129" s="2843"/>
      <c r="S129" s="2843"/>
      <c r="T129" s="2843"/>
      <c r="U129" s="2843"/>
      <c r="V129" s="2843"/>
      <c r="W129" s="2843"/>
      <c r="X129" s="2843"/>
      <c r="Y129" s="2843"/>
      <c r="Z129" s="2843"/>
      <c r="AA129" s="2843"/>
      <c r="AB129" s="2843"/>
      <c r="AC129" s="2843"/>
      <c r="AD129" s="2843"/>
      <c r="AE129" s="2843"/>
      <c r="AF129" s="2843"/>
      <c r="AG129" s="2843"/>
      <c r="AH129" s="2843"/>
      <c r="AI129" s="2843"/>
      <c r="AJ129" s="2843"/>
      <c r="AK129" s="2843"/>
      <c r="AL129" s="2843"/>
      <c r="AM129" s="2843"/>
      <c r="AN129" s="2843"/>
      <c r="AO129" s="2843"/>
      <c r="AP129" s="2843"/>
      <c r="AQ129" s="2843"/>
      <c r="AR129" s="2843"/>
      <c r="AS129" s="2843"/>
      <c r="AT129" s="2843"/>
      <c r="AU129" s="2843"/>
      <c r="AV129" s="2843"/>
      <c r="AW129" s="2843"/>
      <c r="AX129" s="2843"/>
      <c r="AY129" s="2842"/>
      <c r="AZ129" s="2841"/>
    </row>
    <row r="130" spans="2:52" ht="13.5" customHeight="1">
      <c r="B130" s="3513"/>
      <c r="C130" s="2836"/>
      <c r="D130" s="2853"/>
      <c r="E130" s="2840"/>
      <c r="F130" s="2839"/>
      <c r="G130" s="2838"/>
      <c r="H130" s="2838"/>
      <c r="I130" s="2838"/>
      <c r="J130" s="2838"/>
      <c r="K130" s="2838"/>
      <c r="L130" s="2838"/>
      <c r="M130" s="2838"/>
      <c r="N130" s="2838"/>
      <c r="O130" s="2838"/>
      <c r="P130" s="2838"/>
      <c r="Q130" s="2838"/>
      <c r="R130" s="2838"/>
      <c r="S130" s="2838"/>
      <c r="T130" s="2838"/>
      <c r="U130" s="2838"/>
      <c r="V130" s="2838"/>
      <c r="W130" s="2838"/>
      <c r="X130" s="2838"/>
      <c r="Y130" s="2838"/>
      <c r="Z130" s="2838"/>
      <c r="AA130" s="2838"/>
      <c r="AB130" s="2838"/>
      <c r="AC130" s="2838"/>
      <c r="AD130" s="2838"/>
      <c r="AE130" s="2838"/>
      <c r="AF130" s="2838"/>
      <c r="AG130" s="2838"/>
      <c r="AH130" s="2838"/>
      <c r="AI130" s="2838"/>
      <c r="AJ130" s="2838"/>
      <c r="AK130" s="2838"/>
      <c r="AL130" s="2838"/>
      <c r="AM130" s="2838"/>
      <c r="AN130" s="2838"/>
      <c r="AO130" s="2838"/>
      <c r="AP130" s="2838"/>
      <c r="AQ130" s="2838"/>
      <c r="AR130" s="2838"/>
      <c r="AS130" s="2838"/>
      <c r="AT130" s="2838"/>
      <c r="AU130" s="2838"/>
      <c r="AV130" s="2838"/>
      <c r="AW130" s="2838"/>
      <c r="AX130" s="2838"/>
      <c r="AY130" s="2837"/>
      <c r="AZ130" s="2836"/>
    </row>
    <row r="131" spans="2:52" ht="13.5" customHeight="1">
      <c r="B131" s="3512" t="s">
        <v>5397</v>
      </c>
      <c r="C131" s="3514">
        <v>1</v>
      </c>
      <c r="D131" s="3514" t="s">
        <v>5396</v>
      </c>
      <c r="E131" s="2850"/>
      <c r="F131" s="2849"/>
      <c r="G131" s="2848"/>
      <c r="H131" s="2848"/>
      <c r="I131" s="2848"/>
      <c r="J131" s="2848"/>
      <c r="K131" s="2848"/>
      <c r="L131" s="2848"/>
      <c r="M131" s="2848"/>
      <c r="N131" s="2848"/>
      <c r="O131" s="2848"/>
      <c r="P131" s="2848"/>
      <c r="Q131" s="2848"/>
      <c r="R131" s="2848"/>
      <c r="S131" s="2848"/>
      <c r="T131" s="2852"/>
      <c r="U131" s="2852"/>
      <c r="V131" s="2852"/>
      <c r="W131" s="2852"/>
      <c r="X131" s="2852"/>
      <c r="Y131" s="2852"/>
      <c r="Z131" s="2848"/>
      <c r="AA131" s="2848"/>
      <c r="AB131" s="2848"/>
      <c r="AC131" s="2848"/>
      <c r="AD131" s="2848"/>
      <c r="AE131" s="2848"/>
      <c r="AF131" s="2848"/>
      <c r="AG131" s="2848"/>
      <c r="AH131" s="2848"/>
      <c r="AI131" s="2848"/>
      <c r="AJ131" s="2848"/>
      <c r="AK131" s="2848"/>
      <c r="AL131" s="2848"/>
      <c r="AM131" s="2848"/>
      <c r="AN131" s="2848"/>
      <c r="AO131" s="2848"/>
      <c r="AP131" s="2848"/>
      <c r="AQ131" s="2848"/>
      <c r="AR131" s="2848"/>
      <c r="AS131" s="2848"/>
      <c r="AT131" s="2848"/>
      <c r="AU131" s="2848"/>
      <c r="AV131" s="2848"/>
      <c r="AW131" s="2848"/>
      <c r="AX131" s="2848"/>
      <c r="AY131" s="2847"/>
      <c r="AZ131" s="2846"/>
    </row>
    <row r="132" spans="2:52" ht="13.5" customHeight="1">
      <c r="B132" s="3502"/>
      <c r="C132" s="3498"/>
      <c r="D132" s="3498"/>
      <c r="E132" s="2845" t="s">
        <v>5375</v>
      </c>
      <c r="F132" s="2844"/>
      <c r="G132" s="2843"/>
      <c r="H132" s="2843"/>
      <c r="I132" s="2843"/>
      <c r="J132" s="2843" t="s">
        <v>5395</v>
      </c>
      <c r="K132" s="2843"/>
      <c r="L132" s="2843"/>
      <c r="M132" s="2843"/>
      <c r="N132" s="2843"/>
      <c r="O132" s="2843"/>
      <c r="P132" s="2843"/>
      <c r="Q132" s="2843"/>
      <c r="R132" s="2843"/>
      <c r="S132" s="2843"/>
      <c r="T132" s="3497">
        <f>IF(0&gt;Z122,0,Z122)</f>
        <v>0</v>
      </c>
      <c r="U132" s="3497"/>
      <c r="V132" s="3497"/>
      <c r="W132" s="3497"/>
      <c r="X132" s="3497"/>
      <c r="Y132" s="3497"/>
      <c r="Z132" s="2843"/>
      <c r="AA132" s="2851" t="s">
        <v>5394</v>
      </c>
      <c r="AB132" s="2843"/>
      <c r="AC132" s="2843"/>
      <c r="AD132" s="2843"/>
      <c r="AE132" s="2843"/>
      <c r="AF132" s="2843"/>
      <c r="AG132" s="2843"/>
      <c r="AH132" s="2843"/>
      <c r="AI132" s="2843"/>
      <c r="AJ132" s="2843"/>
      <c r="AK132" s="2843"/>
      <c r="AL132" s="2843"/>
      <c r="AM132" s="2843"/>
      <c r="AN132" s="2843"/>
      <c r="AO132" s="2843"/>
      <c r="AP132" s="2843"/>
      <c r="AQ132" s="2843"/>
      <c r="AR132" s="2843"/>
      <c r="AS132" s="2843"/>
      <c r="AT132" s="2843"/>
      <c r="AU132" s="2843"/>
      <c r="AV132" s="2843"/>
      <c r="AW132" s="2843"/>
      <c r="AX132" s="2843"/>
      <c r="AY132" s="2842"/>
      <c r="AZ132" s="2841" t="s">
        <v>6230</v>
      </c>
    </row>
    <row r="133" spans="2:52" ht="13.5" customHeight="1" thickBot="1">
      <c r="B133" s="3502"/>
      <c r="C133" s="3498"/>
      <c r="D133" s="3498"/>
      <c r="E133" s="2845"/>
      <c r="F133" s="2844"/>
      <c r="G133" s="2843"/>
      <c r="H133" s="2843"/>
      <c r="I133" s="2843"/>
      <c r="J133" s="2843"/>
      <c r="K133" s="2843"/>
      <c r="L133" s="2843"/>
      <c r="M133" s="2843"/>
      <c r="N133" s="2843"/>
      <c r="O133" s="2843"/>
      <c r="P133" s="2843"/>
      <c r="Q133" s="2843"/>
      <c r="R133" s="2843"/>
      <c r="S133" s="2843"/>
      <c r="T133" s="2843"/>
      <c r="U133" s="2843"/>
      <c r="V133" s="2843"/>
      <c r="W133" s="2843"/>
      <c r="X133" s="2843"/>
      <c r="Y133" s="2843"/>
      <c r="Z133" s="2843"/>
      <c r="AA133" s="2843"/>
      <c r="AB133" s="2843"/>
      <c r="AC133" s="2843"/>
      <c r="AD133" s="2843"/>
      <c r="AE133" s="2843"/>
      <c r="AF133" s="2843"/>
      <c r="AG133" s="2843"/>
      <c r="AH133" s="2843"/>
      <c r="AI133" s="2843"/>
      <c r="AJ133" s="2843"/>
      <c r="AK133" s="2843"/>
      <c r="AL133" s="2843"/>
      <c r="AM133" s="2843"/>
      <c r="AN133" s="2843"/>
      <c r="AO133" s="2843"/>
      <c r="AP133" s="2843"/>
      <c r="AQ133" s="2843"/>
      <c r="AR133" s="2843"/>
      <c r="AS133" s="2843"/>
      <c r="AT133" s="2843"/>
      <c r="AU133" s="2843"/>
      <c r="AV133" s="2843"/>
      <c r="AW133" s="2843"/>
      <c r="AX133" s="2843"/>
      <c r="AY133" s="2842"/>
      <c r="AZ133" s="2841">
        <v>0</v>
      </c>
    </row>
    <row r="134" spans="2:52" ht="13.5" customHeight="1" thickTop="1" thickBot="1">
      <c r="B134" s="3502"/>
      <c r="C134" s="3498"/>
      <c r="D134" s="3498"/>
      <c r="E134" s="2845"/>
      <c r="F134" s="2844"/>
      <c r="G134" s="2843"/>
      <c r="H134" s="2843"/>
      <c r="I134" s="2843"/>
      <c r="J134" s="2843" t="s">
        <v>5393</v>
      </c>
      <c r="K134" s="2843"/>
      <c r="L134" s="2843"/>
      <c r="M134" s="2843"/>
      <c r="N134" s="2843"/>
      <c r="O134" s="2843"/>
      <c r="P134" s="2843"/>
      <c r="Q134" s="2843"/>
      <c r="R134" s="2843"/>
      <c r="S134" s="2843"/>
      <c r="T134" s="3499">
        <f>ROUNDDOWN(R25*63/1080,0)</f>
        <v>2294</v>
      </c>
      <c r="U134" s="3500"/>
      <c r="V134" s="3500"/>
      <c r="W134" s="3500"/>
      <c r="X134" s="3500"/>
      <c r="Y134" s="3501"/>
      <c r="Z134" s="2843" t="s">
        <v>5545</v>
      </c>
      <c r="AA134" s="2851" t="s">
        <v>5570</v>
      </c>
      <c r="AB134" s="2843"/>
      <c r="AC134" s="2843"/>
      <c r="AD134" s="2843"/>
      <c r="AE134" s="2843"/>
      <c r="AF134" s="2843"/>
      <c r="AG134" s="2843"/>
      <c r="AH134" s="2843"/>
      <c r="AI134" s="2843"/>
      <c r="AJ134" s="2843"/>
      <c r="AK134" s="2843"/>
      <c r="AL134" s="2843"/>
      <c r="AM134" s="2843"/>
      <c r="AN134" s="2843"/>
      <c r="AO134" s="2843"/>
      <c r="AP134" s="2843"/>
      <c r="AQ134" s="2843"/>
      <c r="AR134" s="2843"/>
      <c r="AS134" s="2843"/>
      <c r="AT134" s="2843"/>
      <c r="AU134" s="2843"/>
      <c r="AV134" s="2843"/>
      <c r="AW134" s="2843"/>
      <c r="AX134" s="2843"/>
      <c r="AY134" s="2842"/>
      <c r="AZ134" s="2841" t="s">
        <v>5390</v>
      </c>
    </row>
    <row r="135" spans="2:52" ht="13.5" customHeight="1" thickTop="1">
      <c r="B135" s="3502"/>
      <c r="C135" s="3498"/>
      <c r="D135" s="3498"/>
      <c r="E135" s="2845"/>
      <c r="F135" s="2844"/>
      <c r="G135" s="2843"/>
      <c r="H135" s="2843"/>
      <c r="I135" s="2843"/>
      <c r="J135" s="2843"/>
      <c r="K135" s="2843"/>
      <c r="L135" s="2843"/>
      <c r="M135" s="2843"/>
      <c r="N135" s="2843"/>
      <c r="O135" s="2843"/>
      <c r="P135" s="2843"/>
      <c r="Q135" s="2843"/>
      <c r="R135" s="2843"/>
      <c r="S135" s="2843"/>
      <c r="T135" s="2843"/>
      <c r="U135" s="2843"/>
      <c r="V135" s="2843"/>
      <c r="W135" s="2843"/>
      <c r="X135" s="2843"/>
      <c r="Y135" s="2843"/>
      <c r="Z135" s="2843"/>
      <c r="AA135" s="2843"/>
      <c r="AB135" s="2843"/>
      <c r="AC135" s="2843"/>
      <c r="AD135" s="2843"/>
      <c r="AE135" s="2843"/>
      <c r="AF135" s="2843"/>
      <c r="AG135" s="2843"/>
      <c r="AH135" s="2843"/>
      <c r="AI135" s="2843"/>
      <c r="AJ135" s="2843"/>
      <c r="AK135" s="2843"/>
      <c r="AL135" s="2843"/>
      <c r="AM135" s="2843"/>
      <c r="AN135" s="2843"/>
      <c r="AO135" s="2843"/>
      <c r="AP135" s="2843"/>
      <c r="AQ135" s="2843"/>
      <c r="AR135" s="2843"/>
      <c r="AS135" s="2843"/>
      <c r="AT135" s="2843"/>
      <c r="AU135" s="2843"/>
      <c r="AV135" s="2843"/>
      <c r="AW135" s="2843"/>
      <c r="AX135" s="2843"/>
      <c r="AY135" s="2842"/>
      <c r="AZ135" s="2841"/>
    </row>
    <row r="136" spans="2:52" ht="13.5" customHeight="1" thickBot="1">
      <c r="B136" s="3502"/>
      <c r="C136" s="3498"/>
      <c r="D136" s="3498"/>
      <c r="E136" s="2845"/>
      <c r="F136" s="2844"/>
      <c r="G136" s="2843"/>
      <c r="H136" s="2843"/>
      <c r="I136" s="2843"/>
      <c r="J136" s="2843" t="s">
        <v>5389</v>
      </c>
      <c r="K136" s="2843"/>
      <c r="L136" s="2843"/>
      <c r="M136" s="2843"/>
      <c r="N136" s="2843"/>
      <c r="O136" s="2843"/>
      <c r="P136" s="2843"/>
      <c r="Q136" s="2843"/>
      <c r="R136" s="2843"/>
      <c r="S136" s="2843"/>
      <c r="T136" s="3519">
        <f>基礎数値!F17</f>
        <v>24667001</v>
      </c>
      <c r="U136" s="3519"/>
      <c r="V136" s="3519"/>
      <c r="W136" s="3519"/>
      <c r="X136" s="3519"/>
      <c r="Y136" s="3519"/>
      <c r="Z136" s="2843" t="s">
        <v>5543</v>
      </c>
      <c r="AA136" s="2851" t="s">
        <v>5387</v>
      </c>
      <c r="AB136" s="2843"/>
      <c r="AC136" s="2843"/>
      <c r="AD136" s="2843"/>
      <c r="AE136" s="2843"/>
      <c r="AF136" s="2843"/>
      <c r="AG136" s="2843"/>
      <c r="AH136" s="2843"/>
      <c r="AI136" s="2843"/>
      <c r="AJ136" s="2843"/>
      <c r="AK136" s="2843"/>
      <c r="AL136" s="2843"/>
      <c r="AM136" s="2843"/>
      <c r="AN136" s="2843"/>
      <c r="AO136" s="2843"/>
      <c r="AP136" s="2843"/>
      <c r="AQ136" s="2843"/>
      <c r="AR136" s="2843"/>
      <c r="AS136" s="2843"/>
      <c r="AT136" s="2843"/>
      <c r="AU136" s="2843"/>
      <c r="AV136" s="2843"/>
      <c r="AW136" s="2843"/>
      <c r="AX136" s="2843"/>
      <c r="AY136" s="2842"/>
      <c r="AZ136" s="2841"/>
    </row>
    <row r="137" spans="2:52" ht="13.5" customHeight="1" thickTop="1" thickBot="1">
      <c r="B137" s="3502"/>
      <c r="C137" s="3498"/>
      <c r="D137" s="3498"/>
      <c r="E137" s="2845"/>
      <c r="F137" s="2844"/>
      <c r="G137" s="2843"/>
      <c r="H137" s="2843"/>
      <c r="I137" s="2843"/>
      <c r="J137" s="2843" t="s">
        <v>5386</v>
      </c>
      <c r="K137" s="2843"/>
      <c r="L137" s="2843"/>
      <c r="M137" s="2843"/>
      <c r="N137" s="2843"/>
      <c r="O137" s="2843"/>
      <c r="P137" s="2843"/>
      <c r="Q137" s="2843"/>
      <c r="R137" s="2843"/>
      <c r="S137" s="2843"/>
      <c r="T137" s="3499">
        <f>ROUNDDOWN(T136*63/1080,0)</f>
        <v>1438908</v>
      </c>
      <c r="U137" s="3500"/>
      <c r="V137" s="3500"/>
      <c r="W137" s="3500"/>
      <c r="X137" s="3500"/>
      <c r="Y137" s="3501"/>
      <c r="Z137" s="2843" t="s">
        <v>5542</v>
      </c>
      <c r="AA137" s="2851" t="s">
        <v>5569</v>
      </c>
      <c r="AB137" s="2843"/>
      <c r="AC137" s="2843"/>
      <c r="AD137" s="2843"/>
      <c r="AE137" s="2843"/>
      <c r="AF137" s="2843"/>
      <c r="AG137" s="2843"/>
      <c r="AH137" s="2843"/>
      <c r="AI137" s="2843"/>
      <c r="AJ137" s="2843"/>
      <c r="AK137" s="2843"/>
      <c r="AL137" s="2843"/>
      <c r="AM137" s="2843"/>
      <c r="AN137" s="2843"/>
      <c r="AO137" s="2843"/>
      <c r="AP137" s="2843"/>
      <c r="AQ137" s="2843"/>
      <c r="AR137" s="2843"/>
      <c r="AS137" s="2843"/>
      <c r="AT137" s="2843"/>
      <c r="AU137" s="2843"/>
      <c r="AV137" s="2843"/>
      <c r="AW137" s="2843"/>
      <c r="AX137" s="2843"/>
      <c r="AY137" s="2842"/>
      <c r="AZ137" s="2841" t="s">
        <v>5540</v>
      </c>
    </row>
    <row r="138" spans="2:52" ht="13.5" customHeight="1" thickTop="1" thickBot="1">
      <c r="B138" s="3502"/>
      <c r="C138" s="3498"/>
      <c r="D138" s="3498"/>
      <c r="E138" s="2845"/>
      <c r="F138" s="2844"/>
      <c r="G138" s="2843"/>
      <c r="H138" s="2843"/>
      <c r="I138" s="2843"/>
      <c r="J138" s="2843"/>
      <c r="K138" s="2843"/>
      <c r="L138" s="2843"/>
      <c r="M138" s="2843"/>
      <c r="N138" s="2843"/>
      <c r="O138" s="2843"/>
      <c r="P138" s="2843"/>
      <c r="Q138" s="2843"/>
      <c r="R138" s="2843"/>
      <c r="S138" s="2843"/>
      <c r="T138" s="2843"/>
      <c r="U138" s="2843"/>
      <c r="V138" s="2843"/>
      <c r="W138" s="2843"/>
      <c r="X138" s="2843"/>
      <c r="Y138" s="2843"/>
      <c r="Z138" s="2843"/>
      <c r="AA138" s="2843"/>
      <c r="AB138" s="2843"/>
      <c r="AC138" s="2843"/>
      <c r="AD138" s="2843"/>
      <c r="AE138" s="2843"/>
      <c r="AF138" s="2843"/>
      <c r="AG138" s="2843"/>
      <c r="AH138" s="2843"/>
      <c r="AI138" s="2843"/>
      <c r="AJ138" s="2843"/>
      <c r="AK138" s="2843"/>
      <c r="AL138" s="2843"/>
      <c r="AM138" s="2843"/>
      <c r="AN138" s="2843"/>
      <c r="AO138" s="2843"/>
      <c r="AP138" s="2843"/>
      <c r="AQ138" s="2843"/>
      <c r="AR138" s="2843"/>
      <c r="AS138" s="2843"/>
      <c r="AT138" s="2843"/>
      <c r="AU138" s="2843"/>
      <c r="AV138" s="2843"/>
      <c r="AW138" s="2843"/>
      <c r="AX138" s="2843"/>
      <c r="AY138" s="2842"/>
      <c r="AZ138" s="2841"/>
    </row>
    <row r="139" spans="2:52" ht="13.5" customHeight="1" thickTop="1" thickBot="1">
      <c r="B139" s="3502"/>
      <c r="C139" s="3498"/>
      <c r="D139" s="3498"/>
      <c r="E139" s="2845"/>
      <c r="F139" s="2844"/>
      <c r="G139" s="2843"/>
      <c r="H139" s="2843"/>
      <c r="I139" s="2843"/>
      <c r="J139" s="2843" t="s">
        <v>5382</v>
      </c>
      <c r="K139" s="2843"/>
      <c r="L139" s="2843"/>
      <c r="M139" s="2843"/>
      <c r="N139" s="2843"/>
      <c r="O139" s="2843"/>
      <c r="P139" s="2843"/>
      <c r="Q139" s="2843"/>
      <c r="R139" s="2843"/>
      <c r="S139" s="2843"/>
      <c r="T139" s="3499">
        <f>T132+T134+T137</f>
        <v>1441202</v>
      </c>
      <c r="U139" s="3500"/>
      <c r="V139" s="3500"/>
      <c r="W139" s="3500"/>
      <c r="X139" s="3500"/>
      <c r="Y139" s="3501"/>
      <c r="Z139" s="2843" t="s">
        <v>5539</v>
      </c>
      <c r="AB139" s="2851" t="s">
        <v>5538</v>
      </c>
      <c r="AC139" s="2843"/>
      <c r="AD139" s="2843"/>
      <c r="AE139" s="2843"/>
      <c r="AF139" s="2843"/>
      <c r="AG139" s="2843"/>
      <c r="AH139" s="2843"/>
      <c r="AI139" s="2843"/>
      <c r="AJ139" s="2843"/>
      <c r="AK139" s="2843"/>
      <c r="AL139" s="2843"/>
      <c r="AM139" s="2843"/>
      <c r="AN139" s="2843"/>
      <c r="AO139" s="2843"/>
      <c r="AP139" s="2843"/>
      <c r="AQ139" s="2843"/>
      <c r="AR139" s="2843"/>
      <c r="AS139" s="2843"/>
      <c r="AT139" s="2843"/>
      <c r="AU139" s="2843"/>
      <c r="AV139" s="2843"/>
      <c r="AW139" s="2843"/>
      <c r="AX139" s="2843"/>
      <c r="AY139" s="2842"/>
      <c r="AZ139" s="2841" t="s">
        <v>5537</v>
      </c>
    </row>
    <row r="140" spans="2:52" ht="13.5" customHeight="1" thickTop="1">
      <c r="B140" s="3502"/>
      <c r="C140" s="3503"/>
      <c r="D140" s="3503"/>
      <c r="E140" s="2840"/>
      <c r="F140" s="2839"/>
      <c r="G140" s="2838"/>
      <c r="H140" s="2838"/>
      <c r="I140" s="2838"/>
      <c r="J140" s="2838"/>
      <c r="K140" s="2838"/>
      <c r="L140" s="2838"/>
      <c r="M140" s="2838"/>
      <c r="N140" s="2838"/>
      <c r="O140" s="2838"/>
      <c r="P140" s="2838"/>
      <c r="Q140" s="2838"/>
      <c r="R140" s="2838"/>
      <c r="S140" s="2838"/>
      <c r="T140" s="2838"/>
      <c r="U140" s="2838"/>
      <c r="V140" s="2838"/>
      <c r="W140" s="2838"/>
      <c r="X140" s="2838"/>
      <c r="Y140" s="2838"/>
      <c r="Z140" s="2838"/>
      <c r="AA140" s="2838"/>
      <c r="AB140" s="2838"/>
      <c r="AC140" s="2838"/>
      <c r="AD140" s="2838"/>
      <c r="AE140" s="2838"/>
      <c r="AF140" s="2838"/>
      <c r="AG140" s="2838"/>
      <c r="AH140" s="2838"/>
      <c r="AI140" s="2838"/>
      <c r="AJ140" s="2838"/>
      <c r="AK140" s="2838"/>
      <c r="AL140" s="2838"/>
      <c r="AM140" s="2838"/>
      <c r="AN140" s="2838"/>
      <c r="AO140" s="2838"/>
      <c r="AP140" s="2838"/>
      <c r="AQ140" s="2838"/>
      <c r="AR140" s="2838"/>
      <c r="AS140" s="2838"/>
      <c r="AT140" s="2838"/>
      <c r="AU140" s="2838"/>
      <c r="AV140" s="2838"/>
      <c r="AW140" s="2838"/>
      <c r="AX140" s="2838"/>
      <c r="AY140" s="2837"/>
      <c r="AZ140" s="2836"/>
    </row>
    <row r="141" spans="2:52" ht="13.5" customHeight="1">
      <c r="B141" s="3502"/>
      <c r="C141" s="3514">
        <v>2</v>
      </c>
      <c r="D141" s="3512" t="s">
        <v>5378</v>
      </c>
      <c r="E141" s="2850"/>
      <c r="F141" s="2849"/>
      <c r="G141" s="2848"/>
      <c r="H141" s="2848"/>
      <c r="I141" s="2848"/>
      <c r="J141" s="2848"/>
      <c r="K141" s="2848"/>
      <c r="L141" s="2848"/>
      <c r="M141" s="2848"/>
      <c r="N141" s="2848"/>
      <c r="O141" s="2848"/>
      <c r="P141" s="2848"/>
      <c r="Q141" s="2848"/>
      <c r="R141" s="2848"/>
      <c r="S141" s="2848"/>
      <c r="T141" s="2848"/>
      <c r="U141" s="2848"/>
      <c r="V141" s="2848"/>
      <c r="W141" s="2848"/>
      <c r="X141" s="2848"/>
      <c r="Y141" s="2848"/>
      <c r="Z141" s="2848"/>
      <c r="AA141" s="2848"/>
      <c r="AB141" s="2848"/>
      <c r="AC141" s="2848"/>
      <c r="AD141" s="2848"/>
      <c r="AE141" s="2848"/>
      <c r="AF141" s="2848"/>
      <c r="AG141" s="2848"/>
      <c r="AH141" s="2848"/>
      <c r="AI141" s="2848"/>
      <c r="AJ141" s="2848"/>
      <c r="AK141" s="2848"/>
      <c r="AL141" s="2848"/>
      <c r="AM141" s="2848"/>
      <c r="AN141" s="2848"/>
      <c r="AO141" s="2848"/>
      <c r="AP141" s="2848"/>
      <c r="AQ141" s="2848"/>
      <c r="AR141" s="2848"/>
      <c r="AS141" s="2848"/>
      <c r="AT141" s="2848"/>
      <c r="AU141" s="2848"/>
      <c r="AV141" s="2848"/>
      <c r="AW141" s="2848"/>
      <c r="AX141" s="2848"/>
      <c r="AY141" s="2847"/>
      <c r="AZ141" s="2846"/>
    </row>
    <row r="142" spans="2:52" ht="13.5" customHeight="1">
      <c r="B142" s="3502"/>
      <c r="C142" s="3498"/>
      <c r="D142" s="3502"/>
      <c r="E142" s="2845" t="s">
        <v>5377</v>
      </c>
      <c r="F142" s="2844"/>
      <c r="G142" s="2843"/>
      <c r="H142" s="2843"/>
      <c r="I142" s="2843"/>
      <c r="J142" s="2843"/>
      <c r="K142" s="2843"/>
      <c r="L142" s="2843"/>
      <c r="M142" s="2843"/>
      <c r="N142" s="2843"/>
      <c r="O142" s="2843"/>
      <c r="P142" s="2843"/>
      <c r="Q142" s="2843"/>
      <c r="R142" s="2843"/>
      <c r="S142" s="2843"/>
      <c r="T142" s="3497">
        <f>R31</f>
        <v>2709</v>
      </c>
      <c r="U142" s="3497"/>
      <c r="V142" s="3497"/>
      <c r="W142" s="3497"/>
      <c r="X142" s="3497"/>
      <c r="Y142" s="3497"/>
      <c r="Z142" s="2843"/>
      <c r="AA142" s="2843"/>
      <c r="AB142" s="2851" t="s">
        <v>5376</v>
      </c>
      <c r="AC142" s="2843"/>
      <c r="AD142" s="2843"/>
      <c r="AE142" s="2843"/>
      <c r="AF142" s="2843"/>
      <c r="AG142" s="2843"/>
      <c r="AH142" s="2843"/>
      <c r="AI142" s="2843"/>
      <c r="AJ142" s="2843"/>
      <c r="AK142" s="2843"/>
      <c r="AL142" s="2843"/>
      <c r="AM142" s="2843"/>
      <c r="AN142" s="2843"/>
      <c r="AO142" s="2843"/>
      <c r="AP142" s="2843"/>
      <c r="AQ142" s="2843"/>
      <c r="AR142" s="2843"/>
      <c r="AS142" s="2843"/>
      <c r="AT142" s="2843"/>
      <c r="AU142" s="2843"/>
      <c r="AV142" s="2843"/>
      <c r="AW142" s="2843"/>
      <c r="AX142" s="2843"/>
      <c r="AY142" s="2842"/>
      <c r="AZ142" s="2841"/>
    </row>
    <row r="143" spans="2:52" ht="13.5" customHeight="1" thickBot="1">
      <c r="B143" s="3502"/>
      <c r="C143" s="3498"/>
      <c r="D143" s="3502"/>
      <c r="E143" s="2845" t="s">
        <v>5375</v>
      </c>
      <c r="F143" s="2844"/>
      <c r="G143" s="2843"/>
      <c r="H143" s="2843"/>
      <c r="I143" s="2843"/>
      <c r="J143" s="2843"/>
      <c r="K143" s="2843"/>
      <c r="L143" s="2843"/>
      <c r="M143" s="2843"/>
      <c r="N143" s="2843"/>
      <c r="O143" s="2843"/>
      <c r="P143" s="2843"/>
      <c r="Q143" s="2843"/>
      <c r="R143" s="2843"/>
      <c r="S143" s="2843"/>
      <c r="T143" s="3497">
        <f>T139</f>
        <v>1441202</v>
      </c>
      <c r="U143" s="3497"/>
      <c r="V143" s="3497"/>
      <c r="W143" s="3497"/>
      <c r="X143" s="3497"/>
      <c r="Y143" s="3497"/>
      <c r="Z143" s="2843"/>
      <c r="AA143" s="2843"/>
      <c r="AB143" s="2851" t="s">
        <v>5374</v>
      </c>
      <c r="AC143" s="2843"/>
      <c r="AD143" s="2843"/>
      <c r="AE143" s="2843"/>
      <c r="AF143" s="2843"/>
      <c r="AG143" s="2843"/>
      <c r="AH143" s="2843"/>
      <c r="AI143" s="2843"/>
      <c r="AJ143" s="2843"/>
      <c r="AK143" s="2843"/>
      <c r="AL143" s="2843"/>
      <c r="AM143" s="2843"/>
      <c r="AN143" s="2843"/>
      <c r="AO143" s="2843"/>
      <c r="AP143" s="2843"/>
      <c r="AQ143" s="2843"/>
      <c r="AR143" s="2843"/>
      <c r="AS143" s="2843"/>
      <c r="AT143" s="2843"/>
      <c r="AU143" s="2843"/>
      <c r="AV143" s="2843"/>
      <c r="AW143" s="2843"/>
      <c r="AX143" s="2843"/>
      <c r="AY143" s="2842"/>
      <c r="AZ143" s="2841"/>
    </row>
    <row r="144" spans="2:52" ht="13.5" customHeight="1" thickTop="1" thickBot="1">
      <c r="B144" s="3502"/>
      <c r="C144" s="3498"/>
      <c r="D144" s="3502"/>
      <c r="E144" s="2845" t="s">
        <v>5373</v>
      </c>
      <c r="F144" s="2844"/>
      <c r="G144" s="2843"/>
      <c r="H144" s="2843"/>
      <c r="I144" s="2843"/>
      <c r="J144" s="2843"/>
      <c r="K144" s="2843"/>
      <c r="L144" s="2843"/>
      <c r="M144" s="2843"/>
      <c r="N144" s="2843"/>
      <c r="O144" s="2843"/>
      <c r="P144" s="2843"/>
      <c r="Q144" s="2843"/>
      <c r="R144" s="2843"/>
      <c r="S144" s="2843"/>
      <c r="T144" s="3532">
        <f>IF(Z122&lt;0,T142-T143-Z122,T142-T143)</f>
        <v>-1416419</v>
      </c>
      <c r="U144" s="3533"/>
      <c r="V144" s="3533"/>
      <c r="W144" s="3533"/>
      <c r="X144" s="3533"/>
      <c r="Y144" s="3534"/>
      <c r="Z144" s="2843" t="s">
        <v>5536</v>
      </c>
      <c r="AA144" s="2843"/>
      <c r="AB144" s="2851" t="s">
        <v>6232</v>
      </c>
      <c r="AC144" s="2843"/>
      <c r="AD144" s="2843"/>
      <c r="AE144" s="2843"/>
      <c r="AF144" s="2843"/>
      <c r="AG144" s="2843"/>
      <c r="AH144" s="2843"/>
      <c r="AI144" s="2843"/>
      <c r="AJ144" s="2843"/>
      <c r="AK144" s="2843"/>
      <c r="AL144" s="2843"/>
      <c r="AM144" s="2843"/>
      <c r="AN144" s="2843"/>
      <c r="AO144" s="2843"/>
      <c r="AP144" s="2843"/>
      <c r="AQ144" s="2843"/>
      <c r="AR144" s="2843"/>
      <c r="AS144" s="2843"/>
      <c r="AT144" s="2843"/>
      <c r="AU144" s="2843"/>
      <c r="AV144" s="2843"/>
      <c r="AW144" s="2843"/>
      <c r="AX144" s="2843"/>
      <c r="AY144" s="2842"/>
      <c r="AZ144" s="3319" t="s">
        <v>6218</v>
      </c>
    </row>
    <row r="145" spans="2:52" ht="13.5" customHeight="1" thickTop="1">
      <c r="B145" s="3502"/>
      <c r="C145" s="3498"/>
      <c r="D145" s="3502"/>
      <c r="E145" s="2845"/>
      <c r="F145" s="2844"/>
      <c r="G145" s="2843"/>
      <c r="H145" s="2843"/>
      <c r="I145" s="2843"/>
      <c r="J145" s="2843"/>
      <c r="K145" s="2843"/>
      <c r="L145" s="2843"/>
      <c r="M145" s="2843"/>
      <c r="N145" s="2843"/>
      <c r="O145" s="2843"/>
      <c r="P145" s="2843"/>
      <c r="Q145" s="2843"/>
      <c r="R145" s="2843"/>
      <c r="S145" s="2843"/>
      <c r="T145" s="2843"/>
      <c r="U145" s="2843"/>
      <c r="V145" s="2843"/>
      <c r="W145" s="2843"/>
      <c r="X145" s="2843"/>
      <c r="Y145" s="2843"/>
      <c r="Z145" s="2843"/>
      <c r="AA145" s="2843"/>
      <c r="AB145" s="2843"/>
      <c r="AC145" s="2843"/>
      <c r="AD145" s="2843"/>
      <c r="AE145" s="2843"/>
      <c r="AF145" s="2843"/>
      <c r="AG145" s="2843"/>
      <c r="AH145" s="2843"/>
      <c r="AI145" s="2843"/>
      <c r="AJ145" s="2843"/>
      <c r="AK145" s="2843"/>
      <c r="AL145" s="2843"/>
      <c r="AM145" s="2843"/>
      <c r="AN145" s="2843"/>
      <c r="AO145" s="2843"/>
      <c r="AP145" s="2843"/>
      <c r="AQ145" s="2843"/>
      <c r="AR145" s="2843"/>
      <c r="AS145" s="2843"/>
      <c r="AT145" s="2843"/>
      <c r="AU145" s="2843"/>
      <c r="AV145" s="2843"/>
      <c r="AW145" s="2843"/>
      <c r="AX145" s="2843"/>
      <c r="AY145" s="2842"/>
      <c r="AZ145" s="2841"/>
    </row>
    <row r="146" spans="2:52" ht="13.5" customHeight="1">
      <c r="B146" s="3502"/>
      <c r="C146" s="3498"/>
      <c r="D146" s="3502"/>
      <c r="E146" s="2845"/>
      <c r="F146" s="2844"/>
      <c r="G146" s="2843"/>
      <c r="H146" s="2843"/>
      <c r="I146" s="2843"/>
      <c r="J146" s="2843"/>
      <c r="K146" s="2843"/>
      <c r="L146" s="2843"/>
      <c r="M146" s="2843"/>
      <c r="N146" s="2843"/>
      <c r="O146" s="2843"/>
      <c r="P146" s="2843"/>
      <c r="Q146" s="2843"/>
      <c r="R146" s="2843"/>
      <c r="S146" s="2843"/>
      <c r="T146" s="2843"/>
      <c r="U146" s="2843"/>
      <c r="V146" s="2843"/>
      <c r="W146" s="2843"/>
      <c r="X146" s="2843"/>
      <c r="Y146" s="2843"/>
      <c r="Z146" s="2843"/>
      <c r="AA146" s="2843"/>
      <c r="AB146" s="2843"/>
      <c r="AC146" s="2843"/>
      <c r="AD146" s="2843"/>
      <c r="AE146" s="2843"/>
      <c r="AF146" s="2843"/>
      <c r="AG146" s="2843"/>
      <c r="AH146" s="2843"/>
      <c r="AI146" s="2843"/>
      <c r="AJ146" s="2843"/>
      <c r="AK146" s="2843"/>
      <c r="AL146" s="2843"/>
      <c r="AM146" s="2843"/>
      <c r="AN146" s="2843"/>
      <c r="AO146" s="2843"/>
      <c r="AP146" s="2843"/>
      <c r="AQ146" s="2843"/>
      <c r="AR146" s="2843"/>
      <c r="AS146" s="2843"/>
      <c r="AT146" s="2843"/>
      <c r="AU146" s="2843"/>
      <c r="AV146" s="2843"/>
      <c r="AW146" s="2843"/>
      <c r="AX146" s="2843"/>
      <c r="AY146" s="2842"/>
      <c r="AZ146" s="2841"/>
    </row>
    <row r="147" spans="2:52" ht="13.5" customHeight="1">
      <c r="B147" s="3502"/>
      <c r="C147" s="3498"/>
      <c r="D147" s="3502"/>
      <c r="E147" s="2845"/>
      <c r="F147" s="2844"/>
      <c r="G147" s="2843"/>
      <c r="H147" s="2843"/>
      <c r="I147" s="2843"/>
      <c r="J147" s="2843"/>
      <c r="K147" s="2843"/>
      <c r="L147" s="2843"/>
      <c r="M147" s="2843"/>
      <c r="N147" s="2843"/>
      <c r="O147" s="2843"/>
      <c r="P147" s="2843"/>
      <c r="Q147" s="2843"/>
      <c r="R147" s="2843"/>
      <c r="S147" s="2843"/>
      <c r="T147" s="2843"/>
      <c r="U147" s="2843"/>
      <c r="V147" s="2843"/>
      <c r="W147" s="2843"/>
      <c r="X147" s="2843"/>
      <c r="Y147" s="2843"/>
      <c r="Z147" s="2843"/>
      <c r="AA147" s="2843"/>
      <c r="AB147" s="2843"/>
      <c r="AC147" s="2843"/>
      <c r="AD147" s="2843"/>
      <c r="AE147" s="2843"/>
      <c r="AF147" s="2843"/>
      <c r="AG147" s="2843"/>
      <c r="AH147" s="2843"/>
      <c r="AI147" s="2843"/>
      <c r="AJ147" s="2843"/>
      <c r="AK147" s="2843"/>
      <c r="AL147" s="2843"/>
      <c r="AM147" s="2843"/>
      <c r="AN147" s="2843"/>
      <c r="AO147" s="2843"/>
      <c r="AP147" s="2843"/>
      <c r="AQ147" s="2843"/>
      <c r="AR147" s="2843"/>
      <c r="AS147" s="2843"/>
      <c r="AT147" s="2843"/>
      <c r="AU147" s="2843"/>
      <c r="AV147" s="2843"/>
      <c r="AW147" s="2843"/>
      <c r="AX147" s="2843"/>
      <c r="AY147" s="2842"/>
      <c r="AZ147" s="2841"/>
    </row>
    <row r="148" spans="2:52" ht="13.5" customHeight="1">
      <c r="B148" s="3502"/>
      <c r="C148" s="3498"/>
      <c r="D148" s="3502"/>
      <c r="E148" s="2845"/>
      <c r="F148" s="2844"/>
      <c r="G148" s="2843"/>
      <c r="H148" s="2843"/>
      <c r="I148" s="2843"/>
      <c r="J148" s="2843"/>
      <c r="K148" s="2843"/>
      <c r="L148" s="2843"/>
      <c r="M148" s="2843"/>
      <c r="N148" s="2843"/>
      <c r="O148" s="2843"/>
      <c r="P148" s="2843"/>
      <c r="Q148" s="2843"/>
      <c r="R148" s="2843"/>
      <c r="S148" s="2843"/>
      <c r="T148" s="2843"/>
      <c r="U148" s="2843"/>
      <c r="V148" s="2843"/>
      <c r="W148" s="2843"/>
      <c r="X148" s="2843"/>
      <c r="Y148" s="2843"/>
      <c r="Z148" s="2843"/>
      <c r="AA148" s="2843"/>
      <c r="AB148" s="2843"/>
      <c r="AC148" s="2843"/>
      <c r="AD148" s="2843"/>
      <c r="AE148" s="2843"/>
      <c r="AF148" s="2843"/>
      <c r="AG148" s="2843"/>
      <c r="AH148" s="2851"/>
      <c r="AI148" s="2843"/>
      <c r="AJ148" s="2843"/>
      <c r="AK148" s="2843"/>
      <c r="AL148" s="2843"/>
      <c r="AM148" s="2843"/>
      <c r="AN148" s="2843"/>
      <c r="AO148" s="2843"/>
      <c r="AP148" s="2843"/>
      <c r="AQ148" s="2843"/>
      <c r="AR148" s="2843"/>
      <c r="AS148" s="2843"/>
      <c r="AT148" s="2843"/>
      <c r="AU148" s="2843"/>
      <c r="AV148" s="2843"/>
      <c r="AW148" s="2843"/>
      <c r="AX148" s="2843"/>
      <c r="AY148" s="2842"/>
      <c r="AZ148" s="2841"/>
    </row>
    <row r="149" spans="2:52" ht="13.5" customHeight="1">
      <c r="B149" s="3502"/>
      <c r="C149" s="3503"/>
      <c r="D149" s="3513"/>
      <c r="E149" s="2840"/>
      <c r="F149" s="2839"/>
      <c r="G149" s="2838"/>
      <c r="H149" s="2838"/>
      <c r="I149" s="2838"/>
      <c r="J149" s="2838"/>
      <c r="K149" s="2838"/>
      <c r="L149" s="2838"/>
      <c r="M149" s="2838"/>
      <c r="N149" s="2838"/>
      <c r="O149" s="2838"/>
      <c r="P149" s="2838"/>
      <c r="Q149" s="2838"/>
      <c r="R149" s="2838"/>
      <c r="S149" s="2838"/>
      <c r="T149" s="2838"/>
      <c r="U149" s="2838"/>
      <c r="V149" s="2838"/>
      <c r="W149" s="2838"/>
      <c r="X149" s="2838"/>
      <c r="Y149" s="2838"/>
      <c r="Z149" s="2838"/>
      <c r="AA149" s="2838"/>
      <c r="AB149" s="2838"/>
      <c r="AC149" s="2838"/>
      <c r="AD149" s="2838"/>
      <c r="AE149" s="2838"/>
      <c r="AF149" s="2838"/>
      <c r="AG149" s="2838"/>
      <c r="AH149" s="2838"/>
      <c r="AI149" s="2838"/>
      <c r="AJ149" s="2838"/>
      <c r="AK149" s="2838"/>
      <c r="AL149" s="2838"/>
      <c r="AM149" s="2838"/>
      <c r="AN149" s="2838"/>
      <c r="AO149" s="2838"/>
      <c r="AP149" s="2838"/>
      <c r="AQ149" s="2838"/>
      <c r="AR149" s="2838"/>
      <c r="AS149" s="2838"/>
      <c r="AT149" s="2838"/>
      <c r="AU149" s="2838"/>
      <c r="AV149" s="2838"/>
      <c r="AW149" s="2838"/>
      <c r="AX149" s="2838"/>
      <c r="AY149" s="2837"/>
      <c r="AZ149" s="2836"/>
    </row>
    <row r="150" spans="2:52" ht="13.5" customHeight="1" thickBot="1">
      <c r="B150" s="3502"/>
      <c r="C150" s="3514">
        <v>3</v>
      </c>
      <c r="D150" s="3512" t="s">
        <v>5369</v>
      </c>
      <c r="E150" s="2850"/>
      <c r="F150" s="2849"/>
      <c r="G150" s="2848"/>
      <c r="H150" s="2848"/>
      <c r="I150" s="2848"/>
      <c r="J150" s="2848"/>
      <c r="K150" s="2848"/>
      <c r="L150" s="2848"/>
      <c r="M150" s="2848"/>
      <c r="N150" s="2848"/>
      <c r="O150" s="2848"/>
      <c r="P150" s="2848"/>
      <c r="Q150" s="2848"/>
      <c r="R150" s="2848"/>
      <c r="S150" s="2848"/>
      <c r="T150" s="2848"/>
      <c r="U150" s="2848"/>
      <c r="V150" s="2848"/>
      <c r="W150" s="2848"/>
      <c r="X150" s="2848"/>
      <c r="Y150" s="2848"/>
      <c r="Z150" s="2848"/>
      <c r="AA150" s="2848"/>
      <c r="AB150" s="2848"/>
      <c r="AC150" s="2848"/>
      <c r="AD150" s="2848"/>
      <c r="AE150" s="2848"/>
      <c r="AF150" s="2848"/>
      <c r="AG150" s="2848"/>
      <c r="AH150" s="2848"/>
      <c r="AI150" s="2848"/>
      <c r="AJ150" s="2848"/>
      <c r="AK150" s="2848"/>
      <c r="AL150" s="2848"/>
      <c r="AM150" s="2848"/>
      <c r="AN150" s="2848"/>
      <c r="AO150" s="2848"/>
      <c r="AP150" s="2848"/>
      <c r="AQ150" s="2848"/>
      <c r="AR150" s="2848"/>
      <c r="AS150" s="2848"/>
      <c r="AT150" s="2848"/>
      <c r="AU150" s="2848"/>
      <c r="AV150" s="2848"/>
      <c r="AW150" s="2848"/>
      <c r="AX150" s="2848"/>
      <c r="AY150" s="2847"/>
      <c r="AZ150" s="2846"/>
    </row>
    <row r="151" spans="2:52" ht="13.5" customHeight="1" thickTop="1" thickBot="1">
      <c r="B151" s="3502"/>
      <c r="C151" s="3498"/>
      <c r="D151" s="3502"/>
      <c r="E151" s="2845" t="s">
        <v>5368</v>
      </c>
      <c r="F151" s="2844"/>
      <c r="G151" s="2843"/>
      <c r="H151" s="2843"/>
      <c r="I151" s="2843"/>
      <c r="J151" s="2843"/>
      <c r="K151" s="2843"/>
      <c r="L151" s="2843"/>
      <c r="M151" s="2843"/>
      <c r="N151" s="2843"/>
      <c r="O151" s="2843"/>
      <c r="P151" s="2843"/>
      <c r="Q151" s="2843"/>
      <c r="R151" s="2843"/>
      <c r="S151" s="2843"/>
      <c r="T151" s="3499">
        <f>T144</f>
        <v>-1416419</v>
      </c>
      <c r="U151" s="3500"/>
      <c r="V151" s="3500"/>
      <c r="W151" s="3500"/>
      <c r="X151" s="3500"/>
      <c r="Y151" s="3501"/>
      <c r="Z151" s="2843"/>
      <c r="AA151" s="2843"/>
      <c r="AB151" s="2851" t="s">
        <v>5367</v>
      </c>
      <c r="AC151" s="2843"/>
      <c r="AD151" s="2843"/>
      <c r="AE151" s="2843"/>
      <c r="AF151" s="2843"/>
      <c r="AG151" s="2843"/>
      <c r="AH151" s="2843"/>
      <c r="AI151" s="2843"/>
      <c r="AJ151" s="2843"/>
      <c r="AK151" s="2843"/>
      <c r="AL151" s="2843"/>
      <c r="AM151" s="2843"/>
      <c r="AN151" s="2843"/>
      <c r="AO151" s="2843"/>
      <c r="AP151" s="2843"/>
      <c r="AQ151" s="2843"/>
      <c r="AR151" s="2843"/>
      <c r="AS151" s="2843"/>
      <c r="AT151" s="2843"/>
      <c r="AU151" s="2843"/>
      <c r="AV151" s="2843"/>
      <c r="AW151" s="2843"/>
      <c r="AX151" s="2843"/>
      <c r="AY151" s="2842"/>
      <c r="AZ151" s="2841"/>
    </row>
    <row r="152" spans="2:52" ht="13.5" customHeight="1" thickTop="1" thickBot="1">
      <c r="B152" s="3502"/>
      <c r="C152" s="3498"/>
      <c r="D152" s="3502"/>
      <c r="E152" s="2845" t="s">
        <v>5366</v>
      </c>
      <c r="F152" s="2844"/>
      <c r="G152" s="2843"/>
      <c r="H152" s="2843"/>
      <c r="I152" s="2843"/>
      <c r="J152" s="2843"/>
      <c r="K152" s="2843"/>
      <c r="L152" s="2843"/>
      <c r="M152" s="2843"/>
      <c r="N152" s="2843"/>
      <c r="O152" s="2843"/>
      <c r="P152" s="2843"/>
      <c r="Q152" s="2843"/>
      <c r="R152" s="2843"/>
      <c r="S152" s="2843"/>
      <c r="T152" s="3499">
        <f>ROUNDDOWN(T151*17/63,0)</f>
        <v>-382208</v>
      </c>
      <c r="U152" s="3500"/>
      <c r="V152" s="3500"/>
      <c r="W152" s="3500"/>
      <c r="X152" s="3500"/>
      <c r="Y152" s="3501"/>
      <c r="Z152" s="2843" t="s">
        <v>5535</v>
      </c>
      <c r="AA152" s="2843"/>
      <c r="AB152" s="2851" t="s">
        <v>6235</v>
      </c>
      <c r="AC152" s="2843"/>
      <c r="AD152" s="2843"/>
      <c r="AE152" s="2843"/>
      <c r="AF152" s="2843"/>
      <c r="AG152" s="3323"/>
      <c r="AH152" s="2843"/>
      <c r="AI152" s="2843"/>
      <c r="AJ152" s="2843"/>
      <c r="AK152" s="2843"/>
      <c r="AL152" s="2843"/>
      <c r="AM152" s="2843"/>
      <c r="AN152" s="2843"/>
      <c r="AO152" s="2843"/>
      <c r="AP152" s="2843"/>
      <c r="AQ152" s="2843"/>
      <c r="AR152" s="2843"/>
      <c r="AS152" s="2843"/>
      <c r="AT152" s="2843"/>
      <c r="AU152" s="2843"/>
      <c r="AV152" s="2843"/>
      <c r="AW152" s="2843"/>
      <c r="AX152" s="2843"/>
      <c r="AY152" s="2842"/>
      <c r="AZ152" s="3319" t="s">
        <v>6220</v>
      </c>
    </row>
    <row r="153" spans="2:52" ht="13.5" customHeight="1" thickTop="1">
      <c r="B153" s="3502"/>
      <c r="C153" s="3498"/>
      <c r="D153" s="3502"/>
      <c r="E153" s="2845"/>
      <c r="F153" s="2844"/>
      <c r="G153" s="2843"/>
      <c r="H153" s="2843"/>
      <c r="I153" s="2843"/>
      <c r="J153" s="2843"/>
      <c r="K153" s="2843"/>
      <c r="L153" s="2843"/>
      <c r="M153" s="2843"/>
      <c r="N153" s="2843"/>
      <c r="O153" s="2843"/>
      <c r="P153" s="2843"/>
      <c r="Q153" s="2843"/>
      <c r="R153" s="2843"/>
      <c r="S153" s="2843"/>
      <c r="T153" s="2843"/>
      <c r="U153" s="2843"/>
      <c r="V153" s="2843"/>
      <c r="W153" s="2843"/>
      <c r="X153" s="2843"/>
      <c r="Y153" s="2843"/>
      <c r="Z153" s="2843"/>
      <c r="AA153" s="2843"/>
      <c r="AB153" s="2843"/>
      <c r="AC153" s="2843"/>
      <c r="AD153" s="2843"/>
      <c r="AE153" s="2843"/>
      <c r="AF153" s="2843"/>
      <c r="AG153" s="2843"/>
      <c r="AH153" s="2843"/>
      <c r="AI153" s="2843"/>
      <c r="AJ153" s="2843"/>
      <c r="AK153" s="2843"/>
      <c r="AL153" s="2843"/>
      <c r="AM153" s="2843"/>
      <c r="AN153" s="2843"/>
      <c r="AO153" s="2843"/>
      <c r="AP153" s="2843"/>
      <c r="AQ153" s="2843"/>
      <c r="AR153" s="2843"/>
      <c r="AS153" s="2843"/>
      <c r="AT153" s="2843"/>
      <c r="AU153" s="2843"/>
      <c r="AV153" s="2843"/>
      <c r="AW153" s="2843"/>
      <c r="AX153" s="2843"/>
      <c r="AY153" s="2842"/>
      <c r="AZ153" s="2841"/>
    </row>
    <row r="154" spans="2:52" ht="13.5" customHeight="1">
      <c r="B154" s="3502"/>
      <c r="C154" s="3498"/>
      <c r="D154" s="3502"/>
      <c r="E154" s="2845"/>
      <c r="F154" s="2844"/>
      <c r="G154" s="2843"/>
      <c r="H154" s="2843"/>
      <c r="I154" s="2843"/>
      <c r="J154" s="2843"/>
      <c r="K154" s="2843"/>
      <c r="L154" s="2843"/>
      <c r="M154" s="2843"/>
      <c r="N154" s="2843"/>
      <c r="O154" s="2843"/>
      <c r="P154" s="2843"/>
      <c r="Q154" s="2843"/>
      <c r="R154" s="2843"/>
      <c r="S154" s="2843"/>
      <c r="T154" s="2843"/>
      <c r="U154" s="2843"/>
      <c r="V154" s="2843"/>
      <c r="W154" s="2843"/>
      <c r="X154" s="2843"/>
      <c r="Y154" s="2843"/>
      <c r="Z154" s="2843"/>
      <c r="AA154" s="2843"/>
      <c r="AB154" s="2843"/>
      <c r="AC154" s="2843"/>
      <c r="AD154" s="2843"/>
      <c r="AE154" s="2843"/>
      <c r="AF154" s="2843"/>
      <c r="AG154" s="2843"/>
      <c r="AH154" s="2843"/>
      <c r="AI154" s="2843"/>
      <c r="AJ154" s="2843"/>
      <c r="AK154" s="2843"/>
      <c r="AL154" s="2843"/>
      <c r="AM154" s="2843"/>
      <c r="AN154" s="2843"/>
      <c r="AO154" s="2843"/>
      <c r="AP154" s="2843"/>
      <c r="AQ154" s="2843"/>
      <c r="AR154" s="2843"/>
      <c r="AS154" s="2843"/>
      <c r="AT154" s="2843"/>
      <c r="AU154" s="2843"/>
      <c r="AV154" s="2843"/>
      <c r="AW154" s="2843"/>
      <c r="AX154" s="2843"/>
      <c r="AY154" s="2842"/>
      <c r="AZ154" s="2841"/>
    </row>
    <row r="155" spans="2:52" ht="13.5" customHeight="1">
      <c r="B155" s="3502"/>
      <c r="C155" s="3498"/>
      <c r="D155" s="3502"/>
      <c r="E155" s="2845"/>
      <c r="F155" s="2844"/>
      <c r="G155" s="2843"/>
      <c r="H155" s="2843"/>
      <c r="I155" s="2843"/>
      <c r="J155" s="2843"/>
      <c r="K155" s="2843"/>
      <c r="L155" s="2843"/>
      <c r="M155" s="2843"/>
      <c r="N155" s="2843"/>
      <c r="O155" s="2843"/>
      <c r="P155" s="2843"/>
      <c r="Q155" s="2843"/>
      <c r="R155" s="2843"/>
      <c r="S155" s="2843"/>
      <c r="T155" s="2843"/>
      <c r="U155" s="2843"/>
      <c r="V155" s="2843"/>
      <c r="W155" s="2843"/>
      <c r="X155" s="2843"/>
      <c r="Y155" s="2843"/>
      <c r="Z155" s="2843"/>
      <c r="AA155" s="2843"/>
      <c r="AB155" s="2843"/>
      <c r="AC155" s="2843"/>
      <c r="AD155" s="2843"/>
      <c r="AE155" s="2843"/>
      <c r="AF155" s="2843"/>
      <c r="AG155" s="2843"/>
      <c r="AH155" s="2843"/>
      <c r="AI155" s="2843"/>
      <c r="AJ155" s="2843"/>
      <c r="AK155" s="2843"/>
      <c r="AL155" s="2843"/>
      <c r="AM155" s="2843"/>
      <c r="AN155" s="2843"/>
      <c r="AO155" s="2843"/>
      <c r="AP155" s="2843"/>
      <c r="AQ155" s="2843"/>
      <c r="AR155" s="2843"/>
      <c r="AS155" s="2843"/>
      <c r="AT155" s="2843"/>
      <c r="AU155" s="2843"/>
      <c r="AV155" s="2843"/>
      <c r="AW155" s="2843"/>
      <c r="AX155" s="2843"/>
      <c r="AY155" s="2842"/>
      <c r="AZ155" s="2841"/>
    </row>
    <row r="156" spans="2:52" ht="13.5" customHeight="1">
      <c r="B156" s="3502"/>
      <c r="C156" s="3498"/>
      <c r="D156" s="3502"/>
      <c r="E156" s="2845"/>
      <c r="F156" s="2844"/>
      <c r="G156" s="2843"/>
      <c r="H156" s="2843"/>
      <c r="I156" s="2843"/>
      <c r="J156" s="2843"/>
      <c r="K156" s="2843"/>
      <c r="L156" s="2843"/>
      <c r="M156" s="2843"/>
      <c r="N156" s="2843"/>
      <c r="O156" s="2843"/>
      <c r="P156" s="2843"/>
      <c r="Q156" s="2843"/>
      <c r="R156" s="2843"/>
      <c r="S156" s="2843"/>
      <c r="T156" s="2843"/>
      <c r="U156" s="2843"/>
      <c r="V156" s="2843"/>
      <c r="W156" s="2843"/>
      <c r="X156" s="2843"/>
      <c r="Y156" s="2843"/>
      <c r="Z156" s="2843"/>
      <c r="AA156" s="2843"/>
      <c r="AB156" s="2843"/>
      <c r="AC156" s="2843"/>
      <c r="AD156" s="2843"/>
      <c r="AE156" s="2843"/>
      <c r="AF156" s="2843"/>
      <c r="AG156" s="2843"/>
      <c r="AH156" s="2851"/>
      <c r="AI156" s="2843"/>
      <c r="AJ156" s="2843"/>
      <c r="AK156" s="2843"/>
      <c r="AL156" s="2843"/>
      <c r="AM156" s="2843"/>
      <c r="AN156" s="2843"/>
      <c r="AO156" s="2843"/>
      <c r="AP156" s="2843"/>
      <c r="AQ156" s="2843"/>
      <c r="AR156" s="2843"/>
      <c r="AS156" s="2843"/>
      <c r="AT156" s="2843"/>
      <c r="AU156" s="2843"/>
      <c r="AV156" s="2843"/>
      <c r="AW156" s="2843"/>
      <c r="AX156" s="2843"/>
      <c r="AY156" s="2842"/>
      <c r="AZ156" s="2841"/>
    </row>
    <row r="157" spans="2:52" ht="13.5" customHeight="1">
      <c r="B157" s="3502"/>
      <c r="C157" s="3503"/>
      <c r="D157" s="3513"/>
      <c r="E157" s="2840"/>
      <c r="F157" s="2839"/>
      <c r="G157" s="2838"/>
      <c r="H157" s="2838"/>
      <c r="I157" s="2838"/>
      <c r="J157" s="2838"/>
      <c r="K157" s="2838"/>
      <c r="L157" s="2838"/>
      <c r="M157" s="2838"/>
      <c r="N157" s="2838"/>
      <c r="O157" s="2838"/>
      <c r="P157" s="2838"/>
      <c r="Q157" s="2838"/>
      <c r="R157" s="2838"/>
      <c r="S157" s="2838"/>
      <c r="T157" s="2838"/>
      <c r="U157" s="2838"/>
      <c r="V157" s="2838"/>
      <c r="W157" s="2838"/>
      <c r="X157" s="2838"/>
      <c r="Y157" s="2838"/>
      <c r="Z157" s="2838"/>
      <c r="AA157" s="2838"/>
      <c r="AB157" s="2838"/>
      <c r="AC157" s="2838"/>
      <c r="AD157" s="2838"/>
      <c r="AE157" s="2838"/>
      <c r="AF157" s="2838"/>
      <c r="AG157" s="2838"/>
      <c r="AH157" s="2838"/>
      <c r="AI157" s="2838"/>
      <c r="AJ157" s="2838"/>
      <c r="AK157" s="2838"/>
      <c r="AL157" s="2838"/>
      <c r="AM157" s="2838"/>
      <c r="AN157" s="2838"/>
      <c r="AO157" s="2838"/>
      <c r="AP157" s="2838"/>
      <c r="AQ157" s="2838"/>
      <c r="AR157" s="2838"/>
      <c r="AS157" s="2838"/>
      <c r="AT157" s="2838"/>
      <c r="AU157" s="2838"/>
      <c r="AV157" s="2838"/>
      <c r="AW157" s="2838"/>
      <c r="AX157" s="2838"/>
      <c r="AY157" s="2837"/>
      <c r="AZ157" s="2836"/>
    </row>
    <row r="158" spans="2:52" ht="13.5" customHeight="1">
      <c r="B158" s="3502"/>
      <c r="C158" s="3514">
        <v>4</v>
      </c>
      <c r="D158" s="3512" t="s">
        <v>5362</v>
      </c>
      <c r="E158" s="2850"/>
      <c r="F158" s="2849"/>
      <c r="G158" s="2848"/>
      <c r="H158" s="2848"/>
      <c r="I158" s="2848"/>
      <c r="J158" s="2848"/>
      <c r="K158" s="2848"/>
      <c r="L158" s="2848"/>
      <c r="M158" s="2848"/>
      <c r="N158" s="2848"/>
      <c r="O158" s="2848"/>
      <c r="P158" s="2848"/>
      <c r="Q158" s="2848"/>
      <c r="R158" s="2848"/>
      <c r="S158" s="2848"/>
      <c r="T158" s="2848"/>
      <c r="U158" s="2848"/>
      <c r="V158" s="2848"/>
      <c r="W158" s="2848"/>
      <c r="X158" s="2848"/>
      <c r="Y158" s="2848"/>
      <c r="Z158" s="2848"/>
      <c r="AA158" s="2848"/>
      <c r="AB158" s="2848"/>
      <c r="AC158" s="2848"/>
      <c r="AD158" s="2848"/>
      <c r="AE158" s="2848"/>
      <c r="AF158" s="2848"/>
      <c r="AG158" s="2848"/>
      <c r="AH158" s="2848"/>
      <c r="AI158" s="2848"/>
      <c r="AJ158" s="2848"/>
      <c r="AK158" s="2848"/>
      <c r="AL158" s="2848"/>
      <c r="AM158" s="2848"/>
      <c r="AN158" s="2848"/>
      <c r="AO158" s="2848"/>
      <c r="AP158" s="2848"/>
      <c r="AQ158" s="2848"/>
      <c r="AR158" s="2848"/>
      <c r="AS158" s="2848"/>
      <c r="AT158" s="2848"/>
      <c r="AU158" s="2848"/>
      <c r="AV158" s="2848"/>
      <c r="AW158" s="2848"/>
      <c r="AX158" s="2848"/>
      <c r="AY158" s="2847"/>
      <c r="AZ158" s="2846"/>
    </row>
    <row r="159" spans="2:52" ht="13.5" customHeight="1">
      <c r="B159" s="3502"/>
      <c r="C159" s="3498"/>
      <c r="D159" s="3502"/>
      <c r="E159" s="2845"/>
      <c r="F159" s="2844"/>
      <c r="G159" s="2843"/>
      <c r="H159" s="2843"/>
      <c r="I159" s="2843"/>
      <c r="J159" s="2843"/>
      <c r="K159" s="2843"/>
      <c r="L159" s="2843"/>
      <c r="M159" s="2843"/>
      <c r="N159" s="2843"/>
      <c r="O159" s="2843"/>
      <c r="P159" s="2843"/>
      <c r="Q159" s="2843"/>
      <c r="R159" s="2843"/>
      <c r="S159" s="2843"/>
      <c r="T159" s="2843"/>
      <c r="U159" s="2843"/>
      <c r="V159" s="2843"/>
      <c r="W159" s="2843"/>
      <c r="X159" s="2843"/>
      <c r="Y159" s="2843"/>
      <c r="Z159" s="2843"/>
      <c r="AA159" s="2843"/>
      <c r="AB159" s="2843"/>
      <c r="AC159" s="2843"/>
      <c r="AD159" s="2843"/>
      <c r="AE159" s="2843"/>
      <c r="AF159" s="2843"/>
      <c r="AG159" s="2843"/>
      <c r="AH159" s="2843"/>
      <c r="AI159" s="2843"/>
      <c r="AJ159" s="2843"/>
      <c r="AK159" s="2843"/>
      <c r="AL159" s="2843"/>
      <c r="AM159" s="2843"/>
      <c r="AN159" s="2843"/>
      <c r="AO159" s="2843"/>
      <c r="AP159" s="2843"/>
      <c r="AQ159" s="2843"/>
      <c r="AR159" s="2843"/>
      <c r="AS159" s="2843"/>
      <c r="AT159" s="2843"/>
      <c r="AU159" s="2843"/>
      <c r="AV159" s="2843"/>
      <c r="AW159" s="2843"/>
      <c r="AX159" s="2843"/>
      <c r="AY159" s="2842"/>
      <c r="AZ159" s="2841"/>
    </row>
    <row r="160" spans="2:52" ht="13.5" customHeight="1">
      <c r="B160" s="3513"/>
      <c r="C160" s="3503"/>
      <c r="D160" s="3513"/>
      <c r="E160" s="2840"/>
      <c r="F160" s="2839"/>
      <c r="G160" s="2838"/>
      <c r="H160" s="2838"/>
      <c r="I160" s="2838"/>
      <c r="J160" s="2838"/>
      <c r="K160" s="2838"/>
      <c r="L160" s="2838"/>
      <c r="M160" s="2838"/>
      <c r="N160" s="2838"/>
      <c r="O160" s="2838"/>
      <c r="P160" s="2838"/>
      <c r="Q160" s="2838"/>
      <c r="R160" s="2838"/>
      <c r="S160" s="2838"/>
      <c r="T160" s="2838"/>
      <c r="U160" s="2838"/>
      <c r="V160" s="2838"/>
      <c r="W160" s="2838"/>
      <c r="X160" s="2838"/>
      <c r="Y160" s="2838"/>
      <c r="Z160" s="2838"/>
      <c r="AA160" s="2838"/>
      <c r="AB160" s="2838"/>
      <c r="AC160" s="2838"/>
      <c r="AD160" s="2838"/>
      <c r="AE160" s="2838"/>
      <c r="AF160" s="2838"/>
      <c r="AG160" s="2838"/>
      <c r="AH160" s="2838"/>
      <c r="AI160" s="2838"/>
      <c r="AJ160" s="2838"/>
      <c r="AK160" s="2838"/>
      <c r="AL160" s="2838"/>
      <c r="AM160" s="2838"/>
      <c r="AN160" s="2838"/>
      <c r="AO160" s="2838"/>
      <c r="AP160" s="2838"/>
      <c r="AQ160" s="2838"/>
      <c r="AR160" s="2838"/>
      <c r="AS160" s="2838"/>
      <c r="AT160" s="2838"/>
      <c r="AU160" s="2838"/>
      <c r="AV160" s="2838"/>
      <c r="AW160" s="2838"/>
      <c r="AX160" s="2838"/>
      <c r="AY160" s="2837"/>
      <c r="AZ160" s="2836"/>
    </row>
  </sheetData>
  <mergeCells count="130">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rowBreaks count="4" manualBreakCount="4">
    <brk id="32" max="16383" man="1"/>
    <brk id="71" max="16383" man="1"/>
    <brk id="96" max="16383" man="1"/>
    <brk id="130" max="16383" man="1"/>
  </rowBreaks>
  <drawing r:id="rId2"/>
  <legacyDrawing r:id="rId3"/>
</worksheet>
</file>

<file path=xl/worksheets/w7_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56" zoomScale="80" zoomScaleNormal="80" workbookViewId="0">
      <selection activeCell="C72" sqref="C72:C73"/>
    </sheetView>
  </sheetViews>
  <sheetFormatPr defaultColWidth="9" defaultRowHeight="13.5" customHeight="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56" width="9" style="2833"/>
    <col min="57" max="57" width="0.375" style="2833" customWidth="1"/>
    <col min="58"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3299"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3290"/>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3285"/>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3290"/>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3283"/>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3283"/>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3283"/>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3283"/>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3283"/>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3283"/>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3285"/>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3290"/>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3283"/>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3283"/>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3283"/>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3283"/>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3285"/>
    </row>
    <row r="19" spans="2:52" ht="13.5" customHeight="1">
      <c r="B19" s="3498"/>
      <c r="C19" s="3514">
        <v>8</v>
      </c>
      <c r="D19" s="3512" t="s">
        <v>5518</v>
      </c>
      <c r="E19" s="3295"/>
      <c r="F19" s="2849"/>
      <c r="G19" s="3296"/>
      <c r="H19" s="3296"/>
      <c r="I19" s="3296"/>
      <c r="J19" s="3296"/>
      <c r="K19" s="3296"/>
      <c r="L19" s="3296"/>
      <c r="M19" s="3296"/>
      <c r="N19" s="3296"/>
      <c r="O19" s="3296"/>
      <c r="P19" s="3296"/>
      <c r="Q19" s="3296"/>
      <c r="R19" s="3296"/>
      <c r="S19" s="3296"/>
      <c r="T19" s="3296"/>
      <c r="U19" s="3296"/>
      <c r="V19" s="3296"/>
      <c r="W19" s="3296"/>
      <c r="X19" s="3296"/>
      <c r="Y19" s="3296"/>
      <c r="Z19" s="3296"/>
      <c r="AA19" s="3296"/>
      <c r="AB19" s="3296"/>
      <c r="AC19" s="3296"/>
      <c r="AD19" s="3296"/>
      <c r="AE19" s="3296"/>
      <c r="AF19" s="3296"/>
      <c r="AG19" s="3296"/>
      <c r="AH19" s="3296"/>
      <c r="AI19" s="3296"/>
      <c r="AJ19" s="3296"/>
      <c r="AK19" s="3296"/>
      <c r="AL19" s="3296"/>
      <c r="AM19" s="3296"/>
      <c r="AN19" s="3296"/>
      <c r="AO19" s="3296"/>
      <c r="AP19" s="3296"/>
      <c r="AQ19" s="3296"/>
      <c r="AR19" s="3296"/>
      <c r="AS19" s="3296"/>
      <c r="AT19" s="3296"/>
      <c r="AU19" s="3296"/>
      <c r="AV19" s="3296"/>
      <c r="AW19" s="3296"/>
      <c r="AX19" s="3296"/>
      <c r="AY19" s="3291"/>
      <c r="AZ19" s="3290"/>
    </row>
    <row r="20" spans="2:52" ht="13.5" customHeight="1">
      <c r="B20" s="3498"/>
      <c r="C20" s="3498"/>
      <c r="D20" s="3502"/>
      <c r="E20" s="2860" t="s">
        <v>5517</v>
      </c>
      <c r="F20" s="2844"/>
      <c r="G20" s="2844"/>
      <c r="H20" s="2844"/>
      <c r="I20" s="2844"/>
      <c r="J20" s="2844"/>
      <c r="K20" s="2844"/>
      <c r="L20" s="2844"/>
      <c r="M20" s="2844"/>
      <c r="N20" s="2844"/>
      <c r="O20" s="2844"/>
      <c r="P20" s="2844"/>
      <c r="Q20" s="3286"/>
      <c r="R20" s="3519">
        <f>基礎数値!G3</f>
        <v>0</v>
      </c>
      <c r="S20" s="3519"/>
      <c r="T20" s="3519"/>
      <c r="U20" s="3519"/>
      <c r="V20" s="3519"/>
      <c r="W20" s="3519"/>
      <c r="X20" s="3286"/>
      <c r="Y20" s="3287" t="s">
        <v>5476</v>
      </c>
      <c r="Z20" s="3286"/>
      <c r="AA20" s="3286"/>
      <c r="AB20" s="3286"/>
      <c r="AC20" s="3286"/>
      <c r="AD20" s="3286"/>
      <c r="AE20" s="3286"/>
      <c r="AF20" s="3286"/>
      <c r="AG20" s="3286"/>
      <c r="AH20" s="3286"/>
      <c r="AI20" s="2844"/>
      <c r="AJ20" s="3286"/>
      <c r="AK20" s="3286"/>
      <c r="AL20" s="3286"/>
      <c r="AM20" s="3286"/>
      <c r="AN20" s="3286"/>
      <c r="AO20" s="3286"/>
      <c r="AP20" s="3286"/>
      <c r="AQ20" s="3286"/>
      <c r="AR20" s="3286"/>
      <c r="AS20" s="3286"/>
      <c r="AT20" s="3286"/>
      <c r="AU20" s="3286"/>
      <c r="AV20" s="3286"/>
      <c r="AW20" s="3286"/>
      <c r="AX20" s="3286"/>
      <c r="AY20" s="3292"/>
      <c r="AZ20" s="3283"/>
    </row>
    <row r="21" spans="2:52" ht="13.5" customHeight="1">
      <c r="B21" s="3498"/>
      <c r="C21" s="3498"/>
      <c r="D21" s="3502"/>
      <c r="E21" s="2860" t="s">
        <v>5516</v>
      </c>
      <c r="F21" s="3286"/>
      <c r="G21" s="3286"/>
      <c r="H21" s="3286"/>
      <c r="I21" s="3286"/>
      <c r="J21" s="3286"/>
      <c r="K21" s="3286"/>
      <c r="L21" s="3286"/>
      <c r="M21" s="3286"/>
      <c r="N21" s="3286"/>
      <c r="O21" s="3286"/>
      <c r="P21" s="3286"/>
      <c r="Q21" s="3286"/>
      <c r="R21" s="3519">
        <f>基礎数値!G4</f>
        <v>0</v>
      </c>
      <c r="S21" s="3519"/>
      <c r="T21" s="3519"/>
      <c r="U21" s="3519"/>
      <c r="V21" s="3519"/>
      <c r="W21" s="3519"/>
      <c r="X21" s="3286"/>
      <c r="Y21" s="3287" t="s">
        <v>5476</v>
      </c>
      <c r="Z21" s="3286"/>
      <c r="AA21" s="3286"/>
      <c r="AB21" s="3286"/>
      <c r="AC21" s="3286"/>
      <c r="AD21" s="3286"/>
      <c r="AE21" s="3286"/>
      <c r="AF21" s="3286"/>
      <c r="AG21" s="3286"/>
      <c r="AH21" s="3286"/>
      <c r="AI21" s="3286"/>
      <c r="AJ21" s="3286" t="s">
        <v>5447</v>
      </c>
      <c r="AK21" s="3497">
        <f>R20+R21</f>
        <v>0</v>
      </c>
      <c r="AL21" s="3497"/>
      <c r="AM21" s="3497"/>
      <c r="AN21" s="3497"/>
      <c r="AO21" s="3497"/>
      <c r="AP21" s="3497"/>
      <c r="AQ21" s="3286" t="s">
        <v>5515</v>
      </c>
      <c r="AR21" s="3286"/>
      <c r="AS21" s="3286"/>
      <c r="AT21" s="3286"/>
      <c r="AU21" s="3286"/>
      <c r="AV21" s="3286"/>
      <c r="AW21" s="3286"/>
      <c r="AX21" s="3286"/>
      <c r="AY21" s="3292"/>
      <c r="AZ21" s="3283"/>
    </row>
    <row r="22" spans="2:52" ht="13.5" customHeight="1">
      <c r="B22" s="3498"/>
      <c r="C22" s="3498"/>
      <c r="D22" s="3502"/>
      <c r="E22" s="2860"/>
      <c r="F22" s="3286"/>
      <c r="G22" s="3286"/>
      <c r="H22" s="3286"/>
      <c r="I22" s="3286"/>
      <c r="J22" s="3286"/>
      <c r="K22" s="3286"/>
      <c r="L22" s="3286"/>
      <c r="M22" s="3286"/>
      <c r="N22" s="3286"/>
      <c r="O22" s="3286"/>
      <c r="P22" s="3286"/>
      <c r="Q22" s="3286"/>
      <c r="R22" s="3286"/>
      <c r="S22" s="3286"/>
      <c r="T22" s="3286"/>
      <c r="U22" s="3286"/>
      <c r="V22" s="3286"/>
      <c r="W22" s="3286"/>
      <c r="X22" s="3286"/>
      <c r="Y22" s="3286"/>
      <c r="Z22" s="3286"/>
      <c r="AA22" s="3286"/>
      <c r="AB22" s="3286"/>
      <c r="AC22" s="3286"/>
      <c r="AD22" s="3286"/>
      <c r="AE22" s="3286"/>
      <c r="AF22" s="3286"/>
      <c r="AG22" s="3286"/>
      <c r="AH22" s="3286"/>
      <c r="AI22" s="3286"/>
      <c r="AJ22" s="3286"/>
      <c r="AK22" s="3286"/>
      <c r="AL22" s="3286"/>
      <c r="AM22" s="3286"/>
      <c r="AN22" s="3286"/>
      <c r="AO22" s="3286"/>
      <c r="AP22" s="3286"/>
      <c r="AQ22" s="3286"/>
      <c r="AR22" s="3286"/>
      <c r="AS22" s="3286"/>
      <c r="AT22" s="3286"/>
      <c r="AU22" s="3286"/>
      <c r="AV22" s="3286"/>
      <c r="AW22" s="3286"/>
      <c r="AX22" s="3286"/>
      <c r="AY22" s="3292"/>
      <c r="AZ22" s="3283"/>
    </row>
    <row r="23" spans="2:52" ht="13.5" customHeight="1">
      <c r="B23" s="3498"/>
      <c r="C23" s="3498"/>
      <c r="D23" s="3502"/>
      <c r="E23" s="2860" t="s">
        <v>5514</v>
      </c>
      <c r="F23" s="3286"/>
      <c r="G23" s="3286"/>
      <c r="H23" s="3286"/>
      <c r="I23" s="3286"/>
      <c r="J23" s="3286"/>
      <c r="K23" s="3286"/>
      <c r="L23" s="3286"/>
      <c r="M23" s="3286"/>
      <c r="N23" s="3286"/>
      <c r="O23" s="3286"/>
      <c r="P23" s="3286"/>
      <c r="Q23" s="3286"/>
      <c r="R23" s="3286"/>
      <c r="S23" s="3286"/>
      <c r="T23" s="3286"/>
      <c r="U23" s="3286"/>
      <c r="V23" s="3286"/>
      <c r="W23" s="3286"/>
      <c r="X23" s="3286"/>
      <c r="Y23" s="3286"/>
      <c r="Z23" s="3286"/>
      <c r="AA23" s="3286"/>
      <c r="AB23" s="3286"/>
      <c r="AC23" s="3286"/>
      <c r="AD23" s="3286"/>
      <c r="AE23" s="3286"/>
      <c r="AF23" s="3286"/>
      <c r="AG23" s="3286"/>
      <c r="AH23" s="3286"/>
      <c r="AI23" s="3286"/>
      <c r="AJ23" s="3286"/>
      <c r="AK23" s="3286"/>
      <c r="AL23" s="3286"/>
      <c r="AM23" s="3286"/>
      <c r="AN23" s="3286"/>
      <c r="AO23" s="3286"/>
      <c r="AP23" s="3286"/>
      <c r="AQ23" s="3286"/>
      <c r="AR23" s="3286"/>
      <c r="AS23" s="3286"/>
      <c r="AT23" s="3286"/>
      <c r="AU23" s="3286"/>
      <c r="AV23" s="3286"/>
      <c r="AW23" s="3286"/>
      <c r="AX23" s="3286"/>
      <c r="AY23" s="3292"/>
      <c r="AZ23" s="3283"/>
    </row>
    <row r="24" spans="2:52" ht="13.5" customHeight="1">
      <c r="B24" s="3498"/>
      <c r="C24" s="3498"/>
      <c r="D24" s="3502"/>
      <c r="E24" s="2860"/>
      <c r="F24" s="3286"/>
      <c r="G24" s="3286"/>
      <c r="H24" s="2844" t="s">
        <v>5470</v>
      </c>
      <c r="I24" s="3286"/>
      <c r="J24" s="3286"/>
      <c r="K24" s="3286"/>
      <c r="L24" s="3286"/>
      <c r="M24" s="3286"/>
      <c r="N24" s="3286"/>
      <c r="O24" s="3286"/>
      <c r="P24" s="3286"/>
      <c r="Q24" s="3286"/>
      <c r="R24" s="3519">
        <f>基礎数値!G6</f>
        <v>0</v>
      </c>
      <c r="S24" s="3519"/>
      <c r="T24" s="3519"/>
      <c r="U24" s="3519"/>
      <c r="V24" s="3519"/>
      <c r="W24" s="3519"/>
      <c r="X24" s="3286" t="s">
        <v>5513</v>
      </c>
      <c r="Y24" s="3287" t="s">
        <v>5512</v>
      </c>
      <c r="Z24" s="3286"/>
      <c r="AA24" s="3286"/>
      <c r="AB24" s="3286"/>
      <c r="AC24" s="3286"/>
      <c r="AD24" s="3286"/>
      <c r="AE24" s="3286"/>
      <c r="AF24" s="3286"/>
      <c r="AG24" s="3286"/>
      <c r="AH24" s="3286"/>
      <c r="AI24" s="3286"/>
      <c r="AJ24" s="3286"/>
      <c r="AK24" s="3286"/>
      <c r="AL24" s="3286"/>
      <c r="AM24" s="3286"/>
      <c r="AN24" s="3286"/>
      <c r="AO24" s="3286"/>
      <c r="AP24" s="3286"/>
      <c r="AQ24" s="3286"/>
      <c r="AR24" s="3286"/>
      <c r="AS24" s="3286"/>
      <c r="AT24" s="3286"/>
      <c r="AU24" s="3286"/>
      <c r="AV24" s="3286"/>
      <c r="AW24" s="3286"/>
      <c r="AX24" s="3286"/>
      <c r="AY24" s="3292"/>
      <c r="AZ24" s="3283"/>
    </row>
    <row r="25" spans="2:52" ht="13.5" customHeight="1">
      <c r="B25" s="3498"/>
      <c r="C25" s="3498"/>
      <c r="D25" s="3502"/>
      <c r="E25" s="3294"/>
      <c r="F25" s="2844"/>
      <c r="G25" s="3286"/>
      <c r="H25" s="2844" t="s">
        <v>5511</v>
      </c>
      <c r="I25" s="3286"/>
      <c r="J25" s="3286"/>
      <c r="K25" s="3286"/>
      <c r="L25" s="3286"/>
      <c r="M25" s="3286"/>
      <c r="N25" s="3286"/>
      <c r="O25" s="3286"/>
      <c r="P25" s="3286"/>
      <c r="Q25" s="3286"/>
      <c r="R25" s="3519">
        <f>基礎数値!G7</f>
        <v>0</v>
      </c>
      <c r="S25" s="3519"/>
      <c r="T25" s="3519"/>
      <c r="U25" s="3519"/>
      <c r="V25" s="3519"/>
      <c r="W25" s="3519"/>
      <c r="X25" s="3286" t="s">
        <v>5510</v>
      </c>
      <c r="Y25" s="3287" t="s">
        <v>5509</v>
      </c>
      <c r="Z25" s="3286"/>
      <c r="AA25" s="3286"/>
      <c r="AB25" s="3286"/>
      <c r="AC25" s="3286"/>
      <c r="AD25" s="3286"/>
      <c r="AE25" s="3286"/>
      <c r="AF25" s="3286"/>
      <c r="AG25" s="3286"/>
      <c r="AH25" s="3286"/>
      <c r="AI25" s="3286"/>
      <c r="AJ25" s="3286"/>
      <c r="AK25" s="3286"/>
      <c r="AL25" s="3286"/>
      <c r="AM25" s="3286"/>
      <c r="AN25" s="3286"/>
      <c r="AO25" s="3286"/>
      <c r="AP25" s="3286"/>
      <c r="AQ25" s="3286"/>
      <c r="AR25" s="3286"/>
      <c r="AS25" s="3286"/>
      <c r="AT25" s="3286"/>
      <c r="AU25" s="3286"/>
      <c r="AV25" s="3286"/>
      <c r="AW25" s="3286"/>
      <c r="AX25" s="3286"/>
      <c r="AY25" s="3292"/>
      <c r="AZ25" s="3283"/>
    </row>
    <row r="26" spans="2:52" ht="13.5" customHeight="1" thickBot="1">
      <c r="B26" s="3498"/>
      <c r="C26" s="3498"/>
      <c r="D26" s="3502"/>
      <c r="E26" s="3294"/>
      <c r="F26" s="2844"/>
      <c r="G26" s="3286"/>
      <c r="H26" s="3286"/>
      <c r="I26" s="3286"/>
      <c r="J26" s="3286"/>
      <c r="K26" s="3286"/>
      <c r="L26" s="3286"/>
      <c r="M26" s="3286"/>
      <c r="N26" s="3286"/>
      <c r="O26" s="3286"/>
      <c r="P26" s="3286"/>
      <c r="Q26" s="3286"/>
      <c r="R26" s="3286"/>
      <c r="S26" s="3286"/>
      <c r="T26" s="3286"/>
      <c r="U26" s="3286"/>
      <c r="V26" s="3286"/>
      <c r="W26" s="3286"/>
      <c r="X26" s="3286"/>
      <c r="Y26" s="3286"/>
      <c r="Z26" s="3286"/>
      <c r="AA26" s="3286"/>
      <c r="AB26" s="3286"/>
      <c r="AC26" s="3286"/>
      <c r="AD26" s="3286"/>
      <c r="AE26" s="3286"/>
      <c r="AF26" s="3286"/>
      <c r="AG26" s="3286"/>
      <c r="AH26" s="3286"/>
      <c r="AI26" s="3286"/>
      <c r="AJ26" s="3286"/>
      <c r="AK26" s="3286"/>
      <c r="AL26" s="3286"/>
      <c r="AM26" s="3286"/>
      <c r="AN26" s="3286"/>
      <c r="AO26" s="3286"/>
      <c r="AP26" s="3286"/>
      <c r="AQ26" s="3286"/>
      <c r="AR26" s="3286"/>
      <c r="AS26" s="3286"/>
      <c r="AT26" s="3286"/>
      <c r="AU26" s="3286"/>
      <c r="AV26" s="3286"/>
      <c r="AW26" s="3286"/>
      <c r="AX26" s="3286"/>
      <c r="AY26" s="3292"/>
      <c r="AZ26" s="3283"/>
    </row>
    <row r="27" spans="2:52" ht="13.5" customHeight="1" thickTop="1" thickBot="1">
      <c r="B27" s="3498"/>
      <c r="C27" s="3498"/>
      <c r="D27" s="3502"/>
      <c r="E27" s="3294" t="s">
        <v>5445</v>
      </c>
      <c r="F27" s="2844"/>
      <c r="G27" s="3286"/>
      <c r="H27" s="3286"/>
      <c r="I27" s="3286"/>
      <c r="J27" s="3286"/>
      <c r="K27" s="3286"/>
      <c r="L27" s="3286"/>
      <c r="M27" s="3286"/>
      <c r="N27" s="3286"/>
      <c r="O27" s="3286"/>
      <c r="P27" s="3286"/>
      <c r="Q27" s="3286"/>
      <c r="R27" s="3499">
        <f>ROUNDDOWN((AK21-R24-R25)*100/108,0)</f>
        <v>0</v>
      </c>
      <c r="S27" s="3500"/>
      <c r="T27" s="3500"/>
      <c r="U27" s="3500"/>
      <c r="V27" s="3500"/>
      <c r="W27" s="3501"/>
      <c r="X27" s="3286" t="s">
        <v>5508</v>
      </c>
      <c r="Y27" s="3287" t="s">
        <v>5576</v>
      </c>
      <c r="Z27" s="3286"/>
      <c r="AA27" s="3286"/>
      <c r="AB27" s="3286"/>
      <c r="AC27" s="3286"/>
      <c r="AD27" s="3286"/>
      <c r="AE27" s="3286"/>
      <c r="AF27" s="3286"/>
      <c r="AG27" s="3286"/>
      <c r="AH27" s="3286"/>
      <c r="AI27" s="3286"/>
      <c r="AJ27" s="3286"/>
      <c r="AK27" s="3286"/>
      <c r="AL27" s="3286"/>
      <c r="AM27" s="3286"/>
      <c r="AN27" s="3286"/>
      <c r="AO27" s="3286"/>
      <c r="AP27" s="3286"/>
      <c r="AQ27" s="3286"/>
      <c r="AR27" s="3286"/>
      <c r="AS27" s="3286"/>
      <c r="AT27" s="3286"/>
      <c r="AU27" s="3286"/>
      <c r="AV27" s="3286"/>
      <c r="AW27" s="3286"/>
      <c r="AX27" s="3286"/>
      <c r="AY27" s="3292"/>
      <c r="AZ27" s="3283" t="s">
        <v>5506</v>
      </c>
    </row>
    <row r="28" spans="2:52" ht="13.5" customHeight="1" thickTop="1" thickBot="1">
      <c r="B28" s="3498"/>
      <c r="C28" s="3498"/>
      <c r="D28" s="3502"/>
      <c r="E28" s="3294"/>
      <c r="F28" s="2844"/>
      <c r="G28" s="3286"/>
      <c r="H28" s="3286"/>
      <c r="I28" s="3286"/>
      <c r="J28" s="3286"/>
      <c r="K28" s="3286"/>
      <c r="L28" s="3286"/>
      <c r="M28" s="3286"/>
      <c r="N28" s="3286"/>
      <c r="O28" s="3286"/>
      <c r="P28" s="3286"/>
      <c r="Q28" s="3286"/>
      <c r="R28" s="3286"/>
      <c r="S28" s="3286"/>
      <c r="T28" s="3286"/>
      <c r="U28" s="3286"/>
      <c r="V28" s="3286"/>
      <c r="W28" s="3286"/>
      <c r="X28" s="3286"/>
      <c r="Y28" s="3286"/>
      <c r="Z28" s="3286"/>
      <c r="AA28" s="3286"/>
      <c r="AB28" s="3286"/>
      <c r="AC28" s="3286"/>
      <c r="AD28" s="3286"/>
      <c r="AE28" s="3286"/>
      <c r="AF28" s="3286"/>
      <c r="AG28" s="3286"/>
      <c r="AH28" s="3286"/>
      <c r="AI28" s="3286"/>
      <c r="AJ28" s="3286"/>
      <c r="AK28" s="3286"/>
      <c r="AL28" s="3286"/>
      <c r="AM28" s="3286"/>
      <c r="AN28" s="3286"/>
      <c r="AO28" s="3286"/>
      <c r="AP28" s="3286"/>
      <c r="AQ28" s="3286"/>
      <c r="AR28" s="3286"/>
      <c r="AS28" s="3286"/>
      <c r="AT28" s="3286"/>
      <c r="AU28" s="3286"/>
      <c r="AV28" s="3286"/>
      <c r="AW28" s="3286"/>
      <c r="AX28" s="3286"/>
      <c r="AY28" s="3292"/>
      <c r="AZ28" s="3283"/>
    </row>
    <row r="29" spans="2:52" ht="13.5" customHeight="1" thickTop="1" thickBot="1">
      <c r="B29" s="3498"/>
      <c r="C29" s="3498"/>
      <c r="D29" s="3502"/>
      <c r="E29" s="3294" t="s">
        <v>5505</v>
      </c>
      <c r="F29" s="2844"/>
      <c r="G29" s="3286"/>
      <c r="H29" s="3286"/>
      <c r="I29" s="3286"/>
      <c r="J29" s="3286"/>
      <c r="K29" s="3286"/>
      <c r="L29" s="3286"/>
      <c r="M29" s="3286"/>
      <c r="N29" s="3286"/>
      <c r="O29" s="3286"/>
      <c r="P29" s="3286"/>
      <c r="Q29" s="3286"/>
      <c r="R29" s="3499">
        <f>ROUNDDOWN((AK21-R24)*100/108,-3)</f>
        <v>0</v>
      </c>
      <c r="S29" s="3500"/>
      <c r="T29" s="3500"/>
      <c r="U29" s="3500"/>
      <c r="V29" s="3500"/>
      <c r="W29" s="3501"/>
      <c r="X29" s="3286" t="s">
        <v>5504</v>
      </c>
      <c r="Y29" s="3287" t="s">
        <v>5575</v>
      </c>
      <c r="Z29" s="3286"/>
      <c r="AA29" s="3286"/>
      <c r="AB29" s="3286"/>
      <c r="AC29" s="3286"/>
      <c r="AD29" s="3286"/>
      <c r="AE29" s="3286"/>
      <c r="AF29" s="3286"/>
      <c r="AG29" s="3286"/>
      <c r="AH29" s="3286"/>
      <c r="AI29" s="3286"/>
      <c r="AJ29" s="3286"/>
      <c r="AK29" s="3286"/>
      <c r="AL29" s="3286"/>
      <c r="AM29" s="3286"/>
      <c r="AN29" s="3286"/>
      <c r="AO29" s="3286"/>
      <c r="AP29" s="3286"/>
      <c r="AQ29" s="3286"/>
      <c r="AR29" s="3286"/>
      <c r="AS29" s="3286"/>
      <c r="AT29" s="3286"/>
      <c r="AU29" s="3286"/>
      <c r="AV29" s="3286"/>
      <c r="AW29" s="3286"/>
      <c r="AX29" s="3286"/>
      <c r="AY29" s="3292"/>
      <c r="AZ29" s="3283" t="s">
        <v>5502</v>
      </c>
    </row>
    <row r="30" spans="2:52" ht="13.5" customHeight="1" thickTop="1" thickBot="1">
      <c r="B30" s="3498"/>
      <c r="C30" s="3498"/>
      <c r="D30" s="3502"/>
      <c r="E30" s="3294"/>
      <c r="F30" s="2844"/>
      <c r="G30" s="3286"/>
      <c r="H30" s="3286"/>
      <c r="I30" s="3286"/>
      <c r="J30" s="3286"/>
      <c r="K30" s="3286"/>
      <c r="L30" s="3286"/>
      <c r="M30" s="3286"/>
      <c r="N30" s="3286"/>
      <c r="O30" s="3286"/>
      <c r="P30" s="3286"/>
      <c r="Q30" s="3286"/>
      <c r="R30" s="3286"/>
      <c r="S30" s="3286"/>
      <c r="T30" s="3286"/>
      <c r="U30" s="3286"/>
      <c r="V30" s="3286"/>
      <c r="W30" s="3286"/>
      <c r="X30" s="3286"/>
      <c r="Y30" s="3286"/>
      <c r="Z30" s="3286"/>
      <c r="AA30" s="3286"/>
      <c r="AB30" s="3286"/>
      <c r="AC30" s="3286"/>
      <c r="AD30" s="3286"/>
      <c r="AE30" s="3286"/>
      <c r="AF30" s="3286"/>
      <c r="AG30" s="3286"/>
      <c r="AH30" s="3286"/>
      <c r="AI30" s="3286"/>
      <c r="AJ30" s="3286"/>
      <c r="AK30" s="3286"/>
      <c r="AL30" s="3286"/>
      <c r="AM30" s="3286"/>
      <c r="AN30" s="3286"/>
      <c r="AO30" s="3286"/>
      <c r="AP30" s="3286"/>
      <c r="AQ30" s="3286"/>
      <c r="AR30" s="3286"/>
      <c r="AS30" s="3286"/>
      <c r="AT30" s="3286"/>
      <c r="AU30" s="3286"/>
      <c r="AV30" s="3286"/>
      <c r="AW30" s="3286"/>
      <c r="AX30" s="3286"/>
      <c r="AY30" s="3292"/>
      <c r="AZ30" s="3283"/>
    </row>
    <row r="31" spans="2:52" ht="13.5" customHeight="1" thickTop="1" thickBot="1">
      <c r="B31" s="3498"/>
      <c r="C31" s="3498"/>
      <c r="D31" s="3502"/>
      <c r="E31" s="3294" t="s">
        <v>5501</v>
      </c>
      <c r="F31" s="2844"/>
      <c r="G31" s="3286"/>
      <c r="H31" s="3286"/>
      <c r="I31" s="3286"/>
      <c r="J31" s="3286"/>
      <c r="K31" s="3286"/>
      <c r="L31" s="3286"/>
      <c r="M31" s="3286"/>
      <c r="N31" s="3286"/>
      <c r="O31" s="3286"/>
      <c r="P31" s="3286"/>
      <c r="Q31" s="3286"/>
      <c r="R31" s="3499">
        <f>ROUNDDOWN(R29*62.4/1000,0)</f>
        <v>0</v>
      </c>
      <c r="S31" s="3500"/>
      <c r="T31" s="3500"/>
      <c r="U31" s="3500"/>
      <c r="V31" s="3500"/>
      <c r="W31" s="3501"/>
      <c r="X31" s="3286" t="s">
        <v>5500</v>
      </c>
      <c r="Y31" s="3287" t="s">
        <v>6163</v>
      </c>
      <c r="Z31" s="3286"/>
      <c r="AA31" s="3286"/>
      <c r="AB31" s="3286"/>
      <c r="AC31" s="3286"/>
      <c r="AD31" s="3286"/>
      <c r="AE31" s="3286"/>
      <c r="AF31" s="3286"/>
      <c r="AG31" s="3286"/>
      <c r="AH31" s="3286"/>
      <c r="AI31" s="3286"/>
      <c r="AJ31" s="3286"/>
      <c r="AK31" s="3286"/>
      <c r="AL31" s="3286"/>
      <c r="AM31" s="3286"/>
      <c r="AN31" s="3286"/>
      <c r="AO31" s="3286"/>
      <c r="AP31" s="3286"/>
      <c r="AQ31" s="3286"/>
      <c r="AR31" s="3286"/>
      <c r="AS31" s="3286"/>
      <c r="AT31" s="3286"/>
      <c r="AU31" s="3286"/>
      <c r="AV31" s="3286"/>
      <c r="AW31" s="3286"/>
      <c r="AX31" s="3286"/>
      <c r="AY31" s="3292"/>
      <c r="AZ31" s="3283" t="s">
        <v>5498</v>
      </c>
    </row>
    <row r="32" spans="2:52" ht="13.5" customHeight="1" thickTop="1">
      <c r="B32" s="3503"/>
      <c r="C32" s="3503"/>
      <c r="D32" s="3513"/>
      <c r="E32" s="3297"/>
      <c r="F32" s="2839"/>
      <c r="G32" s="3298"/>
      <c r="H32" s="3298"/>
      <c r="I32" s="3298"/>
      <c r="J32" s="3298"/>
      <c r="K32" s="3298"/>
      <c r="L32" s="3298"/>
      <c r="M32" s="3298"/>
      <c r="N32" s="3298"/>
      <c r="O32" s="3298"/>
      <c r="P32" s="3298"/>
      <c r="Q32" s="3298"/>
      <c r="R32" s="3298"/>
      <c r="S32" s="3298"/>
      <c r="T32" s="3298"/>
      <c r="U32" s="3298"/>
      <c r="V32" s="3298"/>
      <c r="W32" s="3298"/>
      <c r="X32" s="3298"/>
      <c r="Y32" s="3298"/>
      <c r="Z32" s="3298"/>
      <c r="AA32" s="3298"/>
      <c r="AB32" s="3298"/>
      <c r="AC32" s="3298"/>
      <c r="AD32" s="3298"/>
      <c r="AE32" s="3298"/>
      <c r="AF32" s="3298"/>
      <c r="AG32" s="3298"/>
      <c r="AH32" s="3298"/>
      <c r="AI32" s="3298"/>
      <c r="AJ32" s="3298"/>
      <c r="AK32" s="3298"/>
      <c r="AL32" s="3298"/>
      <c r="AM32" s="3298"/>
      <c r="AN32" s="3298"/>
      <c r="AO32" s="3298"/>
      <c r="AP32" s="3298"/>
      <c r="AQ32" s="3298"/>
      <c r="AR32" s="3298"/>
      <c r="AS32" s="3298"/>
      <c r="AT32" s="3298"/>
      <c r="AU32" s="3298"/>
      <c r="AV32" s="3298"/>
      <c r="AW32" s="3298"/>
      <c r="AX32" s="3298"/>
      <c r="AY32" s="3293"/>
      <c r="AZ32" s="3285"/>
    </row>
    <row r="33" spans="2:52" ht="13.5" customHeight="1">
      <c r="B33" s="3514" t="s">
        <v>5427</v>
      </c>
      <c r="C33" s="3514">
        <v>1</v>
      </c>
      <c r="D33" s="3514" t="s">
        <v>5497</v>
      </c>
      <c r="E33" s="3295"/>
      <c r="F33" s="2849"/>
      <c r="G33" s="3296"/>
      <c r="H33" s="3296"/>
      <c r="I33" s="3296"/>
      <c r="J33" s="3296"/>
      <c r="K33" s="3296"/>
      <c r="L33" s="3296"/>
      <c r="M33" s="3296"/>
      <c r="N33" s="3296"/>
      <c r="O33" s="3296"/>
      <c r="P33" s="3296"/>
      <c r="Q33" s="3296"/>
      <c r="R33" s="3296"/>
      <c r="S33" s="3296"/>
      <c r="T33" s="3296"/>
      <c r="U33" s="3296"/>
      <c r="V33" s="3296"/>
      <c r="W33" s="3296"/>
      <c r="X33" s="3296"/>
      <c r="Y33" s="3296"/>
      <c r="Z33" s="3296"/>
      <c r="AA33" s="3296"/>
      <c r="AB33" s="3296"/>
      <c r="AC33" s="3296"/>
      <c r="AD33" s="3296"/>
      <c r="AE33" s="3296"/>
      <c r="AF33" s="3296"/>
      <c r="AG33" s="3296"/>
      <c r="AH33" s="3296"/>
      <c r="AI33" s="3296"/>
      <c r="AJ33" s="3296"/>
      <c r="AK33" s="3296"/>
      <c r="AL33" s="3296"/>
      <c r="AM33" s="3296"/>
      <c r="AN33" s="3296"/>
      <c r="AO33" s="3296"/>
      <c r="AP33" s="3296"/>
      <c r="AQ33" s="3296"/>
      <c r="AR33" s="3296"/>
      <c r="AS33" s="3296"/>
      <c r="AT33" s="3296"/>
      <c r="AU33" s="3296"/>
      <c r="AV33" s="3296"/>
      <c r="AW33" s="3296"/>
      <c r="AX33" s="3296"/>
      <c r="AY33" s="3291"/>
      <c r="AZ33" s="3290"/>
    </row>
    <row r="34" spans="2:52" ht="13.5" customHeight="1">
      <c r="B34" s="3498"/>
      <c r="C34" s="3498"/>
      <c r="D34" s="3498"/>
      <c r="E34" s="3294" t="s">
        <v>5496</v>
      </c>
      <c r="F34" s="2844"/>
      <c r="G34" s="3286"/>
      <c r="H34" s="3286"/>
      <c r="I34" s="3286"/>
      <c r="J34" s="3286"/>
      <c r="K34" s="3286"/>
      <c r="L34" s="3286"/>
      <c r="M34" s="3286"/>
      <c r="N34" s="3286"/>
      <c r="O34" s="3286"/>
      <c r="P34" s="3286"/>
      <c r="Q34" s="3286"/>
      <c r="R34" s="2864"/>
      <c r="S34" s="2864"/>
      <c r="T34" s="2864"/>
      <c r="U34" s="2864"/>
      <c r="V34" s="2864"/>
      <c r="W34" s="2864"/>
      <c r="X34" s="2861"/>
      <c r="Y34" s="2862"/>
      <c r="Z34" s="2861"/>
      <c r="AA34" s="2861"/>
      <c r="AB34" s="2861"/>
      <c r="AC34" s="2861"/>
      <c r="AD34" s="2861"/>
      <c r="AE34" s="2861"/>
      <c r="AF34" s="2861"/>
      <c r="AG34" s="2861"/>
      <c r="AH34" s="2861"/>
      <c r="AI34" s="2861"/>
      <c r="AJ34" s="2861"/>
      <c r="AK34" s="2861"/>
      <c r="AL34" s="2861"/>
      <c r="AM34" s="2861"/>
      <c r="AN34" s="2861"/>
      <c r="AO34" s="2861"/>
      <c r="AP34" s="2861"/>
      <c r="AQ34" s="2861"/>
      <c r="AR34" s="3286"/>
      <c r="AS34" s="3286"/>
      <c r="AT34" s="3286"/>
      <c r="AU34" s="3286"/>
      <c r="AV34" s="3286"/>
      <c r="AW34" s="3286"/>
      <c r="AX34" s="3286"/>
      <c r="AY34" s="3292"/>
      <c r="AZ34" s="3283"/>
    </row>
    <row r="35" spans="2:52" ht="13.5" customHeight="1">
      <c r="B35" s="3498"/>
      <c r="C35" s="3498"/>
      <c r="D35" s="3498"/>
      <c r="E35" s="3294" t="s">
        <v>5495</v>
      </c>
      <c r="F35" s="2844"/>
      <c r="G35" s="3286"/>
      <c r="H35" s="3286"/>
      <c r="I35" s="3286"/>
      <c r="J35" s="3286"/>
      <c r="K35" s="3286"/>
      <c r="L35" s="3286"/>
      <c r="M35" s="3286"/>
      <c r="N35" s="3286"/>
      <c r="O35" s="3286"/>
      <c r="P35" s="3286"/>
      <c r="Q35" s="3286"/>
      <c r="R35" s="2864"/>
      <c r="S35" s="2864"/>
      <c r="T35" s="2864"/>
      <c r="U35" s="2864"/>
      <c r="V35" s="2864"/>
      <c r="W35" s="2864"/>
      <c r="X35" s="2861"/>
      <c r="Y35" s="2862"/>
      <c r="Z35" s="2861"/>
      <c r="AA35" s="2861"/>
      <c r="AB35" s="2861"/>
      <c r="AC35" s="2861"/>
      <c r="AD35" s="2861"/>
      <c r="AE35" s="2861"/>
      <c r="AF35" s="2861"/>
      <c r="AG35" s="2861"/>
      <c r="AH35" s="2861"/>
      <c r="AI35" s="2861"/>
      <c r="AJ35" s="2861"/>
      <c r="AK35" s="2861"/>
      <c r="AL35" s="2861"/>
      <c r="AM35" s="2861"/>
      <c r="AN35" s="2861"/>
      <c r="AO35" s="2861"/>
      <c r="AP35" s="2861"/>
      <c r="AQ35" s="2861"/>
      <c r="AR35" s="3286"/>
      <c r="AS35" s="3286"/>
      <c r="AT35" s="3286"/>
      <c r="AU35" s="3286"/>
      <c r="AV35" s="3286"/>
      <c r="AW35" s="3286"/>
      <c r="AX35" s="3286"/>
      <c r="AY35" s="3292"/>
      <c r="AZ35" s="3283"/>
    </row>
    <row r="36" spans="2:52" ht="13.5" customHeight="1">
      <c r="B36" s="3498"/>
      <c r="C36" s="3498"/>
      <c r="D36" s="3498"/>
      <c r="E36" s="3294" t="s">
        <v>5494</v>
      </c>
      <c r="F36" s="2844"/>
      <c r="G36" s="3286"/>
      <c r="H36" s="3286"/>
      <c r="I36" s="3286"/>
      <c r="J36" s="3286"/>
      <c r="K36" s="3286"/>
      <c r="L36" s="3286"/>
      <c r="M36" s="3286"/>
      <c r="N36" s="3286"/>
      <c r="O36" s="3286"/>
      <c r="P36" s="3286"/>
      <c r="Q36" s="3286"/>
      <c r="R36" s="2864"/>
      <c r="S36" s="2864"/>
      <c r="T36" s="2864"/>
      <c r="U36" s="2864"/>
      <c r="V36" s="2864"/>
      <c r="W36" s="2864"/>
      <c r="X36" s="2861"/>
      <c r="Y36" s="2862"/>
      <c r="Z36" s="2861"/>
      <c r="AA36" s="2861"/>
      <c r="AB36" s="2861"/>
      <c r="AC36" s="2861"/>
      <c r="AD36" s="2861"/>
      <c r="AE36" s="2861"/>
      <c r="AF36" s="2861"/>
      <c r="AG36" s="2861"/>
      <c r="AH36" s="2861"/>
      <c r="AI36" s="2861"/>
      <c r="AJ36" s="2861"/>
      <c r="AK36" s="2861"/>
      <c r="AL36" s="2861"/>
      <c r="AM36" s="2861"/>
      <c r="AN36" s="2861"/>
      <c r="AO36" s="2861"/>
      <c r="AP36" s="2861"/>
      <c r="AQ36" s="2861"/>
      <c r="AR36" s="3286"/>
      <c r="AS36" s="3286"/>
      <c r="AT36" s="3286"/>
      <c r="AU36" s="3286"/>
      <c r="AV36" s="3286"/>
      <c r="AW36" s="3286"/>
      <c r="AX36" s="3286"/>
      <c r="AY36" s="3292"/>
      <c r="AZ36" s="3502"/>
    </row>
    <row r="37" spans="2:52" ht="13.5" customHeight="1">
      <c r="B37" s="3498"/>
      <c r="C37" s="3498"/>
      <c r="D37" s="3498"/>
      <c r="E37" s="3294"/>
      <c r="F37" s="2844"/>
      <c r="G37" s="3286"/>
      <c r="H37" s="3286"/>
      <c r="I37" s="3286"/>
      <c r="J37" s="3286"/>
      <c r="K37" s="3286"/>
      <c r="L37" s="3286"/>
      <c r="M37" s="3286"/>
      <c r="N37" s="3286"/>
      <c r="O37" s="3286"/>
      <c r="P37" s="3286"/>
      <c r="Q37" s="3286"/>
      <c r="R37" s="2861"/>
      <c r="S37" s="2861"/>
      <c r="T37" s="2861"/>
      <c r="U37" s="2861"/>
      <c r="V37" s="2861"/>
      <c r="W37" s="2861"/>
      <c r="X37" s="2861"/>
      <c r="Y37" s="2861"/>
      <c r="Z37" s="2861"/>
      <c r="AA37" s="2861"/>
      <c r="AB37" s="2861"/>
      <c r="AC37" s="2861"/>
      <c r="AD37" s="2861"/>
      <c r="AE37" s="2861"/>
      <c r="AF37" s="2861"/>
      <c r="AG37" s="2861"/>
      <c r="AH37" s="2861"/>
      <c r="AI37" s="2861"/>
      <c r="AJ37" s="2861"/>
      <c r="AK37" s="2861"/>
      <c r="AL37" s="2861"/>
      <c r="AM37" s="2861"/>
      <c r="AN37" s="2861"/>
      <c r="AO37" s="2861"/>
      <c r="AP37" s="2861"/>
      <c r="AQ37" s="2861"/>
      <c r="AR37" s="3286"/>
      <c r="AS37" s="3286"/>
      <c r="AT37" s="3286"/>
      <c r="AU37" s="3286"/>
      <c r="AV37" s="3286"/>
      <c r="AW37" s="3286"/>
      <c r="AX37" s="3286"/>
      <c r="AY37" s="3292"/>
      <c r="AZ37" s="3502"/>
    </row>
    <row r="38" spans="2:52" ht="13.5" customHeight="1">
      <c r="B38" s="3498"/>
      <c r="C38" s="3498"/>
      <c r="D38" s="3498"/>
      <c r="E38" s="2860" t="s">
        <v>5493</v>
      </c>
      <c r="F38" s="2844"/>
      <c r="G38" s="3286"/>
      <c r="H38" s="3286"/>
      <c r="I38" s="3286"/>
      <c r="J38" s="3286"/>
      <c r="K38" s="3286"/>
      <c r="L38" s="3286"/>
      <c r="M38" s="3286"/>
      <c r="N38" s="3286"/>
      <c r="O38" s="3286"/>
      <c r="P38" s="3286"/>
      <c r="Q38" s="3286"/>
      <c r="R38" s="2864"/>
      <c r="S38" s="2864"/>
      <c r="T38" s="2864"/>
      <c r="U38" s="2864"/>
      <c r="V38" s="2864"/>
      <c r="W38" s="2864"/>
      <c r="X38" s="2861"/>
      <c r="Y38" s="2862"/>
      <c r="Z38" s="2861"/>
      <c r="AA38" s="2861"/>
      <c r="AB38" s="2861"/>
      <c r="AC38" s="2861"/>
      <c r="AD38" s="2861"/>
      <c r="AE38" s="2861"/>
      <c r="AF38" s="2861"/>
      <c r="AG38" s="2861"/>
      <c r="AH38" s="2861"/>
      <c r="AI38" s="2861"/>
      <c r="AJ38" s="2861"/>
      <c r="AK38" s="2861"/>
      <c r="AL38" s="2861"/>
      <c r="AM38" s="2861"/>
      <c r="AN38" s="2861"/>
      <c r="AO38" s="2861"/>
      <c r="AP38" s="2861"/>
      <c r="AQ38" s="2861"/>
      <c r="AR38" s="3286"/>
      <c r="AS38" s="3286"/>
      <c r="AT38" s="3286"/>
      <c r="AU38" s="3286"/>
      <c r="AV38" s="3286"/>
      <c r="AW38" s="3286"/>
      <c r="AX38" s="3286"/>
      <c r="AY38" s="3292"/>
      <c r="AZ38" s="3283"/>
    </row>
    <row r="39" spans="2:52" ht="13.5" customHeight="1">
      <c r="B39" s="3498"/>
      <c r="C39" s="3498"/>
      <c r="D39" s="3498"/>
      <c r="E39" s="2860" t="s">
        <v>5492</v>
      </c>
      <c r="F39" s="2844"/>
      <c r="G39" s="3286"/>
      <c r="H39" s="3286"/>
      <c r="I39" s="3286"/>
      <c r="J39" s="3286"/>
      <c r="K39" s="3286"/>
      <c r="L39" s="3286"/>
      <c r="M39" s="3286"/>
      <c r="N39" s="3286"/>
      <c r="O39" s="3286"/>
      <c r="P39" s="3286"/>
      <c r="Q39" s="3286"/>
      <c r="R39" s="2864"/>
      <c r="S39" s="2864"/>
      <c r="T39" s="2864"/>
      <c r="U39" s="2864"/>
      <c r="V39" s="2864"/>
      <c r="W39" s="2864"/>
      <c r="X39" s="2861"/>
      <c r="Y39" s="2862"/>
      <c r="Z39" s="2861"/>
      <c r="AA39" s="2861"/>
      <c r="AB39" s="2861"/>
      <c r="AC39" s="2861"/>
      <c r="AD39" s="2861"/>
      <c r="AE39" s="2861"/>
      <c r="AF39" s="2861"/>
      <c r="AG39" s="2861"/>
      <c r="AH39" s="2861"/>
      <c r="AI39" s="2861"/>
      <c r="AJ39" s="2861"/>
      <c r="AK39" s="2864"/>
      <c r="AL39" s="2864"/>
      <c r="AM39" s="2864"/>
      <c r="AN39" s="2864"/>
      <c r="AO39" s="2864"/>
      <c r="AP39" s="2864"/>
      <c r="AQ39" s="2861"/>
      <c r="AR39" s="3286"/>
      <c r="AS39" s="3286"/>
      <c r="AT39" s="3286"/>
      <c r="AU39" s="3286"/>
      <c r="AV39" s="3286"/>
      <c r="AW39" s="3286"/>
      <c r="AX39" s="3286"/>
      <c r="AY39" s="3292"/>
      <c r="AZ39" s="3283"/>
    </row>
    <row r="40" spans="2:52" ht="13.5" customHeight="1">
      <c r="B40" s="3498"/>
      <c r="C40" s="3498"/>
      <c r="D40" s="3498"/>
      <c r="E40" s="3294" t="s">
        <v>5491</v>
      </c>
      <c r="F40" s="2844"/>
      <c r="G40" s="3286"/>
      <c r="H40" s="3286"/>
      <c r="I40" s="3286"/>
      <c r="J40" s="3286"/>
      <c r="K40" s="3286"/>
      <c r="L40" s="3286"/>
      <c r="M40" s="3286"/>
      <c r="N40" s="3286"/>
      <c r="O40" s="3286"/>
      <c r="P40" s="3286"/>
      <c r="Q40" s="3286"/>
      <c r="R40" s="2864"/>
      <c r="S40" s="2864"/>
      <c r="T40" s="2864"/>
      <c r="U40" s="2864"/>
      <c r="V40" s="2864"/>
      <c r="W40" s="2864"/>
      <c r="X40" s="2861"/>
      <c r="Y40" s="2862"/>
      <c r="Z40" s="2861"/>
      <c r="AA40" s="2861"/>
      <c r="AB40" s="2861"/>
      <c r="AC40" s="2861"/>
      <c r="AD40" s="2861"/>
      <c r="AE40" s="2861"/>
      <c r="AF40" s="2861"/>
      <c r="AG40" s="2861"/>
      <c r="AH40" s="2861"/>
      <c r="AI40" s="2861"/>
      <c r="AJ40" s="2861"/>
      <c r="AK40" s="2861"/>
      <c r="AL40" s="2861"/>
      <c r="AM40" s="2861"/>
      <c r="AN40" s="2861"/>
      <c r="AO40" s="2861"/>
      <c r="AP40" s="2861"/>
      <c r="AQ40" s="2861"/>
      <c r="AR40" s="3286"/>
      <c r="AS40" s="3286"/>
      <c r="AT40" s="3286"/>
      <c r="AU40" s="3286"/>
      <c r="AV40" s="3286"/>
      <c r="AW40" s="3286"/>
      <c r="AX40" s="3286"/>
      <c r="AY40" s="3292"/>
      <c r="AZ40" s="3502"/>
    </row>
    <row r="41" spans="2:52" ht="13.5" customHeight="1">
      <c r="B41" s="3498"/>
      <c r="C41" s="3498"/>
      <c r="D41" s="3498"/>
      <c r="E41" s="3294"/>
      <c r="F41" s="2844"/>
      <c r="G41" s="3286"/>
      <c r="H41" s="3286"/>
      <c r="I41" s="3286"/>
      <c r="J41" s="3286"/>
      <c r="K41" s="3286"/>
      <c r="L41" s="3286"/>
      <c r="M41" s="3286"/>
      <c r="N41" s="3286"/>
      <c r="O41" s="3286"/>
      <c r="P41" s="3286"/>
      <c r="Q41" s="3286"/>
      <c r="R41" s="2861"/>
      <c r="S41" s="2861"/>
      <c r="T41" s="2861"/>
      <c r="U41" s="2861"/>
      <c r="V41" s="2861"/>
      <c r="W41" s="2861"/>
      <c r="X41" s="2861"/>
      <c r="Y41" s="2861"/>
      <c r="Z41" s="2861"/>
      <c r="AA41" s="2861"/>
      <c r="AB41" s="2861"/>
      <c r="AC41" s="2861"/>
      <c r="AD41" s="2861"/>
      <c r="AE41" s="2861"/>
      <c r="AF41" s="2861"/>
      <c r="AG41" s="2861"/>
      <c r="AH41" s="2861"/>
      <c r="AI41" s="2861"/>
      <c r="AJ41" s="2861"/>
      <c r="AK41" s="2861"/>
      <c r="AL41" s="2861"/>
      <c r="AM41" s="2861"/>
      <c r="AN41" s="2861"/>
      <c r="AO41" s="2861"/>
      <c r="AP41" s="2861"/>
      <c r="AQ41" s="2861"/>
      <c r="AR41" s="3286"/>
      <c r="AS41" s="3286"/>
      <c r="AT41" s="3286"/>
      <c r="AU41" s="3286"/>
      <c r="AV41" s="3286"/>
      <c r="AW41" s="3286"/>
      <c r="AX41" s="3286"/>
      <c r="AY41" s="3292"/>
      <c r="AZ41" s="3498"/>
    </row>
    <row r="42" spans="2:52" ht="13.5" customHeight="1">
      <c r="B42" s="3498"/>
      <c r="C42" s="3498"/>
      <c r="D42" s="3498"/>
      <c r="E42" s="3294" t="s">
        <v>5427</v>
      </c>
      <c r="F42" s="2844"/>
      <c r="G42" s="3286"/>
      <c r="H42" s="3286"/>
      <c r="I42" s="3286"/>
      <c r="J42" s="3286"/>
      <c r="K42" s="3286"/>
      <c r="L42" s="3286"/>
      <c r="M42" s="3286"/>
      <c r="N42" s="3286"/>
      <c r="O42" s="3286"/>
      <c r="P42" s="3286"/>
      <c r="Q42" s="3286"/>
      <c r="R42" s="2863"/>
      <c r="S42" s="2863"/>
      <c r="T42" s="2863"/>
      <c r="U42" s="2863"/>
      <c r="V42" s="2863"/>
      <c r="W42" s="2863"/>
      <c r="X42" s="2861"/>
      <c r="Y42" s="2862"/>
      <c r="Z42" s="2861"/>
      <c r="AA42" s="2861"/>
      <c r="AB42" s="2861"/>
      <c r="AC42" s="2861"/>
      <c r="AD42" s="2861"/>
      <c r="AE42" s="2861"/>
      <c r="AF42" s="2861"/>
      <c r="AG42" s="2861"/>
      <c r="AH42" s="2861"/>
      <c r="AI42" s="2861"/>
      <c r="AJ42" s="2861"/>
      <c r="AK42" s="2861"/>
      <c r="AL42" s="2861"/>
      <c r="AM42" s="2861"/>
      <c r="AN42" s="2861"/>
      <c r="AO42" s="2861"/>
      <c r="AP42" s="2861"/>
      <c r="AQ42" s="2861"/>
      <c r="AR42" s="3286"/>
      <c r="AS42" s="3286"/>
      <c r="AT42" s="3286"/>
      <c r="AU42" s="3286"/>
      <c r="AV42" s="3286"/>
      <c r="AW42" s="3286"/>
      <c r="AX42" s="3286"/>
      <c r="AY42" s="3292"/>
      <c r="AZ42" s="3283"/>
    </row>
    <row r="43" spans="2:52" ht="13.5" customHeight="1">
      <c r="B43" s="3503"/>
      <c r="C43" s="3503"/>
      <c r="D43" s="3503"/>
      <c r="E43" s="3297"/>
      <c r="F43" s="2839"/>
      <c r="G43" s="3298"/>
      <c r="H43" s="3298"/>
      <c r="I43" s="3298"/>
      <c r="J43" s="3298"/>
      <c r="K43" s="3298"/>
      <c r="L43" s="3298"/>
      <c r="M43" s="3298"/>
      <c r="N43" s="3298"/>
      <c r="O43" s="3298"/>
      <c r="P43" s="3298"/>
      <c r="Q43" s="3298"/>
      <c r="R43" s="3298"/>
      <c r="S43" s="3298"/>
      <c r="T43" s="3298"/>
      <c r="U43" s="3298"/>
      <c r="V43" s="3298"/>
      <c r="W43" s="3298"/>
      <c r="X43" s="3298"/>
      <c r="Y43" s="3298"/>
      <c r="Z43" s="3298"/>
      <c r="AA43" s="3298"/>
      <c r="AB43" s="3298"/>
      <c r="AC43" s="3298"/>
      <c r="AD43" s="3298"/>
      <c r="AE43" s="3298"/>
      <c r="AF43" s="3298"/>
      <c r="AG43" s="3298"/>
      <c r="AH43" s="3298"/>
      <c r="AI43" s="3298"/>
      <c r="AJ43" s="3298"/>
      <c r="AK43" s="3298"/>
      <c r="AL43" s="3298"/>
      <c r="AM43" s="3298"/>
      <c r="AN43" s="3298"/>
      <c r="AO43" s="3298"/>
      <c r="AP43" s="3298"/>
      <c r="AQ43" s="3298"/>
      <c r="AR43" s="3298"/>
      <c r="AS43" s="3298"/>
      <c r="AT43" s="3298"/>
      <c r="AU43" s="3298"/>
      <c r="AV43" s="3298"/>
      <c r="AW43" s="3298"/>
      <c r="AX43" s="3298"/>
      <c r="AY43" s="3293"/>
      <c r="AZ43" s="3285"/>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3290"/>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3283"/>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3285"/>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3290"/>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3283"/>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3283"/>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3283"/>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3285"/>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3283"/>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3283"/>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3290"/>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3285"/>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3283"/>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3283"/>
    </row>
    <row r="58" spans="2:52" ht="13.5" customHeight="1">
      <c r="B58" s="3498"/>
      <c r="C58" s="3514">
        <v>7</v>
      </c>
      <c r="D58" s="3512" t="s">
        <v>5479</v>
      </c>
      <c r="E58" s="3295"/>
      <c r="F58" s="2849"/>
      <c r="G58" s="3296"/>
      <c r="H58" s="3296"/>
      <c r="I58" s="3296"/>
      <c r="J58" s="3296"/>
      <c r="K58" s="3296"/>
      <c r="L58" s="3296"/>
      <c r="M58" s="3296"/>
      <c r="N58" s="3296"/>
      <c r="O58" s="3296"/>
      <c r="P58" s="3296"/>
      <c r="Q58" s="3296"/>
      <c r="R58" s="3296"/>
      <c r="S58" s="3296"/>
      <c r="T58" s="3296"/>
      <c r="U58" s="3296"/>
      <c r="V58" s="3296"/>
      <c r="W58" s="3296"/>
      <c r="X58" s="3296"/>
      <c r="Y58" s="3296"/>
      <c r="Z58" s="3296"/>
      <c r="AA58" s="3296"/>
      <c r="AB58" s="3296"/>
      <c r="AC58" s="3296"/>
      <c r="AD58" s="3296"/>
      <c r="AE58" s="3296"/>
      <c r="AF58" s="3296"/>
      <c r="AG58" s="3296"/>
      <c r="AH58" s="3296"/>
      <c r="AI58" s="3296"/>
      <c r="AJ58" s="3296"/>
      <c r="AK58" s="3296"/>
      <c r="AL58" s="3296"/>
      <c r="AM58" s="3296"/>
      <c r="AN58" s="3296"/>
      <c r="AO58" s="3296"/>
      <c r="AP58" s="3296"/>
      <c r="AQ58" s="3296"/>
      <c r="AR58" s="3296"/>
      <c r="AS58" s="3296"/>
      <c r="AT58" s="3296"/>
      <c r="AU58" s="3296"/>
      <c r="AV58" s="3296"/>
      <c r="AW58" s="3296"/>
      <c r="AX58" s="3296"/>
      <c r="AY58" s="3291"/>
      <c r="AZ58" s="3290"/>
    </row>
    <row r="59" spans="2:52" ht="13.5" customHeight="1">
      <c r="B59" s="3498"/>
      <c r="C59" s="3498"/>
      <c r="D59" s="3502"/>
      <c r="E59" s="2860" t="s">
        <v>5478</v>
      </c>
      <c r="F59" s="2844"/>
      <c r="G59" s="2844"/>
      <c r="H59" s="2844"/>
      <c r="I59" s="2844"/>
      <c r="J59" s="2844"/>
      <c r="K59" s="2844"/>
      <c r="L59" s="2844"/>
      <c r="M59" s="2844"/>
      <c r="N59" s="2844"/>
      <c r="O59" s="2844"/>
      <c r="P59" s="2844"/>
      <c r="Q59" s="3286"/>
      <c r="R59" s="3519">
        <f>基礎数値!G11</f>
        <v>500878</v>
      </c>
      <c r="S59" s="3519"/>
      <c r="T59" s="3519"/>
      <c r="U59" s="3519"/>
      <c r="V59" s="3519"/>
      <c r="W59" s="3519"/>
      <c r="X59" s="3286"/>
      <c r="Y59" s="3287" t="s">
        <v>5476</v>
      </c>
      <c r="Z59" s="3286"/>
      <c r="AA59" s="3286"/>
      <c r="AB59" s="3286"/>
      <c r="AC59" s="3286"/>
      <c r="AD59" s="3286"/>
      <c r="AE59" s="3286"/>
      <c r="AF59" s="3286"/>
      <c r="AG59" s="3286"/>
      <c r="AH59" s="3286"/>
      <c r="AI59" s="2844"/>
      <c r="AJ59" s="3286"/>
      <c r="AK59" s="3286"/>
      <c r="AL59" s="3286"/>
      <c r="AM59" s="3286"/>
      <c r="AN59" s="3286"/>
      <c r="AO59" s="3286"/>
      <c r="AP59" s="3286"/>
      <c r="AQ59" s="3286"/>
      <c r="AR59" s="3286"/>
      <c r="AS59" s="3286"/>
      <c r="AT59" s="3286"/>
      <c r="AU59" s="3286"/>
      <c r="AV59" s="3286"/>
      <c r="AW59" s="3286"/>
      <c r="AX59" s="3286"/>
      <c r="AY59" s="3292"/>
      <c r="AZ59" s="3283"/>
    </row>
    <row r="60" spans="2:52" ht="13.5" customHeight="1">
      <c r="B60" s="3498"/>
      <c r="C60" s="3498"/>
      <c r="D60" s="3502"/>
      <c r="E60" s="2860" t="s">
        <v>5477</v>
      </c>
      <c r="F60" s="3286"/>
      <c r="G60" s="3286"/>
      <c r="H60" s="3286"/>
      <c r="I60" s="3286"/>
      <c r="J60" s="3286"/>
      <c r="K60" s="3286"/>
      <c r="L60" s="3286"/>
      <c r="M60" s="3286"/>
      <c r="N60" s="3286"/>
      <c r="O60" s="3286"/>
      <c r="P60" s="3286"/>
      <c r="Q60" s="3286"/>
      <c r="R60" s="3519">
        <f>基礎数値!G12</f>
        <v>36840</v>
      </c>
      <c r="S60" s="3519"/>
      <c r="T60" s="3519"/>
      <c r="U60" s="3519"/>
      <c r="V60" s="3519"/>
      <c r="W60" s="3519"/>
      <c r="X60" s="3286"/>
      <c r="Y60" s="3287" t="s">
        <v>5476</v>
      </c>
      <c r="Z60" s="3286"/>
      <c r="AA60" s="3286"/>
      <c r="AB60" s="3286"/>
      <c r="AC60" s="3286"/>
      <c r="AD60" s="3286"/>
      <c r="AE60" s="3286"/>
      <c r="AF60" s="3286"/>
      <c r="AG60" s="3286"/>
      <c r="AH60" s="3286"/>
      <c r="AI60" s="3286"/>
      <c r="AJ60" s="3286" t="s">
        <v>5447</v>
      </c>
      <c r="AK60" s="3497">
        <f>R59+R60</f>
        <v>537718</v>
      </c>
      <c r="AL60" s="3497"/>
      <c r="AM60" s="3497"/>
      <c r="AN60" s="3497"/>
      <c r="AO60" s="3497"/>
      <c r="AP60" s="3497"/>
      <c r="AQ60" s="3286" t="s">
        <v>5475</v>
      </c>
      <c r="AR60" s="3286"/>
      <c r="AS60" s="3286"/>
      <c r="AT60" s="3286"/>
      <c r="AU60" s="3286"/>
      <c r="AV60" s="3286"/>
      <c r="AW60" s="3286"/>
      <c r="AX60" s="3286"/>
      <c r="AY60" s="3292"/>
      <c r="AZ60" s="3283"/>
    </row>
    <row r="61" spans="2:52" ht="13.5" customHeight="1">
      <c r="B61" s="3498"/>
      <c r="C61" s="3498"/>
      <c r="D61" s="3502"/>
      <c r="E61" s="3294"/>
      <c r="F61" s="2844"/>
      <c r="G61" s="3286"/>
      <c r="H61" s="3286"/>
      <c r="I61" s="3286"/>
      <c r="J61" s="3286"/>
      <c r="K61" s="3286"/>
      <c r="L61" s="3286"/>
      <c r="M61" s="3286"/>
      <c r="N61" s="3286"/>
      <c r="O61" s="3286"/>
      <c r="P61" s="3286"/>
      <c r="Q61" s="3286"/>
      <c r="R61" s="3286"/>
      <c r="S61" s="3286"/>
      <c r="T61" s="3286"/>
      <c r="U61" s="3286"/>
      <c r="V61" s="3286"/>
      <c r="W61" s="3286"/>
      <c r="X61" s="3286"/>
      <c r="Y61" s="3286"/>
      <c r="Z61" s="3286"/>
      <c r="AA61" s="3286"/>
      <c r="AB61" s="3286"/>
      <c r="AC61" s="3286"/>
      <c r="AD61" s="3286"/>
      <c r="AE61" s="3286"/>
      <c r="AF61" s="3286"/>
      <c r="AG61" s="3286"/>
      <c r="AH61" s="3286"/>
      <c r="AI61" s="3286"/>
      <c r="AJ61" s="3286"/>
      <c r="AK61" s="3286"/>
      <c r="AL61" s="3286"/>
      <c r="AM61" s="3286"/>
      <c r="AN61" s="3286"/>
      <c r="AO61" s="3286"/>
      <c r="AP61" s="3286"/>
      <c r="AQ61" s="3286"/>
      <c r="AR61" s="3286"/>
      <c r="AS61" s="3286"/>
      <c r="AT61" s="3286"/>
      <c r="AU61" s="3286"/>
      <c r="AV61" s="3286"/>
      <c r="AW61" s="3286"/>
      <c r="AX61" s="3286"/>
      <c r="AY61" s="3292"/>
      <c r="AZ61" s="3283"/>
    </row>
    <row r="62" spans="2:52" ht="13.5" customHeight="1">
      <c r="B62" s="3498"/>
      <c r="C62" s="3498"/>
      <c r="D62" s="3502"/>
      <c r="E62" s="3345"/>
      <c r="F62" s="2844"/>
      <c r="G62" s="3342"/>
      <c r="H62" s="3342"/>
      <c r="I62" s="3342"/>
      <c r="J62" s="3342"/>
      <c r="K62" s="3342"/>
      <c r="L62" s="3342"/>
      <c r="M62" s="3342"/>
      <c r="N62" s="3342"/>
      <c r="O62" s="3342"/>
      <c r="P62" s="3342"/>
      <c r="Q62" s="3342"/>
      <c r="R62" s="3342"/>
      <c r="S62" s="3342"/>
      <c r="T62" s="3342"/>
      <c r="U62" s="3342"/>
      <c r="V62" s="3342"/>
      <c r="W62" s="3342"/>
      <c r="X62" s="3342"/>
      <c r="Y62" s="3342"/>
      <c r="Z62" s="3342"/>
      <c r="AA62" s="3342"/>
      <c r="AB62" s="3342"/>
      <c r="AC62" s="3342"/>
      <c r="AD62" s="3342"/>
      <c r="AE62" s="3342"/>
      <c r="AF62" s="3342"/>
      <c r="AG62" s="3342"/>
      <c r="AH62" s="3342"/>
      <c r="AI62" s="3342"/>
      <c r="AJ62" s="3342"/>
      <c r="AK62" s="3342"/>
      <c r="AL62" s="3342"/>
      <c r="AM62" s="3342"/>
      <c r="AN62" s="3342"/>
      <c r="AO62" s="3342"/>
      <c r="AP62" s="3342"/>
      <c r="AQ62" s="3342"/>
      <c r="AR62" s="3342"/>
      <c r="AS62" s="3342"/>
      <c r="AT62" s="3342"/>
      <c r="AU62" s="3342"/>
      <c r="AV62" s="3342"/>
      <c r="AW62" s="3342"/>
      <c r="AX62" s="3342"/>
      <c r="AY62" s="3344"/>
      <c r="AZ62" s="3341"/>
    </row>
    <row r="63" spans="2:52" ht="13.5" customHeight="1">
      <c r="B63" s="3498"/>
      <c r="C63" s="3498"/>
      <c r="D63" s="3502"/>
      <c r="E63" s="3345"/>
      <c r="F63" s="2844"/>
      <c r="G63" s="3342"/>
      <c r="H63" s="3342"/>
      <c r="I63" s="3342"/>
      <c r="J63" s="3342"/>
      <c r="K63" s="3342"/>
      <c r="L63" s="3342"/>
      <c r="M63" s="3342"/>
      <c r="N63" s="3342"/>
      <c r="O63" s="3342"/>
      <c r="P63" s="3342"/>
      <c r="Q63" s="3342"/>
      <c r="R63" s="3342"/>
      <c r="S63" s="3342"/>
      <c r="T63" s="3342"/>
      <c r="U63" s="3342"/>
      <c r="V63" s="3342"/>
      <c r="W63" s="3342"/>
      <c r="X63" s="3342"/>
      <c r="Y63" s="3342"/>
      <c r="Z63" s="3342"/>
      <c r="AA63" s="3342"/>
      <c r="AB63" s="3342"/>
      <c r="AC63" s="3342"/>
      <c r="AD63" s="3342"/>
      <c r="AE63" s="3342"/>
      <c r="AF63" s="3342"/>
      <c r="AG63" s="3342"/>
      <c r="AH63" s="3342"/>
      <c r="AI63" s="3342"/>
      <c r="AJ63" s="3342"/>
      <c r="AK63" s="3342"/>
      <c r="AL63" s="3342"/>
      <c r="AM63" s="3342"/>
      <c r="AN63" s="3342"/>
      <c r="AO63" s="3342"/>
      <c r="AP63" s="3342"/>
      <c r="AQ63" s="3342"/>
      <c r="AR63" s="3342"/>
      <c r="AS63" s="3342"/>
      <c r="AT63" s="3342"/>
      <c r="AU63" s="3342"/>
      <c r="AV63" s="3342"/>
      <c r="AW63" s="3342"/>
      <c r="AX63" s="3342"/>
      <c r="AY63" s="3344"/>
      <c r="AZ63" s="3341"/>
    </row>
    <row r="64" spans="2:52" ht="13.5" customHeight="1">
      <c r="B64" s="3498"/>
      <c r="C64" s="3498"/>
      <c r="D64" s="3502"/>
      <c r="E64" s="2860" t="s">
        <v>5474</v>
      </c>
      <c r="F64" s="2844"/>
      <c r="G64" s="3286"/>
      <c r="H64" s="3286"/>
      <c r="I64" s="3286"/>
      <c r="J64" s="3286"/>
      <c r="K64" s="3286"/>
      <c r="L64" s="3286"/>
      <c r="M64" s="3286"/>
      <c r="N64" s="3286"/>
      <c r="O64" s="3286"/>
      <c r="P64" s="3286"/>
      <c r="Q64" s="3286"/>
      <c r="R64" s="3286"/>
      <c r="S64" s="3286"/>
      <c r="T64" s="3286"/>
      <c r="U64" s="3286"/>
      <c r="V64" s="3286"/>
      <c r="W64" s="3286"/>
      <c r="X64" s="3286"/>
      <c r="Y64" s="3286"/>
      <c r="Z64" s="3286"/>
      <c r="AA64" s="3286"/>
      <c r="AB64" s="3286"/>
      <c r="AC64" s="3286"/>
      <c r="AD64" s="3286"/>
      <c r="AE64" s="3286"/>
      <c r="AF64" s="3286"/>
      <c r="AG64" s="3286"/>
      <c r="AH64" s="3286"/>
      <c r="AI64" s="3286"/>
      <c r="AJ64" s="3286"/>
      <c r="AK64" s="3286"/>
      <c r="AL64" s="3286"/>
      <c r="AM64" s="3286"/>
      <c r="AN64" s="3286"/>
      <c r="AO64" s="3286"/>
      <c r="AP64" s="3286"/>
      <c r="AQ64" s="3286"/>
      <c r="AR64" s="3286"/>
      <c r="AS64" s="3286"/>
      <c r="AT64" s="3286"/>
      <c r="AU64" s="3286"/>
      <c r="AV64" s="3286"/>
      <c r="AW64" s="3286"/>
      <c r="AX64" s="3286"/>
      <c r="AY64" s="3292"/>
      <c r="AZ64" s="3283"/>
    </row>
    <row r="65" spans="2:52" ht="13.5" customHeight="1">
      <c r="B65" s="3498"/>
      <c r="C65" s="3498"/>
      <c r="D65" s="3502"/>
      <c r="E65" s="3294"/>
      <c r="F65" s="2844"/>
      <c r="G65" s="3286"/>
      <c r="H65" s="2844" t="s">
        <v>5473</v>
      </c>
      <c r="I65" s="3286"/>
      <c r="J65" s="3286"/>
      <c r="K65" s="3286"/>
      <c r="L65" s="3286"/>
      <c r="M65" s="3286"/>
      <c r="N65" s="3286"/>
      <c r="O65" s="3286"/>
      <c r="P65" s="3286"/>
      <c r="Q65" s="3286"/>
      <c r="R65" s="3519">
        <f>基礎数値!G14</f>
        <v>0</v>
      </c>
      <c r="S65" s="3519"/>
      <c r="T65" s="3519"/>
      <c r="U65" s="3519"/>
      <c r="V65" s="3519"/>
      <c r="W65" s="3519"/>
      <c r="X65" s="3286" t="s">
        <v>5472</v>
      </c>
      <c r="Y65" s="3287" t="s">
        <v>5471</v>
      </c>
      <c r="Z65" s="3286"/>
      <c r="AA65" s="3286"/>
      <c r="AB65" s="3286"/>
      <c r="AC65" s="3286"/>
      <c r="AD65" s="3286"/>
      <c r="AE65" s="3286"/>
      <c r="AF65" s="3286"/>
      <c r="AG65" s="3286"/>
      <c r="AH65" s="3286"/>
      <c r="AI65" s="3286"/>
      <c r="AJ65" s="3286"/>
      <c r="AK65" s="3286"/>
      <c r="AL65" s="3286"/>
      <c r="AM65" s="3286"/>
      <c r="AN65" s="3286"/>
      <c r="AO65" s="3286"/>
      <c r="AP65" s="3286"/>
      <c r="AQ65" s="3286"/>
      <c r="AR65" s="3286"/>
      <c r="AS65" s="3286"/>
      <c r="AT65" s="3286"/>
      <c r="AU65" s="3286"/>
      <c r="AV65" s="3286"/>
      <c r="AW65" s="3286"/>
      <c r="AX65" s="3286"/>
      <c r="AY65" s="3292"/>
      <c r="AZ65" s="3283"/>
    </row>
    <row r="66" spans="2:52" ht="13.5" customHeight="1">
      <c r="B66" s="3498"/>
      <c r="C66" s="3498"/>
      <c r="D66" s="3502"/>
      <c r="E66" s="3294"/>
      <c r="F66" s="2844"/>
      <c r="G66" s="3286"/>
      <c r="H66" s="2844" t="s">
        <v>5470</v>
      </c>
      <c r="I66" s="3286"/>
      <c r="J66" s="3286"/>
      <c r="K66" s="3286"/>
      <c r="L66" s="3286"/>
      <c r="M66" s="3286"/>
      <c r="N66" s="3286"/>
      <c r="O66" s="3286"/>
      <c r="P66" s="3286"/>
      <c r="Q66" s="3286"/>
      <c r="R66" s="3527">
        <f>R24</f>
        <v>0</v>
      </c>
      <c r="S66" s="3527"/>
      <c r="T66" s="3527"/>
      <c r="U66" s="3527"/>
      <c r="V66" s="3527"/>
      <c r="W66" s="3527"/>
      <c r="X66" s="3286"/>
      <c r="Y66" s="3287" t="s">
        <v>5469</v>
      </c>
      <c r="Z66" s="3286"/>
      <c r="AA66" s="3286"/>
      <c r="AB66" s="3286"/>
      <c r="AC66" s="3286"/>
      <c r="AD66" s="3286"/>
      <c r="AE66" s="3286"/>
      <c r="AF66" s="3286"/>
      <c r="AG66" s="3286"/>
      <c r="AH66" s="3286"/>
      <c r="AI66" s="3286"/>
      <c r="AJ66" s="3286"/>
      <c r="AK66" s="3286"/>
      <c r="AL66" s="3286"/>
      <c r="AM66" s="3286"/>
      <c r="AN66" s="3286"/>
      <c r="AO66" s="3286"/>
      <c r="AP66" s="3286"/>
      <c r="AQ66" s="3286"/>
      <c r="AR66" s="3286"/>
      <c r="AS66" s="3286"/>
      <c r="AT66" s="3286"/>
      <c r="AU66" s="3286"/>
      <c r="AV66" s="3286"/>
      <c r="AW66" s="3286"/>
      <c r="AX66" s="3286"/>
      <c r="AY66" s="3292"/>
      <c r="AZ66" s="3283"/>
    </row>
    <row r="67" spans="2:52" ht="13.5" customHeight="1" thickBot="1">
      <c r="B67" s="3498"/>
      <c r="C67" s="3498"/>
      <c r="D67" s="3502"/>
      <c r="E67" s="3294"/>
      <c r="F67" s="2844"/>
      <c r="G67" s="3286"/>
      <c r="H67" s="3286"/>
      <c r="I67" s="3286"/>
      <c r="J67" s="3286"/>
      <c r="K67" s="3286"/>
      <c r="L67" s="3286"/>
      <c r="M67" s="3286"/>
      <c r="N67" s="3286"/>
      <c r="O67" s="3286"/>
      <c r="P67" s="3286"/>
      <c r="Q67" s="3286"/>
      <c r="R67" s="3286"/>
      <c r="S67" s="3286"/>
      <c r="T67" s="3286"/>
      <c r="U67" s="3286"/>
      <c r="V67" s="3286"/>
      <c r="W67" s="3286"/>
      <c r="X67" s="3286"/>
      <c r="Y67" s="3286"/>
      <c r="Z67" s="3286"/>
      <c r="AA67" s="3286"/>
      <c r="AB67" s="3286"/>
      <c r="AC67" s="3286"/>
      <c r="AD67" s="3286"/>
      <c r="AE67" s="3286"/>
      <c r="AF67" s="3286"/>
      <c r="AG67" s="3286"/>
      <c r="AH67" s="3286"/>
      <c r="AI67" s="3286"/>
      <c r="AJ67" s="3286"/>
      <c r="AK67" s="3286"/>
      <c r="AL67" s="3286"/>
      <c r="AM67" s="3286"/>
      <c r="AN67" s="3286"/>
      <c r="AO67" s="3286"/>
      <c r="AP67" s="3286"/>
      <c r="AQ67" s="3286"/>
      <c r="AR67" s="3286"/>
      <c r="AS67" s="3286"/>
      <c r="AT67" s="3286"/>
      <c r="AU67" s="3286"/>
      <c r="AV67" s="3286"/>
      <c r="AW67" s="3286"/>
      <c r="AX67" s="3286"/>
      <c r="AY67" s="3292"/>
      <c r="AZ67" s="3283"/>
    </row>
    <row r="68" spans="2:52" ht="13.5" customHeight="1" thickTop="1" thickBot="1">
      <c r="B68" s="3498"/>
      <c r="C68" s="3498"/>
      <c r="D68" s="3502"/>
      <c r="E68" s="2860" t="s">
        <v>5468</v>
      </c>
      <c r="F68" s="2844"/>
      <c r="G68" s="3286"/>
      <c r="H68" s="3286"/>
      <c r="I68" s="3286"/>
      <c r="J68" s="3286"/>
      <c r="K68" s="3286"/>
      <c r="L68" s="3286"/>
      <c r="M68" s="3286"/>
      <c r="N68" s="3286"/>
      <c r="O68" s="3286"/>
      <c r="P68" s="3286"/>
      <c r="Q68" s="3286"/>
      <c r="R68" s="3286"/>
      <c r="S68" s="3286"/>
      <c r="T68" s="3507">
        <f>AK60-R65-R66</f>
        <v>537718</v>
      </c>
      <c r="U68" s="3508"/>
      <c r="V68" s="3508"/>
      <c r="W68" s="3508"/>
      <c r="X68" s="3508"/>
      <c r="Y68" s="3509"/>
      <c r="Z68" s="3286"/>
      <c r="AA68" s="3287" t="s">
        <v>5467</v>
      </c>
      <c r="AB68" s="3286"/>
      <c r="AC68" s="3286"/>
      <c r="AD68" s="3286"/>
      <c r="AE68" s="3286"/>
      <c r="AF68" s="3286"/>
      <c r="AG68" s="3286"/>
      <c r="AH68" s="3286"/>
      <c r="AI68" s="3286"/>
      <c r="AJ68" s="3286"/>
      <c r="AK68" s="3286"/>
      <c r="AL68" s="3286"/>
      <c r="AM68" s="3286"/>
      <c r="AN68" s="3286"/>
      <c r="AO68" s="3286"/>
      <c r="AP68" s="3286"/>
      <c r="AQ68" s="3286"/>
      <c r="AR68" s="3286"/>
      <c r="AS68" s="3286"/>
      <c r="AT68" s="3286"/>
      <c r="AU68" s="3286"/>
      <c r="AV68" s="3286"/>
      <c r="AW68" s="3286"/>
      <c r="AX68" s="3286"/>
      <c r="AY68" s="3292"/>
      <c r="AZ68" s="3319" t="s">
        <v>6189</v>
      </c>
    </row>
    <row r="69" spans="2:52" ht="13.5" customHeight="1" thickTop="1" thickBot="1">
      <c r="B69" s="3498"/>
      <c r="C69" s="3498"/>
      <c r="D69" s="3502"/>
      <c r="E69" s="3294"/>
      <c r="F69" s="2844"/>
      <c r="G69" s="3286"/>
      <c r="H69" s="3286"/>
      <c r="I69" s="3286"/>
      <c r="J69" s="3286"/>
      <c r="K69" s="3286"/>
      <c r="L69" s="3286"/>
      <c r="M69" s="3286"/>
      <c r="N69" s="3286"/>
      <c r="O69" s="3286"/>
      <c r="P69" s="3286"/>
      <c r="Q69" s="3286"/>
      <c r="R69" s="3286"/>
      <c r="S69" s="3286"/>
      <c r="T69" s="3286"/>
      <c r="U69" s="3286"/>
      <c r="V69" s="3286"/>
      <c r="W69" s="3286"/>
      <c r="X69" s="3286"/>
      <c r="Y69" s="3286"/>
      <c r="Z69" s="3286"/>
      <c r="AA69" s="3286"/>
      <c r="AB69" s="3286"/>
      <c r="AC69" s="3286"/>
      <c r="AD69" s="3286"/>
      <c r="AE69" s="3286"/>
      <c r="AF69" s="3286"/>
      <c r="AG69" s="3286"/>
      <c r="AH69" s="3286"/>
      <c r="AI69" s="3286"/>
      <c r="AJ69" s="3286"/>
      <c r="AK69" s="3286"/>
      <c r="AL69" s="3286"/>
      <c r="AM69" s="3286"/>
      <c r="AN69" s="3286"/>
      <c r="AO69" s="3286"/>
      <c r="AP69" s="3286"/>
      <c r="AQ69" s="3286"/>
      <c r="AR69" s="3286"/>
      <c r="AS69" s="3286"/>
      <c r="AT69" s="3286"/>
      <c r="AU69" s="3286"/>
      <c r="AV69" s="3286"/>
      <c r="AW69" s="3286"/>
      <c r="AX69" s="3286"/>
      <c r="AY69" s="3292"/>
      <c r="AZ69" s="3319"/>
    </row>
    <row r="70" spans="2:52" ht="13.5" customHeight="1" thickTop="1" thickBot="1">
      <c r="B70" s="3498"/>
      <c r="C70" s="3498"/>
      <c r="D70" s="3502"/>
      <c r="E70" s="2860" t="s">
        <v>5465</v>
      </c>
      <c r="F70" s="2844"/>
      <c r="G70" s="3286"/>
      <c r="H70" s="3286"/>
      <c r="I70" s="3286"/>
      <c r="J70" s="3286"/>
      <c r="K70" s="3286"/>
      <c r="L70" s="3286"/>
      <c r="M70" s="3286"/>
      <c r="N70" s="3286"/>
      <c r="O70" s="3286"/>
      <c r="P70" s="3286"/>
      <c r="Q70" s="3286"/>
      <c r="R70" s="3286"/>
      <c r="S70" s="3286"/>
      <c r="T70" s="3507">
        <f>ROUNDDOWN((AK60-R65-R66)*62.4/1080,0)</f>
        <v>31068</v>
      </c>
      <c r="U70" s="3508"/>
      <c r="V70" s="3508"/>
      <c r="W70" s="3508"/>
      <c r="X70" s="3508"/>
      <c r="Y70" s="3509"/>
      <c r="Z70" s="3286" t="s">
        <v>5464</v>
      </c>
      <c r="AA70" s="3287" t="s">
        <v>6164</v>
      </c>
      <c r="AB70" s="3286"/>
      <c r="AC70" s="3286"/>
      <c r="AD70" s="3286"/>
      <c r="AE70" s="3286"/>
      <c r="AF70" s="3286"/>
      <c r="AG70" s="3286"/>
      <c r="AH70" s="3286"/>
      <c r="AI70" s="3286"/>
      <c r="AJ70" s="3286"/>
      <c r="AK70" s="3286"/>
      <c r="AL70" s="3286"/>
      <c r="AM70" s="3286"/>
      <c r="AN70" s="3286"/>
      <c r="AO70" s="3286"/>
      <c r="AP70" s="3286"/>
      <c r="AQ70" s="3286"/>
      <c r="AR70" s="3286"/>
      <c r="AS70" s="3286"/>
      <c r="AT70" s="3286"/>
      <c r="AU70" s="3286"/>
      <c r="AV70" s="3286"/>
      <c r="AW70" s="3286"/>
      <c r="AX70" s="3286"/>
      <c r="AY70" s="3292"/>
      <c r="AZ70" s="3319" t="s">
        <v>6190</v>
      </c>
    </row>
    <row r="71" spans="2:52" ht="13.5" customHeight="1" thickTop="1">
      <c r="B71" s="3503"/>
      <c r="C71" s="3503"/>
      <c r="D71" s="3513"/>
      <c r="E71" s="3297"/>
      <c r="F71" s="2839"/>
      <c r="G71" s="3298"/>
      <c r="H71" s="3298"/>
      <c r="I71" s="3298"/>
      <c r="J71" s="3298"/>
      <c r="K71" s="3298"/>
      <c r="L71" s="3298"/>
      <c r="M71" s="3298"/>
      <c r="N71" s="3298"/>
      <c r="O71" s="3298"/>
      <c r="P71" s="3298"/>
      <c r="Q71" s="3298"/>
      <c r="R71" s="3298"/>
      <c r="S71" s="3298"/>
      <c r="T71" s="3298"/>
      <c r="U71" s="3298"/>
      <c r="V71" s="3298"/>
      <c r="W71" s="3298"/>
      <c r="X71" s="3298"/>
      <c r="Y71" s="3298"/>
      <c r="Z71" s="3298"/>
      <c r="AA71" s="3298"/>
      <c r="AB71" s="3298"/>
      <c r="AC71" s="3298"/>
      <c r="AD71" s="3298"/>
      <c r="AE71" s="3298"/>
      <c r="AF71" s="3298"/>
      <c r="AG71" s="3298"/>
      <c r="AH71" s="3298"/>
      <c r="AI71" s="3298"/>
      <c r="AJ71" s="3298"/>
      <c r="AK71" s="3298"/>
      <c r="AL71" s="3298"/>
      <c r="AM71" s="3298"/>
      <c r="AN71" s="3298"/>
      <c r="AO71" s="3298"/>
      <c r="AP71" s="3298"/>
      <c r="AQ71" s="3298"/>
      <c r="AR71" s="3298"/>
      <c r="AS71" s="3298"/>
      <c r="AT71" s="3298"/>
      <c r="AU71" s="3298"/>
      <c r="AV71" s="3298"/>
      <c r="AW71" s="3298"/>
      <c r="AX71" s="3298"/>
      <c r="AY71" s="3293"/>
      <c r="AZ71" s="3285"/>
    </row>
    <row r="72" spans="2:52"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3290"/>
    </row>
    <row r="73" spans="2:52"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3283"/>
    </row>
    <row r="74" spans="2:52"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3283"/>
    </row>
    <row r="75" spans="2:52"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3283"/>
    </row>
    <row r="76" spans="2:52"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3283"/>
    </row>
    <row r="77" spans="2:52"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3283"/>
    </row>
    <row r="78" spans="2:52"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3283"/>
    </row>
    <row r="79" spans="2:52"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3283"/>
    </row>
    <row r="80" spans="2:52"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3283"/>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3283"/>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3283"/>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3283"/>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3283"/>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3283"/>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3285"/>
    </row>
    <row r="87" spans="2:52" ht="13.5" customHeight="1">
      <c r="B87" s="3512" t="s">
        <v>5452</v>
      </c>
      <c r="C87" s="3516">
        <v>1</v>
      </c>
      <c r="D87" s="3512" t="s">
        <v>5451</v>
      </c>
      <c r="E87" s="3295"/>
      <c r="F87" s="2849"/>
      <c r="G87" s="3296"/>
      <c r="H87" s="3296"/>
      <c r="I87" s="3296"/>
      <c r="J87" s="3296"/>
      <c r="K87" s="3296"/>
      <c r="L87" s="3296"/>
      <c r="M87" s="3296"/>
      <c r="N87" s="3296"/>
      <c r="O87" s="3296"/>
      <c r="P87" s="3296"/>
      <c r="Q87" s="3296"/>
      <c r="R87" s="3296"/>
      <c r="S87" s="3296"/>
      <c r="T87" s="3296"/>
      <c r="U87" s="3296"/>
      <c r="V87" s="3296"/>
      <c r="W87" s="3296"/>
      <c r="X87" s="3296"/>
      <c r="Y87" s="3296"/>
      <c r="Z87" s="3296"/>
      <c r="AA87" s="3296"/>
      <c r="AB87" s="3296"/>
      <c r="AC87" s="3296"/>
      <c r="AD87" s="3296"/>
      <c r="AE87" s="3296"/>
      <c r="AF87" s="3296"/>
      <c r="AG87" s="3296"/>
      <c r="AH87" s="3296"/>
      <c r="AI87" s="3296"/>
      <c r="AJ87" s="3296"/>
      <c r="AK87" s="3296"/>
      <c r="AL87" s="3296"/>
      <c r="AM87" s="3296"/>
      <c r="AN87" s="3296"/>
      <c r="AO87" s="3296"/>
      <c r="AP87" s="3296"/>
      <c r="AQ87" s="3296"/>
      <c r="AR87" s="3296"/>
      <c r="AS87" s="3296"/>
      <c r="AT87" s="3296"/>
      <c r="AU87" s="3296"/>
      <c r="AV87" s="3296"/>
      <c r="AW87" s="3296"/>
      <c r="AX87" s="3296"/>
      <c r="AY87" s="3291"/>
      <c r="AZ87" s="3494"/>
    </row>
    <row r="88" spans="2:52" ht="13.5" customHeight="1">
      <c r="B88" s="3502"/>
      <c r="C88" s="3517"/>
      <c r="D88" s="3502"/>
      <c r="E88" s="2860" t="s">
        <v>5450</v>
      </c>
      <c r="F88" s="2844"/>
      <c r="G88" s="2844"/>
      <c r="H88" s="2844"/>
      <c r="I88" s="2844"/>
      <c r="J88" s="2844"/>
      <c r="K88" s="2844"/>
      <c r="L88" s="2844"/>
      <c r="M88" s="2844"/>
      <c r="N88" s="2844"/>
      <c r="O88" s="2844"/>
      <c r="P88" s="3519">
        <f>基礎数値!G18</f>
        <v>130568</v>
      </c>
      <c r="Q88" s="3519"/>
      <c r="R88" s="3519"/>
      <c r="S88" s="3519"/>
      <c r="T88" s="3519"/>
      <c r="U88" s="3519"/>
      <c r="V88" s="3286"/>
      <c r="W88" s="3287" t="s">
        <v>5448</v>
      </c>
      <c r="X88" s="3286"/>
      <c r="Y88" s="3286"/>
      <c r="Z88" s="3286"/>
      <c r="AA88" s="3286"/>
      <c r="AB88" s="3286"/>
      <c r="AC88" s="3286"/>
      <c r="AD88" s="3286"/>
      <c r="AE88" s="3286"/>
      <c r="AF88" s="3286"/>
      <c r="AG88" s="3286"/>
      <c r="AH88" s="3286"/>
      <c r="AI88" s="2844"/>
      <c r="AJ88" s="3286"/>
      <c r="AK88" s="3286"/>
      <c r="AL88" s="3286"/>
      <c r="AM88" s="3286"/>
      <c r="AN88" s="3286"/>
      <c r="AO88" s="3286"/>
      <c r="AP88" s="3286"/>
      <c r="AQ88" s="3286"/>
      <c r="AR88" s="3286"/>
      <c r="AS88" s="3286"/>
      <c r="AT88" s="3286"/>
      <c r="AU88" s="3286"/>
      <c r="AV88" s="3286"/>
      <c r="AW88" s="3286"/>
      <c r="AX88" s="3286"/>
      <c r="AY88" s="3292"/>
      <c r="AZ88" s="3495"/>
    </row>
    <row r="89" spans="2:52" ht="13.5" customHeight="1">
      <c r="B89" s="3502"/>
      <c r="C89" s="3517"/>
      <c r="D89" s="3502"/>
      <c r="E89" s="2860" t="s">
        <v>5449</v>
      </c>
      <c r="F89" s="3286"/>
      <c r="G89" s="3286"/>
      <c r="H89" s="3286"/>
      <c r="I89" s="3286"/>
      <c r="J89" s="3286"/>
      <c r="K89" s="3286"/>
      <c r="L89" s="3286"/>
      <c r="M89" s="3286"/>
      <c r="N89" s="3286"/>
      <c r="O89" s="3286"/>
      <c r="P89" s="3519">
        <f>基礎数値!G19</f>
        <v>99</v>
      </c>
      <c r="Q89" s="3519"/>
      <c r="R89" s="3519"/>
      <c r="S89" s="3519"/>
      <c r="T89" s="3519"/>
      <c r="U89" s="3519"/>
      <c r="V89" s="3286"/>
      <c r="W89" s="3287" t="s">
        <v>5448</v>
      </c>
      <c r="X89" s="3286"/>
      <c r="Y89" s="3286"/>
      <c r="Z89" s="3286"/>
      <c r="AA89" s="3286"/>
      <c r="AB89" s="3286"/>
      <c r="AC89" s="3286"/>
      <c r="AD89" s="3286"/>
      <c r="AE89" s="3286"/>
      <c r="AF89" s="3286"/>
      <c r="AG89" s="3286"/>
      <c r="AH89" s="3286"/>
      <c r="AI89" s="3286"/>
      <c r="AJ89" s="3286"/>
      <c r="AK89" s="3286"/>
      <c r="AL89" s="3286"/>
      <c r="AM89" s="3286"/>
      <c r="AN89" s="3286"/>
      <c r="AO89" s="3286"/>
      <c r="AP89" s="3286"/>
      <c r="AQ89" s="3286"/>
      <c r="AR89" s="3286" t="s">
        <v>5447</v>
      </c>
      <c r="AS89" s="3497">
        <f>P88+P89</f>
        <v>130667</v>
      </c>
      <c r="AT89" s="3497"/>
      <c r="AU89" s="3497"/>
      <c r="AV89" s="3497"/>
      <c r="AW89" s="3497"/>
      <c r="AX89" s="3497"/>
      <c r="AY89" s="3292" t="s">
        <v>5446</v>
      </c>
      <c r="AZ89" s="3495"/>
    </row>
    <row r="90" spans="2:52" ht="13.5" customHeight="1">
      <c r="B90" s="3502"/>
      <c r="C90" s="3517"/>
      <c r="D90" s="3502"/>
      <c r="E90" s="3294"/>
      <c r="F90" s="2844"/>
      <c r="G90" s="3286"/>
      <c r="H90" s="3286"/>
      <c r="I90" s="3286"/>
      <c r="J90" s="3286"/>
      <c r="K90" s="3286"/>
      <c r="L90" s="3286"/>
      <c r="M90" s="3286"/>
      <c r="N90" s="3286"/>
      <c r="O90" s="3286"/>
      <c r="P90" s="3286"/>
      <c r="Q90" s="3286"/>
      <c r="R90" s="3286"/>
      <c r="S90" s="3286"/>
      <c r="T90" s="3286"/>
      <c r="U90" s="3286"/>
      <c r="V90" s="3286"/>
      <c r="W90" s="3286"/>
      <c r="X90" s="3286"/>
      <c r="Y90" s="3286"/>
      <c r="Z90" s="3286"/>
      <c r="AA90" s="3286"/>
      <c r="AB90" s="3286"/>
      <c r="AC90" s="3286"/>
      <c r="AD90" s="3286"/>
      <c r="AE90" s="3286"/>
      <c r="AF90" s="3286"/>
      <c r="AG90" s="3286"/>
      <c r="AH90" s="3286"/>
      <c r="AI90" s="3286"/>
      <c r="AJ90" s="3286"/>
      <c r="AK90" s="3286"/>
      <c r="AL90" s="3286"/>
      <c r="AM90" s="3286"/>
      <c r="AN90" s="3286"/>
      <c r="AO90" s="3286"/>
      <c r="AP90" s="3286"/>
      <c r="AQ90" s="3286"/>
      <c r="AR90" s="3286"/>
      <c r="AS90" s="3286"/>
      <c r="AT90" s="3286"/>
      <c r="AU90" s="3286"/>
      <c r="AV90" s="3286"/>
      <c r="AW90" s="3286"/>
      <c r="AX90" s="3286"/>
      <c r="AY90" s="3292"/>
      <c r="AZ90" s="3495"/>
    </row>
    <row r="91" spans="2:52" ht="13.5" customHeight="1">
      <c r="B91" s="3502"/>
      <c r="C91" s="3517"/>
      <c r="D91" s="3502"/>
      <c r="E91" s="3294" t="s">
        <v>5445</v>
      </c>
      <c r="F91" s="2844"/>
      <c r="G91" s="3286"/>
      <c r="H91" s="3286"/>
      <c r="I91" s="3286"/>
      <c r="J91" s="3286"/>
      <c r="K91" s="3286"/>
      <c r="L91" s="3286"/>
      <c r="M91" s="3286"/>
      <c r="N91" s="3286"/>
      <c r="O91" s="3286"/>
      <c r="P91" s="3497">
        <f>ROUNDDOWN(AK21*100/108,0)</f>
        <v>0</v>
      </c>
      <c r="Q91" s="3497"/>
      <c r="R91" s="3497"/>
      <c r="S91" s="3497"/>
      <c r="T91" s="3497"/>
      <c r="U91" s="3497"/>
      <c r="V91" s="3286"/>
      <c r="W91" s="3287" t="s">
        <v>5573</v>
      </c>
      <c r="X91" s="3286"/>
      <c r="Y91" s="3286"/>
      <c r="Z91" s="3286"/>
      <c r="AA91" s="3286"/>
      <c r="AB91" s="3286"/>
      <c r="AC91" s="3286"/>
      <c r="AD91" s="3286"/>
      <c r="AE91" s="3286"/>
      <c r="AF91" s="3286"/>
      <c r="AG91" s="3286"/>
      <c r="AH91" s="3286"/>
      <c r="AI91" s="3286"/>
      <c r="AJ91" s="3286"/>
      <c r="AK91" s="3286"/>
      <c r="AL91" s="3286"/>
      <c r="AM91" s="3286"/>
      <c r="AN91" s="3286"/>
      <c r="AO91" s="3286"/>
      <c r="AP91" s="3286"/>
      <c r="AQ91" s="3286"/>
      <c r="AR91" s="3286"/>
      <c r="AS91" s="3286"/>
      <c r="AT91" s="3286"/>
      <c r="AU91" s="3286"/>
      <c r="AV91" s="3286"/>
      <c r="AW91" s="3286"/>
      <c r="AX91" s="3286"/>
      <c r="AY91" s="3292"/>
      <c r="AZ91" s="3495"/>
    </row>
    <row r="92" spans="2:52" ht="13.5" customHeight="1">
      <c r="B92" s="3502"/>
      <c r="C92" s="3517"/>
      <c r="D92" s="3502"/>
      <c r="E92" s="3294" t="s">
        <v>5495</v>
      </c>
      <c r="F92" s="2844"/>
      <c r="G92" s="3286"/>
      <c r="H92" s="3286"/>
      <c r="I92" s="3286"/>
      <c r="J92" s="3286"/>
      <c r="K92" s="3286"/>
      <c r="L92" s="3286"/>
      <c r="M92" s="3286"/>
      <c r="N92" s="3286"/>
      <c r="O92" s="3286"/>
      <c r="P92" s="3497"/>
      <c r="Q92" s="3497"/>
      <c r="R92" s="3497"/>
      <c r="S92" s="3497"/>
      <c r="T92" s="3497"/>
      <c r="U92" s="3497"/>
      <c r="V92" s="3286"/>
      <c r="W92" s="3287"/>
      <c r="X92" s="3286"/>
      <c r="Y92" s="3286"/>
      <c r="Z92" s="3286"/>
      <c r="AA92" s="3286"/>
      <c r="AB92" s="3286"/>
      <c r="AC92" s="3286"/>
      <c r="AD92" s="3286"/>
      <c r="AE92" s="3497"/>
      <c r="AF92" s="3497"/>
      <c r="AG92" s="3497"/>
      <c r="AH92" s="3497"/>
      <c r="AI92" s="3497"/>
      <c r="AJ92" s="3497"/>
      <c r="AK92" s="3287"/>
      <c r="AL92" s="3286"/>
      <c r="AM92" s="3286"/>
      <c r="AN92" s="3286"/>
      <c r="AO92" s="3286"/>
      <c r="AP92" s="3286"/>
      <c r="AQ92" s="3286"/>
      <c r="AR92" s="3286"/>
      <c r="AS92" s="3286"/>
      <c r="AT92" s="3286"/>
      <c r="AU92" s="3286"/>
      <c r="AV92" s="3286"/>
      <c r="AW92" s="3286"/>
      <c r="AX92" s="3286"/>
      <c r="AY92" s="3292"/>
      <c r="AZ92" s="3495"/>
    </row>
    <row r="93" spans="2:52" ht="13.5" customHeight="1">
      <c r="B93" s="3502"/>
      <c r="C93" s="3517"/>
      <c r="D93" s="3502"/>
      <c r="E93" s="3294" t="s">
        <v>5442</v>
      </c>
      <c r="F93" s="2844"/>
      <c r="G93" s="3286"/>
      <c r="H93" s="3286"/>
      <c r="I93" s="3286"/>
      <c r="J93" s="3286"/>
      <c r="K93" s="3286"/>
      <c r="L93" s="3286"/>
      <c r="M93" s="3286"/>
      <c r="N93" s="3286"/>
      <c r="O93" s="3286"/>
      <c r="P93" s="3497"/>
      <c r="Q93" s="3497"/>
      <c r="R93" s="3497"/>
      <c r="S93" s="3497"/>
      <c r="T93" s="3497"/>
      <c r="U93" s="3497"/>
      <c r="V93" s="3286"/>
      <c r="W93" s="3287"/>
      <c r="X93" s="3286"/>
      <c r="Y93" s="3286"/>
      <c r="Z93" s="3286"/>
      <c r="AA93" s="3286"/>
      <c r="AB93" s="3286"/>
      <c r="AC93" s="3286"/>
      <c r="AD93" s="3286"/>
      <c r="AE93" s="3286"/>
      <c r="AF93" s="3286"/>
      <c r="AG93" s="3286"/>
      <c r="AH93" s="3286"/>
      <c r="AI93" s="3286"/>
      <c r="AJ93" s="3286"/>
      <c r="AK93" s="3286"/>
      <c r="AL93" s="3286"/>
      <c r="AM93" s="3286"/>
      <c r="AN93" s="3286"/>
      <c r="AO93" s="3286"/>
      <c r="AP93" s="3286"/>
      <c r="AQ93" s="3286"/>
      <c r="AR93" s="3286"/>
      <c r="AS93" s="3286"/>
      <c r="AT93" s="3286"/>
      <c r="AU93" s="3286"/>
      <c r="AV93" s="3286"/>
      <c r="AW93" s="3286"/>
      <c r="AX93" s="3286"/>
      <c r="AY93" s="3292"/>
      <c r="AZ93" s="3495"/>
    </row>
    <row r="94" spans="2:52" ht="13.5" customHeight="1" thickBot="1">
      <c r="B94" s="3502"/>
      <c r="C94" s="3517"/>
      <c r="D94" s="3502"/>
      <c r="E94" s="3294"/>
      <c r="F94" s="2844"/>
      <c r="G94" s="3286"/>
      <c r="H94" s="3286"/>
      <c r="I94" s="3286"/>
      <c r="J94" s="3286"/>
      <c r="K94" s="3286"/>
      <c r="L94" s="3286"/>
      <c r="M94" s="3286"/>
      <c r="N94" s="3286"/>
      <c r="O94" s="3286"/>
      <c r="P94" s="3286"/>
      <c r="Q94" s="3286"/>
      <c r="R94" s="3286"/>
      <c r="S94" s="3286"/>
      <c r="T94" s="3286"/>
      <c r="U94" s="3286"/>
      <c r="V94" s="3286"/>
      <c r="W94" s="3286"/>
      <c r="X94" s="3286"/>
      <c r="Y94" s="3286"/>
      <c r="Z94" s="3286"/>
      <c r="AA94" s="3286"/>
      <c r="AB94" s="3286"/>
      <c r="AC94" s="3286"/>
      <c r="AD94" s="3286"/>
      <c r="AE94" s="3286"/>
      <c r="AF94" s="3286"/>
      <c r="AG94" s="3286"/>
      <c r="AH94" s="3286"/>
      <c r="AI94" s="3286"/>
      <c r="AJ94" s="3286"/>
      <c r="AK94" s="3286"/>
      <c r="AL94" s="3286"/>
      <c r="AM94" s="3286"/>
      <c r="AN94" s="3286"/>
      <c r="AO94" s="3286"/>
      <c r="AP94" s="3286"/>
      <c r="AQ94" s="3286"/>
      <c r="AR94" s="3286"/>
      <c r="AS94" s="3286"/>
      <c r="AT94" s="3286"/>
      <c r="AU94" s="3286"/>
      <c r="AV94" s="3286"/>
      <c r="AW94" s="3286"/>
      <c r="AX94" s="3286"/>
      <c r="AY94" s="3292"/>
      <c r="AZ94" s="3495"/>
    </row>
    <row r="95" spans="2:52" ht="13.5" customHeight="1" thickTop="1" thickBot="1">
      <c r="B95" s="3502"/>
      <c r="C95" s="3517"/>
      <c r="D95" s="3502"/>
      <c r="E95" s="3294" t="s">
        <v>5441</v>
      </c>
      <c r="F95" s="2844"/>
      <c r="G95" s="3286"/>
      <c r="H95" s="3286"/>
      <c r="I95" s="3286"/>
      <c r="J95" s="3286"/>
      <c r="K95" s="3286"/>
      <c r="L95" s="3286"/>
      <c r="M95" s="3286"/>
      <c r="N95" s="3286"/>
      <c r="O95" s="3286"/>
      <c r="P95" s="3504"/>
      <c r="Q95" s="3505"/>
      <c r="R95" s="3505"/>
      <c r="S95" s="3505"/>
      <c r="T95" s="3505"/>
      <c r="U95" s="3506"/>
      <c r="V95" s="3286"/>
      <c r="W95" s="3287"/>
      <c r="X95" s="3286"/>
      <c r="Y95" s="3286"/>
      <c r="Z95" s="3286"/>
      <c r="AA95" s="3286"/>
      <c r="AB95" s="3286"/>
      <c r="AC95" s="3286"/>
      <c r="AD95" s="3286"/>
      <c r="AE95" s="3286"/>
      <c r="AF95" s="3286"/>
      <c r="AG95" s="3286"/>
      <c r="AH95" s="3286"/>
      <c r="AI95" s="3286"/>
      <c r="AJ95" s="3286"/>
      <c r="AK95" s="3286"/>
      <c r="AL95" s="3286"/>
      <c r="AM95" s="3286"/>
      <c r="AN95" s="3286"/>
      <c r="AO95" s="3286"/>
      <c r="AP95" s="3286"/>
      <c r="AQ95" s="3286"/>
      <c r="AR95" s="3286"/>
      <c r="AS95" s="3286"/>
      <c r="AT95" s="3286"/>
      <c r="AU95" s="3286"/>
      <c r="AV95" s="3286"/>
      <c r="AW95" s="3286"/>
      <c r="AX95" s="3286"/>
      <c r="AY95" s="3292"/>
      <c r="AZ95" s="3495"/>
    </row>
    <row r="96" spans="2:52" ht="13.5" customHeight="1" thickTop="1">
      <c r="B96" s="3502"/>
      <c r="C96" s="3518"/>
      <c r="D96" s="3513"/>
      <c r="E96" s="3297"/>
      <c r="F96" s="2839"/>
      <c r="G96" s="3298"/>
      <c r="H96" s="3298"/>
      <c r="I96" s="3298"/>
      <c r="J96" s="3298"/>
      <c r="K96" s="3298"/>
      <c r="L96" s="3298"/>
      <c r="M96" s="3298"/>
      <c r="N96" s="3298"/>
      <c r="O96" s="3298"/>
      <c r="P96" s="3298"/>
      <c r="Q96" s="3298"/>
      <c r="R96" s="3298"/>
      <c r="S96" s="3298"/>
      <c r="T96" s="3298"/>
      <c r="U96" s="3298"/>
      <c r="V96" s="3298"/>
      <c r="W96" s="3298"/>
      <c r="X96" s="2859"/>
      <c r="Y96" s="3298"/>
      <c r="Z96" s="3298"/>
      <c r="AA96" s="3298"/>
      <c r="AB96" s="3298"/>
      <c r="AC96" s="3298"/>
      <c r="AD96" s="3298"/>
      <c r="AE96" s="3298"/>
      <c r="AF96" s="3298"/>
      <c r="AG96" s="3298"/>
      <c r="AH96" s="3298"/>
      <c r="AI96" s="3298"/>
      <c r="AJ96" s="3298"/>
      <c r="AK96" s="3298"/>
      <c r="AL96" s="3298"/>
      <c r="AM96" s="3298"/>
      <c r="AN96" s="3298"/>
      <c r="AO96" s="3298"/>
      <c r="AP96" s="3298"/>
      <c r="AQ96" s="3298"/>
      <c r="AR96" s="3298"/>
      <c r="AS96" s="3298"/>
      <c r="AT96" s="3298"/>
      <c r="AU96" s="3298"/>
      <c r="AV96" s="3298"/>
      <c r="AW96" s="3298"/>
      <c r="AX96" s="3298"/>
      <c r="AY96" s="3293"/>
      <c r="AZ96" s="3496"/>
    </row>
    <row r="97" spans="2:52" ht="13.5" customHeight="1" thickBot="1">
      <c r="B97" s="3502"/>
      <c r="C97" s="3516">
        <v>2</v>
      </c>
      <c r="D97" s="3512" t="s">
        <v>5440</v>
      </c>
      <c r="E97" s="3295"/>
      <c r="F97" s="2849"/>
      <c r="G97" s="3296"/>
      <c r="H97" s="3296"/>
      <c r="I97" s="3296"/>
      <c r="J97" s="3296"/>
      <c r="K97" s="3296"/>
      <c r="L97" s="3296"/>
      <c r="M97" s="3296"/>
      <c r="N97" s="3296"/>
      <c r="O97" s="3296"/>
      <c r="P97" s="3296"/>
      <c r="Q97" s="3296"/>
      <c r="R97" s="3296"/>
      <c r="S97" s="3296"/>
      <c r="T97" s="3296"/>
      <c r="U97" s="3296"/>
      <c r="V97" s="3296"/>
      <c r="W97" s="3296"/>
      <c r="X97" s="3296"/>
      <c r="Y97" s="3296"/>
      <c r="Z97" s="3296"/>
      <c r="AA97" s="3296"/>
      <c r="AB97" s="3296"/>
      <c r="AC97" s="3296"/>
      <c r="AD97" s="3296"/>
      <c r="AE97" s="3296"/>
      <c r="AF97" s="3296"/>
      <c r="AG97" s="3296"/>
      <c r="AH97" s="3296"/>
      <c r="AI97" s="3296"/>
      <c r="AJ97" s="3296"/>
      <c r="AK97" s="3296"/>
      <c r="AL97" s="3296"/>
      <c r="AM97" s="3296"/>
      <c r="AN97" s="3296"/>
      <c r="AO97" s="3296"/>
      <c r="AP97" s="3296"/>
      <c r="AQ97" s="3296"/>
      <c r="AR97" s="3296"/>
      <c r="AS97" s="3296"/>
      <c r="AT97" s="3296"/>
      <c r="AU97" s="3296"/>
      <c r="AV97" s="3296"/>
      <c r="AW97" s="3296"/>
      <c r="AX97" s="3296"/>
      <c r="AY97" s="3291"/>
      <c r="AZ97" s="3321" t="s">
        <v>6191</v>
      </c>
    </row>
    <row r="98" spans="2:52" ht="13.5" customHeight="1" thickTop="1" thickBot="1">
      <c r="B98" s="3502"/>
      <c r="C98" s="3517"/>
      <c r="D98" s="3502"/>
      <c r="E98" s="3294" t="s">
        <v>5438</v>
      </c>
      <c r="F98" s="2844"/>
      <c r="G98" s="3286"/>
      <c r="H98" s="3286"/>
      <c r="I98" s="3286"/>
      <c r="J98" s="3286"/>
      <c r="K98" s="3286"/>
      <c r="L98" s="3286"/>
      <c r="M98" s="3286"/>
      <c r="N98" s="3286"/>
      <c r="O98" s="3286"/>
      <c r="P98" s="3286"/>
      <c r="Q98" s="3286"/>
      <c r="R98" s="3286"/>
      <c r="S98" s="3286"/>
      <c r="T98" s="3286"/>
      <c r="U98" s="3286"/>
      <c r="V98" s="3286"/>
      <c r="W98" s="3286"/>
      <c r="X98" s="3286"/>
      <c r="Y98" s="3286"/>
      <c r="Z98" s="3499">
        <f>ROUNDDOWN(T70*'(申)計'!R36/'(申)計'!R40,0)</f>
        <v>30955</v>
      </c>
      <c r="AA98" s="3500"/>
      <c r="AB98" s="3500"/>
      <c r="AC98" s="3500"/>
      <c r="AD98" s="3500"/>
      <c r="AE98" s="3501"/>
      <c r="AF98" s="3286" t="s">
        <v>5437</v>
      </c>
      <c r="AG98" s="3287" t="s">
        <v>5436</v>
      </c>
      <c r="AH98" s="3286"/>
      <c r="AI98" s="3286"/>
      <c r="AJ98" s="3286"/>
      <c r="AK98" s="3286"/>
      <c r="AL98" s="3286"/>
      <c r="AM98" s="3286"/>
      <c r="AN98" s="3286"/>
      <c r="AO98" s="3286"/>
      <c r="AP98" s="3286"/>
      <c r="AQ98" s="3286"/>
      <c r="AR98" s="3286"/>
      <c r="AS98" s="3286"/>
      <c r="AT98" s="3286"/>
      <c r="AU98" s="3286"/>
      <c r="AV98" s="3286"/>
      <c r="AW98" s="3286"/>
      <c r="AX98" s="3286"/>
      <c r="AY98" s="3292"/>
      <c r="AZ98" s="3041" t="s">
        <v>6207</v>
      </c>
    </row>
    <row r="99" spans="2:52" ht="13.5" customHeight="1" thickTop="1" thickBot="1">
      <c r="B99" s="3502"/>
      <c r="C99" s="3517"/>
      <c r="D99" s="3502"/>
      <c r="E99" s="3294"/>
      <c r="F99" s="2844"/>
      <c r="G99" s="3286"/>
      <c r="H99" s="3286"/>
      <c r="I99" s="3286"/>
      <c r="J99" s="3286"/>
      <c r="K99" s="3286"/>
      <c r="L99" s="3286"/>
      <c r="M99" s="3286"/>
      <c r="N99" s="3286"/>
      <c r="O99" s="3286"/>
      <c r="P99" s="3286"/>
      <c r="Q99" s="3286"/>
      <c r="R99" s="3286"/>
      <c r="S99" s="3286"/>
      <c r="T99" s="3286"/>
      <c r="U99" s="2858" t="s">
        <v>5435</v>
      </c>
      <c r="V99" s="3286"/>
      <c r="W99" s="3286"/>
      <c r="X99" s="3286"/>
      <c r="Y99" s="3286"/>
      <c r="Z99" s="3286"/>
      <c r="AA99" s="3286"/>
      <c r="AB99" s="3286"/>
      <c r="AC99" s="3286"/>
      <c r="AD99" s="3286"/>
      <c r="AE99" s="3286"/>
      <c r="AF99" s="3286"/>
      <c r="AG99" s="3286"/>
      <c r="AH99" s="3286"/>
      <c r="AI99" s="3286"/>
      <c r="AJ99" s="3286"/>
      <c r="AK99" s="3286"/>
      <c r="AL99" s="3286"/>
      <c r="AM99" s="3286"/>
      <c r="AN99" s="3286"/>
      <c r="AO99" s="3286"/>
      <c r="AP99" s="3286"/>
      <c r="AQ99" s="3286"/>
      <c r="AR99" s="3286"/>
      <c r="AS99" s="3286"/>
      <c r="AT99" s="3286"/>
      <c r="AU99" s="3286"/>
      <c r="AV99" s="3286"/>
      <c r="AW99" s="3286"/>
      <c r="AX99" s="3286"/>
      <c r="AY99" s="3292"/>
      <c r="AZ99" s="3319"/>
    </row>
    <row r="100" spans="2:52" ht="13.5" customHeight="1" thickTop="1" thickBot="1">
      <c r="B100" s="3502"/>
      <c r="C100" s="3517"/>
      <c r="D100" s="3502"/>
      <c r="E100" s="3294" t="s">
        <v>5434</v>
      </c>
      <c r="F100" s="2844"/>
      <c r="G100" s="3286"/>
      <c r="H100" s="3286"/>
      <c r="I100" s="3286"/>
      <c r="J100" s="3286"/>
      <c r="K100" s="3286"/>
      <c r="L100" s="3286"/>
      <c r="M100" s="3286"/>
      <c r="N100" s="3286"/>
      <c r="O100" s="3286"/>
      <c r="P100" s="3286"/>
      <c r="Q100" s="3286"/>
      <c r="R100" s="3286"/>
      <c r="S100" s="3286"/>
      <c r="T100" s="3286"/>
      <c r="U100" s="3286"/>
      <c r="V100" s="3286"/>
      <c r="W100" s="3286"/>
      <c r="X100" s="3286"/>
      <c r="Y100" s="3286"/>
      <c r="Z100" s="3499">
        <f>AS89</f>
        <v>130667</v>
      </c>
      <c r="AA100" s="3500"/>
      <c r="AB100" s="3500"/>
      <c r="AC100" s="3500"/>
      <c r="AD100" s="3500"/>
      <c r="AE100" s="3501"/>
      <c r="AF100" s="3286"/>
      <c r="AG100" s="3287" t="s">
        <v>5433</v>
      </c>
      <c r="AH100" s="3286"/>
      <c r="AI100" s="3286"/>
      <c r="AJ100" s="3286"/>
      <c r="AK100" s="3286"/>
      <c r="AL100" s="3286"/>
      <c r="AM100" s="3286"/>
      <c r="AN100" s="3286"/>
      <c r="AO100" s="3286"/>
      <c r="AP100" s="3286"/>
      <c r="AQ100" s="3286"/>
      <c r="AR100" s="3286"/>
      <c r="AS100" s="3286"/>
      <c r="AT100" s="3286"/>
      <c r="AU100" s="3286"/>
      <c r="AV100" s="3286"/>
      <c r="AW100" s="3286"/>
      <c r="AX100" s="3286"/>
      <c r="AY100" s="3292"/>
      <c r="AZ100" s="3319" t="s">
        <v>5424</v>
      </c>
    </row>
    <row r="101" spans="2:52" ht="13.5" customHeight="1" thickTop="1" thickBot="1">
      <c r="B101" s="3502"/>
      <c r="C101" s="3517"/>
      <c r="D101" s="3502"/>
      <c r="E101" s="3294" t="s">
        <v>5572</v>
      </c>
      <c r="F101" s="2844"/>
      <c r="G101" s="3286"/>
      <c r="H101" s="3286"/>
      <c r="I101" s="3286"/>
      <c r="J101" s="3286"/>
      <c r="K101" s="3286"/>
      <c r="L101" s="3286"/>
      <c r="M101" s="3286"/>
      <c r="N101" s="3286"/>
      <c r="O101" s="3286"/>
      <c r="P101" s="3286"/>
      <c r="Q101" s="3286"/>
      <c r="R101" s="3286"/>
      <c r="S101" s="3286"/>
      <c r="T101" s="3286"/>
      <c r="U101" s="3286"/>
      <c r="V101" s="3286"/>
      <c r="W101" s="3286"/>
      <c r="X101" s="3286"/>
      <c r="Y101" s="3286"/>
      <c r="Z101" s="3499">
        <f>ROUNDDOWN(Z100*62.4/1080,0)</f>
        <v>7549</v>
      </c>
      <c r="AA101" s="3500"/>
      <c r="AB101" s="3500"/>
      <c r="AC101" s="3500"/>
      <c r="AD101" s="3500"/>
      <c r="AE101" s="3501"/>
      <c r="AF101" s="3314" t="s">
        <v>6177</v>
      </c>
      <c r="AG101" s="3315" t="s">
        <v>6178</v>
      </c>
      <c r="AH101" s="3286"/>
      <c r="AI101" s="3286"/>
      <c r="AJ101" s="3286"/>
      <c r="AK101" s="3286"/>
      <c r="AL101" s="3286"/>
      <c r="AM101" s="3286"/>
      <c r="AN101" s="3286"/>
      <c r="AO101" s="3286"/>
      <c r="AP101" s="3286"/>
      <c r="AQ101" s="3286"/>
      <c r="AR101" s="3286"/>
      <c r="AS101" s="3286"/>
      <c r="AT101" s="3286"/>
      <c r="AU101" s="3286"/>
      <c r="AV101" s="3286"/>
      <c r="AW101" s="3286"/>
      <c r="AX101" s="3286"/>
      <c r="AY101" s="3292"/>
      <c r="AZ101" s="3319" t="s">
        <v>5419</v>
      </c>
    </row>
    <row r="102" spans="2:52" ht="13.5" customHeight="1" thickTop="1" thickBot="1">
      <c r="B102" s="3502"/>
      <c r="C102" s="3517"/>
      <c r="D102" s="3502"/>
      <c r="E102" s="3294"/>
      <c r="F102" s="2844"/>
      <c r="G102" s="3286"/>
      <c r="H102" s="3286"/>
      <c r="I102" s="3286"/>
      <c r="J102" s="3286"/>
      <c r="K102" s="3286"/>
      <c r="L102" s="3286"/>
      <c r="M102" s="3286"/>
      <c r="N102" s="3286"/>
      <c r="O102" s="3286"/>
      <c r="P102" s="3286"/>
      <c r="Q102" s="3286"/>
      <c r="R102" s="3286"/>
      <c r="S102" s="3286"/>
      <c r="T102" s="3286"/>
      <c r="U102" s="3286"/>
      <c r="V102" s="3286"/>
      <c r="W102" s="3286"/>
      <c r="X102" s="3286"/>
      <c r="Y102" s="3286"/>
      <c r="Z102" s="3286"/>
      <c r="AA102" s="3286"/>
      <c r="AB102" s="3286"/>
      <c r="AC102" s="3286"/>
      <c r="AD102" s="3286"/>
      <c r="AE102" s="3286"/>
      <c r="AF102" s="3286"/>
      <c r="AG102" s="3286"/>
      <c r="AH102" s="3286"/>
      <c r="AI102" s="3286"/>
      <c r="AJ102" s="3286"/>
      <c r="AK102" s="3286"/>
      <c r="AL102" s="3286"/>
      <c r="AM102" s="3286"/>
      <c r="AN102" s="3286"/>
      <c r="AO102" s="3286"/>
      <c r="AP102" s="3286"/>
      <c r="AQ102" s="3286"/>
      <c r="AR102" s="3286"/>
      <c r="AS102" s="3286"/>
      <c r="AT102" s="3286"/>
      <c r="AU102" s="3286"/>
      <c r="AV102" s="3286"/>
      <c r="AW102" s="3286"/>
      <c r="AX102" s="3286"/>
      <c r="AY102" s="3292"/>
      <c r="AZ102" s="3319"/>
    </row>
    <row r="103" spans="2:52"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3286"/>
      <c r="T103" s="3286"/>
      <c r="U103" s="3286"/>
      <c r="V103" s="3286"/>
      <c r="W103" s="3286"/>
      <c r="X103" s="3286"/>
      <c r="Y103" s="3286"/>
      <c r="Z103" s="3499">
        <f>'(申)計'!R36</f>
        <v>18871966907</v>
      </c>
      <c r="AA103" s="3500"/>
      <c r="AB103" s="3500"/>
      <c r="AC103" s="3500"/>
      <c r="AD103" s="3500"/>
      <c r="AE103" s="3501"/>
      <c r="AF103" s="3286"/>
      <c r="AG103" s="3510" t="s">
        <v>5426</v>
      </c>
      <c r="AH103" s="3287" t="s">
        <v>5425</v>
      </c>
      <c r="AI103" s="3286"/>
      <c r="AJ103" s="3286"/>
      <c r="AK103" s="3286"/>
      <c r="AL103" s="3286"/>
      <c r="AM103" s="3286"/>
      <c r="AN103" s="3286"/>
      <c r="AO103" s="3286"/>
      <c r="AP103" s="3286"/>
      <c r="AQ103" s="3286"/>
      <c r="AR103" s="3286"/>
      <c r="AS103" s="3286"/>
      <c r="AT103" s="3286"/>
      <c r="AU103" s="3286"/>
      <c r="AV103" s="3286"/>
      <c r="AW103" s="3286"/>
      <c r="AX103" s="3286"/>
      <c r="AY103" s="3292"/>
      <c r="AZ103" s="3498" t="s">
        <v>6212</v>
      </c>
    </row>
    <row r="104" spans="2:52" ht="3" customHeight="1" thickTop="1">
      <c r="B104" s="3502"/>
      <c r="C104" s="3517"/>
      <c r="D104" s="3502"/>
      <c r="E104" s="3521"/>
      <c r="F104" s="3510"/>
      <c r="G104" s="3510"/>
      <c r="H104" s="3510"/>
      <c r="I104" s="3510"/>
      <c r="J104" s="3510"/>
      <c r="K104" s="3510"/>
      <c r="L104" s="3510"/>
      <c r="M104" s="3510"/>
      <c r="N104" s="3510"/>
      <c r="O104" s="3510"/>
      <c r="P104" s="3510"/>
      <c r="Q104" s="3510"/>
      <c r="R104" s="3510"/>
      <c r="S104" s="3286"/>
      <c r="T104" s="3286"/>
      <c r="U104" s="3286"/>
      <c r="V104" s="3286"/>
      <c r="W104" s="3286"/>
      <c r="X104" s="3286"/>
      <c r="Y104" s="3298"/>
      <c r="Z104" s="3298"/>
      <c r="AA104" s="3298"/>
      <c r="AB104" s="3298"/>
      <c r="AC104" s="3298"/>
      <c r="AD104" s="3298"/>
      <c r="AE104" s="3298"/>
      <c r="AF104" s="3298"/>
      <c r="AG104" s="3510"/>
      <c r="AH104" s="3286"/>
      <c r="AI104" s="3286"/>
      <c r="AJ104" s="3286"/>
      <c r="AK104" s="3286"/>
      <c r="AL104" s="3286"/>
      <c r="AM104" s="3286"/>
      <c r="AN104" s="3286"/>
      <c r="AO104" s="3286"/>
      <c r="AP104" s="3286"/>
      <c r="AQ104" s="3286"/>
      <c r="AR104" s="3286"/>
      <c r="AS104" s="3286"/>
      <c r="AT104" s="3286"/>
      <c r="AU104" s="3286"/>
      <c r="AV104" s="3286"/>
      <c r="AW104" s="3286"/>
      <c r="AX104" s="3286"/>
      <c r="AY104" s="3292"/>
      <c r="AZ104" s="3498"/>
    </row>
    <row r="105" spans="2:52" ht="3" customHeight="1" thickBot="1">
      <c r="B105" s="3502"/>
      <c r="C105" s="3517"/>
      <c r="D105" s="3502"/>
      <c r="E105" s="3521"/>
      <c r="F105" s="3510"/>
      <c r="G105" s="3510"/>
      <c r="H105" s="3510"/>
      <c r="I105" s="3510"/>
      <c r="J105" s="3510"/>
      <c r="K105" s="3510"/>
      <c r="L105" s="3510"/>
      <c r="M105" s="3510"/>
      <c r="N105" s="3510"/>
      <c r="O105" s="3510"/>
      <c r="P105" s="3510"/>
      <c r="Q105" s="3510"/>
      <c r="R105" s="3510"/>
      <c r="S105" s="3286"/>
      <c r="T105" s="3286"/>
      <c r="U105" s="3286"/>
      <c r="V105" s="3286"/>
      <c r="W105" s="3286"/>
      <c r="X105" s="3286"/>
      <c r="Y105" s="3286"/>
      <c r="Z105" s="3286"/>
      <c r="AA105" s="3286"/>
      <c r="AB105" s="3286"/>
      <c r="AC105" s="3286"/>
      <c r="AD105" s="3286"/>
      <c r="AE105" s="3286"/>
      <c r="AF105" s="3286"/>
      <c r="AG105" s="3510"/>
      <c r="AH105" s="3286"/>
      <c r="AI105" s="3286"/>
      <c r="AJ105" s="3286"/>
      <c r="AK105" s="3286"/>
      <c r="AL105" s="3286"/>
      <c r="AM105" s="3286"/>
      <c r="AN105" s="3286"/>
      <c r="AO105" s="3286"/>
      <c r="AP105" s="3286"/>
      <c r="AQ105" s="3286"/>
      <c r="AR105" s="3286"/>
      <c r="AS105" s="3286"/>
      <c r="AT105" s="3286"/>
      <c r="AU105" s="3286"/>
      <c r="AV105" s="3286"/>
      <c r="AW105" s="3286"/>
      <c r="AX105" s="3286"/>
      <c r="AY105" s="3292"/>
      <c r="AZ105" s="3498"/>
    </row>
    <row r="106" spans="2:52"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3286"/>
      <c r="T106" s="3286"/>
      <c r="U106" s="3286"/>
      <c r="V106" s="3286"/>
      <c r="W106" s="3286"/>
      <c r="X106" s="3286"/>
      <c r="Y106" s="3286"/>
      <c r="Z106" s="3499">
        <f>'(申)計'!R40</f>
        <v>18940559860</v>
      </c>
      <c r="AA106" s="3500"/>
      <c r="AB106" s="3500"/>
      <c r="AC106" s="3500"/>
      <c r="AD106" s="3500"/>
      <c r="AE106" s="3501"/>
      <c r="AF106" s="3286"/>
      <c r="AG106" s="3510"/>
      <c r="AH106" s="3287" t="s">
        <v>5423</v>
      </c>
      <c r="AI106" s="3286"/>
      <c r="AJ106" s="3286"/>
      <c r="AK106" s="3286"/>
      <c r="AL106" s="3286"/>
      <c r="AM106" s="3286"/>
      <c r="AN106" s="3286"/>
      <c r="AO106" s="3286"/>
      <c r="AP106" s="3286"/>
      <c r="AQ106" s="3286"/>
      <c r="AR106" s="3286"/>
      <c r="AS106" s="3286"/>
      <c r="AT106" s="3286"/>
      <c r="AU106" s="3286"/>
      <c r="AV106" s="3286"/>
      <c r="AW106" s="3286"/>
      <c r="AX106" s="3286"/>
      <c r="AY106" s="3292"/>
      <c r="AZ106" s="3498"/>
    </row>
    <row r="107" spans="2:52" ht="13.5" customHeight="1" thickTop="1" thickBot="1">
      <c r="B107" s="3502"/>
      <c r="C107" s="3517"/>
      <c r="D107" s="3502"/>
      <c r="E107" s="3294"/>
      <c r="F107" s="2844"/>
      <c r="G107" s="3286"/>
      <c r="H107" s="3286"/>
      <c r="I107" s="3286"/>
      <c r="J107" s="3286"/>
      <c r="K107" s="3286"/>
      <c r="L107" s="3286"/>
      <c r="M107" s="3286"/>
      <c r="N107" s="3286"/>
      <c r="O107" s="3286"/>
      <c r="P107" s="3286"/>
      <c r="Q107" s="3286"/>
      <c r="R107" s="3286"/>
      <c r="S107" s="3286"/>
      <c r="T107" s="3286"/>
      <c r="U107" s="3286"/>
      <c r="V107" s="3286"/>
      <c r="W107" s="3286"/>
      <c r="X107" s="3286"/>
      <c r="Y107" s="3286"/>
      <c r="Z107" s="3286"/>
      <c r="AA107" s="3286"/>
      <c r="AB107" s="3286"/>
      <c r="AC107" s="3286"/>
      <c r="AD107" s="3286"/>
      <c r="AE107" s="3286"/>
      <c r="AF107" s="3286"/>
      <c r="AG107" s="3286"/>
      <c r="AH107" s="3286"/>
      <c r="AI107" s="3286"/>
      <c r="AJ107" s="3286"/>
      <c r="AK107" s="3286"/>
      <c r="AL107" s="3286"/>
      <c r="AM107" s="3286"/>
      <c r="AN107" s="3286"/>
      <c r="AO107" s="3286"/>
      <c r="AP107" s="3286"/>
      <c r="AQ107" s="3286"/>
      <c r="AR107" s="3286"/>
      <c r="AS107" s="3286"/>
      <c r="AT107" s="3286"/>
      <c r="AU107" s="3286"/>
      <c r="AV107" s="3286"/>
      <c r="AW107" s="3286"/>
      <c r="AX107" s="3286"/>
      <c r="AY107" s="3292"/>
      <c r="AZ107" s="3319"/>
    </row>
    <row r="108" spans="2:52" ht="13.5" customHeight="1" thickTop="1" thickBot="1">
      <c r="B108" s="3502"/>
      <c r="C108" s="3517"/>
      <c r="D108" s="3502"/>
      <c r="E108" s="3294" t="s">
        <v>5422</v>
      </c>
      <c r="F108" s="2844"/>
      <c r="G108" s="3286"/>
      <c r="H108" s="3286"/>
      <c r="I108" s="3286"/>
      <c r="J108" s="3286"/>
      <c r="K108" s="3286"/>
      <c r="L108" s="3286"/>
      <c r="M108" s="3286"/>
      <c r="N108" s="3286"/>
      <c r="O108" s="3286"/>
      <c r="P108" s="3286"/>
      <c r="Q108" s="3286"/>
      <c r="R108" s="3286"/>
      <c r="S108" s="3286"/>
      <c r="T108" s="3286"/>
      <c r="U108" s="3286"/>
      <c r="V108" s="3286"/>
      <c r="W108" s="3286"/>
      <c r="X108" s="3286"/>
      <c r="Y108" s="3286"/>
      <c r="Z108" s="3499">
        <f>ROUNDDOWN(Z101*Z103/Z106,0)</f>
        <v>7521</v>
      </c>
      <c r="AA108" s="3500"/>
      <c r="AB108" s="3500"/>
      <c r="AC108" s="3500"/>
      <c r="AD108" s="3500"/>
      <c r="AE108" s="3501"/>
      <c r="AF108" s="3286" t="s">
        <v>5421</v>
      </c>
      <c r="AG108" s="3287" t="s">
        <v>5420</v>
      </c>
      <c r="AH108" s="3286"/>
      <c r="AI108" s="3286"/>
      <c r="AJ108" s="3286"/>
      <c r="AK108" s="3286"/>
      <c r="AL108" s="3286"/>
      <c r="AM108" s="3286"/>
      <c r="AN108" s="3286"/>
      <c r="AO108" s="3286"/>
      <c r="AP108" s="3286"/>
      <c r="AQ108" s="3286"/>
      <c r="AR108" s="3286"/>
      <c r="AS108" s="3286"/>
      <c r="AT108" s="3286"/>
      <c r="AU108" s="3286"/>
      <c r="AV108" s="3286"/>
      <c r="AW108" s="3286"/>
      <c r="AX108" s="3286"/>
      <c r="AY108" s="3292"/>
      <c r="AZ108" s="3319" t="s">
        <v>6213</v>
      </c>
    </row>
    <row r="109" spans="2:52" ht="13.5" customHeight="1" thickTop="1">
      <c r="B109" s="3502"/>
      <c r="C109" s="3517"/>
      <c r="D109" s="3502"/>
      <c r="E109" s="3294"/>
      <c r="F109" s="2844"/>
      <c r="G109" s="3286"/>
      <c r="H109" s="3286"/>
      <c r="I109" s="3286"/>
      <c r="J109" s="3286"/>
      <c r="K109" s="3286"/>
      <c r="L109" s="3286"/>
      <c r="M109" s="3286"/>
      <c r="N109" s="3286"/>
      <c r="O109" s="3286"/>
      <c r="P109" s="3286"/>
      <c r="Q109" s="3286"/>
      <c r="R109" s="3286"/>
      <c r="S109" s="3286"/>
      <c r="T109" s="3286"/>
      <c r="U109" s="3286"/>
      <c r="V109" s="3286"/>
      <c r="W109" s="3286"/>
      <c r="X109" s="3286"/>
      <c r="Y109" s="3286"/>
      <c r="Z109" s="3286"/>
      <c r="AA109" s="3286"/>
      <c r="AB109" s="3286"/>
      <c r="AC109" s="3286"/>
      <c r="AD109" s="3286"/>
      <c r="AE109" s="3286"/>
      <c r="AF109" s="3286"/>
      <c r="AG109" s="3286"/>
      <c r="AH109" s="3286"/>
      <c r="AI109" s="3286"/>
      <c r="AJ109" s="3286"/>
      <c r="AK109" s="3286"/>
      <c r="AL109" s="3286"/>
      <c r="AM109" s="3286"/>
      <c r="AN109" s="3286"/>
      <c r="AO109" s="3286"/>
      <c r="AP109" s="3286"/>
      <c r="AQ109" s="3286"/>
      <c r="AR109" s="3286"/>
      <c r="AS109" s="3286"/>
      <c r="AT109" s="3286"/>
      <c r="AU109" s="3286"/>
      <c r="AV109" s="3286"/>
      <c r="AW109" s="3286"/>
      <c r="AX109" s="3286"/>
      <c r="AY109" s="3292"/>
      <c r="AZ109" s="3319"/>
    </row>
    <row r="110" spans="2:52" ht="13.5" customHeight="1" thickBot="1">
      <c r="B110" s="3502"/>
      <c r="C110" s="3517"/>
      <c r="D110" s="3502"/>
      <c r="E110" s="3294" t="s">
        <v>5418</v>
      </c>
      <c r="F110" s="2844"/>
      <c r="G110" s="3286"/>
      <c r="H110" s="3286"/>
      <c r="I110" s="3286"/>
      <c r="J110" s="3286"/>
      <c r="K110" s="3286"/>
      <c r="L110" s="3286"/>
      <c r="M110" s="3286"/>
      <c r="N110" s="3286"/>
      <c r="O110" s="3286"/>
      <c r="P110" s="3286"/>
      <c r="Q110" s="3286"/>
      <c r="R110" s="3286"/>
      <c r="S110" s="3286"/>
      <c r="T110" s="3286"/>
      <c r="U110" s="3286"/>
      <c r="V110" s="3286"/>
      <c r="W110" s="3286"/>
      <c r="X110" s="3286"/>
      <c r="Y110" s="3286"/>
      <c r="Z110" s="3286"/>
      <c r="AA110" s="3286"/>
      <c r="AB110" s="3286"/>
      <c r="AC110" s="3286"/>
      <c r="AD110" s="3286"/>
      <c r="AE110" s="3286"/>
      <c r="AF110" s="3286"/>
      <c r="AG110" s="3286"/>
      <c r="AH110" s="3286"/>
      <c r="AI110" s="3286"/>
      <c r="AJ110" s="3286"/>
      <c r="AK110" s="3286"/>
      <c r="AL110" s="3286"/>
      <c r="AM110" s="3286"/>
      <c r="AN110" s="3286"/>
      <c r="AO110" s="3286"/>
      <c r="AP110" s="3286"/>
      <c r="AQ110" s="3286"/>
      <c r="AR110" s="3286"/>
      <c r="AS110" s="3286"/>
      <c r="AT110" s="3286"/>
      <c r="AU110" s="3286"/>
      <c r="AV110" s="3286"/>
      <c r="AW110" s="3286"/>
      <c r="AX110" s="3286"/>
      <c r="AY110" s="3292"/>
      <c r="AZ110" s="3319"/>
    </row>
    <row r="111" spans="2:52" ht="13.5" customHeight="1" thickTop="1" thickBot="1">
      <c r="B111" s="3502"/>
      <c r="C111" s="3517"/>
      <c r="D111" s="3502"/>
      <c r="E111" s="3294"/>
      <c r="F111" s="2844" t="s">
        <v>5556</v>
      </c>
      <c r="G111" s="3286"/>
      <c r="H111" s="3286"/>
      <c r="I111" s="3286"/>
      <c r="J111" s="3286"/>
      <c r="K111" s="3286"/>
      <c r="L111" s="3286"/>
      <c r="M111" s="3286"/>
      <c r="N111" s="3286"/>
      <c r="O111" s="3286"/>
      <c r="P111" s="3286"/>
      <c r="Q111" s="3286"/>
      <c r="R111" s="3286"/>
      <c r="S111" s="3286"/>
      <c r="T111" s="3286"/>
      <c r="U111" s="3286"/>
      <c r="V111" s="3286"/>
      <c r="W111" s="3286"/>
      <c r="X111" s="3286"/>
      <c r="Y111" s="3286"/>
      <c r="Z111" s="3286"/>
      <c r="AA111" s="3286"/>
      <c r="AB111" s="3286"/>
      <c r="AC111" s="3499">
        <f>Z98-Z108</f>
        <v>23434</v>
      </c>
      <c r="AD111" s="3500"/>
      <c r="AE111" s="3500"/>
      <c r="AF111" s="3500"/>
      <c r="AG111" s="3500"/>
      <c r="AH111" s="3501"/>
      <c r="AI111" s="3286" t="s">
        <v>5416</v>
      </c>
      <c r="AJ111" s="3287" t="s">
        <v>5415</v>
      </c>
      <c r="AK111" s="3286"/>
      <c r="AL111" s="3286"/>
      <c r="AM111" s="3286"/>
      <c r="AN111" s="3286"/>
      <c r="AO111" s="3286"/>
      <c r="AP111" s="3286"/>
      <c r="AQ111" s="3286"/>
      <c r="AR111" s="3286"/>
      <c r="AS111" s="3286"/>
      <c r="AT111" s="3286"/>
      <c r="AU111" s="3286"/>
      <c r="AV111" s="3286"/>
      <c r="AW111" s="3286"/>
      <c r="AX111" s="3286"/>
      <c r="AY111" s="3292"/>
      <c r="AZ111" s="3319" t="s">
        <v>6209</v>
      </c>
    </row>
    <row r="112" spans="2:52" ht="13.5" customHeight="1" thickTop="1" thickBot="1">
      <c r="B112" s="3502"/>
      <c r="C112" s="3517"/>
      <c r="D112" s="3502"/>
      <c r="E112" s="3294"/>
      <c r="F112" s="2844"/>
      <c r="G112" s="3286"/>
      <c r="H112" s="3286"/>
      <c r="I112" s="3286"/>
      <c r="J112" s="3286"/>
      <c r="K112" s="3286"/>
      <c r="L112" s="3286"/>
      <c r="M112" s="3286"/>
      <c r="N112" s="3286"/>
      <c r="O112" s="3286"/>
      <c r="P112" s="3286"/>
      <c r="Q112" s="3286"/>
      <c r="R112" s="3286"/>
      <c r="S112" s="3286"/>
      <c r="T112" s="3286"/>
      <c r="U112" s="3286"/>
      <c r="V112" s="3286"/>
      <c r="W112" s="3286"/>
      <c r="X112" s="3286"/>
      <c r="Y112" s="3286"/>
      <c r="Z112" s="3286"/>
      <c r="AA112" s="3286"/>
      <c r="AB112" s="3286"/>
      <c r="AC112" s="3286"/>
      <c r="AD112" s="3286"/>
      <c r="AE112" s="3286"/>
      <c r="AF112" s="3286"/>
      <c r="AG112" s="3286"/>
      <c r="AH112" s="3286"/>
      <c r="AI112" s="3286"/>
      <c r="AJ112" s="3286"/>
      <c r="AK112" s="3286"/>
      <c r="AL112" s="3286"/>
      <c r="AM112" s="3286"/>
      <c r="AN112" s="3286"/>
      <c r="AO112" s="3286"/>
      <c r="AP112" s="3286"/>
      <c r="AQ112" s="3286"/>
      <c r="AR112" s="3286"/>
      <c r="AS112" s="3286"/>
      <c r="AT112" s="3286"/>
      <c r="AU112" s="3286"/>
      <c r="AV112" s="3286"/>
      <c r="AW112" s="3286"/>
      <c r="AX112" s="3286"/>
      <c r="AY112" s="3292"/>
      <c r="AZ112" s="3319"/>
    </row>
    <row r="113" spans="2:52" ht="13.5" customHeight="1" thickTop="1" thickBot="1">
      <c r="B113" s="3502"/>
      <c r="C113" s="3517"/>
      <c r="D113" s="3502"/>
      <c r="E113" s="3294"/>
      <c r="F113" s="3510" t="s">
        <v>5413</v>
      </c>
      <c r="G113" s="3510"/>
      <c r="H113" s="3510"/>
      <c r="I113" s="3510"/>
      <c r="J113" s="3510"/>
      <c r="K113" s="3510"/>
      <c r="L113" s="3510"/>
      <c r="M113" s="3510"/>
      <c r="N113" s="3510"/>
      <c r="O113" s="3510"/>
      <c r="P113" s="3510"/>
      <c r="Q113" s="3510"/>
      <c r="R113" s="3510"/>
      <c r="S113" s="3510"/>
      <c r="T113" s="3286"/>
      <c r="U113" s="3286"/>
      <c r="V113" s="3286"/>
      <c r="W113" s="3286"/>
      <c r="X113" s="3286"/>
      <c r="Y113" s="3286"/>
      <c r="Z113" s="3286"/>
      <c r="AA113" s="3507">
        <f>'(申)計'!AA113</f>
        <v>0</v>
      </c>
      <c r="AB113" s="3508"/>
      <c r="AC113" s="3508"/>
      <c r="AD113" s="3508"/>
      <c r="AE113" s="3508"/>
      <c r="AF113" s="3509"/>
      <c r="AG113" s="3286"/>
      <c r="AH113" s="3510" t="s">
        <v>5412</v>
      </c>
      <c r="AI113" s="3511" t="s">
        <v>5411</v>
      </c>
      <c r="AJ113" s="3511"/>
      <c r="AK113" s="3511"/>
      <c r="AL113" s="3511"/>
      <c r="AM113" s="3511"/>
      <c r="AN113" s="3511"/>
      <c r="AO113" s="3511"/>
      <c r="AP113" s="3511"/>
      <c r="AQ113" s="3511"/>
      <c r="AR113" s="3286"/>
      <c r="AS113" s="3286"/>
      <c r="AT113" s="3286"/>
      <c r="AU113" s="3286"/>
      <c r="AV113" s="3286"/>
      <c r="AW113" s="3286"/>
      <c r="AX113" s="3286"/>
      <c r="AY113" s="3292"/>
      <c r="AZ113" s="3498" t="s">
        <v>6214</v>
      </c>
    </row>
    <row r="114" spans="2:52" ht="3" customHeight="1" thickTop="1">
      <c r="B114" s="3502"/>
      <c r="C114" s="3517"/>
      <c r="D114" s="3502"/>
      <c r="E114" s="3294"/>
      <c r="F114" s="3510"/>
      <c r="G114" s="3510"/>
      <c r="H114" s="3510"/>
      <c r="I114" s="3510"/>
      <c r="J114" s="3510"/>
      <c r="K114" s="3510"/>
      <c r="L114" s="3510"/>
      <c r="M114" s="3510"/>
      <c r="N114" s="3510"/>
      <c r="O114" s="3510"/>
      <c r="P114" s="3510"/>
      <c r="Q114" s="3510"/>
      <c r="R114" s="3510"/>
      <c r="S114" s="3510"/>
      <c r="T114" s="3286"/>
      <c r="U114" s="3286"/>
      <c r="V114" s="3286"/>
      <c r="W114" s="3286"/>
      <c r="X114" s="3286"/>
      <c r="Y114" s="3286"/>
      <c r="Z114" s="3298"/>
      <c r="AA114" s="3298"/>
      <c r="AB114" s="3298"/>
      <c r="AC114" s="3298"/>
      <c r="AD114" s="3298"/>
      <c r="AE114" s="3298"/>
      <c r="AF114" s="3298"/>
      <c r="AG114" s="3298"/>
      <c r="AH114" s="3510"/>
      <c r="AI114" s="3511"/>
      <c r="AJ114" s="3511"/>
      <c r="AK114" s="3511"/>
      <c r="AL114" s="3511"/>
      <c r="AM114" s="3511"/>
      <c r="AN114" s="3511"/>
      <c r="AO114" s="3511"/>
      <c r="AP114" s="3511"/>
      <c r="AQ114" s="3511"/>
      <c r="AR114" s="3286"/>
      <c r="AS114" s="3286"/>
      <c r="AT114" s="3286"/>
      <c r="AU114" s="3286"/>
      <c r="AV114" s="3286"/>
      <c r="AW114" s="3286"/>
      <c r="AX114" s="3286"/>
      <c r="AY114" s="3292"/>
      <c r="AZ114" s="3498"/>
    </row>
    <row r="115" spans="2:52" ht="3" customHeight="1" thickBot="1">
      <c r="B115" s="3502"/>
      <c r="C115" s="3517"/>
      <c r="D115" s="3502"/>
      <c r="E115" s="3294"/>
      <c r="F115" s="3510"/>
      <c r="G115" s="3510"/>
      <c r="H115" s="3510"/>
      <c r="I115" s="3510"/>
      <c r="J115" s="3510"/>
      <c r="K115" s="3510"/>
      <c r="L115" s="3510"/>
      <c r="M115" s="3510"/>
      <c r="N115" s="3510"/>
      <c r="O115" s="3510"/>
      <c r="P115" s="3510"/>
      <c r="Q115" s="3510"/>
      <c r="R115" s="3510"/>
      <c r="S115" s="3510"/>
      <c r="T115" s="3286"/>
      <c r="U115" s="3286"/>
      <c r="V115" s="3286"/>
      <c r="W115" s="3286"/>
      <c r="X115" s="3286"/>
      <c r="Y115" s="3286"/>
      <c r="Z115" s="3286"/>
      <c r="AA115" s="3286"/>
      <c r="AB115" s="3286"/>
      <c r="AC115" s="3286"/>
      <c r="AD115" s="3286"/>
      <c r="AE115" s="3286"/>
      <c r="AF115" s="3286"/>
      <c r="AG115" s="3286"/>
      <c r="AH115" s="3510"/>
      <c r="AI115" s="3511"/>
      <c r="AJ115" s="3511"/>
      <c r="AK115" s="3511"/>
      <c r="AL115" s="3511"/>
      <c r="AM115" s="3511"/>
      <c r="AN115" s="3511"/>
      <c r="AO115" s="3511"/>
      <c r="AP115" s="3511"/>
      <c r="AQ115" s="3511"/>
      <c r="AR115" s="3286"/>
      <c r="AS115" s="3286"/>
      <c r="AT115" s="3286"/>
      <c r="AU115" s="3286"/>
      <c r="AV115" s="3286"/>
      <c r="AW115" s="3286"/>
      <c r="AX115" s="3286"/>
      <c r="AY115" s="3292"/>
      <c r="AZ115" s="3498"/>
    </row>
    <row r="116" spans="2:52" ht="13.5" customHeight="1" thickTop="1" thickBot="1">
      <c r="B116" s="3502"/>
      <c r="C116" s="3517"/>
      <c r="D116" s="3502"/>
      <c r="E116" s="3294"/>
      <c r="F116" s="3510"/>
      <c r="G116" s="3510"/>
      <c r="H116" s="3510"/>
      <c r="I116" s="3510"/>
      <c r="J116" s="3510"/>
      <c r="K116" s="3510"/>
      <c r="L116" s="3510"/>
      <c r="M116" s="3510"/>
      <c r="N116" s="3510"/>
      <c r="O116" s="3510"/>
      <c r="P116" s="3510"/>
      <c r="Q116" s="3510"/>
      <c r="R116" s="3510"/>
      <c r="S116" s="3510"/>
      <c r="T116" s="3286"/>
      <c r="U116" s="3286"/>
      <c r="V116" s="3286"/>
      <c r="W116" s="3286"/>
      <c r="X116" s="3286"/>
      <c r="Y116" s="3286"/>
      <c r="Z116" s="3286"/>
      <c r="AA116" s="3499">
        <f>'(申)計'!AA116</f>
        <v>18950268779</v>
      </c>
      <c r="AB116" s="3500"/>
      <c r="AC116" s="3500"/>
      <c r="AD116" s="3500"/>
      <c r="AE116" s="3500"/>
      <c r="AF116" s="3501"/>
      <c r="AG116" s="3286"/>
      <c r="AH116" s="3510"/>
      <c r="AI116" s="3511"/>
      <c r="AJ116" s="3511"/>
      <c r="AK116" s="3511"/>
      <c r="AL116" s="3511"/>
      <c r="AM116" s="3511"/>
      <c r="AN116" s="3511"/>
      <c r="AO116" s="3511"/>
      <c r="AP116" s="3511"/>
      <c r="AQ116" s="3511"/>
      <c r="AR116" s="3286"/>
      <c r="AS116" s="3286"/>
      <c r="AT116" s="3286"/>
      <c r="AU116" s="3286"/>
      <c r="AV116" s="3286"/>
      <c r="AW116" s="3286"/>
      <c r="AX116" s="3286"/>
      <c r="AY116" s="3292"/>
      <c r="AZ116" s="3498"/>
    </row>
    <row r="117" spans="2:52" ht="13.5" customHeight="1" thickTop="1" thickBot="1">
      <c r="B117" s="3502"/>
      <c r="C117" s="3517"/>
      <c r="D117" s="3502"/>
      <c r="E117" s="3294"/>
      <c r="F117" s="2844"/>
      <c r="G117" s="3286"/>
      <c r="H117" s="3286"/>
      <c r="I117" s="3286"/>
      <c r="J117" s="3286"/>
      <c r="K117" s="3286"/>
      <c r="L117" s="3286"/>
      <c r="M117" s="3286"/>
      <c r="N117" s="3286"/>
      <c r="O117" s="3286"/>
      <c r="P117" s="3286"/>
      <c r="Q117" s="3286"/>
      <c r="R117" s="3286"/>
      <c r="S117" s="3286"/>
      <c r="T117" s="3286"/>
      <c r="U117" s="3286"/>
      <c r="V117" s="3286"/>
      <c r="W117" s="3286"/>
      <c r="X117" s="3286"/>
      <c r="Y117" s="3286"/>
      <c r="Z117" s="3286"/>
      <c r="AA117" s="3286"/>
      <c r="AB117" s="3286"/>
      <c r="AC117" s="3286"/>
      <c r="AD117" s="3286"/>
      <c r="AE117" s="3286"/>
      <c r="AF117" s="3286"/>
      <c r="AG117" s="3286"/>
      <c r="AH117" s="3286"/>
      <c r="AI117" s="3286"/>
      <c r="AJ117" s="3286"/>
      <c r="AK117" s="3286"/>
      <c r="AL117" s="3286"/>
      <c r="AM117" s="3286"/>
      <c r="AN117" s="3286"/>
      <c r="AO117" s="3286"/>
      <c r="AP117" s="3286"/>
      <c r="AQ117" s="3286"/>
      <c r="AR117" s="3286"/>
      <c r="AS117" s="3286"/>
      <c r="AT117" s="3286"/>
      <c r="AU117" s="3286"/>
      <c r="AV117" s="3286"/>
      <c r="AW117" s="3286"/>
      <c r="AX117" s="3286"/>
      <c r="AY117" s="3292"/>
      <c r="AZ117" s="3319"/>
    </row>
    <row r="118" spans="2:52" ht="13.5" customHeight="1" thickTop="1" thickBot="1">
      <c r="B118" s="3502"/>
      <c r="C118" s="3517"/>
      <c r="D118" s="3502"/>
      <c r="E118" s="3294"/>
      <c r="F118" s="3286" t="s">
        <v>5409</v>
      </c>
      <c r="G118" s="3286"/>
      <c r="H118" s="3286"/>
      <c r="I118" s="3286"/>
      <c r="J118" s="3286"/>
      <c r="K118" s="3286"/>
      <c r="L118" s="3286"/>
      <c r="M118" s="3286"/>
      <c r="N118" s="3286"/>
      <c r="O118" s="3286"/>
      <c r="P118" s="3286"/>
      <c r="Q118" s="3286"/>
      <c r="R118" s="3286"/>
      <c r="S118" s="3286"/>
      <c r="T118" s="3286"/>
      <c r="U118" s="3286"/>
      <c r="V118" s="3286"/>
      <c r="W118" s="3286"/>
      <c r="X118" s="3286"/>
      <c r="Y118" s="3286"/>
      <c r="Z118" s="3286"/>
      <c r="AA118" s="3499">
        <f>ROUNDDOWN(AC111*AA113/AA116,0)</f>
        <v>0</v>
      </c>
      <c r="AB118" s="3500"/>
      <c r="AC118" s="3500"/>
      <c r="AD118" s="3500"/>
      <c r="AE118" s="3500"/>
      <c r="AF118" s="3501"/>
      <c r="AG118" s="3286" t="s">
        <v>5408</v>
      </c>
      <c r="AH118" s="3287" t="s">
        <v>5407</v>
      </c>
      <c r="AI118" s="3286"/>
      <c r="AJ118" s="3286"/>
      <c r="AK118" s="3286"/>
      <c r="AL118" s="3286"/>
      <c r="AM118" s="3286"/>
      <c r="AN118" s="3286"/>
      <c r="AO118" s="3286"/>
      <c r="AP118" s="3286"/>
      <c r="AQ118" s="3286"/>
      <c r="AR118" s="3286"/>
      <c r="AS118" s="3286"/>
      <c r="AT118" s="3286"/>
      <c r="AU118" s="3286"/>
      <c r="AV118" s="3286"/>
      <c r="AW118" s="3286"/>
      <c r="AX118" s="3286"/>
      <c r="AY118" s="3292"/>
      <c r="AZ118" s="3319" t="s">
        <v>6199</v>
      </c>
    </row>
    <row r="119" spans="2:52" ht="13.5" customHeight="1" thickTop="1" thickBot="1">
      <c r="B119" s="3502"/>
      <c r="C119" s="3517"/>
      <c r="D119" s="3502"/>
      <c r="E119" s="3294"/>
      <c r="F119" s="2844"/>
      <c r="G119" s="3286"/>
      <c r="H119" s="3286"/>
      <c r="I119" s="3286"/>
      <c r="J119" s="3286"/>
      <c r="K119" s="3286"/>
      <c r="L119" s="3286"/>
      <c r="M119" s="3286"/>
      <c r="N119" s="3286"/>
      <c r="O119" s="3286"/>
      <c r="P119" s="3286"/>
      <c r="Q119" s="3286"/>
      <c r="R119" s="3286"/>
      <c r="S119" s="3286"/>
      <c r="T119" s="3286"/>
      <c r="U119" s="3286"/>
      <c r="V119" s="3286"/>
      <c r="W119" s="3286"/>
      <c r="X119" s="3286"/>
      <c r="Y119" s="3286"/>
      <c r="Z119" s="3286"/>
      <c r="AA119" s="3286"/>
      <c r="AB119" s="3286"/>
      <c r="AC119" s="3286"/>
      <c r="AD119" s="3286"/>
      <c r="AE119" s="3286"/>
      <c r="AF119" s="3286"/>
      <c r="AG119" s="3286"/>
      <c r="AH119" s="3286"/>
      <c r="AI119" s="3286"/>
      <c r="AJ119" s="3286"/>
      <c r="AK119" s="3286"/>
      <c r="AL119" s="3286"/>
      <c r="AM119" s="3286"/>
      <c r="AN119" s="3286"/>
      <c r="AO119" s="3286"/>
      <c r="AP119" s="3286"/>
      <c r="AQ119" s="3286"/>
      <c r="AR119" s="3286"/>
      <c r="AS119" s="3286"/>
      <c r="AT119" s="3286"/>
      <c r="AU119" s="3286"/>
      <c r="AV119" s="3286"/>
      <c r="AW119" s="3286"/>
      <c r="AX119" s="3286"/>
      <c r="AY119" s="3292"/>
      <c r="AZ119" s="3319" t="s">
        <v>6200</v>
      </c>
    </row>
    <row r="120" spans="2:52" ht="13.5" customHeight="1" thickTop="1" thickBot="1">
      <c r="B120" s="3502"/>
      <c r="C120" s="3517"/>
      <c r="D120" s="3502"/>
      <c r="E120" s="3294" t="s">
        <v>5405</v>
      </c>
      <c r="F120" s="2844"/>
      <c r="G120" s="3286"/>
      <c r="H120" s="3286"/>
      <c r="I120" s="3286"/>
      <c r="J120" s="3286"/>
      <c r="K120" s="3286"/>
      <c r="L120" s="3286"/>
      <c r="M120" s="3286"/>
      <c r="N120" s="3286"/>
      <c r="O120" s="3286"/>
      <c r="P120" s="3286"/>
      <c r="Q120" s="3286"/>
      <c r="R120" s="3286"/>
      <c r="S120" s="3286"/>
      <c r="T120" s="3286"/>
      <c r="U120" s="3286"/>
      <c r="V120" s="3286"/>
      <c r="W120" s="3286"/>
      <c r="X120" s="3286"/>
      <c r="Y120" s="3286"/>
      <c r="Z120" s="3499">
        <f>Z108+AA118</f>
        <v>7521</v>
      </c>
      <c r="AA120" s="3500"/>
      <c r="AB120" s="3500"/>
      <c r="AC120" s="3500"/>
      <c r="AD120" s="3500"/>
      <c r="AE120" s="3501"/>
      <c r="AF120" s="3286" t="s">
        <v>5404</v>
      </c>
      <c r="AG120" s="3287" t="s">
        <v>5403</v>
      </c>
      <c r="AH120" s="3286"/>
      <c r="AI120" s="3286"/>
      <c r="AJ120" s="3286"/>
      <c r="AK120" s="3286"/>
      <c r="AL120" s="3286"/>
      <c r="AM120" s="3286"/>
      <c r="AN120" s="3286"/>
      <c r="AO120" s="3286"/>
      <c r="AP120" s="3286"/>
      <c r="AQ120" s="3286"/>
      <c r="AR120" s="3286"/>
      <c r="AS120" s="3286"/>
      <c r="AT120" s="3286"/>
      <c r="AU120" s="3286"/>
      <c r="AV120" s="3286"/>
      <c r="AW120" s="3286"/>
      <c r="AX120" s="3286"/>
      <c r="AY120" s="3292"/>
      <c r="AZ120" s="3319" t="s">
        <v>6208</v>
      </c>
    </row>
    <row r="121" spans="2:52" ht="13.5" customHeight="1" thickTop="1" thickBot="1">
      <c r="B121" s="3502"/>
      <c r="C121" s="3517"/>
      <c r="D121" s="3502"/>
      <c r="E121" s="3294"/>
      <c r="F121" s="2844"/>
      <c r="G121" s="3286"/>
      <c r="H121" s="3286"/>
      <c r="I121" s="3286"/>
      <c r="J121" s="3286"/>
      <c r="K121" s="3286"/>
      <c r="L121" s="3286"/>
      <c r="M121" s="3286"/>
      <c r="N121" s="3286"/>
      <c r="O121" s="3286"/>
      <c r="P121" s="3286"/>
      <c r="Q121" s="3286"/>
      <c r="R121" s="3286"/>
      <c r="S121" s="3286"/>
      <c r="T121" s="3286"/>
      <c r="U121" s="3286"/>
      <c r="V121" s="3286"/>
      <c r="W121" s="3286"/>
      <c r="X121" s="3286"/>
      <c r="Y121" s="3286"/>
      <c r="Z121" s="3286"/>
      <c r="AA121" s="3286"/>
      <c r="AB121" s="3286"/>
      <c r="AC121" s="3286"/>
      <c r="AD121" s="3286"/>
      <c r="AE121" s="3286"/>
      <c r="AF121" s="3286"/>
      <c r="AG121" s="3286"/>
      <c r="AH121" s="3286"/>
      <c r="AI121" s="3286"/>
      <c r="AJ121" s="3286"/>
      <c r="AK121" s="3286"/>
      <c r="AL121" s="3286"/>
      <c r="AM121" s="3286"/>
      <c r="AN121" s="3286"/>
      <c r="AO121" s="3286"/>
      <c r="AP121" s="3286"/>
      <c r="AQ121" s="3286"/>
      <c r="AR121" s="3286"/>
      <c r="AS121" s="3286"/>
      <c r="AT121" s="3286"/>
      <c r="AU121" s="3286"/>
      <c r="AV121" s="3286"/>
      <c r="AW121" s="3286"/>
      <c r="AX121" s="3286"/>
      <c r="AY121" s="3292"/>
      <c r="AZ121" s="3320" t="s">
        <v>6202</v>
      </c>
    </row>
    <row r="122" spans="2:52" ht="13.5" customHeight="1" thickTop="1" thickBot="1">
      <c r="B122" s="3502"/>
      <c r="C122" s="3517"/>
      <c r="D122" s="3502"/>
      <c r="E122" s="3294" t="s">
        <v>5400</v>
      </c>
      <c r="F122" s="2844"/>
      <c r="G122" s="3286"/>
      <c r="H122" s="3286"/>
      <c r="I122" s="3286"/>
      <c r="J122" s="3286"/>
      <c r="K122" s="3286"/>
      <c r="L122" s="3286"/>
      <c r="M122" s="3286"/>
      <c r="N122" s="3286"/>
      <c r="O122" s="3286"/>
      <c r="P122" s="3286"/>
      <c r="Q122" s="3286"/>
      <c r="R122" s="3286"/>
      <c r="S122" s="3286"/>
      <c r="T122" s="3286"/>
      <c r="U122" s="3286"/>
      <c r="V122" s="3286"/>
      <c r="W122" s="3286"/>
      <c r="X122" s="3286"/>
      <c r="Y122" s="3286"/>
      <c r="Z122" s="3499">
        <f>Z98-Z120</f>
        <v>23434</v>
      </c>
      <c r="AA122" s="3500"/>
      <c r="AB122" s="3500"/>
      <c r="AC122" s="3500"/>
      <c r="AD122" s="3500"/>
      <c r="AE122" s="3501"/>
      <c r="AF122" s="3286" t="s">
        <v>5399</v>
      </c>
      <c r="AG122" s="3287" t="s">
        <v>5398</v>
      </c>
      <c r="AH122" s="3286"/>
      <c r="AI122" s="3286"/>
      <c r="AJ122" s="3286"/>
      <c r="AK122" s="3286"/>
      <c r="AL122" s="3286"/>
      <c r="AM122" s="3286"/>
      <c r="AN122" s="3286"/>
      <c r="AO122" s="3286"/>
      <c r="AP122" s="3286"/>
      <c r="AQ122" s="3286"/>
      <c r="AR122" s="3286"/>
      <c r="AS122" s="3286"/>
      <c r="AT122" s="3286"/>
      <c r="AU122" s="3286"/>
      <c r="AV122" s="3286"/>
      <c r="AW122" s="3286"/>
      <c r="AX122" s="3286"/>
      <c r="AY122" s="3292"/>
      <c r="AZ122" s="3041" t="s">
        <v>6204</v>
      </c>
    </row>
    <row r="123" spans="2:52" ht="13.5" customHeight="1" thickTop="1">
      <c r="B123" s="3502"/>
      <c r="C123" s="3518"/>
      <c r="D123" s="3513"/>
      <c r="E123" s="3297"/>
      <c r="F123" s="2839"/>
      <c r="G123" s="3298"/>
      <c r="H123" s="3298"/>
      <c r="I123" s="3298"/>
      <c r="J123" s="3298"/>
      <c r="K123" s="3298"/>
      <c r="L123" s="3298"/>
      <c r="M123" s="3298"/>
      <c r="N123" s="3298"/>
      <c r="O123" s="3298"/>
      <c r="P123" s="3298"/>
      <c r="Q123" s="3298"/>
      <c r="R123" s="3298"/>
      <c r="S123" s="3298"/>
      <c r="T123" s="3298"/>
      <c r="U123" s="3298"/>
      <c r="V123" s="3298"/>
      <c r="W123" s="3298"/>
      <c r="X123" s="3298"/>
      <c r="Y123" s="3298"/>
      <c r="Z123" s="3298"/>
      <c r="AA123" s="3298"/>
      <c r="AB123" s="3298"/>
      <c r="AC123" s="3298"/>
      <c r="AD123" s="3298"/>
      <c r="AE123" s="3298"/>
      <c r="AF123" s="3298"/>
      <c r="AG123" s="3298"/>
      <c r="AH123" s="3298"/>
      <c r="AI123" s="3298"/>
      <c r="AJ123" s="3298"/>
      <c r="AK123" s="3298"/>
      <c r="AL123" s="3298"/>
      <c r="AM123" s="3298"/>
      <c r="AN123" s="3298"/>
      <c r="AO123" s="3298"/>
      <c r="AP123" s="3298"/>
      <c r="AQ123" s="3298"/>
      <c r="AR123" s="3298"/>
      <c r="AS123" s="3298"/>
      <c r="AT123" s="3298"/>
      <c r="AU123" s="3298"/>
      <c r="AV123" s="3298"/>
      <c r="AW123" s="3298"/>
      <c r="AX123" s="3298"/>
      <c r="AY123" s="3293"/>
      <c r="AZ123" s="3047" t="s">
        <v>6205</v>
      </c>
    </row>
    <row r="124" spans="2:52" ht="13.5" customHeight="1">
      <c r="B124" s="3502"/>
      <c r="C124" s="3290"/>
      <c r="D124" s="3288"/>
      <c r="E124" s="3295"/>
      <c r="F124" s="2849"/>
      <c r="G124" s="3296"/>
      <c r="H124" s="3296"/>
      <c r="I124" s="3296"/>
      <c r="J124" s="3296"/>
      <c r="K124" s="3296"/>
      <c r="L124" s="3296"/>
      <c r="M124" s="3296"/>
      <c r="N124" s="3296"/>
      <c r="O124" s="3296"/>
      <c r="P124" s="3296"/>
      <c r="Q124" s="3296"/>
      <c r="R124" s="3296"/>
      <c r="S124" s="3296"/>
      <c r="T124" s="3296"/>
      <c r="U124" s="3296"/>
      <c r="V124" s="3296"/>
      <c r="W124" s="3296"/>
      <c r="X124" s="3296"/>
      <c r="Y124" s="3296"/>
      <c r="Z124" s="3296"/>
      <c r="AA124" s="3296"/>
      <c r="AB124" s="3296"/>
      <c r="AC124" s="3296"/>
      <c r="AD124" s="3296"/>
      <c r="AE124" s="3296"/>
      <c r="AF124" s="3296"/>
      <c r="AG124" s="3296"/>
      <c r="AH124" s="3296"/>
      <c r="AI124" s="3296"/>
      <c r="AJ124" s="3296"/>
      <c r="AK124" s="3296"/>
      <c r="AL124" s="3296"/>
      <c r="AM124" s="3296"/>
      <c r="AN124" s="3296"/>
      <c r="AO124" s="3296"/>
      <c r="AP124" s="3296"/>
      <c r="AQ124" s="3296"/>
      <c r="AR124" s="3296"/>
      <c r="AS124" s="3296"/>
      <c r="AT124" s="3296"/>
      <c r="AU124" s="3296"/>
      <c r="AV124" s="3296"/>
      <c r="AW124" s="3296"/>
      <c r="AX124" s="3296"/>
      <c r="AY124" s="3291"/>
      <c r="AZ124" s="3290"/>
    </row>
    <row r="125" spans="2:52" ht="13.5" customHeight="1">
      <c r="B125" s="3502"/>
      <c r="C125" s="3283"/>
      <c r="D125" s="3284"/>
      <c r="E125" s="3294"/>
      <c r="F125" s="2844"/>
      <c r="G125" s="3286"/>
      <c r="H125" s="3286"/>
      <c r="I125" s="3286"/>
      <c r="J125" s="3286"/>
      <c r="K125" s="3286"/>
      <c r="L125" s="3286"/>
      <c r="M125" s="3286"/>
      <c r="N125" s="3286"/>
      <c r="O125" s="3286"/>
      <c r="P125" s="3286"/>
      <c r="Q125" s="3286"/>
      <c r="R125" s="3286"/>
      <c r="S125" s="3286"/>
      <c r="T125" s="3286"/>
      <c r="U125" s="3286"/>
      <c r="V125" s="3286"/>
      <c r="W125" s="3286"/>
      <c r="X125" s="3286"/>
      <c r="Y125" s="3286"/>
      <c r="Z125" s="3286"/>
      <c r="AA125" s="3286"/>
      <c r="AB125" s="3286"/>
      <c r="AC125" s="3286"/>
      <c r="AD125" s="3286"/>
      <c r="AE125" s="3286"/>
      <c r="AF125" s="3286"/>
      <c r="AG125" s="3286"/>
      <c r="AH125" s="3286"/>
      <c r="AI125" s="3286"/>
      <c r="AJ125" s="3286"/>
      <c r="AK125" s="3286"/>
      <c r="AL125" s="3286"/>
      <c r="AM125" s="3286"/>
      <c r="AN125" s="3286"/>
      <c r="AO125" s="3286"/>
      <c r="AP125" s="3286"/>
      <c r="AQ125" s="3286"/>
      <c r="AR125" s="3286"/>
      <c r="AS125" s="3286"/>
      <c r="AT125" s="3286"/>
      <c r="AU125" s="3286"/>
      <c r="AV125" s="3286"/>
      <c r="AW125" s="3286"/>
      <c r="AX125" s="3286"/>
      <c r="AY125" s="3292"/>
      <c r="AZ125" s="3283"/>
    </row>
    <row r="126" spans="2:52" ht="13.5" customHeight="1">
      <c r="B126" s="3502"/>
      <c r="C126" s="3283"/>
      <c r="D126" s="3284"/>
      <c r="E126" s="3294"/>
      <c r="F126" s="2844"/>
      <c r="G126" s="3286"/>
      <c r="H126" s="3286"/>
      <c r="I126" s="3286"/>
      <c r="J126" s="3286"/>
      <c r="K126" s="3286"/>
      <c r="L126" s="3286"/>
      <c r="M126" s="3286"/>
      <c r="N126" s="3286"/>
      <c r="O126" s="3286"/>
      <c r="P126" s="3286"/>
      <c r="Q126" s="3286"/>
      <c r="R126" s="3286"/>
      <c r="S126" s="3286"/>
      <c r="T126" s="3286"/>
      <c r="U126" s="3286"/>
      <c r="V126" s="3286"/>
      <c r="W126" s="3286"/>
      <c r="X126" s="3286"/>
      <c r="Y126" s="3286"/>
      <c r="Z126" s="3286"/>
      <c r="AA126" s="3286"/>
      <c r="AB126" s="3286"/>
      <c r="AC126" s="3286"/>
      <c r="AD126" s="3286"/>
      <c r="AE126" s="3286"/>
      <c r="AF126" s="3286"/>
      <c r="AG126" s="3286"/>
      <c r="AH126" s="3286"/>
      <c r="AI126" s="3286"/>
      <c r="AJ126" s="3286"/>
      <c r="AK126" s="3286"/>
      <c r="AL126" s="3286"/>
      <c r="AM126" s="3286"/>
      <c r="AN126" s="3286"/>
      <c r="AO126" s="3286"/>
      <c r="AP126" s="3286"/>
      <c r="AQ126" s="3286"/>
      <c r="AR126" s="3286"/>
      <c r="AS126" s="3286"/>
      <c r="AT126" s="3286"/>
      <c r="AU126" s="3286"/>
      <c r="AV126" s="3286"/>
      <c r="AW126" s="3286"/>
      <c r="AX126" s="3286"/>
      <c r="AY126" s="3292"/>
      <c r="AZ126" s="3283"/>
    </row>
    <row r="127" spans="2:52" ht="13.5" customHeight="1">
      <c r="B127" s="3502"/>
      <c r="C127" s="3283"/>
      <c r="D127" s="3284"/>
      <c r="E127" s="3294"/>
      <c r="F127" s="2844"/>
      <c r="G127" s="3286"/>
      <c r="H127" s="3286"/>
      <c r="I127" s="3286"/>
      <c r="J127" s="3286"/>
      <c r="K127" s="3286"/>
      <c r="L127" s="3286"/>
      <c r="M127" s="3286"/>
      <c r="N127" s="3286"/>
      <c r="O127" s="3286"/>
      <c r="P127" s="3286"/>
      <c r="Q127" s="3286"/>
      <c r="R127" s="3286"/>
      <c r="S127" s="3286"/>
      <c r="T127" s="3286"/>
      <c r="U127" s="3286"/>
      <c r="V127" s="3286"/>
      <c r="W127" s="3286"/>
      <c r="X127" s="3286"/>
      <c r="Y127" s="3286"/>
      <c r="Z127" s="3286"/>
      <c r="AA127" s="3286"/>
      <c r="AB127" s="3286"/>
      <c r="AC127" s="3286"/>
      <c r="AD127" s="3286"/>
      <c r="AE127" s="3286"/>
      <c r="AF127" s="3286"/>
      <c r="AG127" s="3286"/>
      <c r="AH127" s="3286"/>
      <c r="AI127" s="3286"/>
      <c r="AJ127" s="3286"/>
      <c r="AK127" s="3286"/>
      <c r="AL127" s="3286"/>
      <c r="AM127" s="3286"/>
      <c r="AN127" s="3286"/>
      <c r="AO127" s="3286"/>
      <c r="AP127" s="3286"/>
      <c r="AQ127" s="3286"/>
      <c r="AR127" s="3286"/>
      <c r="AS127" s="3286"/>
      <c r="AT127" s="3286"/>
      <c r="AU127" s="3286"/>
      <c r="AV127" s="3286"/>
      <c r="AW127" s="3286"/>
      <c r="AX127" s="3286"/>
      <c r="AY127" s="3292"/>
      <c r="AZ127" s="3283"/>
    </row>
    <row r="128" spans="2:52" ht="13.5" customHeight="1">
      <c r="B128" s="3502"/>
      <c r="C128" s="3283"/>
      <c r="D128" s="3284"/>
      <c r="E128" s="3294"/>
      <c r="F128" s="2844"/>
      <c r="G128" s="3286"/>
      <c r="H128" s="3286"/>
      <c r="I128" s="3286"/>
      <c r="J128" s="3286"/>
      <c r="K128" s="3286"/>
      <c r="L128" s="3286"/>
      <c r="M128" s="3286"/>
      <c r="N128" s="3286"/>
      <c r="O128" s="3286"/>
      <c r="P128" s="3286"/>
      <c r="Q128" s="3286"/>
      <c r="R128" s="3286"/>
      <c r="S128" s="3286"/>
      <c r="T128" s="3286"/>
      <c r="U128" s="3286"/>
      <c r="V128" s="3286"/>
      <c r="W128" s="3286"/>
      <c r="X128" s="3286"/>
      <c r="Y128" s="3286"/>
      <c r="Z128" s="3286"/>
      <c r="AA128" s="3286"/>
      <c r="AB128" s="3286"/>
      <c r="AC128" s="3286"/>
      <c r="AD128" s="3286"/>
      <c r="AE128" s="3286"/>
      <c r="AF128" s="3286"/>
      <c r="AG128" s="3286"/>
      <c r="AH128" s="3286"/>
      <c r="AI128" s="3286"/>
      <c r="AJ128" s="3286"/>
      <c r="AK128" s="3286"/>
      <c r="AL128" s="3286"/>
      <c r="AM128" s="3286"/>
      <c r="AN128" s="3286"/>
      <c r="AO128" s="3286"/>
      <c r="AP128" s="3286"/>
      <c r="AQ128" s="3286"/>
      <c r="AR128" s="3286"/>
      <c r="AS128" s="3286"/>
      <c r="AT128" s="3286"/>
      <c r="AU128" s="3286"/>
      <c r="AV128" s="3286"/>
      <c r="AW128" s="3286"/>
      <c r="AX128" s="3286"/>
      <c r="AY128" s="3292"/>
      <c r="AZ128" s="3283"/>
    </row>
    <row r="129" spans="2:52" ht="13.5" customHeight="1">
      <c r="B129" s="3502"/>
      <c r="C129" s="3283"/>
      <c r="D129" s="3284"/>
      <c r="E129" s="3294"/>
      <c r="F129" s="2844"/>
      <c r="G129" s="3286"/>
      <c r="H129" s="3286"/>
      <c r="I129" s="3286"/>
      <c r="J129" s="3286"/>
      <c r="K129" s="3286"/>
      <c r="L129" s="3286"/>
      <c r="M129" s="3286"/>
      <c r="N129" s="3286"/>
      <c r="O129" s="3286"/>
      <c r="P129" s="3286"/>
      <c r="Q129" s="3286"/>
      <c r="R129" s="3286"/>
      <c r="S129" s="3286"/>
      <c r="T129" s="3286"/>
      <c r="U129" s="3286"/>
      <c r="V129" s="3286"/>
      <c r="W129" s="3286"/>
      <c r="X129" s="3286"/>
      <c r="Y129" s="3286"/>
      <c r="Z129" s="3286"/>
      <c r="AA129" s="3286"/>
      <c r="AB129" s="3286"/>
      <c r="AC129" s="3286"/>
      <c r="AD129" s="3286"/>
      <c r="AE129" s="3286"/>
      <c r="AF129" s="3286"/>
      <c r="AG129" s="3286"/>
      <c r="AH129" s="3286"/>
      <c r="AI129" s="3286"/>
      <c r="AJ129" s="3286"/>
      <c r="AK129" s="3286"/>
      <c r="AL129" s="3286"/>
      <c r="AM129" s="3286"/>
      <c r="AN129" s="3286"/>
      <c r="AO129" s="3286"/>
      <c r="AP129" s="3286"/>
      <c r="AQ129" s="3286"/>
      <c r="AR129" s="3286"/>
      <c r="AS129" s="3286"/>
      <c r="AT129" s="3286"/>
      <c r="AU129" s="3286"/>
      <c r="AV129" s="3286"/>
      <c r="AW129" s="3286"/>
      <c r="AX129" s="3286"/>
      <c r="AY129" s="3292"/>
      <c r="AZ129" s="3283"/>
    </row>
    <row r="130" spans="2:52" ht="13.5" customHeight="1">
      <c r="B130" s="3513"/>
      <c r="C130" s="3285"/>
      <c r="D130" s="3289"/>
      <c r="E130" s="3297"/>
      <c r="F130" s="2839"/>
      <c r="G130" s="3298"/>
      <c r="H130" s="3298"/>
      <c r="I130" s="3298"/>
      <c r="J130" s="3298"/>
      <c r="K130" s="3298"/>
      <c r="L130" s="3298"/>
      <c r="M130" s="3298"/>
      <c r="N130" s="3298"/>
      <c r="O130" s="3298"/>
      <c r="P130" s="3298"/>
      <c r="Q130" s="3298"/>
      <c r="R130" s="3298"/>
      <c r="S130" s="3298"/>
      <c r="T130" s="3298"/>
      <c r="U130" s="3298"/>
      <c r="V130" s="3298"/>
      <c r="W130" s="3298"/>
      <c r="X130" s="3298"/>
      <c r="Y130" s="3298"/>
      <c r="Z130" s="3298"/>
      <c r="AA130" s="3298"/>
      <c r="AB130" s="3298"/>
      <c r="AC130" s="3298"/>
      <c r="AD130" s="3298"/>
      <c r="AE130" s="3298"/>
      <c r="AF130" s="3298"/>
      <c r="AG130" s="3298"/>
      <c r="AH130" s="3298"/>
      <c r="AI130" s="3298"/>
      <c r="AJ130" s="3298"/>
      <c r="AK130" s="3298"/>
      <c r="AL130" s="3298"/>
      <c r="AM130" s="3298"/>
      <c r="AN130" s="3298"/>
      <c r="AO130" s="3298"/>
      <c r="AP130" s="3298"/>
      <c r="AQ130" s="3298"/>
      <c r="AR130" s="3298"/>
      <c r="AS130" s="3298"/>
      <c r="AT130" s="3298"/>
      <c r="AU130" s="3298"/>
      <c r="AV130" s="3298"/>
      <c r="AW130" s="3298"/>
      <c r="AX130" s="3298"/>
      <c r="AY130" s="3293"/>
      <c r="AZ130" s="3285"/>
    </row>
    <row r="131" spans="2:52" ht="13.5" customHeight="1">
      <c r="B131" s="3512" t="s">
        <v>5397</v>
      </c>
      <c r="C131" s="3514">
        <v>1</v>
      </c>
      <c r="D131" s="3514" t="s">
        <v>5396</v>
      </c>
      <c r="E131" s="3295"/>
      <c r="F131" s="2849"/>
      <c r="G131" s="3296"/>
      <c r="H131" s="3296"/>
      <c r="I131" s="3296"/>
      <c r="J131" s="3296"/>
      <c r="K131" s="3296"/>
      <c r="L131" s="3296"/>
      <c r="M131" s="3296"/>
      <c r="N131" s="3296"/>
      <c r="O131" s="3296"/>
      <c r="P131" s="3296"/>
      <c r="Q131" s="3296"/>
      <c r="R131" s="3296"/>
      <c r="S131" s="3296"/>
      <c r="T131" s="2852"/>
      <c r="U131" s="2852"/>
      <c r="V131" s="2852"/>
      <c r="W131" s="2852"/>
      <c r="X131" s="2852"/>
      <c r="Y131" s="2852"/>
      <c r="Z131" s="3296"/>
      <c r="AA131" s="3296"/>
      <c r="AB131" s="3296"/>
      <c r="AC131" s="3296"/>
      <c r="AD131" s="3296"/>
      <c r="AE131" s="3296"/>
      <c r="AF131" s="3296"/>
      <c r="AG131" s="3296"/>
      <c r="AH131" s="3296"/>
      <c r="AI131" s="3296"/>
      <c r="AJ131" s="3296"/>
      <c r="AK131" s="3296"/>
      <c r="AL131" s="3296"/>
      <c r="AM131" s="3296"/>
      <c r="AN131" s="3296"/>
      <c r="AO131" s="3296"/>
      <c r="AP131" s="3296"/>
      <c r="AQ131" s="3296"/>
      <c r="AR131" s="3296"/>
      <c r="AS131" s="3296"/>
      <c r="AT131" s="3296"/>
      <c r="AU131" s="3296"/>
      <c r="AV131" s="3296"/>
      <c r="AW131" s="3296"/>
      <c r="AX131" s="3296"/>
      <c r="AY131" s="3291"/>
      <c r="AZ131" s="3290"/>
    </row>
    <row r="132" spans="2:52" ht="13.5" customHeight="1">
      <c r="B132" s="3502"/>
      <c r="C132" s="3498"/>
      <c r="D132" s="3498"/>
      <c r="E132" s="3294" t="s">
        <v>5375</v>
      </c>
      <c r="F132" s="2844"/>
      <c r="G132" s="3286"/>
      <c r="H132" s="3286"/>
      <c r="I132" s="3286"/>
      <c r="J132" s="3286" t="s">
        <v>5395</v>
      </c>
      <c r="K132" s="3286"/>
      <c r="L132" s="3286"/>
      <c r="M132" s="3286"/>
      <c r="N132" s="3286"/>
      <c r="O132" s="3286"/>
      <c r="P132" s="3286"/>
      <c r="Q132" s="3286"/>
      <c r="R132" s="3286"/>
      <c r="S132" s="3286"/>
      <c r="T132" s="3497">
        <f>IF(0&gt;Z122,0,Z122)</f>
        <v>23434</v>
      </c>
      <c r="U132" s="3497"/>
      <c r="V132" s="3497"/>
      <c r="W132" s="3497"/>
      <c r="X132" s="3497"/>
      <c r="Y132" s="3497"/>
      <c r="Z132" s="3286"/>
      <c r="AA132" s="3287" t="s">
        <v>5394</v>
      </c>
      <c r="AB132" s="3286"/>
      <c r="AC132" s="3286"/>
      <c r="AD132" s="3286"/>
      <c r="AE132" s="3286"/>
      <c r="AF132" s="3286"/>
      <c r="AG132" s="3286"/>
      <c r="AH132" s="3286"/>
      <c r="AI132" s="3286"/>
      <c r="AJ132" s="3286"/>
      <c r="AK132" s="3286"/>
      <c r="AL132" s="3286"/>
      <c r="AM132" s="3286"/>
      <c r="AN132" s="3286"/>
      <c r="AO132" s="3286"/>
      <c r="AP132" s="3286"/>
      <c r="AQ132" s="3286"/>
      <c r="AR132" s="3286"/>
      <c r="AS132" s="3286"/>
      <c r="AT132" s="3286"/>
      <c r="AU132" s="3286"/>
      <c r="AV132" s="3286"/>
      <c r="AW132" s="3286"/>
      <c r="AX132" s="3286"/>
      <c r="AY132" s="3292"/>
      <c r="AZ132" s="3283" t="s">
        <v>6230</v>
      </c>
    </row>
    <row r="133" spans="2:52" ht="13.5" customHeight="1" thickBot="1">
      <c r="B133" s="3502"/>
      <c r="C133" s="3498"/>
      <c r="D133" s="3498"/>
      <c r="E133" s="3294"/>
      <c r="F133" s="2844"/>
      <c r="G133" s="3286"/>
      <c r="H133" s="3286"/>
      <c r="I133" s="3286"/>
      <c r="J133" s="3286"/>
      <c r="K133" s="3286"/>
      <c r="L133" s="3286"/>
      <c r="M133" s="3286"/>
      <c r="N133" s="3286"/>
      <c r="O133" s="3286"/>
      <c r="P133" s="3286"/>
      <c r="Q133" s="3286"/>
      <c r="R133" s="3286"/>
      <c r="S133" s="3286"/>
      <c r="T133" s="3286"/>
      <c r="U133" s="3286"/>
      <c r="V133" s="3286"/>
      <c r="W133" s="3286"/>
      <c r="X133" s="3286"/>
      <c r="Y133" s="3286"/>
      <c r="Z133" s="3286"/>
      <c r="AA133" s="3286"/>
      <c r="AB133" s="3286"/>
      <c r="AC133" s="3286"/>
      <c r="AD133" s="3286"/>
      <c r="AE133" s="3286"/>
      <c r="AF133" s="3286"/>
      <c r="AG133" s="3286"/>
      <c r="AH133" s="3286"/>
      <c r="AI133" s="3286"/>
      <c r="AJ133" s="3286"/>
      <c r="AK133" s="3286"/>
      <c r="AL133" s="3286"/>
      <c r="AM133" s="3286"/>
      <c r="AN133" s="3286"/>
      <c r="AO133" s="3286"/>
      <c r="AP133" s="3286"/>
      <c r="AQ133" s="3286"/>
      <c r="AR133" s="3286"/>
      <c r="AS133" s="3286"/>
      <c r="AT133" s="3286"/>
      <c r="AU133" s="3286"/>
      <c r="AV133" s="3286"/>
      <c r="AW133" s="3286"/>
      <c r="AX133" s="3286"/>
      <c r="AY133" s="3292"/>
      <c r="AZ133" s="3283">
        <v>0</v>
      </c>
    </row>
    <row r="134" spans="2:52" ht="13.5" customHeight="1" thickTop="1" thickBot="1">
      <c r="B134" s="3502"/>
      <c r="C134" s="3498"/>
      <c r="D134" s="3498"/>
      <c r="E134" s="3294"/>
      <c r="F134" s="2844"/>
      <c r="G134" s="3286"/>
      <c r="H134" s="3286"/>
      <c r="I134" s="3286"/>
      <c r="J134" s="3286" t="s">
        <v>5393</v>
      </c>
      <c r="K134" s="3286"/>
      <c r="L134" s="3286"/>
      <c r="M134" s="3286"/>
      <c r="N134" s="3286"/>
      <c r="O134" s="3286"/>
      <c r="P134" s="3286"/>
      <c r="Q134" s="3286"/>
      <c r="R134" s="3286"/>
      <c r="S134" s="3286"/>
      <c r="T134" s="3499">
        <f>ROUNDDOWN(R25*62.4/1080,0)</f>
        <v>0</v>
      </c>
      <c r="U134" s="3500"/>
      <c r="V134" s="3500"/>
      <c r="W134" s="3500"/>
      <c r="X134" s="3500"/>
      <c r="Y134" s="3501"/>
      <c r="Z134" s="3286" t="s">
        <v>5392</v>
      </c>
      <c r="AA134" s="3315" t="s">
        <v>6161</v>
      </c>
      <c r="AB134" s="3286"/>
      <c r="AC134" s="3286"/>
      <c r="AD134" s="3286"/>
      <c r="AE134" s="3286"/>
      <c r="AF134" s="3286"/>
      <c r="AG134" s="3286"/>
      <c r="AH134" s="3286"/>
      <c r="AI134" s="3286"/>
      <c r="AJ134" s="3286"/>
      <c r="AK134" s="3286"/>
      <c r="AL134" s="3286"/>
      <c r="AM134" s="3286"/>
      <c r="AN134" s="3286"/>
      <c r="AO134" s="3286"/>
      <c r="AP134" s="3286"/>
      <c r="AQ134" s="3286"/>
      <c r="AR134" s="3286"/>
      <c r="AS134" s="3286"/>
      <c r="AT134" s="3286"/>
      <c r="AU134" s="3286"/>
      <c r="AV134" s="3286"/>
      <c r="AW134" s="3286"/>
      <c r="AX134" s="3286"/>
      <c r="AY134" s="3292"/>
      <c r="AZ134" s="3283" t="s">
        <v>5390</v>
      </c>
    </row>
    <row r="135" spans="2:52" ht="13.5" customHeight="1" thickTop="1">
      <c r="B135" s="3502"/>
      <c r="C135" s="3498"/>
      <c r="D135" s="3498"/>
      <c r="E135" s="3294"/>
      <c r="F135" s="2844"/>
      <c r="G135" s="3286"/>
      <c r="H135" s="3286"/>
      <c r="I135" s="3286"/>
      <c r="J135" s="3286"/>
      <c r="K135" s="3286"/>
      <c r="L135" s="3286"/>
      <c r="M135" s="3286"/>
      <c r="N135" s="3286"/>
      <c r="O135" s="3286"/>
      <c r="P135" s="3286"/>
      <c r="Q135" s="3286"/>
      <c r="R135" s="3286"/>
      <c r="S135" s="3286"/>
      <c r="T135" s="3286"/>
      <c r="U135" s="3286"/>
      <c r="V135" s="3286"/>
      <c r="W135" s="3286"/>
      <c r="X135" s="3286"/>
      <c r="Y135" s="3286"/>
      <c r="Z135" s="3286"/>
      <c r="AA135" s="3314"/>
      <c r="AB135" s="3286"/>
      <c r="AC135" s="3286"/>
      <c r="AD135" s="3286"/>
      <c r="AE135" s="3286"/>
      <c r="AF135" s="3286"/>
      <c r="AG135" s="3286"/>
      <c r="AH135" s="3286"/>
      <c r="AI135" s="3286"/>
      <c r="AJ135" s="3286"/>
      <c r="AK135" s="3286"/>
      <c r="AL135" s="3286"/>
      <c r="AM135" s="3286"/>
      <c r="AN135" s="3286"/>
      <c r="AO135" s="3286"/>
      <c r="AP135" s="3286"/>
      <c r="AQ135" s="3286"/>
      <c r="AR135" s="3286"/>
      <c r="AS135" s="3286"/>
      <c r="AT135" s="3286"/>
      <c r="AU135" s="3286"/>
      <c r="AV135" s="3286"/>
      <c r="AW135" s="3286"/>
      <c r="AX135" s="3286"/>
      <c r="AY135" s="3292"/>
      <c r="AZ135" s="3283"/>
    </row>
    <row r="136" spans="2:52" ht="13.5" customHeight="1" thickBot="1">
      <c r="B136" s="3502"/>
      <c r="C136" s="3498"/>
      <c r="D136" s="3498"/>
      <c r="E136" s="3294"/>
      <c r="F136" s="2844"/>
      <c r="G136" s="3286"/>
      <c r="H136" s="3286"/>
      <c r="I136" s="3286"/>
      <c r="J136" s="3286" t="s">
        <v>5389</v>
      </c>
      <c r="K136" s="3286"/>
      <c r="L136" s="3286"/>
      <c r="M136" s="3286"/>
      <c r="N136" s="3286"/>
      <c r="O136" s="3286"/>
      <c r="P136" s="3286"/>
      <c r="Q136" s="3286"/>
      <c r="R136" s="3286"/>
      <c r="S136" s="3286"/>
      <c r="T136" s="3519">
        <f>基礎数値!G17</f>
        <v>0</v>
      </c>
      <c r="U136" s="3519"/>
      <c r="V136" s="3519"/>
      <c r="W136" s="3519"/>
      <c r="X136" s="3519"/>
      <c r="Y136" s="3519"/>
      <c r="Z136" s="3286" t="s">
        <v>5388</v>
      </c>
      <c r="AA136" s="3315" t="s">
        <v>5387</v>
      </c>
      <c r="AB136" s="3286"/>
      <c r="AC136" s="3286"/>
      <c r="AD136" s="3286"/>
      <c r="AE136" s="3286"/>
      <c r="AF136" s="3286"/>
      <c r="AG136" s="3286"/>
      <c r="AH136" s="3286"/>
      <c r="AI136" s="3286"/>
      <c r="AJ136" s="3286"/>
      <c r="AK136" s="3286"/>
      <c r="AL136" s="3286"/>
      <c r="AM136" s="3286"/>
      <c r="AN136" s="3286"/>
      <c r="AO136" s="3286"/>
      <c r="AP136" s="3286"/>
      <c r="AQ136" s="3286"/>
      <c r="AR136" s="3286"/>
      <c r="AS136" s="3286"/>
      <c r="AT136" s="3286"/>
      <c r="AU136" s="3286"/>
      <c r="AV136" s="3286"/>
      <c r="AW136" s="3286"/>
      <c r="AX136" s="3286"/>
      <c r="AY136" s="3292"/>
      <c r="AZ136" s="3283"/>
    </row>
    <row r="137" spans="2:52" ht="13.5" customHeight="1" thickTop="1" thickBot="1">
      <c r="B137" s="3502"/>
      <c r="C137" s="3498"/>
      <c r="D137" s="3498"/>
      <c r="E137" s="3294"/>
      <c r="F137" s="2844"/>
      <c r="G137" s="3286"/>
      <c r="H137" s="3286"/>
      <c r="I137" s="3286"/>
      <c r="J137" s="3286" t="s">
        <v>5386</v>
      </c>
      <c r="K137" s="3286"/>
      <c r="L137" s="3286"/>
      <c r="M137" s="3286"/>
      <c r="N137" s="3286"/>
      <c r="O137" s="3286"/>
      <c r="P137" s="3286"/>
      <c r="Q137" s="3286"/>
      <c r="R137" s="3286"/>
      <c r="S137" s="3286"/>
      <c r="T137" s="3499">
        <f>ROUNDDOWN(T136*62.4/1080,0)</f>
        <v>0</v>
      </c>
      <c r="U137" s="3500"/>
      <c r="V137" s="3500"/>
      <c r="W137" s="3500"/>
      <c r="X137" s="3500"/>
      <c r="Y137" s="3501"/>
      <c r="Z137" s="3286" t="s">
        <v>5385</v>
      </c>
      <c r="AA137" s="3315" t="s">
        <v>6162</v>
      </c>
      <c r="AB137" s="3286"/>
      <c r="AC137" s="3286"/>
      <c r="AD137" s="3286"/>
      <c r="AE137" s="3286"/>
      <c r="AF137" s="3286"/>
      <c r="AG137" s="3286"/>
      <c r="AH137" s="3286"/>
      <c r="AI137" s="3286"/>
      <c r="AJ137" s="3286"/>
      <c r="AK137" s="3286"/>
      <c r="AL137" s="3286"/>
      <c r="AM137" s="3286"/>
      <c r="AN137" s="3286"/>
      <c r="AO137" s="3286"/>
      <c r="AP137" s="3286"/>
      <c r="AQ137" s="3286"/>
      <c r="AR137" s="3286"/>
      <c r="AS137" s="3286"/>
      <c r="AT137" s="3286"/>
      <c r="AU137" s="3286"/>
      <c r="AV137" s="3286"/>
      <c r="AW137" s="3286"/>
      <c r="AX137" s="3286"/>
      <c r="AY137" s="3292"/>
      <c r="AZ137" s="3283" t="s">
        <v>5383</v>
      </c>
    </row>
    <row r="138" spans="2:52" ht="13.5" customHeight="1" thickTop="1" thickBot="1">
      <c r="B138" s="3502"/>
      <c r="C138" s="3498"/>
      <c r="D138" s="3498"/>
      <c r="E138" s="3294"/>
      <c r="F138" s="2844"/>
      <c r="G138" s="3286"/>
      <c r="H138" s="3286"/>
      <c r="I138" s="3286"/>
      <c r="J138" s="3286"/>
      <c r="K138" s="3286"/>
      <c r="L138" s="3286"/>
      <c r="M138" s="3286"/>
      <c r="N138" s="3286"/>
      <c r="O138" s="3286"/>
      <c r="P138" s="3286"/>
      <c r="Q138" s="3286"/>
      <c r="R138" s="3286"/>
      <c r="S138" s="3286"/>
      <c r="T138" s="3286"/>
      <c r="U138" s="3286"/>
      <c r="V138" s="3286"/>
      <c r="W138" s="3286"/>
      <c r="X138" s="3286"/>
      <c r="Y138" s="3286"/>
      <c r="Z138" s="3286"/>
      <c r="AA138" s="3286"/>
      <c r="AB138" s="3286"/>
      <c r="AC138" s="3286"/>
      <c r="AD138" s="3286"/>
      <c r="AE138" s="3286"/>
      <c r="AF138" s="3286"/>
      <c r="AG138" s="3286"/>
      <c r="AH138" s="3286"/>
      <c r="AI138" s="3286"/>
      <c r="AJ138" s="3286"/>
      <c r="AK138" s="3286"/>
      <c r="AL138" s="3286"/>
      <c r="AM138" s="3286"/>
      <c r="AN138" s="3286"/>
      <c r="AO138" s="3286"/>
      <c r="AP138" s="3286"/>
      <c r="AQ138" s="3286"/>
      <c r="AR138" s="3286"/>
      <c r="AS138" s="3286"/>
      <c r="AT138" s="3286"/>
      <c r="AU138" s="3286"/>
      <c r="AV138" s="3286"/>
      <c r="AW138" s="3286"/>
      <c r="AX138" s="3286"/>
      <c r="AY138" s="3292"/>
      <c r="AZ138" s="3283"/>
    </row>
    <row r="139" spans="2:52" ht="13.5" customHeight="1" thickTop="1" thickBot="1">
      <c r="B139" s="3502"/>
      <c r="C139" s="3498"/>
      <c r="D139" s="3498"/>
      <c r="E139" s="3294"/>
      <c r="F139" s="2844"/>
      <c r="G139" s="3286"/>
      <c r="H139" s="3286"/>
      <c r="I139" s="3286"/>
      <c r="J139" s="3286" t="s">
        <v>5382</v>
      </c>
      <c r="K139" s="3286"/>
      <c r="L139" s="3286"/>
      <c r="M139" s="3286"/>
      <c r="N139" s="3286"/>
      <c r="O139" s="3286"/>
      <c r="P139" s="3286"/>
      <c r="Q139" s="3286"/>
      <c r="R139" s="3286"/>
      <c r="S139" s="3286"/>
      <c r="T139" s="3499">
        <f>T132+T134+T137</f>
        <v>23434</v>
      </c>
      <c r="U139" s="3500"/>
      <c r="V139" s="3500"/>
      <c r="W139" s="3500"/>
      <c r="X139" s="3500"/>
      <c r="Y139" s="3501"/>
      <c r="Z139" s="3286" t="s">
        <v>5539</v>
      </c>
      <c r="AB139" s="3287" t="s">
        <v>5380</v>
      </c>
      <c r="AC139" s="3286"/>
      <c r="AD139" s="3286"/>
      <c r="AE139" s="3286"/>
      <c r="AF139" s="3286"/>
      <c r="AG139" s="3286"/>
      <c r="AH139" s="3286"/>
      <c r="AI139" s="3286"/>
      <c r="AJ139" s="3286"/>
      <c r="AK139" s="3286"/>
      <c r="AL139" s="3286"/>
      <c r="AM139" s="3286"/>
      <c r="AN139" s="3286"/>
      <c r="AO139" s="3286"/>
      <c r="AP139" s="3286"/>
      <c r="AQ139" s="3286"/>
      <c r="AR139" s="3286"/>
      <c r="AS139" s="3286"/>
      <c r="AT139" s="3286"/>
      <c r="AU139" s="3286"/>
      <c r="AV139" s="3286"/>
      <c r="AW139" s="3286"/>
      <c r="AX139" s="3286"/>
      <c r="AY139" s="3292"/>
      <c r="AZ139" s="3283" t="s">
        <v>5379</v>
      </c>
    </row>
    <row r="140" spans="2:52" ht="13.5" customHeight="1" thickTop="1">
      <c r="B140" s="3502"/>
      <c r="C140" s="3503"/>
      <c r="D140" s="3503"/>
      <c r="E140" s="3297"/>
      <c r="F140" s="2839"/>
      <c r="G140" s="3298"/>
      <c r="H140" s="3298"/>
      <c r="I140" s="3298"/>
      <c r="J140" s="3298"/>
      <c r="K140" s="3298"/>
      <c r="L140" s="3298"/>
      <c r="M140" s="3298"/>
      <c r="N140" s="3298"/>
      <c r="O140" s="3298"/>
      <c r="P140" s="3298"/>
      <c r="Q140" s="3298"/>
      <c r="R140" s="3298"/>
      <c r="S140" s="3298"/>
      <c r="T140" s="3298"/>
      <c r="U140" s="3298"/>
      <c r="V140" s="3298"/>
      <c r="W140" s="3298"/>
      <c r="X140" s="3298"/>
      <c r="Y140" s="3298"/>
      <c r="Z140" s="3298"/>
      <c r="AA140" s="3298"/>
      <c r="AB140" s="3298"/>
      <c r="AC140" s="3298"/>
      <c r="AD140" s="3298"/>
      <c r="AE140" s="3298"/>
      <c r="AF140" s="3298"/>
      <c r="AG140" s="3298"/>
      <c r="AH140" s="3298"/>
      <c r="AI140" s="3298"/>
      <c r="AJ140" s="3298"/>
      <c r="AK140" s="3298"/>
      <c r="AL140" s="3298"/>
      <c r="AM140" s="3298"/>
      <c r="AN140" s="3298"/>
      <c r="AO140" s="3298"/>
      <c r="AP140" s="3298"/>
      <c r="AQ140" s="3298"/>
      <c r="AR140" s="3298"/>
      <c r="AS140" s="3298"/>
      <c r="AT140" s="3298"/>
      <c r="AU140" s="3298"/>
      <c r="AV140" s="3298"/>
      <c r="AW140" s="3298"/>
      <c r="AX140" s="3298"/>
      <c r="AY140" s="3293"/>
      <c r="AZ140" s="3285"/>
    </row>
    <row r="141" spans="2:52" ht="13.5" customHeight="1">
      <c r="B141" s="3502"/>
      <c r="C141" s="3514">
        <v>2</v>
      </c>
      <c r="D141" s="3512" t="s">
        <v>5378</v>
      </c>
      <c r="E141" s="3295"/>
      <c r="F141" s="2849"/>
      <c r="G141" s="3296"/>
      <c r="H141" s="3296"/>
      <c r="I141" s="3296"/>
      <c r="J141" s="3296"/>
      <c r="K141" s="3296"/>
      <c r="L141" s="3296"/>
      <c r="M141" s="3296"/>
      <c r="N141" s="3296"/>
      <c r="O141" s="3296"/>
      <c r="P141" s="3296"/>
      <c r="Q141" s="3296"/>
      <c r="R141" s="3296"/>
      <c r="S141" s="3296"/>
      <c r="T141" s="3296"/>
      <c r="U141" s="3296"/>
      <c r="V141" s="3296"/>
      <c r="W141" s="3296"/>
      <c r="X141" s="3296"/>
      <c r="Y141" s="3296"/>
      <c r="Z141" s="3296"/>
      <c r="AA141" s="3296"/>
      <c r="AB141" s="3296"/>
      <c r="AC141" s="3296"/>
      <c r="AD141" s="3296"/>
      <c r="AE141" s="3296"/>
      <c r="AF141" s="3296"/>
      <c r="AG141" s="3296"/>
      <c r="AH141" s="3296"/>
      <c r="AI141" s="3296"/>
      <c r="AJ141" s="3296"/>
      <c r="AK141" s="3296"/>
      <c r="AL141" s="3296"/>
      <c r="AM141" s="3296"/>
      <c r="AN141" s="3296"/>
      <c r="AO141" s="3296"/>
      <c r="AP141" s="3296"/>
      <c r="AQ141" s="3296"/>
      <c r="AR141" s="3296"/>
      <c r="AS141" s="3296"/>
      <c r="AT141" s="3296"/>
      <c r="AU141" s="3296"/>
      <c r="AV141" s="3296"/>
      <c r="AW141" s="3296"/>
      <c r="AX141" s="3296"/>
      <c r="AY141" s="3291"/>
      <c r="AZ141" s="3290"/>
    </row>
    <row r="142" spans="2:52" ht="13.5" customHeight="1">
      <c r="B142" s="3502"/>
      <c r="C142" s="3498"/>
      <c r="D142" s="3502"/>
      <c r="E142" s="3294" t="s">
        <v>5377</v>
      </c>
      <c r="F142" s="2844"/>
      <c r="G142" s="3286"/>
      <c r="H142" s="3286"/>
      <c r="I142" s="3286"/>
      <c r="J142" s="3286"/>
      <c r="K142" s="3286"/>
      <c r="L142" s="3286"/>
      <c r="M142" s="3286"/>
      <c r="N142" s="3286"/>
      <c r="O142" s="3286"/>
      <c r="P142" s="3286"/>
      <c r="Q142" s="3286"/>
      <c r="R142" s="3286"/>
      <c r="S142" s="3286"/>
      <c r="T142" s="3497">
        <f>R31</f>
        <v>0</v>
      </c>
      <c r="U142" s="3497"/>
      <c r="V142" s="3497"/>
      <c r="W142" s="3497"/>
      <c r="X142" s="3497"/>
      <c r="Y142" s="3497"/>
      <c r="Z142" s="3286"/>
      <c r="AA142" s="3286"/>
      <c r="AB142" s="3287" t="s">
        <v>5376</v>
      </c>
      <c r="AC142" s="3286"/>
      <c r="AD142" s="3286"/>
      <c r="AE142" s="3286"/>
      <c r="AF142" s="3286"/>
      <c r="AG142" s="3286"/>
      <c r="AH142" s="3286"/>
      <c r="AI142" s="3286"/>
      <c r="AJ142" s="3286"/>
      <c r="AK142" s="3286"/>
      <c r="AL142" s="3286"/>
      <c r="AM142" s="3286"/>
      <c r="AN142" s="3286"/>
      <c r="AO142" s="3286"/>
      <c r="AP142" s="3286"/>
      <c r="AQ142" s="3286"/>
      <c r="AR142" s="3286"/>
      <c r="AS142" s="3286"/>
      <c r="AT142" s="3286"/>
      <c r="AU142" s="3286"/>
      <c r="AV142" s="3286"/>
      <c r="AW142" s="3286"/>
      <c r="AX142" s="3286"/>
      <c r="AY142" s="3292"/>
      <c r="AZ142" s="3283"/>
    </row>
    <row r="143" spans="2:52" ht="13.5" customHeight="1" thickBot="1">
      <c r="B143" s="3502"/>
      <c r="C143" s="3498"/>
      <c r="D143" s="3502"/>
      <c r="E143" s="3294" t="s">
        <v>5375</v>
      </c>
      <c r="F143" s="2844"/>
      <c r="G143" s="3286"/>
      <c r="H143" s="3286"/>
      <c r="I143" s="3286"/>
      <c r="J143" s="3286"/>
      <c r="K143" s="3286"/>
      <c r="L143" s="3286"/>
      <c r="M143" s="3286"/>
      <c r="N143" s="3286"/>
      <c r="O143" s="3286"/>
      <c r="P143" s="3286"/>
      <c r="Q143" s="3286"/>
      <c r="R143" s="3286"/>
      <c r="S143" s="3286"/>
      <c r="T143" s="3497">
        <f>T139</f>
        <v>23434</v>
      </c>
      <c r="U143" s="3497"/>
      <c r="V143" s="3497"/>
      <c r="W143" s="3497"/>
      <c r="X143" s="3497"/>
      <c r="Y143" s="3497"/>
      <c r="Z143" s="3286"/>
      <c r="AA143" s="3286"/>
      <c r="AB143" s="3287" t="s">
        <v>5374</v>
      </c>
      <c r="AC143" s="3286"/>
      <c r="AD143" s="3286"/>
      <c r="AE143" s="3286"/>
      <c r="AF143" s="3286"/>
      <c r="AG143" s="3286"/>
      <c r="AH143" s="3286"/>
      <c r="AI143" s="3286"/>
      <c r="AJ143" s="3286"/>
      <c r="AK143" s="3286"/>
      <c r="AL143" s="3286"/>
      <c r="AM143" s="3286"/>
      <c r="AN143" s="3286"/>
      <c r="AO143" s="3286"/>
      <c r="AP143" s="3286"/>
      <c r="AQ143" s="3286"/>
      <c r="AR143" s="3286"/>
      <c r="AS143" s="3286"/>
      <c r="AT143" s="3286"/>
      <c r="AU143" s="3286"/>
      <c r="AV143" s="3286"/>
      <c r="AW143" s="3286"/>
      <c r="AX143" s="3286"/>
      <c r="AY143" s="3292"/>
      <c r="AZ143" s="3283"/>
    </row>
    <row r="144" spans="2:52" ht="13.5" customHeight="1" thickTop="1" thickBot="1">
      <c r="B144" s="3502"/>
      <c r="C144" s="3498"/>
      <c r="D144" s="3502"/>
      <c r="E144" s="3294" t="s">
        <v>5373</v>
      </c>
      <c r="F144" s="2844"/>
      <c r="G144" s="3286"/>
      <c r="H144" s="3286"/>
      <c r="I144" s="3286"/>
      <c r="J144" s="3286"/>
      <c r="K144" s="3286"/>
      <c r="L144" s="3286"/>
      <c r="M144" s="3286"/>
      <c r="N144" s="3286"/>
      <c r="O144" s="3286"/>
      <c r="P144" s="3286"/>
      <c r="Q144" s="3286"/>
      <c r="R144" s="3286"/>
      <c r="S144" s="3286"/>
      <c r="T144" s="3499">
        <f>T142-T143</f>
        <v>-23434</v>
      </c>
      <c r="U144" s="3500"/>
      <c r="V144" s="3500"/>
      <c r="W144" s="3500"/>
      <c r="X144" s="3500"/>
      <c r="Y144" s="3501"/>
      <c r="Z144" s="3286" t="s">
        <v>5372</v>
      </c>
      <c r="AA144" s="3286"/>
      <c r="AB144" s="3287" t="s">
        <v>6232</v>
      </c>
      <c r="AC144" s="3286"/>
      <c r="AD144" s="3286"/>
      <c r="AE144" s="3286"/>
      <c r="AF144" s="3286"/>
      <c r="AG144" s="3286"/>
      <c r="AH144" s="3286"/>
      <c r="AI144" s="3286"/>
      <c r="AJ144" s="3286"/>
      <c r="AK144" s="3286"/>
      <c r="AL144" s="3286"/>
      <c r="AM144" s="3286"/>
      <c r="AN144" s="3286"/>
      <c r="AO144" s="3286"/>
      <c r="AP144" s="3286"/>
      <c r="AQ144" s="3286"/>
      <c r="AR144" s="3286"/>
      <c r="AS144" s="3286"/>
      <c r="AT144" s="3286"/>
      <c r="AU144" s="3286"/>
      <c r="AV144" s="3286"/>
      <c r="AW144" s="3286"/>
      <c r="AX144" s="3286"/>
      <c r="AY144" s="3292"/>
      <c r="AZ144" s="3319" t="s">
        <v>6217</v>
      </c>
    </row>
    <row r="145" spans="2:52" ht="13.5" customHeight="1" thickTop="1">
      <c r="B145" s="3502"/>
      <c r="C145" s="3498"/>
      <c r="D145" s="3502"/>
      <c r="E145" s="3294"/>
      <c r="F145" s="2844"/>
      <c r="G145" s="3286"/>
      <c r="H145" s="3286"/>
      <c r="I145" s="3286"/>
      <c r="J145" s="3286"/>
      <c r="K145" s="3286"/>
      <c r="L145" s="3286"/>
      <c r="M145" s="3286"/>
      <c r="N145" s="3286"/>
      <c r="O145" s="3286"/>
      <c r="P145" s="3286"/>
      <c r="Q145" s="3286"/>
      <c r="R145" s="3286"/>
      <c r="S145" s="3286"/>
      <c r="T145" s="3286"/>
      <c r="U145" s="3286"/>
      <c r="V145" s="3286"/>
      <c r="W145" s="3286"/>
      <c r="X145" s="3286"/>
      <c r="Y145" s="3286"/>
      <c r="Z145" s="3286"/>
      <c r="AA145" s="3286"/>
      <c r="AB145" s="3286"/>
      <c r="AC145" s="3286"/>
      <c r="AD145" s="3286"/>
      <c r="AE145" s="3286"/>
      <c r="AF145" s="3286"/>
      <c r="AG145" s="3286"/>
      <c r="AH145" s="3286"/>
      <c r="AI145" s="3286"/>
      <c r="AJ145" s="3286"/>
      <c r="AK145" s="3286"/>
      <c r="AL145" s="3286"/>
      <c r="AM145" s="3286"/>
      <c r="AN145" s="3286"/>
      <c r="AO145" s="3286"/>
      <c r="AP145" s="3286"/>
      <c r="AQ145" s="3286"/>
      <c r="AR145" s="3286"/>
      <c r="AS145" s="3286"/>
      <c r="AT145" s="3286"/>
      <c r="AU145" s="3286"/>
      <c r="AV145" s="3286"/>
      <c r="AW145" s="3286"/>
      <c r="AX145" s="3286"/>
      <c r="AY145" s="3292"/>
      <c r="AZ145" s="3283"/>
    </row>
    <row r="146" spans="2:52" ht="13.5" customHeight="1">
      <c r="B146" s="3502"/>
      <c r="C146" s="3498"/>
      <c r="D146" s="3502"/>
      <c r="E146" s="3294"/>
      <c r="F146" s="2844"/>
      <c r="G146" s="3286"/>
      <c r="H146" s="3286"/>
      <c r="I146" s="3286"/>
      <c r="J146" s="3286"/>
      <c r="K146" s="3286"/>
      <c r="L146" s="3286"/>
      <c r="M146" s="3286"/>
      <c r="N146" s="3286"/>
      <c r="O146" s="3286"/>
      <c r="P146" s="3286"/>
      <c r="Q146" s="3286"/>
      <c r="R146" s="3286"/>
      <c r="S146" s="3286"/>
      <c r="T146" s="3286"/>
      <c r="U146" s="3286"/>
      <c r="V146" s="3286"/>
      <c r="W146" s="3286"/>
      <c r="X146" s="3286"/>
      <c r="Y146" s="3286"/>
      <c r="Z146" s="3286"/>
      <c r="AA146" s="3286"/>
      <c r="AB146" s="3286"/>
      <c r="AC146" s="3286"/>
      <c r="AD146" s="3286"/>
      <c r="AE146" s="3286"/>
      <c r="AF146" s="3286"/>
      <c r="AG146" s="3286"/>
      <c r="AH146" s="3286"/>
      <c r="AI146" s="3286"/>
      <c r="AJ146" s="3286"/>
      <c r="AK146" s="3286"/>
      <c r="AL146" s="3286"/>
      <c r="AM146" s="3286"/>
      <c r="AN146" s="3286"/>
      <c r="AO146" s="3286"/>
      <c r="AP146" s="3286"/>
      <c r="AQ146" s="3286"/>
      <c r="AR146" s="3286"/>
      <c r="AS146" s="3286"/>
      <c r="AT146" s="3286"/>
      <c r="AU146" s="3286"/>
      <c r="AV146" s="3286"/>
      <c r="AW146" s="3286"/>
      <c r="AX146" s="3286"/>
      <c r="AY146" s="3292"/>
      <c r="AZ146" s="3283"/>
    </row>
    <row r="147" spans="2:52" ht="13.5" customHeight="1">
      <c r="B147" s="3502"/>
      <c r="C147" s="3498"/>
      <c r="D147" s="3502"/>
      <c r="E147" s="3294"/>
      <c r="F147" s="2844"/>
      <c r="G147" s="3286"/>
      <c r="H147" s="3286"/>
      <c r="I147" s="3286"/>
      <c r="J147" s="3286"/>
      <c r="K147" s="3286"/>
      <c r="L147" s="3286"/>
      <c r="M147" s="3286"/>
      <c r="N147" s="3286"/>
      <c r="O147" s="3286"/>
      <c r="P147" s="3286"/>
      <c r="Q147" s="3286"/>
      <c r="R147" s="3286"/>
      <c r="S147" s="3286"/>
      <c r="T147" s="3286"/>
      <c r="U147" s="3286"/>
      <c r="V147" s="3286"/>
      <c r="W147" s="3286"/>
      <c r="X147" s="3286"/>
      <c r="Y147" s="3286"/>
      <c r="Z147" s="3286"/>
      <c r="AA147" s="3286"/>
      <c r="AB147" s="3286"/>
      <c r="AC147" s="3286"/>
      <c r="AD147" s="3286"/>
      <c r="AE147" s="3286"/>
      <c r="AF147" s="3286"/>
      <c r="AG147" s="3286"/>
      <c r="AH147" s="3286"/>
      <c r="AI147" s="3286"/>
      <c r="AJ147" s="3286"/>
      <c r="AK147" s="3286"/>
      <c r="AL147" s="3286"/>
      <c r="AM147" s="3286"/>
      <c r="AN147" s="3286"/>
      <c r="AO147" s="3286"/>
      <c r="AP147" s="3286"/>
      <c r="AQ147" s="3286"/>
      <c r="AR147" s="3286"/>
      <c r="AS147" s="3286"/>
      <c r="AT147" s="3286"/>
      <c r="AU147" s="3286"/>
      <c r="AV147" s="3286"/>
      <c r="AW147" s="3286"/>
      <c r="AX147" s="3286"/>
      <c r="AY147" s="3292"/>
      <c r="AZ147" s="3283"/>
    </row>
    <row r="148" spans="2:52" ht="13.5" customHeight="1">
      <c r="B148" s="3502"/>
      <c r="C148" s="3498"/>
      <c r="D148" s="3502"/>
      <c r="E148" s="3294"/>
      <c r="F148" s="2844"/>
      <c r="G148" s="3286"/>
      <c r="H148" s="3286"/>
      <c r="I148" s="3286"/>
      <c r="J148" s="3286"/>
      <c r="K148" s="3286"/>
      <c r="L148" s="3286"/>
      <c r="M148" s="3286"/>
      <c r="N148" s="3286"/>
      <c r="O148" s="3286"/>
      <c r="P148" s="3286"/>
      <c r="Q148" s="3286"/>
      <c r="R148" s="3286"/>
      <c r="S148" s="3286"/>
      <c r="T148" s="3286"/>
      <c r="U148" s="3286"/>
      <c r="V148" s="3286"/>
      <c r="W148" s="3286"/>
      <c r="X148" s="3286"/>
      <c r="Y148" s="3286"/>
      <c r="Z148" s="3286"/>
      <c r="AA148" s="3286"/>
      <c r="AB148" s="3286"/>
      <c r="AC148" s="3286"/>
      <c r="AD148" s="3286"/>
      <c r="AE148" s="3286"/>
      <c r="AF148" s="3286"/>
      <c r="AG148" s="3286"/>
      <c r="AH148" s="3287"/>
      <c r="AI148" s="3286"/>
      <c r="AJ148" s="3286"/>
      <c r="AK148" s="3286"/>
      <c r="AL148" s="3286"/>
      <c r="AM148" s="3286"/>
      <c r="AN148" s="3286"/>
      <c r="AO148" s="3286"/>
      <c r="AP148" s="3286"/>
      <c r="AQ148" s="3286"/>
      <c r="AR148" s="3286"/>
      <c r="AS148" s="3286"/>
      <c r="AT148" s="3286"/>
      <c r="AU148" s="3286"/>
      <c r="AV148" s="3286"/>
      <c r="AW148" s="3286"/>
      <c r="AX148" s="3286"/>
      <c r="AY148" s="3292"/>
      <c r="AZ148" s="3283"/>
    </row>
    <row r="149" spans="2:52" ht="13.5" customHeight="1">
      <c r="B149" s="3502"/>
      <c r="C149" s="3503"/>
      <c r="D149" s="3513"/>
      <c r="E149" s="3297"/>
      <c r="F149" s="2839"/>
      <c r="G149" s="3298"/>
      <c r="H149" s="3298"/>
      <c r="I149" s="3298"/>
      <c r="J149" s="3298"/>
      <c r="K149" s="3298"/>
      <c r="L149" s="3298"/>
      <c r="M149" s="3298"/>
      <c r="N149" s="3298"/>
      <c r="O149" s="3298"/>
      <c r="P149" s="3298"/>
      <c r="Q149" s="3298"/>
      <c r="R149" s="3298"/>
      <c r="S149" s="3298"/>
      <c r="T149" s="3298"/>
      <c r="U149" s="3298"/>
      <c r="V149" s="3298"/>
      <c r="W149" s="3298"/>
      <c r="X149" s="3298"/>
      <c r="Y149" s="3298"/>
      <c r="Z149" s="3298"/>
      <c r="AA149" s="3298"/>
      <c r="AB149" s="3298"/>
      <c r="AC149" s="3298"/>
      <c r="AD149" s="3298"/>
      <c r="AE149" s="3298"/>
      <c r="AF149" s="3298"/>
      <c r="AG149" s="3298"/>
      <c r="AH149" s="3298"/>
      <c r="AI149" s="3298"/>
      <c r="AJ149" s="3298"/>
      <c r="AK149" s="3298"/>
      <c r="AL149" s="3298"/>
      <c r="AM149" s="3298"/>
      <c r="AN149" s="3298"/>
      <c r="AO149" s="3298"/>
      <c r="AP149" s="3298"/>
      <c r="AQ149" s="3298"/>
      <c r="AR149" s="3298"/>
      <c r="AS149" s="3298"/>
      <c r="AT149" s="3298"/>
      <c r="AU149" s="3298"/>
      <c r="AV149" s="3298"/>
      <c r="AW149" s="3298"/>
      <c r="AX149" s="3298"/>
      <c r="AY149" s="3293"/>
      <c r="AZ149" s="3285"/>
    </row>
    <row r="150" spans="2:52" ht="13.5" customHeight="1" thickBot="1">
      <c r="B150" s="3502"/>
      <c r="C150" s="3514">
        <v>3</v>
      </c>
      <c r="D150" s="3512" t="s">
        <v>5369</v>
      </c>
      <c r="E150" s="3295"/>
      <c r="F150" s="2849"/>
      <c r="G150" s="3296"/>
      <c r="H150" s="3296"/>
      <c r="I150" s="3296"/>
      <c r="J150" s="3296"/>
      <c r="K150" s="3296"/>
      <c r="L150" s="3296"/>
      <c r="M150" s="3296"/>
      <c r="N150" s="3296"/>
      <c r="O150" s="3296"/>
      <c r="P150" s="3296"/>
      <c r="Q150" s="3296"/>
      <c r="R150" s="3296"/>
      <c r="S150" s="3296"/>
      <c r="T150" s="3296"/>
      <c r="U150" s="3296"/>
      <c r="V150" s="3296"/>
      <c r="W150" s="3296"/>
      <c r="X150" s="3296"/>
      <c r="Y150" s="3296"/>
      <c r="Z150" s="3296"/>
      <c r="AA150" s="3296"/>
      <c r="AB150" s="3296"/>
      <c r="AC150" s="3296"/>
      <c r="AD150" s="3296"/>
      <c r="AE150" s="3296"/>
      <c r="AF150" s="3296"/>
      <c r="AG150" s="3296"/>
      <c r="AH150" s="3296"/>
      <c r="AI150" s="3296"/>
      <c r="AJ150" s="3296"/>
      <c r="AK150" s="3296"/>
      <c r="AL150" s="3296"/>
      <c r="AM150" s="3296"/>
      <c r="AN150" s="3296"/>
      <c r="AO150" s="3296"/>
      <c r="AP150" s="3296"/>
      <c r="AQ150" s="3296"/>
      <c r="AR150" s="3296"/>
      <c r="AS150" s="3296"/>
      <c r="AT150" s="3296"/>
      <c r="AU150" s="3296"/>
      <c r="AV150" s="3296"/>
      <c r="AW150" s="3296"/>
      <c r="AX150" s="3296"/>
      <c r="AY150" s="3291"/>
      <c r="AZ150" s="3290"/>
    </row>
    <row r="151" spans="2:52" ht="13.5" customHeight="1" thickTop="1" thickBot="1">
      <c r="B151" s="3502"/>
      <c r="C151" s="3498"/>
      <c r="D151" s="3502"/>
      <c r="E151" s="3294" t="s">
        <v>5368</v>
      </c>
      <c r="F151" s="2844"/>
      <c r="G151" s="3286"/>
      <c r="H151" s="3286"/>
      <c r="I151" s="3286"/>
      <c r="J151" s="3286"/>
      <c r="K151" s="3286"/>
      <c r="L151" s="3286"/>
      <c r="M151" s="3286"/>
      <c r="N151" s="3286"/>
      <c r="O151" s="3286"/>
      <c r="P151" s="3286"/>
      <c r="Q151" s="3286"/>
      <c r="R151" s="3286"/>
      <c r="S151" s="3286"/>
      <c r="T151" s="3499">
        <f>T144</f>
        <v>-23434</v>
      </c>
      <c r="U151" s="3500"/>
      <c r="V151" s="3500"/>
      <c r="W151" s="3500"/>
      <c r="X151" s="3500"/>
      <c r="Y151" s="3501"/>
      <c r="Z151" s="3286"/>
      <c r="AA151" s="3286"/>
      <c r="AB151" s="3287" t="s">
        <v>5367</v>
      </c>
      <c r="AC151" s="3286"/>
      <c r="AD151" s="3286"/>
      <c r="AE151" s="3286"/>
      <c r="AF151" s="3286"/>
      <c r="AG151" s="3286"/>
      <c r="AH151" s="3286"/>
      <c r="AI151" s="3286"/>
      <c r="AJ151" s="3286"/>
      <c r="AK151" s="3286"/>
      <c r="AL151" s="3286"/>
      <c r="AM151" s="3286"/>
      <c r="AN151" s="3286"/>
      <c r="AO151" s="3286"/>
      <c r="AP151" s="3286"/>
      <c r="AQ151" s="3286"/>
      <c r="AR151" s="3286"/>
      <c r="AS151" s="3286"/>
      <c r="AT151" s="3286"/>
      <c r="AU151" s="3286"/>
      <c r="AV151" s="3286"/>
      <c r="AW151" s="3286"/>
      <c r="AX151" s="3286"/>
      <c r="AY151" s="3292"/>
      <c r="AZ151" s="3283"/>
    </row>
    <row r="152" spans="2:52" ht="13.5" customHeight="1" thickTop="1" thickBot="1">
      <c r="B152" s="3502"/>
      <c r="C152" s="3498"/>
      <c r="D152" s="3502"/>
      <c r="E152" s="3294" t="s">
        <v>5366</v>
      </c>
      <c r="F152" s="2844"/>
      <c r="G152" s="3286"/>
      <c r="H152" s="3286"/>
      <c r="I152" s="3286"/>
      <c r="J152" s="3286"/>
      <c r="K152" s="3286"/>
      <c r="L152" s="3286"/>
      <c r="M152" s="3286"/>
      <c r="N152" s="3286"/>
      <c r="O152" s="3286"/>
      <c r="P152" s="3286"/>
      <c r="Q152" s="3286"/>
      <c r="R152" s="3286"/>
      <c r="S152" s="3286"/>
      <c r="T152" s="3499">
        <f>ROUNDDOWN(T151*22/78,0)</f>
        <v>-6609</v>
      </c>
      <c r="U152" s="3500"/>
      <c r="V152" s="3500"/>
      <c r="W152" s="3500"/>
      <c r="X152" s="3500"/>
      <c r="Y152" s="3501"/>
      <c r="Z152" s="3286" t="s">
        <v>5365</v>
      </c>
      <c r="AA152" s="3286"/>
      <c r="AB152" s="3315" t="s">
        <v>6233</v>
      </c>
      <c r="AC152" s="3286"/>
      <c r="AD152" s="3286"/>
      <c r="AE152" s="3286"/>
      <c r="AF152" s="3286"/>
      <c r="AG152" s="3286"/>
      <c r="AH152" s="3286"/>
      <c r="AI152" s="3286"/>
      <c r="AJ152" s="3286"/>
      <c r="AK152" s="3286"/>
      <c r="AL152" s="3286"/>
      <c r="AM152" s="3286"/>
      <c r="AN152" s="3286"/>
      <c r="AO152" s="3286"/>
      <c r="AP152" s="3286"/>
      <c r="AQ152" s="3286"/>
      <c r="AR152" s="3286"/>
      <c r="AS152" s="3286"/>
      <c r="AT152" s="3286"/>
      <c r="AU152" s="3286"/>
      <c r="AV152" s="3286"/>
      <c r="AW152" s="3286"/>
      <c r="AX152" s="3286"/>
      <c r="AY152" s="3292"/>
      <c r="AZ152" s="3319" t="s">
        <v>6219</v>
      </c>
    </row>
    <row r="153" spans="2:52" ht="13.5" customHeight="1" thickTop="1">
      <c r="B153" s="3502"/>
      <c r="C153" s="3498"/>
      <c r="D153" s="3502"/>
      <c r="E153" s="3294"/>
      <c r="F153" s="2844"/>
      <c r="G153" s="3286"/>
      <c r="H153" s="3286"/>
      <c r="I153" s="3286"/>
      <c r="J153" s="3286"/>
      <c r="K153" s="3286"/>
      <c r="L153" s="3286"/>
      <c r="M153" s="3286"/>
      <c r="N153" s="3286"/>
      <c r="O153" s="3286"/>
      <c r="P153" s="3286"/>
      <c r="Q153" s="3286"/>
      <c r="R153" s="3286"/>
      <c r="S153" s="3286"/>
      <c r="T153" s="3286"/>
      <c r="U153" s="3286"/>
      <c r="V153" s="3286"/>
      <c r="W153" s="3286"/>
      <c r="X153" s="3286"/>
      <c r="Y153" s="3286"/>
      <c r="Z153" s="3286"/>
      <c r="AA153" s="3286"/>
      <c r="AB153" s="3286"/>
      <c r="AC153" s="3286"/>
      <c r="AD153" s="3286"/>
      <c r="AE153" s="3286"/>
      <c r="AF153" s="3286"/>
      <c r="AG153" s="3286"/>
      <c r="AH153" s="3286"/>
      <c r="AI153" s="3286"/>
      <c r="AJ153" s="3286"/>
      <c r="AK153" s="3286"/>
      <c r="AL153" s="3286"/>
      <c r="AM153" s="3286"/>
      <c r="AN153" s="3286"/>
      <c r="AO153" s="3286"/>
      <c r="AP153" s="3286"/>
      <c r="AQ153" s="3286"/>
      <c r="AR153" s="3286"/>
      <c r="AS153" s="3286"/>
      <c r="AT153" s="3286"/>
      <c r="AU153" s="3286"/>
      <c r="AV153" s="3286"/>
      <c r="AW153" s="3286"/>
      <c r="AX153" s="3286"/>
      <c r="AY153" s="3292"/>
      <c r="AZ153" s="3283"/>
    </row>
    <row r="154" spans="2:52" ht="13.5" customHeight="1">
      <c r="B154" s="3502"/>
      <c r="C154" s="3498"/>
      <c r="D154" s="3502"/>
      <c r="E154" s="3294"/>
      <c r="F154" s="2844"/>
      <c r="G154" s="3286"/>
      <c r="H154" s="3286"/>
      <c r="I154" s="3286"/>
      <c r="J154" s="3286"/>
      <c r="K154" s="3286"/>
      <c r="L154" s="3286"/>
      <c r="M154" s="3286"/>
      <c r="N154" s="3286"/>
      <c r="O154" s="3286"/>
      <c r="P154" s="3286"/>
      <c r="Q154" s="3286"/>
      <c r="R154" s="3286"/>
      <c r="S154" s="3286"/>
      <c r="T154" s="3286"/>
      <c r="U154" s="3286"/>
      <c r="V154" s="3286"/>
      <c r="W154" s="3286"/>
      <c r="X154" s="3286"/>
      <c r="Y154" s="3286"/>
      <c r="Z154" s="3286"/>
      <c r="AA154" s="3286"/>
      <c r="AB154" s="3286"/>
      <c r="AC154" s="3286"/>
      <c r="AD154" s="3286"/>
      <c r="AE154" s="3286"/>
      <c r="AF154" s="3286"/>
      <c r="AG154" s="3286"/>
      <c r="AH154" s="3286"/>
      <c r="AI154" s="3286"/>
      <c r="AJ154" s="3286"/>
      <c r="AK154" s="3286"/>
      <c r="AL154" s="3286"/>
      <c r="AM154" s="3286"/>
      <c r="AN154" s="3286"/>
      <c r="AO154" s="3286"/>
      <c r="AP154" s="3286"/>
      <c r="AQ154" s="3286"/>
      <c r="AR154" s="3286"/>
      <c r="AS154" s="3286"/>
      <c r="AT154" s="3286"/>
      <c r="AU154" s="3286"/>
      <c r="AV154" s="3286"/>
      <c r="AW154" s="3286"/>
      <c r="AX154" s="3286"/>
      <c r="AY154" s="3292"/>
      <c r="AZ154" s="3283"/>
    </row>
    <row r="155" spans="2:52" ht="13.5" customHeight="1">
      <c r="B155" s="3502"/>
      <c r="C155" s="3498"/>
      <c r="D155" s="3502"/>
      <c r="E155" s="3294"/>
      <c r="F155" s="2844"/>
      <c r="G155" s="3286"/>
      <c r="H155" s="3286"/>
      <c r="I155" s="3286"/>
      <c r="J155" s="3286"/>
      <c r="K155" s="3286"/>
      <c r="L155" s="3286"/>
      <c r="M155" s="3286"/>
      <c r="N155" s="3286"/>
      <c r="O155" s="3286"/>
      <c r="P155" s="3286"/>
      <c r="Q155" s="3286"/>
      <c r="R155" s="3286"/>
      <c r="S155" s="3286"/>
      <c r="T155" s="3286"/>
      <c r="U155" s="3286"/>
      <c r="V155" s="3286"/>
      <c r="W155" s="3286"/>
      <c r="X155" s="3286"/>
      <c r="Y155" s="3286"/>
      <c r="Z155" s="3286"/>
      <c r="AA155" s="3286"/>
      <c r="AB155" s="3286"/>
      <c r="AC155" s="3286"/>
      <c r="AD155" s="3286"/>
      <c r="AE155" s="3286"/>
      <c r="AF155" s="3286"/>
      <c r="AG155" s="3286"/>
      <c r="AH155" s="3286"/>
      <c r="AI155" s="3286"/>
      <c r="AJ155" s="3286"/>
      <c r="AK155" s="3286"/>
      <c r="AL155" s="3286"/>
      <c r="AM155" s="3286"/>
      <c r="AN155" s="3286"/>
      <c r="AO155" s="3286"/>
      <c r="AP155" s="3286"/>
      <c r="AQ155" s="3286"/>
      <c r="AR155" s="3286"/>
      <c r="AS155" s="3286"/>
      <c r="AT155" s="3286"/>
      <c r="AU155" s="3286"/>
      <c r="AV155" s="3286"/>
      <c r="AW155" s="3286"/>
      <c r="AX155" s="3286"/>
      <c r="AY155" s="3292"/>
      <c r="AZ155" s="3283"/>
    </row>
    <row r="156" spans="2:52" ht="13.5" customHeight="1">
      <c r="B156" s="3502"/>
      <c r="C156" s="3498"/>
      <c r="D156" s="3502"/>
      <c r="E156" s="3294"/>
      <c r="F156" s="2844"/>
      <c r="G156" s="3286"/>
      <c r="H156" s="3286"/>
      <c r="I156" s="3286"/>
      <c r="J156" s="3286"/>
      <c r="K156" s="3286"/>
      <c r="L156" s="3286"/>
      <c r="M156" s="3286"/>
      <c r="N156" s="3286"/>
      <c r="O156" s="3286"/>
      <c r="P156" s="3286"/>
      <c r="Q156" s="3286"/>
      <c r="R156" s="3286"/>
      <c r="S156" s="3286"/>
      <c r="T156" s="3286"/>
      <c r="U156" s="3286"/>
      <c r="V156" s="3286"/>
      <c r="W156" s="3286"/>
      <c r="X156" s="3286"/>
      <c r="Y156" s="3286"/>
      <c r="Z156" s="3286"/>
      <c r="AA156" s="3286"/>
      <c r="AB156" s="3286"/>
      <c r="AC156" s="3286"/>
      <c r="AD156" s="3286"/>
      <c r="AE156" s="3286"/>
      <c r="AF156" s="3286"/>
      <c r="AG156" s="3286"/>
      <c r="AH156" s="3287"/>
      <c r="AI156" s="3286"/>
      <c r="AJ156" s="3286"/>
      <c r="AK156" s="3286"/>
      <c r="AL156" s="3286"/>
      <c r="AM156" s="3286"/>
      <c r="AN156" s="3286"/>
      <c r="AO156" s="3286"/>
      <c r="AP156" s="3286"/>
      <c r="AQ156" s="3286"/>
      <c r="AR156" s="3286"/>
      <c r="AS156" s="3286"/>
      <c r="AT156" s="3286"/>
      <c r="AU156" s="3286"/>
      <c r="AV156" s="3286"/>
      <c r="AW156" s="3286"/>
      <c r="AX156" s="3286"/>
      <c r="AY156" s="3292"/>
      <c r="AZ156" s="3283"/>
    </row>
    <row r="157" spans="2:52" ht="13.5" customHeight="1">
      <c r="B157" s="3502"/>
      <c r="C157" s="3503"/>
      <c r="D157" s="3513"/>
      <c r="E157" s="3297"/>
      <c r="F157" s="2839"/>
      <c r="G157" s="3298"/>
      <c r="H157" s="3298"/>
      <c r="I157" s="3298"/>
      <c r="J157" s="3298"/>
      <c r="K157" s="3298"/>
      <c r="L157" s="3298"/>
      <c r="M157" s="3298"/>
      <c r="N157" s="3298"/>
      <c r="O157" s="3298"/>
      <c r="P157" s="3298"/>
      <c r="Q157" s="3298"/>
      <c r="R157" s="3298"/>
      <c r="S157" s="3298"/>
      <c r="T157" s="3298"/>
      <c r="U157" s="3298"/>
      <c r="V157" s="3298"/>
      <c r="W157" s="3298"/>
      <c r="X157" s="3298"/>
      <c r="Y157" s="3298"/>
      <c r="Z157" s="3298"/>
      <c r="AA157" s="3298"/>
      <c r="AB157" s="3298"/>
      <c r="AC157" s="3298"/>
      <c r="AD157" s="3298"/>
      <c r="AE157" s="3298"/>
      <c r="AF157" s="3298"/>
      <c r="AG157" s="3298"/>
      <c r="AH157" s="3298"/>
      <c r="AI157" s="3298"/>
      <c r="AJ157" s="3298"/>
      <c r="AK157" s="3298"/>
      <c r="AL157" s="3298"/>
      <c r="AM157" s="3298"/>
      <c r="AN157" s="3298"/>
      <c r="AO157" s="3298"/>
      <c r="AP157" s="3298"/>
      <c r="AQ157" s="3298"/>
      <c r="AR157" s="3298"/>
      <c r="AS157" s="3298"/>
      <c r="AT157" s="3298"/>
      <c r="AU157" s="3298"/>
      <c r="AV157" s="3298"/>
      <c r="AW157" s="3298"/>
      <c r="AX157" s="3298"/>
      <c r="AY157" s="3293"/>
      <c r="AZ157" s="3285"/>
    </row>
    <row r="158" spans="2:52" ht="13.5" customHeight="1">
      <c r="B158" s="3502"/>
      <c r="C158" s="3514">
        <v>4</v>
      </c>
      <c r="D158" s="3512" t="s">
        <v>5362</v>
      </c>
      <c r="E158" s="3295"/>
      <c r="F158" s="2849"/>
      <c r="G158" s="3296"/>
      <c r="H158" s="3296"/>
      <c r="I158" s="3296"/>
      <c r="J158" s="3296"/>
      <c r="K158" s="3296"/>
      <c r="L158" s="3296"/>
      <c r="M158" s="3296"/>
      <c r="N158" s="3296"/>
      <c r="O158" s="3296"/>
      <c r="P158" s="3296"/>
      <c r="Q158" s="3296"/>
      <c r="R158" s="3296"/>
      <c r="S158" s="3296"/>
      <c r="T158" s="3296"/>
      <c r="U158" s="3296"/>
      <c r="V158" s="3296"/>
      <c r="W158" s="3296"/>
      <c r="X158" s="3296"/>
      <c r="Y158" s="3296"/>
      <c r="Z158" s="3296"/>
      <c r="AA158" s="3296"/>
      <c r="AB158" s="3296"/>
      <c r="AC158" s="3296"/>
      <c r="AD158" s="3296"/>
      <c r="AE158" s="3296"/>
      <c r="AF158" s="3296"/>
      <c r="AG158" s="3296"/>
      <c r="AH158" s="3296"/>
      <c r="AI158" s="3296"/>
      <c r="AJ158" s="3296"/>
      <c r="AK158" s="3296"/>
      <c r="AL158" s="3296"/>
      <c r="AM158" s="3296"/>
      <c r="AN158" s="3296"/>
      <c r="AO158" s="3296"/>
      <c r="AP158" s="3296"/>
      <c r="AQ158" s="3296"/>
      <c r="AR158" s="3296"/>
      <c r="AS158" s="3296"/>
      <c r="AT158" s="3296"/>
      <c r="AU158" s="3296"/>
      <c r="AV158" s="3296"/>
      <c r="AW158" s="3296"/>
      <c r="AX158" s="3296"/>
      <c r="AY158" s="3291"/>
      <c r="AZ158" s="3290"/>
    </row>
    <row r="159" spans="2:52" ht="13.5" customHeight="1">
      <c r="B159" s="3502"/>
      <c r="C159" s="3498"/>
      <c r="D159" s="3502"/>
      <c r="E159" s="3294"/>
      <c r="F159" s="2844"/>
      <c r="G159" s="3286"/>
      <c r="H159" s="3286"/>
      <c r="I159" s="3286"/>
      <c r="J159" s="3286"/>
      <c r="K159" s="3286"/>
      <c r="L159" s="3286"/>
      <c r="M159" s="3286"/>
      <c r="N159" s="3286"/>
      <c r="O159" s="3286"/>
      <c r="P159" s="3286"/>
      <c r="Q159" s="3286"/>
      <c r="R159" s="3286"/>
      <c r="S159" s="3286"/>
      <c r="T159" s="3286"/>
      <c r="U159" s="3286"/>
      <c r="V159" s="3286"/>
      <c r="W159" s="3286"/>
      <c r="X159" s="3286"/>
      <c r="Y159" s="3286"/>
      <c r="Z159" s="3286"/>
      <c r="AA159" s="3286"/>
      <c r="AB159" s="3286"/>
      <c r="AC159" s="3286"/>
      <c r="AD159" s="3286"/>
      <c r="AE159" s="3286"/>
      <c r="AF159" s="3286"/>
      <c r="AG159" s="3286"/>
      <c r="AH159" s="3286"/>
      <c r="AI159" s="3286"/>
      <c r="AJ159" s="3286"/>
      <c r="AK159" s="3286"/>
      <c r="AL159" s="3286"/>
      <c r="AM159" s="3286"/>
      <c r="AN159" s="3286"/>
      <c r="AO159" s="3286"/>
      <c r="AP159" s="3286"/>
      <c r="AQ159" s="3286"/>
      <c r="AR159" s="3286"/>
      <c r="AS159" s="3286"/>
      <c r="AT159" s="3286"/>
      <c r="AU159" s="3286"/>
      <c r="AV159" s="3286"/>
      <c r="AW159" s="3286"/>
      <c r="AX159" s="3286"/>
      <c r="AY159" s="3292"/>
      <c r="AZ159" s="3283"/>
    </row>
    <row r="160" spans="2:52" ht="13.5" customHeight="1">
      <c r="B160" s="3513"/>
      <c r="C160" s="3503"/>
      <c r="D160" s="3513"/>
      <c r="E160" s="3297"/>
      <c r="F160" s="2839"/>
      <c r="G160" s="3298"/>
      <c r="H160" s="3298"/>
      <c r="I160" s="3298"/>
      <c r="J160" s="3298"/>
      <c r="K160" s="3298"/>
      <c r="L160" s="3298"/>
      <c r="M160" s="3298"/>
      <c r="N160" s="3298"/>
      <c r="O160" s="3298"/>
      <c r="P160" s="3298"/>
      <c r="Q160" s="3298"/>
      <c r="R160" s="3298"/>
      <c r="S160" s="3298"/>
      <c r="T160" s="3298"/>
      <c r="U160" s="3298"/>
      <c r="V160" s="3298"/>
      <c r="W160" s="3298"/>
      <c r="X160" s="3298"/>
      <c r="Y160" s="3298"/>
      <c r="Z160" s="3298"/>
      <c r="AA160" s="3298"/>
      <c r="AB160" s="3298"/>
      <c r="AC160" s="3298"/>
      <c r="AD160" s="3298"/>
      <c r="AE160" s="3298"/>
      <c r="AF160" s="3298"/>
      <c r="AG160" s="3298"/>
      <c r="AH160" s="3298"/>
      <c r="AI160" s="3298"/>
      <c r="AJ160" s="3298"/>
      <c r="AK160" s="3298"/>
      <c r="AL160" s="3298"/>
      <c r="AM160" s="3298"/>
      <c r="AN160" s="3298"/>
      <c r="AO160" s="3298"/>
      <c r="AP160" s="3298"/>
      <c r="AQ160" s="3298"/>
      <c r="AR160" s="3298"/>
      <c r="AS160" s="3298"/>
      <c r="AT160" s="3298"/>
      <c r="AU160" s="3298"/>
      <c r="AV160" s="3298"/>
      <c r="AW160" s="3298"/>
      <c r="AX160" s="3298"/>
      <c r="AY160" s="3293"/>
      <c r="AZ160" s="3285"/>
    </row>
  </sheetData>
  <mergeCells count="130">
    <mergeCell ref="B2:D2"/>
    <mergeCell ref="E2:AY2"/>
    <mergeCell ref="B3:B32"/>
    <mergeCell ref="C3:C4"/>
    <mergeCell ref="D3:D4"/>
    <mergeCell ref="E3:AY4"/>
    <mergeCell ref="C5:C7"/>
    <mergeCell ref="D5:D7"/>
    <mergeCell ref="E5:AY12"/>
    <mergeCell ref="C8:C10"/>
    <mergeCell ref="D8:D10"/>
    <mergeCell ref="C11:C12"/>
    <mergeCell ref="D11:D12"/>
    <mergeCell ref="C13:C14"/>
    <mergeCell ref="D13:D14"/>
    <mergeCell ref="E13:AY18"/>
    <mergeCell ref="C15:C16"/>
    <mergeCell ref="D15:D16"/>
    <mergeCell ref="C17:C18"/>
    <mergeCell ref="D17:D18"/>
    <mergeCell ref="C19:C32"/>
    <mergeCell ref="D19:D32"/>
    <mergeCell ref="R20:W20"/>
    <mergeCell ref="R21:W21"/>
    <mergeCell ref="AK21:AP21"/>
    <mergeCell ref="R24:W24"/>
    <mergeCell ref="R25:W25"/>
    <mergeCell ref="R27:W27"/>
    <mergeCell ref="R29:W29"/>
    <mergeCell ref="R31:W31"/>
    <mergeCell ref="B33:B43"/>
    <mergeCell ref="C33:C43"/>
    <mergeCell ref="D33:D43"/>
    <mergeCell ref="AZ36:AZ37"/>
    <mergeCell ref="AZ40:AZ41"/>
    <mergeCell ref="B44:B71"/>
    <mergeCell ref="C44:C46"/>
    <mergeCell ref="D44:D46"/>
    <mergeCell ref="E44:AY46"/>
    <mergeCell ref="C47:C49"/>
    <mergeCell ref="C54:C55"/>
    <mergeCell ref="D54:D55"/>
    <mergeCell ref="E54:AY55"/>
    <mergeCell ref="C56:C57"/>
    <mergeCell ref="D56:D57"/>
    <mergeCell ref="E56:AY57"/>
    <mergeCell ref="D47:D49"/>
    <mergeCell ref="E47:AY51"/>
    <mergeCell ref="C50:C51"/>
    <mergeCell ref="D50:D51"/>
    <mergeCell ref="C52:C53"/>
    <mergeCell ref="D52:D53"/>
    <mergeCell ref="E52:AY53"/>
    <mergeCell ref="C58:C71"/>
    <mergeCell ref="D58:D71"/>
    <mergeCell ref="R59:W59"/>
    <mergeCell ref="R60:W60"/>
    <mergeCell ref="AK60:AP60"/>
    <mergeCell ref="R65:W65"/>
    <mergeCell ref="R66:W66"/>
    <mergeCell ref="T68:Y68"/>
    <mergeCell ref="T70:Y70"/>
    <mergeCell ref="C81:C83"/>
    <mergeCell ref="D81:D83"/>
    <mergeCell ref="E81:AY83"/>
    <mergeCell ref="C84:C86"/>
    <mergeCell ref="D84:D86"/>
    <mergeCell ref="E84:AY86"/>
    <mergeCell ref="AC111:AH111"/>
    <mergeCell ref="AA113:AF113"/>
    <mergeCell ref="AH113:AH116"/>
    <mergeCell ref="AI113:AQ116"/>
    <mergeCell ref="B72:B86"/>
    <mergeCell ref="C72:C73"/>
    <mergeCell ref="D72:D73"/>
    <mergeCell ref="E72:AY73"/>
    <mergeCell ref="C74:C76"/>
    <mergeCell ref="D74:D76"/>
    <mergeCell ref="E74:AY76"/>
    <mergeCell ref="C77:C80"/>
    <mergeCell ref="D77:D80"/>
    <mergeCell ref="E77:AY80"/>
    <mergeCell ref="B131:B160"/>
    <mergeCell ref="C131:C140"/>
    <mergeCell ref="D131:D140"/>
    <mergeCell ref="T132:Y132"/>
    <mergeCell ref="T134:Y134"/>
    <mergeCell ref="B87:B130"/>
    <mergeCell ref="C150:C157"/>
    <mergeCell ref="D150:D157"/>
    <mergeCell ref="T151:Y151"/>
    <mergeCell ref="T152:Y152"/>
    <mergeCell ref="C158:C160"/>
    <mergeCell ref="D158:D160"/>
    <mergeCell ref="T136:Y136"/>
    <mergeCell ref="T137:Y137"/>
    <mergeCell ref="T139:Y139"/>
    <mergeCell ref="C141:C149"/>
    <mergeCell ref="D141:D149"/>
    <mergeCell ref="T142:Y142"/>
    <mergeCell ref="D97:D123"/>
    <mergeCell ref="E103:R106"/>
    <mergeCell ref="C87:C96"/>
    <mergeCell ref="D87:D96"/>
    <mergeCell ref="P88:U88"/>
    <mergeCell ref="P89:U89"/>
    <mergeCell ref="T143:Y143"/>
    <mergeCell ref="T144:Y144"/>
    <mergeCell ref="F113:S116"/>
    <mergeCell ref="P93:U93"/>
    <mergeCell ref="P95:U95"/>
    <mergeCell ref="C97:C123"/>
    <mergeCell ref="AZ113:AZ116"/>
    <mergeCell ref="AA116:AF116"/>
    <mergeCell ref="AA118:AF118"/>
    <mergeCell ref="Z120:AE120"/>
    <mergeCell ref="Z122:AE122"/>
    <mergeCell ref="Z98:AE98"/>
    <mergeCell ref="Z100:AE100"/>
    <mergeCell ref="Z101:AE101"/>
    <mergeCell ref="Z103:AE103"/>
    <mergeCell ref="AZ87:AZ96"/>
    <mergeCell ref="AS89:AX89"/>
    <mergeCell ref="P91:U91"/>
    <mergeCell ref="P92:U92"/>
    <mergeCell ref="AE92:AJ92"/>
    <mergeCell ref="AG103:AG106"/>
    <mergeCell ref="AZ103:AZ106"/>
    <mergeCell ref="Z106:AE106"/>
    <mergeCell ref="Z108:AE108"/>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w7_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121" zoomScaleNormal="100" workbookViewId="0">
      <selection activeCell="R62" sqref="R62:W62"/>
    </sheetView>
  </sheetViews>
  <sheetFormatPr defaultColWidth="9" defaultRowHeight="13.5" customHeight="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3299"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3290"/>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3285"/>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3290"/>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3283"/>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3283"/>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3283"/>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3283"/>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3283"/>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3283"/>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3285"/>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3290"/>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3283"/>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3283"/>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3283"/>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3283"/>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3285"/>
    </row>
    <row r="19" spans="2:52" ht="13.5" customHeight="1">
      <c r="B19" s="3498"/>
      <c r="C19" s="3514">
        <v>8</v>
      </c>
      <c r="D19" s="3512" t="s">
        <v>5518</v>
      </c>
      <c r="E19" s="3295"/>
      <c r="F19" s="2849"/>
      <c r="G19" s="3296"/>
      <c r="H19" s="3296"/>
      <c r="I19" s="3296"/>
      <c r="J19" s="3296"/>
      <c r="K19" s="3296"/>
      <c r="L19" s="3296"/>
      <c r="M19" s="3296"/>
      <c r="N19" s="3296"/>
      <c r="O19" s="3296"/>
      <c r="P19" s="3296"/>
      <c r="Q19" s="3296"/>
      <c r="R19" s="3296"/>
      <c r="S19" s="3296"/>
      <c r="T19" s="3296"/>
      <c r="U19" s="3296"/>
      <c r="V19" s="3296"/>
      <c r="W19" s="3296"/>
      <c r="X19" s="3296"/>
      <c r="Y19" s="3296"/>
      <c r="Z19" s="3296"/>
      <c r="AA19" s="3296"/>
      <c r="AB19" s="3296"/>
      <c r="AC19" s="3296"/>
      <c r="AD19" s="3296"/>
      <c r="AE19" s="3296"/>
      <c r="AF19" s="3296"/>
      <c r="AG19" s="3296"/>
      <c r="AH19" s="3296"/>
      <c r="AI19" s="3296"/>
      <c r="AJ19" s="3296"/>
      <c r="AK19" s="3296"/>
      <c r="AL19" s="3296"/>
      <c r="AM19" s="3296"/>
      <c r="AN19" s="3296"/>
      <c r="AO19" s="3296"/>
      <c r="AP19" s="3296"/>
      <c r="AQ19" s="3296"/>
      <c r="AR19" s="3296"/>
      <c r="AS19" s="3296"/>
      <c r="AT19" s="3296"/>
      <c r="AU19" s="3296"/>
      <c r="AV19" s="3296"/>
      <c r="AW19" s="3296"/>
      <c r="AX19" s="3296"/>
      <c r="AY19" s="3291"/>
      <c r="AZ19" s="3290"/>
    </row>
    <row r="20" spans="2:52" ht="13.5" customHeight="1">
      <c r="B20" s="3498"/>
      <c r="C20" s="3498"/>
      <c r="D20" s="3502"/>
      <c r="E20" s="2860" t="s">
        <v>5517</v>
      </c>
      <c r="F20" s="2844"/>
      <c r="G20" s="2844"/>
      <c r="H20" s="2844"/>
      <c r="I20" s="2844"/>
      <c r="J20" s="2844"/>
      <c r="K20" s="2844"/>
      <c r="L20" s="2844"/>
      <c r="M20" s="2844"/>
      <c r="N20" s="2844"/>
      <c r="O20" s="2844"/>
      <c r="P20" s="2844"/>
      <c r="Q20" s="3286"/>
      <c r="R20" s="3519">
        <f>基礎数値!H3</f>
        <v>20730008529</v>
      </c>
      <c r="S20" s="3519"/>
      <c r="T20" s="3519"/>
      <c r="U20" s="3519"/>
      <c r="V20" s="3519"/>
      <c r="W20" s="3519"/>
      <c r="X20" s="3286"/>
      <c r="Y20" s="3287" t="s">
        <v>5476</v>
      </c>
      <c r="Z20" s="3286"/>
      <c r="AA20" s="3286"/>
      <c r="AB20" s="3286"/>
      <c r="AC20" s="3286"/>
      <c r="AD20" s="3286"/>
      <c r="AE20" s="3286"/>
      <c r="AF20" s="3286"/>
      <c r="AG20" s="3286"/>
      <c r="AH20" s="3286"/>
      <c r="AI20" s="2844"/>
      <c r="AJ20" s="3286"/>
      <c r="AK20" s="3286"/>
      <c r="AL20" s="3286"/>
      <c r="AM20" s="3286"/>
      <c r="AN20" s="3286"/>
      <c r="AO20" s="3286"/>
      <c r="AP20" s="3286"/>
      <c r="AQ20" s="3286"/>
      <c r="AR20" s="3286"/>
      <c r="AS20" s="3286"/>
      <c r="AT20" s="3286"/>
      <c r="AU20" s="3286"/>
      <c r="AV20" s="3286"/>
      <c r="AW20" s="3286"/>
      <c r="AX20" s="3286"/>
      <c r="AY20" s="3292"/>
      <c r="AZ20" s="3283"/>
    </row>
    <row r="21" spans="2:52" ht="13.5" customHeight="1">
      <c r="B21" s="3498"/>
      <c r="C21" s="3498"/>
      <c r="D21" s="3502"/>
      <c r="E21" s="2860" t="s">
        <v>5516</v>
      </c>
      <c r="F21" s="3286"/>
      <c r="G21" s="3286"/>
      <c r="H21" s="3286"/>
      <c r="I21" s="3286"/>
      <c r="J21" s="3286"/>
      <c r="K21" s="3286"/>
      <c r="L21" s="3286"/>
      <c r="M21" s="3286"/>
      <c r="N21" s="3286"/>
      <c r="O21" s="3286"/>
      <c r="P21" s="3286"/>
      <c r="Q21" s="3286"/>
      <c r="R21" s="3519">
        <f>基礎数値!H4</f>
        <v>39691410</v>
      </c>
      <c r="S21" s="3519"/>
      <c r="T21" s="3519"/>
      <c r="U21" s="3519"/>
      <c r="V21" s="3519"/>
      <c r="W21" s="3519"/>
      <c r="X21" s="3286"/>
      <c r="Y21" s="3287" t="s">
        <v>5476</v>
      </c>
      <c r="Z21" s="3286"/>
      <c r="AA21" s="3286"/>
      <c r="AB21" s="3286"/>
      <c r="AC21" s="3286"/>
      <c r="AD21" s="3286"/>
      <c r="AE21" s="3286"/>
      <c r="AF21" s="3286"/>
      <c r="AG21" s="3286"/>
      <c r="AH21" s="3286"/>
      <c r="AI21" s="3286"/>
      <c r="AJ21" s="3286" t="s">
        <v>5447</v>
      </c>
      <c r="AK21" s="3497">
        <f>R20+R21</f>
        <v>20769699939</v>
      </c>
      <c r="AL21" s="3497"/>
      <c r="AM21" s="3497"/>
      <c r="AN21" s="3497"/>
      <c r="AO21" s="3497"/>
      <c r="AP21" s="3497"/>
      <c r="AQ21" s="3286" t="s">
        <v>5515</v>
      </c>
      <c r="AR21" s="3286"/>
      <c r="AS21" s="3286"/>
      <c r="AT21" s="3286"/>
      <c r="AU21" s="3286"/>
      <c r="AV21" s="3286"/>
      <c r="AW21" s="3286"/>
      <c r="AX21" s="3286"/>
      <c r="AY21" s="3292"/>
      <c r="AZ21" s="3283"/>
    </row>
    <row r="22" spans="2:52" ht="13.5" customHeight="1">
      <c r="B22" s="3498"/>
      <c r="C22" s="3498"/>
      <c r="D22" s="3502"/>
      <c r="E22" s="2860"/>
      <c r="F22" s="3286"/>
      <c r="G22" s="3286"/>
      <c r="H22" s="3286"/>
      <c r="I22" s="3286"/>
      <c r="J22" s="3286"/>
      <c r="K22" s="3286"/>
      <c r="L22" s="3286"/>
      <c r="M22" s="3286"/>
      <c r="N22" s="3286"/>
      <c r="O22" s="3286"/>
      <c r="P22" s="3286"/>
      <c r="Q22" s="3286"/>
      <c r="R22" s="3286"/>
      <c r="S22" s="3286"/>
      <c r="T22" s="3286"/>
      <c r="U22" s="3286"/>
      <c r="V22" s="3286"/>
      <c r="W22" s="3286"/>
      <c r="X22" s="3286"/>
      <c r="Y22" s="3286"/>
      <c r="Z22" s="3286"/>
      <c r="AA22" s="3286"/>
      <c r="AB22" s="3286"/>
      <c r="AC22" s="3286"/>
      <c r="AD22" s="3286"/>
      <c r="AE22" s="3286"/>
      <c r="AF22" s="3286"/>
      <c r="AG22" s="3286"/>
      <c r="AH22" s="3286"/>
      <c r="AI22" s="3286"/>
      <c r="AJ22" s="3286"/>
      <c r="AK22" s="3286"/>
      <c r="AL22" s="3286"/>
      <c r="AM22" s="3286"/>
      <c r="AN22" s="3286"/>
      <c r="AO22" s="3286"/>
      <c r="AP22" s="3286"/>
      <c r="AQ22" s="3286"/>
      <c r="AR22" s="3286"/>
      <c r="AS22" s="3286"/>
      <c r="AT22" s="3286"/>
      <c r="AU22" s="3286"/>
      <c r="AV22" s="3286"/>
      <c r="AW22" s="3286"/>
      <c r="AX22" s="3286"/>
      <c r="AY22" s="3292"/>
      <c r="AZ22" s="3283"/>
    </row>
    <row r="23" spans="2:52" ht="13.5" customHeight="1">
      <c r="B23" s="3498"/>
      <c r="C23" s="3498"/>
      <c r="D23" s="3502"/>
      <c r="E23" s="2860" t="s">
        <v>5514</v>
      </c>
      <c r="F23" s="3286"/>
      <c r="G23" s="3286"/>
      <c r="H23" s="3286"/>
      <c r="I23" s="3286"/>
      <c r="J23" s="3286"/>
      <c r="K23" s="3286"/>
      <c r="L23" s="3286"/>
      <c r="M23" s="3286"/>
      <c r="N23" s="3286"/>
      <c r="O23" s="3286"/>
      <c r="P23" s="3286"/>
      <c r="Q23" s="3286"/>
      <c r="R23" s="3286"/>
      <c r="S23" s="3286"/>
      <c r="T23" s="3286"/>
      <c r="U23" s="3286"/>
      <c r="V23" s="3286"/>
      <c r="W23" s="3286"/>
      <c r="X23" s="3286"/>
      <c r="Y23" s="3286"/>
      <c r="Z23" s="3286"/>
      <c r="AA23" s="3286"/>
      <c r="AB23" s="3286"/>
      <c r="AC23" s="3286"/>
      <c r="AD23" s="3286"/>
      <c r="AE23" s="3286"/>
      <c r="AF23" s="3286"/>
      <c r="AG23" s="3286"/>
      <c r="AH23" s="3286"/>
      <c r="AI23" s="3286"/>
      <c r="AJ23" s="3286"/>
      <c r="AK23" s="3286"/>
      <c r="AL23" s="3286"/>
      <c r="AM23" s="3286"/>
      <c r="AN23" s="3286"/>
      <c r="AO23" s="3286"/>
      <c r="AP23" s="3286"/>
      <c r="AQ23" s="3286"/>
      <c r="AR23" s="3286"/>
      <c r="AS23" s="3286"/>
      <c r="AT23" s="3286"/>
      <c r="AU23" s="3286"/>
      <c r="AV23" s="3286"/>
      <c r="AW23" s="3286"/>
      <c r="AX23" s="3286"/>
      <c r="AY23" s="3292"/>
      <c r="AZ23" s="3283"/>
    </row>
    <row r="24" spans="2:52" ht="13.5" customHeight="1">
      <c r="B24" s="3498"/>
      <c r="C24" s="3498"/>
      <c r="D24" s="3502"/>
      <c r="E24" s="2860"/>
      <c r="F24" s="3286"/>
      <c r="G24" s="3286"/>
      <c r="H24" s="2844" t="s">
        <v>5470</v>
      </c>
      <c r="I24" s="3286"/>
      <c r="J24" s="3286"/>
      <c r="K24" s="3286"/>
      <c r="L24" s="3286"/>
      <c r="M24" s="3286"/>
      <c r="N24" s="3286"/>
      <c r="O24" s="3286"/>
      <c r="P24" s="3286"/>
      <c r="Q24" s="3286"/>
      <c r="R24" s="3519">
        <f>基礎数値!H6</f>
        <v>0</v>
      </c>
      <c r="S24" s="3519"/>
      <c r="T24" s="3519"/>
      <c r="U24" s="3519"/>
      <c r="V24" s="3519"/>
      <c r="W24" s="3519"/>
      <c r="X24" s="3286" t="s">
        <v>5513</v>
      </c>
      <c r="Y24" s="3287" t="s">
        <v>5512</v>
      </c>
      <c r="Z24" s="3286"/>
      <c r="AA24" s="3286"/>
      <c r="AB24" s="3286"/>
      <c r="AC24" s="3286"/>
      <c r="AD24" s="3286"/>
      <c r="AE24" s="3286"/>
      <c r="AF24" s="3286"/>
      <c r="AG24" s="3286"/>
      <c r="AH24" s="3286"/>
      <c r="AI24" s="3286"/>
      <c r="AJ24" s="3286"/>
      <c r="AK24" s="3286"/>
      <c r="AL24" s="3286"/>
      <c r="AM24" s="3286"/>
      <c r="AN24" s="3286"/>
      <c r="AO24" s="3286"/>
      <c r="AP24" s="3286"/>
      <c r="AQ24" s="3286"/>
      <c r="AR24" s="3286"/>
      <c r="AS24" s="3286"/>
      <c r="AT24" s="3286"/>
      <c r="AU24" s="3286"/>
      <c r="AV24" s="3286"/>
      <c r="AW24" s="3286"/>
      <c r="AX24" s="3286"/>
      <c r="AY24" s="3292"/>
      <c r="AZ24" s="3283"/>
    </row>
    <row r="25" spans="2:52" ht="13.5" customHeight="1">
      <c r="B25" s="3498"/>
      <c r="C25" s="3498"/>
      <c r="D25" s="3502"/>
      <c r="E25" s="3294"/>
      <c r="F25" s="2844"/>
      <c r="G25" s="3286"/>
      <c r="H25" s="2844" t="s">
        <v>5511</v>
      </c>
      <c r="I25" s="3286"/>
      <c r="J25" s="3286"/>
      <c r="K25" s="3286"/>
      <c r="L25" s="3286"/>
      <c r="M25" s="3286"/>
      <c r="N25" s="3286"/>
      <c r="O25" s="3286"/>
      <c r="P25" s="3286"/>
      <c r="Q25" s="3286"/>
      <c r="R25" s="3519">
        <f>基礎数値!H7</f>
        <v>10639743</v>
      </c>
      <c r="S25" s="3519"/>
      <c r="T25" s="3519"/>
      <c r="U25" s="3519"/>
      <c r="V25" s="3519"/>
      <c r="W25" s="3519"/>
      <c r="X25" s="3286" t="s">
        <v>5510</v>
      </c>
      <c r="Y25" s="3287" t="s">
        <v>5509</v>
      </c>
      <c r="Z25" s="3286"/>
      <c r="AA25" s="3286"/>
      <c r="AB25" s="3286"/>
      <c r="AC25" s="3286"/>
      <c r="AD25" s="3286"/>
      <c r="AE25" s="3286"/>
      <c r="AF25" s="3286"/>
      <c r="AG25" s="3286"/>
      <c r="AH25" s="3286"/>
      <c r="AI25" s="3286"/>
      <c r="AJ25" s="3286"/>
      <c r="AK25" s="3286"/>
      <c r="AL25" s="3286"/>
      <c r="AM25" s="3286"/>
      <c r="AN25" s="3286"/>
      <c r="AO25" s="3286"/>
      <c r="AP25" s="3286"/>
      <c r="AQ25" s="3286"/>
      <c r="AR25" s="3286"/>
      <c r="AS25" s="3286"/>
      <c r="AT25" s="3286"/>
      <c r="AU25" s="3286"/>
      <c r="AV25" s="3286"/>
      <c r="AW25" s="3286"/>
      <c r="AX25" s="3286"/>
      <c r="AY25" s="3292"/>
      <c r="AZ25" s="3283"/>
    </row>
    <row r="26" spans="2:52" ht="13.5" customHeight="1" thickBot="1">
      <c r="B26" s="3498"/>
      <c r="C26" s="3498"/>
      <c r="D26" s="3502"/>
      <c r="E26" s="3294"/>
      <c r="F26" s="2844"/>
      <c r="G26" s="3286"/>
      <c r="H26" s="3286"/>
      <c r="I26" s="3286"/>
      <c r="J26" s="3286"/>
      <c r="K26" s="3286"/>
      <c r="L26" s="3286"/>
      <c r="M26" s="3286"/>
      <c r="N26" s="3286"/>
      <c r="O26" s="3286"/>
      <c r="P26" s="3286"/>
      <c r="Q26" s="3286"/>
      <c r="R26" s="3286"/>
      <c r="S26" s="3286"/>
      <c r="T26" s="3286"/>
      <c r="U26" s="3286"/>
      <c r="V26" s="3286"/>
      <c r="W26" s="3286"/>
      <c r="X26" s="3286"/>
      <c r="Y26" s="3286"/>
      <c r="Z26" s="3286"/>
      <c r="AA26" s="3286"/>
      <c r="AB26" s="3286"/>
      <c r="AC26" s="3286"/>
      <c r="AD26" s="3286"/>
      <c r="AE26" s="3286"/>
      <c r="AF26" s="3286"/>
      <c r="AG26" s="3286"/>
      <c r="AH26" s="3286"/>
      <c r="AI26" s="3286"/>
      <c r="AJ26" s="3286"/>
      <c r="AK26" s="3286"/>
      <c r="AL26" s="3286"/>
      <c r="AM26" s="3286"/>
      <c r="AN26" s="3286"/>
      <c r="AO26" s="3286"/>
      <c r="AP26" s="3286"/>
      <c r="AQ26" s="3286"/>
      <c r="AR26" s="3286"/>
      <c r="AS26" s="3286"/>
      <c r="AT26" s="3286"/>
      <c r="AU26" s="3286"/>
      <c r="AV26" s="3286"/>
      <c r="AW26" s="3286"/>
      <c r="AX26" s="3286"/>
      <c r="AY26" s="3292"/>
      <c r="AZ26" s="3283"/>
    </row>
    <row r="27" spans="2:52" ht="13.5" customHeight="1" thickTop="1" thickBot="1">
      <c r="B27" s="3498"/>
      <c r="C27" s="3498"/>
      <c r="D27" s="3502"/>
      <c r="E27" s="3294" t="s">
        <v>5445</v>
      </c>
      <c r="F27" s="2844"/>
      <c r="G27" s="3286"/>
      <c r="H27" s="3286"/>
      <c r="I27" s="3286"/>
      <c r="J27" s="3286"/>
      <c r="K27" s="3286"/>
      <c r="L27" s="3286"/>
      <c r="M27" s="3286"/>
      <c r="N27" s="3286"/>
      <c r="O27" s="3286"/>
      <c r="P27" s="3286"/>
      <c r="Q27" s="3286"/>
      <c r="R27" s="3499">
        <f>ROUNDDOWN((AK21-R24-R25)*100/110,0)</f>
        <v>18871872905</v>
      </c>
      <c r="S27" s="3500"/>
      <c r="T27" s="3500"/>
      <c r="U27" s="3500"/>
      <c r="V27" s="3500"/>
      <c r="W27" s="3501"/>
      <c r="X27" s="3314" t="s">
        <v>5508</v>
      </c>
      <c r="Y27" s="3315" t="s">
        <v>6170</v>
      </c>
      <c r="Z27" s="3286"/>
      <c r="AA27" s="3286"/>
      <c r="AB27" s="3286"/>
      <c r="AC27" s="3286"/>
      <c r="AD27" s="3286"/>
      <c r="AE27" s="3286"/>
      <c r="AF27" s="3286"/>
      <c r="AG27" s="3286"/>
      <c r="AH27" s="3286"/>
      <c r="AI27" s="3286"/>
      <c r="AJ27" s="3286"/>
      <c r="AK27" s="3286"/>
      <c r="AL27" s="3286"/>
      <c r="AM27" s="3286"/>
      <c r="AN27" s="3286"/>
      <c r="AO27" s="3286"/>
      <c r="AP27" s="3286"/>
      <c r="AQ27" s="3286"/>
      <c r="AR27" s="3286"/>
      <c r="AS27" s="3286"/>
      <c r="AT27" s="3286"/>
      <c r="AU27" s="3286"/>
      <c r="AV27" s="3286"/>
      <c r="AW27" s="3286"/>
      <c r="AX27" s="3286"/>
      <c r="AY27" s="3292"/>
      <c r="AZ27" s="3283" t="s">
        <v>5506</v>
      </c>
    </row>
    <row r="28" spans="2:52" ht="13.5" customHeight="1" thickTop="1" thickBot="1">
      <c r="B28" s="3498"/>
      <c r="C28" s="3498"/>
      <c r="D28" s="3502"/>
      <c r="E28" s="3294"/>
      <c r="F28" s="2844"/>
      <c r="G28" s="3286"/>
      <c r="H28" s="3286"/>
      <c r="I28" s="3286"/>
      <c r="J28" s="3286"/>
      <c r="K28" s="3286"/>
      <c r="L28" s="3286"/>
      <c r="M28" s="3286"/>
      <c r="N28" s="3286"/>
      <c r="O28" s="3286"/>
      <c r="P28" s="3286"/>
      <c r="Q28" s="3286"/>
      <c r="R28" s="3314"/>
      <c r="S28" s="3314"/>
      <c r="T28" s="3314"/>
      <c r="U28" s="3314"/>
      <c r="V28" s="3314"/>
      <c r="W28" s="3314"/>
      <c r="X28" s="3314"/>
      <c r="Y28" s="3314"/>
      <c r="Z28" s="3286"/>
      <c r="AA28" s="3286"/>
      <c r="AB28" s="3286"/>
      <c r="AC28" s="3286"/>
      <c r="AD28" s="3286"/>
      <c r="AE28" s="3286"/>
      <c r="AF28" s="3286"/>
      <c r="AG28" s="3286"/>
      <c r="AH28" s="3286"/>
      <c r="AI28" s="3286"/>
      <c r="AJ28" s="3286"/>
      <c r="AK28" s="3286"/>
      <c r="AL28" s="3286"/>
      <c r="AM28" s="3286"/>
      <c r="AN28" s="3286"/>
      <c r="AO28" s="3286"/>
      <c r="AP28" s="3286"/>
      <c r="AQ28" s="3286"/>
      <c r="AR28" s="3286"/>
      <c r="AS28" s="3286"/>
      <c r="AT28" s="3286"/>
      <c r="AU28" s="3286"/>
      <c r="AV28" s="3286"/>
      <c r="AW28" s="3286"/>
      <c r="AX28" s="3286"/>
      <c r="AY28" s="3292"/>
      <c r="AZ28" s="3283"/>
    </row>
    <row r="29" spans="2:52" ht="13.5" customHeight="1" thickTop="1" thickBot="1">
      <c r="B29" s="3498"/>
      <c r="C29" s="3498"/>
      <c r="D29" s="3502"/>
      <c r="E29" s="3294" t="s">
        <v>5505</v>
      </c>
      <c r="F29" s="2844"/>
      <c r="G29" s="3286"/>
      <c r="H29" s="3286"/>
      <c r="I29" s="3286"/>
      <c r="J29" s="3286"/>
      <c r="K29" s="3286"/>
      <c r="L29" s="3286"/>
      <c r="M29" s="3286"/>
      <c r="N29" s="3286"/>
      <c r="O29" s="3286"/>
      <c r="P29" s="3286"/>
      <c r="Q29" s="3286"/>
      <c r="R29" s="3499">
        <f>ROUNDDOWN((AK21-R24)*100/110,-3)</f>
        <v>18881545000</v>
      </c>
      <c r="S29" s="3500"/>
      <c r="T29" s="3500"/>
      <c r="U29" s="3500"/>
      <c r="V29" s="3500"/>
      <c r="W29" s="3501"/>
      <c r="X29" s="3314" t="s">
        <v>6171</v>
      </c>
      <c r="Y29" s="3315" t="s">
        <v>6172</v>
      </c>
      <c r="Z29" s="3286"/>
      <c r="AA29" s="3286"/>
      <c r="AB29" s="3286"/>
      <c r="AC29" s="3286"/>
      <c r="AD29" s="3286"/>
      <c r="AE29" s="3286"/>
      <c r="AF29" s="3286"/>
      <c r="AG29" s="3286"/>
      <c r="AH29" s="3286"/>
      <c r="AI29" s="3286"/>
      <c r="AJ29" s="3286"/>
      <c r="AK29" s="3286"/>
      <c r="AL29" s="3286"/>
      <c r="AM29" s="3286"/>
      <c r="AN29" s="3286"/>
      <c r="AO29" s="3286"/>
      <c r="AP29" s="3286"/>
      <c r="AQ29" s="3286"/>
      <c r="AR29" s="3286"/>
      <c r="AS29" s="3286"/>
      <c r="AT29" s="3286"/>
      <c r="AU29" s="3286"/>
      <c r="AV29" s="3286"/>
      <c r="AW29" s="3286"/>
      <c r="AX29" s="3286"/>
      <c r="AY29" s="3292"/>
      <c r="AZ29" s="3283" t="s">
        <v>5502</v>
      </c>
    </row>
    <row r="30" spans="2:52" ht="13.5" customHeight="1" thickTop="1" thickBot="1">
      <c r="B30" s="3498"/>
      <c r="C30" s="3498"/>
      <c r="D30" s="3502"/>
      <c r="E30" s="3294"/>
      <c r="F30" s="2844"/>
      <c r="G30" s="3286"/>
      <c r="H30" s="3286"/>
      <c r="I30" s="3286"/>
      <c r="J30" s="3286"/>
      <c r="K30" s="3286"/>
      <c r="L30" s="3286"/>
      <c r="M30" s="3286"/>
      <c r="N30" s="3286"/>
      <c r="O30" s="3286"/>
      <c r="P30" s="3286"/>
      <c r="Q30" s="3286"/>
      <c r="R30" s="3286"/>
      <c r="S30" s="3286"/>
      <c r="T30" s="3286"/>
      <c r="U30" s="3286"/>
      <c r="V30" s="3286"/>
      <c r="W30" s="3286"/>
      <c r="X30" s="3286"/>
      <c r="Y30" s="3286"/>
      <c r="Z30" s="3286"/>
      <c r="AA30" s="3286"/>
      <c r="AB30" s="3286"/>
      <c r="AC30" s="3286"/>
      <c r="AD30" s="3286"/>
      <c r="AE30" s="3286"/>
      <c r="AF30" s="3286"/>
      <c r="AG30" s="3286"/>
      <c r="AH30" s="3286"/>
      <c r="AI30" s="3286"/>
      <c r="AJ30" s="3286"/>
      <c r="AK30" s="3286"/>
      <c r="AL30" s="3286"/>
      <c r="AM30" s="3286"/>
      <c r="AN30" s="3286"/>
      <c r="AO30" s="3286"/>
      <c r="AP30" s="3286"/>
      <c r="AQ30" s="3286"/>
      <c r="AR30" s="3286"/>
      <c r="AS30" s="3286"/>
      <c r="AT30" s="3286"/>
      <c r="AU30" s="3286"/>
      <c r="AV30" s="3286"/>
      <c r="AW30" s="3286"/>
      <c r="AX30" s="3286"/>
      <c r="AY30" s="3292"/>
      <c r="AZ30" s="3283"/>
    </row>
    <row r="31" spans="2:52" ht="13.5" customHeight="1" thickTop="1" thickBot="1">
      <c r="B31" s="3498"/>
      <c r="C31" s="3498"/>
      <c r="D31" s="3502"/>
      <c r="E31" s="3294" t="s">
        <v>5501</v>
      </c>
      <c r="F31" s="2844"/>
      <c r="G31" s="3286"/>
      <c r="H31" s="3286"/>
      <c r="I31" s="3286"/>
      <c r="J31" s="3286"/>
      <c r="K31" s="3286"/>
      <c r="L31" s="3286"/>
      <c r="M31" s="3286"/>
      <c r="N31" s="3286"/>
      <c r="O31" s="3286"/>
      <c r="P31" s="3286"/>
      <c r="Q31" s="3286"/>
      <c r="R31" s="3499">
        <f>ROUNDDOWN(R29*78/1000,0)</f>
        <v>1472760510</v>
      </c>
      <c r="S31" s="3500"/>
      <c r="T31" s="3500"/>
      <c r="U31" s="3500"/>
      <c r="V31" s="3500"/>
      <c r="W31" s="3501"/>
      <c r="X31" s="3314" t="s">
        <v>6169</v>
      </c>
      <c r="Y31" s="3315" t="s">
        <v>6168</v>
      </c>
      <c r="Z31" s="3314"/>
      <c r="AA31" s="3286"/>
      <c r="AB31" s="3286"/>
      <c r="AC31" s="3286"/>
      <c r="AD31" s="3286"/>
      <c r="AE31" s="3286"/>
      <c r="AF31" s="3286"/>
      <c r="AG31" s="3286"/>
      <c r="AH31" s="3286"/>
      <c r="AI31" s="3286"/>
      <c r="AJ31" s="3286"/>
      <c r="AK31" s="3286"/>
      <c r="AL31" s="3286"/>
      <c r="AM31" s="3286"/>
      <c r="AN31" s="3286"/>
      <c r="AO31" s="3286"/>
      <c r="AP31" s="3286"/>
      <c r="AQ31" s="3286"/>
      <c r="AR31" s="3286"/>
      <c r="AS31" s="3286"/>
      <c r="AT31" s="3286"/>
      <c r="AU31" s="3286"/>
      <c r="AV31" s="3286"/>
      <c r="AW31" s="3286"/>
      <c r="AX31" s="3286"/>
      <c r="AY31" s="3292"/>
      <c r="AZ31" s="3283" t="s">
        <v>5498</v>
      </c>
    </row>
    <row r="32" spans="2:52" ht="13.5" customHeight="1" thickTop="1">
      <c r="B32" s="3503"/>
      <c r="C32" s="3503"/>
      <c r="D32" s="3513"/>
      <c r="E32" s="3297"/>
      <c r="F32" s="2839"/>
      <c r="G32" s="3298"/>
      <c r="H32" s="3298"/>
      <c r="I32" s="3298"/>
      <c r="J32" s="3298"/>
      <c r="K32" s="3298"/>
      <c r="L32" s="3298"/>
      <c r="M32" s="3298"/>
      <c r="N32" s="3298"/>
      <c r="O32" s="3298"/>
      <c r="P32" s="3298"/>
      <c r="Q32" s="3298"/>
      <c r="R32" s="3298"/>
      <c r="S32" s="3298"/>
      <c r="T32" s="3298"/>
      <c r="U32" s="3298"/>
      <c r="V32" s="3298"/>
      <c r="W32" s="3298"/>
      <c r="X32" s="3298"/>
      <c r="Y32" s="3298"/>
      <c r="Z32" s="3298"/>
      <c r="AA32" s="3298"/>
      <c r="AB32" s="3298"/>
      <c r="AC32" s="3298"/>
      <c r="AD32" s="3298"/>
      <c r="AE32" s="3298"/>
      <c r="AF32" s="3298"/>
      <c r="AG32" s="3298"/>
      <c r="AH32" s="3298"/>
      <c r="AI32" s="3298"/>
      <c r="AJ32" s="3298"/>
      <c r="AK32" s="3298"/>
      <c r="AL32" s="3298"/>
      <c r="AM32" s="3298"/>
      <c r="AN32" s="3298"/>
      <c r="AO32" s="3298"/>
      <c r="AP32" s="3298"/>
      <c r="AQ32" s="3298"/>
      <c r="AR32" s="3298"/>
      <c r="AS32" s="3298"/>
      <c r="AT32" s="3298"/>
      <c r="AU32" s="3298"/>
      <c r="AV32" s="3298"/>
      <c r="AW32" s="3298"/>
      <c r="AX32" s="3298"/>
      <c r="AY32" s="3293"/>
      <c r="AZ32" s="3285"/>
    </row>
    <row r="33" spans="2:52" ht="13.5" customHeight="1">
      <c r="B33" s="3514" t="s">
        <v>5427</v>
      </c>
      <c r="C33" s="3514">
        <v>1</v>
      </c>
      <c r="D33" s="3514" t="s">
        <v>5497</v>
      </c>
      <c r="E33" s="3295"/>
      <c r="F33" s="2849"/>
      <c r="G33" s="3296"/>
      <c r="H33" s="3296"/>
      <c r="I33" s="3296"/>
      <c r="J33" s="3296"/>
      <c r="K33" s="3296"/>
      <c r="L33" s="3296"/>
      <c r="M33" s="3296"/>
      <c r="N33" s="3296"/>
      <c r="O33" s="3296"/>
      <c r="P33" s="3296"/>
      <c r="Q33" s="3296"/>
      <c r="R33" s="3296"/>
      <c r="S33" s="3296"/>
      <c r="T33" s="3296"/>
      <c r="U33" s="3296"/>
      <c r="V33" s="3296"/>
      <c r="W33" s="3296"/>
      <c r="X33" s="3296"/>
      <c r="Y33" s="3296"/>
      <c r="Z33" s="3296"/>
      <c r="AA33" s="3296"/>
      <c r="AB33" s="3296"/>
      <c r="AC33" s="3296"/>
      <c r="AD33" s="3296"/>
      <c r="AE33" s="3296"/>
      <c r="AF33" s="3296"/>
      <c r="AG33" s="3296"/>
      <c r="AH33" s="3296"/>
      <c r="AI33" s="3296"/>
      <c r="AJ33" s="3296"/>
      <c r="AK33" s="3296"/>
      <c r="AL33" s="3296"/>
      <c r="AM33" s="3296"/>
      <c r="AN33" s="3296"/>
      <c r="AO33" s="3296"/>
      <c r="AP33" s="3296"/>
      <c r="AQ33" s="3296"/>
      <c r="AR33" s="3296"/>
      <c r="AS33" s="3296"/>
      <c r="AT33" s="3296"/>
      <c r="AU33" s="3296"/>
      <c r="AV33" s="3296"/>
      <c r="AW33" s="3296"/>
      <c r="AX33" s="3296"/>
      <c r="AY33" s="3291"/>
      <c r="AZ33" s="3290"/>
    </row>
    <row r="34" spans="2:52" ht="13.5" customHeight="1">
      <c r="B34" s="3498"/>
      <c r="C34" s="3498"/>
      <c r="D34" s="3498"/>
      <c r="E34" s="3294" t="s">
        <v>5496</v>
      </c>
      <c r="F34" s="2844"/>
      <c r="G34" s="3286"/>
      <c r="H34" s="3286"/>
      <c r="I34" s="3286"/>
      <c r="J34" s="3286"/>
      <c r="K34" s="3286"/>
      <c r="L34" s="3286"/>
      <c r="M34" s="3286"/>
      <c r="N34" s="3286"/>
      <c r="O34" s="3286"/>
      <c r="P34" s="3286"/>
      <c r="Q34" s="3286"/>
      <c r="R34" s="2864"/>
      <c r="S34" s="2864"/>
      <c r="T34" s="2864"/>
      <c r="U34" s="2864"/>
      <c r="V34" s="2864"/>
      <c r="W34" s="2864"/>
      <c r="X34" s="2861"/>
      <c r="Y34" s="2862"/>
      <c r="Z34" s="2861"/>
      <c r="AA34" s="2861"/>
      <c r="AB34" s="2861"/>
      <c r="AC34" s="2861"/>
      <c r="AD34" s="2861"/>
      <c r="AE34" s="2861"/>
      <c r="AF34" s="2861"/>
      <c r="AG34" s="2861"/>
      <c r="AH34" s="2861"/>
      <c r="AI34" s="2861"/>
      <c r="AJ34" s="2861"/>
      <c r="AK34" s="2861"/>
      <c r="AL34" s="2861"/>
      <c r="AM34" s="2861"/>
      <c r="AN34" s="2861"/>
      <c r="AO34" s="2861"/>
      <c r="AP34" s="2861"/>
      <c r="AQ34" s="2861"/>
      <c r="AR34" s="3286"/>
      <c r="AS34" s="3286"/>
      <c r="AT34" s="3286"/>
      <c r="AU34" s="3286"/>
      <c r="AV34" s="3286"/>
      <c r="AW34" s="3286"/>
      <c r="AX34" s="3286"/>
      <c r="AY34" s="3292"/>
      <c r="AZ34" s="3283"/>
    </row>
    <row r="35" spans="2:52" ht="13.5" customHeight="1">
      <c r="B35" s="3498"/>
      <c r="C35" s="3498"/>
      <c r="D35" s="3498"/>
      <c r="E35" s="3294" t="s">
        <v>5495</v>
      </c>
      <c r="F35" s="2844"/>
      <c r="G35" s="3286"/>
      <c r="H35" s="3286"/>
      <c r="I35" s="3286"/>
      <c r="J35" s="3286"/>
      <c r="K35" s="3286"/>
      <c r="L35" s="3286"/>
      <c r="M35" s="3286"/>
      <c r="N35" s="3286"/>
      <c r="O35" s="3286"/>
      <c r="P35" s="3286"/>
      <c r="Q35" s="3286"/>
      <c r="R35" s="2864"/>
      <c r="S35" s="2864"/>
      <c r="T35" s="2864"/>
      <c r="U35" s="2864"/>
      <c r="V35" s="2864"/>
      <c r="W35" s="2864"/>
      <c r="X35" s="2861"/>
      <c r="Y35" s="2862"/>
      <c r="Z35" s="2861"/>
      <c r="AA35" s="2861"/>
      <c r="AB35" s="2861"/>
      <c r="AC35" s="2861"/>
      <c r="AD35" s="2861"/>
      <c r="AE35" s="2861"/>
      <c r="AF35" s="2861"/>
      <c r="AG35" s="2861"/>
      <c r="AH35" s="2861"/>
      <c r="AI35" s="2861"/>
      <c r="AJ35" s="2861"/>
      <c r="AK35" s="2861"/>
      <c r="AL35" s="2861"/>
      <c r="AM35" s="2861"/>
      <c r="AN35" s="2861"/>
      <c r="AO35" s="2861"/>
      <c r="AP35" s="2861"/>
      <c r="AQ35" s="2861"/>
      <c r="AR35" s="3286"/>
      <c r="AS35" s="3286"/>
      <c r="AT35" s="3286"/>
      <c r="AU35" s="3286"/>
      <c r="AV35" s="3286"/>
      <c r="AW35" s="3286"/>
      <c r="AX35" s="3286"/>
      <c r="AY35" s="3292"/>
      <c r="AZ35" s="3283"/>
    </row>
    <row r="36" spans="2:52" ht="13.5" customHeight="1">
      <c r="B36" s="3498"/>
      <c r="C36" s="3498"/>
      <c r="D36" s="3498"/>
      <c r="E36" s="3294" t="s">
        <v>5494</v>
      </c>
      <c r="F36" s="2844"/>
      <c r="G36" s="3286"/>
      <c r="H36" s="3286"/>
      <c r="I36" s="3286"/>
      <c r="J36" s="3286"/>
      <c r="K36" s="3286"/>
      <c r="L36" s="3286"/>
      <c r="M36" s="3286"/>
      <c r="N36" s="3286"/>
      <c r="O36" s="3286"/>
      <c r="P36" s="3286"/>
      <c r="Q36" s="3286"/>
      <c r="R36" s="2864"/>
      <c r="S36" s="2864"/>
      <c r="T36" s="2864"/>
      <c r="U36" s="2864"/>
      <c r="V36" s="2864"/>
      <c r="W36" s="2864"/>
      <c r="X36" s="2861"/>
      <c r="Y36" s="2862"/>
      <c r="Z36" s="2861"/>
      <c r="AA36" s="2861"/>
      <c r="AB36" s="2861"/>
      <c r="AC36" s="2861"/>
      <c r="AD36" s="2861"/>
      <c r="AE36" s="2861"/>
      <c r="AF36" s="2861"/>
      <c r="AG36" s="2861"/>
      <c r="AH36" s="2861"/>
      <c r="AI36" s="2861"/>
      <c r="AJ36" s="2861"/>
      <c r="AK36" s="2861"/>
      <c r="AL36" s="2861"/>
      <c r="AM36" s="2861"/>
      <c r="AN36" s="2861"/>
      <c r="AO36" s="2861"/>
      <c r="AP36" s="2861"/>
      <c r="AQ36" s="2861"/>
      <c r="AR36" s="3286"/>
      <c r="AS36" s="3286"/>
      <c r="AT36" s="3286"/>
      <c r="AU36" s="3286"/>
      <c r="AV36" s="3286"/>
      <c r="AW36" s="3286"/>
      <c r="AX36" s="3286"/>
      <c r="AY36" s="3292"/>
      <c r="AZ36" s="3502"/>
    </row>
    <row r="37" spans="2:52" ht="13.5" customHeight="1">
      <c r="B37" s="3498"/>
      <c r="C37" s="3498"/>
      <c r="D37" s="3498"/>
      <c r="E37" s="3294"/>
      <c r="F37" s="2844"/>
      <c r="G37" s="3286"/>
      <c r="H37" s="3286"/>
      <c r="I37" s="3286"/>
      <c r="J37" s="3286"/>
      <c r="K37" s="3286"/>
      <c r="L37" s="3286"/>
      <c r="M37" s="3286"/>
      <c r="N37" s="3286"/>
      <c r="O37" s="3286"/>
      <c r="P37" s="3286"/>
      <c r="Q37" s="3286"/>
      <c r="R37" s="2861"/>
      <c r="S37" s="2861"/>
      <c r="T37" s="2861"/>
      <c r="U37" s="2861"/>
      <c r="V37" s="2861"/>
      <c r="W37" s="2861"/>
      <c r="X37" s="2861"/>
      <c r="Y37" s="2861"/>
      <c r="Z37" s="2861"/>
      <c r="AA37" s="2861"/>
      <c r="AB37" s="2861"/>
      <c r="AC37" s="2861"/>
      <c r="AD37" s="2861"/>
      <c r="AE37" s="2861"/>
      <c r="AF37" s="2861"/>
      <c r="AG37" s="2861"/>
      <c r="AH37" s="2861"/>
      <c r="AI37" s="2861"/>
      <c r="AJ37" s="2861"/>
      <c r="AK37" s="2861"/>
      <c r="AL37" s="2861"/>
      <c r="AM37" s="2861"/>
      <c r="AN37" s="2861"/>
      <c r="AO37" s="2861"/>
      <c r="AP37" s="2861"/>
      <c r="AQ37" s="2861"/>
      <c r="AR37" s="3286"/>
      <c r="AS37" s="3286"/>
      <c r="AT37" s="3286"/>
      <c r="AU37" s="3286"/>
      <c r="AV37" s="3286"/>
      <c r="AW37" s="3286"/>
      <c r="AX37" s="3286"/>
      <c r="AY37" s="3292"/>
      <c r="AZ37" s="3502"/>
    </row>
    <row r="38" spans="2:52" ht="13.5" customHeight="1">
      <c r="B38" s="3498"/>
      <c r="C38" s="3498"/>
      <c r="D38" s="3498"/>
      <c r="E38" s="2860" t="s">
        <v>5493</v>
      </c>
      <c r="F38" s="2844"/>
      <c r="G38" s="3286"/>
      <c r="H38" s="3286"/>
      <c r="I38" s="3286"/>
      <c r="J38" s="3286"/>
      <c r="K38" s="3286"/>
      <c r="L38" s="3286"/>
      <c r="M38" s="3286"/>
      <c r="N38" s="3286"/>
      <c r="O38" s="3286"/>
      <c r="P38" s="3286"/>
      <c r="Q38" s="3286"/>
      <c r="R38" s="2864"/>
      <c r="S38" s="2864"/>
      <c r="T38" s="2864"/>
      <c r="U38" s="2864"/>
      <c r="V38" s="2864"/>
      <c r="W38" s="2864"/>
      <c r="X38" s="2861"/>
      <c r="Y38" s="2862"/>
      <c r="Z38" s="2861"/>
      <c r="AA38" s="2861"/>
      <c r="AB38" s="2861"/>
      <c r="AC38" s="2861"/>
      <c r="AD38" s="2861"/>
      <c r="AE38" s="2861"/>
      <c r="AF38" s="2861"/>
      <c r="AG38" s="2861"/>
      <c r="AH38" s="2861"/>
      <c r="AI38" s="2861"/>
      <c r="AJ38" s="2861"/>
      <c r="AK38" s="2861"/>
      <c r="AL38" s="2861"/>
      <c r="AM38" s="2861"/>
      <c r="AN38" s="2861"/>
      <c r="AO38" s="2861"/>
      <c r="AP38" s="2861"/>
      <c r="AQ38" s="2861"/>
      <c r="AR38" s="3286"/>
      <c r="AS38" s="3286"/>
      <c r="AT38" s="3286"/>
      <c r="AU38" s="3286"/>
      <c r="AV38" s="3286"/>
      <c r="AW38" s="3286"/>
      <c r="AX38" s="3286"/>
      <c r="AY38" s="3292"/>
      <c r="AZ38" s="3283"/>
    </row>
    <row r="39" spans="2:52" ht="13.5" customHeight="1">
      <c r="B39" s="3498"/>
      <c r="C39" s="3498"/>
      <c r="D39" s="3498"/>
      <c r="E39" s="2860" t="s">
        <v>5492</v>
      </c>
      <c r="F39" s="2844"/>
      <c r="G39" s="3286"/>
      <c r="H39" s="3286"/>
      <c r="I39" s="3286"/>
      <c r="J39" s="3286"/>
      <c r="K39" s="3286"/>
      <c r="L39" s="3286"/>
      <c r="M39" s="3286"/>
      <c r="N39" s="3286"/>
      <c r="O39" s="3286"/>
      <c r="P39" s="3286"/>
      <c r="Q39" s="3286"/>
      <c r="R39" s="2864"/>
      <c r="S39" s="2864"/>
      <c r="T39" s="2864"/>
      <c r="U39" s="2864"/>
      <c r="V39" s="2864"/>
      <c r="W39" s="2864"/>
      <c r="X39" s="2861"/>
      <c r="Y39" s="2862"/>
      <c r="Z39" s="2861"/>
      <c r="AA39" s="2861"/>
      <c r="AB39" s="2861"/>
      <c r="AC39" s="2861"/>
      <c r="AD39" s="2861"/>
      <c r="AE39" s="2861"/>
      <c r="AF39" s="2861"/>
      <c r="AG39" s="2861"/>
      <c r="AH39" s="2861"/>
      <c r="AI39" s="2861"/>
      <c r="AJ39" s="2861"/>
      <c r="AK39" s="2864"/>
      <c r="AL39" s="2864"/>
      <c r="AM39" s="2864"/>
      <c r="AN39" s="2864"/>
      <c r="AO39" s="2864"/>
      <c r="AP39" s="2864"/>
      <c r="AQ39" s="2861"/>
      <c r="AR39" s="3286"/>
      <c r="AS39" s="3286"/>
      <c r="AT39" s="3286"/>
      <c r="AU39" s="3286"/>
      <c r="AV39" s="3286"/>
      <c r="AW39" s="3286"/>
      <c r="AX39" s="3286"/>
      <c r="AY39" s="3292"/>
      <c r="AZ39" s="3283"/>
    </row>
    <row r="40" spans="2:52" ht="13.5" customHeight="1">
      <c r="B40" s="3498"/>
      <c r="C40" s="3498"/>
      <c r="D40" s="3498"/>
      <c r="E40" s="3294" t="s">
        <v>5491</v>
      </c>
      <c r="F40" s="2844"/>
      <c r="G40" s="3286"/>
      <c r="H40" s="3286"/>
      <c r="I40" s="3286"/>
      <c r="J40" s="3286"/>
      <c r="K40" s="3286"/>
      <c r="L40" s="3286"/>
      <c r="M40" s="3286"/>
      <c r="N40" s="3286"/>
      <c r="O40" s="3286"/>
      <c r="P40" s="3286"/>
      <c r="Q40" s="3286"/>
      <c r="R40" s="2864"/>
      <c r="S40" s="2864"/>
      <c r="T40" s="2864"/>
      <c r="U40" s="2864"/>
      <c r="V40" s="2864"/>
      <c r="W40" s="2864"/>
      <c r="X40" s="2861"/>
      <c r="Y40" s="2862"/>
      <c r="Z40" s="2861"/>
      <c r="AA40" s="2861"/>
      <c r="AB40" s="2861"/>
      <c r="AC40" s="2861"/>
      <c r="AD40" s="2861"/>
      <c r="AE40" s="2861"/>
      <c r="AF40" s="2861"/>
      <c r="AG40" s="2861"/>
      <c r="AH40" s="2861"/>
      <c r="AI40" s="2861"/>
      <c r="AJ40" s="2861"/>
      <c r="AK40" s="2861"/>
      <c r="AL40" s="2861"/>
      <c r="AM40" s="2861"/>
      <c r="AN40" s="2861"/>
      <c r="AO40" s="2861"/>
      <c r="AP40" s="2861"/>
      <c r="AQ40" s="2861"/>
      <c r="AR40" s="3286"/>
      <c r="AS40" s="3286"/>
      <c r="AT40" s="3286"/>
      <c r="AU40" s="3286"/>
      <c r="AV40" s="3286"/>
      <c r="AW40" s="3286"/>
      <c r="AX40" s="3286"/>
      <c r="AY40" s="3292"/>
      <c r="AZ40" s="3502"/>
    </row>
    <row r="41" spans="2:52" ht="13.5" customHeight="1">
      <c r="B41" s="3498"/>
      <c r="C41" s="3498"/>
      <c r="D41" s="3498"/>
      <c r="E41" s="3294"/>
      <c r="F41" s="2844"/>
      <c r="G41" s="3286"/>
      <c r="H41" s="3286"/>
      <c r="I41" s="3286"/>
      <c r="J41" s="3286"/>
      <c r="K41" s="3286"/>
      <c r="L41" s="3286"/>
      <c r="M41" s="3286"/>
      <c r="N41" s="3286"/>
      <c r="O41" s="3286"/>
      <c r="P41" s="3286"/>
      <c r="Q41" s="3286"/>
      <c r="R41" s="2861"/>
      <c r="S41" s="2861"/>
      <c r="T41" s="2861"/>
      <c r="U41" s="2861"/>
      <c r="V41" s="2861"/>
      <c r="W41" s="2861"/>
      <c r="X41" s="2861"/>
      <c r="Y41" s="2861"/>
      <c r="Z41" s="2861"/>
      <c r="AA41" s="2861"/>
      <c r="AB41" s="2861"/>
      <c r="AC41" s="2861"/>
      <c r="AD41" s="2861"/>
      <c r="AE41" s="2861"/>
      <c r="AF41" s="2861"/>
      <c r="AG41" s="2861"/>
      <c r="AH41" s="2861"/>
      <c r="AI41" s="2861"/>
      <c r="AJ41" s="2861"/>
      <c r="AK41" s="2861"/>
      <c r="AL41" s="2861"/>
      <c r="AM41" s="2861"/>
      <c r="AN41" s="2861"/>
      <c r="AO41" s="2861"/>
      <c r="AP41" s="2861"/>
      <c r="AQ41" s="2861"/>
      <c r="AR41" s="3286"/>
      <c r="AS41" s="3286"/>
      <c r="AT41" s="3286"/>
      <c r="AU41" s="3286"/>
      <c r="AV41" s="3286"/>
      <c r="AW41" s="3286"/>
      <c r="AX41" s="3286"/>
      <c r="AY41" s="3292"/>
      <c r="AZ41" s="3498"/>
    </row>
    <row r="42" spans="2:52" ht="13.5" customHeight="1">
      <c r="B42" s="3498"/>
      <c r="C42" s="3498"/>
      <c r="D42" s="3498"/>
      <c r="E42" s="3294" t="s">
        <v>5427</v>
      </c>
      <c r="F42" s="2844"/>
      <c r="G42" s="3286"/>
      <c r="H42" s="3286"/>
      <c r="I42" s="3286"/>
      <c r="J42" s="3286"/>
      <c r="K42" s="3286"/>
      <c r="L42" s="3286"/>
      <c r="M42" s="3286"/>
      <c r="N42" s="3286"/>
      <c r="O42" s="3286"/>
      <c r="P42" s="3286"/>
      <c r="Q42" s="3286"/>
      <c r="R42" s="2863"/>
      <c r="S42" s="2863"/>
      <c r="T42" s="2863"/>
      <c r="U42" s="2863"/>
      <c r="V42" s="2863"/>
      <c r="W42" s="2863"/>
      <c r="X42" s="2861"/>
      <c r="Y42" s="2862"/>
      <c r="Z42" s="2861"/>
      <c r="AA42" s="2861"/>
      <c r="AB42" s="2861"/>
      <c r="AC42" s="2861"/>
      <c r="AD42" s="2861"/>
      <c r="AE42" s="2861"/>
      <c r="AF42" s="2861"/>
      <c r="AG42" s="2861"/>
      <c r="AH42" s="2861"/>
      <c r="AI42" s="2861"/>
      <c r="AJ42" s="2861"/>
      <c r="AK42" s="2861"/>
      <c r="AL42" s="2861"/>
      <c r="AM42" s="2861"/>
      <c r="AN42" s="2861"/>
      <c r="AO42" s="2861"/>
      <c r="AP42" s="2861"/>
      <c r="AQ42" s="2861"/>
      <c r="AR42" s="3286"/>
      <c r="AS42" s="3286"/>
      <c r="AT42" s="3286"/>
      <c r="AU42" s="3286"/>
      <c r="AV42" s="3286"/>
      <c r="AW42" s="3286"/>
      <c r="AX42" s="3286"/>
      <c r="AY42" s="3292"/>
      <c r="AZ42" s="3283"/>
    </row>
    <row r="43" spans="2:52" ht="13.5" customHeight="1">
      <c r="B43" s="3503"/>
      <c r="C43" s="3503"/>
      <c r="D43" s="3503"/>
      <c r="E43" s="3297"/>
      <c r="F43" s="2839"/>
      <c r="G43" s="3298"/>
      <c r="H43" s="3298"/>
      <c r="I43" s="3298"/>
      <c r="J43" s="3298"/>
      <c r="K43" s="3298"/>
      <c r="L43" s="3298"/>
      <c r="M43" s="3298"/>
      <c r="N43" s="3298"/>
      <c r="O43" s="3298"/>
      <c r="P43" s="3298"/>
      <c r="Q43" s="3298"/>
      <c r="R43" s="3298"/>
      <c r="S43" s="3298"/>
      <c r="T43" s="3298"/>
      <c r="U43" s="3298"/>
      <c r="V43" s="3298"/>
      <c r="W43" s="3298"/>
      <c r="X43" s="3298"/>
      <c r="Y43" s="3298"/>
      <c r="Z43" s="3298"/>
      <c r="AA43" s="3298"/>
      <c r="AB43" s="3298"/>
      <c r="AC43" s="3298"/>
      <c r="AD43" s="3298"/>
      <c r="AE43" s="3298"/>
      <c r="AF43" s="3298"/>
      <c r="AG43" s="3298"/>
      <c r="AH43" s="3298"/>
      <c r="AI43" s="3298"/>
      <c r="AJ43" s="3298"/>
      <c r="AK43" s="3298"/>
      <c r="AL43" s="3298"/>
      <c r="AM43" s="3298"/>
      <c r="AN43" s="3298"/>
      <c r="AO43" s="3298"/>
      <c r="AP43" s="3298"/>
      <c r="AQ43" s="3298"/>
      <c r="AR43" s="3298"/>
      <c r="AS43" s="3298"/>
      <c r="AT43" s="3298"/>
      <c r="AU43" s="3298"/>
      <c r="AV43" s="3298"/>
      <c r="AW43" s="3298"/>
      <c r="AX43" s="3298"/>
      <c r="AY43" s="3293"/>
      <c r="AZ43" s="3285"/>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3290"/>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3283"/>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3285"/>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3290"/>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3283"/>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3283"/>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3283"/>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3285"/>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3283"/>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3283"/>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3290"/>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3285"/>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3283"/>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3283"/>
    </row>
    <row r="58" spans="2:52" ht="13.5" customHeight="1">
      <c r="B58" s="3498"/>
      <c r="C58" s="3514">
        <v>7</v>
      </c>
      <c r="D58" s="3512" t="s">
        <v>5479</v>
      </c>
      <c r="E58" s="3295"/>
      <c r="F58" s="2849"/>
      <c r="G58" s="3296"/>
      <c r="H58" s="3296"/>
      <c r="I58" s="3296"/>
      <c r="J58" s="3296"/>
      <c r="K58" s="3296"/>
      <c r="L58" s="3296"/>
      <c r="M58" s="3296"/>
      <c r="N58" s="3296"/>
      <c r="O58" s="3296"/>
      <c r="P58" s="3296"/>
      <c r="Q58" s="3296"/>
      <c r="R58" s="3296"/>
      <c r="S58" s="3296"/>
      <c r="T58" s="3296"/>
      <c r="U58" s="3296"/>
      <c r="V58" s="3296"/>
      <c r="W58" s="3296"/>
      <c r="X58" s="3296"/>
      <c r="Y58" s="3296"/>
      <c r="Z58" s="3296"/>
      <c r="AA58" s="3296"/>
      <c r="AB58" s="3296"/>
      <c r="AC58" s="3296"/>
      <c r="AD58" s="3296"/>
      <c r="AE58" s="3296"/>
      <c r="AF58" s="3296"/>
      <c r="AG58" s="3296"/>
      <c r="AH58" s="3296"/>
      <c r="AI58" s="3296"/>
      <c r="AJ58" s="3296"/>
      <c r="AK58" s="3296"/>
      <c r="AL58" s="3296"/>
      <c r="AM58" s="3296"/>
      <c r="AN58" s="3296"/>
      <c r="AO58" s="3296"/>
      <c r="AP58" s="3296"/>
      <c r="AQ58" s="3296"/>
      <c r="AR58" s="3296"/>
      <c r="AS58" s="3296"/>
      <c r="AT58" s="3296"/>
      <c r="AU58" s="3296"/>
      <c r="AV58" s="3296"/>
      <c r="AW58" s="3296"/>
      <c r="AX58" s="3296"/>
      <c r="AY58" s="3291"/>
      <c r="AZ58" s="3290"/>
    </row>
    <row r="59" spans="2:52" ht="13.5" customHeight="1">
      <c r="B59" s="3498"/>
      <c r="C59" s="3498"/>
      <c r="D59" s="3502"/>
      <c r="E59" s="2860" t="s">
        <v>5478</v>
      </c>
      <c r="F59" s="2844"/>
      <c r="G59" s="2844"/>
      <c r="H59" s="2844"/>
      <c r="I59" s="2844"/>
      <c r="J59" s="2844"/>
      <c r="K59" s="2844"/>
      <c r="L59" s="2844"/>
      <c r="M59" s="2844"/>
      <c r="N59" s="2844"/>
      <c r="O59" s="2844"/>
      <c r="P59" s="2844"/>
      <c r="Q59" s="3286"/>
      <c r="R59" s="3519">
        <f>基礎数値!H11</f>
        <v>9106828850</v>
      </c>
      <c r="S59" s="3519"/>
      <c r="T59" s="3519"/>
      <c r="U59" s="3519"/>
      <c r="V59" s="3519"/>
      <c r="W59" s="3519"/>
      <c r="X59" s="3286"/>
      <c r="Y59" s="3287" t="s">
        <v>5476</v>
      </c>
      <c r="Z59" s="3286"/>
      <c r="AA59" s="3286"/>
      <c r="AB59" s="3286"/>
      <c r="AC59" s="3286"/>
      <c r="AD59" s="3286"/>
      <c r="AE59" s="3286"/>
      <c r="AF59" s="3286"/>
      <c r="AG59" s="3286"/>
      <c r="AH59" s="3286"/>
      <c r="AI59" s="2844"/>
      <c r="AJ59" s="3286"/>
      <c r="AK59" s="3286"/>
      <c r="AL59" s="3286"/>
      <c r="AM59" s="3286"/>
      <c r="AN59" s="3286"/>
      <c r="AO59" s="3286"/>
      <c r="AP59" s="3286"/>
      <c r="AQ59" s="3286"/>
      <c r="AR59" s="3286"/>
      <c r="AS59" s="3286"/>
      <c r="AT59" s="3286"/>
      <c r="AU59" s="3286"/>
      <c r="AV59" s="3286"/>
      <c r="AW59" s="3286"/>
      <c r="AX59" s="3286"/>
      <c r="AY59" s="3292"/>
      <c r="AZ59" s="3283"/>
    </row>
    <row r="60" spans="2:52" ht="13.5" customHeight="1">
      <c r="B60" s="3498"/>
      <c r="C60" s="3498"/>
      <c r="D60" s="3502"/>
      <c r="E60" s="2860" t="s">
        <v>5477</v>
      </c>
      <c r="F60" s="3286"/>
      <c r="G60" s="3286"/>
      <c r="H60" s="3286"/>
      <c r="I60" s="3286"/>
      <c r="J60" s="3286"/>
      <c r="K60" s="3286"/>
      <c r="L60" s="3286"/>
      <c r="M60" s="3286"/>
      <c r="N60" s="3286"/>
      <c r="O60" s="3286"/>
      <c r="P60" s="3286"/>
      <c r="Q60" s="3286"/>
      <c r="R60" s="3519">
        <f>基礎数値!H12</f>
        <v>16278736624</v>
      </c>
      <c r="S60" s="3519"/>
      <c r="T60" s="3519"/>
      <c r="U60" s="3519"/>
      <c r="V60" s="3519"/>
      <c r="W60" s="3519"/>
      <c r="X60" s="3286"/>
      <c r="Y60" s="3287" t="s">
        <v>5476</v>
      </c>
      <c r="Z60" s="3286"/>
      <c r="AA60" s="3286"/>
      <c r="AB60" s="3286"/>
      <c r="AC60" s="3286"/>
      <c r="AD60" s="3286"/>
      <c r="AE60" s="3286"/>
      <c r="AF60" s="3286"/>
      <c r="AG60" s="3286"/>
      <c r="AH60" s="3286"/>
      <c r="AI60" s="3286"/>
      <c r="AJ60" s="3286" t="s">
        <v>5447</v>
      </c>
      <c r="AK60" s="3497">
        <f>R59+R60</f>
        <v>25385565474</v>
      </c>
      <c r="AL60" s="3497"/>
      <c r="AM60" s="3497"/>
      <c r="AN60" s="3497"/>
      <c r="AO60" s="3497"/>
      <c r="AP60" s="3497"/>
      <c r="AQ60" s="3286"/>
      <c r="AR60" s="3286"/>
      <c r="AS60" s="3286"/>
      <c r="AT60" s="3286"/>
      <c r="AU60" s="3286"/>
      <c r="AV60" s="3286"/>
      <c r="AW60" s="3286"/>
      <c r="AX60" s="3286"/>
      <c r="AY60" s="3292"/>
      <c r="AZ60" s="3283"/>
    </row>
    <row r="61" spans="2:52" ht="13.5" customHeight="1">
      <c r="B61" s="3498"/>
      <c r="C61" s="3498"/>
      <c r="D61" s="3502"/>
      <c r="E61" s="3294" t="s">
        <v>6241</v>
      </c>
      <c r="F61" s="2844"/>
      <c r="G61" s="3286"/>
      <c r="H61" s="3286"/>
      <c r="I61" s="3286"/>
      <c r="J61" s="3286"/>
      <c r="K61" s="3286"/>
      <c r="L61" s="3286"/>
      <c r="M61" s="3286"/>
      <c r="N61" s="3286"/>
      <c r="O61" s="3286"/>
      <c r="P61" s="3286"/>
      <c r="Q61" s="3286"/>
      <c r="R61" s="3538">
        <f>基礎数値!H16</f>
        <v>34600</v>
      </c>
      <c r="S61" s="3538"/>
      <c r="T61" s="3538"/>
      <c r="U61" s="3538"/>
      <c r="V61" s="3538"/>
      <c r="W61" s="3538"/>
      <c r="X61" s="3286"/>
      <c r="Y61" s="3286" t="s">
        <v>6245</v>
      </c>
      <c r="Z61" s="3286"/>
      <c r="AA61" s="3286"/>
      <c r="AB61" s="3286"/>
      <c r="AC61" s="3286"/>
      <c r="AD61" s="3286"/>
      <c r="AE61" s="3286"/>
      <c r="AF61" s="3286"/>
      <c r="AG61" s="3286"/>
      <c r="AH61" s="3286"/>
      <c r="AI61" s="3519">
        <f>基礎数値!H11-R61+基礎数値!H12</f>
        <v>25385530874</v>
      </c>
      <c r="AJ61" s="3519"/>
      <c r="AK61" s="3519"/>
      <c r="AL61" s="3519"/>
      <c r="AM61" s="3519"/>
      <c r="AN61" s="3519"/>
      <c r="AO61" s="3286"/>
      <c r="AP61" s="3286"/>
      <c r="AQ61" s="3286"/>
      <c r="AR61" s="3286"/>
      <c r="AS61" s="3286"/>
      <c r="AT61" s="3286"/>
      <c r="AU61" s="3286"/>
      <c r="AV61" s="3286"/>
      <c r="AW61" s="3286"/>
      <c r="AX61" s="3286"/>
      <c r="AY61" s="3292"/>
      <c r="AZ61" s="3283"/>
    </row>
    <row r="62" spans="2:52" ht="13.5" customHeight="1">
      <c r="B62" s="3498"/>
      <c r="C62" s="3498"/>
      <c r="D62" s="3502"/>
      <c r="E62" s="3325" t="s">
        <v>6244</v>
      </c>
      <c r="F62" s="2844"/>
      <c r="G62" s="3326"/>
      <c r="H62" s="3326"/>
      <c r="I62" s="3326"/>
      <c r="J62" s="3326"/>
      <c r="K62" s="3326"/>
      <c r="L62" s="3326"/>
      <c r="M62" s="3326"/>
      <c r="N62" s="3326"/>
      <c r="O62" s="3326"/>
      <c r="P62" s="3326"/>
      <c r="Q62" s="3326"/>
      <c r="R62" s="3539">
        <f>ROUNDDOWN(R61*0.2*78/1100,0)</f>
        <v>490</v>
      </c>
      <c r="S62" s="3539"/>
      <c r="T62" s="3539"/>
      <c r="U62" s="3539"/>
      <c r="V62" s="3539"/>
      <c r="W62" s="3539"/>
      <c r="X62" s="3326"/>
      <c r="Y62" s="3328" t="s">
        <v>6247</v>
      </c>
      <c r="Z62" s="3326"/>
      <c r="AA62" s="3326"/>
      <c r="AB62" s="3326"/>
      <c r="AC62" s="3326"/>
      <c r="AD62" s="3326"/>
      <c r="AE62" s="3326"/>
      <c r="AF62" s="3326"/>
      <c r="AG62" s="3326"/>
      <c r="AH62" s="3326"/>
      <c r="AI62" s="3519">
        <f>ROUNDDOWN((AK60-R65-R66)*78/1100,0)-R62-R63</f>
        <v>1799310462</v>
      </c>
      <c r="AJ62" s="3519"/>
      <c r="AK62" s="3519"/>
      <c r="AL62" s="3519"/>
      <c r="AM62" s="3519"/>
      <c r="AN62" s="3519"/>
      <c r="AO62" s="3326"/>
      <c r="AP62" s="3326"/>
      <c r="AQ62" s="3326"/>
      <c r="AR62" s="3326"/>
      <c r="AS62" s="3326"/>
      <c r="AT62" s="3326"/>
      <c r="AU62" s="3326"/>
      <c r="AV62" s="3326"/>
      <c r="AW62" s="3326"/>
      <c r="AX62" s="3326"/>
      <c r="AY62" s="3327"/>
      <c r="AZ62" s="3324"/>
    </row>
    <row r="63" spans="2:52" ht="13.5" customHeight="1">
      <c r="B63" s="3498"/>
      <c r="C63" s="3498"/>
      <c r="D63" s="3502"/>
      <c r="E63" s="3325" t="s">
        <v>6246</v>
      </c>
      <c r="F63" s="2844"/>
      <c r="G63" s="3326"/>
      <c r="H63" s="3326"/>
      <c r="I63" s="3326"/>
      <c r="J63" s="3326"/>
      <c r="K63" s="3326"/>
      <c r="L63" s="3326"/>
      <c r="M63" s="3326"/>
      <c r="N63" s="3326"/>
      <c r="O63" s="3326"/>
      <c r="P63" s="3326"/>
      <c r="Q63" s="3326"/>
      <c r="R63" s="3539">
        <f>ROUNDDOWN(R61*78/1100,0)-R62</f>
        <v>1963</v>
      </c>
      <c r="S63" s="3539"/>
      <c r="T63" s="3539"/>
      <c r="U63" s="3539"/>
      <c r="V63" s="3539"/>
      <c r="W63" s="3539"/>
      <c r="X63" s="3326"/>
      <c r="Y63" s="3326"/>
      <c r="Z63" s="3326"/>
      <c r="AA63" s="3326"/>
      <c r="AB63" s="3326"/>
      <c r="AC63" s="3326"/>
      <c r="AD63" s="3326"/>
      <c r="AE63" s="3326"/>
      <c r="AF63" s="3326"/>
      <c r="AG63" s="3326"/>
      <c r="AH63" s="3326"/>
      <c r="AI63" s="3326"/>
      <c r="AJ63" s="3326"/>
      <c r="AK63" s="3326"/>
      <c r="AL63" s="3326"/>
      <c r="AM63" s="3326"/>
      <c r="AN63" s="3326"/>
      <c r="AO63" s="3326"/>
      <c r="AP63" s="3326"/>
      <c r="AQ63" s="3326"/>
      <c r="AR63" s="3326"/>
      <c r="AS63" s="3326"/>
      <c r="AT63" s="3326"/>
      <c r="AU63" s="3326"/>
      <c r="AV63" s="3326"/>
      <c r="AW63" s="3326"/>
      <c r="AX63" s="3326"/>
      <c r="AY63" s="3327"/>
      <c r="AZ63" s="3324"/>
    </row>
    <row r="64" spans="2:52" ht="13.5" customHeight="1">
      <c r="B64" s="3498"/>
      <c r="C64" s="3498"/>
      <c r="D64" s="3502"/>
      <c r="E64" s="2860" t="s">
        <v>5474</v>
      </c>
      <c r="F64" s="2844"/>
      <c r="G64" s="3286"/>
      <c r="H64" s="3286"/>
      <c r="I64" s="3286"/>
      <c r="J64" s="3286"/>
      <c r="K64" s="3286"/>
      <c r="L64" s="3286"/>
      <c r="M64" s="3286"/>
      <c r="N64" s="3286"/>
      <c r="O64" s="3286"/>
      <c r="P64" s="3286"/>
      <c r="Q64" s="3286"/>
      <c r="R64" s="3286"/>
      <c r="S64" s="3286"/>
      <c r="T64" s="3286"/>
      <c r="U64" s="3286"/>
      <c r="V64" s="3286"/>
      <c r="W64" s="3286"/>
      <c r="X64" s="3286"/>
      <c r="Y64" s="3286"/>
      <c r="Z64" s="3286"/>
      <c r="AA64" s="3286"/>
      <c r="AB64" s="3286"/>
      <c r="AC64" s="3286"/>
      <c r="AD64" s="3286"/>
      <c r="AE64" s="3286"/>
      <c r="AF64" s="3286"/>
      <c r="AG64" s="3286"/>
      <c r="AH64" s="3286"/>
      <c r="AI64" s="3286"/>
      <c r="AJ64" s="3286"/>
      <c r="AK64" s="3286"/>
      <c r="AL64" s="3286"/>
      <c r="AM64" s="3286"/>
      <c r="AN64" s="3286"/>
      <c r="AO64" s="3286"/>
      <c r="AP64" s="3286"/>
      <c r="AQ64" s="3286"/>
      <c r="AR64" s="3286"/>
      <c r="AS64" s="3286"/>
      <c r="AT64" s="3286"/>
      <c r="AU64" s="3286"/>
      <c r="AV64" s="3286"/>
      <c r="AW64" s="3286"/>
      <c r="AX64" s="3286"/>
      <c r="AY64" s="3292"/>
      <c r="AZ64" s="3283"/>
    </row>
    <row r="65" spans="2:52" ht="13.5" customHeight="1">
      <c r="B65" s="3498"/>
      <c r="C65" s="3498"/>
      <c r="D65" s="3502"/>
      <c r="E65" s="3294"/>
      <c r="F65" s="2844"/>
      <c r="G65" s="3286"/>
      <c r="H65" s="2844" t="s">
        <v>5473</v>
      </c>
      <c r="I65" s="3286"/>
      <c r="J65" s="3286"/>
      <c r="K65" s="3286"/>
      <c r="L65" s="3286"/>
      <c r="M65" s="3286"/>
      <c r="N65" s="3286"/>
      <c r="O65" s="3286"/>
      <c r="P65" s="3286"/>
      <c r="Q65" s="3286"/>
      <c r="R65" s="3519">
        <f>基礎数値!H14</f>
        <v>10639743</v>
      </c>
      <c r="S65" s="3519"/>
      <c r="T65" s="3519"/>
      <c r="U65" s="3519"/>
      <c r="V65" s="3519"/>
      <c r="W65" s="3519"/>
      <c r="X65" s="3286" t="s">
        <v>5472</v>
      </c>
      <c r="Y65" s="3287" t="s">
        <v>5471</v>
      </c>
      <c r="Z65" s="3286"/>
      <c r="AA65" s="3286"/>
      <c r="AB65" s="3286"/>
      <c r="AC65" s="3286"/>
      <c r="AD65" s="3286"/>
      <c r="AE65" s="3286"/>
      <c r="AF65" s="3286"/>
      <c r="AG65" s="3286"/>
      <c r="AH65" s="3286"/>
      <c r="AI65" s="3286"/>
      <c r="AJ65" s="3286"/>
      <c r="AK65" s="3286"/>
      <c r="AL65" s="3286"/>
      <c r="AM65" s="3286"/>
      <c r="AN65" s="3286"/>
      <c r="AO65" s="3286"/>
      <c r="AP65" s="3286"/>
      <c r="AQ65" s="3286"/>
      <c r="AR65" s="3286"/>
      <c r="AS65" s="3286"/>
      <c r="AT65" s="3286"/>
      <c r="AU65" s="3286"/>
      <c r="AV65" s="3286"/>
      <c r="AW65" s="3286"/>
      <c r="AX65" s="3286"/>
      <c r="AY65" s="3292"/>
      <c r="AZ65" s="3283"/>
    </row>
    <row r="66" spans="2:52" ht="13.5" customHeight="1">
      <c r="B66" s="3498"/>
      <c r="C66" s="3498"/>
      <c r="D66" s="3502"/>
      <c r="E66" s="3294"/>
      <c r="F66" s="2844"/>
      <c r="G66" s="3286"/>
      <c r="H66" s="2844" t="s">
        <v>5470</v>
      </c>
      <c r="I66" s="3286"/>
      <c r="J66" s="3286"/>
      <c r="K66" s="3286"/>
      <c r="L66" s="3286"/>
      <c r="M66" s="3286"/>
      <c r="N66" s="3286"/>
      <c r="O66" s="3286"/>
      <c r="P66" s="3286"/>
      <c r="Q66" s="3286"/>
      <c r="R66" s="3535">
        <f>R24</f>
        <v>0</v>
      </c>
      <c r="S66" s="3536"/>
      <c r="T66" s="3536"/>
      <c r="U66" s="3536"/>
      <c r="V66" s="3536"/>
      <c r="W66" s="3537"/>
      <c r="X66" s="3286"/>
      <c r="Y66" s="3287" t="s">
        <v>5469</v>
      </c>
      <c r="Z66" s="3286"/>
      <c r="AA66" s="3286"/>
      <c r="AB66" s="3286"/>
      <c r="AC66" s="3286"/>
      <c r="AD66" s="3286"/>
      <c r="AE66" s="3286"/>
      <c r="AF66" s="3286"/>
      <c r="AG66" s="3286"/>
      <c r="AH66" s="3286"/>
      <c r="AI66" s="3286"/>
      <c r="AJ66" s="3286"/>
      <c r="AK66" s="3286"/>
      <c r="AL66" s="3286"/>
      <c r="AM66" s="3286"/>
      <c r="AN66" s="3286"/>
      <c r="AO66" s="3286"/>
      <c r="AP66" s="3286"/>
      <c r="AQ66" s="3286"/>
      <c r="AR66" s="3286"/>
      <c r="AS66" s="3286"/>
      <c r="AT66" s="3286"/>
      <c r="AU66" s="3286"/>
      <c r="AV66" s="3286"/>
      <c r="AW66" s="3286"/>
      <c r="AX66" s="3286"/>
      <c r="AY66" s="3292"/>
      <c r="AZ66" s="3283"/>
    </row>
    <row r="67" spans="2:52" ht="13.5" customHeight="1" thickBot="1">
      <c r="B67" s="3498"/>
      <c r="C67" s="3498"/>
      <c r="D67" s="3502"/>
      <c r="E67" s="3294"/>
      <c r="F67" s="2844"/>
      <c r="G67" s="3286"/>
      <c r="H67" s="3286"/>
      <c r="I67" s="3286"/>
      <c r="J67" s="3286"/>
      <c r="K67" s="3286"/>
      <c r="L67" s="3286"/>
      <c r="M67" s="3286"/>
      <c r="N67" s="3286"/>
      <c r="O67" s="3286"/>
      <c r="P67" s="3286"/>
      <c r="Q67" s="3286"/>
      <c r="R67" s="3286"/>
      <c r="S67" s="3286"/>
      <c r="T67" s="3286"/>
      <c r="U67" s="3286"/>
      <c r="V67" s="3286"/>
      <c r="W67" s="3286"/>
      <c r="X67" s="3286"/>
      <c r="Y67" s="3286"/>
      <c r="Z67" s="3286"/>
      <c r="AA67" s="3286"/>
      <c r="AB67" s="3286"/>
      <c r="AC67" s="3286"/>
      <c r="AD67" s="3286"/>
      <c r="AE67" s="3286"/>
      <c r="AF67" s="3286"/>
      <c r="AG67" s="3286"/>
      <c r="AH67" s="3286"/>
      <c r="AI67" s="3286"/>
      <c r="AJ67" s="3286"/>
      <c r="AK67" s="3286"/>
      <c r="AL67" s="3286"/>
      <c r="AM67" s="3286"/>
      <c r="AN67" s="3286"/>
      <c r="AO67" s="3286"/>
      <c r="AP67" s="3286"/>
      <c r="AQ67" s="3286"/>
      <c r="AR67" s="3286"/>
      <c r="AS67" s="3286"/>
      <c r="AT67" s="3286"/>
      <c r="AU67" s="3286"/>
      <c r="AV67" s="3286"/>
      <c r="AW67" s="3286"/>
      <c r="AX67" s="3286"/>
      <c r="AY67" s="3292"/>
      <c r="AZ67" s="3283"/>
    </row>
    <row r="68" spans="2:52" ht="13.5" customHeight="1" thickTop="1" thickBot="1">
      <c r="B68" s="3498"/>
      <c r="C68" s="3498"/>
      <c r="D68" s="3502"/>
      <c r="E68" s="2860" t="s">
        <v>5468</v>
      </c>
      <c r="F68" s="2844"/>
      <c r="G68" s="3286"/>
      <c r="H68" s="3286"/>
      <c r="I68" s="3286"/>
      <c r="J68" s="3286"/>
      <c r="K68" s="3286"/>
      <c r="L68" s="3286"/>
      <c r="M68" s="3286"/>
      <c r="N68" s="3286"/>
      <c r="O68" s="3286"/>
      <c r="P68" s="3286"/>
      <c r="Q68" s="3286"/>
      <c r="R68" s="3286"/>
      <c r="S68" s="3286"/>
      <c r="T68" s="3507">
        <f>AK60-R65-R66</f>
        <v>25374925731</v>
      </c>
      <c r="U68" s="3508"/>
      <c r="V68" s="3508"/>
      <c r="W68" s="3508"/>
      <c r="X68" s="3508"/>
      <c r="Y68" s="3509"/>
      <c r="Z68" s="3286"/>
      <c r="AA68" s="3287" t="s">
        <v>5467</v>
      </c>
      <c r="AB68" s="3286"/>
      <c r="AC68" s="3286"/>
      <c r="AD68" s="3286"/>
      <c r="AE68" s="3286"/>
      <c r="AF68" s="3286"/>
      <c r="AG68" s="3286"/>
      <c r="AH68" s="3286"/>
      <c r="AI68" s="3286"/>
      <c r="AJ68" s="3286"/>
      <c r="AK68" s="3286"/>
      <c r="AL68" s="3286"/>
      <c r="AM68" s="3286"/>
      <c r="AN68" s="3286"/>
      <c r="AO68" s="3286"/>
      <c r="AP68" s="3286"/>
      <c r="AQ68" s="3286"/>
      <c r="AR68" s="3286"/>
      <c r="AS68" s="3286"/>
      <c r="AT68" s="3286"/>
      <c r="AU68" s="3286"/>
      <c r="AV68" s="3286"/>
      <c r="AW68" s="3286"/>
      <c r="AX68" s="3286"/>
      <c r="AY68" s="3292"/>
      <c r="AZ68" s="3319" t="s">
        <v>6189</v>
      </c>
    </row>
    <row r="69" spans="2:52" ht="13.5" customHeight="1" thickTop="1" thickBot="1">
      <c r="B69" s="3498"/>
      <c r="C69" s="3498"/>
      <c r="D69" s="3502"/>
      <c r="E69" s="3294"/>
      <c r="F69" s="2844"/>
      <c r="G69" s="3286"/>
      <c r="H69" s="3286"/>
      <c r="I69" s="3286"/>
      <c r="J69" s="3286"/>
      <c r="K69" s="3286"/>
      <c r="L69" s="3286"/>
      <c r="M69" s="3286"/>
      <c r="N69" s="3286"/>
      <c r="O69" s="3286"/>
      <c r="P69" s="3286"/>
      <c r="Q69" s="3286"/>
      <c r="R69" s="3286"/>
      <c r="S69" s="3286"/>
      <c r="T69" s="3286"/>
      <c r="U69" s="3286"/>
      <c r="V69" s="3286"/>
      <c r="W69" s="3286"/>
      <c r="X69" s="3286"/>
      <c r="Y69" s="3286"/>
      <c r="Z69" s="3286"/>
      <c r="AA69" s="3286"/>
      <c r="AB69" s="3286"/>
      <c r="AC69" s="3286"/>
      <c r="AD69" s="3286"/>
      <c r="AE69" s="3286"/>
      <c r="AF69" s="3286"/>
      <c r="AG69" s="3286"/>
      <c r="AH69" s="3286"/>
      <c r="AI69" s="3286"/>
      <c r="AJ69" s="3286"/>
      <c r="AK69" s="3286"/>
      <c r="AL69" s="3286"/>
      <c r="AM69" s="3286"/>
      <c r="AN69" s="3286"/>
      <c r="AO69" s="3286"/>
      <c r="AP69" s="3286"/>
      <c r="AQ69" s="3286"/>
      <c r="AR69" s="3286"/>
      <c r="AS69" s="3286"/>
      <c r="AT69" s="3286"/>
      <c r="AU69" s="3286"/>
      <c r="AV69" s="3286"/>
      <c r="AW69" s="3286"/>
      <c r="AX69" s="3286"/>
      <c r="AY69" s="3292"/>
      <c r="AZ69" s="3319"/>
    </row>
    <row r="70" spans="2:52" ht="13.5" customHeight="1" thickTop="1" thickBot="1">
      <c r="B70" s="3498"/>
      <c r="C70" s="3498"/>
      <c r="D70" s="3502"/>
      <c r="E70" s="2860" t="s">
        <v>5465</v>
      </c>
      <c r="F70" s="2844"/>
      <c r="G70" s="3286"/>
      <c r="H70" s="3286"/>
      <c r="I70" s="3286"/>
      <c r="J70" s="3286"/>
      <c r="K70" s="3286"/>
      <c r="L70" s="3286"/>
      <c r="M70" s="3286"/>
      <c r="N70" s="3286"/>
      <c r="O70" s="3286"/>
      <c r="P70" s="3286"/>
      <c r="Q70" s="3286"/>
      <c r="R70" s="3286"/>
      <c r="S70" s="3286"/>
      <c r="T70" s="3507">
        <f>ROUNDDOWN((AK60-R65-R66)*78/1100,0)-R62</f>
        <v>1799312425</v>
      </c>
      <c r="U70" s="3508"/>
      <c r="V70" s="3508"/>
      <c r="W70" s="3508"/>
      <c r="X70" s="3508"/>
      <c r="Y70" s="3509"/>
      <c r="Z70" s="3314" t="s">
        <v>5464</v>
      </c>
      <c r="AA70" s="3315" t="s">
        <v>6173</v>
      </c>
      <c r="AB70" s="3286"/>
      <c r="AC70" s="3286"/>
      <c r="AD70" s="3286"/>
      <c r="AE70" s="3286"/>
      <c r="AF70" s="3286"/>
      <c r="AG70" s="3286"/>
      <c r="AH70" s="3286"/>
      <c r="AI70" s="3286"/>
      <c r="AJ70" s="3286"/>
      <c r="AK70" s="3286"/>
      <c r="AL70" s="3286"/>
      <c r="AM70" s="3286"/>
      <c r="AN70" s="3286"/>
      <c r="AO70" s="3286"/>
      <c r="AP70" s="3286"/>
      <c r="AQ70" s="3286"/>
      <c r="AR70" s="3286"/>
      <c r="AS70" s="3286"/>
      <c r="AT70" s="3286"/>
      <c r="AU70" s="3286"/>
      <c r="AV70" s="3286"/>
      <c r="AW70" s="3286"/>
      <c r="AX70" s="3286"/>
      <c r="AY70" s="3292"/>
      <c r="AZ70" s="3319" t="s">
        <v>6190</v>
      </c>
    </row>
    <row r="71" spans="2:52" ht="13.5" customHeight="1" thickTop="1">
      <c r="B71" s="3503"/>
      <c r="C71" s="3503"/>
      <c r="D71" s="3513"/>
      <c r="E71" s="3297"/>
      <c r="F71" s="2839"/>
      <c r="G71" s="3298"/>
      <c r="H71" s="3298"/>
      <c r="I71" s="3298"/>
      <c r="J71" s="3298"/>
      <c r="K71" s="3298"/>
      <c r="L71" s="3298"/>
      <c r="M71" s="3298"/>
      <c r="N71" s="3298"/>
      <c r="O71" s="3298"/>
      <c r="P71" s="3298"/>
      <c r="Q71" s="3298"/>
      <c r="R71" s="3298"/>
      <c r="S71" s="3298"/>
      <c r="T71" s="3298"/>
      <c r="U71" s="3298"/>
      <c r="V71" s="3298"/>
      <c r="W71" s="3298"/>
      <c r="X71" s="3298"/>
      <c r="Y71" s="3298"/>
      <c r="Z71" s="3298"/>
      <c r="AA71" s="3298"/>
      <c r="AB71" s="3298"/>
      <c r="AC71" s="3298"/>
      <c r="AD71" s="3298"/>
      <c r="AE71" s="3298"/>
      <c r="AF71" s="3298"/>
      <c r="AG71" s="3298"/>
      <c r="AH71" s="3298"/>
      <c r="AI71" s="3298"/>
      <c r="AJ71" s="3298"/>
      <c r="AK71" s="3298"/>
      <c r="AL71" s="3298"/>
      <c r="AM71" s="3298"/>
      <c r="AN71" s="3298"/>
      <c r="AO71" s="3298"/>
      <c r="AP71" s="3298"/>
      <c r="AQ71" s="3298"/>
      <c r="AR71" s="3298"/>
      <c r="AS71" s="3298"/>
      <c r="AT71" s="3298"/>
      <c r="AU71" s="3298"/>
      <c r="AV71" s="3298"/>
      <c r="AW71" s="3298"/>
      <c r="AX71" s="3298"/>
      <c r="AY71" s="3293"/>
      <c r="AZ71" s="3285"/>
    </row>
    <row r="72" spans="2:52"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3290"/>
    </row>
    <row r="73" spans="2:52"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3283"/>
    </row>
    <row r="74" spans="2:52"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3283"/>
    </row>
    <row r="75" spans="2:52"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3283"/>
    </row>
    <row r="76" spans="2:52"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3283"/>
    </row>
    <row r="77" spans="2:52"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3283"/>
    </row>
    <row r="78" spans="2:52"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3283"/>
    </row>
    <row r="79" spans="2:52"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3283"/>
    </row>
    <row r="80" spans="2:52"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3283"/>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3283"/>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3283"/>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3283"/>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3283"/>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3283"/>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3285"/>
    </row>
    <row r="87" spans="2:52" ht="13.5" customHeight="1">
      <c r="B87" s="3512" t="s">
        <v>5452</v>
      </c>
      <c r="C87" s="3516">
        <v>1</v>
      </c>
      <c r="D87" s="3512" t="s">
        <v>5451</v>
      </c>
      <c r="E87" s="3295"/>
      <c r="F87" s="2849"/>
      <c r="G87" s="3296"/>
      <c r="H87" s="3296"/>
      <c r="I87" s="3296"/>
      <c r="J87" s="3296"/>
      <c r="K87" s="3296"/>
      <c r="L87" s="3296"/>
      <c r="M87" s="3296"/>
      <c r="N87" s="3296"/>
      <c r="O87" s="3296"/>
      <c r="P87" s="3296"/>
      <c r="Q87" s="3296"/>
      <c r="R87" s="3296"/>
      <c r="S87" s="3296"/>
      <c r="T87" s="3296"/>
      <c r="U87" s="3296"/>
      <c r="V87" s="3296"/>
      <c r="W87" s="3296"/>
      <c r="X87" s="3296"/>
      <c r="Y87" s="3296"/>
      <c r="Z87" s="3296"/>
      <c r="AA87" s="3296"/>
      <c r="AB87" s="3296"/>
      <c r="AC87" s="3296"/>
      <c r="AD87" s="3296"/>
      <c r="AE87" s="3296"/>
      <c r="AF87" s="3296"/>
      <c r="AG87" s="3296"/>
      <c r="AH87" s="3296"/>
      <c r="AI87" s="3296"/>
      <c r="AJ87" s="3296"/>
      <c r="AK87" s="3296"/>
      <c r="AL87" s="3296"/>
      <c r="AM87" s="3296"/>
      <c r="AN87" s="3296"/>
      <c r="AO87" s="3296"/>
      <c r="AP87" s="3296"/>
      <c r="AQ87" s="3296"/>
      <c r="AR87" s="3296"/>
      <c r="AS87" s="3296"/>
      <c r="AT87" s="3296"/>
      <c r="AU87" s="3296"/>
      <c r="AV87" s="3296"/>
      <c r="AW87" s="3296"/>
      <c r="AX87" s="3296"/>
      <c r="AY87" s="3291"/>
      <c r="AZ87" s="3494"/>
    </row>
    <row r="88" spans="2:52" ht="13.5" customHeight="1">
      <c r="B88" s="3502"/>
      <c r="C88" s="3517"/>
      <c r="D88" s="3502"/>
      <c r="E88" s="2860" t="s">
        <v>5450</v>
      </c>
      <c r="F88" s="2844"/>
      <c r="G88" s="2844"/>
      <c r="H88" s="2844"/>
      <c r="I88" s="2844"/>
      <c r="J88" s="2844"/>
      <c r="K88" s="2844"/>
      <c r="L88" s="2844"/>
      <c r="M88" s="2844"/>
      <c r="N88" s="2844"/>
      <c r="O88" s="2844"/>
      <c r="P88" s="3519">
        <f>基礎数値!H18</f>
        <v>2312306920</v>
      </c>
      <c r="Q88" s="3519"/>
      <c r="R88" s="3519"/>
      <c r="S88" s="3519"/>
      <c r="T88" s="3519"/>
      <c r="U88" s="3519"/>
      <c r="V88" s="3286"/>
      <c r="W88" s="3287" t="s">
        <v>5448</v>
      </c>
      <c r="X88" s="3286"/>
      <c r="Y88" s="3286"/>
      <c r="Z88" s="3286"/>
      <c r="AA88" s="3286"/>
      <c r="AB88" s="3286"/>
      <c r="AC88" s="3286"/>
      <c r="AD88" s="3286"/>
      <c r="AE88" s="3286"/>
      <c r="AF88" s="3286"/>
      <c r="AG88" s="3286"/>
      <c r="AH88" s="3286"/>
      <c r="AI88" s="2844"/>
      <c r="AJ88" s="3286"/>
      <c r="AK88" s="3286"/>
      <c r="AL88" s="3286"/>
      <c r="AM88" s="3286"/>
      <c r="AN88" s="3286"/>
      <c r="AO88" s="3286"/>
      <c r="AP88" s="3286"/>
      <c r="AQ88" s="3286"/>
      <c r="AR88" s="3286"/>
      <c r="AS88" s="3286"/>
      <c r="AT88" s="3286"/>
      <c r="AU88" s="3286"/>
      <c r="AV88" s="3286"/>
      <c r="AW88" s="3286"/>
      <c r="AX88" s="3286"/>
      <c r="AY88" s="3292"/>
      <c r="AZ88" s="3495"/>
    </row>
    <row r="89" spans="2:52" ht="13.5" customHeight="1">
      <c r="B89" s="3502"/>
      <c r="C89" s="3517"/>
      <c r="D89" s="3502"/>
      <c r="E89" s="2860" t="s">
        <v>5449</v>
      </c>
      <c r="F89" s="3286"/>
      <c r="G89" s="3286"/>
      <c r="H89" s="3286"/>
      <c r="I89" s="3286"/>
      <c r="J89" s="3286"/>
      <c r="K89" s="3286"/>
      <c r="L89" s="3286"/>
      <c r="M89" s="3286"/>
      <c r="N89" s="3286"/>
      <c r="O89" s="3286"/>
      <c r="P89" s="3519">
        <f>基礎数値!H19</f>
        <v>5972404802</v>
      </c>
      <c r="Q89" s="3519"/>
      <c r="R89" s="3519"/>
      <c r="S89" s="3519"/>
      <c r="T89" s="3519"/>
      <c r="U89" s="3519"/>
      <c r="V89" s="3286"/>
      <c r="W89" s="3287" t="s">
        <v>5448</v>
      </c>
      <c r="X89" s="3286"/>
      <c r="Y89" s="3286"/>
      <c r="Z89" s="3286"/>
      <c r="AA89" s="3286"/>
      <c r="AB89" s="3286"/>
      <c r="AC89" s="3286"/>
      <c r="AD89" s="3286"/>
      <c r="AE89" s="3286"/>
      <c r="AF89" s="3286"/>
      <c r="AG89" s="3286"/>
      <c r="AH89" s="3286"/>
      <c r="AI89" s="3286"/>
      <c r="AJ89" s="3286"/>
      <c r="AK89" s="3286"/>
      <c r="AL89" s="3286"/>
      <c r="AM89" s="3286"/>
      <c r="AN89" s="3286"/>
      <c r="AO89" s="3286"/>
      <c r="AP89" s="3286"/>
      <c r="AQ89" s="3286"/>
      <c r="AR89" s="3286" t="s">
        <v>5447</v>
      </c>
      <c r="AS89" s="3497">
        <f>P88+P89</f>
        <v>8284711722</v>
      </c>
      <c r="AT89" s="3497"/>
      <c r="AU89" s="3497"/>
      <c r="AV89" s="3497"/>
      <c r="AW89" s="3497"/>
      <c r="AX89" s="3497"/>
      <c r="AY89" s="3292" t="s">
        <v>5446</v>
      </c>
      <c r="AZ89" s="3495"/>
    </row>
    <row r="90" spans="2:52" ht="13.5" customHeight="1">
      <c r="B90" s="3502"/>
      <c r="C90" s="3517"/>
      <c r="D90" s="3502"/>
      <c r="E90" s="3294"/>
      <c r="F90" s="2844"/>
      <c r="G90" s="3286"/>
      <c r="H90" s="3286"/>
      <c r="I90" s="3286"/>
      <c r="J90" s="3286"/>
      <c r="K90" s="3286"/>
      <c r="L90" s="3286"/>
      <c r="M90" s="3286"/>
      <c r="N90" s="3286"/>
      <c r="O90" s="3286"/>
      <c r="P90" s="3286"/>
      <c r="Q90" s="3286"/>
      <c r="R90" s="3286"/>
      <c r="S90" s="3286"/>
      <c r="T90" s="3286"/>
      <c r="U90" s="3286"/>
      <c r="V90" s="3286"/>
      <c r="W90" s="3286"/>
      <c r="X90" s="3286"/>
      <c r="Y90" s="3286"/>
      <c r="Z90" s="3286"/>
      <c r="AA90" s="3286"/>
      <c r="AB90" s="3286"/>
      <c r="AC90" s="3286"/>
      <c r="AD90" s="3286"/>
      <c r="AE90" s="3286"/>
      <c r="AF90" s="3286"/>
      <c r="AG90" s="3286"/>
      <c r="AH90" s="3286"/>
      <c r="AI90" s="3286"/>
      <c r="AJ90" s="3286"/>
      <c r="AK90" s="3286"/>
      <c r="AL90" s="3286"/>
      <c r="AM90" s="3286"/>
      <c r="AN90" s="3286"/>
      <c r="AO90" s="3286"/>
      <c r="AP90" s="3286"/>
      <c r="AQ90" s="3286"/>
      <c r="AR90" s="3286"/>
      <c r="AS90" s="3286"/>
      <c r="AT90" s="3286"/>
      <c r="AU90" s="3286"/>
      <c r="AV90" s="3286"/>
      <c r="AW90" s="3286"/>
      <c r="AX90" s="3286"/>
      <c r="AY90" s="3292"/>
      <c r="AZ90" s="3495"/>
    </row>
    <row r="91" spans="2:52" ht="13.5" customHeight="1">
      <c r="B91" s="3502"/>
      <c r="C91" s="3517"/>
      <c r="D91" s="3502"/>
      <c r="E91" s="3294" t="s">
        <v>5445</v>
      </c>
      <c r="F91" s="2844"/>
      <c r="G91" s="3286"/>
      <c r="H91" s="3286"/>
      <c r="I91" s="3286"/>
      <c r="J91" s="3286"/>
      <c r="K91" s="3286"/>
      <c r="L91" s="3286"/>
      <c r="M91" s="3286"/>
      <c r="N91" s="3286"/>
      <c r="O91" s="3286"/>
      <c r="P91" s="3497">
        <f>ROUNDDOWN(AK21*100/110,0)</f>
        <v>18881545399</v>
      </c>
      <c r="Q91" s="3497"/>
      <c r="R91" s="3497"/>
      <c r="S91" s="3497"/>
      <c r="T91" s="3497"/>
      <c r="U91" s="3497"/>
      <c r="V91" s="3314"/>
      <c r="W91" s="3315" t="s">
        <v>6174</v>
      </c>
      <c r="X91" s="3286"/>
      <c r="Y91" s="3286"/>
      <c r="Z91" s="3286"/>
      <c r="AA91" s="3286"/>
      <c r="AB91" s="3286"/>
      <c r="AC91" s="3286"/>
      <c r="AD91" s="3286"/>
      <c r="AE91" s="3286"/>
      <c r="AF91" s="3286"/>
      <c r="AG91" s="3286"/>
      <c r="AH91" s="3286"/>
      <c r="AI91" s="3286"/>
      <c r="AJ91" s="3286"/>
      <c r="AK91" s="3286"/>
      <c r="AL91" s="3286"/>
      <c r="AM91" s="3286"/>
      <c r="AN91" s="3286"/>
      <c r="AO91" s="3286"/>
      <c r="AP91" s="3286"/>
      <c r="AQ91" s="3286"/>
      <c r="AR91" s="3286"/>
      <c r="AS91" s="3286"/>
      <c r="AT91" s="3286"/>
      <c r="AU91" s="3286"/>
      <c r="AV91" s="3286"/>
      <c r="AW91" s="3286"/>
      <c r="AX91" s="3286"/>
      <c r="AY91" s="3292"/>
      <c r="AZ91" s="3495"/>
    </row>
    <row r="92" spans="2:52" ht="13.5" customHeight="1">
      <c r="B92" s="3502"/>
      <c r="C92" s="3517"/>
      <c r="D92" s="3502"/>
      <c r="E92" s="3294" t="s">
        <v>5495</v>
      </c>
      <c r="F92" s="2844"/>
      <c r="G92" s="3286"/>
      <c r="H92" s="3286"/>
      <c r="I92" s="3286"/>
      <c r="J92" s="3286"/>
      <c r="K92" s="3286"/>
      <c r="L92" s="3286"/>
      <c r="M92" s="3286"/>
      <c r="N92" s="3286"/>
      <c r="O92" s="3286"/>
      <c r="P92" s="3497"/>
      <c r="Q92" s="3497"/>
      <c r="R92" s="3497"/>
      <c r="S92" s="3497"/>
      <c r="T92" s="3497"/>
      <c r="U92" s="3497"/>
      <c r="V92" s="3286"/>
      <c r="W92" s="3287"/>
      <c r="X92" s="3286"/>
      <c r="Y92" s="3286"/>
      <c r="Z92" s="3286"/>
      <c r="AA92" s="3286"/>
      <c r="AB92" s="3286"/>
      <c r="AC92" s="3286"/>
      <c r="AD92" s="3286"/>
      <c r="AE92" s="3497"/>
      <c r="AF92" s="3497"/>
      <c r="AG92" s="3497"/>
      <c r="AH92" s="3497"/>
      <c r="AI92" s="3497"/>
      <c r="AJ92" s="3497"/>
      <c r="AK92" s="3287"/>
      <c r="AL92" s="3286"/>
      <c r="AM92" s="3286"/>
      <c r="AN92" s="3286"/>
      <c r="AO92" s="3286"/>
      <c r="AP92" s="3286"/>
      <c r="AQ92" s="3286"/>
      <c r="AR92" s="3286"/>
      <c r="AS92" s="3286"/>
      <c r="AT92" s="3286"/>
      <c r="AU92" s="3286"/>
      <c r="AV92" s="3286"/>
      <c r="AW92" s="3286"/>
      <c r="AX92" s="3286"/>
      <c r="AY92" s="3292"/>
      <c r="AZ92" s="3495"/>
    </row>
    <row r="93" spans="2:52" ht="13.5" customHeight="1">
      <c r="B93" s="3502"/>
      <c r="C93" s="3517"/>
      <c r="D93" s="3502"/>
      <c r="E93" s="3294" t="s">
        <v>5442</v>
      </c>
      <c r="F93" s="2844"/>
      <c r="G93" s="3286"/>
      <c r="H93" s="3286"/>
      <c r="I93" s="3286"/>
      <c r="J93" s="3286"/>
      <c r="K93" s="3286"/>
      <c r="L93" s="3286"/>
      <c r="M93" s="3286"/>
      <c r="N93" s="3286"/>
      <c r="O93" s="3286"/>
      <c r="P93" s="3497"/>
      <c r="Q93" s="3497"/>
      <c r="R93" s="3497"/>
      <c r="S93" s="3497"/>
      <c r="T93" s="3497"/>
      <c r="U93" s="3497"/>
      <c r="V93" s="3286"/>
      <c r="W93" s="3287"/>
      <c r="X93" s="3286"/>
      <c r="Y93" s="3286"/>
      <c r="Z93" s="3286"/>
      <c r="AA93" s="3286"/>
      <c r="AB93" s="3286"/>
      <c r="AC93" s="3286"/>
      <c r="AD93" s="3286"/>
      <c r="AE93" s="3286"/>
      <c r="AF93" s="3286"/>
      <c r="AG93" s="3286"/>
      <c r="AH93" s="3286"/>
      <c r="AI93" s="3286"/>
      <c r="AJ93" s="3286"/>
      <c r="AK93" s="3286"/>
      <c r="AL93" s="3286"/>
      <c r="AM93" s="3286"/>
      <c r="AN93" s="3286"/>
      <c r="AO93" s="3286"/>
      <c r="AP93" s="3286"/>
      <c r="AQ93" s="3286"/>
      <c r="AR93" s="3286"/>
      <c r="AS93" s="3286"/>
      <c r="AT93" s="3286"/>
      <c r="AU93" s="3286"/>
      <c r="AV93" s="3286"/>
      <c r="AW93" s="3286"/>
      <c r="AX93" s="3286"/>
      <c r="AY93" s="3292"/>
      <c r="AZ93" s="3495"/>
    </row>
    <row r="94" spans="2:52" ht="13.5" customHeight="1" thickBot="1">
      <c r="B94" s="3502"/>
      <c r="C94" s="3517"/>
      <c r="D94" s="3502"/>
      <c r="E94" s="3294"/>
      <c r="F94" s="2844"/>
      <c r="G94" s="3286"/>
      <c r="H94" s="3286"/>
      <c r="I94" s="3286"/>
      <c r="J94" s="3286"/>
      <c r="K94" s="3286"/>
      <c r="L94" s="3286"/>
      <c r="M94" s="3286"/>
      <c r="N94" s="3286"/>
      <c r="O94" s="3286"/>
      <c r="P94" s="3286"/>
      <c r="Q94" s="3286"/>
      <c r="R94" s="3286"/>
      <c r="S94" s="3286"/>
      <c r="T94" s="3286"/>
      <c r="U94" s="3286"/>
      <c r="V94" s="3286"/>
      <c r="W94" s="3286"/>
      <c r="X94" s="3286"/>
      <c r="Y94" s="3286"/>
      <c r="Z94" s="3286"/>
      <c r="AA94" s="3286"/>
      <c r="AB94" s="3286"/>
      <c r="AC94" s="3286"/>
      <c r="AD94" s="3286"/>
      <c r="AE94" s="3286"/>
      <c r="AF94" s="3286"/>
      <c r="AG94" s="3286"/>
      <c r="AH94" s="3286"/>
      <c r="AI94" s="3286"/>
      <c r="AJ94" s="3286"/>
      <c r="AK94" s="3286"/>
      <c r="AL94" s="3286"/>
      <c r="AM94" s="3286"/>
      <c r="AN94" s="3286"/>
      <c r="AO94" s="3286"/>
      <c r="AP94" s="3286"/>
      <c r="AQ94" s="3286"/>
      <c r="AR94" s="3286"/>
      <c r="AS94" s="3286"/>
      <c r="AT94" s="3286"/>
      <c r="AU94" s="3286"/>
      <c r="AV94" s="3286"/>
      <c r="AW94" s="3286"/>
      <c r="AX94" s="3286"/>
      <c r="AY94" s="3292"/>
      <c r="AZ94" s="3495"/>
    </row>
    <row r="95" spans="2:52" ht="13.5" customHeight="1" thickTop="1" thickBot="1">
      <c r="B95" s="3502"/>
      <c r="C95" s="3517"/>
      <c r="D95" s="3502"/>
      <c r="E95" s="3294" t="s">
        <v>5441</v>
      </c>
      <c r="F95" s="2844"/>
      <c r="G95" s="3286"/>
      <c r="H95" s="3286"/>
      <c r="I95" s="3286"/>
      <c r="J95" s="3286"/>
      <c r="K95" s="3286"/>
      <c r="L95" s="3286"/>
      <c r="M95" s="3286"/>
      <c r="N95" s="3286"/>
      <c r="O95" s="3286"/>
      <c r="P95" s="3504"/>
      <c r="Q95" s="3505"/>
      <c r="R95" s="3505"/>
      <c r="S95" s="3505"/>
      <c r="T95" s="3505"/>
      <c r="U95" s="3506"/>
      <c r="V95" s="3286"/>
      <c r="W95" s="3287"/>
      <c r="X95" s="3286"/>
      <c r="Y95" s="3286"/>
      <c r="Z95" s="3286"/>
      <c r="AA95" s="3286"/>
      <c r="AB95" s="3286"/>
      <c r="AC95" s="3286"/>
      <c r="AD95" s="3286"/>
      <c r="AE95" s="3286"/>
      <c r="AF95" s="3286"/>
      <c r="AG95" s="3286"/>
      <c r="AH95" s="3286"/>
      <c r="AI95" s="3286"/>
      <c r="AJ95" s="3286"/>
      <c r="AK95" s="3286"/>
      <c r="AL95" s="3286"/>
      <c r="AM95" s="3286"/>
      <c r="AN95" s="3286"/>
      <c r="AO95" s="3286"/>
      <c r="AP95" s="3286"/>
      <c r="AQ95" s="3286"/>
      <c r="AR95" s="3286"/>
      <c r="AS95" s="3286"/>
      <c r="AT95" s="3286"/>
      <c r="AU95" s="3286"/>
      <c r="AV95" s="3286"/>
      <c r="AW95" s="3286"/>
      <c r="AX95" s="3286"/>
      <c r="AY95" s="3292"/>
      <c r="AZ95" s="3495"/>
    </row>
    <row r="96" spans="2:52" ht="13.5" customHeight="1" thickTop="1">
      <c r="B96" s="3502"/>
      <c r="C96" s="3518"/>
      <c r="D96" s="3513"/>
      <c r="E96" s="3297"/>
      <c r="F96" s="2839"/>
      <c r="G96" s="3298"/>
      <c r="H96" s="3298"/>
      <c r="I96" s="3298"/>
      <c r="J96" s="3298"/>
      <c r="K96" s="3298"/>
      <c r="L96" s="3298"/>
      <c r="M96" s="3298"/>
      <c r="N96" s="3298"/>
      <c r="O96" s="3298"/>
      <c r="P96" s="3298"/>
      <c r="Q96" s="3298"/>
      <c r="R96" s="3298"/>
      <c r="S96" s="3298"/>
      <c r="T96" s="3298"/>
      <c r="U96" s="3298"/>
      <c r="V96" s="3298"/>
      <c r="W96" s="3298"/>
      <c r="X96" s="2859"/>
      <c r="Y96" s="3298"/>
      <c r="Z96" s="3298"/>
      <c r="AA96" s="3298"/>
      <c r="AB96" s="3298"/>
      <c r="AC96" s="3298"/>
      <c r="AD96" s="3298"/>
      <c r="AE96" s="3298"/>
      <c r="AF96" s="3298"/>
      <c r="AG96" s="3298"/>
      <c r="AH96" s="3298"/>
      <c r="AI96" s="3298"/>
      <c r="AJ96" s="3298"/>
      <c r="AK96" s="3298"/>
      <c r="AL96" s="3298"/>
      <c r="AM96" s="3298"/>
      <c r="AN96" s="3298"/>
      <c r="AO96" s="3298"/>
      <c r="AP96" s="3298"/>
      <c r="AQ96" s="3298"/>
      <c r="AR96" s="3298"/>
      <c r="AS96" s="3298"/>
      <c r="AT96" s="3298"/>
      <c r="AU96" s="3298"/>
      <c r="AV96" s="3298"/>
      <c r="AW96" s="3298"/>
      <c r="AX96" s="3298"/>
      <c r="AY96" s="3293"/>
      <c r="AZ96" s="3496"/>
    </row>
    <row r="97" spans="2:52" ht="13.5" customHeight="1" thickBot="1">
      <c r="B97" s="3502"/>
      <c r="C97" s="3516">
        <v>2</v>
      </c>
      <c r="D97" s="3512" t="s">
        <v>5440</v>
      </c>
      <c r="E97" s="3295"/>
      <c r="F97" s="2849"/>
      <c r="G97" s="3296"/>
      <c r="H97" s="3296"/>
      <c r="I97" s="3296"/>
      <c r="J97" s="3296"/>
      <c r="K97" s="3296"/>
      <c r="L97" s="3296"/>
      <c r="M97" s="3296"/>
      <c r="N97" s="3296"/>
      <c r="O97" s="3296"/>
      <c r="P97" s="3296"/>
      <c r="Q97" s="3296"/>
      <c r="R97" s="3296"/>
      <c r="S97" s="3296"/>
      <c r="T97" s="3296"/>
      <c r="U97" s="3296"/>
      <c r="V97" s="3296"/>
      <c r="W97" s="3296"/>
      <c r="X97" s="3296"/>
      <c r="Y97" s="3296"/>
      <c r="Z97" s="3296"/>
      <c r="AA97" s="3296"/>
      <c r="AB97" s="3296"/>
      <c r="AC97" s="3296"/>
      <c r="AD97" s="3296"/>
      <c r="AE97" s="3296"/>
      <c r="AF97" s="3296"/>
      <c r="AG97" s="3296"/>
      <c r="AH97" s="3296"/>
      <c r="AI97" s="3296"/>
      <c r="AJ97" s="3296"/>
      <c r="AK97" s="3296"/>
      <c r="AL97" s="3296"/>
      <c r="AM97" s="3296"/>
      <c r="AN97" s="3296"/>
      <c r="AO97" s="3296"/>
      <c r="AP97" s="3296"/>
      <c r="AQ97" s="3296"/>
      <c r="AR97" s="3296"/>
      <c r="AS97" s="3296"/>
      <c r="AT97" s="3296"/>
      <c r="AU97" s="3296"/>
      <c r="AV97" s="3296"/>
      <c r="AW97" s="3296"/>
      <c r="AX97" s="3296"/>
      <c r="AY97" s="3291"/>
      <c r="AZ97" s="3321" t="s">
        <v>6191</v>
      </c>
    </row>
    <row r="98" spans="2:52" ht="13.5" customHeight="1" thickTop="1" thickBot="1">
      <c r="B98" s="3502"/>
      <c r="C98" s="3517"/>
      <c r="D98" s="3502"/>
      <c r="E98" s="3294" t="s">
        <v>5438</v>
      </c>
      <c r="F98" s="2844"/>
      <c r="G98" s="3286"/>
      <c r="H98" s="3286"/>
      <c r="I98" s="3286"/>
      <c r="J98" s="3286"/>
      <c r="K98" s="3286"/>
      <c r="L98" s="3286"/>
      <c r="M98" s="3286"/>
      <c r="N98" s="3286"/>
      <c r="O98" s="3286"/>
      <c r="P98" s="3286"/>
      <c r="Q98" s="3286"/>
      <c r="R98" s="3286"/>
      <c r="S98" s="3286"/>
      <c r="T98" s="3286"/>
      <c r="U98" s="3286"/>
      <c r="V98" s="3286"/>
      <c r="W98" s="3286"/>
      <c r="X98" s="3286"/>
      <c r="Y98" s="3286"/>
      <c r="Z98" s="3499">
        <f>ROUNDDOWN(T70*'(申)計'!R36/'(申)計'!R40,0)</f>
        <v>1792796242</v>
      </c>
      <c r="AA98" s="3500"/>
      <c r="AB98" s="3500"/>
      <c r="AC98" s="3500"/>
      <c r="AD98" s="3500"/>
      <c r="AE98" s="3501"/>
      <c r="AF98" s="3286" t="s">
        <v>5437</v>
      </c>
      <c r="AG98" s="3287" t="s">
        <v>5436</v>
      </c>
      <c r="AH98" s="3286"/>
      <c r="AI98" s="3286"/>
      <c r="AJ98" s="3286"/>
      <c r="AK98" s="3286"/>
      <c r="AL98" s="3286"/>
      <c r="AM98" s="3286"/>
      <c r="AN98" s="3286"/>
      <c r="AO98" s="3286"/>
      <c r="AP98" s="3286"/>
      <c r="AQ98" s="3286"/>
      <c r="AR98" s="3286"/>
      <c r="AS98" s="3286"/>
      <c r="AT98" s="3286"/>
      <c r="AU98" s="3286"/>
      <c r="AV98" s="3286"/>
      <c r="AW98" s="3286"/>
      <c r="AX98" s="3286"/>
      <c r="AY98" s="3292"/>
      <c r="AZ98" s="3041" t="s">
        <v>6207</v>
      </c>
    </row>
    <row r="99" spans="2:52" ht="13.5" customHeight="1" thickTop="1" thickBot="1">
      <c r="B99" s="3502"/>
      <c r="C99" s="3517"/>
      <c r="D99" s="3502"/>
      <c r="E99" s="3294"/>
      <c r="F99" s="2844"/>
      <c r="G99" s="3286"/>
      <c r="H99" s="3286"/>
      <c r="I99" s="3286"/>
      <c r="J99" s="3286"/>
      <c r="K99" s="3286"/>
      <c r="L99" s="3286"/>
      <c r="M99" s="3286"/>
      <c r="N99" s="3286"/>
      <c r="O99" s="3286"/>
      <c r="P99" s="3286"/>
      <c r="Q99" s="3286"/>
      <c r="R99" s="3286"/>
      <c r="S99" s="3286"/>
      <c r="T99" s="3286"/>
      <c r="U99" s="2858" t="s">
        <v>5435</v>
      </c>
      <c r="V99" s="3286"/>
      <c r="W99" s="3286"/>
      <c r="X99" s="3286"/>
      <c r="Y99" s="3286"/>
      <c r="Z99" s="3286"/>
      <c r="AA99" s="3286"/>
      <c r="AB99" s="3286"/>
      <c r="AC99" s="3286"/>
      <c r="AD99" s="3286"/>
      <c r="AE99" s="3286"/>
      <c r="AF99" s="3286"/>
      <c r="AG99" s="3286"/>
      <c r="AH99" s="3286"/>
      <c r="AI99" s="3286"/>
      <c r="AJ99" s="3286"/>
      <c r="AK99" s="3286"/>
      <c r="AL99" s="3286"/>
      <c r="AM99" s="3286"/>
      <c r="AN99" s="3286"/>
      <c r="AO99" s="3286"/>
      <c r="AP99" s="3286"/>
      <c r="AQ99" s="3286"/>
      <c r="AR99" s="3286"/>
      <c r="AS99" s="3286"/>
      <c r="AT99" s="3286"/>
      <c r="AU99" s="3286"/>
      <c r="AV99" s="3286"/>
      <c r="AW99" s="3286"/>
      <c r="AX99" s="3286"/>
      <c r="AY99" s="3292"/>
      <c r="AZ99" s="3319"/>
    </row>
    <row r="100" spans="2:52" ht="13.5" customHeight="1" thickTop="1" thickBot="1">
      <c r="B100" s="3502"/>
      <c r="C100" s="3517"/>
      <c r="D100" s="3502"/>
      <c r="E100" s="3294" t="s">
        <v>5434</v>
      </c>
      <c r="F100" s="2844"/>
      <c r="G100" s="3286"/>
      <c r="H100" s="3286"/>
      <c r="I100" s="3286"/>
      <c r="J100" s="3286"/>
      <c r="K100" s="3286"/>
      <c r="L100" s="3286"/>
      <c r="M100" s="3286"/>
      <c r="N100" s="3286"/>
      <c r="O100" s="3286"/>
      <c r="P100" s="3286"/>
      <c r="Q100" s="3286"/>
      <c r="R100" s="3286"/>
      <c r="S100" s="3286"/>
      <c r="T100" s="3286"/>
      <c r="U100" s="3286"/>
      <c r="V100" s="3286"/>
      <c r="W100" s="3286"/>
      <c r="X100" s="3286"/>
      <c r="Y100" s="3286"/>
      <c r="Z100" s="3499">
        <f>AS89</f>
        <v>8284711722</v>
      </c>
      <c r="AA100" s="3500"/>
      <c r="AB100" s="3500"/>
      <c r="AC100" s="3500"/>
      <c r="AD100" s="3500"/>
      <c r="AE100" s="3501"/>
      <c r="AF100" s="3286"/>
      <c r="AG100" s="3287" t="s">
        <v>5433</v>
      </c>
      <c r="AH100" s="3286"/>
      <c r="AI100" s="3286"/>
      <c r="AJ100" s="3286"/>
      <c r="AK100" s="3286"/>
      <c r="AL100" s="3286"/>
      <c r="AM100" s="3286"/>
      <c r="AN100" s="3286"/>
      <c r="AO100" s="3286"/>
      <c r="AP100" s="3286"/>
      <c r="AQ100" s="3286"/>
      <c r="AR100" s="3286"/>
      <c r="AS100" s="3286"/>
      <c r="AT100" s="3286"/>
      <c r="AU100" s="3286"/>
      <c r="AV100" s="3286"/>
      <c r="AW100" s="3286"/>
      <c r="AX100" s="3286"/>
      <c r="AY100" s="3292"/>
      <c r="AZ100" s="3319" t="s">
        <v>5414</v>
      </c>
    </row>
    <row r="101" spans="2:52" ht="13.5" customHeight="1" thickTop="1" thickBot="1">
      <c r="B101" s="3502"/>
      <c r="C101" s="3517"/>
      <c r="D101" s="3502"/>
      <c r="E101" s="3294" t="s">
        <v>5572</v>
      </c>
      <c r="F101" s="2844"/>
      <c r="G101" s="3286"/>
      <c r="H101" s="3286"/>
      <c r="I101" s="3286"/>
      <c r="J101" s="3286"/>
      <c r="K101" s="3286"/>
      <c r="L101" s="3286"/>
      <c r="M101" s="3286"/>
      <c r="N101" s="3286"/>
      <c r="O101" s="3286"/>
      <c r="P101" s="3286"/>
      <c r="Q101" s="3286"/>
      <c r="R101" s="3286"/>
      <c r="S101" s="3286"/>
      <c r="T101" s="3286"/>
      <c r="U101" s="3286"/>
      <c r="V101" s="3286"/>
      <c r="W101" s="3286"/>
      <c r="X101" s="3286"/>
      <c r="Y101" s="3286"/>
      <c r="Z101" s="3499">
        <f>ROUNDDOWN(Z100*78/1100,0)</f>
        <v>587461376</v>
      </c>
      <c r="AA101" s="3500"/>
      <c r="AB101" s="3500"/>
      <c r="AC101" s="3500"/>
      <c r="AD101" s="3500"/>
      <c r="AE101" s="3501"/>
      <c r="AF101" s="3314" t="s">
        <v>6175</v>
      </c>
      <c r="AG101" s="3315" t="s">
        <v>6176</v>
      </c>
      <c r="AH101" s="3286"/>
      <c r="AI101" s="3286"/>
      <c r="AJ101" s="3286"/>
      <c r="AK101" s="3286"/>
      <c r="AL101" s="3286"/>
      <c r="AM101" s="3286"/>
      <c r="AN101" s="3286"/>
      <c r="AO101" s="3286"/>
      <c r="AP101" s="3286"/>
      <c r="AQ101" s="3286"/>
      <c r="AR101" s="3286"/>
      <c r="AS101" s="3286"/>
      <c r="AT101" s="3286"/>
      <c r="AU101" s="3286"/>
      <c r="AV101" s="3286"/>
      <c r="AW101" s="3286"/>
      <c r="AX101" s="3286"/>
      <c r="AY101" s="3292"/>
      <c r="AZ101" s="3319" t="s">
        <v>5552</v>
      </c>
    </row>
    <row r="102" spans="2:52" ht="13.5" customHeight="1" thickTop="1" thickBot="1">
      <c r="B102" s="3502"/>
      <c r="C102" s="3517"/>
      <c r="D102" s="3502"/>
      <c r="E102" s="3294"/>
      <c r="F102" s="2844"/>
      <c r="G102" s="3286"/>
      <c r="H102" s="3286"/>
      <c r="I102" s="3286"/>
      <c r="J102" s="3286"/>
      <c r="K102" s="3286"/>
      <c r="L102" s="3286"/>
      <c r="M102" s="3286"/>
      <c r="N102" s="3286"/>
      <c r="O102" s="3286"/>
      <c r="P102" s="3286"/>
      <c r="Q102" s="3286"/>
      <c r="R102" s="3286"/>
      <c r="S102" s="3286"/>
      <c r="T102" s="3286"/>
      <c r="U102" s="3286"/>
      <c r="V102" s="3286"/>
      <c r="W102" s="3286"/>
      <c r="X102" s="3286"/>
      <c r="Y102" s="3286"/>
      <c r="Z102" s="3286"/>
      <c r="AA102" s="3286"/>
      <c r="AB102" s="3286"/>
      <c r="AC102" s="3286"/>
      <c r="AD102" s="3286"/>
      <c r="AE102" s="3286"/>
      <c r="AF102" s="3286"/>
      <c r="AG102" s="3286"/>
      <c r="AH102" s="3286"/>
      <c r="AI102" s="3286"/>
      <c r="AJ102" s="3286"/>
      <c r="AK102" s="3286"/>
      <c r="AL102" s="3286"/>
      <c r="AM102" s="3286"/>
      <c r="AN102" s="3286"/>
      <c r="AO102" s="3286"/>
      <c r="AP102" s="3286"/>
      <c r="AQ102" s="3286"/>
      <c r="AR102" s="3286"/>
      <c r="AS102" s="3286"/>
      <c r="AT102" s="3286"/>
      <c r="AU102" s="3286"/>
      <c r="AV102" s="3286"/>
      <c r="AW102" s="3286"/>
      <c r="AX102" s="3286"/>
      <c r="AY102" s="3292"/>
      <c r="AZ102" s="3319"/>
    </row>
    <row r="103" spans="2:52"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3286"/>
      <c r="T103" s="3286"/>
      <c r="U103" s="3286"/>
      <c r="V103" s="3286"/>
      <c r="W103" s="3286"/>
      <c r="X103" s="3286"/>
      <c r="Y103" s="3286"/>
      <c r="Z103" s="3499">
        <f>'(申)計'!R36</f>
        <v>18871966907</v>
      </c>
      <c r="AA103" s="3500"/>
      <c r="AB103" s="3500"/>
      <c r="AC103" s="3500"/>
      <c r="AD103" s="3500"/>
      <c r="AE103" s="3501"/>
      <c r="AF103" s="3286"/>
      <c r="AG103" s="3510" t="s">
        <v>5426</v>
      </c>
      <c r="AH103" s="3287" t="s">
        <v>5425</v>
      </c>
      <c r="AI103" s="3286"/>
      <c r="AJ103" s="3286"/>
      <c r="AK103" s="3286"/>
      <c r="AL103" s="3286"/>
      <c r="AM103" s="3286"/>
      <c r="AN103" s="3286"/>
      <c r="AO103" s="3286"/>
      <c r="AP103" s="3286"/>
      <c r="AQ103" s="3286"/>
      <c r="AR103" s="3286"/>
      <c r="AS103" s="3286"/>
      <c r="AT103" s="3286"/>
      <c r="AU103" s="3286"/>
      <c r="AV103" s="3286"/>
      <c r="AW103" s="3286"/>
      <c r="AX103" s="3286"/>
      <c r="AY103" s="3292"/>
      <c r="AZ103" s="3498" t="s">
        <v>5406</v>
      </c>
    </row>
    <row r="104" spans="2:52" ht="3" customHeight="1" thickTop="1">
      <c r="B104" s="3502"/>
      <c r="C104" s="3517"/>
      <c r="D104" s="3502"/>
      <c r="E104" s="3521"/>
      <c r="F104" s="3510"/>
      <c r="G104" s="3510"/>
      <c r="H104" s="3510"/>
      <c r="I104" s="3510"/>
      <c r="J104" s="3510"/>
      <c r="K104" s="3510"/>
      <c r="L104" s="3510"/>
      <c r="M104" s="3510"/>
      <c r="N104" s="3510"/>
      <c r="O104" s="3510"/>
      <c r="P104" s="3510"/>
      <c r="Q104" s="3510"/>
      <c r="R104" s="3510"/>
      <c r="S104" s="3286"/>
      <c r="T104" s="3286"/>
      <c r="U104" s="3286"/>
      <c r="V104" s="3286"/>
      <c r="W104" s="3286"/>
      <c r="X104" s="3286"/>
      <c r="Y104" s="3298"/>
      <c r="Z104" s="3298"/>
      <c r="AA104" s="3298"/>
      <c r="AB104" s="3298"/>
      <c r="AC104" s="3298"/>
      <c r="AD104" s="3298"/>
      <c r="AE104" s="3298"/>
      <c r="AF104" s="3298"/>
      <c r="AG104" s="3510"/>
      <c r="AH104" s="3286"/>
      <c r="AI104" s="3286"/>
      <c r="AJ104" s="3286"/>
      <c r="AK104" s="3286"/>
      <c r="AL104" s="3286"/>
      <c r="AM104" s="3286"/>
      <c r="AN104" s="3286"/>
      <c r="AO104" s="3286"/>
      <c r="AP104" s="3286"/>
      <c r="AQ104" s="3286"/>
      <c r="AR104" s="3286"/>
      <c r="AS104" s="3286"/>
      <c r="AT104" s="3286"/>
      <c r="AU104" s="3286"/>
      <c r="AV104" s="3286"/>
      <c r="AW104" s="3286"/>
      <c r="AX104" s="3286"/>
      <c r="AY104" s="3292"/>
      <c r="AZ104" s="3498"/>
    </row>
    <row r="105" spans="2:52" ht="3" customHeight="1" thickBot="1">
      <c r="B105" s="3502"/>
      <c r="C105" s="3517"/>
      <c r="D105" s="3502"/>
      <c r="E105" s="3521"/>
      <c r="F105" s="3510"/>
      <c r="G105" s="3510"/>
      <c r="H105" s="3510"/>
      <c r="I105" s="3510"/>
      <c r="J105" s="3510"/>
      <c r="K105" s="3510"/>
      <c r="L105" s="3510"/>
      <c r="M105" s="3510"/>
      <c r="N105" s="3510"/>
      <c r="O105" s="3510"/>
      <c r="P105" s="3510"/>
      <c r="Q105" s="3510"/>
      <c r="R105" s="3510"/>
      <c r="S105" s="3286"/>
      <c r="T105" s="3286"/>
      <c r="U105" s="3286"/>
      <c r="V105" s="3286"/>
      <c r="W105" s="3286"/>
      <c r="X105" s="3286"/>
      <c r="Y105" s="3286"/>
      <c r="Z105" s="3286"/>
      <c r="AA105" s="3286"/>
      <c r="AB105" s="3286"/>
      <c r="AC105" s="3286"/>
      <c r="AD105" s="3286"/>
      <c r="AE105" s="3286"/>
      <c r="AF105" s="3286"/>
      <c r="AG105" s="3510"/>
      <c r="AH105" s="3286"/>
      <c r="AI105" s="3286"/>
      <c r="AJ105" s="3286"/>
      <c r="AK105" s="3286"/>
      <c r="AL105" s="3286"/>
      <c r="AM105" s="3286"/>
      <c r="AN105" s="3286"/>
      <c r="AO105" s="3286"/>
      <c r="AP105" s="3286"/>
      <c r="AQ105" s="3286"/>
      <c r="AR105" s="3286"/>
      <c r="AS105" s="3286"/>
      <c r="AT105" s="3286"/>
      <c r="AU105" s="3286"/>
      <c r="AV105" s="3286"/>
      <c r="AW105" s="3286"/>
      <c r="AX105" s="3286"/>
      <c r="AY105" s="3292"/>
      <c r="AZ105" s="3498"/>
    </row>
    <row r="106" spans="2:52"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3286"/>
      <c r="T106" s="3286"/>
      <c r="U106" s="3286"/>
      <c r="V106" s="3286"/>
      <c r="W106" s="3286"/>
      <c r="X106" s="3286"/>
      <c r="Y106" s="3286"/>
      <c r="Z106" s="3499">
        <f>'(申)計'!R40</f>
        <v>18940559860</v>
      </c>
      <c r="AA106" s="3500"/>
      <c r="AB106" s="3500"/>
      <c r="AC106" s="3500"/>
      <c r="AD106" s="3500"/>
      <c r="AE106" s="3501"/>
      <c r="AF106" s="3286"/>
      <c r="AG106" s="3510"/>
      <c r="AH106" s="3287" t="s">
        <v>5423</v>
      </c>
      <c r="AI106" s="3286"/>
      <c r="AJ106" s="3286"/>
      <c r="AK106" s="3286"/>
      <c r="AL106" s="3286"/>
      <c r="AM106" s="3286"/>
      <c r="AN106" s="3286"/>
      <c r="AO106" s="3286"/>
      <c r="AP106" s="3286"/>
      <c r="AQ106" s="3286"/>
      <c r="AR106" s="3286"/>
      <c r="AS106" s="3286"/>
      <c r="AT106" s="3286"/>
      <c r="AU106" s="3286"/>
      <c r="AV106" s="3286"/>
      <c r="AW106" s="3286"/>
      <c r="AX106" s="3286"/>
      <c r="AY106" s="3292"/>
      <c r="AZ106" s="3498"/>
    </row>
    <row r="107" spans="2:52" ht="13.5" customHeight="1" thickTop="1" thickBot="1">
      <c r="B107" s="3502"/>
      <c r="C107" s="3517"/>
      <c r="D107" s="3502"/>
      <c r="E107" s="3294"/>
      <c r="F107" s="2844"/>
      <c r="G107" s="3286"/>
      <c r="H107" s="3286"/>
      <c r="I107" s="3286"/>
      <c r="J107" s="3286"/>
      <c r="K107" s="3286"/>
      <c r="L107" s="3286"/>
      <c r="M107" s="3286"/>
      <c r="N107" s="3286"/>
      <c r="O107" s="3286"/>
      <c r="P107" s="3286"/>
      <c r="Q107" s="3286"/>
      <c r="R107" s="3286"/>
      <c r="S107" s="3286"/>
      <c r="T107" s="3286"/>
      <c r="U107" s="3286"/>
      <c r="V107" s="3286"/>
      <c r="W107" s="3286"/>
      <c r="X107" s="3286"/>
      <c r="Y107" s="3286"/>
      <c r="Z107" s="3286"/>
      <c r="AA107" s="3286"/>
      <c r="AB107" s="3286"/>
      <c r="AC107" s="3286"/>
      <c r="AD107" s="3286"/>
      <c r="AE107" s="3286"/>
      <c r="AF107" s="3286"/>
      <c r="AG107" s="3286"/>
      <c r="AH107" s="3286"/>
      <c r="AI107" s="3286"/>
      <c r="AJ107" s="3286"/>
      <c r="AK107" s="3286"/>
      <c r="AL107" s="3286"/>
      <c r="AM107" s="3286"/>
      <c r="AN107" s="3286"/>
      <c r="AO107" s="3286"/>
      <c r="AP107" s="3286"/>
      <c r="AQ107" s="3286"/>
      <c r="AR107" s="3286"/>
      <c r="AS107" s="3286"/>
      <c r="AT107" s="3286"/>
      <c r="AU107" s="3286"/>
      <c r="AV107" s="3286"/>
      <c r="AW107" s="3286"/>
      <c r="AX107" s="3286"/>
      <c r="AY107" s="3292"/>
      <c r="AZ107" s="3319"/>
    </row>
    <row r="108" spans="2:52" ht="13.5" customHeight="1" thickTop="1" thickBot="1">
      <c r="B108" s="3502"/>
      <c r="C108" s="3517"/>
      <c r="D108" s="3502"/>
      <c r="E108" s="3294" t="s">
        <v>5422</v>
      </c>
      <c r="F108" s="2844"/>
      <c r="G108" s="3286"/>
      <c r="H108" s="3286"/>
      <c r="I108" s="3286"/>
      <c r="J108" s="3286"/>
      <c r="K108" s="3286"/>
      <c r="L108" s="3286"/>
      <c r="M108" s="3286"/>
      <c r="N108" s="3286"/>
      <c r="O108" s="3286"/>
      <c r="P108" s="3286"/>
      <c r="Q108" s="3286"/>
      <c r="R108" s="3286"/>
      <c r="S108" s="3286"/>
      <c r="T108" s="3286"/>
      <c r="U108" s="3286"/>
      <c r="V108" s="3286"/>
      <c r="W108" s="3286"/>
      <c r="X108" s="3286"/>
      <c r="Y108" s="3286"/>
      <c r="Z108" s="3499">
        <f>ROUNDDOWN(Z101*Z103/Z106,0)</f>
        <v>585333893</v>
      </c>
      <c r="AA108" s="3500"/>
      <c r="AB108" s="3500"/>
      <c r="AC108" s="3500"/>
      <c r="AD108" s="3500"/>
      <c r="AE108" s="3501"/>
      <c r="AF108" s="3286" t="s">
        <v>5421</v>
      </c>
      <c r="AG108" s="3287" t="s">
        <v>5420</v>
      </c>
      <c r="AH108" s="3286"/>
      <c r="AI108" s="3286"/>
      <c r="AJ108" s="3286"/>
      <c r="AK108" s="3286"/>
      <c r="AL108" s="3286"/>
      <c r="AM108" s="3286"/>
      <c r="AN108" s="3286"/>
      <c r="AO108" s="3286"/>
      <c r="AP108" s="3286"/>
      <c r="AQ108" s="3286"/>
      <c r="AR108" s="3286"/>
      <c r="AS108" s="3286"/>
      <c r="AT108" s="3286"/>
      <c r="AU108" s="3286"/>
      <c r="AV108" s="3286"/>
      <c r="AW108" s="3286"/>
      <c r="AX108" s="3286"/>
      <c r="AY108" s="3292"/>
      <c r="AZ108" s="3319" t="s">
        <v>6208</v>
      </c>
    </row>
    <row r="109" spans="2:52" ht="13.5" customHeight="1" thickTop="1">
      <c r="B109" s="3502"/>
      <c r="C109" s="3517"/>
      <c r="D109" s="3502"/>
      <c r="E109" s="3294"/>
      <c r="F109" s="2844"/>
      <c r="G109" s="3286"/>
      <c r="H109" s="3286"/>
      <c r="I109" s="3286"/>
      <c r="J109" s="3286"/>
      <c r="K109" s="3286"/>
      <c r="L109" s="3286"/>
      <c r="M109" s="3286"/>
      <c r="N109" s="3286"/>
      <c r="O109" s="3286"/>
      <c r="P109" s="3286"/>
      <c r="Q109" s="3286"/>
      <c r="R109" s="3286"/>
      <c r="S109" s="3286"/>
      <c r="T109" s="3286"/>
      <c r="U109" s="3286"/>
      <c r="V109" s="3286"/>
      <c r="W109" s="3286"/>
      <c r="X109" s="3286"/>
      <c r="Y109" s="3286"/>
      <c r="Z109" s="3286"/>
      <c r="AA109" s="3286"/>
      <c r="AB109" s="3286"/>
      <c r="AC109" s="3286"/>
      <c r="AD109" s="3286"/>
      <c r="AE109" s="3286"/>
      <c r="AF109" s="3286"/>
      <c r="AG109" s="3286"/>
      <c r="AH109" s="3286"/>
      <c r="AI109" s="3286"/>
      <c r="AJ109" s="3286"/>
      <c r="AK109" s="3286"/>
      <c r="AL109" s="3286"/>
      <c r="AM109" s="3286"/>
      <c r="AN109" s="3286"/>
      <c r="AO109" s="3286"/>
      <c r="AP109" s="3286"/>
      <c r="AQ109" s="3286"/>
      <c r="AR109" s="3286"/>
      <c r="AS109" s="3286"/>
      <c r="AT109" s="3286"/>
      <c r="AU109" s="3286"/>
      <c r="AV109" s="3286"/>
      <c r="AW109" s="3286"/>
      <c r="AX109" s="3286"/>
      <c r="AY109" s="3292"/>
      <c r="AZ109" s="3319"/>
    </row>
    <row r="110" spans="2:52" ht="13.5" customHeight="1" thickBot="1">
      <c r="B110" s="3502"/>
      <c r="C110" s="3517"/>
      <c r="D110" s="3502"/>
      <c r="E110" s="3294" t="s">
        <v>5418</v>
      </c>
      <c r="F110" s="2844"/>
      <c r="G110" s="3286"/>
      <c r="H110" s="3286"/>
      <c r="I110" s="3286"/>
      <c r="J110" s="3286"/>
      <c r="K110" s="3286"/>
      <c r="L110" s="3286"/>
      <c r="M110" s="3286"/>
      <c r="N110" s="3286"/>
      <c r="O110" s="3286"/>
      <c r="P110" s="3286"/>
      <c r="Q110" s="3286"/>
      <c r="R110" s="3286"/>
      <c r="S110" s="3286"/>
      <c r="T110" s="3286"/>
      <c r="U110" s="3286"/>
      <c r="V110" s="3286"/>
      <c r="W110" s="3286"/>
      <c r="X110" s="3286"/>
      <c r="Y110" s="3286"/>
      <c r="Z110" s="3286"/>
      <c r="AA110" s="3286"/>
      <c r="AB110" s="3286"/>
      <c r="AC110" s="3286"/>
      <c r="AD110" s="3286"/>
      <c r="AE110" s="3286"/>
      <c r="AF110" s="3286"/>
      <c r="AG110" s="3286"/>
      <c r="AH110" s="3286"/>
      <c r="AI110" s="3286"/>
      <c r="AJ110" s="3286"/>
      <c r="AK110" s="3286"/>
      <c r="AL110" s="3286"/>
      <c r="AM110" s="3286"/>
      <c r="AN110" s="3286"/>
      <c r="AO110" s="3286"/>
      <c r="AP110" s="3286"/>
      <c r="AQ110" s="3286"/>
      <c r="AR110" s="3286"/>
      <c r="AS110" s="3286"/>
      <c r="AT110" s="3286"/>
      <c r="AU110" s="3286"/>
      <c r="AV110" s="3286"/>
      <c r="AW110" s="3286"/>
      <c r="AX110" s="3286"/>
      <c r="AY110" s="3292"/>
      <c r="AZ110" s="3319"/>
    </row>
    <row r="111" spans="2:52" ht="13.5" customHeight="1" thickTop="1" thickBot="1">
      <c r="B111" s="3502"/>
      <c r="C111" s="3517"/>
      <c r="D111" s="3502"/>
      <c r="E111" s="3294"/>
      <c r="F111" s="2844" t="s">
        <v>5556</v>
      </c>
      <c r="G111" s="3286"/>
      <c r="H111" s="3286"/>
      <c r="I111" s="3286"/>
      <c r="J111" s="3286"/>
      <c r="K111" s="3286"/>
      <c r="L111" s="3286"/>
      <c r="M111" s="3286"/>
      <c r="N111" s="3286"/>
      <c r="O111" s="3286"/>
      <c r="P111" s="3286"/>
      <c r="Q111" s="3286"/>
      <c r="R111" s="3286"/>
      <c r="S111" s="3286"/>
      <c r="T111" s="3286"/>
      <c r="U111" s="3286"/>
      <c r="V111" s="3286"/>
      <c r="W111" s="3286"/>
      <c r="X111" s="3286"/>
      <c r="Y111" s="3286"/>
      <c r="Z111" s="3286"/>
      <c r="AA111" s="3286"/>
      <c r="AB111" s="3286"/>
      <c r="AC111" s="3499">
        <f>Z98-Z108</f>
        <v>1207462349</v>
      </c>
      <c r="AD111" s="3500"/>
      <c r="AE111" s="3500"/>
      <c r="AF111" s="3500"/>
      <c r="AG111" s="3500"/>
      <c r="AH111" s="3501"/>
      <c r="AI111" s="3286" t="s">
        <v>5416</v>
      </c>
      <c r="AJ111" s="3287" t="s">
        <v>5415</v>
      </c>
      <c r="AK111" s="3286"/>
      <c r="AL111" s="3286"/>
      <c r="AM111" s="3286"/>
      <c r="AN111" s="3286"/>
      <c r="AO111" s="3286"/>
      <c r="AP111" s="3286"/>
      <c r="AQ111" s="3286"/>
      <c r="AR111" s="3286"/>
      <c r="AS111" s="3286"/>
      <c r="AT111" s="3286"/>
      <c r="AU111" s="3286"/>
      <c r="AV111" s="3286"/>
      <c r="AW111" s="3286"/>
      <c r="AX111" s="3286"/>
      <c r="AY111" s="3292"/>
      <c r="AZ111" s="3319" t="s">
        <v>6209</v>
      </c>
    </row>
    <row r="112" spans="2:52" ht="13.5" customHeight="1" thickTop="1" thickBot="1">
      <c r="B112" s="3502"/>
      <c r="C112" s="3517"/>
      <c r="D112" s="3502"/>
      <c r="E112" s="3294"/>
      <c r="F112" s="2844"/>
      <c r="G112" s="3286"/>
      <c r="H112" s="3286"/>
      <c r="I112" s="3286"/>
      <c r="J112" s="3286"/>
      <c r="K112" s="3286"/>
      <c r="L112" s="3286"/>
      <c r="M112" s="3286"/>
      <c r="N112" s="3286"/>
      <c r="O112" s="3286"/>
      <c r="P112" s="3286"/>
      <c r="Q112" s="3286"/>
      <c r="R112" s="3286"/>
      <c r="S112" s="3286"/>
      <c r="T112" s="3286"/>
      <c r="U112" s="3286"/>
      <c r="V112" s="3286"/>
      <c r="W112" s="3286"/>
      <c r="X112" s="3286"/>
      <c r="Y112" s="3286"/>
      <c r="Z112" s="3286"/>
      <c r="AA112" s="3286"/>
      <c r="AB112" s="3286"/>
      <c r="AC112" s="3286"/>
      <c r="AD112" s="3286"/>
      <c r="AE112" s="3286"/>
      <c r="AF112" s="3286"/>
      <c r="AG112" s="3286"/>
      <c r="AH112" s="3286"/>
      <c r="AI112" s="3286"/>
      <c r="AJ112" s="3286"/>
      <c r="AK112" s="3286"/>
      <c r="AL112" s="3286"/>
      <c r="AM112" s="3286"/>
      <c r="AN112" s="3286"/>
      <c r="AO112" s="3286"/>
      <c r="AP112" s="3286"/>
      <c r="AQ112" s="3286"/>
      <c r="AR112" s="3286"/>
      <c r="AS112" s="3286"/>
      <c r="AT112" s="3286"/>
      <c r="AU112" s="3286"/>
      <c r="AV112" s="3286"/>
      <c r="AW112" s="3286"/>
      <c r="AX112" s="3286"/>
      <c r="AY112" s="3292"/>
      <c r="AZ112" s="3319"/>
    </row>
    <row r="113" spans="2:52" ht="13.5" customHeight="1" thickTop="1" thickBot="1">
      <c r="B113" s="3502"/>
      <c r="C113" s="3517"/>
      <c r="D113" s="3502"/>
      <c r="E113" s="3294"/>
      <c r="F113" s="3510" t="s">
        <v>5413</v>
      </c>
      <c r="G113" s="3510"/>
      <c r="H113" s="3510"/>
      <c r="I113" s="3510"/>
      <c r="J113" s="3510"/>
      <c r="K113" s="3510"/>
      <c r="L113" s="3510"/>
      <c r="M113" s="3510"/>
      <c r="N113" s="3510"/>
      <c r="O113" s="3510"/>
      <c r="P113" s="3510"/>
      <c r="Q113" s="3510"/>
      <c r="R113" s="3510"/>
      <c r="S113" s="3510"/>
      <c r="T113" s="3286"/>
      <c r="U113" s="3286"/>
      <c r="V113" s="3286"/>
      <c r="W113" s="3286"/>
      <c r="X113" s="3286"/>
      <c r="Y113" s="3286"/>
      <c r="Z113" s="3286"/>
      <c r="AA113" s="3507">
        <f>'(申)計'!AA113</f>
        <v>0</v>
      </c>
      <c r="AB113" s="3508"/>
      <c r="AC113" s="3508"/>
      <c r="AD113" s="3508"/>
      <c r="AE113" s="3508"/>
      <c r="AF113" s="3509"/>
      <c r="AG113" s="3286"/>
      <c r="AH113" s="3510" t="s">
        <v>5412</v>
      </c>
      <c r="AI113" s="3511" t="s">
        <v>5411</v>
      </c>
      <c r="AJ113" s="3511"/>
      <c r="AK113" s="3511"/>
      <c r="AL113" s="3511"/>
      <c r="AM113" s="3511"/>
      <c r="AN113" s="3511"/>
      <c r="AO113" s="3511"/>
      <c r="AP113" s="3511"/>
      <c r="AQ113" s="3511"/>
      <c r="AR113" s="3286"/>
      <c r="AS113" s="3286"/>
      <c r="AT113" s="3286"/>
      <c r="AU113" s="3286"/>
      <c r="AV113" s="3286"/>
      <c r="AW113" s="3286"/>
      <c r="AX113" s="3286"/>
      <c r="AY113" s="3292"/>
      <c r="AZ113" s="3498" t="s">
        <v>6210</v>
      </c>
    </row>
    <row r="114" spans="2:52" ht="3" customHeight="1" thickTop="1">
      <c r="B114" s="3502"/>
      <c r="C114" s="3517"/>
      <c r="D114" s="3502"/>
      <c r="E114" s="3294"/>
      <c r="F114" s="3510"/>
      <c r="G114" s="3510"/>
      <c r="H114" s="3510"/>
      <c r="I114" s="3510"/>
      <c r="J114" s="3510"/>
      <c r="K114" s="3510"/>
      <c r="L114" s="3510"/>
      <c r="M114" s="3510"/>
      <c r="N114" s="3510"/>
      <c r="O114" s="3510"/>
      <c r="P114" s="3510"/>
      <c r="Q114" s="3510"/>
      <c r="R114" s="3510"/>
      <c r="S114" s="3510"/>
      <c r="T114" s="3286"/>
      <c r="U114" s="3286"/>
      <c r="V114" s="3286"/>
      <c r="W114" s="3286"/>
      <c r="X114" s="3286"/>
      <c r="Y114" s="3286"/>
      <c r="Z114" s="3298"/>
      <c r="AA114" s="3298"/>
      <c r="AB114" s="3298"/>
      <c r="AC114" s="3298"/>
      <c r="AD114" s="3298"/>
      <c r="AE114" s="3298"/>
      <c r="AF114" s="3298"/>
      <c r="AG114" s="3298"/>
      <c r="AH114" s="3510"/>
      <c r="AI114" s="3511"/>
      <c r="AJ114" s="3511"/>
      <c r="AK114" s="3511"/>
      <c r="AL114" s="3511"/>
      <c r="AM114" s="3511"/>
      <c r="AN114" s="3511"/>
      <c r="AO114" s="3511"/>
      <c r="AP114" s="3511"/>
      <c r="AQ114" s="3511"/>
      <c r="AR114" s="3286"/>
      <c r="AS114" s="3286"/>
      <c r="AT114" s="3286"/>
      <c r="AU114" s="3286"/>
      <c r="AV114" s="3286"/>
      <c r="AW114" s="3286"/>
      <c r="AX114" s="3286"/>
      <c r="AY114" s="3292"/>
      <c r="AZ114" s="3498"/>
    </row>
    <row r="115" spans="2:52" ht="3" customHeight="1" thickBot="1">
      <c r="B115" s="3502"/>
      <c r="C115" s="3517"/>
      <c r="D115" s="3502"/>
      <c r="E115" s="3294"/>
      <c r="F115" s="3510"/>
      <c r="G115" s="3510"/>
      <c r="H115" s="3510"/>
      <c r="I115" s="3510"/>
      <c r="J115" s="3510"/>
      <c r="K115" s="3510"/>
      <c r="L115" s="3510"/>
      <c r="M115" s="3510"/>
      <c r="N115" s="3510"/>
      <c r="O115" s="3510"/>
      <c r="P115" s="3510"/>
      <c r="Q115" s="3510"/>
      <c r="R115" s="3510"/>
      <c r="S115" s="3510"/>
      <c r="T115" s="3286"/>
      <c r="U115" s="3286"/>
      <c r="V115" s="3286"/>
      <c r="W115" s="3286"/>
      <c r="X115" s="3286"/>
      <c r="Y115" s="3286"/>
      <c r="Z115" s="3286"/>
      <c r="AA115" s="3286"/>
      <c r="AB115" s="3286"/>
      <c r="AC115" s="3286"/>
      <c r="AD115" s="3286"/>
      <c r="AE115" s="3286"/>
      <c r="AF115" s="3286"/>
      <c r="AG115" s="3286"/>
      <c r="AH115" s="3510"/>
      <c r="AI115" s="3511"/>
      <c r="AJ115" s="3511"/>
      <c r="AK115" s="3511"/>
      <c r="AL115" s="3511"/>
      <c r="AM115" s="3511"/>
      <c r="AN115" s="3511"/>
      <c r="AO115" s="3511"/>
      <c r="AP115" s="3511"/>
      <c r="AQ115" s="3511"/>
      <c r="AR115" s="3286"/>
      <c r="AS115" s="3286"/>
      <c r="AT115" s="3286"/>
      <c r="AU115" s="3286"/>
      <c r="AV115" s="3286"/>
      <c r="AW115" s="3286"/>
      <c r="AX115" s="3286"/>
      <c r="AY115" s="3292"/>
      <c r="AZ115" s="3498"/>
    </row>
    <row r="116" spans="2:52" ht="13.5" customHeight="1" thickTop="1" thickBot="1">
      <c r="B116" s="3502"/>
      <c r="C116" s="3517"/>
      <c r="D116" s="3502"/>
      <c r="E116" s="3294"/>
      <c r="F116" s="3510"/>
      <c r="G116" s="3510"/>
      <c r="H116" s="3510"/>
      <c r="I116" s="3510"/>
      <c r="J116" s="3510"/>
      <c r="K116" s="3510"/>
      <c r="L116" s="3510"/>
      <c r="M116" s="3510"/>
      <c r="N116" s="3510"/>
      <c r="O116" s="3510"/>
      <c r="P116" s="3510"/>
      <c r="Q116" s="3510"/>
      <c r="R116" s="3510"/>
      <c r="S116" s="3510"/>
      <c r="T116" s="3286"/>
      <c r="U116" s="3286"/>
      <c r="V116" s="3286"/>
      <c r="W116" s="3286"/>
      <c r="X116" s="3286"/>
      <c r="Y116" s="3286"/>
      <c r="Z116" s="3286"/>
      <c r="AA116" s="3499">
        <f>'(申)計'!AA116</f>
        <v>18950268779</v>
      </c>
      <c r="AB116" s="3500"/>
      <c r="AC116" s="3500"/>
      <c r="AD116" s="3500"/>
      <c r="AE116" s="3500"/>
      <c r="AF116" s="3501"/>
      <c r="AG116" s="3286"/>
      <c r="AH116" s="3510"/>
      <c r="AI116" s="3511"/>
      <c r="AJ116" s="3511"/>
      <c r="AK116" s="3511"/>
      <c r="AL116" s="3511"/>
      <c r="AM116" s="3511"/>
      <c r="AN116" s="3511"/>
      <c r="AO116" s="3511"/>
      <c r="AP116" s="3511"/>
      <c r="AQ116" s="3511"/>
      <c r="AR116" s="3286"/>
      <c r="AS116" s="3286"/>
      <c r="AT116" s="3286"/>
      <c r="AU116" s="3286"/>
      <c r="AV116" s="3286"/>
      <c r="AW116" s="3286"/>
      <c r="AX116" s="3286"/>
      <c r="AY116" s="3292"/>
      <c r="AZ116" s="3498"/>
    </row>
    <row r="117" spans="2:52" ht="13.5" customHeight="1" thickTop="1" thickBot="1">
      <c r="B117" s="3502"/>
      <c r="C117" s="3517"/>
      <c r="D117" s="3502"/>
      <c r="E117" s="3294"/>
      <c r="F117" s="2844"/>
      <c r="G117" s="3286"/>
      <c r="H117" s="3286"/>
      <c r="I117" s="3286"/>
      <c r="J117" s="3286"/>
      <c r="K117" s="3286"/>
      <c r="L117" s="3286"/>
      <c r="M117" s="3286"/>
      <c r="N117" s="3286"/>
      <c r="O117" s="3286"/>
      <c r="P117" s="3286"/>
      <c r="Q117" s="3286"/>
      <c r="R117" s="3286"/>
      <c r="S117" s="3286"/>
      <c r="T117" s="3286"/>
      <c r="U117" s="3286"/>
      <c r="V117" s="3286"/>
      <c r="W117" s="3286"/>
      <c r="X117" s="3286"/>
      <c r="Y117" s="3286"/>
      <c r="Z117" s="3286"/>
      <c r="AA117" s="3286"/>
      <c r="AB117" s="3286"/>
      <c r="AC117" s="3286"/>
      <c r="AD117" s="3286"/>
      <c r="AE117" s="3286"/>
      <c r="AF117" s="3286"/>
      <c r="AG117" s="3286"/>
      <c r="AH117" s="3286"/>
      <c r="AI117" s="3286"/>
      <c r="AJ117" s="3286"/>
      <c r="AK117" s="3286"/>
      <c r="AL117" s="3286"/>
      <c r="AM117" s="3286"/>
      <c r="AN117" s="3286"/>
      <c r="AO117" s="3286"/>
      <c r="AP117" s="3286"/>
      <c r="AQ117" s="3286"/>
      <c r="AR117" s="3286"/>
      <c r="AS117" s="3286"/>
      <c r="AT117" s="3286"/>
      <c r="AU117" s="3286"/>
      <c r="AV117" s="3286"/>
      <c r="AW117" s="3286"/>
      <c r="AX117" s="3286"/>
      <c r="AY117" s="3292"/>
      <c r="AZ117" s="3319"/>
    </row>
    <row r="118" spans="2:52" ht="13.5" customHeight="1" thickTop="1" thickBot="1">
      <c r="B118" s="3502"/>
      <c r="C118" s="3517"/>
      <c r="D118" s="3502"/>
      <c r="E118" s="3294"/>
      <c r="F118" s="3286" t="s">
        <v>5409</v>
      </c>
      <c r="G118" s="3286"/>
      <c r="H118" s="3286"/>
      <c r="I118" s="3286"/>
      <c r="J118" s="3286"/>
      <c r="K118" s="3286"/>
      <c r="L118" s="3286"/>
      <c r="M118" s="3286"/>
      <c r="N118" s="3286"/>
      <c r="O118" s="3286"/>
      <c r="P118" s="3286"/>
      <c r="Q118" s="3286"/>
      <c r="R118" s="3286"/>
      <c r="S118" s="3286"/>
      <c r="T118" s="3286"/>
      <c r="U118" s="3286"/>
      <c r="V118" s="3286"/>
      <c r="W118" s="3286"/>
      <c r="X118" s="3286"/>
      <c r="Y118" s="3286"/>
      <c r="Z118" s="3286"/>
      <c r="AA118" s="3499">
        <f>ROUNDDOWN(AC111*AA113/AA116,0)</f>
        <v>0</v>
      </c>
      <c r="AB118" s="3500"/>
      <c r="AC118" s="3500"/>
      <c r="AD118" s="3500"/>
      <c r="AE118" s="3500"/>
      <c r="AF118" s="3501"/>
      <c r="AG118" s="3286" t="s">
        <v>5408</v>
      </c>
      <c r="AH118" s="3287" t="s">
        <v>5407</v>
      </c>
      <c r="AI118" s="3286"/>
      <c r="AJ118" s="3286"/>
      <c r="AK118" s="3286"/>
      <c r="AL118" s="3286"/>
      <c r="AM118" s="3286"/>
      <c r="AN118" s="3286"/>
      <c r="AO118" s="3286"/>
      <c r="AP118" s="3286"/>
      <c r="AQ118" s="3286"/>
      <c r="AR118" s="3286"/>
      <c r="AS118" s="3286"/>
      <c r="AT118" s="3286"/>
      <c r="AU118" s="3286"/>
      <c r="AV118" s="3286"/>
      <c r="AW118" s="3286"/>
      <c r="AX118" s="3286"/>
      <c r="AY118" s="3292"/>
      <c r="AZ118" s="3319" t="s">
        <v>6211</v>
      </c>
    </row>
    <row r="119" spans="2:52" ht="13.5" customHeight="1" thickTop="1" thickBot="1">
      <c r="B119" s="3502"/>
      <c r="C119" s="3517"/>
      <c r="D119" s="3502"/>
      <c r="E119" s="3294"/>
      <c r="F119" s="2844"/>
      <c r="G119" s="3286"/>
      <c r="H119" s="3286"/>
      <c r="I119" s="3286"/>
      <c r="J119" s="3286"/>
      <c r="K119" s="3286"/>
      <c r="L119" s="3286"/>
      <c r="M119" s="3286"/>
      <c r="N119" s="3286"/>
      <c r="O119" s="3286"/>
      <c r="P119" s="3286"/>
      <c r="Q119" s="3286"/>
      <c r="R119" s="3286"/>
      <c r="S119" s="3286"/>
      <c r="T119" s="3286"/>
      <c r="U119" s="3286"/>
      <c r="V119" s="3286"/>
      <c r="W119" s="3286"/>
      <c r="X119" s="3286"/>
      <c r="Y119" s="3286"/>
      <c r="Z119" s="3286"/>
      <c r="AA119" s="3286"/>
      <c r="AB119" s="3286"/>
      <c r="AC119" s="3286"/>
      <c r="AD119" s="3286"/>
      <c r="AE119" s="3286"/>
      <c r="AF119" s="3286"/>
      <c r="AG119" s="3286"/>
      <c r="AH119" s="3286"/>
      <c r="AI119" s="3286"/>
      <c r="AJ119" s="3286"/>
      <c r="AK119" s="3286"/>
      <c r="AL119" s="3286"/>
      <c r="AM119" s="3286"/>
      <c r="AN119" s="3286"/>
      <c r="AO119" s="3286"/>
      <c r="AP119" s="3286"/>
      <c r="AQ119" s="3286"/>
      <c r="AR119" s="3286"/>
      <c r="AS119" s="3286"/>
      <c r="AT119" s="3286"/>
      <c r="AU119" s="3286"/>
      <c r="AV119" s="3286"/>
      <c r="AW119" s="3286"/>
      <c r="AX119" s="3286"/>
      <c r="AY119" s="3292"/>
      <c r="AZ119" s="3319" t="s">
        <v>6200</v>
      </c>
    </row>
    <row r="120" spans="2:52" ht="13.5" customHeight="1" thickTop="1" thickBot="1">
      <c r="B120" s="3502"/>
      <c r="C120" s="3517"/>
      <c r="D120" s="3502"/>
      <c r="E120" s="3294" t="s">
        <v>5405</v>
      </c>
      <c r="F120" s="2844"/>
      <c r="G120" s="3286"/>
      <c r="H120" s="3286"/>
      <c r="I120" s="3286"/>
      <c r="J120" s="3286"/>
      <c r="K120" s="3286"/>
      <c r="L120" s="3286"/>
      <c r="M120" s="3286"/>
      <c r="N120" s="3286"/>
      <c r="O120" s="3286"/>
      <c r="P120" s="3286"/>
      <c r="Q120" s="3286"/>
      <c r="R120" s="3286"/>
      <c r="S120" s="3286"/>
      <c r="T120" s="3286"/>
      <c r="U120" s="3286"/>
      <c r="V120" s="3286"/>
      <c r="W120" s="3286"/>
      <c r="X120" s="3286"/>
      <c r="Y120" s="3286"/>
      <c r="Z120" s="3499">
        <f>Z108+AA118</f>
        <v>585333893</v>
      </c>
      <c r="AA120" s="3500"/>
      <c r="AB120" s="3500"/>
      <c r="AC120" s="3500"/>
      <c r="AD120" s="3500"/>
      <c r="AE120" s="3501"/>
      <c r="AF120" s="3286" t="s">
        <v>5404</v>
      </c>
      <c r="AG120" s="3287" t="s">
        <v>5403</v>
      </c>
      <c r="AH120" s="3286"/>
      <c r="AI120" s="3286"/>
      <c r="AJ120" s="3286"/>
      <c r="AK120" s="3286"/>
      <c r="AL120" s="3286"/>
      <c r="AM120" s="3286"/>
      <c r="AN120" s="3286"/>
      <c r="AO120" s="3286"/>
      <c r="AP120" s="3286"/>
      <c r="AQ120" s="3286"/>
      <c r="AR120" s="3286"/>
      <c r="AS120" s="3286"/>
      <c r="AT120" s="3286"/>
      <c r="AU120" s="3286"/>
      <c r="AV120" s="3286"/>
      <c r="AW120" s="3286"/>
      <c r="AX120" s="3286"/>
      <c r="AY120" s="3292"/>
      <c r="AZ120" s="3319" t="s">
        <v>6208</v>
      </c>
    </row>
    <row r="121" spans="2:52" ht="13.5" customHeight="1" thickTop="1" thickBot="1">
      <c r="B121" s="3502"/>
      <c r="C121" s="3517"/>
      <c r="D121" s="3502"/>
      <c r="E121" s="3294"/>
      <c r="F121" s="2844"/>
      <c r="G121" s="3286"/>
      <c r="H121" s="3286"/>
      <c r="I121" s="3286"/>
      <c r="J121" s="3286"/>
      <c r="K121" s="3286"/>
      <c r="L121" s="3286"/>
      <c r="M121" s="3286"/>
      <c r="N121" s="3286"/>
      <c r="O121" s="3286"/>
      <c r="P121" s="3286"/>
      <c r="Q121" s="3286"/>
      <c r="R121" s="3286"/>
      <c r="S121" s="3286"/>
      <c r="T121" s="3286"/>
      <c r="U121" s="3286"/>
      <c r="V121" s="3286"/>
      <c r="W121" s="3286"/>
      <c r="X121" s="3286"/>
      <c r="Y121" s="3286"/>
      <c r="Z121" s="3286"/>
      <c r="AA121" s="3286"/>
      <c r="AB121" s="3286"/>
      <c r="AC121" s="3286"/>
      <c r="AD121" s="3286"/>
      <c r="AE121" s="3286"/>
      <c r="AF121" s="3286"/>
      <c r="AG121" s="3286"/>
      <c r="AH121" s="3286"/>
      <c r="AI121" s="3286"/>
      <c r="AJ121" s="3286"/>
      <c r="AK121" s="3286"/>
      <c r="AL121" s="3286"/>
      <c r="AM121" s="3286"/>
      <c r="AN121" s="3286"/>
      <c r="AO121" s="3286"/>
      <c r="AP121" s="3286"/>
      <c r="AQ121" s="3286"/>
      <c r="AR121" s="3286"/>
      <c r="AS121" s="3286"/>
      <c r="AT121" s="3286"/>
      <c r="AU121" s="3286"/>
      <c r="AV121" s="3286"/>
      <c r="AW121" s="3286"/>
      <c r="AX121" s="3286"/>
      <c r="AY121" s="3292"/>
      <c r="AZ121" s="3320" t="s">
        <v>6202</v>
      </c>
    </row>
    <row r="122" spans="2:52" ht="13.5" customHeight="1" thickTop="1" thickBot="1">
      <c r="B122" s="3502"/>
      <c r="C122" s="3517"/>
      <c r="D122" s="3502"/>
      <c r="E122" s="3294" t="s">
        <v>5400</v>
      </c>
      <c r="F122" s="2844"/>
      <c r="G122" s="3286"/>
      <c r="H122" s="3286"/>
      <c r="I122" s="3286"/>
      <c r="J122" s="3286"/>
      <c r="K122" s="3286"/>
      <c r="L122" s="3286"/>
      <c r="M122" s="3286"/>
      <c r="N122" s="3286"/>
      <c r="O122" s="3286"/>
      <c r="P122" s="3286"/>
      <c r="Q122" s="3286"/>
      <c r="R122" s="3286"/>
      <c r="S122" s="3286"/>
      <c r="T122" s="3286"/>
      <c r="U122" s="3286"/>
      <c r="V122" s="3286"/>
      <c r="W122" s="3286"/>
      <c r="X122" s="3286"/>
      <c r="Y122" s="3286"/>
      <c r="Z122" s="3499">
        <f>Z98-Z120</f>
        <v>1207462349</v>
      </c>
      <c r="AA122" s="3500"/>
      <c r="AB122" s="3500"/>
      <c r="AC122" s="3500"/>
      <c r="AD122" s="3500"/>
      <c r="AE122" s="3501"/>
      <c r="AF122" s="3286" t="s">
        <v>5399</v>
      </c>
      <c r="AG122" s="3287" t="s">
        <v>5398</v>
      </c>
      <c r="AH122" s="3286"/>
      <c r="AI122" s="3286"/>
      <c r="AJ122" s="3286"/>
      <c r="AK122" s="3286"/>
      <c r="AL122" s="3286"/>
      <c r="AM122" s="3286"/>
      <c r="AN122" s="3286"/>
      <c r="AO122" s="3286"/>
      <c r="AP122" s="3286"/>
      <c r="AQ122" s="3286"/>
      <c r="AR122" s="3286"/>
      <c r="AS122" s="3286"/>
      <c r="AT122" s="3286"/>
      <c r="AU122" s="3286"/>
      <c r="AV122" s="3286"/>
      <c r="AW122" s="3286"/>
      <c r="AX122" s="3286"/>
      <c r="AY122" s="3292"/>
      <c r="AZ122" s="3041" t="s">
        <v>6204</v>
      </c>
    </row>
    <row r="123" spans="2:52" ht="13.5" customHeight="1" thickTop="1">
      <c r="B123" s="3502"/>
      <c r="C123" s="3518"/>
      <c r="D123" s="3513"/>
      <c r="E123" s="3297"/>
      <c r="F123" s="2839"/>
      <c r="G123" s="3298"/>
      <c r="H123" s="3298"/>
      <c r="I123" s="3298"/>
      <c r="J123" s="3298"/>
      <c r="K123" s="3298"/>
      <c r="L123" s="3298"/>
      <c r="M123" s="3298"/>
      <c r="N123" s="3298"/>
      <c r="O123" s="3298"/>
      <c r="P123" s="3298"/>
      <c r="Q123" s="3298"/>
      <c r="R123" s="3298"/>
      <c r="S123" s="3298"/>
      <c r="T123" s="3298"/>
      <c r="U123" s="3298"/>
      <c r="V123" s="3298"/>
      <c r="W123" s="3298"/>
      <c r="X123" s="3298"/>
      <c r="Y123" s="3298"/>
      <c r="Z123" s="3298"/>
      <c r="AA123" s="3298"/>
      <c r="AB123" s="3298"/>
      <c r="AC123" s="3298"/>
      <c r="AD123" s="3298"/>
      <c r="AE123" s="3298"/>
      <c r="AF123" s="3298"/>
      <c r="AG123" s="3298"/>
      <c r="AH123" s="3298"/>
      <c r="AI123" s="3298"/>
      <c r="AJ123" s="3298"/>
      <c r="AK123" s="3298"/>
      <c r="AL123" s="3298"/>
      <c r="AM123" s="3298"/>
      <c r="AN123" s="3298"/>
      <c r="AO123" s="3298"/>
      <c r="AP123" s="3298"/>
      <c r="AQ123" s="3298"/>
      <c r="AR123" s="3298"/>
      <c r="AS123" s="3298"/>
      <c r="AT123" s="3298"/>
      <c r="AU123" s="3298"/>
      <c r="AV123" s="3298"/>
      <c r="AW123" s="3298"/>
      <c r="AX123" s="3298"/>
      <c r="AY123" s="3293"/>
      <c r="AZ123" s="3047" t="s">
        <v>6205</v>
      </c>
    </row>
    <row r="124" spans="2:52" ht="13.5" customHeight="1">
      <c r="B124" s="3502"/>
      <c r="C124" s="3290"/>
      <c r="D124" s="3288"/>
      <c r="E124" s="3295"/>
      <c r="F124" s="2849"/>
      <c r="G124" s="3296"/>
      <c r="H124" s="3296"/>
      <c r="I124" s="3296"/>
      <c r="J124" s="3296"/>
      <c r="K124" s="3296"/>
      <c r="L124" s="3296"/>
      <c r="M124" s="3296"/>
      <c r="N124" s="3296"/>
      <c r="O124" s="3296"/>
      <c r="P124" s="3296"/>
      <c r="Q124" s="3296"/>
      <c r="R124" s="3296"/>
      <c r="S124" s="3296"/>
      <c r="T124" s="3296"/>
      <c r="U124" s="3296"/>
      <c r="V124" s="3296"/>
      <c r="W124" s="3296"/>
      <c r="X124" s="3296"/>
      <c r="Y124" s="3296"/>
      <c r="Z124" s="3296"/>
      <c r="AA124" s="3296"/>
      <c r="AB124" s="3296"/>
      <c r="AC124" s="3296"/>
      <c r="AD124" s="3296"/>
      <c r="AE124" s="3296"/>
      <c r="AF124" s="3296"/>
      <c r="AG124" s="3296"/>
      <c r="AH124" s="3296"/>
      <c r="AI124" s="3296"/>
      <c r="AJ124" s="3296"/>
      <c r="AK124" s="3296"/>
      <c r="AL124" s="3296"/>
      <c r="AM124" s="3296"/>
      <c r="AN124" s="3296"/>
      <c r="AO124" s="3296"/>
      <c r="AP124" s="3296"/>
      <c r="AQ124" s="3296"/>
      <c r="AR124" s="3296"/>
      <c r="AS124" s="3296"/>
      <c r="AT124" s="3296"/>
      <c r="AU124" s="3296"/>
      <c r="AV124" s="3296"/>
      <c r="AW124" s="3296"/>
      <c r="AX124" s="3296"/>
      <c r="AY124" s="3291"/>
      <c r="AZ124" s="3290"/>
    </row>
    <row r="125" spans="2:52" ht="13.5" customHeight="1">
      <c r="B125" s="3502"/>
      <c r="C125" s="3283"/>
      <c r="D125" s="3284"/>
      <c r="E125" s="3294"/>
      <c r="F125" s="2844"/>
      <c r="G125" s="3286"/>
      <c r="H125" s="3286"/>
      <c r="I125" s="3286"/>
      <c r="J125" s="3286"/>
      <c r="K125" s="3286"/>
      <c r="L125" s="3286"/>
      <c r="M125" s="3286"/>
      <c r="N125" s="3286"/>
      <c r="O125" s="3286"/>
      <c r="P125" s="3286"/>
      <c r="Q125" s="3286"/>
      <c r="R125" s="3286"/>
      <c r="S125" s="3286"/>
      <c r="T125" s="3286"/>
      <c r="U125" s="3286"/>
      <c r="V125" s="3286"/>
      <c r="W125" s="3286"/>
      <c r="X125" s="3286"/>
      <c r="Y125" s="3286"/>
      <c r="Z125" s="3286"/>
      <c r="AA125" s="3286"/>
      <c r="AB125" s="3286"/>
      <c r="AC125" s="3286"/>
      <c r="AD125" s="3286"/>
      <c r="AE125" s="3286"/>
      <c r="AF125" s="3286"/>
      <c r="AG125" s="3286"/>
      <c r="AH125" s="3286"/>
      <c r="AI125" s="3286"/>
      <c r="AJ125" s="3286"/>
      <c r="AK125" s="3286"/>
      <c r="AL125" s="3286"/>
      <c r="AM125" s="3286"/>
      <c r="AN125" s="3286"/>
      <c r="AO125" s="3286"/>
      <c r="AP125" s="3286"/>
      <c r="AQ125" s="3286"/>
      <c r="AR125" s="3286"/>
      <c r="AS125" s="3286"/>
      <c r="AT125" s="3286"/>
      <c r="AU125" s="3286"/>
      <c r="AV125" s="3286"/>
      <c r="AW125" s="3286"/>
      <c r="AX125" s="3286"/>
      <c r="AY125" s="3292"/>
      <c r="AZ125" s="3283"/>
    </row>
    <row r="126" spans="2:52" ht="13.5" customHeight="1">
      <c r="B126" s="3502"/>
      <c r="C126" s="3283"/>
      <c r="D126" s="3284"/>
      <c r="E126" s="3294"/>
      <c r="F126" s="2844"/>
      <c r="G126" s="3286"/>
      <c r="H126" s="3286"/>
      <c r="I126" s="3286"/>
      <c r="J126" s="3286"/>
      <c r="K126" s="3286"/>
      <c r="L126" s="3286"/>
      <c r="M126" s="3286"/>
      <c r="N126" s="3286"/>
      <c r="O126" s="3286"/>
      <c r="P126" s="3286"/>
      <c r="Q126" s="3286"/>
      <c r="R126" s="3286"/>
      <c r="S126" s="3286"/>
      <c r="T126" s="3286"/>
      <c r="U126" s="3286"/>
      <c r="V126" s="3286"/>
      <c r="W126" s="3286"/>
      <c r="X126" s="3286"/>
      <c r="Y126" s="3286"/>
      <c r="Z126" s="3286"/>
      <c r="AA126" s="3286"/>
      <c r="AB126" s="3286"/>
      <c r="AC126" s="3286"/>
      <c r="AD126" s="3286"/>
      <c r="AE126" s="3286"/>
      <c r="AF126" s="3286"/>
      <c r="AG126" s="3286"/>
      <c r="AH126" s="3286"/>
      <c r="AI126" s="3286"/>
      <c r="AJ126" s="3286"/>
      <c r="AK126" s="3286"/>
      <c r="AL126" s="3286"/>
      <c r="AM126" s="3286"/>
      <c r="AN126" s="3286"/>
      <c r="AO126" s="3286"/>
      <c r="AP126" s="3286"/>
      <c r="AQ126" s="3286"/>
      <c r="AR126" s="3286"/>
      <c r="AS126" s="3286"/>
      <c r="AT126" s="3286"/>
      <c r="AU126" s="3286"/>
      <c r="AV126" s="3286"/>
      <c r="AW126" s="3286"/>
      <c r="AX126" s="3286"/>
      <c r="AY126" s="3292"/>
      <c r="AZ126" s="3283"/>
    </row>
    <row r="127" spans="2:52" ht="13.5" customHeight="1">
      <c r="B127" s="3502"/>
      <c r="C127" s="3283"/>
      <c r="D127" s="3284"/>
      <c r="E127" s="3294"/>
      <c r="F127" s="2844"/>
      <c r="G127" s="3286"/>
      <c r="H127" s="3286"/>
      <c r="I127" s="3286"/>
      <c r="J127" s="3286"/>
      <c r="K127" s="3286"/>
      <c r="L127" s="3286"/>
      <c r="M127" s="3286"/>
      <c r="N127" s="3286"/>
      <c r="O127" s="3286"/>
      <c r="P127" s="3286"/>
      <c r="Q127" s="3286"/>
      <c r="R127" s="3286"/>
      <c r="S127" s="3286"/>
      <c r="T127" s="3286"/>
      <c r="U127" s="3286"/>
      <c r="V127" s="3286"/>
      <c r="W127" s="3286"/>
      <c r="X127" s="3286"/>
      <c r="Y127" s="3286"/>
      <c r="Z127" s="3286"/>
      <c r="AA127" s="3286"/>
      <c r="AB127" s="3286"/>
      <c r="AC127" s="3286"/>
      <c r="AD127" s="3286"/>
      <c r="AE127" s="3286"/>
      <c r="AF127" s="3286"/>
      <c r="AG127" s="3286"/>
      <c r="AH127" s="3286"/>
      <c r="AI127" s="3286"/>
      <c r="AJ127" s="3286"/>
      <c r="AK127" s="3286"/>
      <c r="AL127" s="3286"/>
      <c r="AM127" s="3286"/>
      <c r="AN127" s="3286"/>
      <c r="AO127" s="3286"/>
      <c r="AP127" s="3286"/>
      <c r="AQ127" s="3286"/>
      <c r="AR127" s="3286"/>
      <c r="AS127" s="3286"/>
      <c r="AT127" s="3286"/>
      <c r="AU127" s="3286"/>
      <c r="AV127" s="3286"/>
      <c r="AW127" s="3286"/>
      <c r="AX127" s="3286"/>
      <c r="AY127" s="3292"/>
      <c r="AZ127" s="3283"/>
    </row>
    <row r="128" spans="2:52" ht="13.5" customHeight="1">
      <c r="B128" s="3502"/>
      <c r="C128" s="3283"/>
      <c r="D128" s="3284"/>
      <c r="E128" s="3294"/>
      <c r="F128" s="2844"/>
      <c r="G128" s="3286"/>
      <c r="H128" s="3286"/>
      <c r="I128" s="3286"/>
      <c r="J128" s="3286"/>
      <c r="K128" s="3286"/>
      <c r="L128" s="3286"/>
      <c r="M128" s="3286"/>
      <c r="N128" s="3286"/>
      <c r="O128" s="3286"/>
      <c r="P128" s="3286"/>
      <c r="Q128" s="3286"/>
      <c r="R128" s="3286"/>
      <c r="S128" s="3286"/>
      <c r="T128" s="3286"/>
      <c r="U128" s="3286"/>
      <c r="V128" s="3286"/>
      <c r="W128" s="3286"/>
      <c r="X128" s="3286"/>
      <c r="Y128" s="3286"/>
      <c r="Z128" s="3286"/>
      <c r="AA128" s="3286"/>
      <c r="AB128" s="3286"/>
      <c r="AC128" s="3286"/>
      <c r="AD128" s="3286"/>
      <c r="AE128" s="3286"/>
      <c r="AF128" s="3286"/>
      <c r="AG128" s="3286"/>
      <c r="AH128" s="3286"/>
      <c r="AI128" s="3286"/>
      <c r="AJ128" s="3286"/>
      <c r="AK128" s="3286"/>
      <c r="AL128" s="3286"/>
      <c r="AM128" s="3286"/>
      <c r="AN128" s="3286"/>
      <c r="AO128" s="3286"/>
      <c r="AP128" s="3286"/>
      <c r="AQ128" s="3286"/>
      <c r="AR128" s="3286"/>
      <c r="AS128" s="3286"/>
      <c r="AT128" s="3286"/>
      <c r="AU128" s="3286"/>
      <c r="AV128" s="3286"/>
      <c r="AW128" s="3286"/>
      <c r="AX128" s="3286"/>
      <c r="AY128" s="3292"/>
      <c r="AZ128" s="3283"/>
    </row>
    <row r="129" spans="2:52" ht="13.5" customHeight="1">
      <c r="B129" s="3502"/>
      <c r="C129" s="3283"/>
      <c r="D129" s="3284"/>
      <c r="E129" s="3294"/>
      <c r="F129" s="2844"/>
      <c r="G129" s="3286"/>
      <c r="H129" s="3286"/>
      <c r="I129" s="3286"/>
      <c r="J129" s="3286"/>
      <c r="K129" s="3286"/>
      <c r="L129" s="3286"/>
      <c r="M129" s="3286"/>
      <c r="N129" s="3286"/>
      <c r="O129" s="3286"/>
      <c r="P129" s="3286"/>
      <c r="Q129" s="3286"/>
      <c r="R129" s="3286"/>
      <c r="S129" s="3286"/>
      <c r="T129" s="3286"/>
      <c r="U129" s="3286"/>
      <c r="V129" s="3286"/>
      <c r="W129" s="3286"/>
      <c r="X129" s="3286"/>
      <c r="Y129" s="3286"/>
      <c r="Z129" s="3286"/>
      <c r="AA129" s="3286"/>
      <c r="AB129" s="3286"/>
      <c r="AC129" s="3286"/>
      <c r="AD129" s="3286"/>
      <c r="AE129" s="3286"/>
      <c r="AF129" s="3286"/>
      <c r="AG129" s="3286"/>
      <c r="AH129" s="3286"/>
      <c r="AI129" s="3286"/>
      <c r="AJ129" s="3286"/>
      <c r="AK129" s="3286"/>
      <c r="AL129" s="3286"/>
      <c r="AM129" s="3286"/>
      <c r="AN129" s="3286"/>
      <c r="AO129" s="3286"/>
      <c r="AP129" s="3286"/>
      <c r="AQ129" s="3286"/>
      <c r="AR129" s="3286"/>
      <c r="AS129" s="3286"/>
      <c r="AT129" s="3286"/>
      <c r="AU129" s="3286"/>
      <c r="AV129" s="3286"/>
      <c r="AW129" s="3286"/>
      <c r="AX129" s="3286"/>
      <c r="AY129" s="3292"/>
      <c r="AZ129" s="3283"/>
    </row>
    <row r="130" spans="2:52" ht="13.5" customHeight="1">
      <c r="B130" s="3513"/>
      <c r="C130" s="3285"/>
      <c r="D130" s="3289"/>
      <c r="E130" s="3297"/>
      <c r="F130" s="2839"/>
      <c r="G130" s="3298"/>
      <c r="H130" s="3298"/>
      <c r="I130" s="3298"/>
      <c r="J130" s="3298"/>
      <c r="K130" s="3298"/>
      <c r="L130" s="3298"/>
      <c r="M130" s="3298"/>
      <c r="N130" s="3298"/>
      <c r="O130" s="3298"/>
      <c r="P130" s="3298"/>
      <c r="Q130" s="3298"/>
      <c r="R130" s="3298"/>
      <c r="S130" s="3298"/>
      <c r="T130" s="3298"/>
      <c r="U130" s="3298"/>
      <c r="V130" s="3298"/>
      <c r="W130" s="3298"/>
      <c r="X130" s="3298"/>
      <c r="Y130" s="3298"/>
      <c r="Z130" s="3298"/>
      <c r="AA130" s="3298"/>
      <c r="AB130" s="3298"/>
      <c r="AC130" s="3298"/>
      <c r="AD130" s="3298"/>
      <c r="AE130" s="3298"/>
      <c r="AF130" s="3298"/>
      <c r="AG130" s="3298"/>
      <c r="AH130" s="3298"/>
      <c r="AI130" s="3298"/>
      <c r="AJ130" s="3298"/>
      <c r="AK130" s="3298"/>
      <c r="AL130" s="3298"/>
      <c r="AM130" s="3298"/>
      <c r="AN130" s="3298"/>
      <c r="AO130" s="3298"/>
      <c r="AP130" s="3298"/>
      <c r="AQ130" s="3298"/>
      <c r="AR130" s="3298"/>
      <c r="AS130" s="3298"/>
      <c r="AT130" s="3298"/>
      <c r="AU130" s="3298"/>
      <c r="AV130" s="3298"/>
      <c r="AW130" s="3298"/>
      <c r="AX130" s="3298"/>
      <c r="AY130" s="3293"/>
      <c r="AZ130" s="3285"/>
    </row>
    <row r="131" spans="2:52" ht="13.5" customHeight="1">
      <c r="B131" s="3512" t="s">
        <v>5397</v>
      </c>
      <c r="C131" s="3514">
        <v>1</v>
      </c>
      <c r="D131" s="3514" t="s">
        <v>5396</v>
      </c>
      <c r="E131" s="3295"/>
      <c r="F131" s="2849"/>
      <c r="G131" s="3296"/>
      <c r="H131" s="3296"/>
      <c r="I131" s="3296"/>
      <c r="J131" s="3296"/>
      <c r="K131" s="3296"/>
      <c r="L131" s="3296"/>
      <c r="M131" s="3296"/>
      <c r="N131" s="3296"/>
      <c r="O131" s="3296"/>
      <c r="P131" s="3296"/>
      <c r="Q131" s="3296"/>
      <c r="R131" s="3296"/>
      <c r="S131" s="3296"/>
      <c r="T131" s="2852"/>
      <c r="U131" s="2852"/>
      <c r="V131" s="2852"/>
      <c r="W131" s="2852"/>
      <c r="X131" s="2852"/>
      <c r="Y131" s="2852"/>
      <c r="Z131" s="3296"/>
      <c r="AA131" s="3296"/>
      <c r="AB131" s="3296"/>
      <c r="AC131" s="3296"/>
      <c r="AD131" s="3296"/>
      <c r="AE131" s="3296"/>
      <c r="AF131" s="3296"/>
      <c r="AG131" s="3296"/>
      <c r="AH131" s="3296"/>
      <c r="AI131" s="3296"/>
      <c r="AJ131" s="3296"/>
      <c r="AK131" s="3296"/>
      <c r="AL131" s="3296"/>
      <c r="AM131" s="3296"/>
      <c r="AN131" s="3296"/>
      <c r="AO131" s="3296"/>
      <c r="AP131" s="3296"/>
      <c r="AQ131" s="3296"/>
      <c r="AR131" s="3296"/>
      <c r="AS131" s="3296"/>
      <c r="AT131" s="3296"/>
      <c r="AU131" s="3296"/>
      <c r="AV131" s="3296"/>
      <c r="AW131" s="3296"/>
      <c r="AX131" s="3296"/>
      <c r="AY131" s="3291"/>
      <c r="AZ131" s="3290"/>
    </row>
    <row r="132" spans="2:52" ht="13.5" customHeight="1">
      <c r="B132" s="3502"/>
      <c r="C132" s="3498"/>
      <c r="D132" s="3498"/>
      <c r="E132" s="3294" t="s">
        <v>5375</v>
      </c>
      <c r="F132" s="2844"/>
      <c r="G132" s="3286"/>
      <c r="H132" s="3286"/>
      <c r="I132" s="3286"/>
      <c r="J132" s="3286" t="s">
        <v>5395</v>
      </c>
      <c r="K132" s="3286"/>
      <c r="L132" s="3286"/>
      <c r="M132" s="3286"/>
      <c r="N132" s="3286"/>
      <c r="O132" s="3286"/>
      <c r="P132" s="3286"/>
      <c r="Q132" s="3286"/>
      <c r="R132" s="3286"/>
      <c r="S132" s="3286"/>
      <c r="T132" s="3497">
        <f>IF(0&gt;Z122,0,Z122)</f>
        <v>1207462349</v>
      </c>
      <c r="U132" s="3497"/>
      <c r="V132" s="3497"/>
      <c r="W132" s="3497"/>
      <c r="X132" s="3497"/>
      <c r="Y132" s="3497"/>
      <c r="Z132" s="3286"/>
      <c r="AA132" s="3287" t="s">
        <v>5394</v>
      </c>
      <c r="AB132" s="3286"/>
      <c r="AC132" s="3286"/>
      <c r="AD132" s="3286"/>
      <c r="AE132" s="3286"/>
      <c r="AF132" s="3286"/>
      <c r="AG132" s="3286"/>
      <c r="AH132" s="3286"/>
      <c r="AI132" s="3286"/>
      <c r="AJ132" s="3286"/>
      <c r="AK132" s="3286"/>
      <c r="AL132" s="3286"/>
      <c r="AM132" s="3286"/>
      <c r="AN132" s="3286"/>
      <c r="AO132" s="3286"/>
      <c r="AP132" s="3286"/>
      <c r="AQ132" s="3286"/>
      <c r="AR132" s="3286"/>
      <c r="AS132" s="3286"/>
      <c r="AT132" s="3286"/>
      <c r="AU132" s="3286"/>
      <c r="AV132" s="3286"/>
      <c r="AW132" s="3286"/>
      <c r="AX132" s="3286"/>
      <c r="AY132" s="3292"/>
      <c r="AZ132" s="3283" t="s">
        <v>6230</v>
      </c>
    </row>
    <row r="133" spans="2:52" ht="13.5" customHeight="1" thickBot="1">
      <c r="B133" s="3502"/>
      <c r="C133" s="3498"/>
      <c r="D133" s="3498"/>
      <c r="E133" s="3294"/>
      <c r="F133" s="2844"/>
      <c r="G133" s="3286"/>
      <c r="H133" s="3286"/>
      <c r="I133" s="3286"/>
      <c r="J133" s="3286"/>
      <c r="K133" s="3286"/>
      <c r="L133" s="3286"/>
      <c r="M133" s="3286"/>
      <c r="N133" s="3286"/>
      <c r="O133" s="3286"/>
      <c r="P133" s="3286"/>
      <c r="Q133" s="3286"/>
      <c r="R133" s="3286"/>
      <c r="S133" s="3286"/>
      <c r="T133" s="3286"/>
      <c r="U133" s="3286"/>
      <c r="V133" s="3286"/>
      <c r="W133" s="3286"/>
      <c r="X133" s="3286"/>
      <c r="Y133" s="3286"/>
      <c r="Z133" s="3286"/>
      <c r="AA133" s="3286"/>
      <c r="AB133" s="3286"/>
      <c r="AC133" s="3286"/>
      <c r="AD133" s="3286"/>
      <c r="AE133" s="3286"/>
      <c r="AF133" s="3286"/>
      <c r="AG133" s="3286"/>
      <c r="AH133" s="3286"/>
      <c r="AI133" s="3286"/>
      <c r="AJ133" s="3286"/>
      <c r="AK133" s="3286"/>
      <c r="AL133" s="3286"/>
      <c r="AM133" s="3286"/>
      <c r="AN133" s="3286"/>
      <c r="AO133" s="3286"/>
      <c r="AP133" s="3286"/>
      <c r="AQ133" s="3286"/>
      <c r="AR133" s="3286"/>
      <c r="AS133" s="3286"/>
      <c r="AT133" s="3286"/>
      <c r="AU133" s="3286"/>
      <c r="AV133" s="3286"/>
      <c r="AW133" s="3286"/>
      <c r="AX133" s="3286"/>
      <c r="AY133" s="3292"/>
      <c r="AZ133" s="3283">
        <v>0</v>
      </c>
    </row>
    <row r="134" spans="2:52" ht="13.5" customHeight="1" thickTop="1" thickBot="1">
      <c r="B134" s="3502"/>
      <c r="C134" s="3498"/>
      <c r="D134" s="3498"/>
      <c r="E134" s="3294"/>
      <c r="F134" s="2844"/>
      <c r="G134" s="3286"/>
      <c r="H134" s="3286"/>
      <c r="I134" s="3286"/>
      <c r="J134" s="3286" t="s">
        <v>5393</v>
      </c>
      <c r="K134" s="3286"/>
      <c r="L134" s="3286"/>
      <c r="M134" s="3286"/>
      <c r="N134" s="3286"/>
      <c r="O134" s="3286"/>
      <c r="P134" s="3286"/>
      <c r="Q134" s="3286"/>
      <c r="R134" s="3286"/>
      <c r="S134" s="3286"/>
      <c r="T134" s="3499">
        <f>ROUNDDOWN(R25*78/1100,0)</f>
        <v>754454</v>
      </c>
      <c r="U134" s="3500"/>
      <c r="V134" s="3500"/>
      <c r="W134" s="3500"/>
      <c r="X134" s="3500"/>
      <c r="Y134" s="3501"/>
      <c r="Z134" s="3314" t="s">
        <v>6179</v>
      </c>
      <c r="AA134" s="3315" t="s">
        <v>6180</v>
      </c>
      <c r="AB134" s="3314"/>
      <c r="AC134" s="3286"/>
      <c r="AD134" s="3286"/>
      <c r="AE134" s="3286"/>
      <c r="AF134" s="3286"/>
      <c r="AG134" s="3286"/>
      <c r="AH134" s="3286"/>
      <c r="AI134" s="3286"/>
      <c r="AJ134" s="3286"/>
      <c r="AK134" s="3286"/>
      <c r="AL134" s="3286"/>
      <c r="AM134" s="3286"/>
      <c r="AN134" s="3286"/>
      <c r="AO134" s="3286"/>
      <c r="AP134" s="3286"/>
      <c r="AQ134" s="3286"/>
      <c r="AR134" s="3286"/>
      <c r="AS134" s="3286"/>
      <c r="AT134" s="3286"/>
      <c r="AU134" s="3286"/>
      <c r="AV134" s="3286"/>
      <c r="AW134" s="3286"/>
      <c r="AX134" s="3286"/>
      <c r="AY134" s="3292"/>
      <c r="AZ134" s="3283" t="s">
        <v>5390</v>
      </c>
    </row>
    <row r="135" spans="2:52" ht="13.5" customHeight="1" thickTop="1">
      <c r="B135" s="3502"/>
      <c r="C135" s="3498"/>
      <c r="D135" s="3498"/>
      <c r="E135" s="3294"/>
      <c r="F135" s="2844"/>
      <c r="G135" s="3286"/>
      <c r="H135" s="3286"/>
      <c r="I135" s="3286"/>
      <c r="J135" s="3286"/>
      <c r="K135" s="3286"/>
      <c r="L135" s="3286"/>
      <c r="M135" s="3286"/>
      <c r="N135" s="3286"/>
      <c r="O135" s="3286"/>
      <c r="P135" s="3286"/>
      <c r="Q135" s="3286"/>
      <c r="R135" s="3286"/>
      <c r="S135" s="3286"/>
      <c r="T135" s="3314"/>
      <c r="U135" s="3314"/>
      <c r="V135" s="3314"/>
      <c r="W135" s="3314"/>
      <c r="X135" s="3314"/>
      <c r="Y135" s="3314"/>
      <c r="Z135" s="3314"/>
      <c r="AA135" s="3314"/>
      <c r="AB135" s="3314"/>
      <c r="AC135" s="3286"/>
      <c r="AD135" s="3286"/>
      <c r="AE135" s="3286"/>
      <c r="AF135" s="3286"/>
      <c r="AG135" s="3286"/>
      <c r="AH135" s="3286"/>
      <c r="AI135" s="3286"/>
      <c r="AJ135" s="3286"/>
      <c r="AK135" s="3286"/>
      <c r="AL135" s="3286"/>
      <c r="AM135" s="3286"/>
      <c r="AN135" s="3286"/>
      <c r="AO135" s="3286"/>
      <c r="AP135" s="3286"/>
      <c r="AQ135" s="3286"/>
      <c r="AR135" s="3286"/>
      <c r="AS135" s="3286"/>
      <c r="AT135" s="3286"/>
      <c r="AU135" s="3286"/>
      <c r="AV135" s="3286"/>
      <c r="AW135" s="3286"/>
      <c r="AX135" s="3286"/>
      <c r="AY135" s="3292"/>
      <c r="AZ135" s="3283"/>
    </row>
    <row r="136" spans="2:52" ht="13.5" customHeight="1" thickBot="1">
      <c r="B136" s="3502"/>
      <c r="C136" s="3498"/>
      <c r="D136" s="3498"/>
      <c r="E136" s="3294"/>
      <c r="F136" s="2844"/>
      <c r="G136" s="3286"/>
      <c r="H136" s="3286"/>
      <c r="I136" s="3286"/>
      <c r="J136" s="3286" t="s">
        <v>5389</v>
      </c>
      <c r="K136" s="3286"/>
      <c r="L136" s="3286"/>
      <c r="M136" s="3286"/>
      <c r="N136" s="3286"/>
      <c r="O136" s="3286"/>
      <c r="P136" s="3286"/>
      <c r="Q136" s="3286"/>
      <c r="R136" s="3286"/>
      <c r="S136" s="3286"/>
      <c r="T136" s="3519">
        <f>基礎数値!H17</f>
        <v>0</v>
      </c>
      <c r="U136" s="3519"/>
      <c r="V136" s="3519"/>
      <c r="W136" s="3519"/>
      <c r="X136" s="3519"/>
      <c r="Y136" s="3519"/>
      <c r="Z136" s="3314" t="s">
        <v>5388</v>
      </c>
      <c r="AA136" s="3315" t="s">
        <v>5387</v>
      </c>
      <c r="AB136" s="3314"/>
      <c r="AC136" s="3286"/>
      <c r="AD136" s="3286"/>
      <c r="AE136" s="3286"/>
      <c r="AF136" s="3286"/>
      <c r="AG136" s="3286"/>
      <c r="AH136" s="3286"/>
      <c r="AI136" s="3286"/>
      <c r="AJ136" s="3286"/>
      <c r="AK136" s="3286"/>
      <c r="AL136" s="3286"/>
      <c r="AM136" s="3286"/>
      <c r="AN136" s="3286"/>
      <c r="AO136" s="3286"/>
      <c r="AP136" s="3286"/>
      <c r="AQ136" s="3286"/>
      <c r="AR136" s="3286"/>
      <c r="AS136" s="3286"/>
      <c r="AT136" s="3286"/>
      <c r="AU136" s="3286"/>
      <c r="AV136" s="3286"/>
      <c r="AW136" s="3286"/>
      <c r="AX136" s="3286"/>
      <c r="AY136" s="3292"/>
      <c r="AZ136" s="3283"/>
    </row>
    <row r="137" spans="2:52" ht="13.5" customHeight="1" thickTop="1" thickBot="1">
      <c r="B137" s="3502"/>
      <c r="C137" s="3498"/>
      <c r="D137" s="3498"/>
      <c r="E137" s="3294"/>
      <c r="F137" s="2844"/>
      <c r="G137" s="3286"/>
      <c r="H137" s="3286"/>
      <c r="I137" s="3286"/>
      <c r="J137" s="3286" t="s">
        <v>5386</v>
      </c>
      <c r="K137" s="3286"/>
      <c r="L137" s="3286"/>
      <c r="M137" s="3286"/>
      <c r="N137" s="3286"/>
      <c r="O137" s="3286"/>
      <c r="P137" s="3286"/>
      <c r="Q137" s="3286"/>
      <c r="R137" s="3286"/>
      <c r="S137" s="3286"/>
      <c r="T137" s="3499">
        <f>ROUNDDOWN(T136*78/1100,0)</f>
        <v>0</v>
      </c>
      <c r="U137" s="3500"/>
      <c r="V137" s="3500"/>
      <c r="W137" s="3500"/>
      <c r="X137" s="3500"/>
      <c r="Y137" s="3501"/>
      <c r="Z137" s="3314" t="s">
        <v>6181</v>
      </c>
      <c r="AA137" s="3315" t="s">
        <v>6182</v>
      </c>
      <c r="AB137" s="3314"/>
      <c r="AC137" s="3286"/>
      <c r="AD137" s="3286"/>
      <c r="AE137" s="3286"/>
      <c r="AF137" s="3286"/>
      <c r="AG137" s="3286"/>
      <c r="AH137" s="3286"/>
      <c r="AI137" s="3286"/>
      <c r="AJ137" s="3286"/>
      <c r="AK137" s="3286"/>
      <c r="AL137" s="3286"/>
      <c r="AM137" s="3286"/>
      <c r="AN137" s="3286"/>
      <c r="AO137" s="3286"/>
      <c r="AP137" s="3286"/>
      <c r="AQ137" s="3286"/>
      <c r="AR137" s="3286"/>
      <c r="AS137" s="3286"/>
      <c r="AT137" s="3286"/>
      <c r="AU137" s="3286"/>
      <c r="AV137" s="3286"/>
      <c r="AW137" s="3286"/>
      <c r="AX137" s="3286"/>
      <c r="AY137" s="3292"/>
      <c r="AZ137" s="3283" t="s">
        <v>5383</v>
      </c>
    </row>
    <row r="138" spans="2:52" ht="13.5" customHeight="1" thickTop="1" thickBot="1">
      <c r="B138" s="3502"/>
      <c r="C138" s="3498"/>
      <c r="D138" s="3498"/>
      <c r="E138" s="3294"/>
      <c r="F138" s="2844"/>
      <c r="G138" s="3286"/>
      <c r="H138" s="3286"/>
      <c r="I138" s="3286"/>
      <c r="J138" s="3286"/>
      <c r="K138" s="3286"/>
      <c r="L138" s="3286"/>
      <c r="M138" s="3286"/>
      <c r="N138" s="3286"/>
      <c r="O138" s="3286"/>
      <c r="P138" s="3286"/>
      <c r="Q138" s="3286"/>
      <c r="R138" s="3286"/>
      <c r="S138" s="3286"/>
      <c r="T138" s="3286"/>
      <c r="U138" s="3286"/>
      <c r="V138" s="3286"/>
      <c r="W138" s="3286"/>
      <c r="X138" s="3286"/>
      <c r="Y138" s="3286"/>
      <c r="Z138" s="3286"/>
      <c r="AA138" s="3286"/>
      <c r="AB138" s="3286"/>
      <c r="AC138" s="3286"/>
      <c r="AD138" s="3286"/>
      <c r="AE138" s="3286"/>
      <c r="AF138" s="3286"/>
      <c r="AG138" s="3286"/>
      <c r="AH138" s="3286"/>
      <c r="AI138" s="3286"/>
      <c r="AJ138" s="3286"/>
      <c r="AK138" s="3286"/>
      <c r="AL138" s="3286"/>
      <c r="AM138" s="3286"/>
      <c r="AN138" s="3286"/>
      <c r="AO138" s="3286"/>
      <c r="AP138" s="3286"/>
      <c r="AQ138" s="3286"/>
      <c r="AR138" s="3286"/>
      <c r="AS138" s="3286"/>
      <c r="AT138" s="3286"/>
      <c r="AU138" s="3286"/>
      <c r="AV138" s="3286"/>
      <c r="AW138" s="3286"/>
      <c r="AX138" s="3286"/>
      <c r="AY138" s="3292"/>
      <c r="AZ138" s="3283"/>
    </row>
    <row r="139" spans="2:52" ht="13.5" customHeight="1" thickTop="1" thickBot="1">
      <c r="B139" s="3502"/>
      <c r="C139" s="3498"/>
      <c r="D139" s="3498"/>
      <c r="E139" s="3294"/>
      <c r="F139" s="2844"/>
      <c r="G139" s="3286"/>
      <c r="H139" s="3286"/>
      <c r="I139" s="3286"/>
      <c r="J139" s="3286" t="s">
        <v>5382</v>
      </c>
      <c r="K139" s="3286"/>
      <c r="L139" s="3286"/>
      <c r="M139" s="3286"/>
      <c r="N139" s="3286"/>
      <c r="O139" s="3286"/>
      <c r="P139" s="3286"/>
      <c r="Q139" s="3286"/>
      <c r="R139" s="3286"/>
      <c r="S139" s="3286"/>
      <c r="T139" s="3499">
        <f>T132+T134+T137</f>
        <v>1208216803</v>
      </c>
      <c r="U139" s="3500"/>
      <c r="V139" s="3500"/>
      <c r="W139" s="3500"/>
      <c r="X139" s="3500"/>
      <c r="Y139" s="3501"/>
      <c r="Z139" s="3286" t="s">
        <v>5539</v>
      </c>
      <c r="AB139" s="3287" t="s">
        <v>5380</v>
      </c>
      <c r="AC139" s="3286"/>
      <c r="AD139" s="3286"/>
      <c r="AE139" s="3286"/>
      <c r="AF139" s="3286"/>
      <c r="AG139" s="3286"/>
      <c r="AH139" s="3286"/>
      <c r="AI139" s="3286"/>
      <c r="AJ139" s="3286"/>
      <c r="AK139" s="3286"/>
      <c r="AL139" s="3286"/>
      <c r="AM139" s="3286"/>
      <c r="AN139" s="3286"/>
      <c r="AO139" s="3286"/>
      <c r="AP139" s="3286"/>
      <c r="AQ139" s="3286"/>
      <c r="AR139" s="3286"/>
      <c r="AS139" s="3286"/>
      <c r="AT139" s="3286"/>
      <c r="AU139" s="3286"/>
      <c r="AV139" s="3286"/>
      <c r="AW139" s="3286"/>
      <c r="AX139" s="3286"/>
      <c r="AY139" s="3292"/>
      <c r="AZ139" s="3283" t="s">
        <v>5379</v>
      </c>
    </row>
    <row r="140" spans="2:52" ht="13.5" customHeight="1" thickTop="1">
      <c r="B140" s="3502"/>
      <c r="C140" s="3503"/>
      <c r="D140" s="3503"/>
      <c r="E140" s="3297"/>
      <c r="F140" s="2839"/>
      <c r="G140" s="3298"/>
      <c r="H140" s="3298"/>
      <c r="I140" s="3298"/>
      <c r="J140" s="3298"/>
      <c r="K140" s="3298"/>
      <c r="L140" s="3298"/>
      <c r="M140" s="3298"/>
      <c r="N140" s="3298"/>
      <c r="O140" s="3298"/>
      <c r="P140" s="3298"/>
      <c r="Q140" s="3298"/>
      <c r="R140" s="3298"/>
      <c r="S140" s="3298"/>
      <c r="T140" s="3298"/>
      <c r="U140" s="3298"/>
      <c r="V140" s="3298"/>
      <c r="W140" s="3298"/>
      <c r="X140" s="3298"/>
      <c r="Y140" s="3298"/>
      <c r="Z140" s="3298"/>
      <c r="AA140" s="3298"/>
      <c r="AB140" s="3298"/>
      <c r="AC140" s="3298"/>
      <c r="AD140" s="3298"/>
      <c r="AE140" s="3298"/>
      <c r="AF140" s="3298"/>
      <c r="AG140" s="3298"/>
      <c r="AH140" s="3298"/>
      <c r="AI140" s="3298"/>
      <c r="AJ140" s="3298"/>
      <c r="AK140" s="3298"/>
      <c r="AL140" s="3298"/>
      <c r="AM140" s="3298"/>
      <c r="AN140" s="3298"/>
      <c r="AO140" s="3298"/>
      <c r="AP140" s="3298"/>
      <c r="AQ140" s="3298"/>
      <c r="AR140" s="3298"/>
      <c r="AS140" s="3298"/>
      <c r="AT140" s="3298"/>
      <c r="AU140" s="3298"/>
      <c r="AV140" s="3298"/>
      <c r="AW140" s="3298"/>
      <c r="AX140" s="3298"/>
      <c r="AY140" s="3293"/>
      <c r="AZ140" s="3285"/>
    </row>
    <row r="141" spans="2:52" ht="13.5" customHeight="1">
      <c r="B141" s="3502"/>
      <c r="C141" s="3514">
        <v>2</v>
      </c>
      <c r="D141" s="3512" t="s">
        <v>5378</v>
      </c>
      <c r="E141" s="3295"/>
      <c r="F141" s="2849"/>
      <c r="G141" s="3296"/>
      <c r="H141" s="3296"/>
      <c r="I141" s="3296"/>
      <c r="J141" s="3296"/>
      <c r="K141" s="3296"/>
      <c r="L141" s="3296"/>
      <c r="M141" s="3296"/>
      <c r="N141" s="3296"/>
      <c r="O141" s="3296"/>
      <c r="P141" s="3296"/>
      <c r="Q141" s="3296"/>
      <c r="R141" s="3296"/>
      <c r="S141" s="3296"/>
      <c r="T141" s="3296"/>
      <c r="U141" s="3296"/>
      <c r="V141" s="3296"/>
      <c r="W141" s="3296"/>
      <c r="X141" s="3296"/>
      <c r="Y141" s="3296"/>
      <c r="Z141" s="3296"/>
      <c r="AA141" s="3296"/>
      <c r="AB141" s="3296"/>
      <c r="AC141" s="3296"/>
      <c r="AD141" s="3296"/>
      <c r="AE141" s="3296"/>
      <c r="AF141" s="3296"/>
      <c r="AG141" s="3296"/>
      <c r="AH141" s="3296"/>
      <c r="AI141" s="3296"/>
      <c r="AJ141" s="3296"/>
      <c r="AK141" s="3296"/>
      <c r="AL141" s="3296"/>
      <c r="AM141" s="3296"/>
      <c r="AN141" s="3296"/>
      <c r="AO141" s="3296"/>
      <c r="AP141" s="3296"/>
      <c r="AQ141" s="3296"/>
      <c r="AR141" s="3296"/>
      <c r="AS141" s="3296"/>
      <c r="AT141" s="3296"/>
      <c r="AU141" s="3296"/>
      <c r="AV141" s="3296"/>
      <c r="AW141" s="3296"/>
      <c r="AX141" s="3296"/>
      <c r="AY141" s="3291"/>
      <c r="AZ141" s="3290"/>
    </row>
    <row r="142" spans="2:52" ht="13.5" customHeight="1">
      <c r="B142" s="3502"/>
      <c r="C142" s="3498"/>
      <c r="D142" s="3502"/>
      <c r="E142" s="3294" t="s">
        <v>5377</v>
      </c>
      <c r="F142" s="2844"/>
      <c r="G142" s="3286"/>
      <c r="H142" s="3286"/>
      <c r="I142" s="3286"/>
      <c r="J142" s="3286"/>
      <c r="K142" s="3286"/>
      <c r="L142" s="3286"/>
      <c r="M142" s="3286"/>
      <c r="N142" s="3286"/>
      <c r="O142" s="3286"/>
      <c r="P142" s="3286"/>
      <c r="Q142" s="3286"/>
      <c r="R142" s="3286"/>
      <c r="S142" s="3286"/>
      <c r="T142" s="3497">
        <f>R31</f>
        <v>1472760510</v>
      </c>
      <c r="U142" s="3497"/>
      <c r="V142" s="3497"/>
      <c r="W142" s="3497"/>
      <c r="X142" s="3497"/>
      <c r="Y142" s="3497"/>
      <c r="Z142" s="3286"/>
      <c r="AA142" s="3286"/>
      <c r="AB142" s="3287" t="s">
        <v>5376</v>
      </c>
      <c r="AC142" s="3286"/>
      <c r="AD142" s="3286"/>
      <c r="AE142" s="3286"/>
      <c r="AF142" s="3286"/>
      <c r="AG142" s="3286"/>
      <c r="AH142" s="3286"/>
      <c r="AI142" s="3286"/>
      <c r="AJ142" s="3286"/>
      <c r="AK142" s="3286"/>
      <c r="AL142" s="3286"/>
      <c r="AM142" s="3286"/>
      <c r="AN142" s="3286"/>
      <c r="AO142" s="3286"/>
      <c r="AP142" s="3286"/>
      <c r="AQ142" s="3286"/>
      <c r="AR142" s="3286"/>
      <c r="AS142" s="3286"/>
      <c r="AT142" s="3286"/>
      <c r="AU142" s="3286"/>
      <c r="AV142" s="3286"/>
      <c r="AW142" s="3286"/>
      <c r="AX142" s="3286"/>
      <c r="AY142" s="3292"/>
      <c r="AZ142" s="3283"/>
    </row>
    <row r="143" spans="2:52" ht="13.5" customHeight="1" thickBot="1">
      <c r="B143" s="3502"/>
      <c r="C143" s="3498"/>
      <c r="D143" s="3502"/>
      <c r="E143" s="3294" t="s">
        <v>5375</v>
      </c>
      <c r="F143" s="2844"/>
      <c r="G143" s="3286"/>
      <c r="H143" s="3286"/>
      <c r="I143" s="3286"/>
      <c r="J143" s="3286"/>
      <c r="K143" s="3286"/>
      <c r="L143" s="3286"/>
      <c r="M143" s="3286"/>
      <c r="N143" s="3286"/>
      <c r="O143" s="3286"/>
      <c r="P143" s="3286"/>
      <c r="Q143" s="3286"/>
      <c r="R143" s="3286"/>
      <c r="S143" s="3286"/>
      <c r="T143" s="3497">
        <f>T139</f>
        <v>1208216803</v>
      </c>
      <c r="U143" s="3497"/>
      <c r="V143" s="3497"/>
      <c r="W143" s="3497"/>
      <c r="X143" s="3497"/>
      <c r="Y143" s="3497"/>
      <c r="Z143" s="3286"/>
      <c r="AA143" s="3286"/>
      <c r="AB143" s="3287" t="s">
        <v>5374</v>
      </c>
      <c r="AC143" s="3286"/>
      <c r="AD143" s="3286"/>
      <c r="AE143" s="3286"/>
      <c r="AF143" s="3286"/>
      <c r="AG143" s="3286"/>
      <c r="AH143" s="3286"/>
      <c r="AI143" s="3286"/>
      <c r="AJ143" s="3286"/>
      <c r="AK143" s="3286"/>
      <c r="AL143" s="3286"/>
      <c r="AM143" s="3286"/>
      <c r="AN143" s="3286"/>
      <c r="AO143" s="3286"/>
      <c r="AP143" s="3286"/>
      <c r="AQ143" s="3286"/>
      <c r="AR143" s="3286"/>
      <c r="AS143" s="3286"/>
      <c r="AT143" s="3286"/>
      <c r="AU143" s="3286"/>
      <c r="AV143" s="3286"/>
      <c r="AW143" s="3286"/>
      <c r="AX143" s="3286"/>
      <c r="AY143" s="3292"/>
      <c r="AZ143" s="3283"/>
    </row>
    <row r="144" spans="2:52" ht="13.5" customHeight="1" thickTop="1" thickBot="1">
      <c r="B144" s="3502"/>
      <c r="C144" s="3498"/>
      <c r="D144" s="3502"/>
      <c r="E144" s="3294" t="s">
        <v>5373</v>
      </c>
      <c r="F144" s="2844"/>
      <c r="G144" s="3286"/>
      <c r="H144" s="3286"/>
      <c r="I144" s="3286"/>
      <c r="J144" s="3286"/>
      <c r="K144" s="3286"/>
      <c r="L144" s="3286"/>
      <c r="M144" s="3286"/>
      <c r="N144" s="3286"/>
      <c r="O144" s="3286"/>
      <c r="P144" s="3286"/>
      <c r="Q144" s="3286"/>
      <c r="R144" s="3286"/>
      <c r="S144" s="3286"/>
      <c r="T144" s="3499">
        <f>T142-T143</f>
        <v>264543707</v>
      </c>
      <c r="U144" s="3500"/>
      <c r="V144" s="3500"/>
      <c r="W144" s="3500"/>
      <c r="X144" s="3500"/>
      <c r="Y144" s="3501"/>
      <c r="Z144" s="3286" t="s">
        <v>5372</v>
      </c>
      <c r="AA144" s="3286"/>
      <c r="AB144" s="3287" t="s">
        <v>6232</v>
      </c>
      <c r="AC144" s="3286"/>
      <c r="AD144" s="3286"/>
      <c r="AE144" s="3286"/>
      <c r="AF144" s="3286"/>
      <c r="AG144" s="3286"/>
      <c r="AH144" s="3286"/>
      <c r="AI144" s="3286"/>
      <c r="AJ144" s="3286"/>
      <c r="AK144" s="3286"/>
      <c r="AL144" s="3286"/>
      <c r="AM144" s="3286"/>
      <c r="AN144" s="3286"/>
      <c r="AO144" s="3286"/>
      <c r="AP144" s="3286"/>
      <c r="AQ144" s="3286"/>
      <c r="AR144" s="3286"/>
      <c r="AS144" s="3286"/>
      <c r="AT144" s="3286"/>
      <c r="AU144" s="3286"/>
      <c r="AV144" s="3286"/>
      <c r="AW144" s="3286"/>
      <c r="AX144" s="3286"/>
      <c r="AY144" s="3292"/>
      <c r="AZ144" s="3319" t="s">
        <v>6217</v>
      </c>
    </row>
    <row r="145" spans="2:52" ht="13.5" customHeight="1" thickTop="1">
      <c r="B145" s="3502"/>
      <c r="C145" s="3498"/>
      <c r="D145" s="3502"/>
      <c r="E145" s="3294"/>
      <c r="F145" s="2844"/>
      <c r="G145" s="3286"/>
      <c r="H145" s="3286"/>
      <c r="I145" s="3286"/>
      <c r="J145" s="3286"/>
      <c r="K145" s="3286"/>
      <c r="L145" s="3286"/>
      <c r="M145" s="3286"/>
      <c r="N145" s="3286"/>
      <c r="O145" s="3286"/>
      <c r="P145" s="3286"/>
      <c r="Q145" s="3286"/>
      <c r="R145" s="3286"/>
      <c r="S145" s="3286"/>
      <c r="T145" s="3286"/>
      <c r="U145" s="3286"/>
      <c r="V145" s="3286"/>
      <c r="W145" s="3286"/>
      <c r="X145" s="3286"/>
      <c r="Y145" s="3286"/>
      <c r="Z145" s="3286"/>
      <c r="AA145" s="3286"/>
      <c r="AB145" s="3286"/>
      <c r="AC145" s="3286"/>
      <c r="AD145" s="3286"/>
      <c r="AE145" s="3286"/>
      <c r="AF145" s="3286"/>
      <c r="AG145" s="3286"/>
      <c r="AH145" s="3286"/>
      <c r="AI145" s="3286"/>
      <c r="AJ145" s="3286"/>
      <c r="AK145" s="3286"/>
      <c r="AL145" s="3286"/>
      <c r="AM145" s="3286"/>
      <c r="AN145" s="3286"/>
      <c r="AO145" s="3286"/>
      <c r="AP145" s="3286"/>
      <c r="AQ145" s="3286"/>
      <c r="AR145" s="3286"/>
      <c r="AS145" s="3286"/>
      <c r="AT145" s="3286"/>
      <c r="AU145" s="3286"/>
      <c r="AV145" s="3286"/>
      <c r="AW145" s="3286"/>
      <c r="AX145" s="3286"/>
      <c r="AY145" s="3292"/>
      <c r="AZ145" s="3283"/>
    </row>
    <row r="146" spans="2:52" ht="13.5" customHeight="1">
      <c r="B146" s="3502"/>
      <c r="C146" s="3498"/>
      <c r="D146" s="3502"/>
      <c r="E146" s="3294"/>
      <c r="F146" s="2844"/>
      <c r="G146" s="3286"/>
      <c r="H146" s="3286"/>
      <c r="I146" s="3286"/>
      <c r="J146" s="3286"/>
      <c r="K146" s="3286"/>
      <c r="L146" s="3286"/>
      <c r="M146" s="3286"/>
      <c r="N146" s="3286"/>
      <c r="O146" s="3286"/>
      <c r="P146" s="3286"/>
      <c r="Q146" s="3286"/>
      <c r="R146" s="3286"/>
      <c r="S146" s="3286"/>
      <c r="T146" s="3286"/>
      <c r="U146" s="3286"/>
      <c r="V146" s="3286"/>
      <c r="W146" s="3286"/>
      <c r="X146" s="3286"/>
      <c r="Y146" s="3286"/>
      <c r="Z146" s="3286"/>
      <c r="AA146" s="3286"/>
      <c r="AB146" s="3286"/>
      <c r="AC146" s="3286"/>
      <c r="AD146" s="3286"/>
      <c r="AE146" s="3286"/>
      <c r="AF146" s="3286"/>
      <c r="AG146" s="3286"/>
      <c r="AH146" s="3286"/>
      <c r="AI146" s="3286"/>
      <c r="AJ146" s="3286"/>
      <c r="AK146" s="3286"/>
      <c r="AL146" s="3286"/>
      <c r="AM146" s="3286"/>
      <c r="AN146" s="3286"/>
      <c r="AO146" s="3286"/>
      <c r="AP146" s="3286"/>
      <c r="AQ146" s="3286"/>
      <c r="AR146" s="3286"/>
      <c r="AS146" s="3286"/>
      <c r="AT146" s="3286"/>
      <c r="AU146" s="3286"/>
      <c r="AV146" s="3286"/>
      <c r="AW146" s="3286"/>
      <c r="AX146" s="3286"/>
      <c r="AY146" s="3292"/>
      <c r="AZ146" s="3283"/>
    </row>
    <row r="147" spans="2:52" ht="13.5" customHeight="1">
      <c r="B147" s="3502"/>
      <c r="C147" s="3498"/>
      <c r="D147" s="3502"/>
      <c r="E147" s="3294"/>
      <c r="F147" s="2844"/>
      <c r="G147" s="3286"/>
      <c r="H147" s="3286"/>
      <c r="I147" s="3286"/>
      <c r="J147" s="3286"/>
      <c r="K147" s="3286"/>
      <c r="L147" s="3286"/>
      <c r="M147" s="3286"/>
      <c r="N147" s="3286"/>
      <c r="O147" s="3286"/>
      <c r="P147" s="3286"/>
      <c r="Q147" s="3286"/>
      <c r="R147" s="3286"/>
      <c r="S147" s="3286"/>
      <c r="T147" s="3286"/>
      <c r="U147" s="3286"/>
      <c r="V147" s="3286"/>
      <c r="W147" s="3286"/>
      <c r="X147" s="3286"/>
      <c r="Y147" s="3286"/>
      <c r="Z147" s="3286"/>
      <c r="AA147" s="3286"/>
      <c r="AB147" s="3286"/>
      <c r="AC147" s="3286"/>
      <c r="AD147" s="3286"/>
      <c r="AE147" s="3286"/>
      <c r="AF147" s="3286"/>
      <c r="AG147" s="3286"/>
      <c r="AH147" s="3286"/>
      <c r="AI147" s="3286"/>
      <c r="AJ147" s="3286"/>
      <c r="AK147" s="3286"/>
      <c r="AL147" s="3286"/>
      <c r="AM147" s="3286"/>
      <c r="AN147" s="3286"/>
      <c r="AO147" s="3286"/>
      <c r="AP147" s="3286"/>
      <c r="AQ147" s="3286"/>
      <c r="AR147" s="3286"/>
      <c r="AS147" s="3286"/>
      <c r="AT147" s="3286"/>
      <c r="AU147" s="3286"/>
      <c r="AV147" s="3286"/>
      <c r="AW147" s="3286"/>
      <c r="AX147" s="3286"/>
      <c r="AY147" s="3292"/>
      <c r="AZ147" s="3283"/>
    </row>
    <row r="148" spans="2:52" ht="13.5" customHeight="1">
      <c r="B148" s="3502"/>
      <c r="C148" s="3498"/>
      <c r="D148" s="3502"/>
      <c r="E148" s="3294"/>
      <c r="F148" s="2844"/>
      <c r="G148" s="3286"/>
      <c r="H148" s="3286"/>
      <c r="I148" s="3286"/>
      <c r="J148" s="3286"/>
      <c r="K148" s="3286"/>
      <c r="L148" s="3286"/>
      <c r="M148" s="3286"/>
      <c r="N148" s="3286"/>
      <c r="O148" s="3286"/>
      <c r="P148" s="3286"/>
      <c r="Q148" s="3286"/>
      <c r="R148" s="3286"/>
      <c r="S148" s="3286"/>
      <c r="T148" s="3286"/>
      <c r="U148" s="3286"/>
      <c r="V148" s="3286"/>
      <c r="W148" s="3286"/>
      <c r="X148" s="3286"/>
      <c r="Y148" s="3286"/>
      <c r="Z148" s="3286"/>
      <c r="AA148" s="3286"/>
      <c r="AB148" s="3286"/>
      <c r="AC148" s="3286"/>
      <c r="AD148" s="3286"/>
      <c r="AE148" s="3286"/>
      <c r="AF148" s="3286"/>
      <c r="AG148" s="3286"/>
      <c r="AH148" s="3287"/>
      <c r="AI148" s="3286"/>
      <c r="AJ148" s="3286"/>
      <c r="AK148" s="3286"/>
      <c r="AL148" s="3286"/>
      <c r="AM148" s="3286"/>
      <c r="AN148" s="3286"/>
      <c r="AO148" s="3286"/>
      <c r="AP148" s="3286"/>
      <c r="AQ148" s="3286"/>
      <c r="AR148" s="3286"/>
      <c r="AS148" s="3286"/>
      <c r="AT148" s="3286"/>
      <c r="AU148" s="3286"/>
      <c r="AV148" s="3286"/>
      <c r="AW148" s="3286"/>
      <c r="AX148" s="3286"/>
      <c r="AY148" s="3292"/>
      <c r="AZ148" s="3283"/>
    </row>
    <row r="149" spans="2:52" ht="13.5" customHeight="1">
      <c r="B149" s="3502"/>
      <c r="C149" s="3503"/>
      <c r="D149" s="3513"/>
      <c r="E149" s="3297"/>
      <c r="F149" s="2839"/>
      <c r="G149" s="3298"/>
      <c r="H149" s="3298"/>
      <c r="I149" s="3298"/>
      <c r="J149" s="3298"/>
      <c r="K149" s="3298"/>
      <c r="L149" s="3298"/>
      <c r="M149" s="3298"/>
      <c r="N149" s="3298"/>
      <c r="O149" s="3298"/>
      <c r="P149" s="3298"/>
      <c r="Q149" s="3298"/>
      <c r="R149" s="3298"/>
      <c r="S149" s="3298"/>
      <c r="T149" s="3298"/>
      <c r="U149" s="3298"/>
      <c r="V149" s="3298"/>
      <c r="W149" s="3298"/>
      <c r="X149" s="3298"/>
      <c r="Y149" s="3298"/>
      <c r="Z149" s="3298"/>
      <c r="AA149" s="3298"/>
      <c r="AB149" s="3298"/>
      <c r="AC149" s="3298"/>
      <c r="AD149" s="3298"/>
      <c r="AE149" s="3298"/>
      <c r="AF149" s="3298"/>
      <c r="AG149" s="3298"/>
      <c r="AH149" s="3298"/>
      <c r="AI149" s="3298"/>
      <c r="AJ149" s="3298"/>
      <c r="AK149" s="3298"/>
      <c r="AL149" s="3298"/>
      <c r="AM149" s="3298"/>
      <c r="AN149" s="3298"/>
      <c r="AO149" s="3298"/>
      <c r="AP149" s="3298"/>
      <c r="AQ149" s="3298"/>
      <c r="AR149" s="3298"/>
      <c r="AS149" s="3298"/>
      <c r="AT149" s="3298"/>
      <c r="AU149" s="3298"/>
      <c r="AV149" s="3298"/>
      <c r="AW149" s="3298"/>
      <c r="AX149" s="3298"/>
      <c r="AY149" s="3293"/>
      <c r="AZ149" s="3285"/>
    </row>
    <row r="150" spans="2:52" ht="13.5" customHeight="1" thickBot="1">
      <c r="B150" s="3502"/>
      <c r="C150" s="3514">
        <v>3</v>
      </c>
      <c r="D150" s="3512" t="s">
        <v>5369</v>
      </c>
      <c r="E150" s="3295"/>
      <c r="F150" s="2849"/>
      <c r="G150" s="3296"/>
      <c r="H150" s="3296"/>
      <c r="I150" s="3296"/>
      <c r="J150" s="3296"/>
      <c r="K150" s="3296"/>
      <c r="L150" s="3296"/>
      <c r="M150" s="3296"/>
      <c r="N150" s="3296"/>
      <c r="O150" s="3296"/>
      <c r="P150" s="3296"/>
      <c r="Q150" s="3296"/>
      <c r="R150" s="3296"/>
      <c r="S150" s="3296"/>
      <c r="T150" s="3296"/>
      <c r="U150" s="3296"/>
      <c r="V150" s="3296"/>
      <c r="W150" s="3296"/>
      <c r="X150" s="3296"/>
      <c r="Y150" s="3296"/>
      <c r="Z150" s="3296"/>
      <c r="AA150" s="3296"/>
      <c r="AB150" s="3296"/>
      <c r="AC150" s="3296"/>
      <c r="AD150" s="3296"/>
      <c r="AE150" s="3296"/>
      <c r="AF150" s="3296"/>
      <c r="AG150" s="3296"/>
      <c r="AH150" s="3296"/>
      <c r="AI150" s="3296"/>
      <c r="AJ150" s="3296"/>
      <c r="AK150" s="3296"/>
      <c r="AL150" s="3296"/>
      <c r="AM150" s="3296"/>
      <c r="AN150" s="3296"/>
      <c r="AO150" s="3296"/>
      <c r="AP150" s="3296"/>
      <c r="AQ150" s="3296"/>
      <c r="AR150" s="3296"/>
      <c r="AS150" s="3296"/>
      <c r="AT150" s="3296"/>
      <c r="AU150" s="3296"/>
      <c r="AV150" s="3296"/>
      <c r="AW150" s="3296"/>
      <c r="AX150" s="3296"/>
      <c r="AY150" s="3291"/>
      <c r="AZ150" s="3290"/>
    </row>
    <row r="151" spans="2:52" ht="13.5" customHeight="1" thickTop="1" thickBot="1">
      <c r="B151" s="3502"/>
      <c r="C151" s="3498"/>
      <c r="D151" s="3502"/>
      <c r="E151" s="3294" t="s">
        <v>5368</v>
      </c>
      <c r="F151" s="2844"/>
      <c r="G151" s="3286"/>
      <c r="H151" s="3286"/>
      <c r="I151" s="3286"/>
      <c r="J151" s="3286"/>
      <c r="K151" s="3286"/>
      <c r="L151" s="3286"/>
      <c r="M151" s="3286"/>
      <c r="N151" s="3286"/>
      <c r="O151" s="3286"/>
      <c r="P151" s="3286"/>
      <c r="Q151" s="3286"/>
      <c r="R151" s="3286"/>
      <c r="S151" s="3286"/>
      <c r="T151" s="3499">
        <f>T144</f>
        <v>264543707</v>
      </c>
      <c r="U151" s="3500"/>
      <c r="V151" s="3500"/>
      <c r="W151" s="3500"/>
      <c r="X151" s="3500"/>
      <c r="Y151" s="3501"/>
      <c r="Z151" s="3286"/>
      <c r="AA151" s="3286"/>
      <c r="AB151" s="3287" t="s">
        <v>5367</v>
      </c>
      <c r="AC151" s="3286"/>
      <c r="AD151" s="3286"/>
      <c r="AE151" s="3286"/>
      <c r="AF151" s="3286"/>
      <c r="AG151" s="3286"/>
      <c r="AH151" s="3286"/>
      <c r="AI151" s="3286"/>
      <c r="AJ151" s="3286"/>
      <c r="AK151" s="3286"/>
      <c r="AL151" s="3286"/>
      <c r="AM151" s="3286"/>
      <c r="AN151" s="3286"/>
      <c r="AO151" s="3286"/>
      <c r="AP151" s="3286"/>
      <c r="AQ151" s="3286"/>
      <c r="AR151" s="3286"/>
      <c r="AS151" s="3286"/>
      <c r="AT151" s="3286"/>
      <c r="AU151" s="3286"/>
      <c r="AV151" s="3286"/>
      <c r="AW151" s="3286"/>
      <c r="AX151" s="3286"/>
      <c r="AY151" s="3292"/>
      <c r="AZ151" s="3283"/>
    </row>
    <row r="152" spans="2:52" ht="13.5" customHeight="1" thickTop="1" thickBot="1">
      <c r="B152" s="3502"/>
      <c r="C152" s="3498"/>
      <c r="D152" s="3502"/>
      <c r="E152" s="3294" t="s">
        <v>5366</v>
      </c>
      <c r="F152" s="2844"/>
      <c r="G152" s="3286"/>
      <c r="H152" s="3286"/>
      <c r="I152" s="3286"/>
      <c r="J152" s="3286"/>
      <c r="K152" s="3286"/>
      <c r="L152" s="3286"/>
      <c r="M152" s="3286"/>
      <c r="N152" s="3286"/>
      <c r="O152" s="3286"/>
      <c r="P152" s="3286"/>
      <c r="Q152" s="3286"/>
      <c r="R152" s="3286"/>
      <c r="S152" s="3286"/>
      <c r="T152" s="3499">
        <f>ROUNDDOWN(T151*22/78,0)</f>
        <v>74614891</v>
      </c>
      <c r="U152" s="3500"/>
      <c r="V152" s="3500"/>
      <c r="W152" s="3500"/>
      <c r="X152" s="3500"/>
      <c r="Y152" s="3501"/>
      <c r="Z152" s="3314" t="s">
        <v>6183</v>
      </c>
      <c r="AA152" s="3314"/>
      <c r="AB152" s="3315" t="s">
        <v>6236</v>
      </c>
      <c r="AC152" s="3286"/>
      <c r="AD152" s="3286"/>
      <c r="AE152" s="3286"/>
      <c r="AF152" s="3286"/>
      <c r="AG152" s="3323"/>
      <c r="AH152" s="3286"/>
      <c r="AI152" s="3286"/>
      <c r="AJ152" s="3286"/>
      <c r="AK152" s="3286"/>
      <c r="AL152" s="3286"/>
      <c r="AM152" s="3286"/>
      <c r="AN152" s="3286"/>
      <c r="AO152" s="3286"/>
      <c r="AP152" s="3286"/>
      <c r="AQ152" s="3286"/>
      <c r="AR152" s="3286"/>
      <c r="AS152" s="3286"/>
      <c r="AT152" s="3286"/>
      <c r="AU152" s="3286"/>
      <c r="AV152" s="3286"/>
      <c r="AW152" s="3286"/>
      <c r="AX152" s="3286"/>
      <c r="AY152" s="3292"/>
      <c r="AZ152" s="3319" t="s">
        <v>6219</v>
      </c>
    </row>
    <row r="153" spans="2:52" ht="13.5" customHeight="1" thickTop="1">
      <c r="B153" s="3502"/>
      <c r="C153" s="3498"/>
      <c r="D153" s="3502"/>
      <c r="E153" s="3294"/>
      <c r="F153" s="2844"/>
      <c r="G153" s="3286"/>
      <c r="H153" s="3286"/>
      <c r="I153" s="3286"/>
      <c r="J153" s="3286"/>
      <c r="K153" s="3286"/>
      <c r="L153" s="3286"/>
      <c r="M153" s="3286"/>
      <c r="N153" s="3286"/>
      <c r="O153" s="3286"/>
      <c r="P153" s="3286"/>
      <c r="Q153" s="3286"/>
      <c r="R153" s="3286"/>
      <c r="S153" s="3286"/>
      <c r="T153" s="3286"/>
      <c r="U153" s="3286"/>
      <c r="V153" s="3286"/>
      <c r="W153" s="3286"/>
      <c r="X153" s="3286"/>
      <c r="Y153" s="3286"/>
      <c r="Z153" s="3286"/>
      <c r="AA153" s="3286"/>
      <c r="AB153" s="3286"/>
      <c r="AC153" s="3286"/>
      <c r="AD153" s="3286"/>
      <c r="AE153" s="3286"/>
      <c r="AF153" s="3286"/>
      <c r="AG153" s="3286"/>
      <c r="AH153" s="3286"/>
      <c r="AI153" s="3286"/>
      <c r="AJ153" s="3286"/>
      <c r="AK153" s="3286"/>
      <c r="AL153" s="3286"/>
      <c r="AM153" s="3286"/>
      <c r="AN153" s="3286"/>
      <c r="AO153" s="3286"/>
      <c r="AP153" s="3286"/>
      <c r="AQ153" s="3286"/>
      <c r="AR153" s="3286"/>
      <c r="AS153" s="3286"/>
      <c r="AT153" s="3286"/>
      <c r="AU153" s="3286"/>
      <c r="AV153" s="3286"/>
      <c r="AW153" s="3286"/>
      <c r="AX153" s="3286"/>
      <c r="AY153" s="3292"/>
      <c r="AZ153" s="3283"/>
    </row>
    <row r="154" spans="2:52" ht="13.5" customHeight="1">
      <c r="B154" s="3502"/>
      <c r="C154" s="3498"/>
      <c r="D154" s="3502"/>
      <c r="E154" s="3294"/>
      <c r="F154" s="2844"/>
      <c r="G154" s="3286"/>
      <c r="H154" s="3286"/>
      <c r="I154" s="3286"/>
      <c r="J154" s="3286"/>
      <c r="K154" s="3286"/>
      <c r="L154" s="3286"/>
      <c r="M154" s="3286"/>
      <c r="N154" s="3286"/>
      <c r="O154" s="3286"/>
      <c r="P154" s="3286"/>
      <c r="Q154" s="3286"/>
      <c r="R154" s="3286"/>
      <c r="S154" s="3286"/>
      <c r="T154" s="3286"/>
      <c r="U154" s="3286"/>
      <c r="V154" s="3286"/>
      <c r="W154" s="3286"/>
      <c r="X154" s="3286"/>
      <c r="Y154" s="3286"/>
      <c r="Z154" s="3286"/>
      <c r="AA154" s="3286"/>
      <c r="AB154" s="3286"/>
      <c r="AC154" s="3286"/>
      <c r="AD154" s="3286"/>
      <c r="AE154" s="3286"/>
      <c r="AF154" s="3286"/>
      <c r="AG154" s="3286"/>
      <c r="AH154" s="3286"/>
      <c r="AI154" s="3286"/>
      <c r="AJ154" s="3286"/>
      <c r="AK154" s="3286"/>
      <c r="AL154" s="3286"/>
      <c r="AM154" s="3286"/>
      <c r="AN154" s="3286"/>
      <c r="AO154" s="3286"/>
      <c r="AP154" s="3286"/>
      <c r="AQ154" s="3286"/>
      <c r="AR154" s="3286"/>
      <c r="AS154" s="3286"/>
      <c r="AT154" s="3286"/>
      <c r="AU154" s="3286"/>
      <c r="AV154" s="3286"/>
      <c r="AW154" s="3286"/>
      <c r="AX154" s="3286"/>
      <c r="AY154" s="3292"/>
      <c r="AZ154" s="3283"/>
    </row>
    <row r="155" spans="2:52" ht="13.5" customHeight="1">
      <c r="B155" s="3502"/>
      <c r="C155" s="3498"/>
      <c r="D155" s="3502"/>
      <c r="E155" s="3294"/>
      <c r="F155" s="2844"/>
      <c r="G155" s="3286"/>
      <c r="H155" s="3286"/>
      <c r="I155" s="3286"/>
      <c r="J155" s="3286"/>
      <c r="K155" s="3286"/>
      <c r="L155" s="3286"/>
      <c r="M155" s="3286"/>
      <c r="N155" s="3286"/>
      <c r="O155" s="3286"/>
      <c r="P155" s="3286"/>
      <c r="Q155" s="3286"/>
      <c r="R155" s="3286"/>
      <c r="S155" s="3286"/>
      <c r="T155" s="3286"/>
      <c r="U155" s="3286"/>
      <c r="V155" s="3286"/>
      <c r="W155" s="3286"/>
      <c r="X155" s="3286"/>
      <c r="Y155" s="3286"/>
      <c r="Z155" s="3286"/>
      <c r="AA155" s="3286"/>
      <c r="AB155" s="3286"/>
      <c r="AC155" s="3286"/>
      <c r="AD155" s="3286"/>
      <c r="AE155" s="3286"/>
      <c r="AF155" s="3286"/>
      <c r="AG155" s="3286"/>
      <c r="AH155" s="3286"/>
      <c r="AI155" s="3286"/>
      <c r="AJ155" s="3286"/>
      <c r="AK155" s="3286"/>
      <c r="AL155" s="3286"/>
      <c r="AM155" s="3286"/>
      <c r="AN155" s="3286"/>
      <c r="AO155" s="3286"/>
      <c r="AP155" s="3286"/>
      <c r="AQ155" s="3286"/>
      <c r="AR155" s="3286"/>
      <c r="AS155" s="3286"/>
      <c r="AT155" s="3286"/>
      <c r="AU155" s="3286"/>
      <c r="AV155" s="3286"/>
      <c r="AW155" s="3286"/>
      <c r="AX155" s="3286"/>
      <c r="AY155" s="3292"/>
      <c r="AZ155" s="3283"/>
    </row>
    <row r="156" spans="2:52" ht="13.5" customHeight="1">
      <c r="B156" s="3502"/>
      <c r="C156" s="3498"/>
      <c r="D156" s="3502"/>
      <c r="E156" s="3294"/>
      <c r="F156" s="2844"/>
      <c r="G156" s="3286"/>
      <c r="H156" s="3286"/>
      <c r="I156" s="3286"/>
      <c r="J156" s="3286"/>
      <c r="K156" s="3286"/>
      <c r="L156" s="3286"/>
      <c r="M156" s="3286"/>
      <c r="N156" s="3286"/>
      <c r="O156" s="3286"/>
      <c r="P156" s="3286"/>
      <c r="Q156" s="3286"/>
      <c r="R156" s="3286"/>
      <c r="S156" s="3286"/>
      <c r="T156" s="3286"/>
      <c r="U156" s="3286"/>
      <c r="V156" s="3286"/>
      <c r="W156" s="3286"/>
      <c r="X156" s="3286"/>
      <c r="Y156" s="3286"/>
      <c r="Z156" s="3286"/>
      <c r="AA156" s="3286"/>
      <c r="AB156" s="3286"/>
      <c r="AC156" s="3286"/>
      <c r="AD156" s="3286"/>
      <c r="AE156" s="3286"/>
      <c r="AF156" s="3286"/>
      <c r="AG156" s="3286"/>
      <c r="AH156" s="3287"/>
      <c r="AI156" s="3286"/>
      <c r="AJ156" s="3286"/>
      <c r="AK156" s="3286"/>
      <c r="AL156" s="3286"/>
      <c r="AM156" s="3286"/>
      <c r="AN156" s="3286"/>
      <c r="AO156" s="3286"/>
      <c r="AP156" s="3286"/>
      <c r="AQ156" s="3286"/>
      <c r="AR156" s="3286"/>
      <c r="AS156" s="3286"/>
      <c r="AT156" s="3286"/>
      <c r="AU156" s="3286"/>
      <c r="AV156" s="3286"/>
      <c r="AW156" s="3286"/>
      <c r="AX156" s="3286"/>
      <c r="AY156" s="3292"/>
      <c r="AZ156" s="3283"/>
    </row>
    <row r="157" spans="2:52" ht="13.5" customHeight="1">
      <c r="B157" s="3502"/>
      <c r="C157" s="3503"/>
      <c r="D157" s="3513"/>
      <c r="E157" s="3297"/>
      <c r="F157" s="2839"/>
      <c r="G157" s="3298"/>
      <c r="H157" s="3298"/>
      <c r="I157" s="3298"/>
      <c r="J157" s="3298"/>
      <c r="K157" s="3298"/>
      <c r="L157" s="3298"/>
      <c r="M157" s="3298"/>
      <c r="N157" s="3298"/>
      <c r="O157" s="3298"/>
      <c r="P157" s="3298"/>
      <c r="Q157" s="3298"/>
      <c r="R157" s="3298"/>
      <c r="S157" s="3298"/>
      <c r="T157" s="3298"/>
      <c r="U157" s="3298"/>
      <c r="V157" s="3298"/>
      <c r="W157" s="3298"/>
      <c r="X157" s="3298"/>
      <c r="Y157" s="3298"/>
      <c r="Z157" s="3298"/>
      <c r="AA157" s="3298"/>
      <c r="AB157" s="3298"/>
      <c r="AC157" s="3298"/>
      <c r="AD157" s="3298"/>
      <c r="AE157" s="3298"/>
      <c r="AF157" s="3298"/>
      <c r="AG157" s="3298"/>
      <c r="AH157" s="3298"/>
      <c r="AI157" s="3298"/>
      <c r="AJ157" s="3298"/>
      <c r="AK157" s="3298"/>
      <c r="AL157" s="3298"/>
      <c r="AM157" s="3298"/>
      <c r="AN157" s="3298"/>
      <c r="AO157" s="3298"/>
      <c r="AP157" s="3298"/>
      <c r="AQ157" s="3298"/>
      <c r="AR157" s="3298"/>
      <c r="AS157" s="3298"/>
      <c r="AT157" s="3298"/>
      <c r="AU157" s="3298"/>
      <c r="AV157" s="3298"/>
      <c r="AW157" s="3298"/>
      <c r="AX157" s="3298"/>
      <c r="AY157" s="3293"/>
      <c r="AZ157" s="3285"/>
    </row>
    <row r="158" spans="2:52" ht="13.5" customHeight="1">
      <c r="B158" s="3502"/>
      <c r="C158" s="3514">
        <v>4</v>
      </c>
      <c r="D158" s="3512" t="s">
        <v>5362</v>
      </c>
      <c r="E158" s="3295"/>
      <c r="F158" s="2849"/>
      <c r="G158" s="3296"/>
      <c r="H158" s="3296"/>
      <c r="I158" s="3296"/>
      <c r="J158" s="3296"/>
      <c r="K158" s="3296"/>
      <c r="L158" s="3296"/>
      <c r="M158" s="3296"/>
      <c r="N158" s="3296"/>
      <c r="O158" s="3296"/>
      <c r="P158" s="3296"/>
      <c r="Q158" s="3296"/>
      <c r="R158" s="3296"/>
      <c r="S158" s="3296"/>
      <c r="T158" s="3296"/>
      <c r="U158" s="3296"/>
      <c r="V158" s="3296"/>
      <c r="W158" s="3296"/>
      <c r="X158" s="3296"/>
      <c r="Y158" s="3296"/>
      <c r="Z158" s="3296"/>
      <c r="AA158" s="3296"/>
      <c r="AB158" s="3296"/>
      <c r="AC158" s="3296"/>
      <c r="AD158" s="3296"/>
      <c r="AE158" s="3296"/>
      <c r="AF158" s="3296"/>
      <c r="AG158" s="3296"/>
      <c r="AH158" s="3296"/>
      <c r="AI158" s="3296"/>
      <c r="AJ158" s="3296"/>
      <c r="AK158" s="3296"/>
      <c r="AL158" s="3296"/>
      <c r="AM158" s="3296"/>
      <c r="AN158" s="3296"/>
      <c r="AO158" s="3296"/>
      <c r="AP158" s="3296"/>
      <c r="AQ158" s="3296"/>
      <c r="AR158" s="3296"/>
      <c r="AS158" s="3296"/>
      <c r="AT158" s="3296"/>
      <c r="AU158" s="3296"/>
      <c r="AV158" s="3296"/>
      <c r="AW158" s="3296"/>
      <c r="AX158" s="3296"/>
      <c r="AY158" s="3291"/>
      <c r="AZ158" s="3290"/>
    </row>
    <row r="159" spans="2:52" ht="13.5" customHeight="1">
      <c r="B159" s="3502"/>
      <c r="C159" s="3498"/>
      <c r="D159" s="3502"/>
      <c r="E159" s="3294"/>
      <c r="F159" s="2844"/>
      <c r="G159" s="3286"/>
      <c r="H159" s="3286"/>
      <c r="I159" s="3286"/>
      <c r="J159" s="3286"/>
      <c r="K159" s="3286"/>
      <c r="L159" s="3286"/>
      <c r="M159" s="3286"/>
      <c r="N159" s="3286"/>
      <c r="O159" s="3286"/>
      <c r="P159" s="3286"/>
      <c r="Q159" s="3286"/>
      <c r="R159" s="3286"/>
      <c r="S159" s="3286"/>
      <c r="T159" s="3286"/>
      <c r="U159" s="3286"/>
      <c r="V159" s="3286"/>
      <c r="W159" s="3286"/>
      <c r="X159" s="3286"/>
      <c r="Y159" s="3286"/>
      <c r="Z159" s="3286"/>
      <c r="AA159" s="3286"/>
      <c r="AB159" s="3286"/>
      <c r="AC159" s="3286"/>
      <c r="AD159" s="3286"/>
      <c r="AE159" s="3286"/>
      <c r="AF159" s="3286"/>
      <c r="AG159" s="3286"/>
      <c r="AH159" s="3286"/>
      <c r="AI159" s="3286"/>
      <c r="AJ159" s="3286"/>
      <c r="AK159" s="3286"/>
      <c r="AL159" s="3286"/>
      <c r="AM159" s="3286"/>
      <c r="AN159" s="3286"/>
      <c r="AO159" s="3286"/>
      <c r="AP159" s="3286"/>
      <c r="AQ159" s="3286"/>
      <c r="AR159" s="3286"/>
      <c r="AS159" s="3286"/>
      <c r="AT159" s="3286"/>
      <c r="AU159" s="3286"/>
      <c r="AV159" s="3286"/>
      <c r="AW159" s="3286"/>
      <c r="AX159" s="3286"/>
      <c r="AY159" s="3292"/>
      <c r="AZ159" s="3283"/>
    </row>
    <row r="160" spans="2:52" ht="13.5" customHeight="1">
      <c r="B160" s="3513"/>
      <c r="C160" s="3503"/>
      <c r="D160" s="3513"/>
      <c r="E160" s="3297"/>
      <c r="F160" s="2839"/>
      <c r="G160" s="3298"/>
      <c r="H160" s="3298"/>
      <c r="I160" s="3298"/>
      <c r="J160" s="3298"/>
      <c r="K160" s="3298"/>
      <c r="L160" s="3298"/>
      <c r="M160" s="3298"/>
      <c r="N160" s="3298"/>
      <c r="O160" s="3298"/>
      <c r="P160" s="3298"/>
      <c r="Q160" s="3298"/>
      <c r="R160" s="3298"/>
      <c r="S160" s="3298"/>
      <c r="T160" s="3298"/>
      <c r="U160" s="3298"/>
      <c r="V160" s="3298"/>
      <c r="W160" s="3298"/>
      <c r="X160" s="3298"/>
      <c r="Y160" s="3298"/>
      <c r="Z160" s="3298"/>
      <c r="AA160" s="3298"/>
      <c r="AB160" s="3298"/>
      <c r="AC160" s="3298"/>
      <c r="AD160" s="3298"/>
      <c r="AE160" s="3298"/>
      <c r="AF160" s="3298"/>
      <c r="AG160" s="3298"/>
      <c r="AH160" s="3298"/>
      <c r="AI160" s="3298"/>
      <c r="AJ160" s="3298"/>
      <c r="AK160" s="3298"/>
      <c r="AL160" s="3298"/>
      <c r="AM160" s="3298"/>
      <c r="AN160" s="3298"/>
      <c r="AO160" s="3298"/>
      <c r="AP160" s="3298"/>
      <c r="AQ160" s="3298"/>
      <c r="AR160" s="3298"/>
      <c r="AS160" s="3298"/>
      <c r="AT160" s="3298"/>
      <c r="AU160" s="3298"/>
      <c r="AV160" s="3298"/>
      <c r="AW160" s="3298"/>
      <c r="AX160" s="3298"/>
      <c r="AY160" s="3293"/>
      <c r="AZ160" s="3285"/>
    </row>
  </sheetData>
  <mergeCells count="135">
    <mergeCell ref="B2:D2"/>
    <mergeCell ref="E2:AY2"/>
    <mergeCell ref="B3:B32"/>
    <mergeCell ref="C3:C4"/>
    <mergeCell ref="D3:D4"/>
    <mergeCell ref="E3:AY4"/>
    <mergeCell ref="C5:C7"/>
    <mergeCell ref="D5:D7"/>
    <mergeCell ref="E5:AY12"/>
    <mergeCell ref="C8:C10"/>
    <mergeCell ref="D8:D10"/>
    <mergeCell ref="C11:C12"/>
    <mergeCell ref="D11:D12"/>
    <mergeCell ref="C13:C14"/>
    <mergeCell ref="D13:D14"/>
    <mergeCell ref="E13:AY18"/>
    <mergeCell ref="C15:C16"/>
    <mergeCell ref="D15:D16"/>
    <mergeCell ref="C17:C18"/>
    <mergeCell ref="D17:D18"/>
    <mergeCell ref="C19:C32"/>
    <mergeCell ref="D19:D32"/>
    <mergeCell ref="R20:W20"/>
    <mergeCell ref="R21:W21"/>
    <mergeCell ref="AK21:AP21"/>
    <mergeCell ref="R24:W24"/>
    <mergeCell ref="R25:W25"/>
    <mergeCell ref="R27:W27"/>
    <mergeCell ref="R29:W29"/>
    <mergeCell ref="R31:W31"/>
    <mergeCell ref="B33:B43"/>
    <mergeCell ref="C33:C43"/>
    <mergeCell ref="D33:D43"/>
    <mergeCell ref="AZ36:AZ37"/>
    <mergeCell ref="AZ40:AZ41"/>
    <mergeCell ref="B44:B71"/>
    <mergeCell ref="C44:C46"/>
    <mergeCell ref="D44:D46"/>
    <mergeCell ref="E44:AY46"/>
    <mergeCell ref="C47:C49"/>
    <mergeCell ref="C54:C55"/>
    <mergeCell ref="D54:D55"/>
    <mergeCell ref="E54:AY55"/>
    <mergeCell ref="C56:C57"/>
    <mergeCell ref="D56:D57"/>
    <mergeCell ref="E56:AY57"/>
    <mergeCell ref="D47:D49"/>
    <mergeCell ref="E47:AY51"/>
    <mergeCell ref="C50:C51"/>
    <mergeCell ref="D50:D51"/>
    <mergeCell ref="C52:C53"/>
    <mergeCell ref="D52:D53"/>
    <mergeCell ref="E52:AY53"/>
    <mergeCell ref="C58:C71"/>
    <mergeCell ref="D58:D71"/>
    <mergeCell ref="R59:W59"/>
    <mergeCell ref="R60:W60"/>
    <mergeCell ref="AK60:AP60"/>
    <mergeCell ref="R65:W65"/>
    <mergeCell ref="R66:W66"/>
    <mergeCell ref="T68:Y68"/>
    <mergeCell ref="T70:Y70"/>
    <mergeCell ref="C81:C83"/>
    <mergeCell ref="D81:D83"/>
    <mergeCell ref="E81:AY83"/>
    <mergeCell ref="C84:C86"/>
    <mergeCell ref="D84:D86"/>
    <mergeCell ref="E84:AY86"/>
    <mergeCell ref="R61:W61"/>
    <mergeCell ref="R62:W62"/>
    <mergeCell ref="AI61:AN61"/>
    <mergeCell ref="R63:W63"/>
    <mergeCell ref="AI62:AN62"/>
    <mergeCell ref="AC111:AH111"/>
    <mergeCell ref="AA113:AF113"/>
    <mergeCell ref="AH113:AH116"/>
    <mergeCell ref="AI113:AQ116"/>
    <mergeCell ref="B72:B86"/>
    <mergeCell ref="C72:C73"/>
    <mergeCell ref="D72:D73"/>
    <mergeCell ref="E72:AY73"/>
    <mergeCell ref="C74:C76"/>
    <mergeCell ref="D74:D76"/>
    <mergeCell ref="E74:AY76"/>
    <mergeCell ref="C77:C80"/>
    <mergeCell ref="D77:D80"/>
    <mergeCell ref="E77:AY80"/>
    <mergeCell ref="B131:B160"/>
    <mergeCell ref="C131:C140"/>
    <mergeCell ref="D131:D140"/>
    <mergeCell ref="T132:Y132"/>
    <mergeCell ref="T134:Y134"/>
    <mergeCell ref="B87:B130"/>
    <mergeCell ref="C150:C157"/>
    <mergeCell ref="D150:D157"/>
    <mergeCell ref="T151:Y151"/>
    <mergeCell ref="T152:Y152"/>
    <mergeCell ref="C158:C160"/>
    <mergeCell ref="D158:D160"/>
    <mergeCell ref="T136:Y136"/>
    <mergeCell ref="T137:Y137"/>
    <mergeCell ref="T139:Y139"/>
    <mergeCell ref="C141:C149"/>
    <mergeCell ref="D141:D149"/>
    <mergeCell ref="T142:Y142"/>
    <mergeCell ref="D97:D123"/>
    <mergeCell ref="E103:R106"/>
    <mergeCell ref="C87:C96"/>
    <mergeCell ref="D87:D96"/>
    <mergeCell ref="P88:U88"/>
    <mergeCell ref="P89:U89"/>
    <mergeCell ref="T143:Y143"/>
    <mergeCell ref="T144:Y144"/>
    <mergeCell ref="F113:S116"/>
    <mergeCell ref="P93:U93"/>
    <mergeCell ref="P95:U95"/>
    <mergeCell ref="C97:C123"/>
    <mergeCell ref="AZ113:AZ116"/>
    <mergeCell ref="AA116:AF116"/>
    <mergeCell ref="AA118:AF118"/>
    <mergeCell ref="Z120:AE120"/>
    <mergeCell ref="Z122:AE122"/>
    <mergeCell ref="Z98:AE98"/>
    <mergeCell ref="Z100:AE100"/>
    <mergeCell ref="Z101:AE101"/>
    <mergeCell ref="Z103:AE103"/>
    <mergeCell ref="AZ87:AZ96"/>
    <mergeCell ref="AS89:AX89"/>
    <mergeCell ref="P91:U91"/>
    <mergeCell ref="P92:U92"/>
    <mergeCell ref="AE92:AJ92"/>
    <mergeCell ref="AG103:AG106"/>
    <mergeCell ref="AZ103:AZ106"/>
    <mergeCell ref="Z106:AE106"/>
    <mergeCell ref="Z108:AE108"/>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w7_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BC160"/>
  <sheetViews>
    <sheetView view="pageBreakPreview" topLeftCell="A134" zoomScale="115" zoomScaleNormal="80" zoomScaleSheetLayoutView="115" workbookViewId="0">
      <selection activeCell="T154" activeCellId="1" sqref="T146:Y148 T154:Y156"/>
    </sheetView>
  </sheetViews>
  <sheetFormatPr defaultColWidth="9" defaultRowHeight="13.5" customHeight="1" outlineLevelRow="1"/>
  <cols>
    <col min="1" max="1" width="0.375" style="2833" customWidth="1"/>
    <col min="2" max="2" width="10.625" style="2833" customWidth="1"/>
    <col min="3" max="3" width="2.375" style="2833" customWidth="1"/>
    <col min="4" max="4" width="35.25" style="2835" customWidth="1"/>
    <col min="5" max="5" width="1.875" style="2833" customWidth="1"/>
    <col min="6" max="6" width="1.875" style="2834" customWidth="1"/>
    <col min="7" max="51" width="1.875" style="2833" customWidth="1"/>
    <col min="52" max="52" width="9.375" style="2833" customWidth="1"/>
    <col min="53" max="53" width="0.625" style="2833" customWidth="1"/>
    <col min="54" max="54" width="9.875" style="2833" bestFit="1" customWidth="1"/>
    <col min="55" max="55" width="10.75" style="2833" bestFit="1" customWidth="1"/>
    <col min="56" max="16384" width="9" style="2833"/>
  </cols>
  <sheetData>
    <row r="1" spans="2:52" ht="17.25" customHeight="1">
      <c r="B1" s="2867" t="s">
        <v>5534</v>
      </c>
      <c r="AZ1" s="2866" t="s">
        <v>5533</v>
      </c>
    </row>
    <row r="2" spans="2:52" ht="13.5" customHeight="1">
      <c r="B2" s="3528" t="s">
        <v>5532</v>
      </c>
      <c r="C2" s="3528"/>
      <c r="D2" s="3528"/>
      <c r="E2" s="3528" t="s">
        <v>5531</v>
      </c>
      <c r="F2" s="3528"/>
      <c r="G2" s="3528"/>
      <c r="H2" s="3528"/>
      <c r="I2" s="3528"/>
      <c r="J2" s="3528"/>
      <c r="K2" s="3528"/>
      <c r="L2" s="3528"/>
      <c r="M2" s="3528"/>
      <c r="N2" s="3528"/>
      <c r="O2" s="3528"/>
      <c r="P2" s="3528"/>
      <c r="Q2" s="3528"/>
      <c r="R2" s="3528"/>
      <c r="S2" s="3528"/>
      <c r="T2" s="3528"/>
      <c r="U2" s="3528"/>
      <c r="V2" s="3528"/>
      <c r="W2" s="3528"/>
      <c r="X2" s="3528"/>
      <c r="Y2" s="3528"/>
      <c r="Z2" s="3528"/>
      <c r="AA2" s="3528"/>
      <c r="AB2" s="3528"/>
      <c r="AC2" s="3528"/>
      <c r="AD2" s="3528"/>
      <c r="AE2" s="3528"/>
      <c r="AF2" s="3528"/>
      <c r="AG2" s="3528"/>
      <c r="AH2" s="3528"/>
      <c r="AI2" s="3528"/>
      <c r="AJ2" s="3528"/>
      <c r="AK2" s="3528"/>
      <c r="AL2" s="3528"/>
      <c r="AM2" s="3528"/>
      <c r="AN2" s="3528"/>
      <c r="AO2" s="3528"/>
      <c r="AP2" s="3528"/>
      <c r="AQ2" s="3528"/>
      <c r="AR2" s="3528"/>
      <c r="AS2" s="3528"/>
      <c r="AT2" s="3528"/>
      <c r="AU2" s="3528"/>
      <c r="AV2" s="3528"/>
      <c r="AW2" s="3528"/>
      <c r="AX2" s="3528"/>
      <c r="AY2" s="3528"/>
      <c r="AZ2" s="2865" t="s">
        <v>5530</v>
      </c>
    </row>
    <row r="3" spans="2:52" ht="13.5" customHeight="1">
      <c r="B3" s="3514" t="s">
        <v>5529</v>
      </c>
      <c r="C3" s="3520">
        <v>1</v>
      </c>
      <c r="D3" s="3522" t="s">
        <v>5528</v>
      </c>
      <c r="E3" s="3520" t="s">
        <v>5527</v>
      </c>
      <c r="F3" s="3520"/>
      <c r="G3" s="3520"/>
      <c r="H3" s="3520"/>
      <c r="I3" s="3520"/>
      <c r="J3" s="3520"/>
      <c r="K3" s="3520"/>
      <c r="L3" s="3520"/>
      <c r="M3" s="3520"/>
      <c r="N3" s="3520"/>
      <c r="O3" s="3520"/>
      <c r="P3" s="3520"/>
      <c r="Q3" s="3520"/>
      <c r="R3" s="3520"/>
      <c r="S3" s="3520"/>
      <c r="T3" s="3520"/>
      <c r="U3" s="3520"/>
      <c r="V3" s="3520"/>
      <c r="W3" s="3520"/>
      <c r="X3" s="3520"/>
      <c r="Y3" s="3520"/>
      <c r="Z3" s="3520"/>
      <c r="AA3" s="3520"/>
      <c r="AB3" s="3520"/>
      <c r="AC3" s="3520"/>
      <c r="AD3" s="3520"/>
      <c r="AE3" s="3520"/>
      <c r="AF3" s="3520"/>
      <c r="AG3" s="3520"/>
      <c r="AH3" s="3520"/>
      <c r="AI3" s="3520"/>
      <c r="AJ3" s="3520"/>
      <c r="AK3" s="3520"/>
      <c r="AL3" s="3520"/>
      <c r="AM3" s="3520"/>
      <c r="AN3" s="3520"/>
      <c r="AO3" s="3520"/>
      <c r="AP3" s="3520"/>
      <c r="AQ3" s="3520"/>
      <c r="AR3" s="3520"/>
      <c r="AS3" s="3520"/>
      <c r="AT3" s="3520"/>
      <c r="AU3" s="3520"/>
      <c r="AV3" s="3520"/>
      <c r="AW3" s="3520"/>
      <c r="AX3" s="3520"/>
      <c r="AY3" s="3520"/>
      <c r="AZ3" s="2846"/>
    </row>
    <row r="4" spans="2:52" ht="13.5" customHeight="1">
      <c r="B4" s="3498"/>
      <c r="C4" s="3520"/>
      <c r="D4" s="3522"/>
      <c r="E4" s="3520"/>
      <c r="F4" s="3520"/>
      <c r="G4" s="3520"/>
      <c r="H4" s="3520"/>
      <c r="I4" s="3520"/>
      <c r="J4" s="3520"/>
      <c r="K4" s="3520"/>
      <c r="L4" s="3520"/>
      <c r="M4" s="3520"/>
      <c r="N4" s="3520"/>
      <c r="O4" s="3520"/>
      <c r="P4" s="3520"/>
      <c r="Q4" s="3520"/>
      <c r="R4" s="3520"/>
      <c r="S4" s="3520"/>
      <c r="T4" s="3520"/>
      <c r="U4" s="3520"/>
      <c r="V4" s="3520"/>
      <c r="W4" s="3520"/>
      <c r="X4" s="3520"/>
      <c r="Y4" s="3520"/>
      <c r="Z4" s="3520"/>
      <c r="AA4" s="3520"/>
      <c r="AB4" s="3520"/>
      <c r="AC4" s="3520"/>
      <c r="AD4" s="3520"/>
      <c r="AE4" s="3520"/>
      <c r="AF4" s="3520"/>
      <c r="AG4" s="3520"/>
      <c r="AH4" s="3520"/>
      <c r="AI4" s="3520"/>
      <c r="AJ4" s="3520"/>
      <c r="AK4" s="3520"/>
      <c r="AL4" s="3520"/>
      <c r="AM4" s="3520"/>
      <c r="AN4" s="3520"/>
      <c r="AO4" s="3520"/>
      <c r="AP4" s="3520"/>
      <c r="AQ4" s="3520"/>
      <c r="AR4" s="3520"/>
      <c r="AS4" s="3520"/>
      <c r="AT4" s="3520"/>
      <c r="AU4" s="3520"/>
      <c r="AV4" s="3520"/>
      <c r="AW4" s="3520"/>
      <c r="AX4" s="3520"/>
      <c r="AY4" s="3520"/>
      <c r="AZ4" s="2836"/>
    </row>
    <row r="5" spans="2:52" ht="13.5" customHeight="1">
      <c r="B5" s="3498"/>
      <c r="C5" s="3520">
        <v>2</v>
      </c>
      <c r="D5" s="3522" t="s">
        <v>5526</v>
      </c>
      <c r="E5" s="3520" t="s">
        <v>5525</v>
      </c>
      <c r="F5" s="3520"/>
      <c r="G5" s="3520"/>
      <c r="H5" s="3520"/>
      <c r="I5" s="3520"/>
      <c r="J5" s="3520"/>
      <c r="K5" s="3520"/>
      <c r="L5" s="3520"/>
      <c r="M5" s="3520"/>
      <c r="N5" s="3520"/>
      <c r="O5" s="3520"/>
      <c r="P5" s="3520"/>
      <c r="Q5" s="3520"/>
      <c r="R5" s="3520"/>
      <c r="S5" s="3520"/>
      <c r="T5" s="3520"/>
      <c r="U5" s="3520"/>
      <c r="V5" s="3520"/>
      <c r="W5" s="3520"/>
      <c r="X5" s="3520"/>
      <c r="Y5" s="3520"/>
      <c r="Z5" s="3520"/>
      <c r="AA5" s="3520"/>
      <c r="AB5" s="3520"/>
      <c r="AC5" s="3520"/>
      <c r="AD5" s="3520"/>
      <c r="AE5" s="3520"/>
      <c r="AF5" s="3520"/>
      <c r="AG5" s="3520"/>
      <c r="AH5" s="3520"/>
      <c r="AI5" s="3520"/>
      <c r="AJ5" s="3520"/>
      <c r="AK5" s="3520"/>
      <c r="AL5" s="3520"/>
      <c r="AM5" s="3520"/>
      <c r="AN5" s="3520"/>
      <c r="AO5" s="3520"/>
      <c r="AP5" s="3520"/>
      <c r="AQ5" s="3520"/>
      <c r="AR5" s="3520"/>
      <c r="AS5" s="3520"/>
      <c r="AT5" s="3520"/>
      <c r="AU5" s="3520"/>
      <c r="AV5" s="3520"/>
      <c r="AW5" s="3520"/>
      <c r="AX5" s="3520"/>
      <c r="AY5" s="3520"/>
      <c r="AZ5" s="2846"/>
    </row>
    <row r="6" spans="2:52" ht="13.5" customHeight="1">
      <c r="B6" s="3498"/>
      <c r="C6" s="3520"/>
      <c r="D6" s="3522"/>
      <c r="E6" s="3520"/>
      <c r="F6" s="3520"/>
      <c r="G6" s="3520"/>
      <c r="H6" s="3520"/>
      <c r="I6" s="3520"/>
      <c r="J6" s="3520"/>
      <c r="K6" s="3520"/>
      <c r="L6" s="3520"/>
      <c r="M6" s="3520"/>
      <c r="N6" s="3520"/>
      <c r="O6" s="3520"/>
      <c r="P6" s="3520"/>
      <c r="Q6" s="3520"/>
      <c r="R6" s="3520"/>
      <c r="S6" s="3520"/>
      <c r="T6" s="3520"/>
      <c r="U6" s="3520"/>
      <c r="V6" s="3520"/>
      <c r="W6" s="3520"/>
      <c r="X6" s="3520"/>
      <c r="Y6" s="3520"/>
      <c r="Z6" s="3520"/>
      <c r="AA6" s="3520"/>
      <c r="AB6" s="3520"/>
      <c r="AC6" s="3520"/>
      <c r="AD6" s="3520"/>
      <c r="AE6" s="3520"/>
      <c r="AF6" s="3520"/>
      <c r="AG6" s="3520"/>
      <c r="AH6" s="3520"/>
      <c r="AI6" s="3520"/>
      <c r="AJ6" s="3520"/>
      <c r="AK6" s="3520"/>
      <c r="AL6" s="3520"/>
      <c r="AM6" s="3520"/>
      <c r="AN6" s="3520"/>
      <c r="AO6" s="3520"/>
      <c r="AP6" s="3520"/>
      <c r="AQ6" s="3520"/>
      <c r="AR6" s="3520"/>
      <c r="AS6" s="3520"/>
      <c r="AT6" s="3520"/>
      <c r="AU6" s="3520"/>
      <c r="AV6" s="3520"/>
      <c r="AW6" s="3520"/>
      <c r="AX6" s="3520"/>
      <c r="AY6" s="3520"/>
      <c r="AZ6" s="2841"/>
    </row>
    <row r="7" spans="2:52" ht="13.5" customHeight="1">
      <c r="B7" s="3498"/>
      <c r="C7" s="3520"/>
      <c r="D7" s="3522"/>
      <c r="E7" s="3520"/>
      <c r="F7" s="3520"/>
      <c r="G7" s="3520"/>
      <c r="H7" s="3520"/>
      <c r="I7" s="3520"/>
      <c r="J7" s="3520"/>
      <c r="K7" s="3520"/>
      <c r="L7" s="3520"/>
      <c r="M7" s="3520"/>
      <c r="N7" s="3520"/>
      <c r="O7" s="3520"/>
      <c r="P7" s="3520"/>
      <c r="Q7" s="3520"/>
      <c r="R7" s="3520"/>
      <c r="S7" s="3520"/>
      <c r="T7" s="3520"/>
      <c r="U7" s="3520"/>
      <c r="V7" s="3520"/>
      <c r="W7" s="3520"/>
      <c r="X7" s="3520"/>
      <c r="Y7" s="3520"/>
      <c r="Z7" s="3520"/>
      <c r="AA7" s="3520"/>
      <c r="AB7" s="3520"/>
      <c r="AC7" s="3520"/>
      <c r="AD7" s="3520"/>
      <c r="AE7" s="3520"/>
      <c r="AF7" s="3520"/>
      <c r="AG7" s="3520"/>
      <c r="AH7" s="3520"/>
      <c r="AI7" s="3520"/>
      <c r="AJ7" s="3520"/>
      <c r="AK7" s="3520"/>
      <c r="AL7" s="3520"/>
      <c r="AM7" s="3520"/>
      <c r="AN7" s="3520"/>
      <c r="AO7" s="3520"/>
      <c r="AP7" s="3520"/>
      <c r="AQ7" s="3520"/>
      <c r="AR7" s="3520"/>
      <c r="AS7" s="3520"/>
      <c r="AT7" s="3520"/>
      <c r="AU7" s="3520"/>
      <c r="AV7" s="3520"/>
      <c r="AW7" s="3520"/>
      <c r="AX7" s="3520"/>
      <c r="AY7" s="3520"/>
      <c r="AZ7" s="2841"/>
    </row>
    <row r="8" spans="2:52" ht="13.5" customHeight="1">
      <c r="B8" s="3498"/>
      <c r="C8" s="3520">
        <v>3</v>
      </c>
      <c r="D8" s="3522" t="s">
        <v>5524</v>
      </c>
      <c r="E8" s="3520"/>
      <c r="F8" s="3520"/>
      <c r="G8" s="3520"/>
      <c r="H8" s="3520"/>
      <c r="I8" s="3520"/>
      <c r="J8" s="3520"/>
      <c r="K8" s="3520"/>
      <c r="L8" s="3520"/>
      <c r="M8" s="3520"/>
      <c r="N8" s="3520"/>
      <c r="O8" s="3520"/>
      <c r="P8" s="3520"/>
      <c r="Q8" s="3520"/>
      <c r="R8" s="3520"/>
      <c r="S8" s="3520"/>
      <c r="T8" s="3520"/>
      <c r="U8" s="3520"/>
      <c r="V8" s="3520"/>
      <c r="W8" s="3520"/>
      <c r="X8" s="3520"/>
      <c r="Y8" s="3520"/>
      <c r="Z8" s="3520"/>
      <c r="AA8" s="3520"/>
      <c r="AB8" s="3520"/>
      <c r="AC8" s="3520"/>
      <c r="AD8" s="3520"/>
      <c r="AE8" s="3520"/>
      <c r="AF8" s="3520"/>
      <c r="AG8" s="3520"/>
      <c r="AH8" s="3520"/>
      <c r="AI8" s="3520"/>
      <c r="AJ8" s="3520"/>
      <c r="AK8" s="3520"/>
      <c r="AL8" s="3520"/>
      <c r="AM8" s="3520"/>
      <c r="AN8" s="3520"/>
      <c r="AO8" s="3520"/>
      <c r="AP8" s="3520"/>
      <c r="AQ8" s="3520"/>
      <c r="AR8" s="3520"/>
      <c r="AS8" s="3520"/>
      <c r="AT8" s="3520"/>
      <c r="AU8" s="3520"/>
      <c r="AV8" s="3520"/>
      <c r="AW8" s="3520"/>
      <c r="AX8" s="3520"/>
      <c r="AY8" s="3520"/>
      <c r="AZ8" s="2841"/>
    </row>
    <row r="9" spans="2:52" ht="13.5" customHeight="1">
      <c r="B9" s="3498"/>
      <c r="C9" s="3520"/>
      <c r="D9" s="3522"/>
      <c r="E9" s="3520"/>
      <c r="F9" s="3520"/>
      <c r="G9" s="3520"/>
      <c r="H9" s="3520"/>
      <c r="I9" s="3520"/>
      <c r="J9" s="3520"/>
      <c r="K9" s="3520"/>
      <c r="L9" s="3520"/>
      <c r="M9" s="3520"/>
      <c r="N9" s="3520"/>
      <c r="O9" s="3520"/>
      <c r="P9" s="3520"/>
      <c r="Q9" s="3520"/>
      <c r="R9" s="3520"/>
      <c r="S9" s="3520"/>
      <c r="T9" s="3520"/>
      <c r="U9" s="3520"/>
      <c r="V9" s="3520"/>
      <c r="W9" s="3520"/>
      <c r="X9" s="3520"/>
      <c r="Y9" s="3520"/>
      <c r="Z9" s="3520"/>
      <c r="AA9" s="3520"/>
      <c r="AB9" s="3520"/>
      <c r="AC9" s="3520"/>
      <c r="AD9" s="3520"/>
      <c r="AE9" s="3520"/>
      <c r="AF9" s="3520"/>
      <c r="AG9" s="3520"/>
      <c r="AH9" s="3520"/>
      <c r="AI9" s="3520"/>
      <c r="AJ9" s="3520"/>
      <c r="AK9" s="3520"/>
      <c r="AL9" s="3520"/>
      <c r="AM9" s="3520"/>
      <c r="AN9" s="3520"/>
      <c r="AO9" s="3520"/>
      <c r="AP9" s="3520"/>
      <c r="AQ9" s="3520"/>
      <c r="AR9" s="3520"/>
      <c r="AS9" s="3520"/>
      <c r="AT9" s="3520"/>
      <c r="AU9" s="3520"/>
      <c r="AV9" s="3520"/>
      <c r="AW9" s="3520"/>
      <c r="AX9" s="3520"/>
      <c r="AY9" s="3520"/>
      <c r="AZ9" s="2841"/>
    </row>
    <row r="10" spans="2:52" ht="13.5" customHeight="1">
      <c r="B10" s="3498"/>
      <c r="C10" s="3520"/>
      <c r="D10" s="3522"/>
      <c r="E10" s="3520"/>
      <c r="F10" s="3520"/>
      <c r="G10" s="3520"/>
      <c r="H10" s="3520"/>
      <c r="I10" s="3520"/>
      <c r="J10" s="3520"/>
      <c r="K10" s="3520"/>
      <c r="L10" s="3520"/>
      <c r="M10" s="3520"/>
      <c r="N10" s="3520"/>
      <c r="O10" s="3520"/>
      <c r="P10" s="3520"/>
      <c r="Q10" s="3520"/>
      <c r="R10" s="3520"/>
      <c r="S10" s="3520"/>
      <c r="T10" s="3520"/>
      <c r="U10" s="3520"/>
      <c r="V10" s="3520"/>
      <c r="W10" s="3520"/>
      <c r="X10" s="3520"/>
      <c r="Y10" s="3520"/>
      <c r="Z10" s="3520"/>
      <c r="AA10" s="3520"/>
      <c r="AB10" s="3520"/>
      <c r="AC10" s="3520"/>
      <c r="AD10" s="3520"/>
      <c r="AE10" s="3520"/>
      <c r="AF10" s="3520"/>
      <c r="AG10" s="3520"/>
      <c r="AH10" s="3520"/>
      <c r="AI10" s="3520"/>
      <c r="AJ10" s="3520"/>
      <c r="AK10" s="3520"/>
      <c r="AL10" s="3520"/>
      <c r="AM10" s="3520"/>
      <c r="AN10" s="3520"/>
      <c r="AO10" s="3520"/>
      <c r="AP10" s="3520"/>
      <c r="AQ10" s="3520"/>
      <c r="AR10" s="3520"/>
      <c r="AS10" s="3520"/>
      <c r="AT10" s="3520"/>
      <c r="AU10" s="3520"/>
      <c r="AV10" s="3520"/>
      <c r="AW10" s="3520"/>
      <c r="AX10" s="3520"/>
      <c r="AY10" s="3520"/>
      <c r="AZ10" s="2841"/>
    </row>
    <row r="11" spans="2:52" ht="13.5" customHeight="1">
      <c r="B11" s="3498"/>
      <c r="C11" s="3514">
        <v>4</v>
      </c>
      <c r="D11" s="3522" t="s">
        <v>5523</v>
      </c>
      <c r="E11" s="3520"/>
      <c r="F11" s="3520"/>
      <c r="G11" s="3520"/>
      <c r="H11" s="3520"/>
      <c r="I11" s="3520"/>
      <c r="J11" s="3520"/>
      <c r="K11" s="3520"/>
      <c r="L11" s="3520"/>
      <c r="M11" s="3520"/>
      <c r="N11" s="3520"/>
      <c r="O11" s="3520"/>
      <c r="P11" s="3520"/>
      <c r="Q11" s="3520"/>
      <c r="R11" s="3520"/>
      <c r="S11" s="3520"/>
      <c r="T11" s="3520"/>
      <c r="U11" s="3520"/>
      <c r="V11" s="3520"/>
      <c r="W11" s="3520"/>
      <c r="X11" s="3520"/>
      <c r="Y11" s="3520"/>
      <c r="Z11" s="3520"/>
      <c r="AA11" s="3520"/>
      <c r="AB11" s="3520"/>
      <c r="AC11" s="3520"/>
      <c r="AD11" s="3520"/>
      <c r="AE11" s="3520"/>
      <c r="AF11" s="3520"/>
      <c r="AG11" s="3520"/>
      <c r="AH11" s="3520"/>
      <c r="AI11" s="3520"/>
      <c r="AJ11" s="3520"/>
      <c r="AK11" s="3520"/>
      <c r="AL11" s="3520"/>
      <c r="AM11" s="3520"/>
      <c r="AN11" s="3520"/>
      <c r="AO11" s="3520"/>
      <c r="AP11" s="3520"/>
      <c r="AQ11" s="3520"/>
      <c r="AR11" s="3520"/>
      <c r="AS11" s="3520"/>
      <c r="AT11" s="3520"/>
      <c r="AU11" s="3520"/>
      <c r="AV11" s="3520"/>
      <c r="AW11" s="3520"/>
      <c r="AX11" s="3520"/>
      <c r="AY11" s="3520"/>
      <c r="AZ11" s="2841"/>
    </row>
    <row r="12" spans="2:52" ht="13.5" customHeight="1">
      <c r="B12" s="3498"/>
      <c r="C12" s="3503"/>
      <c r="D12" s="3522"/>
      <c r="E12" s="3520"/>
      <c r="F12" s="3520"/>
      <c r="G12" s="3520"/>
      <c r="H12" s="3520"/>
      <c r="I12" s="3520"/>
      <c r="J12" s="3520"/>
      <c r="K12" s="3520"/>
      <c r="L12" s="3520"/>
      <c r="M12" s="3520"/>
      <c r="N12" s="3520"/>
      <c r="O12" s="3520"/>
      <c r="P12" s="3520"/>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2836"/>
    </row>
    <row r="13" spans="2:52" ht="13.5" customHeight="1">
      <c r="B13" s="3498"/>
      <c r="C13" s="3514">
        <v>5</v>
      </c>
      <c r="D13" s="3522" t="s">
        <v>5522</v>
      </c>
      <c r="E13" s="3520" t="s">
        <v>5521</v>
      </c>
      <c r="F13" s="3520"/>
      <c r="G13" s="3520"/>
      <c r="H13" s="3520"/>
      <c r="I13" s="3520"/>
      <c r="J13" s="3520"/>
      <c r="K13" s="3520"/>
      <c r="L13" s="3520"/>
      <c r="M13" s="3520"/>
      <c r="N13" s="3520"/>
      <c r="O13" s="3520"/>
      <c r="P13" s="3520"/>
      <c r="Q13" s="3520"/>
      <c r="R13" s="3520"/>
      <c r="S13" s="3520"/>
      <c r="T13" s="3520"/>
      <c r="U13" s="3520"/>
      <c r="V13" s="3520"/>
      <c r="W13" s="3520"/>
      <c r="X13" s="3520"/>
      <c r="Y13" s="3520"/>
      <c r="Z13" s="3520"/>
      <c r="AA13" s="3520"/>
      <c r="AB13" s="3520"/>
      <c r="AC13" s="3520"/>
      <c r="AD13" s="3520"/>
      <c r="AE13" s="3520"/>
      <c r="AF13" s="3520"/>
      <c r="AG13" s="3520"/>
      <c r="AH13" s="3520"/>
      <c r="AI13" s="3520"/>
      <c r="AJ13" s="3520"/>
      <c r="AK13" s="3520"/>
      <c r="AL13" s="3520"/>
      <c r="AM13" s="3520"/>
      <c r="AN13" s="3520"/>
      <c r="AO13" s="3520"/>
      <c r="AP13" s="3520"/>
      <c r="AQ13" s="3520"/>
      <c r="AR13" s="3520"/>
      <c r="AS13" s="3520"/>
      <c r="AT13" s="3520"/>
      <c r="AU13" s="3520"/>
      <c r="AV13" s="3520"/>
      <c r="AW13" s="3520"/>
      <c r="AX13" s="3520"/>
      <c r="AY13" s="3520"/>
      <c r="AZ13" s="2846"/>
    </row>
    <row r="14" spans="2:52" ht="13.5" customHeight="1">
      <c r="B14" s="3498"/>
      <c r="C14" s="3503"/>
      <c r="D14" s="3522"/>
      <c r="E14" s="3520"/>
      <c r="F14" s="3520"/>
      <c r="G14" s="3520"/>
      <c r="H14" s="3520"/>
      <c r="I14" s="3520"/>
      <c r="J14" s="3520"/>
      <c r="K14" s="3520"/>
      <c r="L14" s="3520"/>
      <c r="M14" s="3520"/>
      <c r="N14" s="3520"/>
      <c r="O14" s="3520"/>
      <c r="P14" s="3520"/>
      <c r="Q14" s="3520"/>
      <c r="R14" s="3520"/>
      <c r="S14" s="3520"/>
      <c r="T14" s="3520"/>
      <c r="U14" s="3520"/>
      <c r="V14" s="3520"/>
      <c r="W14" s="3520"/>
      <c r="X14" s="3520"/>
      <c r="Y14" s="3520"/>
      <c r="Z14" s="3520"/>
      <c r="AA14" s="3520"/>
      <c r="AB14" s="3520"/>
      <c r="AC14" s="3520"/>
      <c r="AD14" s="3520"/>
      <c r="AE14" s="3520"/>
      <c r="AF14" s="3520"/>
      <c r="AG14" s="3520"/>
      <c r="AH14" s="3520"/>
      <c r="AI14" s="3520"/>
      <c r="AJ14" s="3520"/>
      <c r="AK14" s="3520"/>
      <c r="AL14" s="3520"/>
      <c r="AM14" s="3520"/>
      <c r="AN14" s="3520"/>
      <c r="AO14" s="3520"/>
      <c r="AP14" s="3520"/>
      <c r="AQ14" s="3520"/>
      <c r="AR14" s="3520"/>
      <c r="AS14" s="3520"/>
      <c r="AT14" s="3520"/>
      <c r="AU14" s="3520"/>
      <c r="AV14" s="3520"/>
      <c r="AW14" s="3520"/>
      <c r="AX14" s="3520"/>
      <c r="AY14" s="3520"/>
      <c r="AZ14" s="2841"/>
    </row>
    <row r="15" spans="2:52" ht="13.5" customHeight="1">
      <c r="B15" s="3498"/>
      <c r="C15" s="3514">
        <v>6</v>
      </c>
      <c r="D15" s="3522" t="s">
        <v>5520</v>
      </c>
      <c r="E15" s="3520"/>
      <c r="F15" s="3520"/>
      <c r="G15" s="3520"/>
      <c r="H15" s="3520"/>
      <c r="I15" s="3520"/>
      <c r="J15" s="3520"/>
      <c r="K15" s="3520"/>
      <c r="L15" s="3520"/>
      <c r="M15" s="3520"/>
      <c r="N15" s="3520"/>
      <c r="O15" s="3520"/>
      <c r="P15" s="3520"/>
      <c r="Q15" s="3520"/>
      <c r="R15" s="3520"/>
      <c r="S15" s="3520"/>
      <c r="T15" s="3520"/>
      <c r="U15" s="3520"/>
      <c r="V15" s="3520"/>
      <c r="W15" s="3520"/>
      <c r="X15" s="3520"/>
      <c r="Y15" s="3520"/>
      <c r="Z15" s="3520"/>
      <c r="AA15" s="3520"/>
      <c r="AB15" s="3520"/>
      <c r="AC15" s="3520"/>
      <c r="AD15" s="3520"/>
      <c r="AE15" s="3520"/>
      <c r="AF15" s="3520"/>
      <c r="AG15" s="3520"/>
      <c r="AH15" s="3520"/>
      <c r="AI15" s="3520"/>
      <c r="AJ15" s="3520"/>
      <c r="AK15" s="3520"/>
      <c r="AL15" s="3520"/>
      <c r="AM15" s="3520"/>
      <c r="AN15" s="3520"/>
      <c r="AO15" s="3520"/>
      <c r="AP15" s="3520"/>
      <c r="AQ15" s="3520"/>
      <c r="AR15" s="3520"/>
      <c r="AS15" s="3520"/>
      <c r="AT15" s="3520"/>
      <c r="AU15" s="3520"/>
      <c r="AV15" s="3520"/>
      <c r="AW15" s="3520"/>
      <c r="AX15" s="3520"/>
      <c r="AY15" s="3520"/>
      <c r="AZ15" s="2841"/>
    </row>
    <row r="16" spans="2:52" ht="13.5" customHeight="1">
      <c r="B16" s="3498"/>
      <c r="C16" s="3503"/>
      <c r="D16" s="3522"/>
      <c r="E16" s="3520"/>
      <c r="F16" s="3520"/>
      <c r="G16" s="3520"/>
      <c r="H16" s="3520"/>
      <c r="I16" s="3520"/>
      <c r="J16" s="3520"/>
      <c r="K16" s="3520"/>
      <c r="L16" s="3520"/>
      <c r="M16" s="3520"/>
      <c r="N16" s="3520"/>
      <c r="O16" s="3520"/>
      <c r="P16" s="3520"/>
      <c r="Q16" s="3520"/>
      <c r="R16" s="3520"/>
      <c r="S16" s="3520"/>
      <c r="T16" s="3520"/>
      <c r="U16" s="3520"/>
      <c r="V16" s="3520"/>
      <c r="W16" s="3520"/>
      <c r="X16" s="3520"/>
      <c r="Y16" s="3520"/>
      <c r="Z16" s="3520"/>
      <c r="AA16" s="3520"/>
      <c r="AB16" s="3520"/>
      <c r="AC16" s="3520"/>
      <c r="AD16" s="3520"/>
      <c r="AE16" s="3520"/>
      <c r="AF16" s="3520"/>
      <c r="AG16" s="3520"/>
      <c r="AH16" s="3520"/>
      <c r="AI16" s="3520"/>
      <c r="AJ16" s="3520"/>
      <c r="AK16" s="3520"/>
      <c r="AL16" s="3520"/>
      <c r="AM16" s="3520"/>
      <c r="AN16" s="3520"/>
      <c r="AO16" s="3520"/>
      <c r="AP16" s="3520"/>
      <c r="AQ16" s="3520"/>
      <c r="AR16" s="3520"/>
      <c r="AS16" s="3520"/>
      <c r="AT16" s="3520"/>
      <c r="AU16" s="3520"/>
      <c r="AV16" s="3520"/>
      <c r="AW16" s="3520"/>
      <c r="AX16" s="3520"/>
      <c r="AY16" s="3520"/>
      <c r="AZ16" s="2841"/>
    </row>
    <row r="17" spans="2:52" ht="13.5" customHeight="1">
      <c r="B17" s="3498"/>
      <c r="C17" s="3514">
        <v>7</v>
      </c>
      <c r="D17" s="3522" t="s">
        <v>5519</v>
      </c>
      <c r="E17" s="3520"/>
      <c r="F17" s="3520"/>
      <c r="G17" s="3520"/>
      <c r="H17" s="3520"/>
      <c r="I17" s="3520"/>
      <c r="J17" s="3520"/>
      <c r="K17" s="3520"/>
      <c r="L17" s="3520"/>
      <c r="M17" s="3520"/>
      <c r="N17" s="3520"/>
      <c r="O17" s="3520"/>
      <c r="P17" s="3520"/>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2841"/>
    </row>
    <row r="18" spans="2:52" ht="13.5" customHeight="1">
      <c r="B18" s="3498"/>
      <c r="C18" s="3503"/>
      <c r="D18" s="3522"/>
      <c r="E18" s="3520"/>
      <c r="F18" s="3520"/>
      <c r="G18" s="3520"/>
      <c r="H18" s="3520"/>
      <c r="I18" s="3520"/>
      <c r="J18" s="3520"/>
      <c r="K18" s="3520"/>
      <c r="L18" s="3520"/>
      <c r="M18" s="3520"/>
      <c r="N18" s="3520"/>
      <c r="O18" s="3520"/>
      <c r="P18" s="3520"/>
      <c r="Q18" s="3520"/>
      <c r="R18" s="3520"/>
      <c r="S18" s="3520"/>
      <c r="T18" s="3520"/>
      <c r="U18" s="3520"/>
      <c r="V18" s="3520"/>
      <c r="W18" s="3520"/>
      <c r="X18" s="3520"/>
      <c r="Y18" s="3520"/>
      <c r="Z18" s="3520"/>
      <c r="AA18" s="3520"/>
      <c r="AB18" s="3520"/>
      <c r="AC18" s="3520"/>
      <c r="AD18" s="3520"/>
      <c r="AE18" s="3520"/>
      <c r="AF18" s="3520"/>
      <c r="AG18" s="3520"/>
      <c r="AH18" s="3520"/>
      <c r="AI18" s="3520"/>
      <c r="AJ18" s="3520"/>
      <c r="AK18" s="3520"/>
      <c r="AL18" s="3520"/>
      <c r="AM18" s="3520"/>
      <c r="AN18" s="3520"/>
      <c r="AO18" s="3520"/>
      <c r="AP18" s="3520"/>
      <c r="AQ18" s="3520"/>
      <c r="AR18" s="3520"/>
      <c r="AS18" s="3520"/>
      <c r="AT18" s="3520"/>
      <c r="AU18" s="3520"/>
      <c r="AV18" s="3520"/>
      <c r="AW18" s="3520"/>
      <c r="AX18" s="3520"/>
      <c r="AY18" s="3520"/>
      <c r="AZ18" s="2836"/>
    </row>
    <row r="19" spans="2:52" ht="13.5" customHeight="1">
      <c r="B19" s="3498"/>
      <c r="C19" s="3514">
        <v>8</v>
      </c>
      <c r="D19" s="3512" t="s">
        <v>5518</v>
      </c>
      <c r="E19" s="2850"/>
      <c r="F19" s="2849"/>
      <c r="G19" s="2848"/>
      <c r="H19" s="2848"/>
      <c r="I19" s="2848"/>
      <c r="J19" s="2848"/>
      <c r="K19" s="2848"/>
      <c r="L19" s="2848"/>
      <c r="M19" s="2848"/>
      <c r="N19" s="2848"/>
      <c r="O19" s="2848"/>
      <c r="P19" s="2848"/>
      <c r="Q19" s="2848"/>
      <c r="R19" s="2848"/>
      <c r="S19" s="2848"/>
      <c r="T19" s="2848"/>
      <c r="U19" s="2848"/>
      <c r="V19" s="2848"/>
      <c r="W19" s="2848"/>
      <c r="X19" s="2848"/>
      <c r="Y19" s="2848"/>
      <c r="Z19" s="2848"/>
      <c r="AA19" s="2848"/>
      <c r="AB19" s="2848"/>
      <c r="AC19" s="2848"/>
      <c r="AD19" s="2848"/>
      <c r="AE19" s="2848"/>
      <c r="AF19" s="2848"/>
      <c r="AG19" s="2848"/>
      <c r="AH19" s="2848"/>
      <c r="AI19" s="2848"/>
      <c r="AJ19" s="2848"/>
      <c r="AK19" s="2848"/>
      <c r="AL19" s="2848"/>
      <c r="AM19" s="2848"/>
      <c r="AN19" s="2848"/>
      <c r="AO19" s="2848"/>
      <c r="AP19" s="2848"/>
      <c r="AQ19" s="2848"/>
      <c r="AR19" s="2848"/>
      <c r="AS19" s="2848"/>
      <c r="AT19" s="2848"/>
      <c r="AU19" s="2848"/>
      <c r="AV19" s="2848"/>
      <c r="AW19" s="2848"/>
      <c r="AX19" s="2848"/>
      <c r="AY19" s="2847"/>
      <c r="AZ19" s="2846"/>
    </row>
    <row r="20" spans="2:52" ht="13.5" customHeight="1">
      <c r="B20" s="3498"/>
      <c r="C20" s="3498"/>
      <c r="D20" s="3502"/>
      <c r="E20" s="2860" t="s">
        <v>5517</v>
      </c>
      <c r="F20" s="2844"/>
      <c r="G20" s="2844"/>
      <c r="H20" s="2844"/>
      <c r="I20" s="2844"/>
      <c r="J20" s="2844"/>
      <c r="K20" s="2844"/>
      <c r="L20" s="2844"/>
      <c r="M20" s="2844"/>
      <c r="N20" s="2844"/>
      <c r="O20" s="2844"/>
      <c r="P20" s="2844"/>
      <c r="Q20" s="2843"/>
      <c r="R20" s="3527">
        <f>'(申)3%'!R20:W20+'(申)5%'!R20:W20+'(申)8%'!R20:W20+'(申)軽8%'!R20:W20+'(申)10%'!R20:W20</f>
        <v>20730055582</v>
      </c>
      <c r="S20" s="3527"/>
      <c r="T20" s="3527"/>
      <c r="U20" s="3527"/>
      <c r="V20" s="3527"/>
      <c r="W20" s="3527"/>
      <c r="X20" s="2843"/>
      <c r="Y20" s="2851"/>
      <c r="Z20" s="2843"/>
      <c r="AA20" s="2843"/>
      <c r="AB20" s="2843"/>
      <c r="AC20" s="2843"/>
      <c r="AD20" s="2843"/>
      <c r="AE20" s="2843"/>
      <c r="AF20" s="2843"/>
      <c r="AG20" s="2843"/>
      <c r="AH20" s="2843"/>
      <c r="AI20" s="2844"/>
      <c r="AJ20" s="2843"/>
      <c r="AK20" s="2843"/>
      <c r="AL20" s="2843"/>
      <c r="AM20" s="2843"/>
      <c r="AN20" s="2843"/>
      <c r="AO20" s="2843"/>
      <c r="AP20" s="2843"/>
      <c r="AQ20" s="2843"/>
      <c r="AR20" s="2843"/>
      <c r="AS20" s="2843"/>
      <c r="AT20" s="2843"/>
      <c r="AU20" s="2843"/>
      <c r="AV20" s="2843"/>
      <c r="AW20" s="2843"/>
      <c r="AX20" s="2843"/>
      <c r="AY20" s="2842"/>
      <c r="AZ20" s="2841"/>
    </row>
    <row r="21" spans="2:52" ht="13.5" customHeight="1">
      <c r="B21" s="3498"/>
      <c r="C21" s="3498"/>
      <c r="D21" s="3502"/>
      <c r="E21" s="2860" t="s">
        <v>5516</v>
      </c>
      <c r="F21" s="2843"/>
      <c r="G21" s="2843"/>
      <c r="H21" s="2843"/>
      <c r="I21" s="2843"/>
      <c r="J21" s="2843"/>
      <c r="K21" s="2843"/>
      <c r="L21" s="2843"/>
      <c r="M21" s="2843"/>
      <c r="N21" s="2843"/>
      <c r="O21" s="2843"/>
      <c r="P21" s="2843"/>
      <c r="Q21" s="2843"/>
      <c r="R21" s="3527">
        <f>'(申)3%'!R21:W21+'(申)5%'!R21:W21+'(申)8%'!R21:W21+'(申)軽8%'!R21:W21+'(申)10%'!R21:W21</f>
        <v>39691410</v>
      </c>
      <c r="S21" s="3527"/>
      <c r="T21" s="3527"/>
      <c r="U21" s="3527"/>
      <c r="V21" s="3527"/>
      <c r="W21" s="3527"/>
      <c r="X21" s="2843"/>
      <c r="Y21" s="2851"/>
      <c r="Z21" s="2843"/>
      <c r="AA21" s="2843"/>
      <c r="AB21" s="2843"/>
      <c r="AC21" s="2843"/>
      <c r="AD21" s="2843"/>
      <c r="AE21" s="2843"/>
      <c r="AF21" s="2843"/>
      <c r="AG21" s="2843"/>
      <c r="AH21" s="2843"/>
      <c r="AI21" s="2843"/>
      <c r="AJ21" s="2843" t="s">
        <v>5447</v>
      </c>
      <c r="AK21" s="3497">
        <f>R20+R21</f>
        <v>20769746992</v>
      </c>
      <c r="AL21" s="3497"/>
      <c r="AM21" s="3497"/>
      <c r="AN21" s="3497"/>
      <c r="AO21" s="3497"/>
      <c r="AP21" s="3497"/>
      <c r="AQ21" s="2843" t="s">
        <v>5661</v>
      </c>
      <c r="AR21" s="2843"/>
      <c r="AS21" s="2843"/>
      <c r="AT21" s="2843"/>
      <c r="AU21" s="2843"/>
      <c r="AV21" s="2843"/>
      <c r="AW21" s="2843"/>
      <c r="AX21" s="2843"/>
      <c r="AY21" s="2842"/>
      <c r="AZ21" s="2841"/>
    </row>
    <row r="22" spans="2:52" ht="13.5" customHeight="1">
      <c r="B22" s="3498"/>
      <c r="C22" s="3498"/>
      <c r="D22" s="3502"/>
      <c r="E22" s="2860"/>
      <c r="F22" s="2843"/>
      <c r="G22" s="2843"/>
      <c r="H22" s="2843"/>
      <c r="I22" s="2843"/>
      <c r="J22" s="2843"/>
      <c r="K22" s="2843"/>
      <c r="L22" s="2843"/>
      <c r="M22" s="2843"/>
      <c r="N22" s="2843"/>
      <c r="O22" s="2843"/>
      <c r="P22" s="2843"/>
      <c r="Q22" s="2843"/>
      <c r="R22" s="2843"/>
      <c r="S22" s="2843"/>
      <c r="T22" s="2843"/>
      <c r="U22" s="2843"/>
      <c r="V22" s="2843"/>
      <c r="W22" s="2843"/>
      <c r="X22" s="2843"/>
      <c r="Y22" s="2843"/>
      <c r="Z22" s="2843"/>
      <c r="AA22" s="2843"/>
      <c r="AB22" s="2843"/>
      <c r="AC22" s="2843"/>
      <c r="AD22" s="2843"/>
      <c r="AE22" s="2843"/>
      <c r="AF22" s="2843"/>
      <c r="AG22" s="2843"/>
      <c r="AH22" s="2843"/>
      <c r="AI22" s="2843"/>
      <c r="AJ22" s="2843"/>
      <c r="AK22" s="2843"/>
      <c r="AL22" s="2843"/>
      <c r="AM22" s="2843"/>
      <c r="AN22" s="2843"/>
      <c r="AO22" s="2843"/>
      <c r="AP22" s="2843"/>
      <c r="AQ22" s="2843"/>
      <c r="AR22" s="2843"/>
      <c r="AS22" s="2843"/>
      <c r="AT22" s="2843"/>
      <c r="AU22" s="2843"/>
      <c r="AV22" s="2843"/>
      <c r="AW22" s="2843"/>
      <c r="AX22" s="2843"/>
      <c r="AY22" s="2842"/>
      <c r="AZ22" s="2841"/>
    </row>
    <row r="23" spans="2:52" ht="13.5" customHeight="1">
      <c r="B23" s="3498"/>
      <c r="C23" s="3498"/>
      <c r="D23" s="3502"/>
      <c r="E23" s="2860" t="s">
        <v>5514</v>
      </c>
      <c r="F23" s="2843"/>
      <c r="G23" s="2843"/>
      <c r="H23" s="2843"/>
      <c r="I23" s="2843"/>
      <c r="J23" s="2843"/>
      <c r="K23" s="2843"/>
      <c r="L23" s="2843"/>
      <c r="M23" s="2843"/>
      <c r="N23" s="2843"/>
      <c r="O23" s="2843"/>
      <c r="P23" s="2843"/>
      <c r="Q23" s="2843"/>
      <c r="R23" s="2843"/>
      <c r="S23" s="2843"/>
      <c r="T23" s="2843"/>
      <c r="U23" s="2843"/>
      <c r="V23" s="2843"/>
      <c r="W23" s="2843"/>
      <c r="X23" s="2843"/>
      <c r="Y23" s="2843"/>
      <c r="Z23" s="2843"/>
      <c r="AA23" s="2843"/>
      <c r="AB23" s="2843"/>
      <c r="AC23" s="2843"/>
      <c r="AD23" s="2843"/>
      <c r="AE23" s="2843"/>
      <c r="AF23" s="2843"/>
      <c r="AG23" s="2843"/>
      <c r="AH23" s="2843"/>
      <c r="AI23" s="2843"/>
      <c r="AJ23" s="2843"/>
      <c r="AK23" s="2843"/>
      <c r="AL23" s="2843"/>
      <c r="AM23" s="2843"/>
      <c r="AN23" s="2843"/>
      <c r="AO23" s="2843"/>
      <c r="AP23" s="2843"/>
      <c r="AQ23" s="2843"/>
      <c r="AR23" s="2843"/>
      <c r="AS23" s="2843"/>
      <c r="AT23" s="2843"/>
      <c r="AU23" s="2843"/>
      <c r="AV23" s="2843"/>
      <c r="AW23" s="2843"/>
      <c r="AX23" s="2843"/>
      <c r="AY23" s="2842"/>
      <c r="AZ23" s="2841"/>
    </row>
    <row r="24" spans="2:52" ht="13.5" customHeight="1">
      <c r="B24" s="3498"/>
      <c r="C24" s="3498"/>
      <c r="D24" s="3502"/>
      <c r="E24" s="2860"/>
      <c r="F24" s="2843"/>
      <c r="G24" s="2843"/>
      <c r="H24" s="2844" t="s">
        <v>5470</v>
      </c>
      <c r="I24" s="2843"/>
      <c r="J24" s="2843"/>
      <c r="K24" s="2843"/>
      <c r="L24" s="2843"/>
      <c r="M24" s="2843"/>
      <c r="N24" s="2843"/>
      <c r="O24" s="2843"/>
      <c r="P24" s="2843"/>
      <c r="Q24" s="2843"/>
      <c r="R24" s="3527">
        <f>'(申)3%'!R24:W24+'(申)5%'!R24:W24+'(申)8%'!R24:W24+'(申)軽8%'!R24:W24+'(申)10%'!R24:W24</f>
        <v>0</v>
      </c>
      <c r="S24" s="3527"/>
      <c r="T24" s="3527"/>
      <c r="U24" s="3527"/>
      <c r="V24" s="3527"/>
      <c r="W24" s="3527"/>
      <c r="X24" s="2843" t="s">
        <v>5660</v>
      </c>
      <c r="Y24" s="2851"/>
      <c r="Z24" s="2843"/>
      <c r="AA24" s="2843"/>
      <c r="AB24" s="2843"/>
      <c r="AC24" s="2843"/>
      <c r="AD24" s="2843"/>
      <c r="AE24" s="2843"/>
      <c r="AF24" s="2843"/>
      <c r="AG24" s="2843"/>
      <c r="AH24" s="2843"/>
      <c r="AI24" s="2843"/>
      <c r="AJ24" s="2843"/>
      <c r="AK24" s="2843"/>
      <c r="AL24" s="2843"/>
      <c r="AM24" s="2843"/>
      <c r="AN24" s="2843"/>
      <c r="AO24" s="2843"/>
      <c r="AP24" s="2843"/>
      <c r="AQ24" s="2843"/>
      <c r="AR24" s="2843"/>
      <c r="AS24" s="2843"/>
      <c r="AT24" s="2843"/>
      <c r="AU24" s="2843"/>
      <c r="AV24" s="2843"/>
      <c r="AW24" s="2843"/>
      <c r="AX24" s="2843"/>
      <c r="AY24" s="2842"/>
      <c r="AZ24" s="2841"/>
    </row>
    <row r="25" spans="2:52" ht="13.5" customHeight="1">
      <c r="B25" s="3498"/>
      <c r="C25" s="3498"/>
      <c r="D25" s="3502"/>
      <c r="E25" s="2845"/>
      <c r="F25" s="2844"/>
      <c r="G25" s="2843"/>
      <c r="H25" s="2844" t="s">
        <v>5511</v>
      </c>
      <c r="I25" s="2843"/>
      <c r="J25" s="2843"/>
      <c r="K25" s="2843"/>
      <c r="L25" s="2843"/>
      <c r="M25" s="2843"/>
      <c r="N25" s="2843"/>
      <c r="O25" s="2843"/>
      <c r="P25" s="2843"/>
      <c r="Q25" s="2843"/>
      <c r="R25" s="3527">
        <f>'(申)3%'!R25:W25+'(申)5%'!R25:W25+'(申)8%'!R25:W25+'(申)軽8%'!R25:W25+'(申)10%'!R25:W25</f>
        <v>10679082</v>
      </c>
      <c r="S25" s="3527"/>
      <c r="T25" s="3527"/>
      <c r="U25" s="3527"/>
      <c r="V25" s="3527"/>
      <c r="W25" s="3527"/>
      <c r="X25" s="2843" t="s">
        <v>5659</v>
      </c>
      <c r="Y25" s="2851"/>
      <c r="Z25" s="2843"/>
      <c r="AA25" s="2843"/>
      <c r="AB25" s="2843"/>
      <c r="AC25" s="2843"/>
      <c r="AD25" s="2843"/>
      <c r="AE25" s="2843"/>
      <c r="AF25" s="2843"/>
      <c r="AG25" s="2843"/>
      <c r="AH25" s="2843"/>
      <c r="AI25" s="2843"/>
      <c r="AJ25" s="2843"/>
      <c r="AK25" s="2843"/>
      <c r="AL25" s="2843"/>
      <c r="AM25" s="2843"/>
      <c r="AN25" s="2843"/>
      <c r="AO25" s="2843"/>
      <c r="AP25" s="2843"/>
      <c r="AQ25" s="2843"/>
      <c r="AR25" s="2843"/>
      <c r="AS25" s="2843"/>
      <c r="AT25" s="2843"/>
      <c r="AU25" s="2843"/>
      <c r="AV25" s="2843"/>
      <c r="AW25" s="2843"/>
      <c r="AX25" s="2843"/>
      <c r="AY25" s="2842"/>
      <c r="AZ25" s="2841"/>
    </row>
    <row r="26" spans="2:52" ht="13.5" customHeight="1" thickBot="1">
      <c r="B26" s="3498"/>
      <c r="C26" s="3498"/>
      <c r="D26" s="3502"/>
      <c r="E26" s="2845"/>
      <c r="F26" s="2844"/>
      <c r="G26" s="2843"/>
      <c r="H26" s="2843"/>
      <c r="I26" s="2843"/>
      <c r="J26" s="2843"/>
      <c r="K26" s="2843"/>
      <c r="L26" s="2843"/>
      <c r="M26" s="2843"/>
      <c r="N26" s="2843"/>
      <c r="O26" s="2843"/>
      <c r="P26" s="2843"/>
      <c r="Q26" s="2843"/>
      <c r="R26" s="2843"/>
      <c r="S26" s="2843"/>
      <c r="T26" s="2843"/>
      <c r="U26" s="2843"/>
      <c r="V26" s="2843"/>
      <c r="W26" s="2843"/>
      <c r="X26" s="2843"/>
      <c r="Y26" s="2843"/>
      <c r="Z26" s="2843"/>
      <c r="AA26" s="2843"/>
      <c r="AB26" s="2843"/>
      <c r="AC26" s="2843"/>
      <c r="AD26" s="2843"/>
      <c r="AE26" s="2843"/>
      <c r="AF26" s="2843"/>
      <c r="AG26" s="2843"/>
      <c r="AH26" s="2843"/>
      <c r="AI26" s="2843"/>
      <c r="AJ26" s="2843"/>
      <c r="AK26" s="2843"/>
      <c r="AL26" s="2843"/>
      <c r="AM26" s="2843"/>
      <c r="AN26" s="2843"/>
      <c r="AO26" s="2843"/>
      <c r="AP26" s="2843"/>
      <c r="AQ26" s="2843"/>
      <c r="AR26" s="2843"/>
      <c r="AS26" s="2843"/>
      <c r="AT26" s="2843"/>
      <c r="AU26" s="2843"/>
      <c r="AV26" s="2843"/>
      <c r="AW26" s="2843"/>
      <c r="AX26" s="2843"/>
      <c r="AY26" s="2842"/>
      <c r="AZ26" s="2841"/>
    </row>
    <row r="27" spans="2:52" ht="13.5" customHeight="1" thickTop="1" thickBot="1">
      <c r="B27" s="3498"/>
      <c r="C27" s="3498"/>
      <c r="D27" s="3502"/>
      <c r="E27" s="2845" t="s">
        <v>5445</v>
      </c>
      <c r="F27" s="2844"/>
      <c r="G27" s="2843"/>
      <c r="H27" s="2843"/>
      <c r="I27" s="2843"/>
      <c r="J27" s="2843"/>
      <c r="K27" s="2843"/>
      <c r="L27" s="2843"/>
      <c r="M27" s="2843"/>
      <c r="N27" s="2843"/>
      <c r="O27" s="2843"/>
      <c r="P27" s="2843"/>
      <c r="Q27" s="2843"/>
      <c r="R27" s="3499">
        <f>'(申)3%'!R27:W27+'(申)5%'!R27:W27+'(申)8%'!R27:W27+'(申)軽8%'!R27:W27+'(申)10%'!R27:W27</f>
        <v>18871880047</v>
      </c>
      <c r="S27" s="3500"/>
      <c r="T27" s="3500"/>
      <c r="U27" s="3500"/>
      <c r="V27" s="3500"/>
      <c r="W27" s="3501"/>
      <c r="X27" s="2843" t="s">
        <v>5658</v>
      </c>
      <c r="Y27" s="2851"/>
      <c r="Z27" s="2843"/>
      <c r="AA27" s="2843"/>
      <c r="AB27" s="2843"/>
      <c r="AC27" s="2843"/>
      <c r="AD27" s="2843"/>
      <c r="AE27" s="2843"/>
      <c r="AF27" s="2843"/>
      <c r="AG27" s="2843"/>
      <c r="AH27" s="2843"/>
      <c r="AI27" s="2843"/>
      <c r="AJ27" s="2843"/>
      <c r="AK27" s="2843"/>
      <c r="AL27" s="2843"/>
      <c r="AM27" s="2843"/>
      <c r="AN27" s="2843"/>
      <c r="AO27" s="2843"/>
      <c r="AP27" s="2843"/>
      <c r="AQ27" s="2843"/>
      <c r="AR27" s="2843"/>
      <c r="AS27" s="2843"/>
      <c r="AT27" s="2843"/>
      <c r="AU27" s="2843"/>
      <c r="AV27" s="2843"/>
      <c r="AW27" s="2843"/>
      <c r="AX27" s="2843"/>
      <c r="AY27" s="2842"/>
      <c r="AZ27" s="2841" t="s">
        <v>5506</v>
      </c>
    </row>
    <row r="28" spans="2:52" ht="13.5" customHeight="1" thickTop="1" thickBot="1">
      <c r="B28" s="3498"/>
      <c r="C28" s="3498"/>
      <c r="D28" s="3502"/>
      <c r="E28" s="2845"/>
      <c r="F28" s="2844"/>
      <c r="G28" s="2843"/>
      <c r="H28" s="2843"/>
      <c r="I28" s="2843"/>
      <c r="J28" s="2843"/>
      <c r="K28" s="2843"/>
      <c r="L28" s="2843"/>
      <c r="M28" s="2843"/>
      <c r="N28" s="2843"/>
      <c r="O28" s="2843"/>
      <c r="P28" s="2843"/>
      <c r="Q28" s="2843"/>
      <c r="R28" s="2843"/>
      <c r="S28" s="2843"/>
      <c r="T28" s="2843"/>
      <c r="U28" s="2843"/>
      <c r="V28" s="2843"/>
      <c r="W28" s="2843"/>
      <c r="X28" s="2843"/>
      <c r="Y28" s="2843"/>
      <c r="Z28" s="2843"/>
      <c r="AA28" s="2843"/>
      <c r="AB28" s="2843"/>
      <c r="AC28" s="2843"/>
      <c r="AD28" s="2843"/>
      <c r="AE28" s="2843"/>
      <c r="AF28" s="2843"/>
      <c r="AG28" s="2843"/>
      <c r="AH28" s="2843"/>
      <c r="AI28" s="2843"/>
      <c r="AJ28" s="2843"/>
      <c r="AK28" s="2843"/>
      <c r="AL28" s="2843"/>
      <c r="AM28" s="2843"/>
      <c r="AN28" s="2843"/>
      <c r="AO28" s="2843"/>
      <c r="AP28" s="2843"/>
      <c r="AQ28" s="2843"/>
      <c r="AR28" s="2843"/>
      <c r="AS28" s="2843"/>
      <c r="AT28" s="2843"/>
      <c r="AU28" s="2843"/>
      <c r="AV28" s="2843"/>
      <c r="AW28" s="2843"/>
      <c r="AX28" s="2843"/>
      <c r="AY28" s="2842"/>
      <c r="AZ28" s="2841"/>
    </row>
    <row r="29" spans="2:52" ht="13.5" customHeight="1" thickTop="1" thickBot="1">
      <c r="B29" s="3498"/>
      <c r="C29" s="3498"/>
      <c r="D29" s="3502"/>
      <c r="E29" s="2845" t="s">
        <v>5505</v>
      </c>
      <c r="F29" s="2844"/>
      <c r="G29" s="2843"/>
      <c r="H29" s="2843"/>
      <c r="I29" s="2843"/>
      <c r="J29" s="2843"/>
      <c r="K29" s="2843"/>
      <c r="L29" s="2843"/>
      <c r="M29" s="2843"/>
      <c r="N29" s="2843"/>
      <c r="O29" s="2843"/>
      <c r="P29" s="2843"/>
      <c r="Q29" s="2843"/>
      <c r="R29" s="3499">
        <f>'(申)3%'!R29:W29+'(申)5%'!R29:W29+'(申)8%'!R29:W29+'(申)軽8%'!R29:W29+'(申)10%'!R29:W29</f>
        <v>18881588000</v>
      </c>
      <c r="S29" s="3500"/>
      <c r="T29" s="3500"/>
      <c r="U29" s="3500"/>
      <c r="V29" s="3500"/>
      <c r="W29" s="3501"/>
      <c r="X29" s="2843" t="s">
        <v>5657</v>
      </c>
      <c r="Y29" s="2851"/>
      <c r="Z29" s="2843"/>
      <c r="AA29" s="2843"/>
      <c r="AB29" s="2843"/>
      <c r="AC29" s="2843"/>
      <c r="AD29" s="2843"/>
      <c r="AE29" s="2843"/>
      <c r="AF29" s="2843"/>
      <c r="AG29" s="2843"/>
      <c r="AH29" s="2843"/>
      <c r="AI29" s="2843"/>
      <c r="AJ29" s="2843"/>
      <c r="AK29" s="2843"/>
      <c r="AL29" s="2843"/>
      <c r="AM29" s="2843"/>
      <c r="AN29" s="2843"/>
      <c r="AO29" s="2843"/>
      <c r="AP29" s="2843"/>
      <c r="AQ29" s="2843"/>
      <c r="AR29" s="2843"/>
      <c r="AS29" s="2843"/>
      <c r="AT29" s="2843"/>
      <c r="AU29" s="2843"/>
      <c r="AV29" s="2843"/>
      <c r="AW29" s="2843"/>
      <c r="AX29" s="2843"/>
      <c r="AY29" s="2842"/>
      <c r="AZ29" s="3319" t="s">
        <v>5502</v>
      </c>
    </row>
    <row r="30" spans="2:52" ht="13.5" customHeight="1" thickTop="1" thickBot="1">
      <c r="B30" s="3498"/>
      <c r="C30" s="3498"/>
      <c r="D30" s="3502"/>
      <c r="E30" s="2845"/>
      <c r="F30" s="2844"/>
      <c r="G30" s="2843"/>
      <c r="H30" s="2843"/>
      <c r="I30" s="2843"/>
      <c r="J30" s="2843"/>
      <c r="K30" s="2843"/>
      <c r="L30" s="2843"/>
      <c r="M30" s="2843"/>
      <c r="N30" s="2843"/>
      <c r="O30" s="2843"/>
      <c r="P30" s="2843"/>
      <c r="Q30" s="2843"/>
      <c r="R30" s="2843"/>
      <c r="S30" s="2843"/>
      <c r="T30" s="2843"/>
      <c r="U30" s="2843"/>
      <c r="V30" s="2843"/>
      <c r="W30" s="2843"/>
      <c r="X30" s="2843"/>
      <c r="Y30" s="2843"/>
      <c r="Z30" s="2843"/>
      <c r="AA30" s="2843"/>
      <c r="AB30" s="2843"/>
      <c r="AC30" s="2843"/>
      <c r="AD30" s="2843"/>
      <c r="AE30" s="2843"/>
      <c r="AF30" s="2843"/>
      <c r="AG30" s="2843"/>
      <c r="AH30" s="2843"/>
      <c r="AI30" s="2843"/>
      <c r="AJ30" s="2843"/>
      <c r="AK30" s="2843"/>
      <c r="AL30" s="2843"/>
      <c r="AM30" s="2843"/>
      <c r="AN30" s="2843"/>
      <c r="AO30" s="2843"/>
      <c r="AP30" s="2843"/>
      <c r="AQ30" s="2843"/>
      <c r="AR30" s="2843"/>
      <c r="AS30" s="2843"/>
      <c r="AT30" s="2843"/>
      <c r="AU30" s="2843"/>
      <c r="AV30" s="2843"/>
      <c r="AW30" s="2843"/>
      <c r="AX30" s="2843"/>
      <c r="AY30" s="2842"/>
      <c r="AZ30" s="3319" t="s">
        <v>5656</v>
      </c>
    </row>
    <row r="31" spans="2:52" ht="13.5" customHeight="1" thickTop="1" thickBot="1">
      <c r="B31" s="3498"/>
      <c r="C31" s="3498"/>
      <c r="D31" s="3502"/>
      <c r="E31" s="2845" t="s">
        <v>5501</v>
      </c>
      <c r="F31" s="2844"/>
      <c r="G31" s="2843"/>
      <c r="H31" s="2843"/>
      <c r="I31" s="2843"/>
      <c r="J31" s="2843"/>
      <c r="K31" s="2843"/>
      <c r="L31" s="2843"/>
      <c r="M31" s="2843"/>
      <c r="N31" s="2843"/>
      <c r="O31" s="2843"/>
      <c r="P31" s="2843"/>
      <c r="Q31" s="2843"/>
      <c r="R31" s="3499">
        <f>'(申)3%'!R31:W31+'(申)5%'!R31:W31+'(申)8%'!R31:W31+'(申)軽8%'!R31:W31+'(申)10%'!R31:W31</f>
        <v>1472763219</v>
      </c>
      <c r="S31" s="3500"/>
      <c r="T31" s="3500"/>
      <c r="U31" s="3500"/>
      <c r="V31" s="3500"/>
      <c r="W31" s="3501"/>
      <c r="X31" s="2843" t="s">
        <v>5655</v>
      </c>
      <c r="Y31" s="2851"/>
      <c r="Z31" s="2843"/>
      <c r="AA31" s="2843"/>
      <c r="AB31" s="2843"/>
      <c r="AC31" s="2843"/>
      <c r="AD31" s="2843"/>
      <c r="AE31" s="2843"/>
      <c r="AF31" s="2843"/>
      <c r="AG31" s="2843"/>
      <c r="AH31" s="2843"/>
      <c r="AI31" s="2843"/>
      <c r="AJ31" s="2843"/>
      <c r="AK31" s="2843"/>
      <c r="AL31" s="2843"/>
      <c r="AM31" s="2843"/>
      <c r="AN31" s="2843"/>
      <c r="AO31" s="2843"/>
      <c r="AP31" s="2843"/>
      <c r="AQ31" s="2843"/>
      <c r="AR31" s="2843"/>
      <c r="AS31" s="2843"/>
      <c r="AT31" s="2843"/>
      <c r="AU31" s="2843"/>
      <c r="AV31" s="2843"/>
      <c r="AW31" s="2843"/>
      <c r="AX31" s="2843"/>
      <c r="AY31" s="2842"/>
      <c r="AZ31" s="3319" t="s">
        <v>6223</v>
      </c>
    </row>
    <row r="32" spans="2:52" ht="13.5" customHeight="1" thickTop="1">
      <c r="B32" s="3503"/>
      <c r="C32" s="3503"/>
      <c r="D32" s="3513"/>
      <c r="E32" s="2840"/>
      <c r="F32" s="2839"/>
      <c r="G32" s="2838"/>
      <c r="H32" s="2838"/>
      <c r="I32" s="2838"/>
      <c r="J32" s="2838"/>
      <c r="K32" s="2838"/>
      <c r="L32" s="2838"/>
      <c r="M32" s="2838"/>
      <c r="N32" s="2838"/>
      <c r="O32" s="2838"/>
      <c r="P32" s="2838"/>
      <c r="Q32" s="2838"/>
      <c r="R32" s="2838"/>
      <c r="S32" s="2838"/>
      <c r="T32" s="2838"/>
      <c r="U32" s="2838"/>
      <c r="V32" s="2838"/>
      <c r="W32" s="2838"/>
      <c r="X32" s="2838"/>
      <c r="Y32" s="2838"/>
      <c r="Z32" s="2838"/>
      <c r="AA32" s="2838"/>
      <c r="AB32" s="2838"/>
      <c r="AC32" s="2838"/>
      <c r="AD32" s="2838"/>
      <c r="AE32" s="2838"/>
      <c r="AF32" s="2838"/>
      <c r="AG32" s="2838"/>
      <c r="AH32" s="2838"/>
      <c r="AI32" s="2838"/>
      <c r="AJ32" s="2838"/>
      <c r="AK32" s="2838"/>
      <c r="AL32" s="2838"/>
      <c r="AM32" s="2838"/>
      <c r="AN32" s="2838"/>
      <c r="AO32" s="2838"/>
      <c r="AP32" s="2838"/>
      <c r="AQ32" s="2838"/>
      <c r="AR32" s="2838"/>
      <c r="AS32" s="2838"/>
      <c r="AT32" s="2838"/>
      <c r="AU32" s="2838"/>
      <c r="AV32" s="2838"/>
      <c r="AW32" s="2838"/>
      <c r="AX32" s="2838"/>
      <c r="AY32" s="2837"/>
      <c r="AZ32" s="3318" t="s">
        <v>6224</v>
      </c>
    </row>
    <row r="33" spans="2:52" ht="13.5" customHeight="1">
      <c r="B33" s="3514" t="s">
        <v>5427</v>
      </c>
      <c r="C33" s="3514">
        <v>1</v>
      </c>
      <c r="D33" s="3514" t="s">
        <v>5497</v>
      </c>
      <c r="E33" s="2850"/>
      <c r="F33" s="2849"/>
      <c r="G33" s="2848"/>
      <c r="H33" s="2848"/>
      <c r="I33" s="2848"/>
      <c r="J33" s="2848"/>
      <c r="K33" s="2848"/>
      <c r="L33" s="2848"/>
      <c r="M33" s="2848"/>
      <c r="N33" s="2848"/>
      <c r="O33" s="2848"/>
      <c r="P33" s="2848"/>
      <c r="Q33" s="2848"/>
      <c r="R33" s="2848"/>
      <c r="S33" s="2848"/>
      <c r="T33" s="2848"/>
      <c r="U33" s="2848"/>
      <c r="V33" s="2848"/>
      <c r="W33" s="2848"/>
      <c r="X33" s="2848"/>
      <c r="Y33" s="2848"/>
      <c r="Z33" s="2848"/>
      <c r="AA33" s="2848"/>
      <c r="AB33" s="2848"/>
      <c r="AC33" s="2848"/>
      <c r="AD33" s="2848"/>
      <c r="AE33" s="2848"/>
      <c r="AF33" s="2848"/>
      <c r="AG33" s="2848"/>
      <c r="AH33" s="2848"/>
      <c r="AI33" s="2848"/>
      <c r="AJ33" s="2848"/>
      <c r="AK33" s="2848"/>
      <c r="AL33" s="2848"/>
      <c r="AM33" s="2848"/>
      <c r="AN33" s="2848"/>
      <c r="AO33" s="2848"/>
      <c r="AP33" s="2848"/>
      <c r="AQ33" s="2848"/>
      <c r="AR33" s="2848"/>
      <c r="AS33" s="2848"/>
      <c r="AT33" s="2848"/>
      <c r="AU33" s="2848"/>
      <c r="AV33" s="2848"/>
      <c r="AW33" s="2848"/>
      <c r="AX33" s="2848"/>
      <c r="AY33" s="2847"/>
      <c r="AZ33" s="2846"/>
    </row>
    <row r="34" spans="2:52" ht="13.5" customHeight="1" thickBot="1">
      <c r="B34" s="3498"/>
      <c r="C34" s="3498"/>
      <c r="D34" s="3498"/>
      <c r="E34" s="2845" t="s">
        <v>5496</v>
      </c>
      <c r="F34" s="2844"/>
      <c r="G34" s="2843"/>
      <c r="H34" s="2843"/>
      <c r="I34" s="2843"/>
      <c r="J34" s="2843"/>
      <c r="K34" s="2843"/>
      <c r="L34" s="2843"/>
      <c r="M34" s="2843"/>
      <c r="N34" s="2843"/>
      <c r="O34" s="2843"/>
      <c r="P34" s="2843"/>
      <c r="Q34" s="2843"/>
      <c r="R34" s="3543">
        <f>R27</f>
        <v>18871880047</v>
      </c>
      <c r="S34" s="3543"/>
      <c r="T34" s="3543"/>
      <c r="U34" s="3543"/>
      <c r="V34" s="3543"/>
      <c r="W34" s="3543"/>
      <c r="X34" s="2843"/>
      <c r="Y34" s="2851" t="s">
        <v>5653</v>
      </c>
      <c r="Z34" s="2843"/>
      <c r="AA34" s="2843"/>
      <c r="AB34" s="2843"/>
      <c r="AC34" s="2843"/>
      <c r="AD34" s="2843"/>
      <c r="AE34" s="2843"/>
      <c r="AF34" s="2843"/>
      <c r="AG34" s="2843"/>
      <c r="AH34" s="2843"/>
      <c r="AI34" s="2843"/>
      <c r="AJ34" s="2843"/>
      <c r="AK34" s="2843"/>
      <c r="AL34" s="2843"/>
      <c r="AM34" s="2843"/>
      <c r="AN34" s="2843"/>
      <c r="AO34" s="2843"/>
      <c r="AP34" s="2843"/>
      <c r="AQ34" s="2843"/>
      <c r="AR34" s="2843"/>
      <c r="AS34" s="2843"/>
      <c r="AT34" s="2843"/>
      <c r="AU34" s="2843"/>
      <c r="AV34" s="2843"/>
      <c r="AW34" s="2843"/>
      <c r="AX34" s="2843"/>
      <c r="AY34" s="2842"/>
      <c r="AZ34" s="2841"/>
    </row>
    <row r="35" spans="2:52" ht="13.5" customHeight="1" thickTop="1" thickBot="1">
      <c r="B35" s="3498"/>
      <c r="C35" s="3498"/>
      <c r="D35" s="3498"/>
      <c r="E35" s="2845" t="s">
        <v>5652</v>
      </c>
      <c r="F35" s="2844"/>
      <c r="G35" s="2843"/>
      <c r="H35" s="2843"/>
      <c r="I35" s="2843"/>
      <c r="J35" s="2843"/>
      <c r="K35" s="2843"/>
      <c r="L35" s="2843"/>
      <c r="M35" s="2843"/>
      <c r="N35" s="2843"/>
      <c r="O35" s="2843"/>
      <c r="P35" s="2843"/>
      <c r="Q35" s="2843"/>
      <c r="R35" s="3544">
        <f>基礎数値!I8</f>
        <v>86860</v>
      </c>
      <c r="S35" s="3545"/>
      <c r="T35" s="3545"/>
      <c r="U35" s="3545"/>
      <c r="V35" s="3545"/>
      <c r="W35" s="3546"/>
      <c r="X35" s="2843" t="s">
        <v>5651</v>
      </c>
      <c r="Y35" s="2851" t="s">
        <v>5650</v>
      </c>
      <c r="Z35" s="2843"/>
      <c r="AA35" s="2843"/>
      <c r="AB35" s="2843"/>
      <c r="AC35" s="2843"/>
      <c r="AD35" s="2843"/>
      <c r="AE35" s="2843"/>
      <c r="AF35" s="2843"/>
      <c r="AG35" s="2843"/>
      <c r="AH35" s="2843"/>
      <c r="AI35" s="2843"/>
      <c r="AJ35" s="2843"/>
      <c r="AK35" s="2843"/>
      <c r="AL35" s="2843"/>
      <c r="AM35" s="2843"/>
      <c r="AN35" s="2843"/>
      <c r="AO35" s="2843"/>
      <c r="AP35" s="2843"/>
      <c r="AQ35" s="2843"/>
      <c r="AR35" s="2843"/>
      <c r="AS35" s="2843"/>
      <c r="AT35" s="2843"/>
      <c r="AU35" s="2843"/>
      <c r="AV35" s="2843"/>
      <c r="AW35" s="2843"/>
      <c r="AX35" s="2843"/>
      <c r="AY35" s="2842"/>
      <c r="AZ35" s="2841" t="s">
        <v>5649</v>
      </c>
    </row>
    <row r="36" spans="2:52" ht="13.5" customHeight="1" thickTop="1" thickBot="1">
      <c r="B36" s="3498"/>
      <c r="C36" s="3498"/>
      <c r="D36" s="3498"/>
      <c r="E36" s="2845" t="s">
        <v>5494</v>
      </c>
      <c r="F36" s="2844"/>
      <c r="G36" s="2843"/>
      <c r="H36" s="2843"/>
      <c r="I36" s="2843"/>
      <c r="J36" s="2843"/>
      <c r="K36" s="2843"/>
      <c r="L36" s="2843"/>
      <c r="M36" s="2843"/>
      <c r="N36" s="2843"/>
      <c r="O36" s="2843"/>
      <c r="P36" s="2843"/>
      <c r="Q36" s="2843"/>
      <c r="R36" s="3499">
        <f>R34+R35</f>
        <v>18871966907</v>
      </c>
      <c r="S36" s="3500"/>
      <c r="T36" s="3500"/>
      <c r="U36" s="3500"/>
      <c r="V36" s="3500"/>
      <c r="W36" s="3501"/>
      <c r="X36" s="2843" t="s">
        <v>5648</v>
      </c>
      <c r="Y36" s="2851" t="s">
        <v>5647</v>
      </c>
      <c r="Z36" s="2843"/>
      <c r="AA36" s="2843"/>
      <c r="AB36" s="2843"/>
      <c r="AC36" s="2843" t="s">
        <v>5646</v>
      </c>
      <c r="AD36" s="2843"/>
      <c r="AE36" s="2843"/>
      <c r="AF36" s="2843"/>
      <c r="AG36" s="2843"/>
      <c r="AH36" s="2843"/>
      <c r="AI36" s="2843"/>
      <c r="AJ36" s="2843"/>
      <c r="AK36" s="2843"/>
      <c r="AL36" s="2843"/>
      <c r="AM36" s="2843"/>
      <c r="AN36" s="2843"/>
      <c r="AO36" s="2843"/>
      <c r="AP36" s="2843"/>
      <c r="AQ36" s="2843"/>
      <c r="AR36" s="2843"/>
      <c r="AS36" s="2843"/>
      <c r="AT36" s="2843"/>
      <c r="AU36" s="2843"/>
      <c r="AV36" s="2843"/>
      <c r="AW36" s="2843"/>
      <c r="AX36" s="2843"/>
      <c r="AY36" s="2842"/>
      <c r="AZ36" s="3502" t="s">
        <v>5645</v>
      </c>
    </row>
    <row r="37" spans="2:52" ht="13.5" customHeight="1" thickTop="1">
      <c r="B37" s="3498"/>
      <c r="C37" s="3498"/>
      <c r="D37" s="3498"/>
      <c r="E37" s="2845"/>
      <c r="F37" s="2844"/>
      <c r="G37" s="2843"/>
      <c r="H37" s="2843"/>
      <c r="I37" s="2843"/>
      <c r="J37" s="2843"/>
      <c r="K37" s="2843"/>
      <c r="L37" s="2843"/>
      <c r="M37" s="2843"/>
      <c r="N37" s="2843"/>
      <c r="O37" s="2843"/>
      <c r="P37" s="2843"/>
      <c r="Q37" s="2843"/>
      <c r="R37" s="2843"/>
      <c r="S37" s="2843"/>
      <c r="T37" s="2843"/>
      <c r="U37" s="2843"/>
      <c r="V37" s="2843"/>
      <c r="W37" s="2843"/>
      <c r="X37" s="2843"/>
      <c r="Y37" s="2843"/>
      <c r="Z37" s="2843"/>
      <c r="AA37" s="2843"/>
      <c r="AB37" s="2843"/>
      <c r="AC37" s="2843"/>
      <c r="AD37" s="2843"/>
      <c r="AE37" s="2843"/>
      <c r="AF37" s="2843"/>
      <c r="AG37" s="2843"/>
      <c r="AH37" s="2843"/>
      <c r="AI37" s="2843"/>
      <c r="AJ37" s="2843"/>
      <c r="AK37" s="2843"/>
      <c r="AL37" s="2843"/>
      <c r="AM37" s="2843"/>
      <c r="AN37" s="2843"/>
      <c r="AO37" s="2843"/>
      <c r="AP37" s="2843"/>
      <c r="AQ37" s="2843"/>
      <c r="AR37" s="2843"/>
      <c r="AS37" s="2843"/>
      <c r="AT37" s="2843"/>
      <c r="AU37" s="2843"/>
      <c r="AV37" s="2843"/>
      <c r="AW37" s="2843"/>
      <c r="AX37" s="2843"/>
      <c r="AY37" s="2842"/>
      <c r="AZ37" s="3502"/>
    </row>
    <row r="38" spans="2:52" ht="13.5" customHeight="1" thickBot="1">
      <c r="B38" s="3498"/>
      <c r="C38" s="3498"/>
      <c r="D38" s="3498"/>
      <c r="E38" s="2860" t="s">
        <v>5493</v>
      </c>
      <c r="F38" s="2844"/>
      <c r="G38" s="2843"/>
      <c r="H38" s="2843"/>
      <c r="I38" s="2843"/>
      <c r="J38" s="2843"/>
      <c r="K38" s="2843"/>
      <c r="L38" s="2843"/>
      <c r="M38" s="2843"/>
      <c r="N38" s="2843"/>
      <c r="O38" s="2843"/>
      <c r="P38" s="2843"/>
      <c r="Q38" s="2843"/>
      <c r="R38" s="3519">
        <f>基礎数値!I9</f>
        <v>22644840</v>
      </c>
      <c r="S38" s="3519"/>
      <c r="T38" s="3519"/>
      <c r="U38" s="3519"/>
      <c r="V38" s="3519"/>
      <c r="W38" s="3519"/>
      <c r="X38" s="2843"/>
      <c r="Y38" s="2851" t="s">
        <v>5476</v>
      </c>
      <c r="Z38" s="2843"/>
      <c r="AA38" s="2843"/>
      <c r="AB38" s="2843"/>
      <c r="AC38" s="2843"/>
      <c r="AD38" s="2843"/>
      <c r="AE38" s="2843"/>
      <c r="AF38" s="2843"/>
      <c r="AG38" s="2843"/>
      <c r="AH38" s="2843"/>
      <c r="AI38" s="2843"/>
      <c r="AJ38" s="2843"/>
      <c r="AK38" s="2843"/>
      <c r="AL38" s="2843"/>
      <c r="AM38" s="2843"/>
      <c r="AN38" s="2843"/>
      <c r="AO38" s="2843"/>
      <c r="AP38" s="2843"/>
      <c r="AQ38" s="2843"/>
      <c r="AR38" s="2843"/>
      <c r="AS38" s="2843"/>
      <c r="AT38" s="2843"/>
      <c r="AU38" s="2843"/>
      <c r="AV38" s="2843"/>
      <c r="AW38" s="2843"/>
      <c r="AX38" s="2843"/>
      <c r="AY38" s="2842"/>
      <c r="AZ38" s="2841"/>
    </row>
    <row r="39" spans="2:52" ht="13.5" customHeight="1" thickTop="1" thickBot="1">
      <c r="B39" s="3498"/>
      <c r="C39" s="3498"/>
      <c r="D39" s="3498"/>
      <c r="E39" s="2860" t="s">
        <v>5492</v>
      </c>
      <c r="F39" s="2844"/>
      <c r="G39" s="2843"/>
      <c r="H39" s="2843"/>
      <c r="I39" s="2843"/>
      <c r="J39" s="2843"/>
      <c r="K39" s="2843"/>
      <c r="L39" s="2843"/>
      <c r="M39" s="2843"/>
      <c r="N39" s="2843"/>
      <c r="O39" s="2843"/>
      <c r="P39" s="2843"/>
      <c r="Q39" s="2843"/>
      <c r="R39" s="3519">
        <f>基礎数値!I10</f>
        <v>45948113</v>
      </c>
      <c r="S39" s="3519"/>
      <c r="T39" s="3519"/>
      <c r="U39" s="3519"/>
      <c r="V39" s="3519"/>
      <c r="W39" s="3519"/>
      <c r="X39" s="2843"/>
      <c r="Y39" s="2851" t="s">
        <v>5476</v>
      </c>
      <c r="Z39" s="2843"/>
      <c r="AA39" s="2843"/>
      <c r="AB39" s="2843"/>
      <c r="AC39" s="2843"/>
      <c r="AD39" s="2843"/>
      <c r="AE39" s="2843"/>
      <c r="AF39" s="2843"/>
      <c r="AG39" s="2843"/>
      <c r="AH39" s="2843"/>
      <c r="AI39" s="2843"/>
      <c r="AJ39" s="2843" t="s">
        <v>5447</v>
      </c>
      <c r="AK39" s="3499">
        <f>R38+R39</f>
        <v>68592953</v>
      </c>
      <c r="AL39" s="3500"/>
      <c r="AM39" s="3500"/>
      <c r="AN39" s="3500"/>
      <c r="AO39" s="3500"/>
      <c r="AP39" s="3501"/>
      <c r="AQ39" s="2843" t="s">
        <v>5644</v>
      </c>
      <c r="AR39" s="2843"/>
      <c r="AS39" s="2843"/>
      <c r="AT39" s="2843"/>
      <c r="AU39" s="2843"/>
      <c r="AV39" s="2843"/>
      <c r="AW39" s="2843"/>
      <c r="AX39" s="2843"/>
      <c r="AY39" s="2842"/>
      <c r="AZ39" s="3319" t="s">
        <v>5643</v>
      </c>
    </row>
    <row r="40" spans="2:52" ht="13.5" customHeight="1" thickTop="1" thickBot="1">
      <c r="B40" s="3498"/>
      <c r="C40" s="3498"/>
      <c r="D40" s="3498"/>
      <c r="E40" s="2845" t="s">
        <v>5491</v>
      </c>
      <c r="F40" s="2844"/>
      <c r="G40" s="2843"/>
      <c r="H40" s="2843"/>
      <c r="I40" s="2843"/>
      <c r="J40" s="2843"/>
      <c r="K40" s="2843"/>
      <c r="L40" s="2843"/>
      <c r="M40" s="2843"/>
      <c r="N40" s="2843"/>
      <c r="O40" s="2843"/>
      <c r="P40" s="2843"/>
      <c r="Q40" s="2843"/>
      <c r="R40" s="3499">
        <f>R36+AK39</f>
        <v>18940559860</v>
      </c>
      <c r="S40" s="3500"/>
      <c r="T40" s="3500"/>
      <c r="U40" s="3500"/>
      <c r="V40" s="3500"/>
      <c r="W40" s="3501"/>
      <c r="X40" s="2843" t="s">
        <v>5642</v>
      </c>
      <c r="Y40" s="2851" t="s">
        <v>5641</v>
      </c>
      <c r="Z40" s="2843"/>
      <c r="AA40" s="2843"/>
      <c r="AB40" s="2843"/>
      <c r="AC40" s="2843" t="s">
        <v>5640</v>
      </c>
      <c r="AD40" s="2843"/>
      <c r="AE40" s="2843"/>
      <c r="AF40" s="2843"/>
      <c r="AG40" s="2843"/>
      <c r="AH40" s="2843"/>
      <c r="AI40" s="2843"/>
      <c r="AJ40" s="2843"/>
      <c r="AK40" s="2843"/>
      <c r="AL40" s="2843"/>
      <c r="AM40" s="2843"/>
      <c r="AN40" s="2843"/>
      <c r="AO40" s="2843"/>
      <c r="AP40" s="2843"/>
      <c r="AQ40" s="2843"/>
      <c r="AR40" s="2843"/>
      <c r="AS40" s="2843"/>
      <c r="AT40" s="2843"/>
      <c r="AU40" s="2843"/>
      <c r="AV40" s="2843"/>
      <c r="AW40" s="2843"/>
      <c r="AX40" s="2843"/>
      <c r="AY40" s="2842"/>
      <c r="AZ40" s="3322" t="s">
        <v>6226</v>
      </c>
    </row>
    <row r="41" spans="2:52" ht="13.5" customHeight="1" thickTop="1" thickBot="1">
      <c r="B41" s="3498"/>
      <c r="C41" s="3498"/>
      <c r="D41" s="3498"/>
      <c r="E41" s="2845"/>
      <c r="F41" s="2844"/>
      <c r="G41" s="2843"/>
      <c r="H41" s="2843"/>
      <c r="I41" s="2843"/>
      <c r="J41" s="2843"/>
      <c r="K41" s="2843"/>
      <c r="L41" s="2843"/>
      <c r="M41" s="2843"/>
      <c r="N41" s="2843"/>
      <c r="O41" s="2843"/>
      <c r="P41" s="2843"/>
      <c r="Q41" s="2843"/>
      <c r="R41" s="2843"/>
      <c r="S41" s="2843"/>
      <c r="T41" s="2843"/>
      <c r="U41" s="2843"/>
      <c r="V41" s="2843"/>
      <c r="W41" s="2843"/>
      <c r="X41" s="2843"/>
      <c r="Y41" s="2843"/>
      <c r="Z41" s="2843"/>
      <c r="AA41" s="2843"/>
      <c r="AB41" s="2843"/>
      <c r="AC41" s="2843"/>
      <c r="AD41" s="2843"/>
      <c r="AE41" s="2843"/>
      <c r="AF41" s="2843"/>
      <c r="AG41" s="2843"/>
      <c r="AH41" s="2843"/>
      <c r="AI41" s="2843"/>
      <c r="AJ41" s="2843"/>
      <c r="AK41" s="2843"/>
      <c r="AL41" s="2843"/>
      <c r="AM41" s="2843"/>
      <c r="AN41" s="2843"/>
      <c r="AO41" s="2843"/>
      <c r="AP41" s="2843"/>
      <c r="AQ41" s="2843"/>
      <c r="AR41" s="2843"/>
      <c r="AS41" s="2843"/>
      <c r="AT41" s="2843"/>
      <c r="AU41" s="2843"/>
      <c r="AV41" s="2843"/>
      <c r="AW41" s="2843"/>
      <c r="AX41" s="2843"/>
      <c r="AY41" s="2842"/>
      <c r="AZ41" s="3041" t="s">
        <v>6225</v>
      </c>
    </row>
    <row r="42" spans="2:52" ht="13.5" customHeight="1" thickTop="1" thickBot="1">
      <c r="B42" s="3498"/>
      <c r="C42" s="3498"/>
      <c r="D42" s="3498"/>
      <c r="E42" s="2845" t="s">
        <v>5427</v>
      </c>
      <c r="F42" s="2844"/>
      <c r="G42" s="2843"/>
      <c r="H42" s="2843"/>
      <c r="I42" s="2843"/>
      <c r="J42" s="2843"/>
      <c r="K42" s="2843"/>
      <c r="L42" s="2843"/>
      <c r="M42" s="2843"/>
      <c r="N42" s="2843"/>
      <c r="O42" s="2843"/>
      <c r="P42" s="2843"/>
      <c r="Q42" s="2843"/>
      <c r="R42" s="3547">
        <f>ROUNDDOWN(R36/R40,4)</f>
        <v>0.99629999999999996</v>
      </c>
      <c r="S42" s="3548"/>
      <c r="T42" s="3548"/>
      <c r="U42" s="3548"/>
      <c r="V42" s="3548"/>
      <c r="W42" s="3549"/>
      <c r="X42" s="2843"/>
      <c r="Y42" s="2851" t="s">
        <v>5639</v>
      </c>
      <c r="Z42" s="2843"/>
      <c r="AA42" s="2843"/>
      <c r="AB42" s="2843"/>
      <c r="AC42" s="2843"/>
      <c r="AD42" s="2843"/>
      <c r="AE42" s="2843"/>
      <c r="AF42" s="2843"/>
      <c r="AG42" s="2843" t="s">
        <v>5638</v>
      </c>
      <c r="AH42" s="2843"/>
      <c r="AI42" s="2843"/>
      <c r="AJ42" s="2843"/>
      <c r="AK42" s="2843"/>
      <c r="AL42" s="2843"/>
      <c r="AM42" s="2843"/>
      <c r="AN42" s="2843"/>
      <c r="AO42" s="2843"/>
      <c r="AP42" s="2843"/>
      <c r="AQ42" s="2843"/>
      <c r="AR42" s="2843"/>
      <c r="AS42" s="2843"/>
      <c r="AT42" s="2843"/>
      <c r="AU42" s="2843"/>
      <c r="AV42" s="2843"/>
      <c r="AW42" s="2843"/>
      <c r="AX42" s="2843"/>
      <c r="AY42" s="2842"/>
      <c r="AZ42" s="3319" t="s">
        <v>5466</v>
      </c>
    </row>
    <row r="43" spans="2:52" ht="13.5" customHeight="1" thickTop="1">
      <c r="B43" s="3503"/>
      <c r="C43" s="3503"/>
      <c r="D43" s="3503"/>
      <c r="E43" s="2840"/>
      <c r="F43" s="2839"/>
      <c r="G43" s="2838"/>
      <c r="H43" s="2838"/>
      <c r="I43" s="2838"/>
      <c r="J43" s="2838"/>
      <c r="K43" s="2838"/>
      <c r="L43" s="2838"/>
      <c r="M43" s="2838"/>
      <c r="N43" s="2838"/>
      <c r="O43" s="2838"/>
      <c r="P43" s="2838"/>
      <c r="Q43" s="2838"/>
      <c r="R43" s="2838"/>
      <c r="S43" s="2838"/>
      <c r="T43" s="2838"/>
      <c r="U43" s="2838"/>
      <c r="V43" s="2838"/>
      <c r="W43" s="2838"/>
      <c r="X43" s="2838"/>
      <c r="Y43" s="2838"/>
      <c r="Z43" s="2838"/>
      <c r="AA43" s="2838"/>
      <c r="AB43" s="2838"/>
      <c r="AC43" s="2838"/>
      <c r="AD43" s="2838"/>
      <c r="AE43" s="2838"/>
      <c r="AF43" s="2838"/>
      <c r="AG43" s="2838"/>
      <c r="AH43" s="2838"/>
      <c r="AI43" s="2838"/>
      <c r="AJ43" s="2838"/>
      <c r="AK43" s="2838"/>
      <c r="AL43" s="2838"/>
      <c r="AM43" s="2838"/>
      <c r="AN43" s="2838"/>
      <c r="AO43" s="2838"/>
      <c r="AP43" s="2838"/>
      <c r="AQ43" s="2838"/>
      <c r="AR43" s="2838"/>
      <c r="AS43" s="2838"/>
      <c r="AT43" s="2838"/>
      <c r="AU43" s="2838"/>
      <c r="AV43" s="2838"/>
      <c r="AW43" s="2838"/>
      <c r="AX43" s="2838"/>
      <c r="AY43" s="2837"/>
      <c r="AZ43" s="3318"/>
    </row>
    <row r="44" spans="2:52" ht="13.5" customHeight="1">
      <c r="B44" s="3514" t="s">
        <v>5490</v>
      </c>
      <c r="C44" s="3514">
        <v>1</v>
      </c>
      <c r="D44" s="3512" t="s">
        <v>5489</v>
      </c>
      <c r="E44" s="3523" t="s">
        <v>5488</v>
      </c>
      <c r="F44" s="3524"/>
      <c r="G44" s="3524"/>
      <c r="H44" s="3524"/>
      <c r="I44" s="3524"/>
      <c r="J44" s="3524"/>
      <c r="K44" s="3524"/>
      <c r="L44" s="3524"/>
      <c r="M44" s="3524"/>
      <c r="N44" s="3524"/>
      <c r="O44" s="3524"/>
      <c r="P44" s="3524"/>
      <c r="Q44" s="3524"/>
      <c r="R44" s="3524"/>
      <c r="S44" s="3524"/>
      <c r="T44" s="3524"/>
      <c r="U44" s="3524"/>
      <c r="V44" s="3524"/>
      <c r="W44" s="3524"/>
      <c r="X44" s="3524"/>
      <c r="Y44" s="3524"/>
      <c r="Z44" s="3524"/>
      <c r="AA44" s="3524"/>
      <c r="AB44" s="3524"/>
      <c r="AC44" s="3524"/>
      <c r="AD44" s="3524"/>
      <c r="AE44" s="3524"/>
      <c r="AF44" s="3524"/>
      <c r="AG44" s="3524"/>
      <c r="AH44" s="3524"/>
      <c r="AI44" s="3524"/>
      <c r="AJ44" s="3524"/>
      <c r="AK44" s="3524"/>
      <c r="AL44" s="3524"/>
      <c r="AM44" s="3524"/>
      <c r="AN44" s="3524"/>
      <c r="AO44" s="3524"/>
      <c r="AP44" s="3524"/>
      <c r="AQ44" s="3524"/>
      <c r="AR44" s="3524"/>
      <c r="AS44" s="3524"/>
      <c r="AT44" s="3524"/>
      <c r="AU44" s="3524"/>
      <c r="AV44" s="3524"/>
      <c r="AW44" s="3524"/>
      <c r="AX44" s="3524"/>
      <c r="AY44" s="3516"/>
      <c r="AZ44" s="2846"/>
    </row>
    <row r="45" spans="2:52" ht="13.5" customHeight="1">
      <c r="B45" s="3498"/>
      <c r="C45" s="3498"/>
      <c r="D45" s="3502"/>
      <c r="E45" s="3521"/>
      <c r="F45" s="3510"/>
      <c r="G45" s="3510"/>
      <c r="H45" s="3510"/>
      <c r="I45" s="3510"/>
      <c r="J45" s="3510"/>
      <c r="K45" s="3510"/>
      <c r="L45" s="3510"/>
      <c r="M45" s="3510"/>
      <c r="N45" s="3510"/>
      <c r="O45" s="3510"/>
      <c r="P45" s="3510"/>
      <c r="Q45" s="3510"/>
      <c r="R45" s="3510"/>
      <c r="S45" s="3510"/>
      <c r="T45" s="3510"/>
      <c r="U45" s="3510"/>
      <c r="V45" s="3510"/>
      <c r="W45" s="3510"/>
      <c r="X45" s="3510"/>
      <c r="Y45" s="3510"/>
      <c r="Z45" s="3510"/>
      <c r="AA45" s="3510"/>
      <c r="AB45" s="3510"/>
      <c r="AC45" s="3510"/>
      <c r="AD45" s="3510"/>
      <c r="AE45" s="3510"/>
      <c r="AF45" s="3510"/>
      <c r="AG45" s="3510"/>
      <c r="AH45" s="3510"/>
      <c r="AI45" s="3510"/>
      <c r="AJ45" s="3510"/>
      <c r="AK45" s="3510"/>
      <c r="AL45" s="3510"/>
      <c r="AM45" s="3510"/>
      <c r="AN45" s="3510"/>
      <c r="AO45" s="3510"/>
      <c r="AP45" s="3510"/>
      <c r="AQ45" s="3510"/>
      <c r="AR45" s="3510"/>
      <c r="AS45" s="3510"/>
      <c r="AT45" s="3510"/>
      <c r="AU45" s="3510"/>
      <c r="AV45" s="3510"/>
      <c r="AW45" s="3510"/>
      <c r="AX45" s="3510"/>
      <c r="AY45" s="3517"/>
      <c r="AZ45" s="2841"/>
    </row>
    <row r="46" spans="2:52" ht="13.5" customHeight="1">
      <c r="B46" s="3498"/>
      <c r="C46" s="3503"/>
      <c r="D46" s="3513"/>
      <c r="E46" s="3525"/>
      <c r="F46" s="3526"/>
      <c r="G46" s="3526"/>
      <c r="H46" s="3526"/>
      <c r="I46" s="3526"/>
      <c r="J46" s="3526"/>
      <c r="K46" s="3526"/>
      <c r="L46" s="3526"/>
      <c r="M46" s="3526"/>
      <c r="N46" s="3526"/>
      <c r="O46" s="3526"/>
      <c r="P46" s="3526"/>
      <c r="Q46" s="3526"/>
      <c r="R46" s="3526"/>
      <c r="S46" s="3526"/>
      <c r="T46" s="3526"/>
      <c r="U46" s="3526"/>
      <c r="V46" s="3526"/>
      <c r="W46" s="3526"/>
      <c r="X46" s="3526"/>
      <c r="Y46" s="3526"/>
      <c r="Z46" s="3526"/>
      <c r="AA46" s="3526"/>
      <c r="AB46" s="3526"/>
      <c r="AC46" s="3526"/>
      <c r="AD46" s="3526"/>
      <c r="AE46" s="3526"/>
      <c r="AF46" s="3526"/>
      <c r="AG46" s="3526"/>
      <c r="AH46" s="3526"/>
      <c r="AI46" s="3526"/>
      <c r="AJ46" s="3526"/>
      <c r="AK46" s="3526"/>
      <c r="AL46" s="3526"/>
      <c r="AM46" s="3526"/>
      <c r="AN46" s="3526"/>
      <c r="AO46" s="3526"/>
      <c r="AP46" s="3526"/>
      <c r="AQ46" s="3526"/>
      <c r="AR46" s="3526"/>
      <c r="AS46" s="3526"/>
      <c r="AT46" s="3526"/>
      <c r="AU46" s="3526"/>
      <c r="AV46" s="3526"/>
      <c r="AW46" s="3526"/>
      <c r="AX46" s="3526"/>
      <c r="AY46" s="3518"/>
      <c r="AZ46" s="2836"/>
    </row>
    <row r="47" spans="2:52" ht="13.5" customHeight="1">
      <c r="B47" s="3498"/>
      <c r="C47" s="3514">
        <v>2</v>
      </c>
      <c r="D47" s="3512" t="s">
        <v>5487</v>
      </c>
      <c r="E47" s="3523" t="s">
        <v>5486</v>
      </c>
      <c r="F47" s="3524"/>
      <c r="G47" s="3524"/>
      <c r="H47" s="3524"/>
      <c r="I47" s="3524"/>
      <c r="J47" s="3524"/>
      <c r="K47" s="3524"/>
      <c r="L47" s="3524"/>
      <c r="M47" s="3524"/>
      <c r="N47" s="3524"/>
      <c r="O47" s="3524"/>
      <c r="P47" s="3524"/>
      <c r="Q47" s="3524"/>
      <c r="R47" s="3524"/>
      <c r="S47" s="3524"/>
      <c r="T47" s="3524"/>
      <c r="U47" s="3524"/>
      <c r="V47" s="3524"/>
      <c r="W47" s="3524"/>
      <c r="X47" s="3524"/>
      <c r="Y47" s="3524"/>
      <c r="Z47" s="3524"/>
      <c r="AA47" s="3524"/>
      <c r="AB47" s="3524"/>
      <c r="AC47" s="3524"/>
      <c r="AD47" s="3524"/>
      <c r="AE47" s="3524"/>
      <c r="AF47" s="3524"/>
      <c r="AG47" s="3524"/>
      <c r="AH47" s="3524"/>
      <c r="AI47" s="3524"/>
      <c r="AJ47" s="3524"/>
      <c r="AK47" s="3524"/>
      <c r="AL47" s="3524"/>
      <c r="AM47" s="3524"/>
      <c r="AN47" s="3524"/>
      <c r="AO47" s="3524"/>
      <c r="AP47" s="3524"/>
      <c r="AQ47" s="3524"/>
      <c r="AR47" s="3524"/>
      <c r="AS47" s="3524"/>
      <c r="AT47" s="3524"/>
      <c r="AU47" s="3524"/>
      <c r="AV47" s="3524"/>
      <c r="AW47" s="3524"/>
      <c r="AX47" s="3524"/>
      <c r="AY47" s="3516"/>
      <c r="AZ47" s="2846"/>
    </row>
    <row r="48" spans="2:52" ht="13.5" customHeight="1">
      <c r="B48" s="3498"/>
      <c r="C48" s="3498"/>
      <c r="D48" s="3502"/>
      <c r="E48" s="3521"/>
      <c r="F48" s="3510"/>
      <c r="G48" s="3510"/>
      <c r="H48" s="3510"/>
      <c r="I48" s="3510"/>
      <c r="J48" s="3510"/>
      <c r="K48" s="3510"/>
      <c r="L48" s="3510"/>
      <c r="M48" s="3510"/>
      <c r="N48" s="3510"/>
      <c r="O48" s="3510"/>
      <c r="P48" s="3510"/>
      <c r="Q48" s="3510"/>
      <c r="R48" s="3510"/>
      <c r="S48" s="3510"/>
      <c r="T48" s="3510"/>
      <c r="U48" s="3510"/>
      <c r="V48" s="3510"/>
      <c r="W48" s="3510"/>
      <c r="X48" s="3510"/>
      <c r="Y48" s="3510"/>
      <c r="Z48" s="3510"/>
      <c r="AA48" s="3510"/>
      <c r="AB48" s="3510"/>
      <c r="AC48" s="3510"/>
      <c r="AD48" s="3510"/>
      <c r="AE48" s="3510"/>
      <c r="AF48" s="3510"/>
      <c r="AG48" s="3510"/>
      <c r="AH48" s="3510"/>
      <c r="AI48" s="3510"/>
      <c r="AJ48" s="3510"/>
      <c r="AK48" s="3510"/>
      <c r="AL48" s="3510"/>
      <c r="AM48" s="3510"/>
      <c r="AN48" s="3510"/>
      <c r="AO48" s="3510"/>
      <c r="AP48" s="3510"/>
      <c r="AQ48" s="3510"/>
      <c r="AR48" s="3510"/>
      <c r="AS48" s="3510"/>
      <c r="AT48" s="3510"/>
      <c r="AU48" s="3510"/>
      <c r="AV48" s="3510"/>
      <c r="AW48" s="3510"/>
      <c r="AX48" s="3510"/>
      <c r="AY48" s="3517"/>
      <c r="AZ48" s="2841"/>
    </row>
    <row r="49" spans="2:52" ht="13.5" customHeight="1">
      <c r="B49" s="3498"/>
      <c r="C49" s="3503"/>
      <c r="D49" s="3513"/>
      <c r="E49" s="3521"/>
      <c r="F49" s="3510"/>
      <c r="G49" s="3510"/>
      <c r="H49" s="3510"/>
      <c r="I49" s="3510"/>
      <c r="J49" s="3510"/>
      <c r="K49" s="3510"/>
      <c r="L49" s="3510"/>
      <c r="M49" s="3510"/>
      <c r="N49" s="3510"/>
      <c r="O49" s="3510"/>
      <c r="P49" s="3510"/>
      <c r="Q49" s="3510"/>
      <c r="R49" s="3510"/>
      <c r="S49" s="3510"/>
      <c r="T49" s="3510"/>
      <c r="U49" s="3510"/>
      <c r="V49" s="3510"/>
      <c r="W49" s="3510"/>
      <c r="X49" s="3510"/>
      <c r="Y49" s="3510"/>
      <c r="Z49" s="3510"/>
      <c r="AA49" s="3510"/>
      <c r="AB49" s="3510"/>
      <c r="AC49" s="3510"/>
      <c r="AD49" s="3510"/>
      <c r="AE49" s="3510"/>
      <c r="AF49" s="3510"/>
      <c r="AG49" s="3510"/>
      <c r="AH49" s="3510"/>
      <c r="AI49" s="3510"/>
      <c r="AJ49" s="3510"/>
      <c r="AK49" s="3510"/>
      <c r="AL49" s="3510"/>
      <c r="AM49" s="3510"/>
      <c r="AN49" s="3510"/>
      <c r="AO49" s="3510"/>
      <c r="AP49" s="3510"/>
      <c r="AQ49" s="3510"/>
      <c r="AR49" s="3510"/>
      <c r="AS49" s="3510"/>
      <c r="AT49" s="3510"/>
      <c r="AU49" s="3510"/>
      <c r="AV49" s="3510"/>
      <c r="AW49" s="3510"/>
      <c r="AX49" s="3510"/>
      <c r="AY49" s="3517"/>
      <c r="AZ49" s="2841"/>
    </row>
    <row r="50" spans="2:52" ht="13.5" customHeight="1">
      <c r="B50" s="3498"/>
      <c r="C50" s="3514">
        <v>3</v>
      </c>
      <c r="D50" s="3522" t="s">
        <v>5485</v>
      </c>
      <c r="E50" s="3521"/>
      <c r="F50" s="3510"/>
      <c r="G50" s="3510"/>
      <c r="H50" s="3510"/>
      <c r="I50" s="3510"/>
      <c r="J50" s="3510"/>
      <c r="K50" s="3510"/>
      <c r="L50" s="3510"/>
      <c r="M50" s="3510"/>
      <c r="N50" s="3510"/>
      <c r="O50" s="3510"/>
      <c r="P50" s="3510"/>
      <c r="Q50" s="3510"/>
      <c r="R50" s="3510"/>
      <c r="S50" s="3510"/>
      <c r="T50" s="3510"/>
      <c r="U50" s="3510"/>
      <c r="V50" s="3510"/>
      <c r="W50" s="3510"/>
      <c r="X50" s="3510"/>
      <c r="Y50" s="3510"/>
      <c r="Z50" s="3510"/>
      <c r="AA50" s="3510"/>
      <c r="AB50" s="3510"/>
      <c r="AC50" s="3510"/>
      <c r="AD50" s="3510"/>
      <c r="AE50" s="3510"/>
      <c r="AF50" s="3510"/>
      <c r="AG50" s="3510"/>
      <c r="AH50" s="3510"/>
      <c r="AI50" s="3510"/>
      <c r="AJ50" s="3510"/>
      <c r="AK50" s="3510"/>
      <c r="AL50" s="3510"/>
      <c r="AM50" s="3510"/>
      <c r="AN50" s="3510"/>
      <c r="AO50" s="3510"/>
      <c r="AP50" s="3510"/>
      <c r="AQ50" s="3510"/>
      <c r="AR50" s="3510"/>
      <c r="AS50" s="3510"/>
      <c r="AT50" s="3510"/>
      <c r="AU50" s="3510"/>
      <c r="AV50" s="3510"/>
      <c r="AW50" s="3510"/>
      <c r="AX50" s="3510"/>
      <c r="AY50" s="3517"/>
      <c r="AZ50" s="2841"/>
    </row>
    <row r="51" spans="2:52" ht="13.5" customHeight="1">
      <c r="B51" s="3498"/>
      <c r="C51" s="3503"/>
      <c r="D51" s="3522"/>
      <c r="E51" s="3525"/>
      <c r="F51" s="3526"/>
      <c r="G51" s="3526"/>
      <c r="H51" s="3526"/>
      <c r="I51" s="3526"/>
      <c r="J51" s="3526"/>
      <c r="K51" s="3526"/>
      <c r="L51" s="3526"/>
      <c r="M51" s="3526"/>
      <c r="N51" s="3526"/>
      <c r="O51" s="3526"/>
      <c r="P51" s="3526"/>
      <c r="Q51" s="3526"/>
      <c r="R51" s="3526"/>
      <c r="S51" s="3526"/>
      <c r="T51" s="3526"/>
      <c r="U51" s="3526"/>
      <c r="V51" s="3526"/>
      <c r="W51" s="3526"/>
      <c r="X51" s="3526"/>
      <c r="Y51" s="3526"/>
      <c r="Z51" s="3526"/>
      <c r="AA51" s="3526"/>
      <c r="AB51" s="3526"/>
      <c r="AC51" s="3526"/>
      <c r="AD51" s="3526"/>
      <c r="AE51" s="3526"/>
      <c r="AF51" s="3526"/>
      <c r="AG51" s="3526"/>
      <c r="AH51" s="3526"/>
      <c r="AI51" s="3526"/>
      <c r="AJ51" s="3526"/>
      <c r="AK51" s="3526"/>
      <c r="AL51" s="3526"/>
      <c r="AM51" s="3526"/>
      <c r="AN51" s="3526"/>
      <c r="AO51" s="3526"/>
      <c r="AP51" s="3526"/>
      <c r="AQ51" s="3526"/>
      <c r="AR51" s="3526"/>
      <c r="AS51" s="3526"/>
      <c r="AT51" s="3526"/>
      <c r="AU51" s="3526"/>
      <c r="AV51" s="3526"/>
      <c r="AW51" s="3526"/>
      <c r="AX51" s="3526"/>
      <c r="AY51" s="3518"/>
      <c r="AZ51" s="2836"/>
    </row>
    <row r="52" spans="2:52" ht="13.5" customHeight="1">
      <c r="B52" s="3498"/>
      <c r="C52" s="3514">
        <v>4</v>
      </c>
      <c r="D52" s="3522" t="s">
        <v>5484</v>
      </c>
      <c r="E52" s="3520" t="s">
        <v>5483</v>
      </c>
      <c r="F52" s="3520"/>
      <c r="G52" s="3520"/>
      <c r="H52" s="3520"/>
      <c r="I52" s="3520"/>
      <c r="J52" s="3520"/>
      <c r="K52" s="3520"/>
      <c r="L52" s="3520"/>
      <c r="M52" s="3520"/>
      <c r="N52" s="3520"/>
      <c r="O52" s="3520"/>
      <c r="P52" s="3520"/>
      <c r="Q52" s="3520"/>
      <c r="R52" s="3520"/>
      <c r="S52" s="3520"/>
      <c r="T52" s="3520"/>
      <c r="U52" s="3520"/>
      <c r="V52" s="3520"/>
      <c r="W52" s="3520"/>
      <c r="X52" s="3520"/>
      <c r="Y52" s="3520"/>
      <c r="Z52" s="3520"/>
      <c r="AA52" s="3520"/>
      <c r="AB52" s="3520"/>
      <c r="AC52" s="3520"/>
      <c r="AD52" s="3520"/>
      <c r="AE52" s="3520"/>
      <c r="AF52" s="3520"/>
      <c r="AG52" s="3520"/>
      <c r="AH52" s="3520"/>
      <c r="AI52" s="3520"/>
      <c r="AJ52" s="3520"/>
      <c r="AK52" s="3520"/>
      <c r="AL52" s="3520"/>
      <c r="AM52" s="3520"/>
      <c r="AN52" s="3520"/>
      <c r="AO52" s="3520"/>
      <c r="AP52" s="3520"/>
      <c r="AQ52" s="3520"/>
      <c r="AR52" s="3520"/>
      <c r="AS52" s="3520"/>
      <c r="AT52" s="3520"/>
      <c r="AU52" s="3520"/>
      <c r="AV52" s="3520"/>
      <c r="AW52" s="3520"/>
      <c r="AX52" s="3520"/>
      <c r="AY52" s="3520"/>
      <c r="AZ52" s="2841"/>
    </row>
    <row r="53" spans="2:52" ht="13.5" customHeight="1">
      <c r="B53" s="3498"/>
      <c r="C53" s="3503"/>
      <c r="D53" s="3522"/>
      <c r="E53" s="3520"/>
      <c r="F53" s="3520"/>
      <c r="G53" s="3520"/>
      <c r="H53" s="3520"/>
      <c r="I53" s="3520"/>
      <c r="J53" s="3520"/>
      <c r="K53" s="3520"/>
      <c r="L53" s="3520"/>
      <c r="M53" s="3520"/>
      <c r="N53" s="3520"/>
      <c r="O53" s="3520"/>
      <c r="P53" s="3520"/>
      <c r="Q53" s="3520"/>
      <c r="R53" s="3520"/>
      <c r="S53" s="3520"/>
      <c r="T53" s="3520"/>
      <c r="U53" s="3520"/>
      <c r="V53" s="3520"/>
      <c r="W53" s="3520"/>
      <c r="X53" s="3520"/>
      <c r="Y53" s="3520"/>
      <c r="Z53" s="3520"/>
      <c r="AA53" s="3520"/>
      <c r="AB53" s="3520"/>
      <c r="AC53" s="3520"/>
      <c r="AD53" s="3520"/>
      <c r="AE53" s="3520"/>
      <c r="AF53" s="3520"/>
      <c r="AG53" s="3520"/>
      <c r="AH53" s="3520"/>
      <c r="AI53" s="3520"/>
      <c r="AJ53" s="3520"/>
      <c r="AK53" s="3520"/>
      <c r="AL53" s="3520"/>
      <c r="AM53" s="3520"/>
      <c r="AN53" s="3520"/>
      <c r="AO53" s="3520"/>
      <c r="AP53" s="3520"/>
      <c r="AQ53" s="3520"/>
      <c r="AR53" s="3520"/>
      <c r="AS53" s="3520"/>
      <c r="AT53" s="3520"/>
      <c r="AU53" s="3520"/>
      <c r="AV53" s="3520"/>
      <c r="AW53" s="3520"/>
      <c r="AX53" s="3520"/>
      <c r="AY53" s="3520"/>
      <c r="AZ53" s="2841"/>
    </row>
    <row r="54" spans="2:52" ht="13.5" customHeight="1">
      <c r="B54" s="3498"/>
      <c r="C54" s="3514">
        <v>5</v>
      </c>
      <c r="D54" s="3522" t="s">
        <v>5482</v>
      </c>
      <c r="E54" s="3520" t="s">
        <v>5481</v>
      </c>
      <c r="F54" s="3520"/>
      <c r="G54" s="3520"/>
      <c r="H54" s="3520"/>
      <c r="I54" s="3520"/>
      <c r="J54" s="3520"/>
      <c r="K54" s="3520"/>
      <c r="L54" s="3520"/>
      <c r="M54" s="3520"/>
      <c r="N54" s="3520"/>
      <c r="O54" s="3520"/>
      <c r="P54" s="3520"/>
      <c r="Q54" s="3520"/>
      <c r="R54" s="3520"/>
      <c r="S54" s="3520"/>
      <c r="T54" s="3520"/>
      <c r="U54" s="3520"/>
      <c r="V54" s="3520"/>
      <c r="W54" s="3520"/>
      <c r="X54" s="3520"/>
      <c r="Y54" s="3520"/>
      <c r="Z54" s="3520"/>
      <c r="AA54" s="3520"/>
      <c r="AB54" s="3520"/>
      <c r="AC54" s="3520"/>
      <c r="AD54" s="3520"/>
      <c r="AE54" s="3520"/>
      <c r="AF54" s="3520"/>
      <c r="AG54" s="3520"/>
      <c r="AH54" s="3520"/>
      <c r="AI54" s="3520"/>
      <c r="AJ54" s="3520"/>
      <c r="AK54" s="3520"/>
      <c r="AL54" s="3520"/>
      <c r="AM54" s="3520"/>
      <c r="AN54" s="3520"/>
      <c r="AO54" s="3520"/>
      <c r="AP54" s="3520"/>
      <c r="AQ54" s="3520"/>
      <c r="AR54" s="3520"/>
      <c r="AS54" s="3520"/>
      <c r="AT54" s="3520"/>
      <c r="AU54" s="3520"/>
      <c r="AV54" s="3520"/>
      <c r="AW54" s="3520"/>
      <c r="AX54" s="3520"/>
      <c r="AY54" s="3520"/>
      <c r="AZ54" s="2846"/>
    </row>
    <row r="55" spans="2:52" ht="13.5" customHeight="1">
      <c r="B55" s="3498"/>
      <c r="C55" s="3503"/>
      <c r="D55" s="3522"/>
      <c r="E55" s="3520"/>
      <c r="F55" s="3520"/>
      <c r="G55" s="3520"/>
      <c r="H55" s="3520"/>
      <c r="I55" s="3520"/>
      <c r="J55" s="3520"/>
      <c r="K55" s="3520"/>
      <c r="L55" s="3520"/>
      <c r="M55" s="3520"/>
      <c r="N55" s="3520"/>
      <c r="O55" s="3520"/>
      <c r="P55" s="3520"/>
      <c r="Q55" s="3520"/>
      <c r="R55" s="3520"/>
      <c r="S55" s="3520"/>
      <c r="T55" s="3520"/>
      <c r="U55" s="3520"/>
      <c r="V55" s="3520"/>
      <c r="W55" s="3520"/>
      <c r="X55" s="3520"/>
      <c r="Y55" s="3520"/>
      <c r="Z55" s="3520"/>
      <c r="AA55" s="3520"/>
      <c r="AB55" s="3520"/>
      <c r="AC55" s="3520"/>
      <c r="AD55" s="3520"/>
      <c r="AE55" s="3520"/>
      <c r="AF55" s="3520"/>
      <c r="AG55" s="3520"/>
      <c r="AH55" s="3520"/>
      <c r="AI55" s="3520"/>
      <c r="AJ55" s="3520"/>
      <c r="AK55" s="3520"/>
      <c r="AL55" s="3520"/>
      <c r="AM55" s="3520"/>
      <c r="AN55" s="3520"/>
      <c r="AO55" s="3520"/>
      <c r="AP55" s="3520"/>
      <c r="AQ55" s="3520"/>
      <c r="AR55" s="3520"/>
      <c r="AS55" s="3520"/>
      <c r="AT55" s="3520"/>
      <c r="AU55" s="3520"/>
      <c r="AV55" s="3520"/>
      <c r="AW55" s="3520"/>
      <c r="AX55" s="3520"/>
      <c r="AY55" s="3520"/>
      <c r="AZ55" s="2836"/>
    </row>
    <row r="56" spans="2:52" ht="13.5" customHeight="1">
      <c r="B56" s="3498"/>
      <c r="C56" s="3514">
        <v>6</v>
      </c>
      <c r="D56" s="3522" t="s">
        <v>5480</v>
      </c>
      <c r="E56" s="3520" t="s">
        <v>5456</v>
      </c>
      <c r="F56" s="3520"/>
      <c r="G56" s="3520"/>
      <c r="H56" s="3520"/>
      <c r="I56" s="3520"/>
      <c r="J56" s="3520"/>
      <c r="K56" s="3520"/>
      <c r="L56" s="3520"/>
      <c r="M56" s="3520"/>
      <c r="N56" s="3520"/>
      <c r="O56" s="3520"/>
      <c r="P56" s="3520"/>
      <c r="Q56" s="3520"/>
      <c r="R56" s="3520"/>
      <c r="S56" s="3520"/>
      <c r="T56" s="3520"/>
      <c r="U56" s="3520"/>
      <c r="V56" s="3520"/>
      <c r="W56" s="3520"/>
      <c r="X56" s="3520"/>
      <c r="Y56" s="3520"/>
      <c r="Z56" s="3520"/>
      <c r="AA56" s="3520"/>
      <c r="AB56" s="3520"/>
      <c r="AC56" s="3520"/>
      <c r="AD56" s="3520"/>
      <c r="AE56" s="3520"/>
      <c r="AF56" s="3520"/>
      <c r="AG56" s="3520"/>
      <c r="AH56" s="3520"/>
      <c r="AI56" s="3520"/>
      <c r="AJ56" s="3520"/>
      <c r="AK56" s="3520"/>
      <c r="AL56" s="3520"/>
      <c r="AM56" s="3520"/>
      <c r="AN56" s="3520"/>
      <c r="AO56" s="3520"/>
      <c r="AP56" s="3520"/>
      <c r="AQ56" s="3520"/>
      <c r="AR56" s="3520"/>
      <c r="AS56" s="3520"/>
      <c r="AT56" s="3520"/>
      <c r="AU56" s="3520"/>
      <c r="AV56" s="3520"/>
      <c r="AW56" s="3520"/>
      <c r="AX56" s="3520"/>
      <c r="AY56" s="3520"/>
      <c r="AZ56" s="2841"/>
    </row>
    <row r="57" spans="2:52" ht="13.5" customHeight="1">
      <c r="B57" s="3498"/>
      <c r="C57" s="3503"/>
      <c r="D57" s="3522"/>
      <c r="E57" s="3520"/>
      <c r="F57" s="3520"/>
      <c r="G57" s="3520"/>
      <c r="H57" s="3520"/>
      <c r="I57" s="3520"/>
      <c r="J57" s="3520"/>
      <c r="K57" s="3520"/>
      <c r="L57" s="3520"/>
      <c r="M57" s="3520"/>
      <c r="N57" s="3520"/>
      <c r="O57" s="3520"/>
      <c r="P57" s="3520"/>
      <c r="Q57" s="3520"/>
      <c r="R57" s="3520"/>
      <c r="S57" s="3520"/>
      <c r="T57" s="3520"/>
      <c r="U57" s="3520"/>
      <c r="V57" s="3520"/>
      <c r="W57" s="3520"/>
      <c r="X57" s="3520"/>
      <c r="Y57" s="3520"/>
      <c r="Z57" s="3520"/>
      <c r="AA57" s="3520"/>
      <c r="AB57" s="3520"/>
      <c r="AC57" s="3520"/>
      <c r="AD57" s="3520"/>
      <c r="AE57" s="3520"/>
      <c r="AF57" s="3520"/>
      <c r="AG57" s="3520"/>
      <c r="AH57" s="3520"/>
      <c r="AI57" s="3520"/>
      <c r="AJ57" s="3520"/>
      <c r="AK57" s="3520"/>
      <c r="AL57" s="3520"/>
      <c r="AM57" s="3520"/>
      <c r="AN57" s="3520"/>
      <c r="AO57" s="3520"/>
      <c r="AP57" s="3520"/>
      <c r="AQ57" s="3520"/>
      <c r="AR57" s="3520"/>
      <c r="AS57" s="3520"/>
      <c r="AT57" s="3520"/>
      <c r="AU57" s="3520"/>
      <c r="AV57" s="3520"/>
      <c r="AW57" s="3520"/>
      <c r="AX57" s="3520"/>
      <c r="AY57" s="3520"/>
      <c r="AZ57" s="2841"/>
    </row>
    <row r="58" spans="2:52" ht="13.5" customHeight="1">
      <c r="B58" s="3498"/>
      <c r="C58" s="3514">
        <v>7</v>
      </c>
      <c r="D58" s="3512" t="s">
        <v>5479</v>
      </c>
      <c r="E58" s="2850"/>
      <c r="F58" s="2849"/>
      <c r="G58" s="2848"/>
      <c r="H58" s="2848"/>
      <c r="I58" s="2848"/>
      <c r="J58" s="2848"/>
      <c r="K58" s="2848"/>
      <c r="L58" s="2848"/>
      <c r="M58" s="2848"/>
      <c r="N58" s="2848"/>
      <c r="O58" s="2848"/>
      <c r="P58" s="2848"/>
      <c r="Q58" s="2848"/>
      <c r="R58" s="2848"/>
      <c r="S58" s="2848"/>
      <c r="T58" s="2848"/>
      <c r="U58" s="2848"/>
      <c r="V58" s="2848"/>
      <c r="W58" s="2848"/>
      <c r="X58" s="2848"/>
      <c r="Y58" s="2848"/>
      <c r="Z58" s="2848"/>
      <c r="AA58" s="2848"/>
      <c r="AB58" s="2848"/>
      <c r="AC58" s="2848"/>
      <c r="AD58" s="2848"/>
      <c r="AE58" s="2848"/>
      <c r="AF58" s="2848"/>
      <c r="AG58" s="2848"/>
      <c r="AH58" s="2848"/>
      <c r="AI58" s="2848"/>
      <c r="AJ58" s="2848"/>
      <c r="AK58" s="2848"/>
      <c r="AL58" s="2848"/>
      <c r="AM58" s="2848"/>
      <c r="AN58" s="2848"/>
      <c r="AO58" s="2848"/>
      <c r="AP58" s="2848"/>
      <c r="AQ58" s="2848"/>
      <c r="AR58" s="2848"/>
      <c r="AS58" s="2848"/>
      <c r="AT58" s="2848"/>
      <c r="AU58" s="2848"/>
      <c r="AV58" s="2848"/>
      <c r="AW58" s="2848"/>
      <c r="AX58" s="2848"/>
      <c r="AY58" s="2847"/>
      <c r="AZ58" s="2846"/>
    </row>
    <row r="59" spans="2:52" ht="13.5" customHeight="1">
      <c r="B59" s="3498"/>
      <c r="C59" s="3498"/>
      <c r="D59" s="3502"/>
      <c r="E59" s="2860" t="s">
        <v>5478</v>
      </c>
      <c r="F59" s="2844"/>
      <c r="G59" s="2844"/>
      <c r="H59" s="2844"/>
      <c r="I59" s="2844"/>
      <c r="J59" s="2844"/>
      <c r="K59" s="2844"/>
      <c r="L59" s="2844"/>
      <c r="M59" s="2844"/>
      <c r="N59" s="2844"/>
      <c r="O59" s="2844"/>
      <c r="P59" s="2844"/>
      <c r="Q59" s="2843"/>
      <c r="R59" s="3527">
        <f>'(申)3%'!R59:W59+'(申)5%'!R59:W59+'(申)8%'!R59:W59+'(申)軽8%'!R59:W59+'(申)10%'!R59:W59</f>
        <v>9134353866</v>
      </c>
      <c r="S59" s="3527"/>
      <c r="T59" s="3527"/>
      <c r="U59" s="3527"/>
      <c r="V59" s="3527"/>
      <c r="W59" s="3527"/>
      <c r="X59" s="2843"/>
      <c r="Y59" s="2851"/>
      <c r="Z59" s="2843"/>
      <c r="AA59" s="2843"/>
      <c r="AB59" s="2843"/>
      <c r="AC59" s="2843"/>
      <c r="AD59" s="2843"/>
      <c r="AE59" s="2843"/>
      <c r="AF59" s="2843"/>
      <c r="AG59" s="2843"/>
      <c r="AH59" s="2843"/>
      <c r="AI59" s="2844"/>
      <c r="AJ59" s="2843"/>
      <c r="AK59" s="2843"/>
      <c r="AL59" s="2843"/>
      <c r="AM59" s="2843"/>
      <c r="AN59" s="2843"/>
      <c r="AO59" s="2843"/>
      <c r="AP59" s="2843"/>
      <c r="AQ59" s="2843"/>
      <c r="AR59" s="2843"/>
      <c r="AS59" s="2843"/>
      <c r="AT59" s="2843"/>
      <c r="AU59" s="2843"/>
      <c r="AV59" s="2843"/>
      <c r="AW59" s="2843"/>
      <c r="AX59" s="2843"/>
      <c r="AY59" s="2842"/>
      <c r="AZ59" s="2841"/>
    </row>
    <row r="60" spans="2:52" ht="13.5" customHeight="1">
      <c r="B60" s="3498"/>
      <c r="C60" s="3498"/>
      <c r="D60" s="3502"/>
      <c r="E60" s="2860" t="s">
        <v>5477</v>
      </c>
      <c r="F60" s="2843"/>
      <c r="G60" s="2843"/>
      <c r="H60" s="2843"/>
      <c r="I60" s="2843"/>
      <c r="J60" s="2843"/>
      <c r="K60" s="2843"/>
      <c r="L60" s="2843"/>
      <c r="M60" s="2843"/>
      <c r="N60" s="2843"/>
      <c r="O60" s="2843"/>
      <c r="P60" s="2843"/>
      <c r="Q60" s="2843"/>
      <c r="R60" s="3527">
        <f>'(申)3%'!R60:W60+'(申)5%'!R60:W60+'(申)8%'!R60:W60+'(申)軽8%'!R60:W60+'(申)10%'!R60:W60</f>
        <v>16278899176</v>
      </c>
      <c r="S60" s="3527"/>
      <c r="T60" s="3527"/>
      <c r="U60" s="3527"/>
      <c r="V60" s="3527"/>
      <c r="W60" s="3527"/>
      <c r="X60" s="2843"/>
      <c r="Y60" s="2851"/>
      <c r="Z60" s="2843"/>
      <c r="AA60" s="2843"/>
      <c r="AB60" s="2843"/>
      <c r="AC60" s="2843"/>
      <c r="AD60" s="2843"/>
      <c r="AE60" s="2843"/>
      <c r="AF60" s="2843"/>
      <c r="AG60" s="2843"/>
      <c r="AH60" s="2843"/>
      <c r="AI60" s="2843"/>
      <c r="AJ60" s="2843" t="s">
        <v>5447</v>
      </c>
      <c r="AK60" s="3527">
        <f>'(申)3%'!AK60:AP60+'(申)5%'!AK60:AP60+'(申)8%'!AK60:AP60+'(申)軽8%'!AK60:AP60+'(申)10%'!AK60:AP60</f>
        <v>25413253042</v>
      </c>
      <c r="AL60" s="3527"/>
      <c r="AM60" s="3527"/>
      <c r="AN60" s="3527"/>
      <c r="AO60" s="3527"/>
      <c r="AP60" s="3527"/>
      <c r="AQ60" s="2843" t="s">
        <v>5475</v>
      </c>
      <c r="AR60" s="2843"/>
      <c r="AS60" s="2843"/>
      <c r="AT60" s="2843"/>
      <c r="AU60" s="2843"/>
      <c r="AV60" s="2843"/>
      <c r="AW60" s="2843"/>
      <c r="AX60" s="2843"/>
      <c r="AY60" s="2842"/>
      <c r="AZ60" s="2841"/>
    </row>
    <row r="61" spans="2:52" ht="13.5" customHeight="1">
      <c r="B61" s="3498"/>
      <c r="C61" s="3498"/>
      <c r="D61" s="3502"/>
      <c r="E61" s="2860"/>
      <c r="F61" s="3342"/>
      <c r="G61" s="3342"/>
      <c r="H61" s="3342"/>
      <c r="I61" s="3342"/>
      <c r="J61" s="3342"/>
      <c r="K61" s="3342"/>
      <c r="L61" s="3342"/>
      <c r="M61" s="3342"/>
      <c r="N61" s="3342"/>
      <c r="O61" s="3342"/>
      <c r="P61" s="3342"/>
      <c r="Q61" s="3342"/>
      <c r="R61" s="2864"/>
      <c r="S61" s="2864"/>
      <c r="T61" s="2864"/>
      <c r="U61" s="2864"/>
      <c r="V61" s="2864"/>
      <c r="W61" s="2864"/>
      <c r="X61" s="3342"/>
      <c r="Y61" s="3343"/>
      <c r="Z61" s="3342"/>
      <c r="AA61" s="3342"/>
      <c r="AB61" s="3342"/>
      <c r="AC61" s="3342"/>
      <c r="AD61" s="3342"/>
      <c r="AE61" s="3342"/>
      <c r="AF61" s="3342"/>
      <c r="AG61" s="3342"/>
      <c r="AH61" s="3342"/>
      <c r="AI61" s="3342"/>
      <c r="AJ61" s="3342"/>
      <c r="AK61" s="2864"/>
      <c r="AL61" s="2864"/>
      <c r="AM61" s="2864"/>
      <c r="AN61" s="2864"/>
      <c r="AO61" s="2864"/>
      <c r="AP61" s="2864"/>
      <c r="AQ61" s="3342"/>
      <c r="AR61" s="3342"/>
      <c r="AS61" s="3342"/>
      <c r="AT61" s="3342"/>
      <c r="AU61" s="3342"/>
      <c r="AV61" s="3342"/>
      <c r="AW61" s="3342"/>
      <c r="AX61" s="3342"/>
      <c r="AY61" s="3344"/>
      <c r="AZ61" s="3341"/>
    </row>
    <row r="62" spans="2:52" ht="13.5" customHeight="1">
      <c r="B62" s="3498"/>
      <c r="C62" s="3498"/>
      <c r="D62" s="3502"/>
      <c r="E62" s="2860"/>
      <c r="F62" s="3342"/>
      <c r="G62" s="3342"/>
      <c r="H62" s="3342"/>
      <c r="I62" s="3342"/>
      <c r="J62" s="3342"/>
      <c r="K62" s="3342"/>
      <c r="L62" s="3342"/>
      <c r="M62" s="3342"/>
      <c r="N62" s="3342"/>
      <c r="O62" s="3342"/>
      <c r="P62" s="3342"/>
      <c r="Q62" s="3342"/>
      <c r="R62" s="2864"/>
      <c r="S62" s="2864"/>
      <c r="T62" s="2864"/>
      <c r="U62" s="2864"/>
      <c r="V62" s="2864"/>
      <c r="W62" s="2864"/>
      <c r="X62" s="3342"/>
      <c r="Y62" s="3343"/>
      <c r="Z62" s="3342"/>
      <c r="AA62" s="3342"/>
      <c r="AB62" s="3342"/>
      <c r="AC62" s="3342"/>
      <c r="AD62" s="3342"/>
      <c r="AE62" s="3342"/>
      <c r="AF62" s="3342"/>
      <c r="AG62" s="3342"/>
      <c r="AH62" s="3342"/>
      <c r="AI62" s="3342"/>
      <c r="AJ62" s="3342"/>
      <c r="AK62" s="2864"/>
      <c r="AL62" s="2864"/>
      <c r="AM62" s="2864"/>
      <c r="AN62" s="2864"/>
      <c r="AO62" s="2864"/>
      <c r="AP62" s="2864"/>
      <c r="AQ62" s="3342"/>
      <c r="AR62" s="3342"/>
      <c r="AS62" s="3342"/>
      <c r="AT62" s="3342"/>
      <c r="AU62" s="3342"/>
      <c r="AV62" s="3342"/>
      <c r="AW62" s="3342"/>
      <c r="AX62" s="3342"/>
      <c r="AY62" s="3344"/>
      <c r="AZ62" s="3341"/>
    </row>
    <row r="63" spans="2:52" ht="13.5" customHeight="1">
      <c r="B63" s="3498"/>
      <c r="C63" s="3498"/>
      <c r="D63" s="3502"/>
      <c r="E63" s="2845"/>
      <c r="F63" s="2844"/>
      <c r="G63" s="2843"/>
      <c r="H63" s="2843"/>
      <c r="I63" s="2843"/>
      <c r="J63" s="2843"/>
      <c r="K63" s="2843"/>
      <c r="L63" s="2843"/>
      <c r="M63" s="2843"/>
      <c r="N63" s="2843"/>
      <c r="O63" s="2843"/>
      <c r="P63" s="2843"/>
      <c r="Q63" s="2843"/>
      <c r="R63" s="2843"/>
      <c r="S63" s="2843"/>
      <c r="T63" s="2843"/>
      <c r="U63" s="2843"/>
      <c r="V63" s="2843"/>
      <c r="W63" s="2843"/>
      <c r="X63" s="2843"/>
      <c r="Y63" s="2843"/>
      <c r="Z63" s="2843"/>
      <c r="AA63" s="2843"/>
      <c r="AB63" s="2843"/>
      <c r="AC63" s="2843"/>
      <c r="AD63" s="2843"/>
      <c r="AE63" s="2843"/>
      <c r="AF63" s="2843"/>
      <c r="AG63" s="2843"/>
      <c r="AH63" s="2843"/>
      <c r="AI63" s="2843"/>
      <c r="AJ63" s="2843"/>
      <c r="AK63" s="2843"/>
      <c r="AL63" s="2843"/>
      <c r="AM63" s="2843"/>
      <c r="AN63" s="2843"/>
      <c r="AO63" s="2843"/>
      <c r="AP63" s="2843"/>
      <c r="AQ63" s="2843"/>
      <c r="AR63" s="2843"/>
      <c r="AS63" s="2843"/>
      <c r="AT63" s="2843"/>
      <c r="AU63" s="2843"/>
      <c r="AV63" s="2843"/>
      <c r="AW63" s="2843"/>
      <c r="AX63" s="2843"/>
      <c r="AY63" s="2842"/>
      <c r="AZ63" s="2841"/>
    </row>
    <row r="64" spans="2:52" ht="13.5" customHeight="1">
      <c r="B64" s="3498"/>
      <c r="C64" s="3498"/>
      <c r="D64" s="3502"/>
      <c r="E64" s="2860" t="s">
        <v>5474</v>
      </c>
      <c r="F64" s="2844"/>
      <c r="G64" s="2843"/>
      <c r="H64" s="2843"/>
      <c r="I64" s="2843"/>
      <c r="J64" s="2843"/>
      <c r="K64" s="2843"/>
      <c r="L64" s="2843"/>
      <c r="M64" s="2843"/>
      <c r="N64" s="2843"/>
      <c r="O64" s="2843"/>
      <c r="P64" s="2843"/>
      <c r="Q64" s="2843"/>
      <c r="R64" s="2843"/>
      <c r="S64" s="2843"/>
      <c r="T64" s="2843"/>
      <c r="U64" s="2843"/>
      <c r="V64" s="2843"/>
      <c r="W64" s="2843"/>
      <c r="X64" s="2843"/>
      <c r="Y64" s="2843"/>
      <c r="Z64" s="2843"/>
      <c r="AA64" s="2843"/>
      <c r="AB64" s="2843"/>
      <c r="AC64" s="2843"/>
      <c r="AD64" s="2843"/>
      <c r="AE64" s="2843"/>
      <c r="AF64" s="2843"/>
      <c r="AG64" s="2843"/>
      <c r="AH64" s="2843"/>
      <c r="AI64" s="2843"/>
      <c r="AJ64" s="2843"/>
      <c r="AK64" s="2843"/>
      <c r="AL64" s="2843"/>
      <c r="AM64" s="2843"/>
      <c r="AN64" s="2843"/>
      <c r="AO64" s="2843"/>
      <c r="AP64" s="2843"/>
      <c r="AQ64" s="2843"/>
      <c r="AR64" s="2843"/>
      <c r="AS64" s="2843"/>
      <c r="AT64" s="2843"/>
      <c r="AU64" s="2843"/>
      <c r="AV64" s="2843"/>
      <c r="AW64" s="2843"/>
      <c r="AX64" s="2843"/>
      <c r="AY64" s="2842"/>
      <c r="AZ64" s="2841"/>
    </row>
    <row r="65" spans="2:55" ht="13.5" customHeight="1">
      <c r="B65" s="3498"/>
      <c r="C65" s="3498"/>
      <c r="D65" s="3502"/>
      <c r="E65" s="2845"/>
      <c r="F65" s="2844"/>
      <c r="G65" s="2843"/>
      <c r="H65" s="2844" t="s">
        <v>5473</v>
      </c>
      <c r="I65" s="2843"/>
      <c r="J65" s="2843"/>
      <c r="K65" s="2843"/>
      <c r="L65" s="2843"/>
      <c r="M65" s="2843"/>
      <c r="N65" s="2843"/>
      <c r="O65" s="2843"/>
      <c r="P65" s="2843"/>
      <c r="Q65" s="2843"/>
      <c r="R65" s="3527">
        <f>'(申)3%'!R65:W65+'(申)5%'!R65:W65+'(申)8%'!R65:W65+'(申)軽8%'!R65:W65+'(申)10%'!R65:W65</f>
        <v>36467079</v>
      </c>
      <c r="S65" s="3527"/>
      <c r="T65" s="3527"/>
      <c r="U65" s="3527"/>
      <c r="V65" s="3527"/>
      <c r="W65" s="3527"/>
      <c r="X65" s="2843" t="s">
        <v>5472</v>
      </c>
      <c r="Y65" s="2851"/>
      <c r="Z65" s="2843"/>
      <c r="AA65" s="2843"/>
      <c r="AB65" s="2843"/>
      <c r="AC65" s="2843"/>
      <c r="AD65" s="2843"/>
      <c r="AE65" s="2843"/>
      <c r="AF65" s="2843"/>
      <c r="AG65" s="2843"/>
      <c r="AH65" s="2843"/>
      <c r="AI65" s="2843"/>
      <c r="AJ65" s="2843"/>
      <c r="AK65" s="2843"/>
      <c r="AL65" s="2843"/>
      <c r="AM65" s="2843"/>
      <c r="AN65" s="2843"/>
      <c r="AO65" s="2843"/>
      <c r="AP65" s="2843"/>
      <c r="AQ65" s="2843"/>
      <c r="AR65" s="2843"/>
      <c r="AS65" s="2843"/>
      <c r="AT65" s="2843"/>
      <c r="AU65" s="2843"/>
      <c r="AV65" s="2843"/>
      <c r="AW65" s="2843"/>
      <c r="AX65" s="2843"/>
      <c r="AY65" s="2842"/>
      <c r="AZ65" s="2841"/>
    </row>
    <row r="66" spans="2:55" ht="13.5" customHeight="1">
      <c r="B66" s="3498"/>
      <c r="C66" s="3498"/>
      <c r="D66" s="3502"/>
      <c r="E66" s="2845"/>
      <c r="F66" s="2844"/>
      <c r="G66" s="2843"/>
      <c r="H66" s="2844" t="s">
        <v>5470</v>
      </c>
      <c r="I66" s="2843"/>
      <c r="J66" s="2843"/>
      <c r="K66" s="2843"/>
      <c r="L66" s="2843"/>
      <c r="M66" s="2843"/>
      <c r="N66" s="2843"/>
      <c r="O66" s="2843"/>
      <c r="P66" s="2843"/>
      <c r="Q66" s="2843"/>
      <c r="R66" s="3527">
        <f>'(申)3%'!R66:W66+'(申)5%'!R66:W66+'(申)8%'!R66:W66+'(申)軽8%'!R66:W66+'(申)10%'!R66:W66</f>
        <v>0</v>
      </c>
      <c r="S66" s="3527"/>
      <c r="T66" s="3527"/>
      <c r="U66" s="3527"/>
      <c r="V66" s="3527"/>
      <c r="W66" s="3527"/>
      <c r="X66" s="2843"/>
      <c r="Y66" s="2851" t="s">
        <v>5469</v>
      </c>
      <c r="Z66" s="2843"/>
      <c r="AA66" s="2843"/>
      <c r="AB66" s="2843"/>
      <c r="AC66" s="2843"/>
      <c r="AD66" s="2843"/>
      <c r="AE66" s="2843"/>
      <c r="AF66" s="2843"/>
      <c r="AG66" s="2843"/>
      <c r="AH66" s="2843"/>
      <c r="AI66" s="2843"/>
      <c r="AJ66" s="2843"/>
      <c r="AK66" s="2843"/>
      <c r="AL66" s="2843"/>
      <c r="AM66" s="2843"/>
      <c r="AN66" s="2843"/>
      <c r="AO66" s="2843"/>
      <c r="AP66" s="2843"/>
      <c r="AQ66" s="2843"/>
      <c r="AR66" s="2843"/>
      <c r="AS66" s="2843"/>
      <c r="AT66" s="2843"/>
      <c r="AU66" s="2843"/>
      <c r="AV66" s="2843"/>
      <c r="AW66" s="2843"/>
      <c r="AX66" s="2843"/>
      <c r="AY66" s="2842"/>
      <c r="AZ66" s="2841"/>
    </row>
    <row r="67" spans="2:55" ht="13.5" customHeight="1" thickBot="1">
      <c r="B67" s="3498"/>
      <c r="C67" s="3498"/>
      <c r="D67" s="3502"/>
      <c r="E67" s="2845"/>
      <c r="F67" s="2844"/>
      <c r="G67" s="2843"/>
      <c r="H67" s="2843"/>
      <c r="I67" s="2843"/>
      <c r="J67" s="2843"/>
      <c r="K67" s="2843"/>
      <c r="L67" s="2843"/>
      <c r="M67" s="2843"/>
      <c r="N67" s="2843"/>
      <c r="O67" s="2843"/>
      <c r="P67" s="2843"/>
      <c r="Q67" s="2843"/>
      <c r="R67" s="2843"/>
      <c r="S67" s="2843"/>
      <c r="T67" s="2843"/>
      <c r="U67" s="2843"/>
      <c r="V67" s="2843"/>
      <c r="W67" s="2843"/>
      <c r="X67" s="2843"/>
      <c r="Y67" s="2843"/>
      <c r="Z67" s="2843"/>
      <c r="AA67" s="2843"/>
      <c r="AB67" s="2843"/>
      <c r="AC67" s="2843"/>
      <c r="AD67" s="2843"/>
      <c r="AE67" s="2843"/>
      <c r="AF67" s="2843"/>
      <c r="AG67" s="2843"/>
      <c r="AH67" s="2843"/>
      <c r="AI67" s="2843"/>
      <c r="AJ67" s="2843"/>
      <c r="AK67" s="2843"/>
      <c r="AL67" s="2843"/>
      <c r="AM67" s="2843"/>
      <c r="AN67" s="2843"/>
      <c r="AO67" s="2843"/>
      <c r="AP67" s="2843"/>
      <c r="AQ67" s="2843"/>
      <c r="AR67" s="2843"/>
      <c r="AS67" s="2843"/>
      <c r="AT67" s="2843"/>
      <c r="AU67" s="2843"/>
      <c r="AV67" s="2843"/>
      <c r="AW67" s="2843"/>
      <c r="AX67" s="2843"/>
      <c r="AY67" s="2842"/>
      <c r="AZ67" s="2841"/>
    </row>
    <row r="68" spans="2:55" ht="13.5" customHeight="1" thickTop="1" thickBot="1">
      <c r="B68" s="3498"/>
      <c r="C68" s="3498"/>
      <c r="D68" s="3502"/>
      <c r="E68" s="2860" t="s">
        <v>5468</v>
      </c>
      <c r="F68" s="2844"/>
      <c r="G68" s="2843"/>
      <c r="H68" s="2843"/>
      <c r="I68" s="2843"/>
      <c r="J68" s="2843"/>
      <c r="K68" s="2843"/>
      <c r="L68" s="2843"/>
      <c r="M68" s="2843"/>
      <c r="N68" s="2843"/>
      <c r="O68" s="2843"/>
      <c r="P68" s="2843"/>
      <c r="Q68" s="2843"/>
      <c r="R68" s="2843"/>
      <c r="S68" s="2843"/>
      <c r="T68" s="3507">
        <f>'(申)3%'!T68:Y68+'(申)5%'!T68:Y68+'(申)8%'!T68:Y68+'(申)軽8%'!T68:Y68+'(申)10%'!T68:Y68</f>
        <v>25376785963</v>
      </c>
      <c r="U68" s="3508"/>
      <c r="V68" s="3508"/>
      <c r="W68" s="3508"/>
      <c r="X68" s="3508"/>
      <c r="Y68" s="3509"/>
      <c r="Z68" s="2843"/>
      <c r="AA68" s="2851" t="s">
        <v>5467</v>
      </c>
      <c r="AB68" s="2843"/>
      <c r="AC68" s="2843"/>
      <c r="AD68" s="2843"/>
      <c r="AE68" s="2843"/>
      <c r="AF68" s="2843"/>
      <c r="AG68" s="2843"/>
      <c r="AH68" s="2843"/>
      <c r="AI68" s="2843"/>
      <c r="AJ68" s="2843"/>
      <c r="AK68" s="2843"/>
      <c r="AL68" s="2843"/>
      <c r="AM68" s="2843"/>
      <c r="AN68" s="2843"/>
      <c r="AO68" s="2843"/>
      <c r="AP68" s="2843"/>
      <c r="AQ68" s="2843"/>
      <c r="AR68" s="2843"/>
      <c r="AS68" s="2843"/>
      <c r="AT68" s="2843"/>
      <c r="AU68" s="2843"/>
      <c r="AV68" s="2843"/>
      <c r="AW68" s="2843"/>
      <c r="AX68" s="2843"/>
      <c r="AY68" s="2842"/>
      <c r="AZ68" s="3319" t="s">
        <v>6189</v>
      </c>
      <c r="BC68" s="2834">
        <f>AK60-R65</f>
        <v>25376785963</v>
      </c>
    </row>
    <row r="69" spans="2:55" ht="13.5" customHeight="1" thickTop="1" thickBot="1">
      <c r="B69" s="3498"/>
      <c r="C69" s="3498"/>
      <c r="D69" s="3502"/>
      <c r="E69" s="2845"/>
      <c r="F69" s="2844"/>
      <c r="G69" s="2843"/>
      <c r="H69" s="2843"/>
      <c r="I69" s="2843"/>
      <c r="J69" s="2843"/>
      <c r="K69" s="2843"/>
      <c r="L69" s="2843"/>
      <c r="M69" s="2843"/>
      <c r="N69" s="2843"/>
      <c r="O69" s="2843"/>
      <c r="P69" s="2843"/>
      <c r="Q69" s="2843"/>
      <c r="R69" s="2843"/>
      <c r="S69" s="2843"/>
      <c r="T69" s="2843"/>
      <c r="U69" s="2843"/>
      <c r="V69" s="2843"/>
      <c r="W69" s="2843"/>
      <c r="X69" s="2843"/>
      <c r="Y69" s="2843"/>
      <c r="Z69" s="2843"/>
      <c r="AA69" s="2843"/>
      <c r="AB69" s="2843"/>
      <c r="AC69" s="2843"/>
      <c r="AD69" s="2843"/>
      <c r="AE69" s="2843"/>
      <c r="AF69" s="2843"/>
      <c r="AG69" s="2843"/>
      <c r="AH69" s="2843"/>
      <c r="AI69" s="2843"/>
      <c r="AJ69" s="2843"/>
      <c r="AK69" s="2843"/>
      <c r="AL69" s="2843"/>
      <c r="AM69" s="2843"/>
      <c r="AN69" s="2843"/>
      <c r="AO69" s="2843"/>
      <c r="AP69" s="2843"/>
      <c r="AQ69" s="2843"/>
      <c r="AR69" s="2843"/>
      <c r="AS69" s="2843"/>
      <c r="AT69" s="2843"/>
      <c r="AU69" s="2843"/>
      <c r="AV69" s="2843"/>
      <c r="AW69" s="2843"/>
      <c r="AX69" s="2843"/>
      <c r="AY69" s="2842"/>
      <c r="AZ69" s="3319"/>
    </row>
    <row r="70" spans="2:55" ht="13.5" customHeight="1" thickTop="1" thickBot="1">
      <c r="B70" s="3498"/>
      <c r="C70" s="3498"/>
      <c r="D70" s="3502"/>
      <c r="E70" s="2860" t="s">
        <v>5465</v>
      </c>
      <c r="F70" s="2844"/>
      <c r="G70" s="2843"/>
      <c r="H70" s="2843"/>
      <c r="I70" s="2843"/>
      <c r="J70" s="2843"/>
      <c r="K70" s="2843"/>
      <c r="L70" s="2843"/>
      <c r="M70" s="2843"/>
      <c r="N70" s="2843"/>
      <c r="O70" s="2843"/>
      <c r="P70" s="2843"/>
      <c r="Q70" s="2843"/>
      <c r="R70" s="2843"/>
      <c r="S70" s="2843"/>
      <c r="T70" s="3507">
        <f>'(申)3%'!T70:Y70+'(申)5%'!T70:Y70+'(申)8%'!T70:Y70+'(申)軽8%'!T70:Y70+'(申)10%'!T70:Y70</f>
        <v>1799420639</v>
      </c>
      <c r="U70" s="3508"/>
      <c r="V70" s="3508"/>
      <c r="W70" s="3508"/>
      <c r="X70" s="3508"/>
      <c r="Y70" s="3509"/>
      <c r="Z70" s="2843" t="s">
        <v>5464</v>
      </c>
      <c r="AA70" s="2851"/>
      <c r="AB70" s="2843"/>
      <c r="AC70" s="2843"/>
      <c r="AD70" s="2843"/>
      <c r="AE70" s="2843"/>
      <c r="AF70" s="2843"/>
      <c r="AG70" s="2843"/>
      <c r="AH70" s="2843"/>
      <c r="AI70" s="2843"/>
      <c r="AJ70" s="2843"/>
      <c r="AK70" s="2843"/>
      <c r="AL70" s="2843"/>
      <c r="AM70" s="2843"/>
      <c r="AN70" s="2843"/>
      <c r="AO70" s="2843"/>
      <c r="AP70" s="2843"/>
      <c r="AQ70" s="2843"/>
      <c r="AR70" s="2843"/>
      <c r="AS70" s="2843"/>
      <c r="AT70" s="2843"/>
      <c r="AU70" s="2843"/>
      <c r="AV70" s="2843"/>
      <c r="AW70" s="2843"/>
      <c r="AX70" s="2843"/>
      <c r="AY70" s="2842"/>
      <c r="AZ70" s="3319" t="s">
        <v>6190</v>
      </c>
    </row>
    <row r="71" spans="2:55" ht="13.5" customHeight="1" thickTop="1">
      <c r="B71" s="3503"/>
      <c r="C71" s="3503"/>
      <c r="D71" s="3513"/>
      <c r="E71" s="2840"/>
      <c r="F71" s="2839"/>
      <c r="G71" s="2838"/>
      <c r="H71" s="2838"/>
      <c r="I71" s="2838"/>
      <c r="J71" s="2838"/>
      <c r="K71" s="2838"/>
      <c r="L71" s="2838"/>
      <c r="M71" s="2838"/>
      <c r="N71" s="2838"/>
      <c r="O71" s="2838"/>
      <c r="P71" s="2838"/>
      <c r="Q71" s="2838"/>
      <c r="R71" s="2838"/>
      <c r="S71" s="2838"/>
      <c r="T71" s="2838"/>
      <c r="U71" s="2838"/>
      <c r="V71" s="2838"/>
      <c r="W71" s="2838"/>
      <c r="X71" s="2838"/>
      <c r="Y71" s="2838"/>
      <c r="Z71" s="2838"/>
      <c r="AA71" s="2838"/>
      <c r="AB71" s="2838"/>
      <c r="AC71" s="2838"/>
      <c r="AD71" s="2838"/>
      <c r="AE71" s="2838"/>
      <c r="AF71" s="2838"/>
      <c r="AG71" s="2838"/>
      <c r="AH71" s="2838"/>
      <c r="AI71" s="2838"/>
      <c r="AJ71" s="2838"/>
      <c r="AK71" s="2838"/>
      <c r="AL71" s="2838"/>
      <c r="AM71" s="2838"/>
      <c r="AN71" s="2838"/>
      <c r="AO71" s="2838"/>
      <c r="AP71" s="2838"/>
      <c r="AQ71" s="2838"/>
      <c r="AR71" s="2838"/>
      <c r="AS71" s="2838"/>
      <c r="AT71" s="2838"/>
      <c r="AU71" s="2838"/>
      <c r="AV71" s="2838"/>
      <c r="AW71" s="2838"/>
      <c r="AX71" s="2838"/>
      <c r="AY71" s="2837"/>
      <c r="AZ71" s="2836"/>
    </row>
    <row r="72" spans="2:55" ht="13.5" customHeight="1">
      <c r="B72" s="3512" t="s">
        <v>5462</v>
      </c>
      <c r="C72" s="3514">
        <v>1</v>
      </c>
      <c r="D72" s="3522" t="s">
        <v>5461</v>
      </c>
      <c r="E72" s="3520" t="s">
        <v>5460</v>
      </c>
      <c r="F72" s="3520"/>
      <c r="G72" s="3520"/>
      <c r="H72" s="3520"/>
      <c r="I72" s="3520"/>
      <c r="J72" s="3520"/>
      <c r="K72" s="3520"/>
      <c r="L72" s="3520"/>
      <c r="M72" s="3520"/>
      <c r="N72" s="3520"/>
      <c r="O72" s="3520"/>
      <c r="P72" s="3520"/>
      <c r="Q72" s="3520"/>
      <c r="R72" s="3520"/>
      <c r="S72" s="3520"/>
      <c r="T72" s="3520"/>
      <c r="U72" s="3520"/>
      <c r="V72" s="3520"/>
      <c r="W72" s="3520"/>
      <c r="X72" s="3520"/>
      <c r="Y72" s="3520"/>
      <c r="Z72" s="3520"/>
      <c r="AA72" s="3520"/>
      <c r="AB72" s="3520"/>
      <c r="AC72" s="3520"/>
      <c r="AD72" s="3520"/>
      <c r="AE72" s="3520"/>
      <c r="AF72" s="3520"/>
      <c r="AG72" s="3520"/>
      <c r="AH72" s="3520"/>
      <c r="AI72" s="3520"/>
      <c r="AJ72" s="3520"/>
      <c r="AK72" s="3520"/>
      <c r="AL72" s="3520"/>
      <c r="AM72" s="3520"/>
      <c r="AN72" s="3520"/>
      <c r="AO72" s="3520"/>
      <c r="AP72" s="3520"/>
      <c r="AQ72" s="3520"/>
      <c r="AR72" s="3520"/>
      <c r="AS72" s="3520"/>
      <c r="AT72" s="3520"/>
      <c r="AU72" s="3520"/>
      <c r="AV72" s="3520"/>
      <c r="AW72" s="3520"/>
      <c r="AX72" s="3520"/>
      <c r="AY72" s="3520"/>
      <c r="AZ72" s="2846"/>
    </row>
    <row r="73" spans="2:55" ht="13.5" customHeight="1">
      <c r="B73" s="3502"/>
      <c r="C73" s="3503"/>
      <c r="D73" s="3522"/>
      <c r="E73" s="3520"/>
      <c r="F73" s="3520"/>
      <c r="G73" s="3520"/>
      <c r="H73" s="3520"/>
      <c r="I73" s="3520"/>
      <c r="J73" s="3520"/>
      <c r="K73" s="3520"/>
      <c r="L73" s="3520"/>
      <c r="M73" s="3520"/>
      <c r="N73" s="3520"/>
      <c r="O73" s="3520"/>
      <c r="P73" s="3520"/>
      <c r="Q73" s="3520"/>
      <c r="R73" s="3520"/>
      <c r="S73" s="3520"/>
      <c r="T73" s="3520"/>
      <c r="U73" s="3520"/>
      <c r="V73" s="3520"/>
      <c r="W73" s="3520"/>
      <c r="X73" s="3520"/>
      <c r="Y73" s="3520"/>
      <c r="Z73" s="3520"/>
      <c r="AA73" s="3520"/>
      <c r="AB73" s="3520"/>
      <c r="AC73" s="3520"/>
      <c r="AD73" s="3520"/>
      <c r="AE73" s="3520"/>
      <c r="AF73" s="3520"/>
      <c r="AG73" s="3520"/>
      <c r="AH73" s="3520"/>
      <c r="AI73" s="3520"/>
      <c r="AJ73" s="3520"/>
      <c r="AK73" s="3520"/>
      <c r="AL73" s="3520"/>
      <c r="AM73" s="3520"/>
      <c r="AN73" s="3520"/>
      <c r="AO73" s="3520"/>
      <c r="AP73" s="3520"/>
      <c r="AQ73" s="3520"/>
      <c r="AR73" s="3520"/>
      <c r="AS73" s="3520"/>
      <c r="AT73" s="3520"/>
      <c r="AU73" s="3520"/>
      <c r="AV73" s="3520"/>
      <c r="AW73" s="3520"/>
      <c r="AX73" s="3520"/>
      <c r="AY73" s="3520"/>
      <c r="AZ73" s="2841"/>
    </row>
    <row r="74" spans="2:55" ht="13.5" customHeight="1">
      <c r="B74" s="3502"/>
      <c r="C74" s="3514">
        <v>2</v>
      </c>
      <c r="D74" s="3522" t="s">
        <v>5459</v>
      </c>
      <c r="E74" s="3520" t="s">
        <v>5458</v>
      </c>
      <c r="F74" s="3520"/>
      <c r="G74" s="3520"/>
      <c r="H74" s="3520"/>
      <c r="I74" s="3520"/>
      <c r="J74" s="3520"/>
      <c r="K74" s="3520"/>
      <c r="L74" s="3520"/>
      <c r="M74" s="3520"/>
      <c r="N74" s="3520"/>
      <c r="O74" s="3520"/>
      <c r="P74" s="3520"/>
      <c r="Q74" s="3520"/>
      <c r="R74" s="3520"/>
      <c r="S74" s="3520"/>
      <c r="T74" s="3520"/>
      <c r="U74" s="3520"/>
      <c r="V74" s="3520"/>
      <c r="W74" s="3520"/>
      <c r="X74" s="3520"/>
      <c r="Y74" s="3520"/>
      <c r="Z74" s="3520"/>
      <c r="AA74" s="3520"/>
      <c r="AB74" s="3520"/>
      <c r="AC74" s="3520"/>
      <c r="AD74" s="3520"/>
      <c r="AE74" s="3520"/>
      <c r="AF74" s="3520"/>
      <c r="AG74" s="3520"/>
      <c r="AH74" s="3520"/>
      <c r="AI74" s="3520"/>
      <c r="AJ74" s="3520"/>
      <c r="AK74" s="3520"/>
      <c r="AL74" s="3520"/>
      <c r="AM74" s="3520"/>
      <c r="AN74" s="3520"/>
      <c r="AO74" s="3520"/>
      <c r="AP74" s="3520"/>
      <c r="AQ74" s="3520"/>
      <c r="AR74" s="3520"/>
      <c r="AS74" s="3520"/>
      <c r="AT74" s="3520"/>
      <c r="AU74" s="3520"/>
      <c r="AV74" s="3520"/>
      <c r="AW74" s="3520"/>
      <c r="AX74" s="3520"/>
      <c r="AY74" s="3520"/>
      <c r="AZ74" s="2841"/>
    </row>
    <row r="75" spans="2:55" ht="13.5" customHeight="1">
      <c r="B75" s="3502"/>
      <c r="C75" s="3498"/>
      <c r="D75" s="3522"/>
      <c r="E75" s="3520"/>
      <c r="F75" s="3520"/>
      <c r="G75" s="3520"/>
      <c r="H75" s="3520"/>
      <c r="I75" s="3520"/>
      <c r="J75" s="3520"/>
      <c r="K75" s="3520"/>
      <c r="L75" s="3520"/>
      <c r="M75" s="3520"/>
      <c r="N75" s="3520"/>
      <c r="O75" s="3520"/>
      <c r="P75" s="3520"/>
      <c r="Q75" s="3520"/>
      <c r="R75" s="3520"/>
      <c r="S75" s="3520"/>
      <c r="T75" s="3520"/>
      <c r="U75" s="3520"/>
      <c r="V75" s="3520"/>
      <c r="W75" s="3520"/>
      <c r="X75" s="3520"/>
      <c r="Y75" s="3520"/>
      <c r="Z75" s="3520"/>
      <c r="AA75" s="3520"/>
      <c r="AB75" s="3520"/>
      <c r="AC75" s="3520"/>
      <c r="AD75" s="3520"/>
      <c r="AE75" s="3520"/>
      <c r="AF75" s="3520"/>
      <c r="AG75" s="3520"/>
      <c r="AH75" s="3520"/>
      <c r="AI75" s="3520"/>
      <c r="AJ75" s="3520"/>
      <c r="AK75" s="3520"/>
      <c r="AL75" s="3520"/>
      <c r="AM75" s="3520"/>
      <c r="AN75" s="3520"/>
      <c r="AO75" s="3520"/>
      <c r="AP75" s="3520"/>
      <c r="AQ75" s="3520"/>
      <c r="AR75" s="3520"/>
      <c r="AS75" s="3520"/>
      <c r="AT75" s="3520"/>
      <c r="AU75" s="3520"/>
      <c r="AV75" s="3520"/>
      <c r="AW75" s="3520"/>
      <c r="AX75" s="3520"/>
      <c r="AY75" s="3520"/>
      <c r="AZ75" s="2841"/>
    </row>
    <row r="76" spans="2:55" ht="13.5" customHeight="1">
      <c r="B76" s="3502"/>
      <c r="C76" s="3503"/>
      <c r="D76" s="3522"/>
      <c r="E76" s="3520"/>
      <c r="F76" s="3520"/>
      <c r="G76" s="3520"/>
      <c r="H76" s="3520"/>
      <c r="I76" s="3520"/>
      <c r="J76" s="3520"/>
      <c r="K76" s="3520"/>
      <c r="L76" s="3520"/>
      <c r="M76" s="3520"/>
      <c r="N76" s="3520"/>
      <c r="O76" s="3520"/>
      <c r="P76" s="3520"/>
      <c r="Q76" s="3520"/>
      <c r="R76" s="3520"/>
      <c r="S76" s="3520"/>
      <c r="T76" s="3520"/>
      <c r="U76" s="3520"/>
      <c r="V76" s="3520"/>
      <c r="W76" s="3520"/>
      <c r="X76" s="3520"/>
      <c r="Y76" s="3520"/>
      <c r="Z76" s="3520"/>
      <c r="AA76" s="3520"/>
      <c r="AB76" s="3520"/>
      <c r="AC76" s="3520"/>
      <c r="AD76" s="3520"/>
      <c r="AE76" s="3520"/>
      <c r="AF76" s="3520"/>
      <c r="AG76" s="3520"/>
      <c r="AH76" s="3520"/>
      <c r="AI76" s="3520"/>
      <c r="AJ76" s="3520"/>
      <c r="AK76" s="3520"/>
      <c r="AL76" s="3520"/>
      <c r="AM76" s="3520"/>
      <c r="AN76" s="3520"/>
      <c r="AO76" s="3520"/>
      <c r="AP76" s="3520"/>
      <c r="AQ76" s="3520"/>
      <c r="AR76" s="3520"/>
      <c r="AS76" s="3520"/>
      <c r="AT76" s="3520"/>
      <c r="AU76" s="3520"/>
      <c r="AV76" s="3520"/>
      <c r="AW76" s="3520"/>
      <c r="AX76" s="3520"/>
      <c r="AY76" s="3520"/>
      <c r="AZ76" s="2841"/>
    </row>
    <row r="77" spans="2:55" ht="13.5" customHeight="1">
      <c r="B77" s="3502"/>
      <c r="C77" s="3514">
        <v>3</v>
      </c>
      <c r="D77" s="3522" t="s">
        <v>5457</v>
      </c>
      <c r="E77" s="3520" t="s">
        <v>5456</v>
      </c>
      <c r="F77" s="3520"/>
      <c r="G77" s="3520"/>
      <c r="H77" s="3520"/>
      <c r="I77" s="3520"/>
      <c r="J77" s="3520"/>
      <c r="K77" s="3520"/>
      <c r="L77" s="3520"/>
      <c r="M77" s="3520"/>
      <c r="N77" s="3520"/>
      <c r="O77" s="3520"/>
      <c r="P77" s="3520"/>
      <c r="Q77" s="3520"/>
      <c r="R77" s="3520"/>
      <c r="S77" s="3520"/>
      <c r="T77" s="3520"/>
      <c r="U77" s="3520"/>
      <c r="V77" s="3520"/>
      <c r="W77" s="3520"/>
      <c r="X77" s="3520"/>
      <c r="Y77" s="3520"/>
      <c r="Z77" s="3520"/>
      <c r="AA77" s="3520"/>
      <c r="AB77" s="3520"/>
      <c r="AC77" s="3520"/>
      <c r="AD77" s="3520"/>
      <c r="AE77" s="3520"/>
      <c r="AF77" s="3520"/>
      <c r="AG77" s="3520"/>
      <c r="AH77" s="3520"/>
      <c r="AI77" s="3520"/>
      <c r="AJ77" s="3520"/>
      <c r="AK77" s="3520"/>
      <c r="AL77" s="3520"/>
      <c r="AM77" s="3520"/>
      <c r="AN77" s="3520"/>
      <c r="AO77" s="3520"/>
      <c r="AP77" s="3520"/>
      <c r="AQ77" s="3520"/>
      <c r="AR77" s="3520"/>
      <c r="AS77" s="3520"/>
      <c r="AT77" s="3520"/>
      <c r="AU77" s="3520"/>
      <c r="AV77" s="3520"/>
      <c r="AW77" s="3520"/>
      <c r="AX77" s="3520"/>
      <c r="AY77" s="3520"/>
      <c r="AZ77" s="2841"/>
    </row>
    <row r="78" spans="2:55" ht="13.5" customHeight="1">
      <c r="B78" s="3502"/>
      <c r="C78" s="3498"/>
      <c r="D78" s="3522"/>
      <c r="E78" s="3520"/>
      <c r="F78" s="3520"/>
      <c r="G78" s="3520"/>
      <c r="H78" s="3520"/>
      <c r="I78" s="3520"/>
      <c r="J78" s="3520"/>
      <c r="K78" s="3520"/>
      <c r="L78" s="3520"/>
      <c r="M78" s="3520"/>
      <c r="N78" s="3520"/>
      <c r="O78" s="3520"/>
      <c r="P78" s="3520"/>
      <c r="Q78" s="3520"/>
      <c r="R78" s="3520"/>
      <c r="S78" s="3520"/>
      <c r="T78" s="3520"/>
      <c r="U78" s="3520"/>
      <c r="V78" s="3520"/>
      <c r="W78" s="3520"/>
      <c r="X78" s="3520"/>
      <c r="Y78" s="3520"/>
      <c r="Z78" s="3520"/>
      <c r="AA78" s="3520"/>
      <c r="AB78" s="3520"/>
      <c r="AC78" s="3520"/>
      <c r="AD78" s="3520"/>
      <c r="AE78" s="3520"/>
      <c r="AF78" s="3520"/>
      <c r="AG78" s="3520"/>
      <c r="AH78" s="3520"/>
      <c r="AI78" s="3520"/>
      <c r="AJ78" s="3520"/>
      <c r="AK78" s="3520"/>
      <c r="AL78" s="3520"/>
      <c r="AM78" s="3520"/>
      <c r="AN78" s="3520"/>
      <c r="AO78" s="3520"/>
      <c r="AP78" s="3520"/>
      <c r="AQ78" s="3520"/>
      <c r="AR78" s="3520"/>
      <c r="AS78" s="3520"/>
      <c r="AT78" s="3520"/>
      <c r="AU78" s="3520"/>
      <c r="AV78" s="3520"/>
      <c r="AW78" s="3520"/>
      <c r="AX78" s="3520"/>
      <c r="AY78" s="3520"/>
      <c r="AZ78" s="2841"/>
    </row>
    <row r="79" spans="2:55" ht="13.5" customHeight="1">
      <c r="B79" s="3502"/>
      <c r="C79" s="3498"/>
      <c r="D79" s="3522"/>
      <c r="E79" s="3520"/>
      <c r="F79" s="3520"/>
      <c r="G79" s="3520"/>
      <c r="H79" s="3520"/>
      <c r="I79" s="3520"/>
      <c r="J79" s="3520"/>
      <c r="K79" s="3520"/>
      <c r="L79" s="3520"/>
      <c r="M79" s="3520"/>
      <c r="N79" s="3520"/>
      <c r="O79" s="3520"/>
      <c r="P79" s="3520"/>
      <c r="Q79" s="3520"/>
      <c r="R79" s="3520"/>
      <c r="S79" s="3520"/>
      <c r="T79" s="3520"/>
      <c r="U79" s="3520"/>
      <c r="V79" s="3520"/>
      <c r="W79" s="3520"/>
      <c r="X79" s="3520"/>
      <c r="Y79" s="3520"/>
      <c r="Z79" s="3520"/>
      <c r="AA79" s="3520"/>
      <c r="AB79" s="3520"/>
      <c r="AC79" s="3520"/>
      <c r="AD79" s="3520"/>
      <c r="AE79" s="3520"/>
      <c r="AF79" s="3520"/>
      <c r="AG79" s="3520"/>
      <c r="AH79" s="3520"/>
      <c r="AI79" s="3520"/>
      <c r="AJ79" s="3520"/>
      <c r="AK79" s="3520"/>
      <c r="AL79" s="3520"/>
      <c r="AM79" s="3520"/>
      <c r="AN79" s="3520"/>
      <c r="AO79" s="3520"/>
      <c r="AP79" s="3520"/>
      <c r="AQ79" s="3520"/>
      <c r="AR79" s="3520"/>
      <c r="AS79" s="3520"/>
      <c r="AT79" s="3520"/>
      <c r="AU79" s="3520"/>
      <c r="AV79" s="3520"/>
      <c r="AW79" s="3520"/>
      <c r="AX79" s="3520"/>
      <c r="AY79" s="3520"/>
      <c r="AZ79" s="2841"/>
    </row>
    <row r="80" spans="2:55" ht="13.5" customHeight="1">
      <c r="B80" s="3502"/>
      <c r="C80" s="3503"/>
      <c r="D80" s="3522"/>
      <c r="E80" s="3520"/>
      <c r="F80" s="3520"/>
      <c r="G80" s="3520"/>
      <c r="H80" s="3520"/>
      <c r="I80" s="3520"/>
      <c r="J80" s="3520"/>
      <c r="K80" s="3520"/>
      <c r="L80" s="3520"/>
      <c r="M80" s="3520"/>
      <c r="N80" s="3520"/>
      <c r="O80" s="3520"/>
      <c r="P80" s="3520"/>
      <c r="Q80" s="3520"/>
      <c r="R80" s="3520"/>
      <c r="S80" s="3520"/>
      <c r="T80" s="3520"/>
      <c r="U80" s="3520"/>
      <c r="V80" s="3520"/>
      <c r="W80" s="3520"/>
      <c r="X80" s="3520"/>
      <c r="Y80" s="3520"/>
      <c r="Z80" s="3520"/>
      <c r="AA80" s="3520"/>
      <c r="AB80" s="3520"/>
      <c r="AC80" s="3520"/>
      <c r="AD80" s="3520"/>
      <c r="AE80" s="3520"/>
      <c r="AF80" s="3520"/>
      <c r="AG80" s="3520"/>
      <c r="AH80" s="3520"/>
      <c r="AI80" s="3520"/>
      <c r="AJ80" s="3520"/>
      <c r="AK80" s="3520"/>
      <c r="AL80" s="3520"/>
      <c r="AM80" s="3520"/>
      <c r="AN80" s="3520"/>
      <c r="AO80" s="3520"/>
      <c r="AP80" s="3520"/>
      <c r="AQ80" s="3520"/>
      <c r="AR80" s="3520"/>
      <c r="AS80" s="3520"/>
      <c r="AT80" s="3520"/>
      <c r="AU80" s="3520"/>
      <c r="AV80" s="3520"/>
      <c r="AW80" s="3520"/>
      <c r="AX80" s="3520"/>
      <c r="AY80" s="3520"/>
      <c r="AZ80" s="2841"/>
    </row>
    <row r="81" spans="2:52" ht="13.5" customHeight="1">
      <c r="B81" s="3502"/>
      <c r="C81" s="3514">
        <v>4</v>
      </c>
      <c r="D81" s="3522" t="s">
        <v>5455</v>
      </c>
      <c r="E81" s="3520" t="s">
        <v>5454</v>
      </c>
      <c r="F81" s="3520"/>
      <c r="G81" s="3520"/>
      <c r="H81" s="3520"/>
      <c r="I81" s="3520"/>
      <c r="J81" s="3520"/>
      <c r="K81" s="3520"/>
      <c r="L81" s="3520"/>
      <c r="M81" s="3520"/>
      <c r="N81" s="3520"/>
      <c r="O81" s="3520"/>
      <c r="P81" s="3520"/>
      <c r="Q81" s="3520"/>
      <c r="R81" s="3520"/>
      <c r="S81" s="3520"/>
      <c r="T81" s="3520"/>
      <c r="U81" s="3520"/>
      <c r="V81" s="3520"/>
      <c r="W81" s="3520"/>
      <c r="X81" s="3520"/>
      <c r="Y81" s="3520"/>
      <c r="Z81" s="3520"/>
      <c r="AA81" s="3520"/>
      <c r="AB81" s="3520"/>
      <c r="AC81" s="3520"/>
      <c r="AD81" s="3520"/>
      <c r="AE81" s="3520"/>
      <c r="AF81" s="3520"/>
      <c r="AG81" s="3520"/>
      <c r="AH81" s="3520"/>
      <c r="AI81" s="3520"/>
      <c r="AJ81" s="3520"/>
      <c r="AK81" s="3520"/>
      <c r="AL81" s="3520"/>
      <c r="AM81" s="3520"/>
      <c r="AN81" s="3520"/>
      <c r="AO81" s="3520"/>
      <c r="AP81" s="3520"/>
      <c r="AQ81" s="3520"/>
      <c r="AR81" s="3520"/>
      <c r="AS81" s="3520"/>
      <c r="AT81" s="3520"/>
      <c r="AU81" s="3520"/>
      <c r="AV81" s="3520"/>
      <c r="AW81" s="3520"/>
      <c r="AX81" s="3520"/>
      <c r="AY81" s="3520"/>
      <c r="AZ81" s="2841"/>
    </row>
    <row r="82" spans="2:52" ht="13.5" customHeight="1">
      <c r="B82" s="3502"/>
      <c r="C82" s="3498"/>
      <c r="D82" s="3522"/>
      <c r="E82" s="3520"/>
      <c r="F82" s="3520"/>
      <c r="G82" s="3520"/>
      <c r="H82" s="3520"/>
      <c r="I82" s="3520"/>
      <c r="J82" s="3520"/>
      <c r="K82" s="3520"/>
      <c r="L82" s="3520"/>
      <c r="M82" s="3520"/>
      <c r="N82" s="3520"/>
      <c r="O82" s="3520"/>
      <c r="P82" s="3520"/>
      <c r="Q82" s="3520"/>
      <c r="R82" s="3520"/>
      <c r="S82" s="3520"/>
      <c r="T82" s="3520"/>
      <c r="U82" s="3520"/>
      <c r="V82" s="3520"/>
      <c r="W82" s="3520"/>
      <c r="X82" s="3520"/>
      <c r="Y82" s="3520"/>
      <c r="Z82" s="3520"/>
      <c r="AA82" s="3520"/>
      <c r="AB82" s="3520"/>
      <c r="AC82" s="3520"/>
      <c r="AD82" s="3520"/>
      <c r="AE82" s="3520"/>
      <c r="AF82" s="3520"/>
      <c r="AG82" s="3520"/>
      <c r="AH82" s="3520"/>
      <c r="AI82" s="3520"/>
      <c r="AJ82" s="3520"/>
      <c r="AK82" s="3520"/>
      <c r="AL82" s="3520"/>
      <c r="AM82" s="3520"/>
      <c r="AN82" s="3520"/>
      <c r="AO82" s="3520"/>
      <c r="AP82" s="3520"/>
      <c r="AQ82" s="3520"/>
      <c r="AR82" s="3520"/>
      <c r="AS82" s="3520"/>
      <c r="AT82" s="3520"/>
      <c r="AU82" s="3520"/>
      <c r="AV82" s="3520"/>
      <c r="AW82" s="3520"/>
      <c r="AX82" s="3520"/>
      <c r="AY82" s="3520"/>
      <c r="AZ82" s="2841"/>
    </row>
    <row r="83" spans="2:52" ht="13.5" customHeight="1">
      <c r="B83" s="3502"/>
      <c r="C83" s="3503"/>
      <c r="D83" s="3522"/>
      <c r="E83" s="3520"/>
      <c r="F83" s="3520"/>
      <c r="G83" s="3520"/>
      <c r="H83" s="3520"/>
      <c r="I83" s="3520"/>
      <c r="J83" s="3520"/>
      <c r="K83" s="3520"/>
      <c r="L83" s="3520"/>
      <c r="M83" s="3520"/>
      <c r="N83" s="3520"/>
      <c r="O83" s="3520"/>
      <c r="P83" s="3520"/>
      <c r="Q83" s="3520"/>
      <c r="R83" s="3520"/>
      <c r="S83" s="3520"/>
      <c r="T83" s="3520"/>
      <c r="U83" s="3520"/>
      <c r="V83" s="3520"/>
      <c r="W83" s="3520"/>
      <c r="X83" s="3520"/>
      <c r="Y83" s="3520"/>
      <c r="Z83" s="3520"/>
      <c r="AA83" s="3520"/>
      <c r="AB83" s="3520"/>
      <c r="AC83" s="3520"/>
      <c r="AD83" s="3520"/>
      <c r="AE83" s="3520"/>
      <c r="AF83" s="3520"/>
      <c r="AG83" s="3520"/>
      <c r="AH83" s="3520"/>
      <c r="AI83" s="3520"/>
      <c r="AJ83" s="3520"/>
      <c r="AK83" s="3520"/>
      <c r="AL83" s="3520"/>
      <c r="AM83" s="3520"/>
      <c r="AN83" s="3520"/>
      <c r="AO83" s="3520"/>
      <c r="AP83" s="3520"/>
      <c r="AQ83" s="3520"/>
      <c r="AR83" s="3520"/>
      <c r="AS83" s="3520"/>
      <c r="AT83" s="3520"/>
      <c r="AU83" s="3520"/>
      <c r="AV83" s="3520"/>
      <c r="AW83" s="3520"/>
      <c r="AX83" s="3520"/>
      <c r="AY83" s="3520"/>
      <c r="AZ83" s="2841"/>
    </row>
    <row r="84" spans="2:52" ht="13.5" customHeight="1">
      <c r="B84" s="3502"/>
      <c r="C84" s="3514">
        <v>5</v>
      </c>
      <c r="D84" s="3522" t="s">
        <v>5453</v>
      </c>
      <c r="E84" s="3520"/>
      <c r="F84" s="3520"/>
      <c r="G84" s="3520"/>
      <c r="H84" s="3520"/>
      <c r="I84" s="3520"/>
      <c r="J84" s="3520"/>
      <c r="K84" s="3520"/>
      <c r="L84" s="3520"/>
      <c r="M84" s="3520"/>
      <c r="N84" s="3520"/>
      <c r="O84" s="3520"/>
      <c r="P84" s="3520"/>
      <c r="Q84" s="3520"/>
      <c r="R84" s="3520"/>
      <c r="S84" s="3520"/>
      <c r="T84" s="3520"/>
      <c r="U84" s="3520"/>
      <c r="V84" s="3520"/>
      <c r="W84" s="3520"/>
      <c r="X84" s="3520"/>
      <c r="Y84" s="3520"/>
      <c r="Z84" s="3520"/>
      <c r="AA84" s="3520"/>
      <c r="AB84" s="3520"/>
      <c r="AC84" s="3520"/>
      <c r="AD84" s="3520"/>
      <c r="AE84" s="3520"/>
      <c r="AF84" s="3520"/>
      <c r="AG84" s="3520"/>
      <c r="AH84" s="3520"/>
      <c r="AI84" s="3520"/>
      <c r="AJ84" s="3520"/>
      <c r="AK84" s="3520"/>
      <c r="AL84" s="3520"/>
      <c r="AM84" s="3520"/>
      <c r="AN84" s="3520"/>
      <c r="AO84" s="3520"/>
      <c r="AP84" s="3520"/>
      <c r="AQ84" s="3520"/>
      <c r="AR84" s="3520"/>
      <c r="AS84" s="3520"/>
      <c r="AT84" s="3520"/>
      <c r="AU84" s="3520"/>
      <c r="AV84" s="3520"/>
      <c r="AW84" s="3520"/>
      <c r="AX84" s="3520"/>
      <c r="AY84" s="3520"/>
      <c r="AZ84" s="2841"/>
    </row>
    <row r="85" spans="2:52" ht="13.5" customHeight="1">
      <c r="B85" s="3502"/>
      <c r="C85" s="3498"/>
      <c r="D85" s="3522"/>
      <c r="E85" s="3520"/>
      <c r="F85" s="3520"/>
      <c r="G85" s="3520"/>
      <c r="H85" s="3520"/>
      <c r="I85" s="3520"/>
      <c r="J85" s="3520"/>
      <c r="K85" s="3520"/>
      <c r="L85" s="3520"/>
      <c r="M85" s="3520"/>
      <c r="N85" s="3520"/>
      <c r="O85" s="3520"/>
      <c r="P85" s="3520"/>
      <c r="Q85" s="3520"/>
      <c r="R85" s="3520"/>
      <c r="S85" s="3520"/>
      <c r="T85" s="3520"/>
      <c r="U85" s="3520"/>
      <c r="V85" s="3520"/>
      <c r="W85" s="3520"/>
      <c r="X85" s="3520"/>
      <c r="Y85" s="3520"/>
      <c r="Z85" s="3520"/>
      <c r="AA85" s="3520"/>
      <c r="AB85" s="3520"/>
      <c r="AC85" s="3520"/>
      <c r="AD85" s="3520"/>
      <c r="AE85" s="3520"/>
      <c r="AF85" s="3520"/>
      <c r="AG85" s="3520"/>
      <c r="AH85" s="3520"/>
      <c r="AI85" s="3520"/>
      <c r="AJ85" s="3520"/>
      <c r="AK85" s="3520"/>
      <c r="AL85" s="3520"/>
      <c r="AM85" s="3520"/>
      <c r="AN85" s="3520"/>
      <c r="AO85" s="3520"/>
      <c r="AP85" s="3520"/>
      <c r="AQ85" s="3520"/>
      <c r="AR85" s="3520"/>
      <c r="AS85" s="3520"/>
      <c r="AT85" s="3520"/>
      <c r="AU85" s="3520"/>
      <c r="AV85" s="3520"/>
      <c r="AW85" s="3520"/>
      <c r="AX85" s="3520"/>
      <c r="AY85" s="3520"/>
      <c r="AZ85" s="2841"/>
    </row>
    <row r="86" spans="2:52" ht="13.5" customHeight="1">
      <c r="B86" s="3513"/>
      <c r="C86" s="3503"/>
      <c r="D86" s="3522"/>
      <c r="E86" s="3520"/>
      <c r="F86" s="3520"/>
      <c r="G86" s="3520"/>
      <c r="H86" s="3520"/>
      <c r="I86" s="3520"/>
      <c r="J86" s="3520"/>
      <c r="K86" s="3520"/>
      <c r="L86" s="3520"/>
      <c r="M86" s="3520"/>
      <c r="N86" s="3520"/>
      <c r="O86" s="3520"/>
      <c r="P86" s="3520"/>
      <c r="Q86" s="3520"/>
      <c r="R86" s="3520"/>
      <c r="S86" s="3520"/>
      <c r="T86" s="3520"/>
      <c r="U86" s="3520"/>
      <c r="V86" s="3520"/>
      <c r="W86" s="3520"/>
      <c r="X86" s="3520"/>
      <c r="Y86" s="3520"/>
      <c r="Z86" s="3520"/>
      <c r="AA86" s="3520"/>
      <c r="AB86" s="3520"/>
      <c r="AC86" s="3520"/>
      <c r="AD86" s="3520"/>
      <c r="AE86" s="3520"/>
      <c r="AF86" s="3520"/>
      <c r="AG86" s="3520"/>
      <c r="AH86" s="3520"/>
      <c r="AI86" s="3520"/>
      <c r="AJ86" s="3520"/>
      <c r="AK86" s="3520"/>
      <c r="AL86" s="3520"/>
      <c r="AM86" s="3520"/>
      <c r="AN86" s="3520"/>
      <c r="AO86" s="3520"/>
      <c r="AP86" s="3520"/>
      <c r="AQ86" s="3520"/>
      <c r="AR86" s="3520"/>
      <c r="AS86" s="3520"/>
      <c r="AT86" s="3520"/>
      <c r="AU86" s="3520"/>
      <c r="AV86" s="3520"/>
      <c r="AW86" s="3520"/>
      <c r="AX86" s="3520"/>
      <c r="AY86" s="3520"/>
      <c r="AZ86" s="2836"/>
    </row>
    <row r="87" spans="2:52" ht="13.5" customHeight="1">
      <c r="B87" s="3512" t="s">
        <v>5452</v>
      </c>
      <c r="C87" s="3516">
        <v>1</v>
      </c>
      <c r="D87" s="3512" t="s">
        <v>5451</v>
      </c>
      <c r="E87" s="2850"/>
      <c r="F87" s="2849"/>
      <c r="G87" s="2848"/>
      <c r="H87" s="2848"/>
      <c r="I87" s="2848"/>
      <c r="J87" s="2848"/>
      <c r="K87" s="2848"/>
      <c r="L87" s="2848"/>
      <c r="M87" s="2848"/>
      <c r="N87" s="2848"/>
      <c r="O87" s="2848"/>
      <c r="P87" s="2848"/>
      <c r="Q87" s="2848"/>
      <c r="R87" s="2848"/>
      <c r="S87" s="2848"/>
      <c r="T87" s="2848"/>
      <c r="U87" s="2848"/>
      <c r="V87" s="2848"/>
      <c r="W87" s="2848"/>
      <c r="X87" s="2848"/>
      <c r="Y87" s="2848"/>
      <c r="Z87" s="2848"/>
      <c r="AA87" s="2848"/>
      <c r="AB87" s="2848"/>
      <c r="AC87" s="2848"/>
      <c r="AD87" s="2848"/>
      <c r="AE87" s="2848"/>
      <c r="AF87" s="2848"/>
      <c r="AG87" s="2848"/>
      <c r="AH87" s="2848"/>
      <c r="AI87" s="2848"/>
      <c r="AJ87" s="2848"/>
      <c r="AK87" s="2848"/>
      <c r="AL87" s="2848"/>
      <c r="AM87" s="2848"/>
      <c r="AN87" s="2848"/>
      <c r="AO87" s="2848"/>
      <c r="AP87" s="2848"/>
      <c r="AQ87" s="2848"/>
      <c r="AR87" s="2848"/>
      <c r="AS87" s="2848"/>
      <c r="AT87" s="2848"/>
      <c r="AU87" s="2848"/>
      <c r="AV87" s="2848"/>
      <c r="AW87" s="2848"/>
      <c r="AX87" s="2848"/>
      <c r="AY87" s="2847"/>
      <c r="AZ87" s="3494" t="s">
        <v>5635</v>
      </c>
    </row>
    <row r="88" spans="2:52" ht="13.5" customHeight="1">
      <c r="B88" s="3502"/>
      <c r="C88" s="3517"/>
      <c r="D88" s="3502"/>
      <c r="E88" s="2860" t="s">
        <v>5450</v>
      </c>
      <c r="F88" s="2844"/>
      <c r="G88" s="2844"/>
      <c r="H88" s="2844"/>
      <c r="I88" s="2844"/>
      <c r="J88" s="2844"/>
      <c r="K88" s="2844"/>
      <c r="L88" s="2844"/>
      <c r="M88" s="2844"/>
      <c r="N88" s="2844"/>
      <c r="O88" s="2844"/>
      <c r="P88" s="3535">
        <f>'(申)3%'!P88:U88+'(申)5%'!P88:U88+'(申)8%'!P88:U88+'(申)軽8%'!P88:U88+'(申)10%'!P88:U88</f>
        <v>2312892880</v>
      </c>
      <c r="Q88" s="3536"/>
      <c r="R88" s="3536"/>
      <c r="S88" s="3536"/>
      <c r="T88" s="3536"/>
      <c r="U88" s="3537"/>
      <c r="V88" s="2843"/>
      <c r="W88" s="2851" t="s">
        <v>5448</v>
      </c>
      <c r="X88" s="2843"/>
      <c r="Y88" s="2843"/>
      <c r="Z88" s="2843"/>
      <c r="AA88" s="2843"/>
      <c r="AB88" s="2843"/>
      <c r="AC88" s="2843"/>
      <c r="AD88" s="2843"/>
      <c r="AE88" s="2843"/>
      <c r="AF88" s="2843"/>
      <c r="AG88" s="2843"/>
      <c r="AH88" s="2843"/>
      <c r="AI88" s="2844"/>
      <c r="AJ88" s="2843"/>
      <c r="AK88" s="2843"/>
      <c r="AL88" s="2843"/>
      <c r="AM88" s="2843"/>
      <c r="AN88" s="2843"/>
      <c r="AO88" s="2843"/>
      <c r="AP88" s="2843"/>
      <c r="AQ88" s="2843"/>
      <c r="AR88" s="2843"/>
      <c r="AS88" s="2843"/>
      <c r="AT88" s="2843"/>
      <c r="AU88" s="2843"/>
      <c r="AV88" s="2843"/>
      <c r="AW88" s="2843"/>
      <c r="AX88" s="2843"/>
      <c r="AY88" s="2842"/>
      <c r="AZ88" s="3495"/>
    </row>
    <row r="89" spans="2:52" ht="13.5" customHeight="1">
      <c r="B89" s="3502"/>
      <c r="C89" s="3517"/>
      <c r="D89" s="3502"/>
      <c r="E89" s="2860" t="s">
        <v>5449</v>
      </c>
      <c r="F89" s="2843"/>
      <c r="G89" s="2843"/>
      <c r="H89" s="2843"/>
      <c r="I89" s="2843"/>
      <c r="J89" s="2843"/>
      <c r="K89" s="2843"/>
      <c r="L89" s="2843"/>
      <c r="M89" s="2843"/>
      <c r="N89" s="2843"/>
      <c r="O89" s="2843"/>
      <c r="P89" s="3535">
        <f>'(申)3%'!P89:U89+'(申)5%'!P89:U89+'(申)8%'!P89:U89+'(申)軽8%'!P89:U89+'(申)10%'!P89:U89</f>
        <v>6105633883</v>
      </c>
      <c r="Q89" s="3536"/>
      <c r="R89" s="3536"/>
      <c r="S89" s="3536"/>
      <c r="T89" s="3536"/>
      <c r="U89" s="3537"/>
      <c r="V89" s="2843"/>
      <c r="W89" s="2851" t="s">
        <v>5448</v>
      </c>
      <c r="X89" s="2843"/>
      <c r="Y89" s="2843"/>
      <c r="Z89" s="2843"/>
      <c r="AA89" s="2843"/>
      <c r="AB89" s="2843"/>
      <c r="AC89" s="2843"/>
      <c r="AD89" s="2843"/>
      <c r="AE89" s="2843"/>
      <c r="AF89" s="2843"/>
      <c r="AG89" s="2843"/>
      <c r="AH89" s="2843"/>
      <c r="AI89" s="2843"/>
      <c r="AJ89" s="2843"/>
      <c r="AK89" s="2843"/>
      <c r="AL89" s="2843"/>
      <c r="AM89" s="2843"/>
      <c r="AN89" s="2843"/>
      <c r="AO89" s="2843"/>
      <c r="AP89" s="2843"/>
      <c r="AQ89" s="2843"/>
      <c r="AR89" s="2843" t="s">
        <v>5447</v>
      </c>
      <c r="AS89" s="3497">
        <f>P88+P89</f>
        <v>8418526763</v>
      </c>
      <c r="AT89" s="3497"/>
      <c r="AU89" s="3497"/>
      <c r="AV89" s="3497"/>
      <c r="AW89" s="3497"/>
      <c r="AX89" s="3497"/>
      <c r="AY89" s="2842" t="s">
        <v>5634</v>
      </c>
      <c r="AZ89" s="3495"/>
    </row>
    <row r="90" spans="2:52" ht="13.5" customHeight="1">
      <c r="B90" s="3502"/>
      <c r="C90" s="3517"/>
      <c r="D90" s="3502"/>
      <c r="E90" s="2845"/>
      <c r="F90" s="2844"/>
      <c r="G90" s="2843"/>
      <c r="H90" s="2843"/>
      <c r="I90" s="2843"/>
      <c r="J90" s="2843"/>
      <c r="K90" s="2843"/>
      <c r="L90" s="2843"/>
      <c r="M90" s="2843"/>
      <c r="N90" s="2843"/>
      <c r="O90" s="2843"/>
      <c r="P90" s="2843"/>
      <c r="Q90" s="2843"/>
      <c r="R90" s="2843"/>
      <c r="S90" s="2843"/>
      <c r="T90" s="2843"/>
      <c r="U90" s="2843"/>
      <c r="V90" s="2843"/>
      <c r="W90" s="2843"/>
      <c r="X90" s="2843"/>
      <c r="Y90" s="2843"/>
      <c r="Z90" s="2843"/>
      <c r="AA90" s="2843"/>
      <c r="AB90" s="2843"/>
      <c r="AC90" s="2843"/>
      <c r="AD90" s="2843"/>
      <c r="AE90" s="2843"/>
      <c r="AF90" s="2843"/>
      <c r="AG90" s="2843"/>
      <c r="AH90" s="2843"/>
      <c r="AI90" s="2843"/>
      <c r="AJ90" s="2843"/>
      <c r="AK90" s="2843"/>
      <c r="AL90" s="2843"/>
      <c r="AM90" s="2843"/>
      <c r="AN90" s="2843"/>
      <c r="AO90" s="2843"/>
      <c r="AP90" s="2843"/>
      <c r="AQ90" s="2843"/>
      <c r="AR90" s="2843"/>
      <c r="AS90" s="2843"/>
      <c r="AT90" s="2843"/>
      <c r="AU90" s="2843"/>
      <c r="AV90" s="2843"/>
      <c r="AW90" s="2843"/>
      <c r="AX90" s="2843"/>
      <c r="AY90" s="2842"/>
      <c r="AZ90" s="3495"/>
    </row>
    <row r="91" spans="2:52" ht="13.5" customHeight="1">
      <c r="B91" s="3502"/>
      <c r="C91" s="3517"/>
      <c r="D91" s="3502"/>
      <c r="E91" s="2845" t="s">
        <v>5445</v>
      </c>
      <c r="F91" s="2844"/>
      <c r="G91" s="2843"/>
      <c r="H91" s="2843"/>
      <c r="I91" s="2843"/>
      <c r="J91" s="2843"/>
      <c r="K91" s="2843"/>
      <c r="L91" s="2843"/>
      <c r="M91" s="2843"/>
      <c r="N91" s="2843"/>
      <c r="O91" s="2843"/>
      <c r="P91" s="3535">
        <f>'(申)3%'!P91:U91+'(申)5%'!P91:U91+'(申)8%'!P91:U91+'(申)軽8%'!P91:U91+'(申)10%'!P91:U91</f>
        <v>18881588966</v>
      </c>
      <c r="Q91" s="3536"/>
      <c r="R91" s="3536"/>
      <c r="S91" s="3536"/>
      <c r="T91" s="3536"/>
      <c r="U91" s="3537"/>
      <c r="V91" s="2843"/>
      <c r="W91" s="2851" t="s">
        <v>5633</v>
      </c>
      <c r="X91" s="2843"/>
      <c r="Y91" s="2843"/>
      <c r="Z91" s="2843"/>
      <c r="AA91" s="2843"/>
      <c r="AB91" s="2843"/>
      <c r="AC91" s="2843"/>
      <c r="AD91" s="2843"/>
      <c r="AE91" s="2843"/>
      <c r="AF91" s="2843"/>
      <c r="AG91" s="2843"/>
      <c r="AH91" s="2843"/>
      <c r="AI91" s="2843"/>
      <c r="AJ91" s="2843"/>
      <c r="AK91" s="2843"/>
      <c r="AL91" s="2843"/>
      <c r="AM91" s="2843"/>
      <c r="AN91" s="2843"/>
      <c r="AO91" s="2843"/>
      <c r="AP91" s="2843"/>
      <c r="AQ91" s="2843"/>
      <c r="AR91" s="2843"/>
      <c r="AS91" s="2843"/>
      <c r="AT91" s="2843"/>
      <c r="AU91" s="2843"/>
      <c r="AV91" s="2843"/>
      <c r="AW91" s="2843"/>
      <c r="AX91" s="2843"/>
      <c r="AY91" s="2842"/>
      <c r="AZ91" s="3495"/>
    </row>
    <row r="92" spans="2:52" ht="13.5" customHeight="1">
      <c r="B92" s="3502"/>
      <c r="C92" s="3517"/>
      <c r="D92" s="3502"/>
      <c r="E92" s="2845" t="s">
        <v>5495</v>
      </c>
      <c r="F92" s="2844"/>
      <c r="G92" s="2843"/>
      <c r="H92" s="2843"/>
      <c r="I92" s="2843"/>
      <c r="J92" s="2843"/>
      <c r="K92" s="2843"/>
      <c r="L92" s="2843"/>
      <c r="M92" s="2843"/>
      <c r="N92" s="2843"/>
      <c r="O92" s="2843"/>
      <c r="P92" s="3497">
        <f>R35</f>
        <v>86860</v>
      </c>
      <c r="Q92" s="3497"/>
      <c r="R92" s="3497"/>
      <c r="S92" s="3497"/>
      <c r="T92" s="3497"/>
      <c r="U92" s="3497"/>
      <c r="V92" s="2843"/>
      <c r="W92" s="2851" t="s">
        <v>5632</v>
      </c>
      <c r="X92" s="2843"/>
      <c r="Y92" s="2843"/>
      <c r="Z92" s="2843"/>
      <c r="AA92" s="2843"/>
      <c r="AB92" s="2843"/>
      <c r="AC92" s="2843"/>
      <c r="AD92" s="2843" t="s">
        <v>5447</v>
      </c>
      <c r="AE92" s="3497">
        <f>SUM(P91:U93)</f>
        <v>18950268779</v>
      </c>
      <c r="AF92" s="3497"/>
      <c r="AG92" s="3497"/>
      <c r="AH92" s="3497"/>
      <c r="AI92" s="3497"/>
      <c r="AJ92" s="3497"/>
      <c r="AK92" s="2851" t="s">
        <v>5631</v>
      </c>
      <c r="AL92" s="2843"/>
      <c r="AM92" s="2843"/>
      <c r="AN92" s="2843"/>
      <c r="AO92" s="2843"/>
      <c r="AP92" s="2843"/>
      <c r="AQ92" s="2843"/>
      <c r="AR92" s="2843"/>
      <c r="AS92" s="2843"/>
      <c r="AT92" s="2843"/>
      <c r="AU92" s="2843"/>
      <c r="AV92" s="2843"/>
      <c r="AW92" s="2843"/>
      <c r="AX92" s="2843"/>
      <c r="AY92" s="2842"/>
      <c r="AZ92" s="3495"/>
    </row>
    <row r="93" spans="2:52" ht="13.5" customHeight="1">
      <c r="B93" s="3502"/>
      <c r="C93" s="3517"/>
      <c r="D93" s="3502"/>
      <c r="E93" s="2845" t="s">
        <v>5442</v>
      </c>
      <c r="F93" s="2844"/>
      <c r="G93" s="2843"/>
      <c r="H93" s="2843"/>
      <c r="I93" s="2843"/>
      <c r="J93" s="2843"/>
      <c r="K93" s="2843"/>
      <c r="L93" s="2843"/>
      <c r="M93" s="2843"/>
      <c r="N93" s="2843"/>
      <c r="O93" s="2843"/>
      <c r="P93" s="3497">
        <f>AK39</f>
        <v>68592953</v>
      </c>
      <c r="Q93" s="3497"/>
      <c r="R93" s="3497"/>
      <c r="S93" s="3497"/>
      <c r="T93" s="3497"/>
      <c r="U93" s="3497"/>
      <c r="V93" s="2843"/>
      <c r="W93" s="2851" t="s">
        <v>5630</v>
      </c>
      <c r="X93" s="2843"/>
      <c r="Y93" s="2843"/>
      <c r="Z93" s="2843"/>
      <c r="AA93" s="2843"/>
      <c r="AB93" s="2843"/>
      <c r="AC93" s="2843"/>
      <c r="AD93" s="2843"/>
      <c r="AE93" s="2843"/>
      <c r="AF93" s="2843"/>
      <c r="AG93" s="2843"/>
      <c r="AH93" s="2843"/>
      <c r="AI93" s="2843"/>
      <c r="AJ93" s="2843"/>
      <c r="AK93" s="2843"/>
      <c r="AL93" s="2843"/>
      <c r="AM93" s="2843"/>
      <c r="AN93" s="2843"/>
      <c r="AO93" s="2843"/>
      <c r="AP93" s="2843"/>
      <c r="AQ93" s="2843"/>
      <c r="AR93" s="2843"/>
      <c r="AS93" s="2843"/>
      <c r="AT93" s="2843"/>
      <c r="AU93" s="2843"/>
      <c r="AV93" s="2843"/>
      <c r="AW93" s="2843"/>
      <c r="AX93" s="2843"/>
      <c r="AY93" s="2842"/>
      <c r="AZ93" s="3495"/>
    </row>
    <row r="94" spans="2:52" ht="13.5" customHeight="1" thickBot="1">
      <c r="B94" s="3502"/>
      <c r="C94" s="3517"/>
      <c r="D94" s="3502"/>
      <c r="E94" s="2845"/>
      <c r="F94" s="2844"/>
      <c r="G94" s="2843"/>
      <c r="H94" s="2843"/>
      <c r="I94" s="2843"/>
      <c r="J94" s="2843"/>
      <c r="K94" s="2843"/>
      <c r="L94" s="2843"/>
      <c r="M94" s="2843"/>
      <c r="N94" s="2843"/>
      <c r="O94" s="2843"/>
      <c r="P94" s="2843"/>
      <c r="Q94" s="2843"/>
      <c r="R94" s="2843"/>
      <c r="S94" s="2843"/>
      <c r="T94" s="2843"/>
      <c r="U94" s="2843"/>
      <c r="V94" s="2843"/>
      <c r="W94" s="2843"/>
      <c r="X94" s="2843"/>
      <c r="Y94" s="2843"/>
      <c r="Z94" s="2843"/>
      <c r="AA94" s="2843"/>
      <c r="AB94" s="2843"/>
      <c r="AC94" s="2843"/>
      <c r="AD94" s="2843"/>
      <c r="AE94" s="2843"/>
      <c r="AF94" s="2843"/>
      <c r="AG94" s="2843"/>
      <c r="AH94" s="2843"/>
      <c r="AI94" s="2843"/>
      <c r="AJ94" s="2843"/>
      <c r="AK94" s="2843"/>
      <c r="AL94" s="2843"/>
      <c r="AM94" s="2843"/>
      <c r="AN94" s="2843"/>
      <c r="AO94" s="2843"/>
      <c r="AP94" s="2843"/>
      <c r="AQ94" s="2843"/>
      <c r="AR94" s="2843"/>
      <c r="AS94" s="2843"/>
      <c r="AT94" s="2843"/>
      <c r="AU94" s="2843"/>
      <c r="AV94" s="2843"/>
      <c r="AW94" s="2843"/>
      <c r="AX94" s="2843"/>
      <c r="AY94" s="2842"/>
      <c r="AZ94" s="3495"/>
    </row>
    <row r="95" spans="2:52" ht="13.5" customHeight="1" thickTop="1" thickBot="1">
      <c r="B95" s="3502"/>
      <c r="C95" s="3517"/>
      <c r="D95" s="3502"/>
      <c r="E95" s="2845" t="s">
        <v>5441</v>
      </c>
      <c r="F95" s="2844"/>
      <c r="G95" s="2843"/>
      <c r="H95" s="2843"/>
      <c r="I95" s="2843"/>
      <c r="J95" s="2843"/>
      <c r="K95" s="2843"/>
      <c r="L95" s="2843"/>
      <c r="M95" s="2843"/>
      <c r="N95" s="2843"/>
      <c r="O95" s="2843"/>
      <c r="P95" s="3504">
        <f>ROUNDUP(AS89/(AS89+P91+P92+P93),3)</f>
        <v>0.308</v>
      </c>
      <c r="Q95" s="3505"/>
      <c r="R95" s="3505"/>
      <c r="S95" s="3505"/>
      <c r="T95" s="3505"/>
      <c r="U95" s="3506"/>
      <c r="V95" s="2843"/>
      <c r="W95" s="2851" t="s">
        <v>5629</v>
      </c>
      <c r="X95" s="2843"/>
      <c r="Y95" s="2843"/>
      <c r="Z95" s="2843"/>
      <c r="AA95" s="2843"/>
      <c r="AB95" s="2843"/>
      <c r="AC95" s="2843"/>
      <c r="AD95" s="2843"/>
      <c r="AE95" s="2843"/>
      <c r="AF95" s="2843"/>
      <c r="AG95" s="2843"/>
      <c r="AH95" s="2843"/>
      <c r="AI95" s="2843"/>
      <c r="AJ95" s="2843"/>
      <c r="AK95" s="2843"/>
      <c r="AL95" s="2843"/>
      <c r="AM95" s="2843"/>
      <c r="AN95" s="2843"/>
      <c r="AO95" s="2843"/>
      <c r="AP95" s="2843"/>
      <c r="AQ95" s="2843"/>
      <c r="AR95" s="2843"/>
      <c r="AS95" s="2843"/>
      <c r="AT95" s="2843"/>
      <c r="AU95" s="2843"/>
      <c r="AV95" s="2843"/>
      <c r="AW95" s="2843"/>
      <c r="AX95" s="2843"/>
      <c r="AY95" s="2842"/>
      <c r="AZ95" s="3495"/>
    </row>
    <row r="96" spans="2:52" ht="13.5" customHeight="1" thickTop="1">
      <c r="B96" s="3502"/>
      <c r="C96" s="3518"/>
      <c r="D96" s="3513"/>
      <c r="E96" s="2840"/>
      <c r="F96" s="2839"/>
      <c r="G96" s="2838"/>
      <c r="H96" s="2838"/>
      <c r="I96" s="2838"/>
      <c r="J96" s="2838"/>
      <c r="K96" s="2838"/>
      <c r="L96" s="2838"/>
      <c r="M96" s="2838"/>
      <c r="N96" s="2838"/>
      <c r="O96" s="2838"/>
      <c r="P96" s="2838"/>
      <c r="Q96" s="2838"/>
      <c r="R96" s="2838"/>
      <c r="S96" s="2838"/>
      <c r="T96" s="2838"/>
      <c r="U96" s="2838"/>
      <c r="V96" s="2838"/>
      <c r="W96" s="2838"/>
      <c r="X96" s="2859" t="s">
        <v>5628</v>
      </c>
      <c r="Y96" s="2838"/>
      <c r="Z96" s="2838"/>
      <c r="AA96" s="2838"/>
      <c r="AB96" s="2838"/>
      <c r="AC96" s="2838"/>
      <c r="AD96" s="2838"/>
      <c r="AE96" s="2838"/>
      <c r="AF96" s="2838"/>
      <c r="AG96" s="2838"/>
      <c r="AH96" s="2838"/>
      <c r="AI96" s="2838"/>
      <c r="AJ96" s="2838"/>
      <c r="AK96" s="2838"/>
      <c r="AL96" s="2838"/>
      <c r="AM96" s="2838"/>
      <c r="AN96" s="2838"/>
      <c r="AO96" s="2838"/>
      <c r="AP96" s="2838"/>
      <c r="AQ96" s="2838"/>
      <c r="AR96" s="2838"/>
      <c r="AS96" s="2838"/>
      <c r="AT96" s="2838"/>
      <c r="AU96" s="2838"/>
      <c r="AV96" s="2838"/>
      <c r="AW96" s="2838"/>
      <c r="AX96" s="2838"/>
      <c r="AY96" s="2837"/>
      <c r="AZ96" s="3496"/>
    </row>
    <row r="97" spans="2:54" ht="13.5" customHeight="1" thickBot="1">
      <c r="B97" s="3502"/>
      <c r="C97" s="3516">
        <v>2</v>
      </c>
      <c r="D97" s="3512" t="s">
        <v>5440</v>
      </c>
      <c r="E97" s="2850"/>
      <c r="F97" s="2849"/>
      <c r="G97" s="2848"/>
      <c r="H97" s="2848"/>
      <c r="I97" s="2848"/>
      <c r="J97" s="2848"/>
      <c r="K97" s="2848"/>
      <c r="L97" s="2848"/>
      <c r="M97" s="2848"/>
      <c r="N97" s="2848"/>
      <c r="O97" s="2848"/>
      <c r="P97" s="2848"/>
      <c r="Q97" s="2848"/>
      <c r="R97" s="2848"/>
      <c r="S97" s="2848"/>
      <c r="T97" s="2848"/>
      <c r="U97" s="2848"/>
      <c r="V97" s="2848"/>
      <c r="W97" s="2848"/>
      <c r="X97" s="2848"/>
      <c r="Y97" s="2848"/>
      <c r="Z97" s="2848"/>
      <c r="AA97" s="2848"/>
      <c r="AB97" s="2848"/>
      <c r="AC97" s="2848"/>
      <c r="AD97" s="2848"/>
      <c r="AE97" s="2848"/>
      <c r="AF97" s="2848"/>
      <c r="AG97" s="2848"/>
      <c r="AH97" s="2848"/>
      <c r="AI97" s="2848"/>
      <c r="AJ97" s="2848"/>
      <c r="AK97" s="2848"/>
      <c r="AL97" s="2848"/>
      <c r="AM97" s="2848"/>
      <c r="AN97" s="2848"/>
      <c r="AO97" s="2848"/>
      <c r="AP97" s="2848"/>
      <c r="AQ97" s="2848"/>
      <c r="AR97" s="2848"/>
      <c r="AS97" s="2848"/>
      <c r="AT97" s="2848"/>
      <c r="AU97" s="2848"/>
      <c r="AV97" s="2848"/>
      <c r="AW97" s="2848"/>
      <c r="AX97" s="2848"/>
      <c r="AY97" s="2847"/>
      <c r="AZ97" s="3494" t="s">
        <v>6227</v>
      </c>
    </row>
    <row r="98" spans="2:54" ht="13.5" customHeight="1" thickTop="1" thickBot="1">
      <c r="B98" s="3502"/>
      <c r="C98" s="3517"/>
      <c r="D98" s="3502"/>
      <c r="E98" s="2845" t="s">
        <v>5438</v>
      </c>
      <c r="F98" s="2844"/>
      <c r="G98" s="2843"/>
      <c r="H98" s="2843"/>
      <c r="I98" s="2843"/>
      <c r="J98" s="2843"/>
      <c r="K98" s="2843"/>
      <c r="L98" s="2843"/>
      <c r="M98" s="2843"/>
      <c r="N98" s="2843"/>
      <c r="O98" s="2843"/>
      <c r="P98" s="2843"/>
      <c r="Q98" s="2843"/>
      <c r="R98" s="2843"/>
      <c r="S98" s="2843"/>
      <c r="T98" s="2843"/>
      <c r="U98" s="2843"/>
      <c r="V98" s="2843"/>
      <c r="W98" s="2843"/>
      <c r="X98" s="2843"/>
      <c r="Y98" s="2843"/>
      <c r="Z98" s="3499">
        <f>'(申)3%'!Z98:AE98+'(申)5%'!Z98:AE98+'(申)8%'!Z98:AE98+'(申)軽8%'!Z98:AE98+'(申)10%'!Z98:AE98</f>
        <v>1792904063</v>
      </c>
      <c r="AA98" s="3500"/>
      <c r="AB98" s="3500"/>
      <c r="AC98" s="3500"/>
      <c r="AD98" s="3500"/>
      <c r="AE98" s="3501"/>
      <c r="AF98" s="2843" t="s">
        <v>5627</v>
      </c>
      <c r="AG98" s="2851"/>
      <c r="AH98" s="2843"/>
      <c r="AI98" s="2843"/>
      <c r="AJ98" s="2843"/>
      <c r="AK98" s="2843"/>
      <c r="AL98" s="2843"/>
      <c r="AM98" s="2843"/>
      <c r="AN98" s="2843"/>
      <c r="AO98" s="2843"/>
      <c r="AP98" s="2843"/>
      <c r="AQ98" s="2843"/>
      <c r="AR98" s="2843"/>
      <c r="AS98" s="2843"/>
      <c r="AT98" s="2843"/>
      <c r="AU98" s="2843"/>
      <c r="AV98" s="2843"/>
      <c r="AW98" s="2843"/>
      <c r="AX98" s="2843"/>
      <c r="AY98" s="2842"/>
      <c r="AZ98" s="3515"/>
    </row>
    <row r="99" spans="2:54" ht="13.5" customHeight="1" thickTop="1" thickBot="1">
      <c r="B99" s="3502"/>
      <c r="C99" s="3517"/>
      <c r="D99" s="3502"/>
      <c r="E99" s="2845"/>
      <c r="F99" s="2844"/>
      <c r="G99" s="2843"/>
      <c r="H99" s="2843"/>
      <c r="I99" s="2843"/>
      <c r="J99" s="2843"/>
      <c r="K99" s="2843"/>
      <c r="L99" s="2843"/>
      <c r="M99" s="2843"/>
      <c r="N99" s="2843"/>
      <c r="O99" s="2843"/>
      <c r="P99" s="2843"/>
      <c r="Q99" s="2843"/>
      <c r="R99" s="2843"/>
      <c r="S99" s="2843"/>
      <c r="T99" s="2843"/>
      <c r="U99" s="2858" t="s">
        <v>5435</v>
      </c>
      <c r="V99" s="2843"/>
      <c r="W99" s="2843"/>
      <c r="X99" s="2843"/>
      <c r="Y99" s="2843"/>
      <c r="Z99" s="2843"/>
      <c r="AA99" s="2843"/>
      <c r="AB99" s="2843"/>
      <c r="AC99" s="2843"/>
      <c r="AD99" s="2843"/>
      <c r="AE99" s="2843"/>
      <c r="AF99" s="2843"/>
      <c r="AG99" s="2843"/>
      <c r="AH99" s="2843"/>
      <c r="AI99" s="2843"/>
      <c r="AJ99" s="2843"/>
      <c r="AK99" s="2843"/>
      <c r="AL99" s="2843"/>
      <c r="AM99" s="2843"/>
      <c r="AN99" s="2843"/>
      <c r="AO99" s="2843"/>
      <c r="AP99" s="2843"/>
      <c r="AQ99" s="2843"/>
      <c r="AR99" s="2843"/>
      <c r="AS99" s="2843"/>
      <c r="AT99" s="2843"/>
      <c r="AU99" s="2843"/>
      <c r="AV99" s="2843"/>
      <c r="AW99" s="2843"/>
      <c r="AX99" s="2843"/>
      <c r="AY99" s="2842"/>
      <c r="AZ99" s="2841"/>
    </row>
    <row r="100" spans="2:54" ht="13.5" customHeight="1" thickTop="1" thickBot="1">
      <c r="B100" s="3502"/>
      <c r="C100" s="3517"/>
      <c r="D100" s="3502"/>
      <c r="E100" s="2845" t="s">
        <v>5434</v>
      </c>
      <c r="F100" s="2844"/>
      <c r="G100" s="2843"/>
      <c r="H100" s="2843"/>
      <c r="I100" s="2843"/>
      <c r="J100" s="2843"/>
      <c r="K100" s="2843"/>
      <c r="L100" s="2843"/>
      <c r="M100" s="2843"/>
      <c r="N100" s="2843"/>
      <c r="O100" s="2843"/>
      <c r="P100" s="2843"/>
      <c r="Q100" s="2843"/>
      <c r="R100" s="2843"/>
      <c r="S100" s="2843"/>
      <c r="T100" s="2843"/>
      <c r="U100" s="2843"/>
      <c r="V100" s="2843"/>
      <c r="W100" s="2843"/>
      <c r="X100" s="2843"/>
      <c r="Y100" s="2843"/>
      <c r="Z100" s="3499">
        <f>'(申)3%'!Z100:AE100+'(申)5%'!Z100:AE100+'(申)8%'!Z100:AE100+'(申)軽8%'!Z100:AE100+'(申)10%'!Z100:AE100</f>
        <v>8418526763</v>
      </c>
      <c r="AA100" s="3500"/>
      <c r="AB100" s="3500"/>
      <c r="AC100" s="3500"/>
      <c r="AD100" s="3500"/>
      <c r="AE100" s="3501"/>
      <c r="AF100" s="2843"/>
      <c r="AG100" s="2851" t="s">
        <v>5433</v>
      </c>
      <c r="AH100" s="2843"/>
      <c r="AI100" s="2843"/>
      <c r="AJ100" s="2843"/>
      <c r="AK100" s="2843"/>
      <c r="AL100" s="2843"/>
      <c r="AM100" s="2843"/>
      <c r="AN100" s="2843"/>
      <c r="AO100" s="2843"/>
      <c r="AP100" s="2843"/>
      <c r="AQ100" s="2843"/>
      <c r="AR100" s="2843"/>
      <c r="AS100" s="2843"/>
      <c r="AT100" s="2843"/>
      <c r="AU100" s="2843"/>
      <c r="AV100" s="2843"/>
      <c r="AW100" s="2843"/>
      <c r="AX100" s="2843"/>
      <c r="AY100" s="2842"/>
      <c r="AZ100" s="2841"/>
    </row>
    <row r="101" spans="2:54" ht="13.5" customHeight="1" thickTop="1" thickBot="1">
      <c r="B101" s="3502"/>
      <c r="C101" s="3517"/>
      <c r="D101" s="3502"/>
      <c r="E101" s="2845" t="s">
        <v>5431</v>
      </c>
      <c r="F101" s="2844"/>
      <c r="G101" s="2843"/>
      <c r="H101" s="2843"/>
      <c r="I101" s="2843"/>
      <c r="J101" s="2843"/>
      <c r="K101" s="2843"/>
      <c r="L101" s="2843"/>
      <c r="M101" s="2843"/>
      <c r="N101" s="2843"/>
      <c r="O101" s="2843"/>
      <c r="P101" s="2843"/>
      <c r="Q101" s="2843"/>
      <c r="R101" s="2843"/>
      <c r="S101" s="2843"/>
      <c r="T101" s="2843"/>
      <c r="U101" s="2843"/>
      <c r="V101" s="2843"/>
      <c r="W101" s="2843"/>
      <c r="X101" s="2843"/>
      <c r="Y101" s="2843"/>
      <c r="Z101" s="3499">
        <f>'(申)3%'!Z101:AE101+'(申)5%'!Z101:AE101+'(申)8%'!Z101:AE101+'(申)軽8%'!Z101:AE101+'(申)10%'!Z101:AE101</f>
        <v>592596113</v>
      </c>
      <c r="AA101" s="3500"/>
      <c r="AB101" s="3500"/>
      <c r="AC101" s="3500"/>
      <c r="AD101" s="3500"/>
      <c r="AE101" s="3501"/>
      <c r="AF101" s="2843" t="s">
        <v>5626</v>
      </c>
      <c r="AG101" s="2851"/>
      <c r="AH101" s="2843"/>
      <c r="AI101" s="2843"/>
      <c r="AJ101" s="2843"/>
      <c r="AK101" s="2843"/>
      <c r="AL101" s="2843"/>
      <c r="AM101" s="2843"/>
      <c r="AN101" s="2843"/>
      <c r="AO101" s="2843"/>
      <c r="AP101" s="2843"/>
      <c r="AQ101" s="2843"/>
      <c r="AR101" s="2843"/>
      <c r="AS101" s="2843"/>
      <c r="AT101" s="2843"/>
      <c r="AU101" s="2843"/>
      <c r="AV101" s="2843"/>
      <c r="AW101" s="2843"/>
      <c r="AX101" s="2843"/>
      <c r="AY101" s="2842"/>
      <c r="AZ101" s="2841"/>
      <c r="BB101" s="2833">
        <f>SUM('(申)3%:(申)10%'!Z101:AE101)</f>
        <v>592596113</v>
      </c>
    </row>
    <row r="102" spans="2:54" ht="13.5" customHeight="1" thickTop="1" thickBot="1">
      <c r="B102" s="3502"/>
      <c r="C102" s="3517"/>
      <c r="D102" s="3502"/>
      <c r="E102" s="2845"/>
      <c r="F102" s="2844"/>
      <c r="G102" s="2843"/>
      <c r="H102" s="2843"/>
      <c r="I102" s="2843"/>
      <c r="J102" s="2843"/>
      <c r="K102" s="2843"/>
      <c r="L102" s="2843"/>
      <c r="M102" s="2843"/>
      <c r="N102" s="2843"/>
      <c r="O102" s="2843"/>
      <c r="P102" s="2843"/>
      <c r="Q102" s="2843"/>
      <c r="R102" s="2843"/>
      <c r="S102" s="2843"/>
      <c r="T102" s="2843"/>
      <c r="U102" s="2843"/>
      <c r="V102" s="2843"/>
      <c r="W102" s="2843"/>
      <c r="X102" s="2843"/>
      <c r="Y102" s="2843"/>
      <c r="Z102" s="2843"/>
      <c r="AA102" s="2843"/>
      <c r="AB102" s="2843"/>
      <c r="AC102" s="2843"/>
      <c r="AD102" s="2843"/>
      <c r="AE102" s="2843"/>
      <c r="AF102" s="2843"/>
      <c r="AG102" s="2843"/>
      <c r="AH102" s="2843"/>
      <c r="AI102" s="2843"/>
      <c r="AJ102" s="2843"/>
      <c r="AK102" s="2843"/>
      <c r="AL102" s="2843"/>
      <c r="AM102" s="2843"/>
      <c r="AN102" s="2843"/>
      <c r="AO102" s="2843"/>
      <c r="AP102" s="2843"/>
      <c r="AQ102" s="2843"/>
      <c r="AR102" s="2843"/>
      <c r="AS102" s="2843"/>
      <c r="AT102" s="2843"/>
      <c r="AU102" s="2843"/>
      <c r="AV102" s="2843"/>
      <c r="AW102" s="2843"/>
      <c r="AX102" s="2843"/>
      <c r="AY102" s="2842"/>
      <c r="AZ102" s="2841"/>
    </row>
    <row r="103" spans="2:54" ht="13.5" customHeight="1" thickTop="1" thickBot="1">
      <c r="B103" s="3502"/>
      <c r="C103" s="3517"/>
      <c r="D103" s="3502"/>
      <c r="E103" s="3521" t="s">
        <v>5427</v>
      </c>
      <c r="F103" s="3510"/>
      <c r="G103" s="3510"/>
      <c r="H103" s="3510"/>
      <c r="I103" s="3510"/>
      <c r="J103" s="3510"/>
      <c r="K103" s="3510"/>
      <c r="L103" s="3510"/>
      <c r="M103" s="3510"/>
      <c r="N103" s="3510"/>
      <c r="O103" s="3510"/>
      <c r="P103" s="3510"/>
      <c r="Q103" s="3510"/>
      <c r="R103" s="3510"/>
      <c r="S103" s="2843"/>
      <c r="T103" s="2843"/>
      <c r="U103" s="2843"/>
      <c r="V103" s="2843"/>
      <c r="W103" s="2843"/>
      <c r="X103" s="2843"/>
      <c r="Y103" s="2843"/>
      <c r="Z103" s="3499">
        <f>R36</f>
        <v>18871966907</v>
      </c>
      <c r="AA103" s="3500"/>
      <c r="AB103" s="3500"/>
      <c r="AC103" s="3500"/>
      <c r="AD103" s="3500"/>
      <c r="AE103" s="3501"/>
      <c r="AF103" s="2843"/>
      <c r="AG103" s="3510" t="s">
        <v>5625</v>
      </c>
      <c r="AH103" s="2851" t="s">
        <v>5624</v>
      </c>
      <c r="AI103" s="2843"/>
      <c r="AJ103" s="2843"/>
      <c r="AK103" s="2843"/>
      <c r="AL103" s="2843"/>
      <c r="AM103" s="2843"/>
      <c r="AN103" s="2843"/>
      <c r="AO103" s="2843"/>
      <c r="AP103" s="2843"/>
      <c r="AQ103" s="2843"/>
      <c r="AR103" s="2843"/>
      <c r="AS103" s="2843"/>
      <c r="AT103" s="2843"/>
      <c r="AU103" s="2843"/>
      <c r="AV103" s="2843"/>
      <c r="AW103" s="2843"/>
      <c r="AX103" s="2843"/>
      <c r="AY103" s="2842"/>
      <c r="AZ103" s="3498" t="s">
        <v>5623</v>
      </c>
      <c r="BB103" s="2833">
        <f>Z103/Z106</f>
        <v>0.99637851502241703</v>
      </c>
    </row>
    <row r="104" spans="2:54" ht="3" customHeight="1" thickTop="1">
      <c r="B104" s="3502"/>
      <c r="C104" s="3517"/>
      <c r="D104" s="3502"/>
      <c r="E104" s="3521"/>
      <c r="F104" s="3510"/>
      <c r="G104" s="3510"/>
      <c r="H104" s="3510"/>
      <c r="I104" s="3510"/>
      <c r="J104" s="3510"/>
      <c r="K104" s="3510"/>
      <c r="L104" s="3510"/>
      <c r="M104" s="3510"/>
      <c r="N104" s="3510"/>
      <c r="O104" s="3510"/>
      <c r="P104" s="3510"/>
      <c r="Q104" s="3510"/>
      <c r="R104" s="3510"/>
      <c r="S104" s="2843"/>
      <c r="T104" s="2843"/>
      <c r="U104" s="2843"/>
      <c r="V104" s="2843"/>
      <c r="W104" s="2843"/>
      <c r="X104" s="2843"/>
      <c r="Y104" s="2838"/>
      <c r="Z104" s="2838"/>
      <c r="AA104" s="2838"/>
      <c r="AB104" s="2838"/>
      <c r="AC104" s="2838"/>
      <c r="AD104" s="2838"/>
      <c r="AE104" s="2838"/>
      <c r="AF104" s="2838"/>
      <c r="AG104" s="3510"/>
      <c r="AH104" s="2843"/>
      <c r="AI104" s="2843"/>
      <c r="AJ104" s="2843"/>
      <c r="AK104" s="2843"/>
      <c r="AL104" s="2843"/>
      <c r="AM104" s="2843"/>
      <c r="AN104" s="2843"/>
      <c r="AO104" s="2843"/>
      <c r="AP104" s="2843"/>
      <c r="AQ104" s="2843"/>
      <c r="AR104" s="2843"/>
      <c r="AS104" s="2843"/>
      <c r="AT104" s="2843"/>
      <c r="AU104" s="2843"/>
      <c r="AV104" s="2843"/>
      <c r="AW104" s="2843"/>
      <c r="AX104" s="2843"/>
      <c r="AY104" s="2842"/>
      <c r="AZ104" s="3498"/>
    </row>
    <row r="105" spans="2:54" ht="3" customHeight="1" thickBot="1">
      <c r="B105" s="3502"/>
      <c r="C105" s="3517"/>
      <c r="D105" s="3502"/>
      <c r="E105" s="3521"/>
      <c r="F105" s="3510"/>
      <c r="G105" s="3510"/>
      <c r="H105" s="3510"/>
      <c r="I105" s="3510"/>
      <c r="J105" s="3510"/>
      <c r="K105" s="3510"/>
      <c r="L105" s="3510"/>
      <c r="M105" s="3510"/>
      <c r="N105" s="3510"/>
      <c r="O105" s="3510"/>
      <c r="P105" s="3510"/>
      <c r="Q105" s="3510"/>
      <c r="R105" s="3510"/>
      <c r="S105" s="2843"/>
      <c r="T105" s="2843"/>
      <c r="U105" s="2843"/>
      <c r="V105" s="2843"/>
      <c r="W105" s="2843"/>
      <c r="X105" s="2843"/>
      <c r="Y105" s="2843"/>
      <c r="Z105" s="2843"/>
      <c r="AA105" s="2843"/>
      <c r="AB105" s="2843"/>
      <c r="AC105" s="2843"/>
      <c r="AD105" s="2843"/>
      <c r="AE105" s="2843"/>
      <c r="AF105" s="2843"/>
      <c r="AG105" s="3510"/>
      <c r="AH105" s="2843"/>
      <c r="AI105" s="2843"/>
      <c r="AJ105" s="2843"/>
      <c r="AK105" s="2843"/>
      <c r="AL105" s="2843"/>
      <c r="AM105" s="2843"/>
      <c r="AN105" s="2843"/>
      <c r="AO105" s="2843"/>
      <c r="AP105" s="2843"/>
      <c r="AQ105" s="2843"/>
      <c r="AR105" s="2843"/>
      <c r="AS105" s="2843"/>
      <c r="AT105" s="2843"/>
      <c r="AU105" s="2843"/>
      <c r="AV105" s="2843"/>
      <c r="AW105" s="2843"/>
      <c r="AX105" s="2843"/>
      <c r="AY105" s="2842"/>
      <c r="AZ105" s="3498"/>
    </row>
    <row r="106" spans="2:54" ht="13.5" customHeight="1" thickTop="1" thickBot="1">
      <c r="B106" s="3502"/>
      <c r="C106" s="3517"/>
      <c r="D106" s="3502"/>
      <c r="E106" s="3521"/>
      <c r="F106" s="3510"/>
      <c r="G106" s="3510"/>
      <c r="H106" s="3510"/>
      <c r="I106" s="3510"/>
      <c r="J106" s="3510"/>
      <c r="K106" s="3510"/>
      <c r="L106" s="3510"/>
      <c r="M106" s="3510"/>
      <c r="N106" s="3510"/>
      <c r="O106" s="3510"/>
      <c r="P106" s="3510"/>
      <c r="Q106" s="3510"/>
      <c r="R106" s="3510"/>
      <c r="S106" s="2843"/>
      <c r="T106" s="2843"/>
      <c r="U106" s="2843"/>
      <c r="V106" s="2843"/>
      <c r="W106" s="2843"/>
      <c r="X106" s="2843"/>
      <c r="Y106" s="2843"/>
      <c r="Z106" s="3499">
        <f>R40</f>
        <v>18940559860</v>
      </c>
      <c r="AA106" s="3500"/>
      <c r="AB106" s="3500"/>
      <c r="AC106" s="3500"/>
      <c r="AD106" s="3500"/>
      <c r="AE106" s="3501"/>
      <c r="AF106" s="2843"/>
      <c r="AG106" s="3510"/>
      <c r="AH106" s="2851" t="s">
        <v>5622</v>
      </c>
      <c r="AI106" s="2843"/>
      <c r="AJ106" s="2843"/>
      <c r="AK106" s="2843"/>
      <c r="AL106" s="2843"/>
      <c r="AM106" s="2843"/>
      <c r="AN106" s="2843"/>
      <c r="AO106" s="2843"/>
      <c r="AP106" s="2843"/>
      <c r="AQ106" s="2843"/>
      <c r="AR106" s="2843"/>
      <c r="AS106" s="2843"/>
      <c r="AT106" s="2843"/>
      <c r="AU106" s="2843"/>
      <c r="AV106" s="2843"/>
      <c r="AW106" s="2843"/>
      <c r="AX106" s="2843"/>
      <c r="AY106" s="2842"/>
      <c r="AZ106" s="3498"/>
    </row>
    <row r="107" spans="2:54" ht="13.5" customHeight="1" thickTop="1" thickBot="1">
      <c r="B107" s="3502"/>
      <c r="C107" s="3517"/>
      <c r="D107" s="3502"/>
      <c r="E107" s="2845"/>
      <c r="F107" s="2844"/>
      <c r="G107" s="2843"/>
      <c r="H107" s="2843"/>
      <c r="I107" s="2843"/>
      <c r="J107" s="2843"/>
      <c r="K107" s="2843"/>
      <c r="L107" s="2843"/>
      <c r="M107" s="2843"/>
      <c r="N107" s="2843"/>
      <c r="O107" s="2843"/>
      <c r="P107" s="2843"/>
      <c r="Q107" s="2843"/>
      <c r="R107" s="2843"/>
      <c r="S107" s="2843"/>
      <c r="T107" s="2843"/>
      <c r="U107" s="2843"/>
      <c r="V107" s="2843"/>
      <c r="W107" s="2843"/>
      <c r="X107" s="2843"/>
      <c r="Y107" s="2843"/>
      <c r="Z107" s="2843"/>
      <c r="AA107" s="2843"/>
      <c r="AB107" s="2843"/>
      <c r="AC107" s="2843"/>
      <c r="AD107" s="2843"/>
      <c r="AE107" s="2843"/>
      <c r="AF107" s="2843"/>
      <c r="AG107" s="2843"/>
      <c r="AH107" s="2843"/>
      <c r="AI107" s="2843"/>
      <c r="AJ107" s="2843"/>
      <c r="AK107" s="2843"/>
      <c r="AL107" s="2843"/>
      <c r="AM107" s="2843"/>
      <c r="AN107" s="2843"/>
      <c r="AO107" s="2843"/>
      <c r="AP107" s="2843"/>
      <c r="AQ107" s="2843"/>
      <c r="AR107" s="2843"/>
      <c r="AS107" s="2843"/>
      <c r="AT107" s="2843"/>
      <c r="AU107" s="2843"/>
      <c r="AV107" s="2843"/>
      <c r="AW107" s="2843"/>
      <c r="AX107" s="2843"/>
      <c r="AY107" s="2842"/>
      <c r="AZ107" s="2841"/>
    </row>
    <row r="108" spans="2:54" ht="13.5" customHeight="1" thickTop="1" thickBot="1">
      <c r="B108" s="3502"/>
      <c r="C108" s="3517"/>
      <c r="D108" s="3502"/>
      <c r="E108" s="2845" t="s">
        <v>5422</v>
      </c>
      <c r="F108" s="2844"/>
      <c r="G108" s="2843"/>
      <c r="H108" s="2843"/>
      <c r="I108" s="2843"/>
      <c r="J108" s="2843"/>
      <c r="K108" s="2843"/>
      <c r="L108" s="2843"/>
      <c r="M108" s="2843"/>
      <c r="N108" s="2843"/>
      <c r="O108" s="2843"/>
      <c r="P108" s="2843"/>
      <c r="Q108" s="2843"/>
      <c r="R108" s="2843"/>
      <c r="S108" s="2843"/>
      <c r="T108" s="2843"/>
      <c r="U108" s="2843"/>
      <c r="V108" s="2843"/>
      <c r="W108" s="2843"/>
      <c r="X108" s="2843"/>
      <c r="Y108" s="2843"/>
      <c r="Z108" s="3499">
        <f>'(申)3%'!Z108:AE108+'(申)5%'!Z108:AE108+'(申)8%'!Z108:AE108+'(申)軽8%'!Z108:AE108+'(申)10%'!Z108:AE108</f>
        <v>590450033</v>
      </c>
      <c r="AA108" s="3500"/>
      <c r="AB108" s="3500"/>
      <c r="AC108" s="3500"/>
      <c r="AD108" s="3500"/>
      <c r="AE108" s="3501"/>
      <c r="AF108" s="2843" t="s">
        <v>5621</v>
      </c>
      <c r="AG108" s="2851"/>
      <c r="AH108" s="2843"/>
      <c r="AI108" s="2843"/>
      <c r="AJ108" s="2843"/>
      <c r="AK108" s="2843"/>
      <c r="AL108" s="2843"/>
      <c r="AM108" s="2843"/>
      <c r="AN108" s="2843"/>
      <c r="AO108" s="2843"/>
      <c r="AP108" s="2843"/>
      <c r="AQ108" s="2843"/>
      <c r="AR108" s="2843"/>
      <c r="AS108" s="2843"/>
      <c r="AT108" s="2843"/>
      <c r="AU108" s="2843"/>
      <c r="AV108" s="2843"/>
      <c r="AW108" s="2843"/>
      <c r="AX108" s="2843"/>
      <c r="AY108" s="2842"/>
      <c r="AZ108" s="2841"/>
      <c r="BB108" s="2833">
        <f>BB101*BB103</f>
        <v>590450035.07899642</v>
      </c>
    </row>
    <row r="109" spans="2:54" ht="13.5" customHeight="1" thickTop="1">
      <c r="B109" s="3502"/>
      <c r="C109" s="3517"/>
      <c r="D109" s="3502"/>
      <c r="E109" s="2845"/>
      <c r="F109" s="2844"/>
      <c r="G109" s="2843"/>
      <c r="H109" s="2843"/>
      <c r="I109" s="2843"/>
      <c r="J109" s="2843"/>
      <c r="K109" s="2843"/>
      <c r="L109" s="2843"/>
      <c r="M109" s="2843"/>
      <c r="N109" s="2843"/>
      <c r="O109" s="2843"/>
      <c r="P109" s="2843"/>
      <c r="Q109" s="2843"/>
      <c r="R109" s="2843"/>
      <c r="S109" s="2843"/>
      <c r="T109" s="2843"/>
      <c r="U109" s="2843"/>
      <c r="V109" s="2843"/>
      <c r="W109" s="2843"/>
      <c r="X109" s="2843"/>
      <c r="Y109" s="2843"/>
      <c r="Z109" s="2843"/>
      <c r="AA109" s="2843"/>
      <c r="AB109" s="2843"/>
      <c r="AC109" s="2843"/>
      <c r="AD109" s="2843"/>
      <c r="AE109" s="2843"/>
      <c r="AF109" s="2843"/>
      <c r="AG109" s="2843"/>
      <c r="AH109" s="2843"/>
      <c r="AI109" s="2843"/>
      <c r="AJ109" s="2843"/>
      <c r="AK109" s="2843"/>
      <c r="AL109" s="2843"/>
      <c r="AM109" s="2843"/>
      <c r="AN109" s="2843"/>
      <c r="AO109" s="2843"/>
      <c r="AP109" s="2843"/>
      <c r="AQ109" s="2843"/>
      <c r="AR109" s="2843"/>
      <c r="AS109" s="2843"/>
      <c r="AT109" s="2843"/>
      <c r="AU109" s="2843"/>
      <c r="AV109" s="2843"/>
      <c r="AW109" s="2843"/>
      <c r="AX109" s="2843"/>
      <c r="AY109" s="2842"/>
      <c r="AZ109" s="2841"/>
    </row>
    <row r="110" spans="2:54" ht="13.5" customHeight="1" thickBot="1">
      <c r="B110" s="3502"/>
      <c r="C110" s="3517"/>
      <c r="D110" s="3502"/>
      <c r="E110" s="2845" t="s">
        <v>5418</v>
      </c>
      <c r="F110" s="2844"/>
      <c r="G110" s="2843"/>
      <c r="H110" s="2843"/>
      <c r="I110" s="2843"/>
      <c r="J110" s="2843"/>
      <c r="K110" s="2843"/>
      <c r="L110" s="2843"/>
      <c r="M110" s="2843"/>
      <c r="N110" s="2843"/>
      <c r="O110" s="2843"/>
      <c r="P110" s="2843"/>
      <c r="Q110" s="2843"/>
      <c r="R110" s="2843"/>
      <c r="S110" s="2843"/>
      <c r="T110" s="2843"/>
      <c r="U110" s="2843"/>
      <c r="V110" s="2843"/>
      <c r="W110" s="2843"/>
      <c r="X110" s="2843"/>
      <c r="Y110" s="2843"/>
      <c r="Z110" s="2843"/>
      <c r="AA110" s="2843"/>
      <c r="AB110" s="2843"/>
      <c r="AC110" s="2843"/>
      <c r="AD110" s="2843"/>
      <c r="AE110" s="2843"/>
      <c r="AF110" s="2843"/>
      <c r="AG110" s="2843"/>
      <c r="AH110" s="2843"/>
      <c r="AI110" s="2843"/>
      <c r="AJ110" s="2843"/>
      <c r="AK110" s="2843"/>
      <c r="AL110" s="2843"/>
      <c r="AM110" s="2843"/>
      <c r="AN110" s="2843"/>
      <c r="AO110" s="2843"/>
      <c r="AP110" s="2843"/>
      <c r="AQ110" s="2843"/>
      <c r="AR110" s="2843"/>
      <c r="AS110" s="2843"/>
      <c r="AT110" s="2843"/>
      <c r="AU110" s="2843"/>
      <c r="AV110" s="2843"/>
      <c r="AW110" s="2843"/>
      <c r="AX110" s="2843"/>
      <c r="AY110" s="2842"/>
      <c r="AZ110" s="2841"/>
    </row>
    <row r="111" spans="2:54" ht="13.5" customHeight="1" thickTop="1" thickBot="1">
      <c r="B111" s="3502"/>
      <c r="C111" s="3517"/>
      <c r="D111" s="3502"/>
      <c r="E111" s="2845"/>
      <c r="F111" s="2844" t="s">
        <v>5620</v>
      </c>
      <c r="G111" s="2843"/>
      <c r="H111" s="2843"/>
      <c r="I111" s="2843"/>
      <c r="J111" s="2843"/>
      <c r="K111" s="2843"/>
      <c r="L111" s="2843"/>
      <c r="M111" s="2843"/>
      <c r="N111" s="2843"/>
      <c r="O111" s="2843"/>
      <c r="P111" s="2843"/>
      <c r="Q111" s="2843"/>
      <c r="R111" s="2843"/>
      <c r="S111" s="2843"/>
      <c r="T111" s="2843"/>
      <c r="U111" s="2843"/>
      <c r="V111" s="2843"/>
      <c r="W111" s="2843"/>
      <c r="X111" s="2843"/>
      <c r="Y111" s="2843"/>
      <c r="Z111" s="2843"/>
      <c r="AA111" s="2843"/>
      <c r="AB111" s="2843"/>
      <c r="AC111" s="3499">
        <f>'(申)3%'!AC111:AH111+'(申)5%'!AC111:AH111+'(申)8%'!AC111:AH111+'(申)軽8%'!AC111:AH111+'(申)10%'!AC111:AH111</f>
        <v>1202454030</v>
      </c>
      <c r="AD111" s="3500"/>
      <c r="AE111" s="3500"/>
      <c r="AF111" s="3500"/>
      <c r="AG111" s="3500"/>
      <c r="AH111" s="3501"/>
      <c r="AI111" s="2843" t="s">
        <v>5619</v>
      </c>
      <c r="AJ111" s="2851" t="s">
        <v>5618</v>
      </c>
      <c r="AK111" s="2843"/>
      <c r="AL111" s="2843"/>
      <c r="AM111" s="2843"/>
      <c r="AN111" s="2843"/>
      <c r="AO111" s="2843"/>
      <c r="AP111" s="2843"/>
      <c r="AQ111" s="2843"/>
      <c r="AR111" s="2843"/>
      <c r="AS111" s="2843"/>
      <c r="AT111" s="2843"/>
      <c r="AU111" s="2843"/>
      <c r="AV111" s="2843"/>
      <c r="AW111" s="2843"/>
      <c r="AX111" s="2843"/>
      <c r="AY111" s="2842"/>
      <c r="AZ111" s="2841"/>
      <c r="BB111" s="2834">
        <f>Z98-BB108</f>
        <v>1202454027.9210036</v>
      </c>
    </row>
    <row r="112" spans="2:54" ht="13.5" customHeight="1" thickTop="1" thickBot="1">
      <c r="B112" s="3502"/>
      <c r="C112" s="3517"/>
      <c r="D112" s="3502"/>
      <c r="E112" s="2845"/>
      <c r="F112" s="2844"/>
      <c r="G112" s="2843"/>
      <c r="H112" s="2843"/>
      <c r="I112" s="2843"/>
      <c r="J112" s="2843"/>
      <c r="K112" s="2843"/>
      <c r="L112" s="2843"/>
      <c r="M112" s="2843"/>
      <c r="N112" s="2843"/>
      <c r="O112" s="2843"/>
      <c r="P112" s="2843"/>
      <c r="Q112" s="2843"/>
      <c r="R112" s="2843"/>
      <c r="S112" s="2843"/>
      <c r="T112" s="2843"/>
      <c r="U112" s="2843"/>
      <c r="V112" s="2843"/>
      <c r="W112" s="2843"/>
      <c r="X112" s="2843"/>
      <c r="Y112" s="2843"/>
      <c r="Z112" s="2843"/>
      <c r="AA112" s="2843"/>
      <c r="AB112" s="2843"/>
      <c r="AC112" s="2843"/>
      <c r="AD112" s="2843"/>
      <c r="AE112" s="2843"/>
      <c r="AF112" s="2843"/>
      <c r="AG112" s="2843"/>
      <c r="AH112" s="2843"/>
      <c r="AI112" s="2843"/>
      <c r="AJ112" s="2843"/>
      <c r="AK112" s="2843"/>
      <c r="AL112" s="2843"/>
      <c r="AM112" s="2843"/>
      <c r="AN112" s="2843"/>
      <c r="AO112" s="2843"/>
      <c r="AP112" s="2843"/>
      <c r="AQ112" s="2843"/>
      <c r="AR112" s="2843"/>
      <c r="AS112" s="2843"/>
      <c r="AT112" s="2843"/>
      <c r="AU112" s="2843"/>
      <c r="AV112" s="2843"/>
      <c r="AW112" s="2843"/>
      <c r="AX112" s="2843"/>
      <c r="AY112" s="2842"/>
      <c r="AZ112" s="2841"/>
    </row>
    <row r="113" spans="2:54" ht="13.5" customHeight="1" thickTop="1" thickBot="1">
      <c r="B113" s="3502"/>
      <c r="C113" s="3517"/>
      <c r="D113" s="3502"/>
      <c r="E113" s="2845"/>
      <c r="F113" s="3510" t="s">
        <v>5413</v>
      </c>
      <c r="G113" s="3510"/>
      <c r="H113" s="3510"/>
      <c r="I113" s="3510"/>
      <c r="J113" s="3510"/>
      <c r="K113" s="3510"/>
      <c r="L113" s="3510"/>
      <c r="M113" s="3510"/>
      <c r="N113" s="3510"/>
      <c r="O113" s="3510"/>
      <c r="P113" s="3510"/>
      <c r="Q113" s="3510"/>
      <c r="R113" s="3510"/>
      <c r="S113" s="3510"/>
      <c r="T113" s="2843"/>
      <c r="U113" s="2843"/>
      <c r="V113" s="2843"/>
      <c r="W113" s="2843"/>
      <c r="X113" s="2843"/>
      <c r="Y113" s="2843"/>
      <c r="Z113" s="2843"/>
      <c r="AA113" s="3540">
        <f>基礎数値!I20</f>
        <v>0</v>
      </c>
      <c r="AB113" s="3541"/>
      <c r="AC113" s="3541"/>
      <c r="AD113" s="3541"/>
      <c r="AE113" s="3541"/>
      <c r="AF113" s="3542"/>
      <c r="AG113" s="2843"/>
      <c r="AH113" s="3510" t="s">
        <v>5617</v>
      </c>
      <c r="AI113" s="2851" t="s">
        <v>5616</v>
      </c>
      <c r="AJ113" s="2843"/>
      <c r="AK113" s="2843"/>
      <c r="AL113" s="2843"/>
      <c r="AM113" s="2843"/>
      <c r="AN113" s="2843"/>
      <c r="AO113" s="2843"/>
      <c r="AP113" s="2843"/>
      <c r="AQ113" s="2843"/>
      <c r="AR113" s="2843"/>
      <c r="AS113" s="2843"/>
      <c r="AT113" s="2843"/>
      <c r="AU113" s="2843"/>
      <c r="AV113" s="2843"/>
      <c r="AW113" s="2843"/>
      <c r="AX113" s="2843"/>
      <c r="AY113" s="2842"/>
      <c r="AZ113" s="3498" t="s">
        <v>5615</v>
      </c>
    </row>
    <row r="114" spans="2:54" ht="3" customHeight="1" thickTop="1">
      <c r="B114" s="3502"/>
      <c r="C114" s="3517"/>
      <c r="D114" s="3502"/>
      <c r="E114" s="2845"/>
      <c r="F114" s="3510"/>
      <c r="G114" s="3510"/>
      <c r="H114" s="3510"/>
      <c r="I114" s="3510"/>
      <c r="J114" s="3510"/>
      <c r="K114" s="3510"/>
      <c r="L114" s="3510"/>
      <c r="M114" s="3510"/>
      <c r="N114" s="3510"/>
      <c r="O114" s="3510"/>
      <c r="P114" s="3510"/>
      <c r="Q114" s="3510"/>
      <c r="R114" s="3510"/>
      <c r="S114" s="3510"/>
      <c r="T114" s="2843"/>
      <c r="U114" s="2843"/>
      <c r="V114" s="2843"/>
      <c r="W114" s="2843"/>
      <c r="X114" s="2843"/>
      <c r="Y114" s="2843"/>
      <c r="Z114" s="2838"/>
      <c r="AA114" s="2838"/>
      <c r="AB114" s="2838"/>
      <c r="AC114" s="2838"/>
      <c r="AD114" s="2838"/>
      <c r="AE114" s="2838"/>
      <c r="AF114" s="2838"/>
      <c r="AG114" s="2838"/>
      <c r="AH114" s="3510"/>
      <c r="AI114" s="2843"/>
      <c r="AJ114" s="2843"/>
      <c r="AK114" s="2843"/>
      <c r="AL114" s="2843"/>
      <c r="AM114" s="2843"/>
      <c r="AN114" s="2843"/>
      <c r="AO114" s="2843"/>
      <c r="AP114" s="2843"/>
      <c r="AQ114" s="2843"/>
      <c r="AR114" s="2843"/>
      <c r="AS114" s="2843"/>
      <c r="AT114" s="2843"/>
      <c r="AU114" s="2843"/>
      <c r="AV114" s="2843"/>
      <c r="AW114" s="2843"/>
      <c r="AX114" s="2843"/>
      <c r="AY114" s="2842"/>
      <c r="AZ114" s="3498"/>
    </row>
    <row r="115" spans="2:54" ht="3" customHeight="1" thickBot="1">
      <c r="B115" s="3502"/>
      <c r="C115" s="3517"/>
      <c r="D115" s="3502"/>
      <c r="E115" s="2845"/>
      <c r="F115" s="3510"/>
      <c r="G115" s="3510"/>
      <c r="H115" s="3510"/>
      <c r="I115" s="3510"/>
      <c r="J115" s="3510"/>
      <c r="K115" s="3510"/>
      <c r="L115" s="3510"/>
      <c r="M115" s="3510"/>
      <c r="N115" s="3510"/>
      <c r="O115" s="3510"/>
      <c r="P115" s="3510"/>
      <c r="Q115" s="3510"/>
      <c r="R115" s="3510"/>
      <c r="S115" s="3510"/>
      <c r="T115" s="2843"/>
      <c r="U115" s="2843"/>
      <c r="V115" s="2843"/>
      <c r="W115" s="2843"/>
      <c r="X115" s="2843"/>
      <c r="Y115" s="2843"/>
      <c r="Z115" s="2843"/>
      <c r="AA115" s="2843"/>
      <c r="AB115" s="2843"/>
      <c r="AC115" s="2843"/>
      <c r="AD115" s="2843"/>
      <c r="AE115" s="2843"/>
      <c r="AF115" s="2843"/>
      <c r="AG115" s="2843"/>
      <c r="AH115" s="3510"/>
      <c r="AI115" s="2843"/>
      <c r="AJ115" s="2843"/>
      <c r="AK115" s="2843"/>
      <c r="AL115" s="2843"/>
      <c r="AM115" s="2843"/>
      <c r="AN115" s="2843"/>
      <c r="AO115" s="2843"/>
      <c r="AP115" s="2843"/>
      <c r="AQ115" s="2843"/>
      <c r="AR115" s="2843"/>
      <c r="AS115" s="2843"/>
      <c r="AT115" s="2843"/>
      <c r="AU115" s="2843"/>
      <c r="AV115" s="2843"/>
      <c r="AW115" s="2843"/>
      <c r="AX115" s="2843"/>
      <c r="AY115" s="2842"/>
      <c r="AZ115" s="3498"/>
    </row>
    <row r="116" spans="2:54" ht="13.5" customHeight="1" thickTop="1" thickBot="1">
      <c r="B116" s="3502"/>
      <c r="C116" s="3517"/>
      <c r="D116" s="3502"/>
      <c r="E116" s="2845"/>
      <c r="F116" s="3510"/>
      <c r="G116" s="3510"/>
      <c r="H116" s="3510"/>
      <c r="I116" s="3510"/>
      <c r="J116" s="3510"/>
      <c r="K116" s="3510"/>
      <c r="L116" s="3510"/>
      <c r="M116" s="3510"/>
      <c r="N116" s="3510"/>
      <c r="O116" s="3510"/>
      <c r="P116" s="3510"/>
      <c r="Q116" s="3510"/>
      <c r="R116" s="3510"/>
      <c r="S116" s="3510"/>
      <c r="T116" s="2843"/>
      <c r="U116" s="2843"/>
      <c r="V116" s="2843"/>
      <c r="W116" s="2843"/>
      <c r="X116" s="2843"/>
      <c r="Y116" s="2843"/>
      <c r="Z116" s="2843"/>
      <c r="AA116" s="3499">
        <f>AE92</f>
        <v>18950268779</v>
      </c>
      <c r="AB116" s="3500"/>
      <c r="AC116" s="3500"/>
      <c r="AD116" s="3500"/>
      <c r="AE116" s="3500"/>
      <c r="AF116" s="3501"/>
      <c r="AG116" s="2843"/>
      <c r="AH116" s="3510"/>
      <c r="AI116" s="2851" t="s">
        <v>5614</v>
      </c>
      <c r="AJ116" s="2843"/>
      <c r="AK116" s="2843"/>
      <c r="AL116" s="2843"/>
      <c r="AM116" s="2843"/>
      <c r="AN116" s="2843"/>
      <c r="AO116" s="2843"/>
      <c r="AP116" s="2843"/>
      <c r="AQ116" s="2843"/>
      <c r="AR116" s="2843"/>
      <c r="AS116" s="2843"/>
      <c r="AT116" s="2843"/>
      <c r="AU116" s="2843"/>
      <c r="AV116" s="2843"/>
      <c r="AW116" s="2843"/>
      <c r="AX116" s="2843"/>
      <c r="AY116" s="2842"/>
      <c r="AZ116" s="3498"/>
    </row>
    <row r="117" spans="2:54" ht="13.5" customHeight="1" thickTop="1" thickBot="1">
      <c r="B117" s="3502"/>
      <c r="C117" s="3517"/>
      <c r="D117" s="3502"/>
      <c r="E117" s="2845"/>
      <c r="F117" s="2844"/>
      <c r="G117" s="2843"/>
      <c r="H117" s="2843"/>
      <c r="I117" s="2843"/>
      <c r="J117" s="2843"/>
      <c r="K117" s="2843"/>
      <c r="L117" s="2843"/>
      <c r="M117" s="2843"/>
      <c r="N117" s="2843"/>
      <c r="O117" s="2843"/>
      <c r="P117" s="2843"/>
      <c r="Q117" s="2843"/>
      <c r="R117" s="2843"/>
      <c r="S117" s="2843"/>
      <c r="T117" s="2843"/>
      <c r="U117" s="2843"/>
      <c r="V117" s="2843"/>
      <c r="W117" s="2843"/>
      <c r="X117" s="2843"/>
      <c r="Y117" s="2843"/>
      <c r="Z117" s="2843"/>
      <c r="AA117" s="2843"/>
      <c r="AB117" s="2843"/>
      <c r="AC117" s="2843"/>
      <c r="AD117" s="2843"/>
      <c r="AE117" s="2843"/>
      <c r="AF117" s="2843"/>
      <c r="AG117" s="2843"/>
      <c r="AH117" s="2843"/>
      <c r="AI117" s="2843"/>
      <c r="AJ117" s="2843"/>
      <c r="AK117" s="2843"/>
      <c r="AL117" s="2843"/>
      <c r="AM117" s="2843"/>
      <c r="AN117" s="2843"/>
      <c r="AO117" s="2843"/>
      <c r="AP117" s="2843"/>
      <c r="AQ117" s="2843"/>
      <c r="AR117" s="2843"/>
      <c r="AS117" s="2843"/>
      <c r="AT117" s="2843"/>
      <c r="AU117" s="2843"/>
      <c r="AV117" s="2843"/>
      <c r="AW117" s="2843"/>
      <c r="AX117" s="2843"/>
      <c r="AY117" s="2842"/>
      <c r="AZ117" s="2841"/>
    </row>
    <row r="118" spans="2:54" ht="13.5" customHeight="1" thickTop="1" thickBot="1">
      <c r="B118" s="3502"/>
      <c r="C118" s="3517"/>
      <c r="D118" s="3502"/>
      <c r="E118" s="2845"/>
      <c r="F118" s="2843" t="s">
        <v>5409</v>
      </c>
      <c r="G118" s="2843"/>
      <c r="H118" s="2843"/>
      <c r="I118" s="2843"/>
      <c r="J118" s="2843"/>
      <c r="K118" s="2843"/>
      <c r="L118" s="2843"/>
      <c r="M118" s="2843"/>
      <c r="N118" s="2843"/>
      <c r="O118" s="2843"/>
      <c r="P118" s="2843"/>
      <c r="Q118" s="2843"/>
      <c r="R118" s="2843"/>
      <c r="S118" s="2843"/>
      <c r="T118" s="2843"/>
      <c r="U118" s="2843"/>
      <c r="V118" s="2843"/>
      <c r="W118" s="2843"/>
      <c r="X118" s="2843"/>
      <c r="Y118" s="2843"/>
      <c r="Z118" s="2843"/>
      <c r="AA118" s="3499">
        <f>'(申)3%'!AA118:AF118+'(申)5%'!AA118:AF118+'(申)8%'!AA118:AF118+'(申)軽8%'!AA118:AF118+'(申)10%'!AA118:AF118</f>
        <v>0</v>
      </c>
      <c r="AB118" s="3500"/>
      <c r="AC118" s="3500"/>
      <c r="AD118" s="3500"/>
      <c r="AE118" s="3500"/>
      <c r="AF118" s="3501"/>
      <c r="AG118" s="2843" t="s">
        <v>5613</v>
      </c>
      <c r="AH118" s="2851" t="s">
        <v>5612</v>
      </c>
      <c r="AI118" s="2843"/>
      <c r="AJ118" s="2843"/>
      <c r="AK118" s="2843"/>
      <c r="AL118" s="2843"/>
      <c r="AM118" s="2843"/>
      <c r="AN118" s="2843"/>
      <c r="AO118" s="2843"/>
      <c r="AP118" s="2843"/>
      <c r="AQ118" s="2843"/>
      <c r="AR118" s="2843"/>
      <c r="AS118" s="2843"/>
      <c r="AT118" s="2843"/>
      <c r="AU118" s="2843"/>
      <c r="AV118" s="2843"/>
      <c r="AW118" s="2843"/>
      <c r="AX118" s="2843"/>
      <c r="AY118" s="2842"/>
      <c r="AZ118" s="2841"/>
    </row>
    <row r="119" spans="2:54" ht="13.5" customHeight="1" thickTop="1" thickBot="1">
      <c r="B119" s="3502"/>
      <c r="C119" s="3517"/>
      <c r="D119" s="3502"/>
      <c r="E119" s="2845"/>
      <c r="F119" s="2844"/>
      <c r="G119" s="2843"/>
      <c r="H119" s="2843"/>
      <c r="I119" s="2843"/>
      <c r="J119" s="2843"/>
      <c r="K119" s="2843"/>
      <c r="L119" s="2843"/>
      <c r="M119" s="2843"/>
      <c r="N119" s="2843"/>
      <c r="O119" s="2843"/>
      <c r="P119" s="2843"/>
      <c r="Q119" s="2843"/>
      <c r="R119" s="2843"/>
      <c r="S119" s="2843"/>
      <c r="T119" s="2843"/>
      <c r="U119" s="2843"/>
      <c r="V119" s="2843"/>
      <c r="W119" s="2843"/>
      <c r="X119" s="2843"/>
      <c r="Y119" s="2843"/>
      <c r="Z119" s="2843"/>
      <c r="AA119" s="2843"/>
      <c r="AB119" s="2843"/>
      <c r="AC119" s="2843"/>
      <c r="AD119" s="2843"/>
      <c r="AE119" s="2843"/>
      <c r="AF119" s="2843"/>
      <c r="AG119" s="2843"/>
      <c r="AH119" s="2843"/>
      <c r="AI119" s="2843"/>
      <c r="AJ119" s="2843"/>
      <c r="AK119" s="2843"/>
      <c r="AL119" s="2843"/>
      <c r="AM119" s="2843"/>
      <c r="AN119" s="2843"/>
      <c r="AO119" s="2843"/>
      <c r="AP119" s="2843"/>
      <c r="AQ119" s="2843"/>
      <c r="AR119" s="2843"/>
      <c r="AS119" s="2843"/>
      <c r="AT119" s="2843"/>
      <c r="AU119" s="2843"/>
      <c r="AV119" s="2843"/>
      <c r="AW119" s="2843"/>
      <c r="AX119" s="2843"/>
      <c r="AY119" s="2842"/>
      <c r="AZ119" s="2841"/>
    </row>
    <row r="120" spans="2:54" ht="13.5" customHeight="1" thickTop="1" thickBot="1">
      <c r="B120" s="3502"/>
      <c r="C120" s="3517"/>
      <c r="D120" s="3502"/>
      <c r="E120" s="2845" t="s">
        <v>5405</v>
      </c>
      <c r="F120" s="2844"/>
      <c r="G120" s="2843"/>
      <c r="H120" s="2843"/>
      <c r="I120" s="2843"/>
      <c r="J120" s="2843"/>
      <c r="K120" s="2843"/>
      <c r="L120" s="2843"/>
      <c r="M120" s="2843"/>
      <c r="N120" s="2843"/>
      <c r="O120" s="2843"/>
      <c r="P120" s="2843"/>
      <c r="Q120" s="2843"/>
      <c r="R120" s="2843"/>
      <c r="S120" s="2843"/>
      <c r="T120" s="2843"/>
      <c r="U120" s="2843"/>
      <c r="V120" s="2843"/>
      <c r="W120" s="2843"/>
      <c r="X120" s="2843"/>
      <c r="Y120" s="2843"/>
      <c r="Z120" s="3499">
        <f>'(申)3%'!Z120:AE120+'(申)5%'!Z120:AE120+'(申)8%'!Z120:AE120+'(申)軽8%'!Z120:AE120+'(申)10%'!Z120:AE120</f>
        <v>590450033</v>
      </c>
      <c r="AA120" s="3500"/>
      <c r="AB120" s="3500"/>
      <c r="AC120" s="3500"/>
      <c r="AD120" s="3500"/>
      <c r="AE120" s="3501"/>
      <c r="AF120" s="2843" t="s">
        <v>5611</v>
      </c>
      <c r="AG120" s="2851" t="s">
        <v>5610</v>
      </c>
      <c r="AH120" s="2843"/>
      <c r="AI120" s="2843"/>
      <c r="AJ120" s="2843"/>
      <c r="AK120" s="2843"/>
      <c r="AL120" s="2843"/>
      <c r="AM120" s="2843"/>
      <c r="AN120" s="2843"/>
      <c r="AO120" s="2843"/>
      <c r="AP120" s="2843"/>
      <c r="AQ120" s="2843"/>
      <c r="AR120" s="2843"/>
      <c r="AS120" s="2843"/>
      <c r="AT120" s="2843"/>
      <c r="AU120" s="2843"/>
      <c r="AV120" s="2843"/>
      <c r="AW120" s="2843"/>
      <c r="AX120" s="2843"/>
      <c r="AY120" s="2842"/>
      <c r="AZ120" s="3319" t="s">
        <v>6228</v>
      </c>
    </row>
    <row r="121" spans="2:54" ht="13.5" customHeight="1" thickTop="1" thickBot="1">
      <c r="B121" s="3502"/>
      <c r="C121" s="3517"/>
      <c r="D121" s="3502"/>
      <c r="E121" s="2845"/>
      <c r="F121" s="2844"/>
      <c r="G121" s="2843"/>
      <c r="H121" s="2843"/>
      <c r="I121" s="2843"/>
      <c r="J121" s="2843"/>
      <c r="K121" s="2843"/>
      <c r="L121" s="2843"/>
      <c r="M121" s="2843"/>
      <c r="N121" s="2843"/>
      <c r="O121" s="2843"/>
      <c r="P121" s="2843"/>
      <c r="Q121" s="2843"/>
      <c r="R121" s="2843"/>
      <c r="S121" s="2843"/>
      <c r="T121" s="2843"/>
      <c r="U121" s="2843"/>
      <c r="V121" s="2843"/>
      <c r="W121" s="2843"/>
      <c r="X121" s="2843"/>
      <c r="Y121" s="2843"/>
      <c r="Z121" s="2843"/>
      <c r="AA121" s="2843"/>
      <c r="AB121" s="2843"/>
      <c r="AC121" s="2843"/>
      <c r="AD121" s="2843"/>
      <c r="AE121" s="2843"/>
      <c r="AF121" s="2843"/>
      <c r="AG121" s="2843"/>
      <c r="AH121" s="2843"/>
      <c r="AI121" s="2843"/>
      <c r="AJ121" s="2843"/>
      <c r="AK121" s="2843"/>
      <c r="AL121" s="2843"/>
      <c r="AM121" s="2843"/>
      <c r="AN121" s="2843"/>
      <c r="AO121" s="2843"/>
      <c r="AP121" s="2843"/>
      <c r="AQ121" s="2843"/>
      <c r="AR121" s="2843"/>
      <c r="AS121" s="2843"/>
      <c r="AT121" s="2843"/>
      <c r="AU121" s="2843"/>
      <c r="AV121" s="2843"/>
      <c r="AW121" s="2843"/>
      <c r="AX121" s="2843"/>
      <c r="AY121" s="2842"/>
      <c r="AZ121" s="3502" t="s">
        <v>6229</v>
      </c>
    </row>
    <row r="122" spans="2:54" ht="13.5" customHeight="1" thickTop="1" thickBot="1">
      <c r="B122" s="3502"/>
      <c r="C122" s="3517"/>
      <c r="D122" s="3502"/>
      <c r="E122" s="2845" t="s">
        <v>5400</v>
      </c>
      <c r="F122" s="2844"/>
      <c r="G122" s="2843"/>
      <c r="H122" s="2843"/>
      <c r="I122" s="2843"/>
      <c r="J122" s="2843"/>
      <c r="K122" s="2843"/>
      <c r="L122" s="2843"/>
      <c r="M122" s="2843"/>
      <c r="N122" s="2843"/>
      <c r="O122" s="2843"/>
      <c r="P122" s="2843"/>
      <c r="Q122" s="2843"/>
      <c r="R122" s="2843"/>
      <c r="S122" s="2843"/>
      <c r="T122" s="2843"/>
      <c r="U122" s="2843"/>
      <c r="V122" s="2843"/>
      <c r="W122" s="2843"/>
      <c r="X122" s="2843"/>
      <c r="Y122" s="2843"/>
      <c r="Z122" s="3499">
        <f>'(申)3%'!Z122:AE122+'(申)5%'!Z122:AE122+'(申)8%'!Z122:AE122+'(申)軽8%'!Z122:AE122+'(申)10%'!Z122:AE122</f>
        <v>1202454030</v>
      </c>
      <c r="AA122" s="3500"/>
      <c r="AB122" s="3500"/>
      <c r="AC122" s="3500"/>
      <c r="AD122" s="3500"/>
      <c r="AE122" s="3501"/>
      <c r="AF122" s="2843" t="s">
        <v>5609</v>
      </c>
      <c r="AG122" s="2851" t="s">
        <v>5608</v>
      </c>
      <c r="AH122" s="2843"/>
      <c r="AI122" s="2843"/>
      <c r="AJ122" s="2843"/>
      <c r="AK122" s="2843"/>
      <c r="AL122" s="2843"/>
      <c r="AM122" s="2843"/>
      <c r="AN122" s="2843"/>
      <c r="AO122" s="2843"/>
      <c r="AP122" s="2843"/>
      <c r="AQ122" s="2843"/>
      <c r="AR122" s="2843"/>
      <c r="AS122" s="2843"/>
      <c r="AT122" s="2843"/>
      <c r="AU122" s="2843"/>
      <c r="AV122" s="2843"/>
      <c r="AW122" s="2843"/>
      <c r="AX122" s="2843"/>
      <c r="AY122" s="2842"/>
      <c r="AZ122" s="3502"/>
      <c r="BB122" s="2834">
        <f>Z98-Z120</f>
        <v>1202454030</v>
      </c>
    </row>
    <row r="123" spans="2:54" ht="13.5" customHeight="1" thickTop="1">
      <c r="B123" s="3502"/>
      <c r="C123" s="3518"/>
      <c r="D123" s="3513"/>
      <c r="E123" s="2840"/>
      <c r="F123" s="2839"/>
      <c r="G123" s="2838"/>
      <c r="H123" s="2838"/>
      <c r="I123" s="2838"/>
      <c r="J123" s="2838"/>
      <c r="K123" s="2838"/>
      <c r="L123" s="2838"/>
      <c r="M123" s="2838"/>
      <c r="N123" s="2838"/>
      <c r="O123" s="2838"/>
      <c r="P123" s="2838"/>
      <c r="Q123" s="2838"/>
      <c r="R123" s="2838"/>
      <c r="S123" s="2838"/>
      <c r="T123" s="2838"/>
      <c r="U123" s="2838"/>
      <c r="V123" s="2838"/>
      <c r="W123" s="2838"/>
      <c r="X123" s="2838"/>
      <c r="Y123" s="2838"/>
      <c r="Z123" s="2838"/>
      <c r="AA123" s="2838"/>
      <c r="AB123" s="2838"/>
      <c r="AC123" s="2838"/>
      <c r="AD123" s="2838"/>
      <c r="AE123" s="2838"/>
      <c r="AF123" s="2838"/>
      <c r="AG123" s="2838"/>
      <c r="AH123" s="2838"/>
      <c r="AI123" s="2838"/>
      <c r="AJ123" s="2838"/>
      <c r="AK123" s="2838"/>
      <c r="AL123" s="2838"/>
      <c r="AM123" s="2838"/>
      <c r="AN123" s="2838"/>
      <c r="AO123" s="2838"/>
      <c r="AP123" s="2838"/>
      <c r="AQ123" s="2838"/>
      <c r="AR123" s="2838"/>
      <c r="AS123" s="2838"/>
      <c r="AT123" s="2838"/>
      <c r="AU123" s="2838"/>
      <c r="AV123" s="2838"/>
      <c r="AW123" s="2838"/>
      <c r="AX123" s="2838"/>
      <c r="AY123" s="2837"/>
      <c r="AZ123" s="3513"/>
    </row>
    <row r="124" spans="2:54" ht="13.5" hidden="1" customHeight="1" outlineLevel="1">
      <c r="B124" s="3502"/>
      <c r="C124" s="2846"/>
      <c r="D124" s="2855"/>
      <c r="E124" s="2850"/>
      <c r="F124" s="2849"/>
      <c r="G124" s="2848"/>
      <c r="H124" s="2848"/>
      <c r="I124" s="2848"/>
      <c r="J124" s="2848"/>
      <c r="K124" s="2848"/>
      <c r="L124" s="2848"/>
      <c r="M124" s="2848"/>
      <c r="N124" s="2848"/>
      <c r="O124" s="2848"/>
      <c r="P124" s="2848"/>
      <c r="Q124" s="2848"/>
      <c r="R124" s="2848"/>
      <c r="S124" s="2848"/>
      <c r="T124" s="2848"/>
      <c r="U124" s="2848"/>
      <c r="V124" s="2848"/>
      <c r="W124" s="2848"/>
      <c r="X124" s="2848"/>
      <c r="Y124" s="2848"/>
      <c r="Z124" s="2848"/>
      <c r="AA124" s="2848"/>
      <c r="AB124" s="2848"/>
      <c r="AC124" s="2848"/>
      <c r="AD124" s="2848"/>
      <c r="AE124" s="2848"/>
      <c r="AF124" s="2848"/>
      <c r="AG124" s="2848"/>
      <c r="AH124" s="2848"/>
      <c r="AI124" s="2848"/>
      <c r="AJ124" s="2848"/>
      <c r="AK124" s="2848"/>
      <c r="AL124" s="2848"/>
      <c r="AM124" s="2848"/>
      <c r="AN124" s="2848"/>
      <c r="AO124" s="2848"/>
      <c r="AP124" s="2848"/>
      <c r="AQ124" s="2848"/>
      <c r="AR124" s="2848"/>
      <c r="AS124" s="2848"/>
      <c r="AT124" s="2848"/>
      <c r="AU124" s="2848"/>
      <c r="AV124" s="2848"/>
      <c r="AW124" s="2848"/>
      <c r="AX124" s="2848"/>
      <c r="AY124" s="2847"/>
      <c r="AZ124" s="2846"/>
    </row>
    <row r="125" spans="2:54" ht="13.5" hidden="1" customHeight="1" outlineLevel="1">
      <c r="B125" s="3502"/>
      <c r="C125" s="2841"/>
      <c r="D125" s="2854"/>
      <c r="E125" s="2845"/>
      <c r="F125" s="2844"/>
      <c r="G125" s="2843"/>
      <c r="H125" s="2843"/>
      <c r="I125" s="2843"/>
      <c r="J125" s="2843"/>
      <c r="K125" s="2843"/>
      <c r="L125" s="2843"/>
      <c r="M125" s="2843"/>
      <c r="N125" s="2843"/>
      <c r="O125" s="2843"/>
      <c r="P125" s="2843"/>
      <c r="Q125" s="2843"/>
      <c r="R125" s="2843"/>
      <c r="S125" s="2843"/>
      <c r="T125" s="2843"/>
      <c r="U125" s="2843"/>
      <c r="V125" s="2843"/>
      <c r="W125" s="2843"/>
      <c r="X125" s="2843"/>
      <c r="Y125" s="2843"/>
      <c r="Z125" s="2843"/>
      <c r="AA125" s="2843"/>
      <c r="AB125" s="2843"/>
      <c r="AC125" s="2843"/>
      <c r="AD125" s="2843"/>
      <c r="AE125" s="2843"/>
      <c r="AF125" s="2843"/>
      <c r="AG125" s="2843"/>
      <c r="AH125" s="2843"/>
      <c r="AI125" s="2843"/>
      <c r="AJ125" s="2843"/>
      <c r="AK125" s="2843"/>
      <c r="AL125" s="2843"/>
      <c r="AM125" s="2843"/>
      <c r="AN125" s="2843"/>
      <c r="AO125" s="2843"/>
      <c r="AP125" s="2843"/>
      <c r="AQ125" s="2843"/>
      <c r="AR125" s="2843"/>
      <c r="AS125" s="2843"/>
      <c r="AT125" s="2843"/>
      <c r="AU125" s="2843"/>
      <c r="AV125" s="2843"/>
      <c r="AW125" s="2843"/>
      <c r="AX125" s="2843"/>
      <c r="AY125" s="2842"/>
      <c r="AZ125" s="2841"/>
    </row>
    <row r="126" spans="2:54" ht="13.5" hidden="1" customHeight="1" outlineLevel="1">
      <c r="B126" s="3502"/>
      <c r="C126" s="2841"/>
      <c r="D126" s="2854"/>
      <c r="E126" s="2845"/>
      <c r="F126" s="2844"/>
      <c r="G126" s="2843"/>
      <c r="H126" s="2843"/>
      <c r="I126" s="2843"/>
      <c r="J126" s="2843"/>
      <c r="K126" s="2843"/>
      <c r="L126" s="2843"/>
      <c r="M126" s="2843"/>
      <c r="N126" s="2843"/>
      <c r="O126" s="2843"/>
      <c r="P126" s="2843"/>
      <c r="Q126" s="2843"/>
      <c r="R126" s="2843"/>
      <c r="S126" s="2843"/>
      <c r="T126" s="2843"/>
      <c r="U126" s="2843"/>
      <c r="V126" s="2843"/>
      <c r="W126" s="2843"/>
      <c r="X126" s="2843"/>
      <c r="Y126" s="2843"/>
      <c r="Z126" s="2843"/>
      <c r="AA126" s="2843"/>
      <c r="AB126" s="2843"/>
      <c r="AC126" s="2843"/>
      <c r="AD126" s="2843"/>
      <c r="AE126" s="2843"/>
      <c r="AF126" s="2843"/>
      <c r="AG126" s="2843"/>
      <c r="AH126" s="2843"/>
      <c r="AI126" s="2843"/>
      <c r="AJ126" s="2843"/>
      <c r="AK126" s="2843"/>
      <c r="AL126" s="2843"/>
      <c r="AM126" s="2843"/>
      <c r="AN126" s="2843"/>
      <c r="AO126" s="2843"/>
      <c r="AP126" s="2843"/>
      <c r="AQ126" s="2843"/>
      <c r="AR126" s="2843"/>
      <c r="AS126" s="2843"/>
      <c r="AT126" s="2843"/>
      <c r="AU126" s="2843"/>
      <c r="AV126" s="2843"/>
      <c r="AW126" s="2843"/>
      <c r="AX126" s="2843"/>
      <c r="AY126" s="2842"/>
      <c r="AZ126" s="2841"/>
    </row>
    <row r="127" spans="2:54" ht="13.5" hidden="1" customHeight="1" outlineLevel="1">
      <c r="B127" s="3502"/>
      <c r="C127" s="2841"/>
      <c r="D127" s="2854"/>
      <c r="E127" s="2845"/>
      <c r="F127" s="2844"/>
      <c r="G127" s="2843"/>
      <c r="H127" s="2843"/>
      <c r="I127" s="2843"/>
      <c r="J127" s="2843"/>
      <c r="K127" s="2843"/>
      <c r="L127" s="2843"/>
      <c r="M127" s="2843"/>
      <c r="N127" s="2843"/>
      <c r="O127" s="2843"/>
      <c r="P127" s="2843"/>
      <c r="Q127" s="2843"/>
      <c r="R127" s="2843"/>
      <c r="S127" s="2843"/>
      <c r="T127" s="2843"/>
      <c r="U127" s="2843"/>
      <c r="V127" s="2843"/>
      <c r="W127" s="2843"/>
      <c r="X127" s="2843"/>
      <c r="Y127" s="2843"/>
      <c r="Z127" s="2843"/>
      <c r="AA127" s="2843"/>
      <c r="AB127" s="2843"/>
      <c r="AC127" s="2843"/>
      <c r="AD127" s="2843"/>
      <c r="AE127" s="2843"/>
      <c r="AF127" s="2843"/>
      <c r="AG127" s="2843"/>
      <c r="AH127" s="2843"/>
      <c r="AI127" s="2843"/>
      <c r="AJ127" s="2843"/>
      <c r="AK127" s="2843"/>
      <c r="AL127" s="2843"/>
      <c r="AM127" s="2843"/>
      <c r="AN127" s="2843"/>
      <c r="AO127" s="2843"/>
      <c r="AP127" s="2843"/>
      <c r="AQ127" s="2843"/>
      <c r="AR127" s="2843"/>
      <c r="AS127" s="2843"/>
      <c r="AT127" s="2843"/>
      <c r="AU127" s="2843"/>
      <c r="AV127" s="2843"/>
      <c r="AW127" s="2843"/>
      <c r="AX127" s="2843"/>
      <c r="AY127" s="2842"/>
      <c r="AZ127" s="2841"/>
    </row>
    <row r="128" spans="2:54" ht="13.5" hidden="1" customHeight="1" outlineLevel="1">
      <c r="B128" s="3502"/>
      <c r="C128" s="2841"/>
      <c r="D128" s="2854"/>
      <c r="E128" s="2845"/>
      <c r="F128" s="2844"/>
      <c r="G128" s="2843"/>
      <c r="H128" s="2843"/>
      <c r="I128" s="2843"/>
      <c r="J128" s="2843"/>
      <c r="K128" s="2843"/>
      <c r="L128" s="2843"/>
      <c r="M128" s="2843"/>
      <c r="N128" s="2843"/>
      <c r="O128" s="2843"/>
      <c r="P128" s="2843"/>
      <c r="Q128" s="2843"/>
      <c r="R128" s="2843"/>
      <c r="S128" s="2843"/>
      <c r="T128" s="2843"/>
      <c r="U128" s="2843"/>
      <c r="V128" s="2843"/>
      <c r="W128" s="2843"/>
      <c r="X128" s="2843"/>
      <c r="Y128" s="2843"/>
      <c r="Z128" s="2843"/>
      <c r="AA128" s="2843"/>
      <c r="AB128" s="2843"/>
      <c r="AC128" s="2843"/>
      <c r="AD128" s="2843"/>
      <c r="AE128" s="2843"/>
      <c r="AF128" s="2843"/>
      <c r="AG128" s="2843"/>
      <c r="AH128" s="2843"/>
      <c r="AI128" s="2843"/>
      <c r="AJ128" s="2843"/>
      <c r="AK128" s="2843"/>
      <c r="AL128" s="2843"/>
      <c r="AM128" s="2843"/>
      <c r="AN128" s="2843"/>
      <c r="AO128" s="2843"/>
      <c r="AP128" s="2843"/>
      <c r="AQ128" s="2843"/>
      <c r="AR128" s="2843"/>
      <c r="AS128" s="2843"/>
      <c r="AT128" s="2843"/>
      <c r="AU128" s="2843"/>
      <c r="AV128" s="2843"/>
      <c r="AW128" s="2843"/>
      <c r="AX128" s="2843"/>
      <c r="AY128" s="2842"/>
      <c r="AZ128" s="2841"/>
    </row>
    <row r="129" spans="2:54" ht="13.5" hidden="1" customHeight="1" outlineLevel="1">
      <c r="B129" s="3502"/>
      <c r="C129" s="2841"/>
      <c r="D129" s="2854"/>
      <c r="E129" s="2845"/>
      <c r="F129" s="2844"/>
      <c r="G129" s="2843"/>
      <c r="H129" s="2843"/>
      <c r="I129" s="2843"/>
      <c r="J129" s="2843"/>
      <c r="K129" s="2843"/>
      <c r="L129" s="2843"/>
      <c r="M129" s="2843"/>
      <c r="N129" s="2843"/>
      <c r="O129" s="2843"/>
      <c r="P129" s="2843"/>
      <c r="Q129" s="2843"/>
      <c r="R129" s="2843"/>
      <c r="S129" s="2843"/>
      <c r="T129" s="2843"/>
      <c r="U129" s="2843"/>
      <c r="V129" s="2843"/>
      <c r="W129" s="2843"/>
      <c r="X129" s="2843"/>
      <c r="Y129" s="2843"/>
      <c r="Z129" s="2843"/>
      <c r="AA129" s="2843"/>
      <c r="AB129" s="2843"/>
      <c r="AC129" s="2843"/>
      <c r="AD129" s="2843"/>
      <c r="AE129" s="2843"/>
      <c r="AF129" s="2843"/>
      <c r="AG129" s="2843"/>
      <c r="AH129" s="2843"/>
      <c r="AI129" s="2843"/>
      <c r="AJ129" s="2843"/>
      <c r="AK129" s="2843"/>
      <c r="AL129" s="2843"/>
      <c r="AM129" s="2843"/>
      <c r="AN129" s="2843"/>
      <c r="AO129" s="2843"/>
      <c r="AP129" s="2843"/>
      <c r="AQ129" s="2843"/>
      <c r="AR129" s="2843"/>
      <c r="AS129" s="2843"/>
      <c r="AT129" s="2843"/>
      <c r="AU129" s="2843"/>
      <c r="AV129" s="2843"/>
      <c r="AW129" s="2843"/>
      <c r="AX129" s="2843"/>
      <c r="AY129" s="2842"/>
      <c r="AZ129" s="2841"/>
    </row>
    <row r="130" spans="2:54" ht="13.5" hidden="1" customHeight="1" outlineLevel="1">
      <c r="B130" s="3513"/>
      <c r="C130" s="2836"/>
      <c r="D130" s="2853"/>
      <c r="E130" s="2840"/>
      <c r="F130" s="2839"/>
      <c r="G130" s="2838"/>
      <c r="H130" s="2838"/>
      <c r="I130" s="2838"/>
      <c r="J130" s="2838"/>
      <c r="K130" s="2838"/>
      <c r="L130" s="2838"/>
      <c r="M130" s="2838"/>
      <c r="N130" s="2838"/>
      <c r="O130" s="2838"/>
      <c r="P130" s="2838"/>
      <c r="Q130" s="2838"/>
      <c r="R130" s="2838"/>
      <c r="S130" s="2838"/>
      <c r="T130" s="2838"/>
      <c r="U130" s="2838"/>
      <c r="V130" s="2838"/>
      <c r="W130" s="2838"/>
      <c r="X130" s="2838"/>
      <c r="Y130" s="2838"/>
      <c r="Z130" s="2838"/>
      <c r="AA130" s="2838"/>
      <c r="AB130" s="2838"/>
      <c r="AC130" s="2838"/>
      <c r="AD130" s="2838"/>
      <c r="AE130" s="2838"/>
      <c r="AF130" s="2838"/>
      <c r="AG130" s="2838"/>
      <c r="AH130" s="2838"/>
      <c r="AI130" s="2838"/>
      <c r="AJ130" s="2838"/>
      <c r="AK130" s="2838"/>
      <c r="AL130" s="2838"/>
      <c r="AM130" s="2838"/>
      <c r="AN130" s="2838"/>
      <c r="AO130" s="2838"/>
      <c r="AP130" s="2838"/>
      <c r="AQ130" s="2838"/>
      <c r="AR130" s="2838"/>
      <c r="AS130" s="2838"/>
      <c r="AT130" s="2838"/>
      <c r="AU130" s="2838"/>
      <c r="AV130" s="2838"/>
      <c r="AW130" s="2838"/>
      <c r="AX130" s="2838"/>
      <c r="AY130" s="2837"/>
      <c r="AZ130" s="2836"/>
    </row>
    <row r="131" spans="2:54" ht="13.5" customHeight="1" collapsed="1">
      <c r="B131" s="3512" t="s">
        <v>5397</v>
      </c>
      <c r="C131" s="3514">
        <v>1</v>
      </c>
      <c r="D131" s="3514" t="s">
        <v>5396</v>
      </c>
      <c r="E131" s="2850"/>
      <c r="F131" s="2849"/>
      <c r="G131" s="2848"/>
      <c r="H131" s="2848"/>
      <c r="I131" s="2848"/>
      <c r="J131" s="2848"/>
      <c r="K131" s="2848"/>
      <c r="L131" s="2848"/>
      <c r="M131" s="2848"/>
      <c r="N131" s="2848"/>
      <c r="O131" s="2848"/>
      <c r="P131" s="2848"/>
      <c r="Q131" s="2848"/>
      <c r="R131" s="2848"/>
      <c r="S131" s="2848"/>
      <c r="T131" s="2852"/>
      <c r="U131" s="2852"/>
      <c r="V131" s="2852"/>
      <c r="W131" s="2852"/>
      <c r="X131" s="2852"/>
      <c r="Y131" s="2852"/>
      <c r="Z131" s="2848"/>
      <c r="AA131" s="2848"/>
      <c r="AB131" s="2848"/>
      <c r="AC131" s="2848"/>
      <c r="AD131" s="2848"/>
      <c r="AE131" s="2848"/>
      <c r="AF131" s="2848"/>
      <c r="AG131" s="2848"/>
      <c r="AH131" s="2848"/>
      <c r="AI131" s="2848"/>
      <c r="AJ131" s="2848"/>
      <c r="AK131" s="2848"/>
      <c r="AL131" s="2848"/>
      <c r="AM131" s="2848"/>
      <c r="AN131" s="2848"/>
      <c r="AO131" s="2848"/>
      <c r="AP131" s="2848"/>
      <c r="AQ131" s="2848"/>
      <c r="AR131" s="2848"/>
      <c r="AS131" s="2848"/>
      <c r="AT131" s="2848"/>
      <c r="AU131" s="2848"/>
      <c r="AV131" s="2848"/>
      <c r="AW131" s="2848"/>
      <c r="AX131" s="2848"/>
      <c r="AY131" s="2847"/>
      <c r="AZ131" s="2846"/>
    </row>
    <row r="132" spans="2:54" ht="13.5" customHeight="1">
      <c r="B132" s="3502"/>
      <c r="C132" s="3498"/>
      <c r="D132" s="3498"/>
      <c r="E132" s="2845" t="s">
        <v>5375</v>
      </c>
      <c r="F132" s="2844"/>
      <c r="G132" s="2843"/>
      <c r="H132" s="2843"/>
      <c r="I132" s="2843"/>
      <c r="J132" s="2843" t="s">
        <v>5395</v>
      </c>
      <c r="K132" s="2843"/>
      <c r="L132" s="2843"/>
      <c r="M132" s="2843"/>
      <c r="N132" s="2843"/>
      <c r="O132" s="2843"/>
      <c r="P132" s="2843"/>
      <c r="Q132" s="2843"/>
      <c r="R132" s="2843"/>
      <c r="S132" s="2843"/>
      <c r="T132" s="3497">
        <f>'(申)3%'!T132:Y132+'(申)5%'!T132:Y132+'(申)8%'!T132:Y132+'(申)軽8%'!T132:Y132+'(申)10%'!T132:Y132</f>
        <v>1207485783</v>
      </c>
      <c r="U132" s="3497"/>
      <c r="V132" s="3497"/>
      <c r="W132" s="3497"/>
      <c r="X132" s="3497"/>
      <c r="Y132" s="3497"/>
      <c r="Z132" s="2843"/>
      <c r="AA132" s="2851"/>
      <c r="AB132" s="2843"/>
      <c r="AC132" s="2843"/>
      <c r="AD132" s="2843"/>
      <c r="AE132" s="2843"/>
      <c r="AF132" s="2843"/>
      <c r="AG132" s="2843"/>
      <c r="AH132" s="2843"/>
      <c r="AI132" s="2843"/>
      <c r="AJ132" s="2843"/>
      <c r="AK132" s="2843"/>
      <c r="AL132" s="2843"/>
      <c r="AM132" s="2843"/>
      <c r="AN132" s="2843"/>
      <c r="AO132" s="2843"/>
      <c r="AP132" s="2843"/>
      <c r="AQ132" s="2843"/>
      <c r="AR132" s="2843"/>
      <c r="AS132" s="2843"/>
      <c r="AT132" s="2843"/>
      <c r="AU132" s="2843"/>
      <c r="AV132" s="2843"/>
      <c r="AW132" s="2843"/>
      <c r="AX132" s="2843"/>
      <c r="AY132" s="2842"/>
      <c r="AZ132" s="2841"/>
      <c r="BB132" s="2833">
        <f>SUM('(申)3%:(申)10%'!T132)</f>
        <v>1207485783</v>
      </c>
    </row>
    <row r="133" spans="2:54" ht="13.5" customHeight="1" thickBot="1">
      <c r="B133" s="3502"/>
      <c r="C133" s="3498"/>
      <c r="D133" s="3498"/>
      <c r="E133" s="2845"/>
      <c r="F133" s="2844"/>
      <c r="G133" s="2843"/>
      <c r="H133" s="2843"/>
      <c r="I133" s="2843"/>
      <c r="J133" s="2843"/>
      <c r="K133" s="2843"/>
      <c r="L133" s="2843"/>
      <c r="M133" s="2843"/>
      <c r="N133" s="2843"/>
      <c r="O133" s="2843"/>
      <c r="P133" s="2843"/>
      <c r="Q133" s="2843"/>
      <c r="R133" s="2843"/>
      <c r="S133" s="2843"/>
      <c r="T133" s="2843"/>
      <c r="U133" s="2843"/>
      <c r="V133" s="2843"/>
      <c r="W133" s="2843"/>
      <c r="X133" s="2843"/>
      <c r="Y133" s="2843"/>
      <c r="Z133" s="2843"/>
      <c r="AA133" s="2843"/>
      <c r="AB133" s="2843"/>
      <c r="AC133" s="2843"/>
      <c r="AD133" s="2843"/>
      <c r="AE133" s="2843"/>
      <c r="AF133" s="2843"/>
      <c r="AG133" s="2843"/>
      <c r="AH133" s="2843"/>
      <c r="AI133" s="2843"/>
      <c r="AJ133" s="2843"/>
      <c r="AK133" s="2843"/>
      <c r="AL133" s="2843"/>
      <c r="AM133" s="2843"/>
      <c r="AN133" s="2843"/>
      <c r="AO133" s="2843"/>
      <c r="AP133" s="2843"/>
      <c r="AQ133" s="2843"/>
      <c r="AR133" s="2843"/>
      <c r="AS133" s="2843"/>
      <c r="AT133" s="2843"/>
      <c r="AU133" s="2843"/>
      <c r="AV133" s="2843"/>
      <c r="AW133" s="2843"/>
      <c r="AX133" s="2843"/>
      <c r="AY133" s="2842"/>
      <c r="AZ133" s="2841"/>
    </row>
    <row r="134" spans="2:54" ht="13.5" customHeight="1" thickTop="1" thickBot="1">
      <c r="B134" s="3502"/>
      <c r="C134" s="3498"/>
      <c r="D134" s="3498"/>
      <c r="E134" s="2845"/>
      <c r="F134" s="2844"/>
      <c r="G134" s="2843"/>
      <c r="H134" s="2843"/>
      <c r="I134" s="2843"/>
      <c r="J134" s="2843" t="s">
        <v>5393</v>
      </c>
      <c r="K134" s="2843"/>
      <c r="L134" s="2843"/>
      <c r="M134" s="2843"/>
      <c r="N134" s="2843"/>
      <c r="O134" s="2843"/>
      <c r="P134" s="2843"/>
      <c r="Q134" s="2843"/>
      <c r="R134" s="2843"/>
      <c r="S134" s="2843"/>
      <c r="T134" s="3499">
        <f>'(申)3%'!T134:Y134+'(申)5%'!T134:Y134+'(申)8%'!T134:Y134+'(申)軽8%'!T134:Y134+'(申)10%'!T134:Y134</f>
        <v>756748</v>
      </c>
      <c r="U134" s="3500"/>
      <c r="V134" s="3500"/>
      <c r="W134" s="3500"/>
      <c r="X134" s="3500"/>
      <c r="Y134" s="3501"/>
      <c r="Z134" s="2843" t="s">
        <v>5607</v>
      </c>
      <c r="AA134" s="2851"/>
      <c r="AB134" s="2843"/>
      <c r="AC134" s="2843"/>
      <c r="AD134" s="2843"/>
      <c r="AE134" s="2843"/>
      <c r="AF134" s="2843"/>
      <c r="AG134" s="2843"/>
      <c r="AH134" s="2843"/>
      <c r="AI134" s="2843"/>
      <c r="AJ134" s="2843"/>
      <c r="AK134" s="2843"/>
      <c r="AL134" s="2843"/>
      <c r="AM134" s="2843"/>
      <c r="AN134" s="2843"/>
      <c r="AO134" s="2843"/>
      <c r="AP134" s="2843"/>
      <c r="AQ134" s="2843"/>
      <c r="AR134" s="2843"/>
      <c r="AS134" s="2843"/>
      <c r="AT134" s="2843"/>
      <c r="AU134" s="2843"/>
      <c r="AV134" s="2843"/>
      <c r="AW134" s="2843"/>
      <c r="AX134" s="2843"/>
      <c r="AY134" s="2842"/>
      <c r="AZ134" s="2841" t="s">
        <v>5606</v>
      </c>
      <c r="BB134" s="2833">
        <f>SUM('(申)3%:(申)10%'!T134)</f>
        <v>756748</v>
      </c>
    </row>
    <row r="135" spans="2:54" ht="13.5" customHeight="1" thickTop="1">
      <c r="B135" s="3502"/>
      <c r="C135" s="3498"/>
      <c r="D135" s="3498"/>
      <c r="E135" s="2845"/>
      <c r="F135" s="2844"/>
      <c r="G135" s="2843"/>
      <c r="H135" s="2843"/>
      <c r="I135" s="2843"/>
      <c r="J135" s="2843"/>
      <c r="K135" s="2843"/>
      <c r="L135" s="2843"/>
      <c r="M135" s="2843"/>
      <c r="N135" s="2843"/>
      <c r="O135" s="2843"/>
      <c r="P135" s="2843"/>
      <c r="Q135" s="2843"/>
      <c r="R135" s="2843"/>
      <c r="S135" s="2843"/>
      <c r="T135" s="2843"/>
      <c r="U135" s="2843"/>
      <c r="V135" s="2843"/>
      <c r="W135" s="2843"/>
      <c r="X135" s="2843"/>
      <c r="Y135" s="2843"/>
      <c r="Z135" s="2843"/>
      <c r="AA135" s="2843"/>
      <c r="AB135" s="2843"/>
      <c r="AC135" s="2843"/>
      <c r="AD135" s="2843"/>
      <c r="AE135" s="2843"/>
      <c r="AF135" s="2843"/>
      <c r="AG135" s="2843"/>
      <c r="AH135" s="2843"/>
      <c r="AI135" s="2843"/>
      <c r="AJ135" s="2843"/>
      <c r="AK135" s="2843"/>
      <c r="AL135" s="2843"/>
      <c r="AM135" s="2843"/>
      <c r="AN135" s="2843"/>
      <c r="AO135" s="2843"/>
      <c r="AP135" s="2843"/>
      <c r="AQ135" s="2843"/>
      <c r="AR135" s="2843"/>
      <c r="AS135" s="2843"/>
      <c r="AT135" s="2843"/>
      <c r="AU135" s="2843"/>
      <c r="AV135" s="2843"/>
      <c r="AW135" s="2843"/>
      <c r="AX135" s="2843"/>
      <c r="AY135" s="2842"/>
      <c r="AZ135" s="2841"/>
    </row>
    <row r="136" spans="2:54" ht="13.5" customHeight="1" thickBot="1">
      <c r="B136" s="3502"/>
      <c r="C136" s="3498"/>
      <c r="D136" s="3498"/>
      <c r="E136" s="2845"/>
      <c r="F136" s="2844"/>
      <c r="G136" s="2843"/>
      <c r="H136" s="2843"/>
      <c r="I136" s="2843"/>
      <c r="J136" s="2843" t="s">
        <v>5389</v>
      </c>
      <c r="K136" s="2843"/>
      <c r="L136" s="2843"/>
      <c r="M136" s="2843"/>
      <c r="N136" s="2843"/>
      <c r="O136" s="2843"/>
      <c r="P136" s="2843"/>
      <c r="Q136" s="2843"/>
      <c r="R136" s="2843"/>
      <c r="S136" s="2843"/>
      <c r="T136" s="3527">
        <f>'(申)3%'!T136:Y136+'(申)5%'!T136:Y136+'(申)8%'!T136:Y136+'(申)軽8%'!T136:Y136+'(申)10%'!T136:Y136</f>
        <v>25787997</v>
      </c>
      <c r="U136" s="3527"/>
      <c r="V136" s="3527"/>
      <c r="W136" s="3527"/>
      <c r="X136" s="3527"/>
      <c r="Y136" s="3527"/>
      <c r="Z136" s="2843" t="s">
        <v>5605</v>
      </c>
      <c r="AA136" s="2851"/>
      <c r="AB136" s="2843"/>
      <c r="AC136" s="2843"/>
      <c r="AD136" s="2843"/>
      <c r="AE136" s="2843"/>
      <c r="AF136" s="2843"/>
      <c r="AG136" s="2843"/>
      <c r="AH136" s="2843"/>
      <c r="AI136" s="2843"/>
      <c r="AJ136" s="2843"/>
      <c r="AK136" s="2843"/>
      <c r="AL136" s="2843"/>
      <c r="AM136" s="2843"/>
      <c r="AN136" s="2843"/>
      <c r="AO136" s="2843"/>
      <c r="AP136" s="2843"/>
      <c r="AQ136" s="2843"/>
      <c r="AR136" s="2843"/>
      <c r="AS136" s="2843"/>
      <c r="AT136" s="2843"/>
      <c r="AU136" s="2843"/>
      <c r="AV136" s="2843"/>
      <c r="AW136" s="2843"/>
      <c r="AX136" s="2843"/>
      <c r="AY136" s="2842"/>
      <c r="AZ136" s="2841"/>
      <c r="BB136" s="2833">
        <f>SUM('(申)3%:(申)10%'!T136)</f>
        <v>25787997</v>
      </c>
    </row>
    <row r="137" spans="2:54" ht="13.5" customHeight="1" thickTop="1" thickBot="1">
      <c r="B137" s="3502"/>
      <c r="C137" s="3498"/>
      <c r="D137" s="3498"/>
      <c r="E137" s="2845"/>
      <c r="F137" s="2844"/>
      <c r="G137" s="2843"/>
      <c r="H137" s="2843"/>
      <c r="I137" s="2843"/>
      <c r="J137" s="2843" t="s">
        <v>5386</v>
      </c>
      <c r="K137" s="2843"/>
      <c r="L137" s="2843"/>
      <c r="M137" s="2843"/>
      <c r="N137" s="2843"/>
      <c r="O137" s="2843"/>
      <c r="P137" s="2843"/>
      <c r="Q137" s="2843"/>
      <c r="R137" s="2843"/>
      <c r="S137" s="2843"/>
      <c r="T137" s="3499">
        <f>'(申)3%'!T137:Y137+'(申)5%'!T137:Y137+'(申)8%'!T137:Y137+'(申)軽8%'!T137:Y137+'(申)10%'!T137:Y137</f>
        <v>1481612</v>
      </c>
      <c r="U137" s="3500"/>
      <c r="V137" s="3500"/>
      <c r="W137" s="3500"/>
      <c r="X137" s="3500"/>
      <c r="Y137" s="3501"/>
      <c r="Z137" s="2843" t="s">
        <v>5604</v>
      </c>
      <c r="AA137" s="2851"/>
      <c r="AB137" s="2843"/>
      <c r="AC137" s="2843"/>
      <c r="AD137" s="2843"/>
      <c r="AE137" s="2843"/>
      <c r="AF137" s="2843"/>
      <c r="AG137" s="2843"/>
      <c r="AH137" s="2843"/>
      <c r="AI137" s="2843"/>
      <c r="AJ137" s="2843"/>
      <c r="AK137" s="2843"/>
      <c r="AL137" s="2843"/>
      <c r="AM137" s="2843"/>
      <c r="AN137" s="2843"/>
      <c r="AO137" s="2843"/>
      <c r="AP137" s="2843"/>
      <c r="AQ137" s="2843"/>
      <c r="AR137" s="2843"/>
      <c r="AS137" s="2843"/>
      <c r="AT137" s="2843"/>
      <c r="AU137" s="2843"/>
      <c r="AV137" s="2843"/>
      <c r="AW137" s="2843"/>
      <c r="AX137" s="2843"/>
      <c r="AY137" s="2842"/>
      <c r="AZ137" s="2841" t="s">
        <v>5603</v>
      </c>
    </row>
    <row r="138" spans="2:54" ht="13.5" customHeight="1" thickTop="1" thickBot="1">
      <c r="B138" s="3502"/>
      <c r="C138" s="3498"/>
      <c r="D138" s="3498"/>
      <c r="E138" s="2845"/>
      <c r="F138" s="2844"/>
      <c r="G138" s="2843"/>
      <c r="H138" s="2843"/>
      <c r="I138" s="2843"/>
      <c r="J138" s="2843"/>
      <c r="K138" s="2843"/>
      <c r="L138" s="2843"/>
      <c r="M138" s="2843"/>
      <c r="N138" s="2843"/>
      <c r="O138" s="2843"/>
      <c r="P138" s="2843"/>
      <c r="Q138" s="2843"/>
      <c r="R138" s="2843"/>
      <c r="S138" s="2843"/>
      <c r="T138" s="2843"/>
      <c r="U138" s="2843"/>
      <c r="V138" s="2843"/>
      <c r="W138" s="2843"/>
      <c r="X138" s="2843"/>
      <c r="Y138" s="2843"/>
      <c r="Z138" s="2843"/>
      <c r="AA138" s="2843"/>
      <c r="AB138" s="2843"/>
      <c r="AC138" s="2843"/>
      <c r="AD138" s="2843"/>
      <c r="AE138" s="2843"/>
      <c r="AF138" s="2843"/>
      <c r="AG138" s="2843"/>
      <c r="AH138" s="2843"/>
      <c r="AI138" s="2843"/>
      <c r="AJ138" s="2843"/>
      <c r="AK138" s="2843"/>
      <c r="AL138" s="2843"/>
      <c r="AM138" s="2843"/>
      <c r="AN138" s="2843"/>
      <c r="AO138" s="2843"/>
      <c r="AP138" s="2843"/>
      <c r="AQ138" s="2843"/>
      <c r="AR138" s="2843"/>
      <c r="AS138" s="2843"/>
      <c r="AT138" s="2843"/>
      <c r="AU138" s="2843"/>
      <c r="AV138" s="2843"/>
      <c r="AW138" s="2843"/>
      <c r="AX138" s="2843"/>
      <c r="AY138" s="2842"/>
      <c r="AZ138" s="2841"/>
    </row>
    <row r="139" spans="2:54" ht="13.5" customHeight="1" thickTop="1" thickBot="1">
      <c r="B139" s="3502"/>
      <c r="C139" s="3498"/>
      <c r="D139" s="3498"/>
      <c r="E139" s="2845"/>
      <c r="F139" s="2844"/>
      <c r="G139" s="2843"/>
      <c r="H139" s="2843"/>
      <c r="I139" s="2843"/>
      <c r="J139" s="2843" t="s">
        <v>5382</v>
      </c>
      <c r="K139" s="2843"/>
      <c r="L139" s="2843"/>
      <c r="M139" s="2843"/>
      <c r="N139" s="2843"/>
      <c r="O139" s="2843"/>
      <c r="P139" s="2843"/>
      <c r="Q139" s="2843"/>
      <c r="R139" s="2843"/>
      <c r="S139" s="2843"/>
      <c r="T139" s="3499">
        <f>'(申)3%'!T139:Y139+'(申)5%'!T139:Y139+'(申)8%'!T139:Y139+'(申)軽8%'!T139:Y139+'(申)10%'!T139:Y139</f>
        <v>1209724143</v>
      </c>
      <c r="U139" s="3500"/>
      <c r="V139" s="3500"/>
      <c r="W139" s="3500"/>
      <c r="X139" s="3500"/>
      <c r="Y139" s="3501"/>
      <c r="Z139" s="2843" t="s">
        <v>5602</v>
      </c>
      <c r="AB139" s="2851"/>
      <c r="AC139" s="2843"/>
      <c r="AD139" s="2843"/>
      <c r="AE139" s="2843"/>
      <c r="AF139" s="2843"/>
      <c r="AG139" s="2843"/>
      <c r="AH139" s="2843"/>
      <c r="AI139" s="2843"/>
      <c r="AJ139" s="2843"/>
      <c r="AK139" s="2843"/>
      <c r="AL139" s="2843"/>
      <c r="AM139" s="2843"/>
      <c r="AN139" s="2843"/>
      <c r="AO139" s="2843"/>
      <c r="AP139" s="2843"/>
      <c r="AQ139" s="2843"/>
      <c r="AR139" s="2843"/>
      <c r="AS139" s="2843"/>
      <c r="AT139" s="2843"/>
      <c r="AU139" s="2843"/>
      <c r="AV139" s="2843"/>
      <c r="AW139" s="2843"/>
      <c r="AX139" s="2843"/>
      <c r="AY139" s="2842"/>
      <c r="AZ139" s="2841" t="s">
        <v>5601</v>
      </c>
    </row>
    <row r="140" spans="2:54" ht="13.5" customHeight="1" thickTop="1">
      <c r="B140" s="3502"/>
      <c r="C140" s="3503"/>
      <c r="D140" s="3503"/>
      <c r="E140" s="2840"/>
      <c r="F140" s="2839"/>
      <c r="G140" s="2838"/>
      <c r="H140" s="2838"/>
      <c r="I140" s="2838"/>
      <c r="J140" s="2838"/>
      <c r="K140" s="2838"/>
      <c r="L140" s="2838"/>
      <c r="M140" s="2838"/>
      <c r="N140" s="2838"/>
      <c r="O140" s="2838"/>
      <c r="P140" s="2838"/>
      <c r="Q140" s="2838"/>
      <c r="R140" s="2838"/>
      <c r="S140" s="2838"/>
      <c r="T140" s="2838"/>
      <c r="U140" s="2838"/>
      <c r="V140" s="2838"/>
      <c r="W140" s="2838"/>
      <c r="X140" s="2838"/>
      <c r="Y140" s="2838"/>
      <c r="Z140" s="2838"/>
      <c r="AA140" s="2838"/>
      <c r="AB140" s="2838"/>
      <c r="AC140" s="2838"/>
      <c r="AD140" s="2838"/>
      <c r="AE140" s="2838"/>
      <c r="AF140" s="2838"/>
      <c r="AG140" s="2838"/>
      <c r="AH140" s="2838"/>
      <c r="AI140" s="2838"/>
      <c r="AJ140" s="2838"/>
      <c r="AK140" s="2838"/>
      <c r="AL140" s="2838"/>
      <c r="AM140" s="2838"/>
      <c r="AN140" s="2838"/>
      <c r="AO140" s="2838"/>
      <c r="AP140" s="2838"/>
      <c r="AQ140" s="2838"/>
      <c r="AR140" s="2838"/>
      <c r="AS140" s="2838"/>
      <c r="AT140" s="2838"/>
      <c r="AU140" s="2838"/>
      <c r="AV140" s="2838"/>
      <c r="AW140" s="2838"/>
      <c r="AX140" s="2838"/>
      <c r="AY140" s="2837"/>
      <c r="AZ140" s="2836"/>
    </row>
    <row r="141" spans="2:54" ht="13.5" customHeight="1">
      <c r="B141" s="3502"/>
      <c r="C141" s="3514">
        <v>2</v>
      </c>
      <c r="D141" s="3512" t="s">
        <v>5378</v>
      </c>
      <c r="E141" s="2850"/>
      <c r="F141" s="2849"/>
      <c r="G141" s="2848"/>
      <c r="H141" s="2848"/>
      <c r="I141" s="2848"/>
      <c r="J141" s="2848"/>
      <c r="K141" s="2848"/>
      <c r="L141" s="2848"/>
      <c r="M141" s="2848"/>
      <c r="N141" s="2848"/>
      <c r="O141" s="2848"/>
      <c r="P141" s="2848"/>
      <c r="Q141" s="2848"/>
      <c r="R141" s="2848"/>
      <c r="S141" s="2848"/>
      <c r="T141" s="2848"/>
      <c r="U141" s="2848"/>
      <c r="V141" s="2848"/>
      <c r="W141" s="2848"/>
      <c r="X141" s="2848"/>
      <c r="Y141" s="2848"/>
      <c r="Z141" s="2848"/>
      <c r="AA141" s="2848"/>
      <c r="AB141" s="2848"/>
      <c r="AC141" s="2848"/>
      <c r="AD141" s="2848"/>
      <c r="AE141" s="2848"/>
      <c r="AF141" s="2848"/>
      <c r="AG141" s="2848"/>
      <c r="AH141" s="2848"/>
      <c r="AI141" s="2848"/>
      <c r="AJ141" s="2848"/>
      <c r="AK141" s="2848"/>
      <c r="AL141" s="2848"/>
      <c r="AM141" s="2848"/>
      <c r="AN141" s="2848"/>
      <c r="AO141" s="2848"/>
      <c r="AP141" s="2848"/>
      <c r="AQ141" s="2848"/>
      <c r="AR141" s="2848"/>
      <c r="AS141" s="2848"/>
      <c r="AT141" s="2848"/>
      <c r="AU141" s="2848"/>
      <c r="AV141" s="2848"/>
      <c r="AW141" s="2848"/>
      <c r="AX141" s="2848"/>
      <c r="AY141" s="2847"/>
      <c r="AZ141" s="2846"/>
    </row>
    <row r="142" spans="2:54" ht="13.5" customHeight="1">
      <c r="B142" s="3502"/>
      <c r="C142" s="3498"/>
      <c r="D142" s="3502"/>
      <c r="E142" s="2845" t="s">
        <v>5377</v>
      </c>
      <c r="F142" s="2844"/>
      <c r="G142" s="2843"/>
      <c r="H142" s="2843"/>
      <c r="I142" s="2843"/>
      <c r="J142" s="2843"/>
      <c r="K142" s="2843"/>
      <c r="L142" s="2843"/>
      <c r="M142" s="2843"/>
      <c r="N142" s="2843"/>
      <c r="O142" s="2843"/>
      <c r="P142" s="2843"/>
      <c r="Q142" s="2843"/>
      <c r="R142" s="2843"/>
      <c r="S142" s="2843"/>
      <c r="T142" s="3497">
        <f>'(申)3%'!T142:Y142+'(申)5%'!T142:Y142+'(申)8%'!T142:Y142+'(申)軽8%'!T142:Y142+'(申)10%'!T142:Y142</f>
        <v>1472763219</v>
      </c>
      <c r="U142" s="3497"/>
      <c r="V142" s="3497"/>
      <c r="W142" s="3497"/>
      <c r="X142" s="3497"/>
      <c r="Y142" s="3497"/>
      <c r="Z142" s="2843"/>
      <c r="AA142" s="2843"/>
      <c r="AB142" s="2851"/>
      <c r="AC142" s="2843"/>
      <c r="AD142" s="2843"/>
      <c r="AE142" s="2843"/>
      <c r="AF142" s="2843"/>
      <c r="AG142" s="2843"/>
      <c r="AH142" s="2843"/>
      <c r="AI142" s="2843"/>
      <c r="AJ142" s="2843"/>
      <c r="AK142" s="2843"/>
      <c r="AL142" s="2843"/>
      <c r="AM142" s="2843"/>
      <c r="AN142" s="2843"/>
      <c r="AO142" s="2843"/>
      <c r="AP142" s="2843"/>
      <c r="AQ142" s="2843"/>
      <c r="AR142" s="2843"/>
      <c r="AS142" s="2843"/>
      <c r="AT142" s="2843"/>
      <c r="AU142" s="2843"/>
      <c r="AV142" s="2843"/>
      <c r="AW142" s="2843"/>
      <c r="AX142" s="2843"/>
      <c r="AY142" s="2842"/>
      <c r="AZ142" s="2841"/>
    </row>
    <row r="143" spans="2:54" ht="13.5" customHeight="1" thickBot="1">
      <c r="B143" s="3502"/>
      <c r="C143" s="3498"/>
      <c r="D143" s="3502"/>
      <c r="E143" s="2845" t="s">
        <v>5375</v>
      </c>
      <c r="F143" s="2844"/>
      <c r="G143" s="2843"/>
      <c r="H143" s="2843"/>
      <c r="I143" s="2843"/>
      <c r="J143" s="2843"/>
      <c r="K143" s="2843"/>
      <c r="L143" s="2843"/>
      <c r="M143" s="2843"/>
      <c r="N143" s="2843"/>
      <c r="O143" s="2843"/>
      <c r="P143" s="2843"/>
      <c r="Q143" s="2843"/>
      <c r="R143" s="2843"/>
      <c r="S143" s="2843"/>
      <c r="T143" s="3497">
        <f>'(申)3%'!T143:Y143+'(申)5%'!T143:Y143+'(申)8%'!T143:Y143+'(申)軽8%'!T143:Y143+'(申)10%'!T143:Y143</f>
        <v>1209724143</v>
      </c>
      <c r="U143" s="3497"/>
      <c r="V143" s="3497"/>
      <c r="W143" s="3497"/>
      <c r="X143" s="3497"/>
      <c r="Y143" s="3497"/>
      <c r="Z143" s="2843"/>
      <c r="AA143" s="2843"/>
      <c r="AB143" s="2851"/>
      <c r="AC143" s="2843"/>
      <c r="AD143" s="2843"/>
      <c r="AE143" s="2843"/>
      <c r="AF143" s="2843"/>
      <c r="AG143" s="2843"/>
      <c r="AH143" s="2843"/>
      <c r="AI143" s="2843"/>
      <c r="AJ143" s="2843"/>
      <c r="AK143" s="2843"/>
      <c r="AL143" s="2843"/>
      <c r="AM143" s="2843"/>
      <c r="AN143" s="2843"/>
      <c r="AO143" s="2843"/>
      <c r="AP143" s="2843"/>
      <c r="AQ143" s="2843"/>
      <c r="AR143" s="2843"/>
      <c r="AS143" s="2843"/>
      <c r="AT143" s="2843"/>
      <c r="AU143" s="2843"/>
      <c r="AV143" s="2843"/>
      <c r="AW143" s="2843"/>
      <c r="AX143" s="2843"/>
      <c r="AY143" s="2842"/>
      <c r="AZ143" s="2841"/>
    </row>
    <row r="144" spans="2:54" ht="13.5" customHeight="1" thickTop="1" thickBot="1">
      <c r="B144" s="3502"/>
      <c r="C144" s="3498"/>
      <c r="D144" s="3502"/>
      <c r="E144" s="2845" t="s">
        <v>5373</v>
      </c>
      <c r="F144" s="2844"/>
      <c r="G144" s="2843"/>
      <c r="H144" s="2843"/>
      <c r="I144" s="2843"/>
      <c r="J144" s="2843"/>
      <c r="K144" s="2843"/>
      <c r="L144" s="2843"/>
      <c r="M144" s="2843"/>
      <c r="N144" s="2843"/>
      <c r="O144" s="2843"/>
      <c r="P144" s="2843"/>
      <c r="Q144" s="2843"/>
      <c r="R144" s="2843"/>
      <c r="S144" s="2843"/>
      <c r="T144" s="3499">
        <f>ROUNDDOWN('(申)3%'!T144:Y144+'(申)5%'!T144:Y144+'(申)8%'!T144:Y144+'(申)軽8%'!T144:Y144+'(申)10%'!T144:Y144,-2)</f>
        <v>268070800</v>
      </c>
      <c r="U144" s="3500"/>
      <c r="V144" s="3500"/>
      <c r="W144" s="3500"/>
      <c r="X144" s="3500"/>
      <c r="Y144" s="3501"/>
      <c r="Z144" s="2843" t="s">
        <v>5600</v>
      </c>
      <c r="AA144" s="2843"/>
      <c r="AB144" s="3323"/>
      <c r="AC144" s="2843"/>
      <c r="AD144" s="2843"/>
      <c r="AE144" s="2843"/>
      <c r="AF144" s="2843"/>
      <c r="AG144" s="2843"/>
      <c r="AH144" s="2843"/>
      <c r="AI144" s="2843"/>
      <c r="AJ144" s="2843"/>
      <c r="AK144" s="2843"/>
      <c r="AL144" s="2843"/>
      <c r="AM144" s="2843"/>
      <c r="AN144" s="2843"/>
      <c r="AO144" s="2843"/>
      <c r="AP144" s="2843"/>
      <c r="AQ144" s="2843"/>
      <c r="AR144" s="2843"/>
      <c r="AS144" s="2843"/>
      <c r="AT144" s="2843"/>
      <c r="AU144" s="2843"/>
      <c r="AV144" s="2843"/>
      <c r="AW144" s="2843"/>
      <c r="AX144" s="2843"/>
      <c r="AY144" s="2842"/>
      <c r="AZ144" s="2841" t="s">
        <v>5599</v>
      </c>
    </row>
    <row r="145" spans="2:52" ht="13.5" customHeight="1" thickTop="1" thickBot="1">
      <c r="B145" s="3502"/>
      <c r="C145" s="3498"/>
      <c r="D145" s="3502"/>
      <c r="E145" s="2845"/>
      <c r="F145" s="2844"/>
      <c r="G145" s="2843"/>
      <c r="H145" s="2843"/>
      <c r="I145" s="2843"/>
      <c r="J145" s="2843"/>
      <c r="K145" s="2843"/>
      <c r="L145" s="2843"/>
      <c r="M145" s="2843"/>
      <c r="N145" s="2843"/>
      <c r="O145" s="2843"/>
      <c r="P145" s="2843"/>
      <c r="Q145" s="2843"/>
      <c r="R145" s="2843"/>
      <c r="S145" s="2843"/>
      <c r="T145" s="2843"/>
      <c r="U145" s="2843"/>
      <c r="V145" s="2843"/>
      <c r="W145" s="2843"/>
      <c r="X145" s="2843"/>
      <c r="Y145" s="2843"/>
      <c r="Z145" s="2843"/>
      <c r="AA145" s="2843"/>
      <c r="AB145" s="2843"/>
      <c r="AC145" s="2843"/>
      <c r="AD145" s="2843"/>
      <c r="AE145" s="2843"/>
      <c r="AF145" s="2843"/>
      <c r="AG145" s="2843"/>
      <c r="AH145" s="2843"/>
      <c r="AI145" s="2843"/>
      <c r="AJ145" s="2843"/>
      <c r="AK145" s="2843"/>
      <c r="AL145" s="2843"/>
      <c r="AM145" s="2843"/>
      <c r="AN145" s="2843"/>
      <c r="AO145" s="2843"/>
      <c r="AP145" s="2843"/>
      <c r="AQ145" s="2843"/>
      <c r="AR145" s="2843"/>
      <c r="AS145" s="2843"/>
      <c r="AT145" s="2843"/>
      <c r="AU145" s="2843"/>
      <c r="AV145" s="2843"/>
      <c r="AW145" s="2843"/>
      <c r="AX145" s="2843"/>
      <c r="AY145" s="2842"/>
      <c r="AZ145" s="2841"/>
    </row>
    <row r="146" spans="2:52" ht="13.5" customHeight="1" thickTop="1" thickBot="1">
      <c r="B146" s="3502"/>
      <c r="C146" s="3498"/>
      <c r="D146" s="3502"/>
      <c r="E146" s="2845" t="s">
        <v>5588</v>
      </c>
      <c r="F146" s="2844"/>
      <c r="G146" s="2843"/>
      <c r="H146" s="2843"/>
      <c r="I146" s="2843"/>
      <c r="J146" s="2843"/>
      <c r="K146" s="2843"/>
      <c r="L146" s="2843"/>
      <c r="M146" s="2843"/>
      <c r="N146" s="2843"/>
      <c r="O146" s="2843"/>
      <c r="P146" s="2843"/>
      <c r="Q146" s="2843"/>
      <c r="R146" s="2843"/>
      <c r="S146" s="2843"/>
      <c r="T146" s="3540">
        <f>基礎数値!I22</f>
        <v>365767600</v>
      </c>
      <c r="U146" s="3541"/>
      <c r="V146" s="3541"/>
      <c r="W146" s="3541"/>
      <c r="X146" s="3541"/>
      <c r="Y146" s="3542"/>
      <c r="Z146" s="2843" t="s">
        <v>5598</v>
      </c>
      <c r="AA146" s="2843"/>
      <c r="AB146" s="2851" t="s">
        <v>5597</v>
      </c>
      <c r="AC146" s="2843"/>
      <c r="AD146" s="2843"/>
      <c r="AE146" s="2843"/>
      <c r="AF146" s="2843"/>
      <c r="AG146" s="2843"/>
      <c r="AH146" s="2843"/>
      <c r="AI146" s="2843"/>
      <c r="AJ146" s="2843"/>
      <c r="AK146" s="2843"/>
      <c r="AL146" s="2843"/>
      <c r="AM146" s="2843"/>
      <c r="AN146" s="2843"/>
      <c r="AO146" s="2843"/>
      <c r="AP146" s="2843"/>
      <c r="AQ146" s="2843"/>
      <c r="AR146" s="2843"/>
      <c r="AS146" s="2843"/>
      <c r="AT146" s="2843"/>
      <c r="AU146" s="2843"/>
      <c r="AV146" s="2843"/>
      <c r="AW146" s="2843"/>
      <c r="AX146" s="2843"/>
      <c r="AY146" s="2842"/>
      <c r="AZ146" s="2841" t="s">
        <v>5596</v>
      </c>
    </row>
    <row r="147" spans="2:52" ht="13.5" customHeight="1" thickTop="1" thickBot="1">
      <c r="B147" s="3502"/>
      <c r="C147" s="3498"/>
      <c r="D147" s="3502"/>
      <c r="E147" s="2845"/>
      <c r="F147" s="2844"/>
      <c r="G147" s="2843"/>
      <c r="H147" s="2843"/>
      <c r="I147" s="2843"/>
      <c r="J147" s="2843"/>
      <c r="K147" s="2843"/>
      <c r="L147" s="2843"/>
      <c r="M147" s="2843"/>
      <c r="N147" s="2843"/>
      <c r="O147" s="2843"/>
      <c r="P147" s="2843"/>
      <c r="Q147" s="2843"/>
      <c r="R147" s="2843"/>
      <c r="S147" s="2843"/>
      <c r="T147" s="2843"/>
      <c r="U147" s="2843"/>
      <c r="V147" s="2843"/>
      <c r="W147" s="2843"/>
      <c r="X147" s="2843"/>
      <c r="Y147" s="2843"/>
      <c r="Z147" s="2843"/>
      <c r="AA147" s="2843"/>
      <c r="AB147" s="2843"/>
      <c r="AC147" s="2843"/>
      <c r="AD147" s="2843"/>
      <c r="AE147" s="2843"/>
      <c r="AF147" s="2843"/>
      <c r="AG147" s="2843"/>
      <c r="AH147" s="2843"/>
      <c r="AI147" s="2843"/>
      <c r="AJ147" s="2843"/>
      <c r="AK147" s="2843"/>
      <c r="AL147" s="2843"/>
      <c r="AM147" s="2843"/>
      <c r="AN147" s="2843"/>
      <c r="AO147" s="2843"/>
      <c r="AP147" s="2843"/>
      <c r="AQ147" s="2843"/>
      <c r="AR147" s="2843"/>
      <c r="AS147" s="2843"/>
      <c r="AT147" s="2843"/>
      <c r="AU147" s="2843"/>
      <c r="AV147" s="2843"/>
      <c r="AW147" s="2843"/>
      <c r="AX147" s="2843"/>
      <c r="AY147" s="2842"/>
      <c r="AZ147" s="2841"/>
    </row>
    <row r="148" spans="2:52" ht="13.5" customHeight="1" thickTop="1" thickBot="1">
      <c r="B148" s="3502"/>
      <c r="C148" s="3498"/>
      <c r="D148" s="3502"/>
      <c r="E148" s="2845" t="s">
        <v>5584</v>
      </c>
      <c r="F148" s="2844"/>
      <c r="G148" s="2843"/>
      <c r="H148" s="2843"/>
      <c r="I148" s="2843"/>
      <c r="J148" s="2843"/>
      <c r="K148" s="2843"/>
      <c r="L148" s="2843"/>
      <c r="M148" s="2843"/>
      <c r="N148" s="2843"/>
      <c r="O148" s="2843"/>
      <c r="P148" s="2843"/>
      <c r="Q148" s="2843"/>
      <c r="R148" s="2843"/>
      <c r="S148" s="2843"/>
      <c r="T148" s="3499">
        <f>T144-T146</f>
        <v>-97696800</v>
      </c>
      <c r="U148" s="3500"/>
      <c r="V148" s="3500"/>
      <c r="W148" s="3500"/>
      <c r="X148" s="3500"/>
      <c r="Y148" s="3501"/>
      <c r="Z148" s="2843" t="s">
        <v>5595</v>
      </c>
      <c r="AA148" s="2843"/>
      <c r="AB148" s="2851" t="s">
        <v>5594</v>
      </c>
      <c r="AC148" s="2843"/>
      <c r="AD148" s="2843"/>
      <c r="AE148" s="2843"/>
      <c r="AF148" s="2843"/>
      <c r="AG148" s="2843"/>
      <c r="AH148" s="2851" t="s">
        <v>5593</v>
      </c>
      <c r="AI148" s="2843"/>
      <c r="AJ148" s="2843"/>
      <c r="AK148" s="2843"/>
      <c r="AL148" s="2843"/>
      <c r="AM148" s="2843"/>
      <c r="AN148" s="2843"/>
      <c r="AO148" s="2843"/>
      <c r="AP148" s="2843"/>
      <c r="AQ148" s="2843"/>
      <c r="AR148" s="2843"/>
      <c r="AS148" s="2843"/>
      <c r="AT148" s="2843"/>
      <c r="AU148" s="2843"/>
      <c r="AV148" s="2843"/>
      <c r="AW148" s="2843"/>
      <c r="AX148" s="2843"/>
      <c r="AY148" s="2842"/>
      <c r="AZ148" s="2841" t="s">
        <v>5592</v>
      </c>
    </row>
    <row r="149" spans="2:52" ht="13.5" customHeight="1" thickTop="1">
      <c r="B149" s="3502"/>
      <c r="C149" s="3503"/>
      <c r="D149" s="3513"/>
      <c r="E149" s="2840"/>
      <c r="F149" s="2839"/>
      <c r="G149" s="2838"/>
      <c r="H149" s="2838"/>
      <c r="I149" s="2838"/>
      <c r="J149" s="2838"/>
      <c r="K149" s="2838"/>
      <c r="L149" s="2838"/>
      <c r="M149" s="2838"/>
      <c r="N149" s="2838"/>
      <c r="O149" s="2838"/>
      <c r="P149" s="2838"/>
      <c r="Q149" s="2838"/>
      <c r="R149" s="2838"/>
      <c r="S149" s="2838"/>
      <c r="T149" s="2838"/>
      <c r="U149" s="2838"/>
      <c r="V149" s="2838"/>
      <c r="W149" s="2838"/>
      <c r="X149" s="2838"/>
      <c r="Y149" s="2838"/>
      <c r="Z149" s="2838"/>
      <c r="AA149" s="2838"/>
      <c r="AB149" s="2838"/>
      <c r="AC149" s="2838"/>
      <c r="AD149" s="2838"/>
      <c r="AE149" s="2838"/>
      <c r="AF149" s="2838"/>
      <c r="AG149" s="2838"/>
      <c r="AH149" s="2838"/>
      <c r="AI149" s="2838"/>
      <c r="AJ149" s="2838"/>
      <c r="AK149" s="2838"/>
      <c r="AL149" s="2838"/>
      <c r="AM149" s="2838"/>
      <c r="AN149" s="2838"/>
      <c r="AO149" s="2838"/>
      <c r="AP149" s="2838"/>
      <c r="AQ149" s="2838"/>
      <c r="AR149" s="2838"/>
      <c r="AS149" s="2838"/>
      <c r="AT149" s="2838"/>
      <c r="AU149" s="2838"/>
      <c r="AV149" s="2838"/>
      <c r="AW149" s="2838"/>
      <c r="AX149" s="2838"/>
      <c r="AY149" s="2837"/>
      <c r="AZ149" s="2836"/>
    </row>
    <row r="150" spans="2:52" ht="13.5" customHeight="1" thickBot="1">
      <c r="B150" s="3502"/>
      <c r="C150" s="3514">
        <v>3</v>
      </c>
      <c r="D150" s="3512" t="s">
        <v>5369</v>
      </c>
      <c r="E150" s="2850"/>
      <c r="F150" s="2849"/>
      <c r="G150" s="2848"/>
      <c r="H150" s="2848"/>
      <c r="I150" s="2848"/>
      <c r="J150" s="2848"/>
      <c r="K150" s="2848"/>
      <c r="L150" s="2848"/>
      <c r="M150" s="2848"/>
      <c r="N150" s="2848"/>
      <c r="O150" s="2848"/>
      <c r="P150" s="2848"/>
      <c r="Q150" s="2848"/>
      <c r="R150" s="2848"/>
      <c r="S150" s="2848"/>
      <c r="T150" s="2848"/>
      <c r="U150" s="2848"/>
      <c r="V150" s="2848"/>
      <c r="W150" s="2848"/>
      <c r="X150" s="2848"/>
      <c r="Y150" s="2848"/>
      <c r="Z150" s="2848"/>
      <c r="AA150" s="2848"/>
      <c r="AB150" s="2848"/>
      <c r="AC150" s="2848"/>
      <c r="AD150" s="2848"/>
      <c r="AE150" s="2848"/>
      <c r="AF150" s="2848"/>
      <c r="AG150" s="2848"/>
      <c r="AH150" s="2848"/>
      <c r="AI150" s="2848"/>
      <c r="AJ150" s="2848"/>
      <c r="AK150" s="2848"/>
      <c r="AL150" s="2848"/>
      <c r="AM150" s="2848"/>
      <c r="AN150" s="2848"/>
      <c r="AO150" s="2848"/>
      <c r="AP150" s="2848"/>
      <c r="AQ150" s="2848"/>
      <c r="AR150" s="2848"/>
      <c r="AS150" s="2848"/>
      <c r="AT150" s="2848"/>
      <c r="AU150" s="2848"/>
      <c r="AV150" s="2848"/>
      <c r="AW150" s="2848"/>
      <c r="AX150" s="2848"/>
      <c r="AY150" s="2847"/>
      <c r="AZ150" s="2846"/>
    </row>
    <row r="151" spans="2:52" ht="13.5" customHeight="1" thickTop="1" thickBot="1">
      <c r="B151" s="3502"/>
      <c r="C151" s="3498"/>
      <c r="D151" s="3502"/>
      <c r="E151" s="2845" t="s">
        <v>5368</v>
      </c>
      <c r="F151" s="2844"/>
      <c r="G151" s="2843"/>
      <c r="H151" s="2843"/>
      <c r="I151" s="2843"/>
      <c r="J151" s="2843"/>
      <c r="K151" s="2843"/>
      <c r="L151" s="2843"/>
      <c r="M151" s="2843"/>
      <c r="N151" s="2843"/>
      <c r="O151" s="2843"/>
      <c r="P151" s="2843"/>
      <c r="Q151" s="2843"/>
      <c r="R151" s="2843"/>
      <c r="S151" s="2843"/>
      <c r="T151" s="3499">
        <f>'(申)3%'!T151:Y151+'(申)5%'!T151:Y151+'(申)8%'!T151:Y151+'(申)軽8%'!T151:Y151+'(申)10%'!T151:Y151</f>
        <v>268070829</v>
      </c>
      <c r="U151" s="3500"/>
      <c r="V151" s="3500"/>
      <c r="W151" s="3500"/>
      <c r="X151" s="3500"/>
      <c r="Y151" s="3501"/>
      <c r="Z151" s="2843"/>
      <c r="AA151" s="2843"/>
      <c r="AB151" s="2851"/>
      <c r="AC151" s="2843"/>
      <c r="AD151" s="2843"/>
      <c r="AE151" s="2843"/>
      <c r="AF151" s="2843"/>
      <c r="AG151" s="2843"/>
      <c r="AH151" s="2843"/>
      <c r="AI151" s="2843"/>
      <c r="AJ151" s="2843"/>
      <c r="AK151" s="2843"/>
      <c r="AL151" s="2843"/>
      <c r="AM151" s="2843"/>
      <c r="AN151" s="2843"/>
      <c r="AO151" s="2843"/>
      <c r="AP151" s="2843"/>
      <c r="AQ151" s="2843"/>
      <c r="AR151" s="2843"/>
      <c r="AS151" s="2843"/>
      <c r="AT151" s="2843"/>
      <c r="AU151" s="2843"/>
      <c r="AV151" s="2843"/>
      <c r="AW151" s="2843"/>
      <c r="AX151" s="2843"/>
      <c r="AY151" s="2842"/>
      <c r="AZ151" s="2841" t="s">
        <v>5591</v>
      </c>
    </row>
    <row r="152" spans="2:52" ht="13.5" customHeight="1" thickTop="1" thickBot="1">
      <c r="B152" s="3502"/>
      <c r="C152" s="3498"/>
      <c r="D152" s="3502"/>
      <c r="E152" s="2845" t="s">
        <v>5366</v>
      </c>
      <c r="F152" s="2844"/>
      <c r="G152" s="2843"/>
      <c r="H152" s="2843"/>
      <c r="I152" s="2843"/>
      <c r="J152" s="2843"/>
      <c r="K152" s="2843"/>
      <c r="L152" s="2843"/>
      <c r="M152" s="2843"/>
      <c r="N152" s="2843"/>
      <c r="O152" s="2843"/>
      <c r="P152" s="2843"/>
      <c r="Q152" s="2843"/>
      <c r="R152" s="2843"/>
      <c r="S152" s="2843"/>
      <c r="T152" s="3499">
        <f>ROUNDDOWN('(申)3%'!T152:Y152+'(申)5%'!T152:Y152+'(申)8%'!T152:Y152+'(申)軽8%'!T152:Y152+'(申)10%'!T152:Y152,-2)</f>
        <v>75467800</v>
      </c>
      <c r="U152" s="3500"/>
      <c r="V152" s="3500"/>
      <c r="W152" s="3500"/>
      <c r="X152" s="3500"/>
      <c r="Y152" s="3501"/>
      <c r="Z152" s="2843" t="s">
        <v>5590</v>
      </c>
      <c r="AA152" s="2843"/>
      <c r="AB152" s="3323"/>
      <c r="AC152" s="2843"/>
      <c r="AD152" s="2843"/>
      <c r="AE152" s="2843"/>
      <c r="AF152" s="2843"/>
      <c r="AG152" s="2843"/>
      <c r="AH152" s="2843"/>
      <c r="AI152" s="2843"/>
      <c r="AJ152" s="2843"/>
      <c r="AK152" s="2843"/>
      <c r="AL152" s="2843"/>
      <c r="AM152" s="2843"/>
      <c r="AN152" s="2843"/>
      <c r="AO152" s="2843"/>
      <c r="AP152" s="2843"/>
      <c r="AQ152" s="2843"/>
      <c r="AR152" s="2843"/>
      <c r="AS152" s="2843"/>
      <c r="AT152" s="2843"/>
      <c r="AU152" s="2843"/>
      <c r="AV152" s="2843"/>
      <c r="AW152" s="2843"/>
      <c r="AX152" s="2843"/>
      <c r="AY152" s="2842"/>
      <c r="AZ152" s="2841" t="s">
        <v>5589</v>
      </c>
    </row>
    <row r="153" spans="2:52" ht="13.5" customHeight="1" thickTop="1" thickBot="1">
      <c r="B153" s="3502"/>
      <c r="C153" s="3498"/>
      <c r="D153" s="3502"/>
      <c r="E153" s="2845"/>
      <c r="F153" s="2844"/>
      <c r="G153" s="2843"/>
      <c r="H153" s="2843"/>
      <c r="I153" s="2843"/>
      <c r="J153" s="2843"/>
      <c r="K153" s="2843"/>
      <c r="L153" s="2843"/>
      <c r="M153" s="2843"/>
      <c r="N153" s="2843"/>
      <c r="O153" s="2843"/>
      <c r="P153" s="2843"/>
      <c r="Q153" s="2843"/>
      <c r="R153" s="2843"/>
      <c r="S153" s="2843"/>
      <c r="T153" s="2843"/>
      <c r="U153" s="2843"/>
      <c r="V153" s="2843"/>
      <c r="W153" s="2843"/>
      <c r="X153" s="2843"/>
      <c r="Y153" s="2843"/>
      <c r="Z153" s="2843"/>
      <c r="AA153" s="2843"/>
      <c r="AB153" s="2843"/>
      <c r="AC153" s="2843"/>
      <c r="AD153" s="2843"/>
      <c r="AE153" s="2843"/>
      <c r="AF153" s="2843"/>
      <c r="AG153" s="2843"/>
      <c r="AH153" s="2843"/>
      <c r="AI153" s="2843"/>
      <c r="AJ153" s="2843"/>
      <c r="AK153" s="2843"/>
      <c r="AL153" s="2843"/>
      <c r="AM153" s="2843"/>
      <c r="AN153" s="2843"/>
      <c r="AO153" s="2843"/>
      <c r="AP153" s="2843"/>
      <c r="AQ153" s="2843"/>
      <c r="AR153" s="2843"/>
      <c r="AS153" s="2843"/>
      <c r="AT153" s="2843"/>
      <c r="AU153" s="2843"/>
      <c r="AV153" s="2843"/>
      <c r="AW153" s="2843"/>
      <c r="AX153" s="2843"/>
      <c r="AY153" s="2842"/>
      <c r="AZ153" s="2841"/>
    </row>
    <row r="154" spans="2:52" ht="13.5" customHeight="1" thickTop="1" thickBot="1">
      <c r="B154" s="3502"/>
      <c r="C154" s="3498"/>
      <c r="D154" s="3502"/>
      <c r="E154" s="2845" t="s">
        <v>5588</v>
      </c>
      <c r="F154" s="2844"/>
      <c r="G154" s="2843"/>
      <c r="H154" s="2843"/>
      <c r="I154" s="2843"/>
      <c r="J154" s="2843"/>
      <c r="K154" s="2843"/>
      <c r="L154" s="2843"/>
      <c r="M154" s="2843"/>
      <c r="N154" s="2843"/>
      <c r="O154" s="2843"/>
      <c r="P154" s="2843"/>
      <c r="Q154" s="2843"/>
      <c r="R154" s="2843"/>
      <c r="S154" s="2843"/>
      <c r="T154" s="3540">
        <f>基礎数値!I23</f>
        <v>103164600</v>
      </c>
      <c r="U154" s="3541"/>
      <c r="V154" s="3541"/>
      <c r="W154" s="3541"/>
      <c r="X154" s="3541"/>
      <c r="Y154" s="3542"/>
      <c r="Z154" s="2843" t="s">
        <v>5587</v>
      </c>
      <c r="AA154" s="2843"/>
      <c r="AB154" s="2851" t="s">
        <v>5586</v>
      </c>
      <c r="AC154" s="2843"/>
      <c r="AD154" s="2843"/>
      <c r="AE154" s="2843"/>
      <c r="AF154" s="2843"/>
      <c r="AG154" s="2843"/>
      <c r="AH154" s="2843"/>
      <c r="AI154" s="2843"/>
      <c r="AJ154" s="2843"/>
      <c r="AK154" s="2843"/>
      <c r="AL154" s="2843"/>
      <c r="AM154" s="2843"/>
      <c r="AN154" s="2843"/>
      <c r="AO154" s="2843"/>
      <c r="AP154" s="2843"/>
      <c r="AQ154" s="2843"/>
      <c r="AR154" s="2843"/>
      <c r="AS154" s="2843"/>
      <c r="AT154" s="2843"/>
      <c r="AU154" s="2843"/>
      <c r="AV154" s="2843"/>
      <c r="AW154" s="2843"/>
      <c r="AX154" s="2843"/>
      <c r="AY154" s="2842"/>
      <c r="AZ154" s="2841" t="s">
        <v>5585</v>
      </c>
    </row>
    <row r="155" spans="2:52" ht="13.5" customHeight="1" thickTop="1" thickBot="1">
      <c r="B155" s="3502"/>
      <c r="C155" s="3498"/>
      <c r="D155" s="3502"/>
      <c r="E155" s="2845"/>
      <c r="F155" s="2844"/>
      <c r="G155" s="2843"/>
      <c r="H155" s="2843"/>
      <c r="I155" s="2843"/>
      <c r="J155" s="2843"/>
      <c r="K155" s="2843"/>
      <c r="L155" s="2843"/>
      <c r="M155" s="2843"/>
      <c r="N155" s="2843"/>
      <c r="O155" s="2843"/>
      <c r="P155" s="2843"/>
      <c r="Q155" s="2843"/>
      <c r="R155" s="2843"/>
      <c r="S155" s="2843"/>
      <c r="T155" s="2843"/>
      <c r="U155" s="2843"/>
      <c r="V155" s="2843"/>
      <c r="W155" s="2843"/>
      <c r="X155" s="2843"/>
      <c r="Y155" s="2843"/>
      <c r="Z155" s="2843"/>
      <c r="AA155" s="2843"/>
      <c r="AB155" s="2843"/>
      <c r="AC155" s="2843"/>
      <c r="AD155" s="2843"/>
      <c r="AE155" s="2843"/>
      <c r="AF155" s="2843"/>
      <c r="AG155" s="2843"/>
      <c r="AH155" s="2843"/>
      <c r="AI155" s="2843"/>
      <c r="AJ155" s="2843"/>
      <c r="AK155" s="2843"/>
      <c r="AL155" s="2843"/>
      <c r="AM155" s="2843"/>
      <c r="AN155" s="2843"/>
      <c r="AO155" s="2843"/>
      <c r="AP155" s="2843"/>
      <c r="AQ155" s="2843"/>
      <c r="AR155" s="2843"/>
      <c r="AS155" s="2843"/>
      <c r="AT155" s="2843"/>
      <c r="AU155" s="2843"/>
      <c r="AV155" s="2843"/>
      <c r="AW155" s="2843"/>
      <c r="AX155" s="2843"/>
      <c r="AY155" s="2842"/>
      <c r="AZ155" s="2841"/>
    </row>
    <row r="156" spans="2:52" ht="13.5" customHeight="1" thickTop="1" thickBot="1">
      <c r="B156" s="3502"/>
      <c r="C156" s="3498"/>
      <c r="D156" s="3502"/>
      <c r="E156" s="2845" t="s">
        <v>5584</v>
      </c>
      <c r="F156" s="2844"/>
      <c r="G156" s="2843"/>
      <c r="H156" s="2843"/>
      <c r="I156" s="2843"/>
      <c r="J156" s="2843"/>
      <c r="K156" s="2843"/>
      <c r="L156" s="2843"/>
      <c r="M156" s="2843"/>
      <c r="N156" s="2843"/>
      <c r="O156" s="2843"/>
      <c r="P156" s="2843"/>
      <c r="Q156" s="2843"/>
      <c r="R156" s="2843"/>
      <c r="S156" s="2843"/>
      <c r="T156" s="3499">
        <f>T152-T154</f>
        <v>-27696800</v>
      </c>
      <c r="U156" s="3500"/>
      <c r="V156" s="3500"/>
      <c r="W156" s="3500"/>
      <c r="X156" s="3500"/>
      <c r="Y156" s="3501"/>
      <c r="Z156" s="2843" t="s">
        <v>5583</v>
      </c>
      <c r="AA156" s="2843"/>
      <c r="AB156" s="2851" t="s">
        <v>5582</v>
      </c>
      <c r="AC156" s="2843"/>
      <c r="AD156" s="2843"/>
      <c r="AE156" s="2843"/>
      <c r="AF156" s="2843"/>
      <c r="AG156" s="2843"/>
      <c r="AH156" s="2851" t="s">
        <v>5581</v>
      </c>
      <c r="AI156" s="2843"/>
      <c r="AJ156" s="2843"/>
      <c r="AK156" s="2843"/>
      <c r="AL156" s="2843"/>
      <c r="AM156" s="2843"/>
      <c r="AN156" s="2843"/>
      <c r="AO156" s="2843"/>
      <c r="AP156" s="2843"/>
      <c r="AQ156" s="2843"/>
      <c r="AR156" s="2843"/>
      <c r="AS156" s="2843"/>
      <c r="AT156" s="2843"/>
      <c r="AU156" s="2843"/>
      <c r="AV156" s="2843"/>
      <c r="AW156" s="2843"/>
      <c r="AX156" s="2843"/>
      <c r="AY156" s="2842"/>
      <c r="AZ156" s="2841" t="s">
        <v>5580</v>
      </c>
    </row>
    <row r="157" spans="2:52" ht="13.5" customHeight="1" thickTop="1">
      <c r="B157" s="3502"/>
      <c r="C157" s="3503"/>
      <c r="D157" s="3513"/>
      <c r="E157" s="2840"/>
      <c r="F157" s="2839"/>
      <c r="G157" s="2838"/>
      <c r="H157" s="2838"/>
      <c r="I157" s="2838"/>
      <c r="J157" s="2838"/>
      <c r="K157" s="2838"/>
      <c r="L157" s="2838"/>
      <c r="M157" s="2838"/>
      <c r="N157" s="2838"/>
      <c r="O157" s="2838"/>
      <c r="P157" s="2838"/>
      <c r="Q157" s="2838"/>
      <c r="R157" s="2838"/>
      <c r="S157" s="2838"/>
      <c r="T157" s="2838"/>
      <c r="U157" s="2838"/>
      <c r="V157" s="2838"/>
      <c r="W157" s="2838"/>
      <c r="X157" s="2838"/>
      <c r="Y157" s="2838"/>
      <c r="Z157" s="2838"/>
      <c r="AA157" s="2838"/>
      <c r="AB157" s="2838"/>
      <c r="AC157" s="2838"/>
      <c r="AD157" s="2838"/>
      <c r="AE157" s="2838"/>
      <c r="AF157" s="2838"/>
      <c r="AG157" s="2838"/>
      <c r="AH157" s="2838"/>
      <c r="AI157" s="2838"/>
      <c r="AJ157" s="2838"/>
      <c r="AK157" s="2838"/>
      <c r="AL157" s="2838"/>
      <c r="AM157" s="2838"/>
      <c r="AN157" s="2838"/>
      <c r="AO157" s="2838"/>
      <c r="AP157" s="2838"/>
      <c r="AQ157" s="2838"/>
      <c r="AR157" s="2838"/>
      <c r="AS157" s="2838"/>
      <c r="AT157" s="2838"/>
      <c r="AU157" s="2838"/>
      <c r="AV157" s="2838"/>
      <c r="AW157" s="2838"/>
      <c r="AX157" s="2838"/>
      <c r="AY157" s="2837"/>
      <c r="AZ157" s="2836"/>
    </row>
    <row r="158" spans="2:52" ht="13.5" customHeight="1" thickBot="1">
      <c r="B158" s="3502"/>
      <c r="C158" s="3514">
        <v>4</v>
      </c>
      <c r="D158" s="3512" t="s">
        <v>5362</v>
      </c>
      <c r="E158" s="2850"/>
      <c r="F158" s="2849"/>
      <c r="G158" s="2848"/>
      <c r="H158" s="2848"/>
      <c r="I158" s="2848"/>
      <c r="J158" s="2848"/>
      <c r="K158" s="2848"/>
      <c r="L158" s="2848"/>
      <c r="M158" s="2848"/>
      <c r="N158" s="2848"/>
      <c r="O158" s="2848"/>
      <c r="P158" s="2848"/>
      <c r="Q158" s="2848"/>
      <c r="R158" s="2848"/>
      <c r="S158" s="2848"/>
      <c r="T158" s="2848"/>
      <c r="U158" s="2848"/>
      <c r="V158" s="2848"/>
      <c r="W158" s="2848"/>
      <c r="X158" s="2848"/>
      <c r="Y158" s="2848"/>
      <c r="Z158" s="2848"/>
      <c r="AA158" s="2848"/>
      <c r="AB158" s="2848"/>
      <c r="AC158" s="2848"/>
      <c r="AD158" s="2848"/>
      <c r="AE158" s="2848"/>
      <c r="AF158" s="2848"/>
      <c r="AG158" s="2848"/>
      <c r="AH158" s="2848"/>
      <c r="AI158" s="2848"/>
      <c r="AJ158" s="2848"/>
      <c r="AK158" s="2848"/>
      <c r="AL158" s="2848"/>
      <c r="AM158" s="2848"/>
      <c r="AN158" s="2848"/>
      <c r="AO158" s="2848"/>
      <c r="AP158" s="2848"/>
      <c r="AQ158" s="2848"/>
      <c r="AR158" s="2848"/>
      <c r="AS158" s="2848"/>
      <c r="AT158" s="2848"/>
      <c r="AU158" s="2848"/>
      <c r="AV158" s="2848"/>
      <c r="AW158" s="2848"/>
      <c r="AX158" s="2848"/>
      <c r="AY158" s="2847"/>
      <c r="AZ158" s="2846"/>
    </row>
    <row r="159" spans="2:52" ht="13.5" customHeight="1" thickTop="1" thickBot="1">
      <c r="B159" s="3502"/>
      <c r="C159" s="3498"/>
      <c r="D159" s="3502"/>
      <c r="E159" s="2845" t="s">
        <v>5579</v>
      </c>
      <c r="F159" s="2844"/>
      <c r="G159" s="2843"/>
      <c r="H159" s="2843"/>
      <c r="I159" s="2843"/>
      <c r="J159" s="2843"/>
      <c r="K159" s="2843"/>
      <c r="L159" s="2843"/>
      <c r="M159" s="2843"/>
      <c r="N159" s="2843"/>
      <c r="O159" s="2843"/>
      <c r="P159" s="2843"/>
      <c r="Q159" s="2843"/>
      <c r="R159" s="2843"/>
      <c r="S159" s="2843"/>
      <c r="T159" s="3499">
        <f>T148+T156</f>
        <v>-125393600</v>
      </c>
      <c r="U159" s="3500"/>
      <c r="V159" s="3500"/>
      <c r="W159" s="3500"/>
      <c r="X159" s="3500"/>
      <c r="Y159" s="3501"/>
      <c r="Z159" s="2843"/>
      <c r="AA159" s="2843"/>
      <c r="AB159" s="2851" t="s">
        <v>5578</v>
      </c>
      <c r="AC159" s="2843"/>
      <c r="AD159" s="2843"/>
      <c r="AE159" s="2843"/>
      <c r="AF159" s="2843"/>
      <c r="AG159" s="2843"/>
      <c r="AH159" s="2843"/>
      <c r="AI159" s="2843"/>
      <c r="AJ159" s="2843"/>
      <c r="AK159" s="2843"/>
      <c r="AL159" s="2843"/>
      <c r="AM159" s="2843"/>
      <c r="AN159" s="2843"/>
      <c r="AO159" s="2843"/>
      <c r="AP159" s="2843"/>
      <c r="AQ159" s="2843"/>
      <c r="AR159" s="2843"/>
      <c r="AS159" s="2843"/>
      <c r="AT159" s="2843"/>
      <c r="AU159" s="2843"/>
      <c r="AV159" s="2843"/>
      <c r="AW159" s="2843"/>
      <c r="AX159" s="2843"/>
      <c r="AY159" s="2842"/>
      <c r="AZ159" s="2841" t="s">
        <v>5577</v>
      </c>
    </row>
    <row r="160" spans="2:52" ht="13.5" customHeight="1" thickTop="1">
      <c r="B160" s="3513"/>
      <c r="C160" s="3503"/>
      <c r="D160" s="3513"/>
      <c r="E160" s="2840"/>
      <c r="F160" s="2839"/>
      <c r="G160" s="2838"/>
      <c r="H160" s="2838"/>
      <c r="I160" s="2838"/>
      <c r="J160" s="2838"/>
      <c r="K160" s="2838"/>
      <c r="L160" s="2838"/>
      <c r="M160" s="2838"/>
      <c r="N160" s="2838"/>
      <c r="O160" s="2838"/>
      <c r="P160" s="2838"/>
      <c r="Q160" s="2838"/>
      <c r="R160" s="2838"/>
      <c r="S160" s="2838"/>
      <c r="T160" s="2838"/>
      <c r="U160" s="2838"/>
      <c r="V160" s="2838"/>
      <c r="W160" s="2838"/>
      <c r="X160" s="2838"/>
      <c r="Y160" s="2838"/>
      <c r="Z160" s="2838"/>
      <c r="AA160" s="2838"/>
      <c r="AB160" s="2838"/>
      <c r="AC160" s="2838"/>
      <c r="AD160" s="2838"/>
      <c r="AE160" s="2838"/>
      <c r="AF160" s="2838"/>
      <c r="AG160" s="2838"/>
      <c r="AH160" s="2838"/>
      <c r="AI160" s="2838"/>
      <c r="AJ160" s="2838"/>
      <c r="AK160" s="2838"/>
      <c r="AL160" s="2838"/>
      <c r="AM160" s="2838"/>
      <c r="AN160" s="2838"/>
      <c r="AO160" s="2838"/>
      <c r="AP160" s="2838"/>
      <c r="AQ160" s="2838"/>
      <c r="AR160" s="2838"/>
      <c r="AS160" s="2838"/>
      <c r="AT160" s="2838"/>
      <c r="AU160" s="2838"/>
      <c r="AV160" s="2838"/>
      <c r="AW160" s="2838"/>
      <c r="AX160" s="2838"/>
      <c r="AY160" s="2837"/>
      <c r="AZ160" s="2836"/>
    </row>
  </sheetData>
  <mergeCells count="143">
    <mergeCell ref="B2:D2"/>
    <mergeCell ref="E2:AY2"/>
    <mergeCell ref="B3:B32"/>
    <mergeCell ref="C3:C4"/>
    <mergeCell ref="D3:D4"/>
    <mergeCell ref="E3:AY4"/>
    <mergeCell ref="C5:C7"/>
    <mergeCell ref="AK21:AP21"/>
    <mergeCell ref="R24:W24"/>
    <mergeCell ref="R25:W25"/>
    <mergeCell ref="R27:W27"/>
    <mergeCell ref="R29:W29"/>
    <mergeCell ref="R31:W31"/>
    <mergeCell ref="D5:D7"/>
    <mergeCell ref="E5:AY12"/>
    <mergeCell ref="C8:C10"/>
    <mergeCell ref="D8:D10"/>
    <mergeCell ref="C11:C12"/>
    <mergeCell ref="D11:D12"/>
    <mergeCell ref="C19:C32"/>
    <mergeCell ref="D19:D32"/>
    <mergeCell ref="R20:W20"/>
    <mergeCell ref="R21:W21"/>
    <mergeCell ref="C13:C14"/>
    <mergeCell ref="B33:B43"/>
    <mergeCell ref="C33:C43"/>
    <mergeCell ref="D33:D43"/>
    <mergeCell ref="R34:W34"/>
    <mergeCell ref="R35:W35"/>
    <mergeCell ref="R36:W36"/>
    <mergeCell ref="R42:W42"/>
    <mergeCell ref="AZ36:AZ37"/>
    <mergeCell ref="R38:W38"/>
    <mergeCell ref="R39:W39"/>
    <mergeCell ref="AK39:AP39"/>
    <mergeCell ref="D13:D14"/>
    <mergeCell ref="E13:AY18"/>
    <mergeCell ref="C15:C16"/>
    <mergeCell ref="D15:D16"/>
    <mergeCell ref="C17:C18"/>
    <mergeCell ref="D17:D18"/>
    <mergeCell ref="D47:D49"/>
    <mergeCell ref="E47:AY51"/>
    <mergeCell ref="C50:C51"/>
    <mergeCell ref="D50:D51"/>
    <mergeCell ref="R40:W40"/>
    <mergeCell ref="C52:C53"/>
    <mergeCell ref="C58:C71"/>
    <mergeCell ref="D58:D71"/>
    <mergeCell ref="R59:W59"/>
    <mergeCell ref="R60:W60"/>
    <mergeCell ref="AK60:AP60"/>
    <mergeCell ref="R65:W65"/>
    <mergeCell ref="E56:AY57"/>
    <mergeCell ref="D52:D53"/>
    <mergeCell ref="E52:AY53"/>
    <mergeCell ref="C54:C55"/>
    <mergeCell ref="D54:D55"/>
    <mergeCell ref="E54:AY55"/>
    <mergeCell ref="C56:C57"/>
    <mergeCell ref="D56:D57"/>
    <mergeCell ref="R66:W66"/>
    <mergeCell ref="T68:Y68"/>
    <mergeCell ref="D77:D80"/>
    <mergeCell ref="E77:AY80"/>
    <mergeCell ref="C84:C86"/>
    <mergeCell ref="D84:D86"/>
    <mergeCell ref="E84:AY86"/>
    <mergeCell ref="C81:C83"/>
    <mergeCell ref="D81:D83"/>
    <mergeCell ref="E81:AY83"/>
    <mergeCell ref="T70:Y70"/>
    <mergeCell ref="AZ87:AZ96"/>
    <mergeCell ref="P88:U88"/>
    <mergeCell ref="P89:U89"/>
    <mergeCell ref="AS89:AX89"/>
    <mergeCell ref="P91:U91"/>
    <mergeCell ref="P92:U92"/>
    <mergeCell ref="P93:U93"/>
    <mergeCell ref="P95:U95"/>
    <mergeCell ref="B44:B71"/>
    <mergeCell ref="C44:C46"/>
    <mergeCell ref="D44:D46"/>
    <mergeCell ref="E44:AY46"/>
    <mergeCell ref="C47:C49"/>
    <mergeCell ref="AE92:AJ92"/>
    <mergeCell ref="C87:C96"/>
    <mergeCell ref="D87:D96"/>
    <mergeCell ref="B72:B86"/>
    <mergeCell ref="C72:C73"/>
    <mergeCell ref="D72:D73"/>
    <mergeCell ref="E72:AY73"/>
    <mergeCell ref="C74:C76"/>
    <mergeCell ref="D74:D76"/>
    <mergeCell ref="E74:AY76"/>
    <mergeCell ref="C77:C80"/>
    <mergeCell ref="Z120:AE120"/>
    <mergeCell ref="T151:Y151"/>
    <mergeCell ref="T152:Y152"/>
    <mergeCell ref="AZ121:AZ123"/>
    <mergeCell ref="Z122:AE122"/>
    <mergeCell ref="C150:C157"/>
    <mergeCell ref="D150:D157"/>
    <mergeCell ref="T156:Y156"/>
    <mergeCell ref="Z108:AE108"/>
    <mergeCell ref="AC111:AH111"/>
    <mergeCell ref="AZ97:AZ98"/>
    <mergeCell ref="Z98:AE98"/>
    <mergeCell ref="Z100:AE100"/>
    <mergeCell ref="Z101:AE101"/>
    <mergeCell ref="AA113:AF113"/>
    <mergeCell ref="AH113:AH116"/>
    <mergeCell ref="AZ113:AZ116"/>
    <mergeCell ref="AA116:AF116"/>
    <mergeCell ref="AA118:AF118"/>
    <mergeCell ref="Z103:AE103"/>
    <mergeCell ref="AG103:AG106"/>
    <mergeCell ref="AZ103:AZ106"/>
    <mergeCell ref="Z106:AE106"/>
    <mergeCell ref="B131:B160"/>
    <mergeCell ref="C131:C140"/>
    <mergeCell ref="D131:D140"/>
    <mergeCell ref="T132:Y132"/>
    <mergeCell ref="T134:Y134"/>
    <mergeCell ref="T154:Y154"/>
    <mergeCell ref="F113:S116"/>
    <mergeCell ref="B87:B130"/>
    <mergeCell ref="T137:Y137"/>
    <mergeCell ref="T139:Y139"/>
    <mergeCell ref="C141:C149"/>
    <mergeCell ref="D141:D149"/>
    <mergeCell ref="T142:Y142"/>
    <mergeCell ref="T143:Y143"/>
    <mergeCell ref="T144:Y144"/>
    <mergeCell ref="T146:Y146"/>
    <mergeCell ref="T148:Y148"/>
    <mergeCell ref="T136:Y136"/>
    <mergeCell ref="C158:C160"/>
    <mergeCell ref="D158:D160"/>
    <mergeCell ref="T159:Y159"/>
    <mergeCell ref="C97:C123"/>
    <mergeCell ref="D97:D123"/>
    <mergeCell ref="E103:R106"/>
  </mergeCells>
  <phoneticPr fontId="4"/>
  <pageMargins left="0.39370078740157483" right="0.39370078740157483" top="0.74803149606299213" bottom="0.55118110236220474" header="0.31496062992125984" footer="0.15748031496062992"/>
  <pageSetup paperSize="9" scale="79" orientation="landscape" cellComments="asDisplayed" r:id="rId1"/>
  <headerFooter>
    <oddFooter>&amp;C&amp;P/&amp;N&amp;R&amp;A</oddFooter>
  </headerFooter>
  <rowBreaks count="3" manualBreakCount="3">
    <brk id="43" max="16383" man="1"/>
    <brk id="71" max="16383" man="1"/>
    <brk id="123" max="16383" man="1"/>
  </rowBreaks>
  <drawing r:id="rId2"/>
  <legacyDrawing r:id="rId3"/>
</worksheet>
</file>

<file path=xl/worksheets/w7_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K78"/>
  <sheetViews>
    <sheetView zoomScale="80" zoomScaleNormal="80" zoomScaleSheetLayoutView="100" workbookViewId="0">
      <pane ySplit="2" topLeftCell="A3" activePane="bottomLeft" state="frozen"/>
      <selection activeCell="R64" sqref="R64"/>
      <selection pane="bottomLeft" activeCell="J13" sqref="J13"/>
    </sheetView>
  </sheetViews>
  <sheetFormatPr defaultRowHeight="13.5"/>
  <cols>
    <col min="1" max="1" width="2.125" style="2868" customWidth="1"/>
    <col min="2" max="2" width="41" style="2868" customWidth="1"/>
    <col min="3" max="3" width="9.375" style="2868" bestFit="1" customWidth="1"/>
    <col min="4" max="4" width="16.375" style="2868" bestFit="1" customWidth="1"/>
    <col min="5" max="5" width="8.125" style="2868" customWidth="1"/>
    <col min="6" max="6" width="42.875" style="2868" customWidth="1"/>
    <col min="7" max="7" width="14" style="2868" bestFit="1" customWidth="1"/>
    <col min="8" max="8" width="5.25" style="2868" customWidth="1"/>
    <col min="9" max="9" width="31" style="2868" customWidth="1"/>
    <col min="10" max="16" width="11.625" style="2868" customWidth="1"/>
    <col min="17" max="256" width="9" style="2868"/>
    <col min="257" max="257" width="2.125" style="2868" customWidth="1"/>
    <col min="258" max="258" width="41" style="2868" customWidth="1"/>
    <col min="259" max="259" width="9.375" style="2868" bestFit="1" customWidth="1"/>
    <col min="260" max="260" width="16.375" style="2868" bestFit="1" customWidth="1"/>
    <col min="261" max="261" width="8.125" style="2868" customWidth="1"/>
    <col min="262" max="262" width="42.875" style="2868" customWidth="1"/>
    <col min="263" max="263" width="14" style="2868" bestFit="1" customWidth="1"/>
    <col min="264" max="264" width="5.25" style="2868" customWidth="1"/>
    <col min="265" max="265" width="26" style="2868" customWidth="1"/>
    <col min="266" max="267" width="11.875" style="2868" bestFit="1" customWidth="1"/>
    <col min="268" max="512" width="9" style="2868"/>
    <col min="513" max="513" width="2.125" style="2868" customWidth="1"/>
    <col min="514" max="514" width="41" style="2868" customWidth="1"/>
    <col min="515" max="515" width="9.375" style="2868" bestFit="1" customWidth="1"/>
    <col min="516" max="516" width="16.375" style="2868" bestFit="1" customWidth="1"/>
    <col min="517" max="517" width="8.125" style="2868" customWidth="1"/>
    <col min="518" max="518" width="42.875" style="2868" customWidth="1"/>
    <col min="519" max="519" width="14" style="2868" bestFit="1" customWidth="1"/>
    <col min="520" max="520" width="5.25" style="2868" customWidth="1"/>
    <col min="521" max="521" width="26" style="2868" customWidth="1"/>
    <col min="522" max="523" width="11.875" style="2868" bestFit="1" customWidth="1"/>
    <col min="524" max="768" width="9" style="2868"/>
    <col min="769" max="769" width="2.125" style="2868" customWidth="1"/>
    <col min="770" max="770" width="41" style="2868" customWidth="1"/>
    <col min="771" max="771" width="9.375" style="2868" bestFit="1" customWidth="1"/>
    <col min="772" max="772" width="16.375" style="2868" bestFit="1" customWidth="1"/>
    <col min="773" max="773" width="8.125" style="2868" customWidth="1"/>
    <col min="774" max="774" width="42.875" style="2868" customWidth="1"/>
    <col min="775" max="775" width="14" style="2868" bestFit="1" customWidth="1"/>
    <col min="776" max="776" width="5.25" style="2868" customWidth="1"/>
    <col min="777" max="777" width="26" style="2868" customWidth="1"/>
    <col min="778" max="779" width="11.875" style="2868" bestFit="1" customWidth="1"/>
    <col min="780" max="1024" width="9" style="2868"/>
    <col min="1025" max="1025" width="2.125" style="2868" customWidth="1"/>
    <col min="1026" max="1026" width="41" style="2868" customWidth="1"/>
    <col min="1027" max="1027" width="9.375" style="2868" bestFit="1" customWidth="1"/>
    <col min="1028" max="1028" width="16.375" style="2868" bestFit="1" customWidth="1"/>
    <col min="1029" max="1029" width="8.125" style="2868" customWidth="1"/>
    <col min="1030" max="1030" width="42.875" style="2868" customWidth="1"/>
    <col min="1031" max="1031" width="14" style="2868" bestFit="1" customWidth="1"/>
    <col min="1032" max="1032" width="5.25" style="2868" customWidth="1"/>
    <col min="1033" max="1033" width="26" style="2868" customWidth="1"/>
    <col min="1034" max="1035" width="11.875" style="2868" bestFit="1" customWidth="1"/>
    <col min="1036" max="1280" width="9" style="2868"/>
    <col min="1281" max="1281" width="2.125" style="2868" customWidth="1"/>
    <col min="1282" max="1282" width="41" style="2868" customWidth="1"/>
    <col min="1283" max="1283" width="9.375" style="2868" bestFit="1" customWidth="1"/>
    <col min="1284" max="1284" width="16.375" style="2868" bestFit="1" customWidth="1"/>
    <col min="1285" max="1285" width="8.125" style="2868" customWidth="1"/>
    <col min="1286" max="1286" width="42.875" style="2868" customWidth="1"/>
    <col min="1287" max="1287" width="14" style="2868" bestFit="1" customWidth="1"/>
    <col min="1288" max="1288" width="5.25" style="2868" customWidth="1"/>
    <col min="1289" max="1289" width="26" style="2868" customWidth="1"/>
    <col min="1290" max="1291" width="11.875" style="2868" bestFit="1" customWidth="1"/>
    <col min="1292" max="1536" width="9" style="2868"/>
    <col min="1537" max="1537" width="2.125" style="2868" customWidth="1"/>
    <col min="1538" max="1538" width="41" style="2868" customWidth="1"/>
    <col min="1539" max="1539" width="9.375" style="2868" bestFit="1" customWidth="1"/>
    <col min="1540" max="1540" width="16.375" style="2868" bestFit="1" customWidth="1"/>
    <col min="1541" max="1541" width="8.125" style="2868" customWidth="1"/>
    <col min="1542" max="1542" width="42.875" style="2868" customWidth="1"/>
    <col min="1543" max="1543" width="14" style="2868" bestFit="1" customWidth="1"/>
    <col min="1544" max="1544" width="5.25" style="2868" customWidth="1"/>
    <col min="1545" max="1545" width="26" style="2868" customWidth="1"/>
    <col min="1546" max="1547" width="11.875" style="2868" bestFit="1" customWidth="1"/>
    <col min="1548" max="1792" width="9" style="2868"/>
    <col min="1793" max="1793" width="2.125" style="2868" customWidth="1"/>
    <col min="1794" max="1794" width="41" style="2868" customWidth="1"/>
    <col min="1795" max="1795" width="9.375" style="2868" bestFit="1" customWidth="1"/>
    <col min="1796" max="1796" width="16.375" style="2868" bestFit="1" customWidth="1"/>
    <col min="1797" max="1797" width="8.125" style="2868" customWidth="1"/>
    <col min="1798" max="1798" width="42.875" style="2868" customWidth="1"/>
    <col min="1799" max="1799" width="14" style="2868" bestFit="1" customWidth="1"/>
    <col min="1800" max="1800" width="5.25" style="2868" customWidth="1"/>
    <col min="1801" max="1801" width="26" style="2868" customWidth="1"/>
    <col min="1802" max="1803" width="11.875" style="2868" bestFit="1" customWidth="1"/>
    <col min="1804" max="2048" width="9" style="2868"/>
    <col min="2049" max="2049" width="2.125" style="2868" customWidth="1"/>
    <col min="2050" max="2050" width="41" style="2868" customWidth="1"/>
    <col min="2051" max="2051" width="9.375" style="2868" bestFit="1" customWidth="1"/>
    <col min="2052" max="2052" width="16.375" style="2868" bestFit="1" customWidth="1"/>
    <col min="2053" max="2053" width="8.125" style="2868" customWidth="1"/>
    <col min="2054" max="2054" width="42.875" style="2868" customWidth="1"/>
    <col min="2055" max="2055" width="14" style="2868" bestFit="1" customWidth="1"/>
    <col min="2056" max="2056" width="5.25" style="2868" customWidth="1"/>
    <col min="2057" max="2057" width="26" style="2868" customWidth="1"/>
    <col min="2058" max="2059" width="11.875" style="2868" bestFit="1" customWidth="1"/>
    <col min="2060" max="2304" width="9" style="2868"/>
    <col min="2305" max="2305" width="2.125" style="2868" customWidth="1"/>
    <col min="2306" max="2306" width="41" style="2868" customWidth="1"/>
    <col min="2307" max="2307" width="9.375" style="2868" bestFit="1" customWidth="1"/>
    <col min="2308" max="2308" width="16.375" style="2868" bestFit="1" customWidth="1"/>
    <col min="2309" max="2309" width="8.125" style="2868" customWidth="1"/>
    <col min="2310" max="2310" width="42.875" style="2868" customWidth="1"/>
    <col min="2311" max="2311" width="14" style="2868" bestFit="1" customWidth="1"/>
    <col min="2312" max="2312" width="5.25" style="2868" customWidth="1"/>
    <col min="2313" max="2313" width="26" style="2868" customWidth="1"/>
    <col min="2314" max="2315" width="11.875" style="2868" bestFit="1" customWidth="1"/>
    <col min="2316" max="2560" width="9" style="2868"/>
    <col min="2561" max="2561" width="2.125" style="2868" customWidth="1"/>
    <col min="2562" max="2562" width="41" style="2868" customWidth="1"/>
    <col min="2563" max="2563" width="9.375" style="2868" bestFit="1" customWidth="1"/>
    <col min="2564" max="2564" width="16.375" style="2868" bestFit="1" customWidth="1"/>
    <col min="2565" max="2565" width="8.125" style="2868" customWidth="1"/>
    <col min="2566" max="2566" width="42.875" style="2868" customWidth="1"/>
    <col min="2567" max="2567" width="14" style="2868" bestFit="1" customWidth="1"/>
    <col min="2568" max="2568" width="5.25" style="2868" customWidth="1"/>
    <col min="2569" max="2569" width="26" style="2868" customWidth="1"/>
    <col min="2570" max="2571" width="11.875" style="2868" bestFit="1" customWidth="1"/>
    <col min="2572" max="2816" width="9" style="2868"/>
    <col min="2817" max="2817" width="2.125" style="2868" customWidth="1"/>
    <col min="2818" max="2818" width="41" style="2868" customWidth="1"/>
    <col min="2819" max="2819" width="9.375" style="2868" bestFit="1" customWidth="1"/>
    <col min="2820" max="2820" width="16.375" style="2868" bestFit="1" customWidth="1"/>
    <col min="2821" max="2821" width="8.125" style="2868" customWidth="1"/>
    <col min="2822" max="2822" width="42.875" style="2868" customWidth="1"/>
    <col min="2823" max="2823" width="14" style="2868" bestFit="1" customWidth="1"/>
    <col min="2824" max="2824" width="5.25" style="2868" customWidth="1"/>
    <col min="2825" max="2825" width="26" style="2868" customWidth="1"/>
    <col min="2826" max="2827" width="11.875" style="2868" bestFit="1" customWidth="1"/>
    <col min="2828" max="3072" width="9" style="2868"/>
    <col min="3073" max="3073" width="2.125" style="2868" customWidth="1"/>
    <col min="3074" max="3074" width="41" style="2868" customWidth="1"/>
    <col min="3075" max="3075" width="9.375" style="2868" bestFit="1" customWidth="1"/>
    <col min="3076" max="3076" width="16.375" style="2868" bestFit="1" customWidth="1"/>
    <col min="3077" max="3077" width="8.125" style="2868" customWidth="1"/>
    <col min="3078" max="3078" width="42.875" style="2868" customWidth="1"/>
    <col min="3079" max="3079" width="14" style="2868" bestFit="1" customWidth="1"/>
    <col min="3080" max="3080" width="5.25" style="2868" customWidth="1"/>
    <col min="3081" max="3081" width="26" style="2868" customWidth="1"/>
    <col min="3082" max="3083" width="11.875" style="2868" bestFit="1" customWidth="1"/>
    <col min="3084" max="3328" width="9" style="2868"/>
    <col min="3329" max="3329" width="2.125" style="2868" customWidth="1"/>
    <col min="3330" max="3330" width="41" style="2868" customWidth="1"/>
    <col min="3331" max="3331" width="9.375" style="2868" bestFit="1" customWidth="1"/>
    <col min="3332" max="3332" width="16.375" style="2868" bestFit="1" customWidth="1"/>
    <col min="3333" max="3333" width="8.125" style="2868" customWidth="1"/>
    <col min="3334" max="3334" width="42.875" style="2868" customWidth="1"/>
    <col min="3335" max="3335" width="14" style="2868" bestFit="1" customWidth="1"/>
    <col min="3336" max="3336" width="5.25" style="2868" customWidth="1"/>
    <col min="3337" max="3337" width="26" style="2868" customWidth="1"/>
    <col min="3338" max="3339" width="11.875" style="2868" bestFit="1" customWidth="1"/>
    <col min="3340" max="3584" width="9" style="2868"/>
    <col min="3585" max="3585" width="2.125" style="2868" customWidth="1"/>
    <col min="3586" max="3586" width="41" style="2868" customWidth="1"/>
    <col min="3587" max="3587" width="9.375" style="2868" bestFit="1" customWidth="1"/>
    <col min="3588" max="3588" width="16.375" style="2868" bestFit="1" customWidth="1"/>
    <col min="3589" max="3589" width="8.125" style="2868" customWidth="1"/>
    <col min="3590" max="3590" width="42.875" style="2868" customWidth="1"/>
    <col min="3591" max="3591" width="14" style="2868" bestFit="1" customWidth="1"/>
    <col min="3592" max="3592" width="5.25" style="2868" customWidth="1"/>
    <col min="3593" max="3593" width="26" style="2868" customWidth="1"/>
    <col min="3594" max="3595" width="11.875" style="2868" bestFit="1" customWidth="1"/>
    <col min="3596" max="3840" width="9" style="2868"/>
    <col min="3841" max="3841" width="2.125" style="2868" customWidth="1"/>
    <col min="3842" max="3842" width="41" style="2868" customWidth="1"/>
    <col min="3843" max="3843" width="9.375" style="2868" bestFit="1" customWidth="1"/>
    <col min="3844" max="3844" width="16.375" style="2868" bestFit="1" customWidth="1"/>
    <col min="3845" max="3845" width="8.125" style="2868" customWidth="1"/>
    <col min="3846" max="3846" width="42.875" style="2868" customWidth="1"/>
    <col min="3847" max="3847" width="14" style="2868" bestFit="1" customWidth="1"/>
    <col min="3848" max="3848" width="5.25" style="2868" customWidth="1"/>
    <col min="3849" max="3849" width="26" style="2868" customWidth="1"/>
    <col min="3850" max="3851" width="11.875" style="2868" bestFit="1" customWidth="1"/>
    <col min="3852" max="4096" width="9" style="2868"/>
    <col min="4097" max="4097" width="2.125" style="2868" customWidth="1"/>
    <col min="4098" max="4098" width="41" style="2868" customWidth="1"/>
    <col min="4099" max="4099" width="9.375" style="2868" bestFit="1" customWidth="1"/>
    <col min="4100" max="4100" width="16.375" style="2868" bestFit="1" customWidth="1"/>
    <col min="4101" max="4101" width="8.125" style="2868" customWidth="1"/>
    <col min="4102" max="4102" width="42.875" style="2868" customWidth="1"/>
    <col min="4103" max="4103" width="14" style="2868" bestFit="1" customWidth="1"/>
    <col min="4104" max="4104" width="5.25" style="2868" customWidth="1"/>
    <col min="4105" max="4105" width="26" style="2868" customWidth="1"/>
    <col min="4106" max="4107" width="11.875" style="2868" bestFit="1" customWidth="1"/>
    <col min="4108" max="4352" width="9" style="2868"/>
    <col min="4353" max="4353" width="2.125" style="2868" customWidth="1"/>
    <col min="4354" max="4354" width="41" style="2868" customWidth="1"/>
    <col min="4355" max="4355" width="9.375" style="2868" bestFit="1" customWidth="1"/>
    <col min="4356" max="4356" width="16.375" style="2868" bestFit="1" customWidth="1"/>
    <col min="4357" max="4357" width="8.125" style="2868" customWidth="1"/>
    <col min="4358" max="4358" width="42.875" style="2868" customWidth="1"/>
    <col min="4359" max="4359" width="14" style="2868" bestFit="1" customWidth="1"/>
    <col min="4360" max="4360" width="5.25" style="2868" customWidth="1"/>
    <col min="4361" max="4361" width="26" style="2868" customWidth="1"/>
    <col min="4362" max="4363" width="11.875" style="2868" bestFit="1" customWidth="1"/>
    <col min="4364" max="4608" width="9" style="2868"/>
    <col min="4609" max="4609" width="2.125" style="2868" customWidth="1"/>
    <col min="4610" max="4610" width="41" style="2868" customWidth="1"/>
    <col min="4611" max="4611" width="9.375" style="2868" bestFit="1" customWidth="1"/>
    <col min="4612" max="4612" width="16.375" style="2868" bestFit="1" customWidth="1"/>
    <col min="4613" max="4613" width="8.125" style="2868" customWidth="1"/>
    <col min="4614" max="4614" width="42.875" style="2868" customWidth="1"/>
    <col min="4615" max="4615" width="14" style="2868" bestFit="1" customWidth="1"/>
    <col min="4616" max="4616" width="5.25" style="2868" customWidth="1"/>
    <col min="4617" max="4617" width="26" style="2868" customWidth="1"/>
    <col min="4618" max="4619" width="11.875" style="2868" bestFit="1" customWidth="1"/>
    <col min="4620" max="4864" width="9" style="2868"/>
    <col min="4865" max="4865" width="2.125" style="2868" customWidth="1"/>
    <col min="4866" max="4866" width="41" style="2868" customWidth="1"/>
    <col min="4867" max="4867" width="9.375" style="2868" bestFit="1" customWidth="1"/>
    <col min="4868" max="4868" width="16.375" style="2868" bestFit="1" customWidth="1"/>
    <col min="4869" max="4869" width="8.125" style="2868" customWidth="1"/>
    <col min="4870" max="4870" width="42.875" style="2868" customWidth="1"/>
    <col min="4871" max="4871" width="14" style="2868" bestFit="1" customWidth="1"/>
    <col min="4872" max="4872" width="5.25" style="2868" customWidth="1"/>
    <col min="4873" max="4873" width="26" style="2868" customWidth="1"/>
    <col min="4874" max="4875" width="11.875" style="2868" bestFit="1" customWidth="1"/>
    <col min="4876" max="5120" width="9" style="2868"/>
    <col min="5121" max="5121" width="2.125" style="2868" customWidth="1"/>
    <col min="5122" max="5122" width="41" style="2868" customWidth="1"/>
    <col min="5123" max="5123" width="9.375" style="2868" bestFit="1" customWidth="1"/>
    <col min="5124" max="5124" width="16.375" style="2868" bestFit="1" customWidth="1"/>
    <col min="5125" max="5125" width="8.125" style="2868" customWidth="1"/>
    <col min="5126" max="5126" width="42.875" style="2868" customWidth="1"/>
    <col min="5127" max="5127" width="14" style="2868" bestFit="1" customWidth="1"/>
    <col min="5128" max="5128" width="5.25" style="2868" customWidth="1"/>
    <col min="5129" max="5129" width="26" style="2868" customWidth="1"/>
    <col min="5130" max="5131" width="11.875" style="2868" bestFit="1" customWidth="1"/>
    <col min="5132" max="5376" width="9" style="2868"/>
    <col min="5377" max="5377" width="2.125" style="2868" customWidth="1"/>
    <col min="5378" max="5378" width="41" style="2868" customWidth="1"/>
    <col min="5379" max="5379" width="9.375" style="2868" bestFit="1" customWidth="1"/>
    <col min="5380" max="5380" width="16.375" style="2868" bestFit="1" customWidth="1"/>
    <col min="5381" max="5381" width="8.125" style="2868" customWidth="1"/>
    <col min="5382" max="5382" width="42.875" style="2868" customWidth="1"/>
    <col min="5383" max="5383" width="14" style="2868" bestFit="1" customWidth="1"/>
    <col min="5384" max="5384" width="5.25" style="2868" customWidth="1"/>
    <col min="5385" max="5385" width="26" style="2868" customWidth="1"/>
    <col min="5386" max="5387" width="11.875" style="2868" bestFit="1" customWidth="1"/>
    <col min="5388" max="5632" width="9" style="2868"/>
    <col min="5633" max="5633" width="2.125" style="2868" customWidth="1"/>
    <col min="5634" max="5634" width="41" style="2868" customWidth="1"/>
    <col min="5635" max="5635" width="9.375" style="2868" bestFit="1" customWidth="1"/>
    <col min="5636" max="5636" width="16.375" style="2868" bestFit="1" customWidth="1"/>
    <col min="5637" max="5637" width="8.125" style="2868" customWidth="1"/>
    <col min="5638" max="5638" width="42.875" style="2868" customWidth="1"/>
    <col min="5639" max="5639" width="14" style="2868" bestFit="1" customWidth="1"/>
    <col min="5640" max="5640" width="5.25" style="2868" customWidth="1"/>
    <col min="5641" max="5641" width="26" style="2868" customWidth="1"/>
    <col min="5642" max="5643" width="11.875" style="2868" bestFit="1" customWidth="1"/>
    <col min="5644" max="5888" width="9" style="2868"/>
    <col min="5889" max="5889" width="2.125" style="2868" customWidth="1"/>
    <col min="5890" max="5890" width="41" style="2868" customWidth="1"/>
    <col min="5891" max="5891" width="9.375" style="2868" bestFit="1" customWidth="1"/>
    <col min="5892" max="5892" width="16.375" style="2868" bestFit="1" customWidth="1"/>
    <col min="5893" max="5893" width="8.125" style="2868" customWidth="1"/>
    <col min="5894" max="5894" width="42.875" style="2868" customWidth="1"/>
    <col min="5895" max="5895" width="14" style="2868" bestFit="1" customWidth="1"/>
    <col min="5896" max="5896" width="5.25" style="2868" customWidth="1"/>
    <col min="5897" max="5897" width="26" style="2868" customWidth="1"/>
    <col min="5898" max="5899" width="11.875" style="2868" bestFit="1" customWidth="1"/>
    <col min="5900" max="6144" width="9" style="2868"/>
    <col min="6145" max="6145" width="2.125" style="2868" customWidth="1"/>
    <col min="6146" max="6146" width="41" style="2868" customWidth="1"/>
    <col min="6147" max="6147" width="9.375" style="2868" bestFit="1" customWidth="1"/>
    <col min="6148" max="6148" width="16.375" style="2868" bestFit="1" customWidth="1"/>
    <col min="6149" max="6149" width="8.125" style="2868" customWidth="1"/>
    <col min="6150" max="6150" width="42.875" style="2868" customWidth="1"/>
    <col min="6151" max="6151" width="14" style="2868" bestFit="1" customWidth="1"/>
    <col min="6152" max="6152" width="5.25" style="2868" customWidth="1"/>
    <col min="6153" max="6153" width="26" style="2868" customWidth="1"/>
    <col min="6154" max="6155" width="11.875" style="2868" bestFit="1" customWidth="1"/>
    <col min="6156" max="6400" width="9" style="2868"/>
    <col min="6401" max="6401" width="2.125" style="2868" customWidth="1"/>
    <col min="6402" max="6402" width="41" style="2868" customWidth="1"/>
    <col min="6403" max="6403" width="9.375" style="2868" bestFit="1" customWidth="1"/>
    <col min="6404" max="6404" width="16.375" style="2868" bestFit="1" customWidth="1"/>
    <col min="6405" max="6405" width="8.125" style="2868" customWidth="1"/>
    <col min="6406" max="6406" width="42.875" style="2868" customWidth="1"/>
    <col min="6407" max="6407" width="14" style="2868" bestFit="1" customWidth="1"/>
    <col min="6408" max="6408" width="5.25" style="2868" customWidth="1"/>
    <col min="6409" max="6409" width="26" style="2868" customWidth="1"/>
    <col min="6410" max="6411" width="11.875" style="2868" bestFit="1" customWidth="1"/>
    <col min="6412" max="6656" width="9" style="2868"/>
    <col min="6657" max="6657" width="2.125" style="2868" customWidth="1"/>
    <col min="6658" max="6658" width="41" style="2868" customWidth="1"/>
    <col min="6659" max="6659" width="9.375" style="2868" bestFit="1" customWidth="1"/>
    <col min="6660" max="6660" width="16.375" style="2868" bestFit="1" customWidth="1"/>
    <col min="6661" max="6661" width="8.125" style="2868" customWidth="1"/>
    <col min="6662" max="6662" width="42.875" style="2868" customWidth="1"/>
    <col min="6663" max="6663" width="14" style="2868" bestFit="1" customWidth="1"/>
    <col min="6664" max="6664" width="5.25" style="2868" customWidth="1"/>
    <col min="6665" max="6665" width="26" style="2868" customWidth="1"/>
    <col min="6666" max="6667" width="11.875" style="2868" bestFit="1" customWidth="1"/>
    <col min="6668" max="6912" width="9" style="2868"/>
    <col min="6913" max="6913" width="2.125" style="2868" customWidth="1"/>
    <col min="6914" max="6914" width="41" style="2868" customWidth="1"/>
    <col min="6915" max="6915" width="9.375" style="2868" bestFit="1" customWidth="1"/>
    <col min="6916" max="6916" width="16.375" style="2868" bestFit="1" customWidth="1"/>
    <col min="6917" max="6917" width="8.125" style="2868" customWidth="1"/>
    <col min="6918" max="6918" width="42.875" style="2868" customWidth="1"/>
    <col min="6919" max="6919" width="14" style="2868" bestFit="1" customWidth="1"/>
    <col min="6920" max="6920" width="5.25" style="2868" customWidth="1"/>
    <col min="6921" max="6921" width="26" style="2868" customWidth="1"/>
    <col min="6922" max="6923" width="11.875" style="2868" bestFit="1" customWidth="1"/>
    <col min="6924" max="7168" width="9" style="2868"/>
    <col min="7169" max="7169" width="2.125" style="2868" customWidth="1"/>
    <col min="7170" max="7170" width="41" style="2868" customWidth="1"/>
    <col min="7171" max="7171" width="9.375" style="2868" bestFit="1" customWidth="1"/>
    <col min="7172" max="7172" width="16.375" style="2868" bestFit="1" customWidth="1"/>
    <col min="7173" max="7173" width="8.125" style="2868" customWidth="1"/>
    <col min="7174" max="7174" width="42.875" style="2868" customWidth="1"/>
    <col min="7175" max="7175" width="14" style="2868" bestFit="1" customWidth="1"/>
    <col min="7176" max="7176" width="5.25" style="2868" customWidth="1"/>
    <col min="7177" max="7177" width="26" style="2868" customWidth="1"/>
    <col min="7178" max="7179" width="11.875" style="2868" bestFit="1" customWidth="1"/>
    <col min="7180" max="7424" width="9" style="2868"/>
    <col min="7425" max="7425" width="2.125" style="2868" customWidth="1"/>
    <col min="7426" max="7426" width="41" style="2868" customWidth="1"/>
    <col min="7427" max="7427" width="9.375" style="2868" bestFit="1" customWidth="1"/>
    <col min="7428" max="7428" width="16.375" style="2868" bestFit="1" customWidth="1"/>
    <col min="7429" max="7429" width="8.125" style="2868" customWidth="1"/>
    <col min="7430" max="7430" width="42.875" style="2868" customWidth="1"/>
    <col min="7431" max="7431" width="14" style="2868" bestFit="1" customWidth="1"/>
    <col min="7432" max="7432" width="5.25" style="2868" customWidth="1"/>
    <col min="7433" max="7433" width="26" style="2868" customWidth="1"/>
    <col min="7434" max="7435" width="11.875" style="2868" bestFit="1" customWidth="1"/>
    <col min="7436" max="7680" width="9" style="2868"/>
    <col min="7681" max="7681" width="2.125" style="2868" customWidth="1"/>
    <col min="7682" max="7682" width="41" style="2868" customWidth="1"/>
    <col min="7683" max="7683" width="9.375" style="2868" bestFit="1" customWidth="1"/>
    <col min="7684" max="7684" width="16.375" style="2868" bestFit="1" customWidth="1"/>
    <col min="7685" max="7685" width="8.125" style="2868" customWidth="1"/>
    <col min="7686" max="7686" width="42.875" style="2868" customWidth="1"/>
    <col min="7687" max="7687" width="14" style="2868" bestFit="1" customWidth="1"/>
    <col min="7688" max="7688" width="5.25" style="2868" customWidth="1"/>
    <col min="7689" max="7689" width="26" style="2868" customWidth="1"/>
    <col min="7690" max="7691" width="11.875" style="2868" bestFit="1" customWidth="1"/>
    <col min="7692" max="7936" width="9" style="2868"/>
    <col min="7937" max="7937" width="2.125" style="2868" customWidth="1"/>
    <col min="7938" max="7938" width="41" style="2868" customWidth="1"/>
    <col min="7939" max="7939" width="9.375" style="2868" bestFit="1" customWidth="1"/>
    <col min="7940" max="7940" width="16.375" style="2868" bestFit="1" customWidth="1"/>
    <col min="7941" max="7941" width="8.125" style="2868" customWidth="1"/>
    <col min="7942" max="7942" width="42.875" style="2868" customWidth="1"/>
    <col min="7943" max="7943" width="14" style="2868" bestFit="1" customWidth="1"/>
    <col min="7944" max="7944" width="5.25" style="2868" customWidth="1"/>
    <col min="7945" max="7945" width="26" style="2868" customWidth="1"/>
    <col min="7946" max="7947" width="11.875" style="2868" bestFit="1" customWidth="1"/>
    <col min="7948" max="8192" width="9" style="2868"/>
    <col min="8193" max="8193" width="2.125" style="2868" customWidth="1"/>
    <col min="8194" max="8194" width="41" style="2868" customWidth="1"/>
    <col min="8195" max="8195" width="9.375" style="2868" bestFit="1" customWidth="1"/>
    <col min="8196" max="8196" width="16.375" style="2868" bestFit="1" customWidth="1"/>
    <col min="8197" max="8197" width="8.125" style="2868" customWidth="1"/>
    <col min="8198" max="8198" width="42.875" style="2868" customWidth="1"/>
    <col min="8199" max="8199" width="14" style="2868" bestFit="1" customWidth="1"/>
    <col min="8200" max="8200" width="5.25" style="2868" customWidth="1"/>
    <col min="8201" max="8201" width="26" style="2868" customWidth="1"/>
    <col min="8202" max="8203" width="11.875" style="2868" bestFit="1" customWidth="1"/>
    <col min="8204" max="8448" width="9" style="2868"/>
    <col min="8449" max="8449" width="2.125" style="2868" customWidth="1"/>
    <col min="8450" max="8450" width="41" style="2868" customWidth="1"/>
    <col min="8451" max="8451" width="9.375" style="2868" bestFit="1" customWidth="1"/>
    <col min="8452" max="8452" width="16.375" style="2868" bestFit="1" customWidth="1"/>
    <col min="8453" max="8453" width="8.125" style="2868" customWidth="1"/>
    <col min="8454" max="8454" width="42.875" style="2868" customWidth="1"/>
    <col min="8455" max="8455" width="14" style="2868" bestFit="1" customWidth="1"/>
    <col min="8456" max="8456" width="5.25" style="2868" customWidth="1"/>
    <col min="8457" max="8457" width="26" style="2868" customWidth="1"/>
    <col min="8458" max="8459" width="11.875" style="2868" bestFit="1" customWidth="1"/>
    <col min="8460" max="8704" width="9" style="2868"/>
    <col min="8705" max="8705" width="2.125" style="2868" customWidth="1"/>
    <col min="8706" max="8706" width="41" style="2868" customWidth="1"/>
    <col min="8707" max="8707" width="9.375" style="2868" bestFit="1" customWidth="1"/>
    <col min="8708" max="8708" width="16.375" style="2868" bestFit="1" customWidth="1"/>
    <col min="8709" max="8709" width="8.125" style="2868" customWidth="1"/>
    <col min="8710" max="8710" width="42.875" style="2868" customWidth="1"/>
    <col min="8711" max="8711" width="14" style="2868" bestFit="1" customWidth="1"/>
    <col min="8712" max="8712" width="5.25" style="2868" customWidth="1"/>
    <col min="8713" max="8713" width="26" style="2868" customWidth="1"/>
    <col min="8714" max="8715" width="11.875" style="2868" bestFit="1" customWidth="1"/>
    <col min="8716" max="8960" width="9" style="2868"/>
    <col min="8961" max="8961" width="2.125" style="2868" customWidth="1"/>
    <col min="8962" max="8962" width="41" style="2868" customWidth="1"/>
    <col min="8963" max="8963" width="9.375" style="2868" bestFit="1" customWidth="1"/>
    <col min="8964" max="8964" width="16.375" style="2868" bestFit="1" customWidth="1"/>
    <col min="8965" max="8965" width="8.125" style="2868" customWidth="1"/>
    <col min="8966" max="8966" width="42.875" style="2868" customWidth="1"/>
    <col min="8967" max="8967" width="14" style="2868" bestFit="1" customWidth="1"/>
    <col min="8968" max="8968" width="5.25" style="2868" customWidth="1"/>
    <col min="8969" max="8969" width="26" style="2868" customWidth="1"/>
    <col min="8970" max="8971" width="11.875" style="2868" bestFit="1" customWidth="1"/>
    <col min="8972" max="9216" width="9" style="2868"/>
    <col min="9217" max="9217" width="2.125" style="2868" customWidth="1"/>
    <col min="9218" max="9218" width="41" style="2868" customWidth="1"/>
    <col min="9219" max="9219" width="9.375" style="2868" bestFit="1" customWidth="1"/>
    <col min="9220" max="9220" width="16.375" style="2868" bestFit="1" customWidth="1"/>
    <col min="9221" max="9221" width="8.125" style="2868" customWidth="1"/>
    <col min="9222" max="9222" width="42.875" style="2868" customWidth="1"/>
    <col min="9223" max="9223" width="14" style="2868" bestFit="1" customWidth="1"/>
    <col min="9224" max="9224" width="5.25" style="2868" customWidth="1"/>
    <col min="9225" max="9225" width="26" style="2868" customWidth="1"/>
    <col min="9226" max="9227" width="11.875" style="2868" bestFit="1" customWidth="1"/>
    <col min="9228" max="9472" width="9" style="2868"/>
    <col min="9473" max="9473" width="2.125" style="2868" customWidth="1"/>
    <col min="9474" max="9474" width="41" style="2868" customWidth="1"/>
    <col min="9475" max="9475" width="9.375" style="2868" bestFit="1" customWidth="1"/>
    <col min="9476" max="9476" width="16.375" style="2868" bestFit="1" customWidth="1"/>
    <col min="9477" max="9477" width="8.125" style="2868" customWidth="1"/>
    <col min="9478" max="9478" width="42.875" style="2868" customWidth="1"/>
    <col min="9479" max="9479" width="14" style="2868" bestFit="1" customWidth="1"/>
    <col min="9480" max="9480" width="5.25" style="2868" customWidth="1"/>
    <col min="9481" max="9481" width="26" style="2868" customWidth="1"/>
    <col min="9482" max="9483" width="11.875" style="2868" bestFit="1" customWidth="1"/>
    <col min="9484" max="9728" width="9" style="2868"/>
    <col min="9729" max="9729" width="2.125" style="2868" customWidth="1"/>
    <col min="9730" max="9730" width="41" style="2868" customWidth="1"/>
    <col min="9731" max="9731" width="9.375" style="2868" bestFit="1" customWidth="1"/>
    <col min="9732" max="9732" width="16.375" style="2868" bestFit="1" customWidth="1"/>
    <col min="9733" max="9733" width="8.125" style="2868" customWidth="1"/>
    <col min="9734" max="9734" width="42.875" style="2868" customWidth="1"/>
    <col min="9735" max="9735" width="14" style="2868" bestFit="1" customWidth="1"/>
    <col min="9736" max="9736" width="5.25" style="2868" customWidth="1"/>
    <col min="9737" max="9737" width="26" style="2868" customWidth="1"/>
    <col min="9738" max="9739" width="11.875" style="2868" bestFit="1" customWidth="1"/>
    <col min="9740" max="9984" width="9" style="2868"/>
    <col min="9985" max="9985" width="2.125" style="2868" customWidth="1"/>
    <col min="9986" max="9986" width="41" style="2868" customWidth="1"/>
    <col min="9987" max="9987" width="9.375" style="2868" bestFit="1" customWidth="1"/>
    <col min="9988" max="9988" width="16.375" style="2868" bestFit="1" customWidth="1"/>
    <col min="9989" max="9989" width="8.125" style="2868" customWidth="1"/>
    <col min="9990" max="9990" width="42.875" style="2868" customWidth="1"/>
    <col min="9991" max="9991" width="14" style="2868" bestFit="1" customWidth="1"/>
    <col min="9992" max="9992" width="5.25" style="2868" customWidth="1"/>
    <col min="9993" max="9993" width="26" style="2868" customWidth="1"/>
    <col min="9994" max="9995" width="11.875" style="2868" bestFit="1" customWidth="1"/>
    <col min="9996" max="10240" width="9" style="2868"/>
    <col min="10241" max="10241" width="2.125" style="2868" customWidth="1"/>
    <col min="10242" max="10242" width="41" style="2868" customWidth="1"/>
    <col min="10243" max="10243" width="9.375" style="2868" bestFit="1" customWidth="1"/>
    <col min="10244" max="10244" width="16.375" style="2868" bestFit="1" customWidth="1"/>
    <col min="10245" max="10245" width="8.125" style="2868" customWidth="1"/>
    <col min="10246" max="10246" width="42.875" style="2868" customWidth="1"/>
    <col min="10247" max="10247" width="14" style="2868" bestFit="1" customWidth="1"/>
    <col min="10248" max="10248" width="5.25" style="2868" customWidth="1"/>
    <col min="10249" max="10249" width="26" style="2868" customWidth="1"/>
    <col min="10250" max="10251" width="11.875" style="2868" bestFit="1" customWidth="1"/>
    <col min="10252" max="10496" width="9" style="2868"/>
    <col min="10497" max="10497" width="2.125" style="2868" customWidth="1"/>
    <col min="10498" max="10498" width="41" style="2868" customWidth="1"/>
    <col min="10499" max="10499" width="9.375" style="2868" bestFit="1" customWidth="1"/>
    <col min="10500" max="10500" width="16.375" style="2868" bestFit="1" customWidth="1"/>
    <col min="10501" max="10501" width="8.125" style="2868" customWidth="1"/>
    <col min="10502" max="10502" width="42.875" style="2868" customWidth="1"/>
    <col min="10503" max="10503" width="14" style="2868" bestFit="1" customWidth="1"/>
    <col min="10504" max="10504" width="5.25" style="2868" customWidth="1"/>
    <col min="10505" max="10505" width="26" style="2868" customWidth="1"/>
    <col min="10506" max="10507" width="11.875" style="2868" bestFit="1" customWidth="1"/>
    <col min="10508" max="10752" width="9" style="2868"/>
    <col min="10753" max="10753" width="2.125" style="2868" customWidth="1"/>
    <col min="10754" max="10754" width="41" style="2868" customWidth="1"/>
    <col min="10755" max="10755" width="9.375" style="2868" bestFit="1" customWidth="1"/>
    <col min="10756" max="10756" width="16.375" style="2868" bestFit="1" customWidth="1"/>
    <col min="10757" max="10757" width="8.125" style="2868" customWidth="1"/>
    <col min="10758" max="10758" width="42.875" style="2868" customWidth="1"/>
    <col min="10759" max="10759" width="14" style="2868" bestFit="1" customWidth="1"/>
    <col min="10760" max="10760" width="5.25" style="2868" customWidth="1"/>
    <col min="10761" max="10761" width="26" style="2868" customWidth="1"/>
    <col min="10762" max="10763" width="11.875" style="2868" bestFit="1" customWidth="1"/>
    <col min="10764" max="11008" width="9" style="2868"/>
    <col min="11009" max="11009" width="2.125" style="2868" customWidth="1"/>
    <col min="11010" max="11010" width="41" style="2868" customWidth="1"/>
    <col min="11011" max="11011" width="9.375" style="2868" bestFit="1" customWidth="1"/>
    <col min="11012" max="11012" width="16.375" style="2868" bestFit="1" customWidth="1"/>
    <col min="11013" max="11013" width="8.125" style="2868" customWidth="1"/>
    <col min="11014" max="11014" width="42.875" style="2868" customWidth="1"/>
    <col min="11015" max="11015" width="14" style="2868" bestFit="1" customWidth="1"/>
    <col min="11016" max="11016" width="5.25" style="2868" customWidth="1"/>
    <col min="11017" max="11017" width="26" style="2868" customWidth="1"/>
    <col min="11018" max="11019" width="11.875" style="2868" bestFit="1" customWidth="1"/>
    <col min="11020" max="11264" width="9" style="2868"/>
    <col min="11265" max="11265" width="2.125" style="2868" customWidth="1"/>
    <col min="11266" max="11266" width="41" style="2868" customWidth="1"/>
    <col min="11267" max="11267" width="9.375" style="2868" bestFit="1" customWidth="1"/>
    <col min="11268" max="11268" width="16.375" style="2868" bestFit="1" customWidth="1"/>
    <col min="11269" max="11269" width="8.125" style="2868" customWidth="1"/>
    <col min="11270" max="11270" width="42.875" style="2868" customWidth="1"/>
    <col min="11271" max="11271" width="14" style="2868" bestFit="1" customWidth="1"/>
    <col min="11272" max="11272" width="5.25" style="2868" customWidth="1"/>
    <col min="11273" max="11273" width="26" style="2868" customWidth="1"/>
    <col min="11274" max="11275" width="11.875" style="2868" bestFit="1" customWidth="1"/>
    <col min="11276" max="11520" width="9" style="2868"/>
    <col min="11521" max="11521" width="2.125" style="2868" customWidth="1"/>
    <col min="11522" max="11522" width="41" style="2868" customWidth="1"/>
    <col min="11523" max="11523" width="9.375" style="2868" bestFit="1" customWidth="1"/>
    <col min="11524" max="11524" width="16.375" style="2868" bestFit="1" customWidth="1"/>
    <col min="11525" max="11525" width="8.125" style="2868" customWidth="1"/>
    <col min="11526" max="11526" width="42.875" style="2868" customWidth="1"/>
    <col min="11527" max="11527" width="14" style="2868" bestFit="1" customWidth="1"/>
    <col min="11528" max="11528" width="5.25" style="2868" customWidth="1"/>
    <col min="11529" max="11529" width="26" style="2868" customWidth="1"/>
    <col min="11530" max="11531" width="11.875" style="2868" bestFit="1" customWidth="1"/>
    <col min="11532" max="11776" width="9" style="2868"/>
    <col min="11777" max="11777" width="2.125" style="2868" customWidth="1"/>
    <col min="11778" max="11778" width="41" style="2868" customWidth="1"/>
    <col min="11779" max="11779" width="9.375" style="2868" bestFit="1" customWidth="1"/>
    <col min="11780" max="11780" width="16.375" style="2868" bestFit="1" customWidth="1"/>
    <col min="11781" max="11781" width="8.125" style="2868" customWidth="1"/>
    <col min="11782" max="11782" width="42.875" style="2868" customWidth="1"/>
    <col min="11783" max="11783" width="14" style="2868" bestFit="1" customWidth="1"/>
    <col min="11784" max="11784" width="5.25" style="2868" customWidth="1"/>
    <col min="11785" max="11785" width="26" style="2868" customWidth="1"/>
    <col min="11786" max="11787" width="11.875" style="2868" bestFit="1" customWidth="1"/>
    <col min="11788" max="12032" width="9" style="2868"/>
    <col min="12033" max="12033" width="2.125" style="2868" customWidth="1"/>
    <col min="12034" max="12034" width="41" style="2868" customWidth="1"/>
    <col min="12035" max="12035" width="9.375" style="2868" bestFit="1" customWidth="1"/>
    <col min="12036" max="12036" width="16.375" style="2868" bestFit="1" customWidth="1"/>
    <col min="12037" max="12037" width="8.125" style="2868" customWidth="1"/>
    <col min="12038" max="12038" width="42.875" style="2868" customWidth="1"/>
    <col min="12039" max="12039" width="14" style="2868" bestFit="1" customWidth="1"/>
    <col min="12040" max="12040" width="5.25" style="2868" customWidth="1"/>
    <col min="12041" max="12041" width="26" style="2868" customWidth="1"/>
    <col min="12042" max="12043" width="11.875" style="2868" bestFit="1" customWidth="1"/>
    <col min="12044" max="12288" width="9" style="2868"/>
    <col min="12289" max="12289" width="2.125" style="2868" customWidth="1"/>
    <col min="12290" max="12290" width="41" style="2868" customWidth="1"/>
    <col min="12291" max="12291" width="9.375" style="2868" bestFit="1" customWidth="1"/>
    <col min="12292" max="12292" width="16.375" style="2868" bestFit="1" customWidth="1"/>
    <col min="12293" max="12293" width="8.125" style="2868" customWidth="1"/>
    <col min="12294" max="12294" width="42.875" style="2868" customWidth="1"/>
    <col min="12295" max="12295" width="14" style="2868" bestFit="1" customWidth="1"/>
    <col min="12296" max="12296" width="5.25" style="2868" customWidth="1"/>
    <col min="12297" max="12297" width="26" style="2868" customWidth="1"/>
    <col min="12298" max="12299" width="11.875" style="2868" bestFit="1" customWidth="1"/>
    <col min="12300" max="12544" width="9" style="2868"/>
    <col min="12545" max="12545" width="2.125" style="2868" customWidth="1"/>
    <col min="12546" max="12546" width="41" style="2868" customWidth="1"/>
    <col min="12547" max="12547" width="9.375" style="2868" bestFit="1" customWidth="1"/>
    <col min="12548" max="12548" width="16.375" style="2868" bestFit="1" customWidth="1"/>
    <col min="12549" max="12549" width="8.125" style="2868" customWidth="1"/>
    <col min="12550" max="12550" width="42.875" style="2868" customWidth="1"/>
    <col min="12551" max="12551" width="14" style="2868" bestFit="1" customWidth="1"/>
    <col min="12552" max="12552" width="5.25" style="2868" customWidth="1"/>
    <col min="12553" max="12553" width="26" style="2868" customWidth="1"/>
    <col min="12554" max="12555" width="11.875" style="2868" bestFit="1" customWidth="1"/>
    <col min="12556" max="12800" width="9" style="2868"/>
    <col min="12801" max="12801" width="2.125" style="2868" customWidth="1"/>
    <col min="12802" max="12802" width="41" style="2868" customWidth="1"/>
    <col min="12803" max="12803" width="9.375" style="2868" bestFit="1" customWidth="1"/>
    <col min="12804" max="12804" width="16.375" style="2868" bestFit="1" customWidth="1"/>
    <col min="12805" max="12805" width="8.125" style="2868" customWidth="1"/>
    <col min="12806" max="12806" width="42.875" style="2868" customWidth="1"/>
    <col min="12807" max="12807" width="14" style="2868" bestFit="1" customWidth="1"/>
    <col min="12808" max="12808" width="5.25" style="2868" customWidth="1"/>
    <col min="12809" max="12809" width="26" style="2868" customWidth="1"/>
    <col min="12810" max="12811" width="11.875" style="2868" bestFit="1" customWidth="1"/>
    <col min="12812" max="13056" width="9" style="2868"/>
    <col min="13057" max="13057" width="2.125" style="2868" customWidth="1"/>
    <col min="13058" max="13058" width="41" style="2868" customWidth="1"/>
    <col min="13059" max="13059" width="9.375" style="2868" bestFit="1" customWidth="1"/>
    <col min="13060" max="13060" width="16.375" style="2868" bestFit="1" customWidth="1"/>
    <col min="13061" max="13061" width="8.125" style="2868" customWidth="1"/>
    <col min="13062" max="13062" width="42.875" style="2868" customWidth="1"/>
    <col min="13063" max="13063" width="14" style="2868" bestFit="1" customWidth="1"/>
    <col min="13064" max="13064" width="5.25" style="2868" customWidth="1"/>
    <col min="13065" max="13065" width="26" style="2868" customWidth="1"/>
    <col min="13066" max="13067" width="11.875" style="2868" bestFit="1" customWidth="1"/>
    <col min="13068" max="13312" width="9" style="2868"/>
    <col min="13313" max="13313" width="2.125" style="2868" customWidth="1"/>
    <col min="13314" max="13314" width="41" style="2868" customWidth="1"/>
    <col min="13315" max="13315" width="9.375" style="2868" bestFit="1" customWidth="1"/>
    <col min="13316" max="13316" width="16.375" style="2868" bestFit="1" customWidth="1"/>
    <col min="13317" max="13317" width="8.125" style="2868" customWidth="1"/>
    <col min="13318" max="13318" width="42.875" style="2868" customWidth="1"/>
    <col min="13319" max="13319" width="14" style="2868" bestFit="1" customWidth="1"/>
    <col min="13320" max="13320" width="5.25" style="2868" customWidth="1"/>
    <col min="13321" max="13321" width="26" style="2868" customWidth="1"/>
    <col min="13322" max="13323" width="11.875" style="2868" bestFit="1" customWidth="1"/>
    <col min="13324" max="13568" width="9" style="2868"/>
    <col min="13569" max="13569" width="2.125" style="2868" customWidth="1"/>
    <col min="13570" max="13570" width="41" style="2868" customWidth="1"/>
    <col min="13571" max="13571" width="9.375" style="2868" bestFit="1" customWidth="1"/>
    <col min="13572" max="13572" width="16.375" style="2868" bestFit="1" customWidth="1"/>
    <col min="13573" max="13573" width="8.125" style="2868" customWidth="1"/>
    <col min="13574" max="13574" width="42.875" style="2868" customWidth="1"/>
    <col min="13575" max="13575" width="14" style="2868" bestFit="1" customWidth="1"/>
    <col min="13576" max="13576" width="5.25" style="2868" customWidth="1"/>
    <col min="13577" max="13577" width="26" style="2868" customWidth="1"/>
    <col min="13578" max="13579" width="11.875" style="2868" bestFit="1" customWidth="1"/>
    <col min="13580" max="13824" width="9" style="2868"/>
    <col min="13825" max="13825" width="2.125" style="2868" customWidth="1"/>
    <col min="13826" max="13826" width="41" style="2868" customWidth="1"/>
    <col min="13827" max="13827" width="9.375" style="2868" bestFit="1" customWidth="1"/>
    <col min="13828" max="13828" width="16.375" style="2868" bestFit="1" customWidth="1"/>
    <col min="13829" max="13829" width="8.125" style="2868" customWidth="1"/>
    <col min="13830" max="13830" width="42.875" style="2868" customWidth="1"/>
    <col min="13831" max="13831" width="14" style="2868" bestFit="1" customWidth="1"/>
    <col min="13832" max="13832" width="5.25" style="2868" customWidth="1"/>
    <col min="13833" max="13833" width="26" style="2868" customWidth="1"/>
    <col min="13834" max="13835" width="11.875" style="2868" bestFit="1" customWidth="1"/>
    <col min="13836" max="14080" width="9" style="2868"/>
    <col min="14081" max="14081" width="2.125" style="2868" customWidth="1"/>
    <col min="14082" max="14082" width="41" style="2868" customWidth="1"/>
    <col min="14083" max="14083" width="9.375" style="2868" bestFit="1" customWidth="1"/>
    <col min="14084" max="14084" width="16.375" style="2868" bestFit="1" customWidth="1"/>
    <col min="14085" max="14085" width="8.125" style="2868" customWidth="1"/>
    <col min="14086" max="14086" width="42.875" style="2868" customWidth="1"/>
    <col min="14087" max="14087" width="14" style="2868" bestFit="1" customWidth="1"/>
    <col min="14088" max="14088" width="5.25" style="2868" customWidth="1"/>
    <col min="14089" max="14089" width="26" style="2868" customWidth="1"/>
    <col min="14090" max="14091" width="11.875" style="2868" bestFit="1" customWidth="1"/>
    <col min="14092" max="14336" width="9" style="2868"/>
    <col min="14337" max="14337" width="2.125" style="2868" customWidth="1"/>
    <col min="14338" max="14338" width="41" style="2868" customWidth="1"/>
    <col min="14339" max="14339" width="9.375" style="2868" bestFit="1" customWidth="1"/>
    <col min="14340" max="14340" width="16.375" style="2868" bestFit="1" customWidth="1"/>
    <col min="14341" max="14341" width="8.125" style="2868" customWidth="1"/>
    <col min="14342" max="14342" width="42.875" style="2868" customWidth="1"/>
    <col min="14343" max="14343" width="14" style="2868" bestFit="1" customWidth="1"/>
    <col min="14344" max="14344" width="5.25" style="2868" customWidth="1"/>
    <col min="14345" max="14345" width="26" style="2868" customWidth="1"/>
    <col min="14346" max="14347" width="11.875" style="2868" bestFit="1" customWidth="1"/>
    <col min="14348" max="14592" width="9" style="2868"/>
    <col min="14593" max="14593" width="2.125" style="2868" customWidth="1"/>
    <col min="14594" max="14594" width="41" style="2868" customWidth="1"/>
    <col min="14595" max="14595" width="9.375" style="2868" bestFit="1" customWidth="1"/>
    <col min="14596" max="14596" width="16.375" style="2868" bestFit="1" customWidth="1"/>
    <col min="14597" max="14597" width="8.125" style="2868" customWidth="1"/>
    <col min="14598" max="14598" width="42.875" style="2868" customWidth="1"/>
    <col min="14599" max="14599" width="14" style="2868" bestFit="1" customWidth="1"/>
    <col min="14600" max="14600" width="5.25" style="2868" customWidth="1"/>
    <col min="14601" max="14601" width="26" style="2868" customWidth="1"/>
    <col min="14602" max="14603" width="11.875" style="2868" bestFit="1" customWidth="1"/>
    <col min="14604" max="14848" width="9" style="2868"/>
    <col min="14849" max="14849" width="2.125" style="2868" customWidth="1"/>
    <col min="14850" max="14850" width="41" style="2868" customWidth="1"/>
    <col min="14851" max="14851" width="9.375" style="2868" bestFit="1" customWidth="1"/>
    <col min="14852" max="14852" width="16.375" style="2868" bestFit="1" customWidth="1"/>
    <col min="14853" max="14853" width="8.125" style="2868" customWidth="1"/>
    <col min="14854" max="14854" width="42.875" style="2868" customWidth="1"/>
    <col min="14855" max="14855" width="14" style="2868" bestFit="1" customWidth="1"/>
    <col min="14856" max="14856" width="5.25" style="2868" customWidth="1"/>
    <col min="14857" max="14857" width="26" style="2868" customWidth="1"/>
    <col min="14858" max="14859" width="11.875" style="2868" bestFit="1" customWidth="1"/>
    <col min="14860" max="15104" width="9" style="2868"/>
    <col min="15105" max="15105" width="2.125" style="2868" customWidth="1"/>
    <col min="15106" max="15106" width="41" style="2868" customWidth="1"/>
    <col min="15107" max="15107" width="9.375" style="2868" bestFit="1" customWidth="1"/>
    <col min="15108" max="15108" width="16.375" style="2868" bestFit="1" customWidth="1"/>
    <col min="15109" max="15109" width="8.125" style="2868" customWidth="1"/>
    <col min="15110" max="15110" width="42.875" style="2868" customWidth="1"/>
    <col min="15111" max="15111" width="14" style="2868" bestFit="1" customWidth="1"/>
    <col min="15112" max="15112" width="5.25" style="2868" customWidth="1"/>
    <col min="15113" max="15113" width="26" style="2868" customWidth="1"/>
    <col min="15114" max="15115" width="11.875" style="2868" bestFit="1" customWidth="1"/>
    <col min="15116" max="15360" width="9" style="2868"/>
    <col min="15361" max="15361" width="2.125" style="2868" customWidth="1"/>
    <col min="15362" max="15362" width="41" style="2868" customWidth="1"/>
    <col min="15363" max="15363" width="9.375" style="2868" bestFit="1" customWidth="1"/>
    <col min="15364" max="15364" width="16.375" style="2868" bestFit="1" customWidth="1"/>
    <col min="15365" max="15365" width="8.125" style="2868" customWidth="1"/>
    <col min="15366" max="15366" width="42.875" style="2868" customWidth="1"/>
    <col min="15367" max="15367" width="14" style="2868" bestFit="1" customWidth="1"/>
    <col min="15368" max="15368" width="5.25" style="2868" customWidth="1"/>
    <col min="15369" max="15369" width="26" style="2868" customWidth="1"/>
    <col min="15370" max="15371" width="11.875" style="2868" bestFit="1" customWidth="1"/>
    <col min="15372" max="15616" width="9" style="2868"/>
    <col min="15617" max="15617" width="2.125" style="2868" customWidth="1"/>
    <col min="15618" max="15618" width="41" style="2868" customWidth="1"/>
    <col min="15619" max="15619" width="9.375" style="2868" bestFit="1" customWidth="1"/>
    <col min="15620" max="15620" width="16.375" style="2868" bestFit="1" customWidth="1"/>
    <col min="15621" max="15621" width="8.125" style="2868" customWidth="1"/>
    <col min="15622" max="15622" width="42.875" style="2868" customWidth="1"/>
    <col min="15623" max="15623" width="14" style="2868" bestFit="1" customWidth="1"/>
    <col min="15624" max="15624" width="5.25" style="2868" customWidth="1"/>
    <col min="15625" max="15625" width="26" style="2868" customWidth="1"/>
    <col min="15626" max="15627" width="11.875" style="2868" bestFit="1" customWidth="1"/>
    <col min="15628" max="15872" width="9" style="2868"/>
    <col min="15873" max="15873" width="2.125" style="2868" customWidth="1"/>
    <col min="15874" max="15874" width="41" style="2868" customWidth="1"/>
    <col min="15875" max="15875" width="9.375" style="2868" bestFit="1" customWidth="1"/>
    <col min="15876" max="15876" width="16.375" style="2868" bestFit="1" customWidth="1"/>
    <col min="15877" max="15877" width="8.125" style="2868" customWidth="1"/>
    <col min="15878" max="15878" width="42.875" style="2868" customWidth="1"/>
    <col min="15879" max="15879" width="14" style="2868" bestFit="1" customWidth="1"/>
    <col min="15880" max="15880" width="5.25" style="2868" customWidth="1"/>
    <col min="15881" max="15881" width="26" style="2868" customWidth="1"/>
    <col min="15882" max="15883" width="11.875" style="2868" bestFit="1" customWidth="1"/>
    <col min="15884" max="16128" width="9" style="2868"/>
    <col min="16129" max="16129" width="2.125" style="2868" customWidth="1"/>
    <col min="16130" max="16130" width="41" style="2868" customWidth="1"/>
    <col min="16131" max="16131" width="9.375" style="2868" bestFit="1" customWidth="1"/>
    <col min="16132" max="16132" width="16.375" style="2868" bestFit="1" customWidth="1"/>
    <col min="16133" max="16133" width="8.125" style="2868" customWidth="1"/>
    <col min="16134" max="16134" width="42.875" style="2868" customWidth="1"/>
    <col min="16135" max="16135" width="14" style="2868" bestFit="1" customWidth="1"/>
    <col min="16136" max="16136" width="5.25" style="2868" customWidth="1"/>
    <col min="16137" max="16137" width="26" style="2868" customWidth="1"/>
    <col min="16138" max="16139" width="11.875" style="2868" bestFit="1" customWidth="1"/>
    <col min="16140" max="16384" width="9" style="2868"/>
  </cols>
  <sheetData>
    <row r="1" spans="1:11" s="2905" customFormat="1" ht="17.25">
      <c r="A1" s="2905" t="str">
        <f>+CONCATENATE("令和",MID(雨汚水!D1,3,1),"年度決算における消費税額チェック")</f>
        <v>令和５年度決算における消費税額チェック</v>
      </c>
    </row>
    <row r="3" spans="1:11" ht="15" customHeight="1">
      <c r="B3" s="2868" t="s">
        <v>5746</v>
      </c>
      <c r="D3" s="2893">
        <f>+'3条収入'!E69</f>
        <v>44454711283</v>
      </c>
      <c r="H3" s="2904" t="s">
        <v>5745</v>
      </c>
    </row>
    <row r="4" spans="1:11" ht="15" customHeight="1">
      <c r="B4" s="2868" t="s">
        <v>5744</v>
      </c>
      <c r="D4" s="2893">
        <f>+'3条収入'!AI69-'3条収入'!AI54</f>
        <v>42570161569</v>
      </c>
      <c r="I4" s="2903" t="s">
        <v>5743</v>
      </c>
      <c r="J4" s="2902" t="s">
        <v>5742</v>
      </c>
      <c r="K4" s="2902" t="s">
        <v>5741</v>
      </c>
    </row>
    <row r="5" spans="1:11" ht="15" customHeight="1">
      <c r="B5" s="2868" t="s">
        <v>5740</v>
      </c>
      <c r="D5" s="2868">
        <f>D3-D4</f>
        <v>1884549714</v>
      </c>
      <c r="E5" s="2868" t="s">
        <v>5739</v>
      </c>
      <c r="I5" s="2901" t="s">
        <v>5738</v>
      </c>
      <c r="J5" s="2900">
        <f>'3条収入'!AH69</f>
        <v>210253123</v>
      </c>
      <c r="K5" s="2896"/>
    </row>
    <row r="6" spans="1:11" ht="15" customHeight="1">
      <c r="B6" s="2868" t="s">
        <v>5737</v>
      </c>
      <c r="D6" s="2868">
        <f>SUM(J49:J51)</f>
        <v>0</v>
      </c>
      <c r="E6" s="2868" t="s">
        <v>5736</v>
      </c>
      <c r="I6" s="2894" t="s">
        <v>5735</v>
      </c>
      <c r="J6" s="2899"/>
      <c r="K6" s="2894"/>
    </row>
    <row r="7" spans="1:11" ht="15" customHeight="1">
      <c r="B7" s="2868" t="s">
        <v>5501</v>
      </c>
      <c r="D7" s="2868">
        <f>D3-D4-D6</f>
        <v>1884549714</v>
      </c>
      <c r="E7" s="2868" t="s">
        <v>5734</v>
      </c>
      <c r="I7" s="2894" t="s">
        <v>5733</v>
      </c>
      <c r="J7" s="2894"/>
      <c r="K7" s="2894"/>
    </row>
    <row r="8" spans="1:11" ht="40.5">
      <c r="B8" s="2868" t="s">
        <v>5732</v>
      </c>
      <c r="D8" s="2898">
        <f>+'3条支出'!E41</f>
        <v>42643669657</v>
      </c>
      <c r="I8" s="3484" t="s">
        <v>5731</v>
      </c>
      <c r="J8" s="2894">
        <f>D12-G12-(D13-G13)</f>
        <v>2233728</v>
      </c>
      <c r="K8" s="3550"/>
    </row>
    <row r="9" spans="1:11" ht="15" customHeight="1">
      <c r="B9" s="2868" t="s">
        <v>5730</v>
      </c>
      <c r="D9" s="2897">
        <f>+'3条支出'!T41-営外!T17-営外!T18-営外!$T$19</f>
        <v>41815647458</v>
      </c>
      <c r="I9" s="3484" t="s">
        <v>6554</v>
      </c>
      <c r="J9" s="2894">
        <f>-J77</f>
        <v>629</v>
      </c>
      <c r="K9" s="3551"/>
    </row>
    <row r="10" spans="1:11" ht="15" customHeight="1">
      <c r="B10" s="2868" t="s">
        <v>5729</v>
      </c>
      <c r="D10" s="2868">
        <f>D8-D9</f>
        <v>828022199</v>
      </c>
      <c r="E10" s="2868" t="s">
        <v>5659</v>
      </c>
      <c r="I10" s="3484"/>
      <c r="J10" s="2894"/>
      <c r="K10" s="3552"/>
    </row>
    <row r="11" spans="1:11" ht="15" customHeight="1">
      <c r="B11" s="2868" t="s">
        <v>5728</v>
      </c>
      <c r="D11" s="2868">
        <f>SUM(J63:J72)</f>
        <v>970163</v>
      </c>
      <c r="E11" s="2868" t="s">
        <v>5658</v>
      </c>
      <c r="I11" s="2894" t="s">
        <v>5727</v>
      </c>
      <c r="J11" s="2896"/>
      <c r="K11" s="2894">
        <f>-SUM(J73:J77)</f>
        <v>-1879936</v>
      </c>
    </row>
    <row r="12" spans="1:11" ht="15" customHeight="1">
      <c r="B12" s="2868" t="s">
        <v>5726</v>
      </c>
      <c r="D12" s="2868">
        <f>D8-D9-D11</f>
        <v>827052036</v>
      </c>
      <c r="E12" s="2868" t="s">
        <v>5725</v>
      </c>
      <c r="F12" s="2868" t="s">
        <v>5724</v>
      </c>
      <c r="G12" s="2868">
        <f>ROUNDDOWN(D12*G43/G44,0)</f>
        <v>824056879</v>
      </c>
      <c r="H12" s="2868" t="s">
        <v>5723</v>
      </c>
      <c r="I12" s="2895" t="s">
        <v>5447</v>
      </c>
      <c r="J12" s="2894">
        <f>SUM(J5:J11)</f>
        <v>212487480</v>
      </c>
      <c r="K12" s="2894">
        <f>SUM(K5:K11)</f>
        <v>-1879936</v>
      </c>
    </row>
    <row r="13" spans="1:11" ht="15" customHeight="1">
      <c r="B13" s="2868" t="s">
        <v>5722</v>
      </c>
      <c r="D13" s="2893">
        <f>+'3条収入'!AH69</f>
        <v>210253123</v>
      </c>
      <c r="E13" s="2868" t="s">
        <v>5721</v>
      </c>
      <c r="F13" s="2868" t="s">
        <v>5720</v>
      </c>
      <c r="G13" s="2868">
        <f>ROUNDDOWN(D13*G43/G44,0)</f>
        <v>209491694</v>
      </c>
      <c r="H13" s="2868" t="s">
        <v>5719</v>
      </c>
      <c r="J13" s="2892">
        <f>+SUM(J7:J9)</f>
        <v>2234357</v>
      </c>
      <c r="K13" s="2891" t="str">
        <f>+IF(J13=営外!T18+営外!T19,"←営外シートR18と一致","←左の値を営外シートR18に直打ち入力すること")</f>
        <v>←左の値を営外シートR18に直打ち入力すること</v>
      </c>
    </row>
    <row r="14" spans="1:11" ht="15" customHeight="1">
      <c r="B14" s="2870"/>
      <c r="F14" s="2868" t="s">
        <v>5718</v>
      </c>
      <c r="G14" s="2868">
        <f>SUM(J68:J77)</f>
        <v>2850099</v>
      </c>
      <c r="H14" s="2868" t="s">
        <v>5717</v>
      </c>
      <c r="K14" s="2891" t="s">
        <v>6240</v>
      </c>
    </row>
    <row r="15" spans="1:11" ht="15" customHeight="1">
      <c r="F15" s="2868" t="s">
        <v>5716</v>
      </c>
      <c r="G15" s="2868">
        <f>G12-G13+G14</f>
        <v>617415284</v>
      </c>
      <c r="H15" s="2868" t="s">
        <v>5715</v>
      </c>
    </row>
    <row r="16" spans="1:11" s="2884" customFormat="1" ht="15" customHeight="1">
      <c r="B16" s="2884" t="s">
        <v>5714</v>
      </c>
      <c r="D16" s="2884">
        <f>D7-G15</f>
        <v>1267134430</v>
      </c>
      <c r="E16" s="2868" t="s">
        <v>5713</v>
      </c>
      <c r="G16" s="2868"/>
      <c r="H16" s="2868"/>
    </row>
    <row r="17" spans="2:9" s="2884" customFormat="1" ht="15" customHeight="1">
      <c r="G17" s="2868"/>
      <c r="H17" s="2868"/>
    </row>
    <row r="18" spans="2:9" s="2884" customFormat="1" ht="15" customHeight="1">
      <c r="B18" s="2868" t="s">
        <v>5712</v>
      </c>
      <c r="C18" s="2870"/>
      <c r="D18" s="2889">
        <f>+'4条収入'!E91</f>
        <v>42025205141</v>
      </c>
      <c r="E18" s="2868"/>
      <c r="G18" s="2868"/>
      <c r="H18" s="2868"/>
    </row>
    <row r="19" spans="2:9" s="2884" customFormat="1" ht="15" customHeight="1">
      <c r="B19" s="2868" t="s">
        <v>5711</v>
      </c>
      <c r="C19" s="2870"/>
      <c r="D19" s="2889">
        <f>+'4条収入'!AI91</f>
        <v>42021596831</v>
      </c>
      <c r="E19" s="2868"/>
      <c r="G19" s="2868"/>
      <c r="H19" s="2868"/>
    </row>
    <row r="20" spans="2:9" ht="15" customHeight="1">
      <c r="B20" s="2868" t="s">
        <v>5710</v>
      </c>
      <c r="D20" s="2868">
        <f>D18-D19</f>
        <v>3608310</v>
      </c>
      <c r="E20" s="2868" t="s">
        <v>5709</v>
      </c>
      <c r="I20" s="2868" t="s">
        <v>5708</v>
      </c>
    </row>
    <row r="21" spans="2:9" ht="15" customHeight="1">
      <c r="B21" s="2868" t="s">
        <v>5707</v>
      </c>
      <c r="D21" s="2890">
        <f>+'4条支出'!E41</f>
        <v>61875977537</v>
      </c>
      <c r="I21" s="2869">
        <f>D23-G23-(D24-G24)</f>
        <v>3370060</v>
      </c>
    </row>
    <row r="22" spans="2:9" ht="15" customHeight="1">
      <c r="B22" s="2868" t="s">
        <v>5706</v>
      </c>
      <c r="C22" s="2870"/>
      <c r="D22" s="2890">
        <f>+'4条支出'!T41</f>
        <v>60396080350</v>
      </c>
    </row>
    <row r="23" spans="2:9" ht="15" customHeight="1">
      <c r="B23" s="2868" t="s">
        <v>5705</v>
      </c>
      <c r="D23" s="2868">
        <f>D21-D22</f>
        <v>1479897187</v>
      </c>
      <c r="E23" s="2868" t="s">
        <v>5704</v>
      </c>
      <c r="F23" s="2868" t="s">
        <v>5703</v>
      </c>
      <c r="G23" s="2868">
        <f>ROUNDDOWN(D23*G43/G44,0)</f>
        <v>1474537761</v>
      </c>
      <c r="H23" s="2868" t="s">
        <v>5702</v>
      </c>
    </row>
    <row r="24" spans="2:9" ht="15" customHeight="1">
      <c r="B24" s="2868" t="s">
        <v>5701</v>
      </c>
      <c r="C24" s="2870"/>
      <c r="D24" s="2889">
        <f>+'4条収入'!AH91</f>
        <v>549323121</v>
      </c>
      <c r="E24" s="2868" t="s">
        <v>5700</v>
      </c>
      <c r="F24" s="2868" t="s">
        <v>5699</v>
      </c>
      <c r="G24" s="2868">
        <f>ROUNDDOWN(D24*G43/G44,0)</f>
        <v>547333755</v>
      </c>
      <c r="H24" s="2868" t="s">
        <v>5698</v>
      </c>
    </row>
    <row r="25" spans="2:9" ht="15" customHeight="1">
      <c r="C25" s="2870"/>
      <c r="F25" s="2868" t="s">
        <v>5697</v>
      </c>
      <c r="G25" s="2868">
        <f>G23-G24</f>
        <v>927204006</v>
      </c>
      <c r="H25" s="2868" t="s">
        <v>5696</v>
      </c>
    </row>
    <row r="26" spans="2:9" ht="15" customHeight="1">
      <c r="B26" s="2884" t="s">
        <v>5695</v>
      </c>
      <c r="C26" s="2884"/>
      <c r="D26" s="2884">
        <f>D20-G25</f>
        <v>-923595696</v>
      </c>
      <c r="E26" s="2868" t="s">
        <v>5694</v>
      </c>
    </row>
    <row r="27" spans="2:9" ht="15" customHeight="1"/>
    <row r="28" spans="2:9" s="2884" customFormat="1" ht="15" customHeight="1">
      <c r="B28" s="2884" t="s">
        <v>5693</v>
      </c>
      <c r="D28" s="2884">
        <f>D16+D26</f>
        <v>343538734</v>
      </c>
      <c r="E28" s="2884" t="s">
        <v>5692</v>
      </c>
      <c r="G28" s="2868"/>
      <c r="H28" s="2868"/>
    </row>
    <row r="29" spans="2:9">
      <c r="B29" s="2868" t="s">
        <v>5691</v>
      </c>
      <c r="D29" s="2888">
        <f>+'(繰)3条支出 '!G22</f>
        <v>0</v>
      </c>
    </row>
    <row r="30" spans="2:9" s="2884" customFormat="1">
      <c r="B30" s="2884" t="s">
        <v>5690</v>
      </c>
      <c r="D30" s="2884">
        <f>D28-D29</f>
        <v>343538734</v>
      </c>
    </row>
    <row r="31" spans="2:9" ht="14.25" thickBot="1">
      <c r="B31" s="2870"/>
      <c r="C31" s="2870"/>
    </row>
    <row r="32" spans="2:9">
      <c r="B32" s="2870"/>
      <c r="C32" s="2870"/>
      <c r="F32" s="2887"/>
      <c r="G32" s="2886"/>
      <c r="H32" s="2872"/>
    </row>
    <row r="33" spans="3:11">
      <c r="D33" s="3317"/>
      <c r="E33" s="2870"/>
      <c r="F33" s="2882" t="s">
        <v>5689</v>
      </c>
      <c r="G33" s="2881">
        <f>+'3条収入'!K69</f>
        <v>20730055582</v>
      </c>
      <c r="H33" s="2872"/>
    </row>
    <row r="34" spans="3:11">
      <c r="F34" s="2882" t="s">
        <v>5688</v>
      </c>
      <c r="G34" s="2877">
        <f>D5</f>
        <v>1884549714</v>
      </c>
      <c r="H34" s="2872"/>
    </row>
    <row r="35" spans="3:11">
      <c r="C35" s="2870" t="s">
        <v>6188</v>
      </c>
      <c r="D35" s="2885">
        <f>+'(申)計'!T146+'(申)計'!T154+'(申)計'!T159</f>
        <v>343538600</v>
      </c>
      <c r="F35" s="2882" t="s">
        <v>5687</v>
      </c>
      <c r="G35" s="2877">
        <f>SUM(I49:I58)</f>
        <v>9708919</v>
      </c>
      <c r="H35" s="2872"/>
    </row>
    <row r="36" spans="3:11">
      <c r="C36" s="2870" t="s">
        <v>5686</v>
      </c>
      <c r="D36" s="2884">
        <f>D28-D35</f>
        <v>134</v>
      </c>
      <c r="F36" s="2882" t="s">
        <v>5685</v>
      </c>
      <c r="G36" s="2881">
        <f>+'3条収入'!L69</f>
        <v>22644840</v>
      </c>
      <c r="H36" s="2872"/>
    </row>
    <row r="37" spans="3:11">
      <c r="F37" s="2882" t="s">
        <v>5684</v>
      </c>
      <c r="G37" s="2883">
        <f>+'4条収入'!K91</f>
        <v>39691410</v>
      </c>
      <c r="H37" s="2872"/>
    </row>
    <row r="38" spans="3:11">
      <c r="F38" s="2882" t="s">
        <v>5683</v>
      </c>
      <c r="G38" s="2877">
        <f>D20</f>
        <v>3608310</v>
      </c>
      <c r="H38" s="2872"/>
    </row>
    <row r="39" spans="3:11">
      <c r="F39" s="2882" t="s">
        <v>5682</v>
      </c>
      <c r="G39" s="2883">
        <f>+'4条収入'!L91</f>
        <v>45948113</v>
      </c>
      <c r="H39" s="2872"/>
    </row>
    <row r="40" spans="3:11">
      <c r="F40" s="2882" t="s">
        <v>5681</v>
      </c>
      <c r="G40" s="2881">
        <f>+'3条収入'!M69</f>
        <v>86860</v>
      </c>
      <c r="H40" s="2872"/>
    </row>
    <row r="41" spans="3:11">
      <c r="F41" s="2880" t="s">
        <v>5680</v>
      </c>
      <c r="G41" s="2879">
        <f>ROUNDDOWN((G33-G34-G35+G37-G38)/(G33-G34-G35+G36+G37-G38+G39),4)</f>
        <v>0.99629999999999996</v>
      </c>
      <c r="H41" s="2878"/>
    </row>
    <row r="42" spans="3:11">
      <c r="F42" s="2872"/>
      <c r="G42" s="2877"/>
      <c r="H42" s="2872"/>
    </row>
    <row r="43" spans="3:11">
      <c r="F43" s="2876" t="s">
        <v>5679</v>
      </c>
      <c r="G43" s="2875">
        <f>(G33-G34-G35)+(G37-G38)+G40</f>
        <v>18871966909</v>
      </c>
      <c r="H43" s="2872"/>
    </row>
    <row r="44" spans="3:11" ht="14.25" thickBot="1">
      <c r="F44" s="2874" t="s">
        <v>5678</v>
      </c>
      <c r="G44" s="2873">
        <f>(G33-G34-G35+G36)+(G37-G38+G39)+G40</f>
        <v>18940559862</v>
      </c>
      <c r="H44" s="2872"/>
    </row>
    <row r="48" spans="3:11">
      <c r="F48" s="2870" t="s">
        <v>5677</v>
      </c>
      <c r="G48" s="2869" t="s">
        <v>5675</v>
      </c>
      <c r="I48" s="2869" t="s">
        <v>5674</v>
      </c>
      <c r="J48" s="2869" t="s">
        <v>5673</v>
      </c>
      <c r="K48" s="2869"/>
    </row>
    <row r="49" spans="6:10">
      <c r="F49" s="2870" t="s">
        <v>5672</v>
      </c>
      <c r="G49" s="2871">
        <f>+対価返還!BC3</f>
        <v>0</v>
      </c>
      <c r="H49" s="2869" t="s">
        <v>5664</v>
      </c>
      <c r="I49" s="2871">
        <f>+対価返還!BM3</f>
        <v>0</v>
      </c>
      <c r="J49" s="2868">
        <f t="shared" ref="J49:J56" si="0">+G49-I49</f>
        <v>0</v>
      </c>
    </row>
    <row r="50" spans="6:10">
      <c r="F50" s="2870" t="s">
        <v>5671</v>
      </c>
      <c r="G50" s="2871">
        <f>+対価返還!BC4</f>
        <v>0</v>
      </c>
      <c r="H50" s="2869" t="s">
        <v>5664</v>
      </c>
      <c r="I50" s="2871">
        <f>+対価返還!BM4</f>
        <v>0</v>
      </c>
      <c r="J50" s="2868">
        <f t="shared" si="0"/>
        <v>0</v>
      </c>
    </row>
    <row r="51" spans="6:10">
      <c r="F51" s="2870" t="s">
        <v>5670</v>
      </c>
      <c r="G51" s="2871">
        <f>+対価返還!BC5</f>
        <v>0</v>
      </c>
      <c r="H51" s="2869" t="s">
        <v>5664</v>
      </c>
      <c r="I51" s="2871">
        <f>+対価返還!BM5</f>
        <v>0</v>
      </c>
      <c r="J51" s="2868">
        <f t="shared" si="0"/>
        <v>0</v>
      </c>
    </row>
    <row r="52" spans="6:10">
      <c r="F52" s="2870" t="s">
        <v>6186</v>
      </c>
      <c r="G52" s="2871">
        <f>+対価返還!BC6</f>
        <v>0</v>
      </c>
      <c r="H52" s="2869" t="s">
        <v>5662</v>
      </c>
      <c r="I52" s="2871">
        <f>+対価返還!BM6</f>
        <v>0</v>
      </c>
      <c r="J52" s="2868">
        <f t="shared" ref="J52" si="1">+G52-I52</f>
        <v>0</v>
      </c>
    </row>
    <row r="53" spans="6:10">
      <c r="F53" s="2870" t="s">
        <v>5806</v>
      </c>
      <c r="G53" s="2871">
        <f>+対価返還!BC7</f>
        <v>0</v>
      </c>
      <c r="H53" s="2869" t="s">
        <v>5662</v>
      </c>
      <c r="I53" s="2871">
        <f>+対価返還!BM7</f>
        <v>0</v>
      </c>
      <c r="J53" s="2868">
        <f t="shared" ref="J53" si="2">+G53-I53</f>
        <v>0</v>
      </c>
    </row>
    <row r="54" spans="6:10">
      <c r="F54" s="2870" t="s">
        <v>5669</v>
      </c>
      <c r="G54" s="2871">
        <f>+対価返還!BC9</f>
        <v>0</v>
      </c>
      <c r="H54" s="2869" t="s">
        <v>5664</v>
      </c>
      <c r="I54" s="2871">
        <f>+対価返還!BM9</f>
        <v>0</v>
      </c>
      <c r="J54" s="2868">
        <f t="shared" si="0"/>
        <v>0</v>
      </c>
    </row>
    <row r="55" spans="6:10">
      <c r="F55" s="2870" t="s">
        <v>5668</v>
      </c>
      <c r="G55" s="2871">
        <f>+対価返還!BC10</f>
        <v>0</v>
      </c>
      <c r="H55" s="2869" t="s">
        <v>5664</v>
      </c>
      <c r="I55" s="2871">
        <f>+対価返還!BM10</f>
        <v>0</v>
      </c>
      <c r="J55" s="2868">
        <f t="shared" si="0"/>
        <v>0</v>
      </c>
    </row>
    <row r="56" spans="6:10">
      <c r="F56" s="2870" t="s">
        <v>5667</v>
      </c>
      <c r="G56" s="2871">
        <f>+対価返還!BC11</f>
        <v>39339</v>
      </c>
      <c r="H56" s="2869" t="s">
        <v>5664</v>
      </c>
      <c r="I56" s="2871">
        <f>+対価返還!BM11</f>
        <v>36425</v>
      </c>
      <c r="J56" s="2868">
        <f t="shared" si="0"/>
        <v>2914</v>
      </c>
    </row>
    <row r="57" spans="6:10">
      <c r="F57" s="2870" t="s">
        <v>6187</v>
      </c>
      <c r="G57" s="2871">
        <f>+対価返還!BC12</f>
        <v>0</v>
      </c>
      <c r="H57" s="2869" t="s">
        <v>5662</v>
      </c>
      <c r="I57" s="2871">
        <f>+対価返還!BM12</f>
        <v>0</v>
      </c>
      <c r="J57" s="2868">
        <f t="shared" ref="J57" si="3">+G57-I57</f>
        <v>0</v>
      </c>
    </row>
    <row r="58" spans="6:10">
      <c r="F58" s="2870" t="s">
        <v>6184</v>
      </c>
      <c r="G58" s="2871">
        <f>+対価返還!BC13</f>
        <v>10639743</v>
      </c>
      <c r="H58" s="2869" t="s">
        <v>5662</v>
      </c>
      <c r="I58" s="2871">
        <f>+対価返還!BM13</f>
        <v>9672494</v>
      </c>
      <c r="J58" s="2868">
        <f t="shared" ref="J58" si="4">+G58-I58</f>
        <v>967249</v>
      </c>
    </row>
    <row r="59" spans="6:10">
      <c r="J59" s="2868">
        <f>SUM(J49:J58)</f>
        <v>970163</v>
      </c>
    </row>
    <row r="62" spans="6:10">
      <c r="F62" s="2870" t="s">
        <v>5676</v>
      </c>
      <c r="G62" s="2869" t="s">
        <v>5675</v>
      </c>
      <c r="I62" s="2869" t="s">
        <v>5674</v>
      </c>
      <c r="J62" s="2869" t="s">
        <v>5673</v>
      </c>
    </row>
    <row r="63" spans="6:10">
      <c r="F63" s="2870" t="s">
        <v>5672</v>
      </c>
      <c r="G63" s="2868">
        <f t="shared" ref="G63:G72" si="5">G49</f>
        <v>0</v>
      </c>
      <c r="H63" s="2869" t="s">
        <v>5664</v>
      </c>
      <c r="J63" s="2868">
        <f t="shared" ref="J63:J72" si="6">J49</f>
        <v>0</v>
      </c>
    </row>
    <row r="64" spans="6:10">
      <c r="F64" s="2870" t="s">
        <v>5671</v>
      </c>
      <c r="G64" s="2868">
        <f t="shared" si="5"/>
        <v>0</v>
      </c>
      <c r="H64" s="2869" t="s">
        <v>5664</v>
      </c>
      <c r="J64" s="2868">
        <f t="shared" si="6"/>
        <v>0</v>
      </c>
    </row>
    <row r="65" spans="6:10">
      <c r="F65" s="2870" t="s">
        <v>5670</v>
      </c>
      <c r="G65" s="2868">
        <f t="shared" si="5"/>
        <v>0</v>
      </c>
      <c r="H65" s="2869" t="s">
        <v>5664</v>
      </c>
      <c r="J65" s="2868">
        <f t="shared" si="6"/>
        <v>0</v>
      </c>
    </row>
    <row r="66" spans="6:10">
      <c r="F66" s="2870" t="s">
        <v>6186</v>
      </c>
      <c r="G66" s="2868">
        <f t="shared" si="5"/>
        <v>0</v>
      </c>
      <c r="H66" s="2869" t="s">
        <v>5662</v>
      </c>
      <c r="J66" s="2868">
        <f t="shared" si="6"/>
        <v>0</v>
      </c>
    </row>
    <row r="67" spans="6:10">
      <c r="F67" s="2870" t="s">
        <v>5806</v>
      </c>
      <c r="G67" s="2868">
        <f t="shared" si="5"/>
        <v>0</v>
      </c>
      <c r="H67" s="2869" t="s">
        <v>5662</v>
      </c>
      <c r="J67" s="2868">
        <f t="shared" si="6"/>
        <v>0</v>
      </c>
    </row>
    <row r="68" spans="6:10">
      <c r="F68" s="2870" t="s">
        <v>5669</v>
      </c>
      <c r="G68" s="2868">
        <f t="shared" si="5"/>
        <v>0</v>
      </c>
      <c r="H68" s="2869" t="s">
        <v>5664</v>
      </c>
      <c r="J68" s="2868">
        <f t="shared" si="6"/>
        <v>0</v>
      </c>
    </row>
    <row r="69" spans="6:10">
      <c r="F69" s="2870" t="s">
        <v>5668</v>
      </c>
      <c r="G69" s="2868">
        <f t="shared" si="5"/>
        <v>0</v>
      </c>
      <c r="H69" s="2869" t="s">
        <v>5664</v>
      </c>
      <c r="J69" s="2868">
        <f t="shared" si="6"/>
        <v>0</v>
      </c>
    </row>
    <row r="70" spans="6:10">
      <c r="F70" s="2870" t="s">
        <v>5667</v>
      </c>
      <c r="G70" s="2868">
        <f t="shared" si="5"/>
        <v>39339</v>
      </c>
      <c r="H70" s="2869" t="s">
        <v>5664</v>
      </c>
      <c r="J70" s="2868">
        <f t="shared" si="6"/>
        <v>2914</v>
      </c>
    </row>
    <row r="71" spans="6:10">
      <c r="F71" s="2870" t="s">
        <v>6187</v>
      </c>
      <c r="G71" s="2868">
        <f t="shared" si="5"/>
        <v>0</v>
      </c>
      <c r="H71" s="2869" t="s">
        <v>5662</v>
      </c>
      <c r="J71" s="2868">
        <f t="shared" si="6"/>
        <v>0</v>
      </c>
    </row>
    <row r="72" spans="6:10">
      <c r="F72" s="2870" t="s">
        <v>6184</v>
      </c>
      <c r="G72" s="2868">
        <f t="shared" si="5"/>
        <v>10639743</v>
      </c>
      <c r="H72" s="2869" t="s">
        <v>5662</v>
      </c>
      <c r="J72" s="2868">
        <f t="shared" si="6"/>
        <v>967249</v>
      </c>
    </row>
    <row r="73" spans="6:10">
      <c r="F73" s="2870" t="s">
        <v>5666</v>
      </c>
      <c r="G73" s="2871">
        <f>基礎数値!D17</f>
        <v>0</v>
      </c>
      <c r="H73" s="2869" t="s">
        <v>5664</v>
      </c>
      <c r="J73" s="2868">
        <f>ROUNDDOWN(G73*3/103,0)</f>
        <v>0</v>
      </c>
    </row>
    <row r="74" spans="6:10">
      <c r="F74" s="2870" t="s">
        <v>5665</v>
      </c>
      <c r="G74" s="2871">
        <f>基礎数値!E17</f>
        <v>1120996</v>
      </c>
      <c r="H74" s="2869" t="s">
        <v>5664</v>
      </c>
      <c r="J74" s="2868">
        <f>ROUNDDOWN(G74*5/105,0)</f>
        <v>53380</v>
      </c>
    </row>
    <row r="75" spans="6:10">
      <c r="F75" s="2870" t="s">
        <v>5663</v>
      </c>
      <c r="G75" s="2871">
        <f>基礎数値!F17</f>
        <v>24667001</v>
      </c>
      <c r="H75" s="2869" t="s">
        <v>5662</v>
      </c>
      <c r="J75" s="2868">
        <f>ROUNDDOWN(G75*8/108,0)</f>
        <v>1827185</v>
      </c>
    </row>
    <row r="76" spans="6:10">
      <c r="F76" s="2870" t="s">
        <v>6185</v>
      </c>
      <c r="G76" s="2871">
        <f>基礎数値!H17</f>
        <v>0</v>
      </c>
      <c r="H76" s="2869" t="s">
        <v>5662</v>
      </c>
      <c r="J76" s="2868">
        <f>ROUNDDOWN(G76*10/110,0)</f>
        <v>0</v>
      </c>
    </row>
    <row r="77" spans="6:10">
      <c r="F77" s="2870" t="s">
        <v>6552</v>
      </c>
      <c r="G77" s="2871">
        <f>基礎数値!H16*-1</f>
        <v>-34600</v>
      </c>
      <c r="H77" s="2869" t="s">
        <v>5662</v>
      </c>
      <c r="J77" s="2868">
        <f>ROUNDDOWN(G77*0.2*10/110,0)</f>
        <v>-629</v>
      </c>
    </row>
    <row r="78" spans="6:10">
      <c r="H78" s="2869" t="s">
        <v>5447</v>
      </c>
      <c r="J78" s="2868">
        <f>SUM(J63:J77)</f>
        <v>2850099</v>
      </c>
    </row>
  </sheetData>
  <mergeCells count="1">
    <mergeCell ref="K8:K10"/>
  </mergeCells>
  <phoneticPr fontId="4"/>
  <pageMargins left="0.98425196850393704" right="0.39370078740157483" top="0.78740157480314965" bottom="0.59055118110236227" header="0.51181102362204722" footer="0.51181102362204722"/>
  <pageSetup paperSize="8" scale="73" orientation="landscape" r:id="rId1"/>
  <headerFooter alignWithMargins="0"/>
  <drawing r:id="rId2"/>
  <legacyDrawing r:id="rId3"/>
</worksheet>
</file>

<file path=xl/worksheets/w7_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BT341"/>
  <sheetViews>
    <sheetView topLeftCell="A5" zoomScale="70" zoomScaleNormal="70" zoomScaleSheetLayoutView="85" workbookViewId="0">
      <selection activeCell="BC13" activeCellId="1" sqref="BC11 BC13"/>
    </sheetView>
  </sheetViews>
  <sheetFormatPr defaultColWidth="9" defaultRowHeight="13.5" outlineLevelCol="1"/>
  <cols>
    <col min="1" max="1" width="3.375" style="2906" customWidth="1"/>
    <col min="2" max="4" width="9" style="2906" hidden="1" customWidth="1" outlineLevel="1"/>
    <col min="5" max="5" width="4.375" style="2906" customWidth="1" collapsed="1"/>
    <col min="6" max="7" width="9" style="2906" hidden="1" customWidth="1" outlineLevel="1"/>
    <col min="8" max="8" width="45.125" style="2906" customWidth="1" collapsed="1"/>
    <col min="9" max="13" width="9" style="2906" hidden="1" customWidth="1" outlineLevel="1"/>
    <col min="14" max="15" width="4.125" style="2906" hidden="1" customWidth="1" outlineLevel="1"/>
    <col min="16" max="16" width="4.125" style="2906" customWidth="1" collapsed="1"/>
    <col min="17" max="17" width="9" style="2906"/>
    <col min="18" max="18" width="16.625" style="2906" customWidth="1"/>
    <col min="19" max="19" width="9" style="2906"/>
    <col min="20" max="24" width="9" style="2906" hidden="1" customWidth="1" outlineLevel="1"/>
    <col min="25" max="25" width="13.75" style="2906" customWidth="1" collapsed="1"/>
    <col min="26" max="26" width="9" style="2906" hidden="1" customWidth="1" outlineLevel="1"/>
    <col min="27" max="27" width="15.125" style="2906" hidden="1" customWidth="1" outlineLevel="1"/>
    <col min="28" max="29" width="9" style="2906" hidden="1" customWidth="1" outlineLevel="1"/>
    <col min="30" max="30" width="20.875" style="2906" hidden="1" customWidth="1" outlineLevel="1"/>
    <col min="31" max="44" width="9" style="2906" hidden="1" customWidth="1" outlineLevel="1"/>
    <col min="45" max="45" width="9" style="2906" collapsed="1"/>
    <col min="46" max="46" width="9" style="2906"/>
    <col min="47" max="47" width="2.125" style="2906" customWidth="1"/>
    <col min="48" max="56" width="10.625" style="3336" customWidth="1"/>
    <col min="57" max="57" width="4" style="3336" customWidth="1"/>
    <col min="58" max="66" width="10.625" style="3336" customWidth="1"/>
    <col min="67" max="67" width="10.25" style="3337" bestFit="1" customWidth="1"/>
    <col min="68" max="16384" width="9" style="2906"/>
  </cols>
  <sheetData>
    <row r="1" spans="1:67">
      <c r="AV1" s="3553" t="s">
        <v>6129</v>
      </c>
      <c r="AW1" s="3553"/>
      <c r="AX1" s="3553"/>
      <c r="AY1" s="3553"/>
      <c r="AZ1" s="3553" t="s">
        <v>5798</v>
      </c>
      <c r="BA1" s="3553"/>
      <c r="BB1" s="3553"/>
      <c r="BC1" s="3553" t="s">
        <v>5797</v>
      </c>
      <c r="BD1" s="3553" t="s">
        <v>5799</v>
      </c>
      <c r="BE1" s="3334"/>
      <c r="BF1" s="3553" t="s">
        <v>6147</v>
      </c>
      <c r="BG1" s="3553"/>
      <c r="BH1" s="3553"/>
      <c r="BI1" s="3553"/>
      <c r="BJ1" s="3553" t="s">
        <v>6148</v>
      </c>
      <c r="BK1" s="3553"/>
      <c r="BL1" s="3553"/>
      <c r="BM1" s="3553" t="s">
        <v>5797</v>
      </c>
      <c r="BN1" s="3553" t="s">
        <v>5796</v>
      </c>
      <c r="BO1" s="2907"/>
    </row>
    <row r="2" spans="1:67">
      <c r="AV2" s="3334" t="s">
        <v>5751</v>
      </c>
      <c r="AW2" s="3334" t="s">
        <v>5750</v>
      </c>
      <c r="AX2" s="3334" t="s">
        <v>6130</v>
      </c>
      <c r="AY2" s="3334" t="s">
        <v>5747</v>
      </c>
      <c r="AZ2" s="3334" t="s">
        <v>5749</v>
      </c>
      <c r="BA2" s="3334" t="s">
        <v>5748</v>
      </c>
      <c r="BB2" s="3334" t="s">
        <v>5747</v>
      </c>
      <c r="BC2" s="3553"/>
      <c r="BD2" s="3553"/>
      <c r="BE2" s="3334"/>
      <c r="BF2" s="3334" t="s">
        <v>5751</v>
      </c>
      <c r="BG2" s="3334" t="s">
        <v>5750</v>
      </c>
      <c r="BH2" s="3334" t="s">
        <v>6551</v>
      </c>
      <c r="BI2" s="3334" t="s">
        <v>5747</v>
      </c>
      <c r="BJ2" s="3334" t="s">
        <v>5749</v>
      </c>
      <c r="BK2" s="3334" t="s">
        <v>5748</v>
      </c>
      <c r="BL2" s="3334" t="s">
        <v>5747</v>
      </c>
      <c r="BM2" s="3553"/>
      <c r="BN2" s="3553"/>
      <c r="BO2" s="2907"/>
    </row>
    <row r="3" spans="1:67">
      <c r="AS3" s="2920" t="s">
        <v>5672</v>
      </c>
      <c r="AT3" s="2906">
        <v>3</v>
      </c>
      <c r="AV3" s="2919">
        <f t="shared" ref="AV3:BD5" si="0">+SUMIFS(AV$18:AV$296,$P$18:$P$296,"営業外収益",$AT$18:$AT$296,$AT3)+SUMIFS(AV$18:AV$296,$P$18:$P$296,"特別利益",$AT$18:$AT$296,$AT3)</f>
        <v>0</v>
      </c>
      <c r="AW3" s="2919">
        <f t="shared" si="0"/>
        <v>0</v>
      </c>
      <c r="AX3" s="2919">
        <f t="shared" si="0"/>
        <v>0</v>
      </c>
      <c r="AY3" s="2919">
        <f t="shared" si="0"/>
        <v>0</v>
      </c>
      <c r="AZ3" s="2919">
        <f t="shared" si="0"/>
        <v>0</v>
      </c>
      <c r="BA3" s="2919">
        <f t="shared" si="0"/>
        <v>0</v>
      </c>
      <c r="BB3" s="2919">
        <f t="shared" si="0"/>
        <v>0</v>
      </c>
      <c r="BC3" s="2919">
        <f t="shared" si="0"/>
        <v>0</v>
      </c>
      <c r="BD3" s="2919">
        <f t="shared" si="0"/>
        <v>0</v>
      </c>
      <c r="BE3" s="2919"/>
      <c r="BF3" s="2907">
        <f t="shared" ref="BF3:BH7" si="1">+IFERROR(ROUNDUP(AV3*100/(100+$AT3),0),AV3)</f>
        <v>0</v>
      </c>
      <c r="BG3" s="2907">
        <f t="shared" si="1"/>
        <v>0</v>
      </c>
      <c r="BH3" s="2907">
        <f t="shared" si="1"/>
        <v>0</v>
      </c>
      <c r="BI3" s="2907">
        <f>SUM(BF3:BH3)</f>
        <v>0</v>
      </c>
      <c r="BJ3" s="2907">
        <f t="shared" ref="BJ3:BK7" si="2">+IFERROR(ROUNDUP(AZ3*100/(100+$AT3),0),AZ3)</f>
        <v>0</v>
      </c>
      <c r="BK3" s="2907">
        <f t="shared" si="2"/>
        <v>0</v>
      </c>
      <c r="BL3" s="2907">
        <f>SUM(BJ3:BK3)</f>
        <v>0</v>
      </c>
      <c r="BM3" s="2907">
        <f>+BI3+BL3</f>
        <v>0</v>
      </c>
      <c r="BN3" s="2907"/>
      <c r="BO3" s="2907">
        <f t="shared" ref="BO3:BO14" si="3">+BC3-BM3</f>
        <v>0</v>
      </c>
    </row>
    <row r="4" spans="1:67">
      <c r="AS4" s="2920" t="s">
        <v>5671</v>
      </c>
      <c r="AT4" s="2906">
        <v>5</v>
      </c>
      <c r="AV4" s="2919">
        <f t="shared" si="0"/>
        <v>0</v>
      </c>
      <c r="AW4" s="2919">
        <f t="shared" si="0"/>
        <v>0</v>
      </c>
      <c r="AX4" s="2919">
        <f t="shared" si="0"/>
        <v>0</v>
      </c>
      <c r="AY4" s="2919">
        <f t="shared" si="0"/>
        <v>0</v>
      </c>
      <c r="AZ4" s="2919">
        <f t="shared" si="0"/>
        <v>0</v>
      </c>
      <c r="BA4" s="2919">
        <f t="shared" si="0"/>
        <v>0</v>
      </c>
      <c r="BB4" s="2919">
        <f t="shared" si="0"/>
        <v>0</v>
      </c>
      <c r="BC4" s="2919">
        <f t="shared" si="0"/>
        <v>0</v>
      </c>
      <c r="BD4" s="2919">
        <f t="shared" si="0"/>
        <v>0</v>
      </c>
      <c r="BE4" s="2919"/>
      <c r="BF4" s="2907">
        <f t="shared" si="1"/>
        <v>0</v>
      </c>
      <c r="BG4" s="2907">
        <f t="shared" si="1"/>
        <v>0</v>
      </c>
      <c r="BH4" s="2907">
        <f t="shared" si="1"/>
        <v>0</v>
      </c>
      <c r="BI4" s="2907">
        <f>SUM(BF4:BH4)</f>
        <v>0</v>
      </c>
      <c r="BJ4" s="2907">
        <f t="shared" si="2"/>
        <v>0</v>
      </c>
      <c r="BK4" s="2907">
        <f t="shared" si="2"/>
        <v>0</v>
      </c>
      <c r="BL4" s="2907">
        <f>SUM(BJ4:BK4)</f>
        <v>0</v>
      </c>
      <c r="BM4" s="2907">
        <f t="shared" ref="BM4:BM7" si="4">+BI4+BL4</f>
        <v>0</v>
      </c>
      <c r="BN4" s="2907"/>
      <c r="BO4" s="2907">
        <f t="shared" si="3"/>
        <v>0</v>
      </c>
    </row>
    <row r="5" spans="1:67">
      <c r="AS5" s="2920" t="s">
        <v>5670</v>
      </c>
      <c r="AT5" s="2906">
        <v>8</v>
      </c>
      <c r="AV5" s="2919">
        <f t="shared" si="0"/>
        <v>0</v>
      </c>
      <c r="AW5" s="2919">
        <f t="shared" si="0"/>
        <v>0</v>
      </c>
      <c r="AX5" s="2919">
        <f t="shared" si="0"/>
        <v>0</v>
      </c>
      <c r="AY5" s="2919">
        <f t="shared" si="0"/>
        <v>0</v>
      </c>
      <c r="AZ5" s="2919">
        <f t="shared" si="0"/>
        <v>0</v>
      </c>
      <c r="BA5" s="2919">
        <f t="shared" si="0"/>
        <v>0</v>
      </c>
      <c r="BB5" s="2919">
        <f t="shared" si="0"/>
        <v>0</v>
      </c>
      <c r="BC5" s="2919">
        <f t="shared" si="0"/>
        <v>0</v>
      </c>
      <c r="BD5" s="2919">
        <f t="shared" si="0"/>
        <v>0</v>
      </c>
      <c r="BE5" s="2919"/>
      <c r="BF5" s="2907">
        <f t="shared" si="1"/>
        <v>0</v>
      </c>
      <c r="BG5" s="2907">
        <f t="shared" si="1"/>
        <v>0</v>
      </c>
      <c r="BH5" s="2907">
        <f t="shared" si="1"/>
        <v>0</v>
      </c>
      <c r="BI5" s="2907">
        <f>SUM(BF5:BH5)</f>
        <v>0</v>
      </c>
      <c r="BJ5" s="2907">
        <f t="shared" si="2"/>
        <v>0</v>
      </c>
      <c r="BK5" s="2907">
        <f t="shared" si="2"/>
        <v>0</v>
      </c>
      <c r="BL5" s="2907">
        <f>SUM(BJ5:BK5)</f>
        <v>0</v>
      </c>
      <c r="BM5" s="2907">
        <f t="shared" si="4"/>
        <v>0</v>
      </c>
      <c r="BN5" s="2907"/>
      <c r="BO5" s="2907">
        <f t="shared" si="3"/>
        <v>0</v>
      </c>
    </row>
    <row r="6" spans="1:67">
      <c r="AQ6" s="3309"/>
      <c r="AR6" s="3309"/>
      <c r="AS6" s="3310" t="s">
        <v>6158</v>
      </c>
      <c r="AT6" s="3311">
        <v>8</v>
      </c>
      <c r="AV6" s="3312">
        <f t="shared" ref="AV6:BD6" si="5">+SUMIFS(AV$18:AV$296,$P$18:$P$296,"営業外収益",$AS$18:$AS$296,81)+SUMIFS(AV$18:AV$296,$P$18:$P$296,"特別利益",$AS$18:$AS$296,81)</f>
        <v>0</v>
      </c>
      <c r="AW6" s="3312">
        <f t="shared" si="5"/>
        <v>0</v>
      </c>
      <c r="AX6" s="3312">
        <f t="shared" si="5"/>
        <v>0</v>
      </c>
      <c r="AY6" s="3312">
        <f t="shared" si="5"/>
        <v>0</v>
      </c>
      <c r="AZ6" s="3312">
        <f t="shared" si="5"/>
        <v>0</v>
      </c>
      <c r="BA6" s="3312">
        <f t="shared" si="5"/>
        <v>0</v>
      </c>
      <c r="BB6" s="3312">
        <f t="shared" si="5"/>
        <v>0</v>
      </c>
      <c r="BC6" s="3312">
        <f t="shared" si="5"/>
        <v>0</v>
      </c>
      <c r="BD6" s="3312">
        <f t="shared" si="5"/>
        <v>0</v>
      </c>
      <c r="BE6" s="2919"/>
      <c r="BF6" s="3313">
        <f>+IFERROR(ROUNDUP(AV6*100/(100+$AT6),0),AV6)</f>
        <v>0</v>
      </c>
      <c r="BG6" s="3313">
        <f t="shared" si="1"/>
        <v>0</v>
      </c>
      <c r="BH6" s="3313">
        <f t="shared" si="1"/>
        <v>0</v>
      </c>
      <c r="BI6" s="3313">
        <f>SUM(BF6:BH6)</f>
        <v>0</v>
      </c>
      <c r="BJ6" s="3313">
        <f t="shared" si="2"/>
        <v>0</v>
      </c>
      <c r="BK6" s="3313">
        <f t="shared" si="2"/>
        <v>0</v>
      </c>
      <c r="BL6" s="3313">
        <f>SUM(BJ6:BK6)</f>
        <v>0</v>
      </c>
      <c r="BM6" s="3313">
        <f t="shared" si="4"/>
        <v>0</v>
      </c>
      <c r="BN6" s="3313"/>
      <c r="BO6" s="3313">
        <f t="shared" si="3"/>
        <v>0</v>
      </c>
    </row>
    <row r="7" spans="1:67">
      <c r="AS7" s="2920" t="s">
        <v>5806</v>
      </c>
      <c r="AT7" s="2906">
        <v>10</v>
      </c>
      <c r="AV7" s="2919">
        <f t="shared" ref="AV7:BD7" si="6">+SUMIFS(AV$18:AV$296,$P$18:$P$296,"営業外収益",$AT$18:$AT$296,$AT7)+SUMIFS(AV$18:AV$296,$P$18:$P$296,"特別利益",$AT$18:$AT$296,$AT7)</f>
        <v>0</v>
      </c>
      <c r="AW7" s="2919">
        <f t="shared" si="6"/>
        <v>0</v>
      </c>
      <c r="AX7" s="2919">
        <f t="shared" si="6"/>
        <v>0</v>
      </c>
      <c r="AY7" s="2919">
        <f t="shared" si="6"/>
        <v>0</v>
      </c>
      <c r="AZ7" s="2919">
        <f t="shared" si="6"/>
        <v>0</v>
      </c>
      <c r="BA7" s="2919">
        <f t="shared" si="6"/>
        <v>0</v>
      </c>
      <c r="BB7" s="2919">
        <f t="shared" si="6"/>
        <v>0</v>
      </c>
      <c r="BC7" s="2919">
        <f t="shared" si="6"/>
        <v>0</v>
      </c>
      <c r="BD7" s="2919">
        <f t="shared" si="6"/>
        <v>0</v>
      </c>
      <c r="BE7" s="2919"/>
      <c r="BF7" s="2907">
        <f t="shared" si="1"/>
        <v>0</v>
      </c>
      <c r="BG7" s="2907">
        <f t="shared" si="1"/>
        <v>0</v>
      </c>
      <c r="BH7" s="2907">
        <f t="shared" si="1"/>
        <v>0</v>
      </c>
      <c r="BI7" s="2907">
        <f>SUM(BF7:BH7)</f>
        <v>0</v>
      </c>
      <c r="BJ7" s="2907">
        <f t="shared" si="2"/>
        <v>0</v>
      </c>
      <c r="BK7" s="2907">
        <f t="shared" si="2"/>
        <v>0</v>
      </c>
      <c r="BL7" s="2907">
        <f>SUM(BJ7:BK7)</f>
        <v>0</v>
      </c>
      <c r="BM7" s="2907">
        <f t="shared" si="4"/>
        <v>0</v>
      </c>
      <c r="BN7" s="2907"/>
      <c r="BO7" s="2907">
        <f t="shared" si="3"/>
        <v>0</v>
      </c>
    </row>
    <row r="8" spans="1:67">
      <c r="AS8" s="2916" t="s">
        <v>5805</v>
      </c>
      <c r="AV8" s="2918">
        <f t="shared" ref="AV8:BM8" si="7">+SUM(AV3:AV7)</f>
        <v>0</v>
      </c>
      <c r="AW8" s="2918">
        <f t="shared" si="7"/>
        <v>0</v>
      </c>
      <c r="AX8" s="2918">
        <f>+SUM(AX3:AX7)</f>
        <v>0</v>
      </c>
      <c r="AY8" s="2918">
        <f t="shared" si="7"/>
        <v>0</v>
      </c>
      <c r="AZ8" s="2918">
        <f t="shared" si="7"/>
        <v>0</v>
      </c>
      <c r="BA8" s="2918">
        <f t="shared" si="7"/>
        <v>0</v>
      </c>
      <c r="BB8" s="2918">
        <f t="shared" si="7"/>
        <v>0</v>
      </c>
      <c r="BC8" s="2918">
        <f t="shared" si="7"/>
        <v>0</v>
      </c>
      <c r="BD8" s="2918">
        <f t="shared" si="7"/>
        <v>0</v>
      </c>
      <c r="BE8" s="2918">
        <f t="shared" si="7"/>
        <v>0</v>
      </c>
      <c r="BF8" s="2918">
        <f t="shared" si="7"/>
        <v>0</v>
      </c>
      <c r="BG8" s="2918">
        <f t="shared" si="7"/>
        <v>0</v>
      </c>
      <c r="BH8" s="2918">
        <f>+SUM(BH3:BH7)</f>
        <v>0</v>
      </c>
      <c r="BI8" s="2918">
        <f t="shared" si="7"/>
        <v>0</v>
      </c>
      <c r="BJ8" s="2918">
        <f t="shared" si="7"/>
        <v>0</v>
      </c>
      <c r="BK8" s="2918">
        <f t="shared" si="7"/>
        <v>0</v>
      </c>
      <c r="BL8" s="2918">
        <f t="shared" si="7"/>
        <v>0</v>
      </c>
      <c r="BM8" s="2918">
        <f t="shared" si="7"/>
        <v>0</v>
      </c>
      <c r="BN8" s="2907"/>
      <c r="BO8" s="2907">
        <f t="shared" si="3"/>
        <v>0</v>
      </c>
    </row>
    <row r="9" spans="1:67">
      <c r="AS9" s="2920" t="s">
        <v>5669</v>
      </c>
      <c r="AT9" s="2906">
        <v>3</v>
      </c>
      <c r="AV9" s="2919">
        <f t="shared" ref="AV9:BD11" si="8">+SUMIFS(AV$18:AV$296,$P$18:$P$296,"営業外費用",$AT$18:$AT$296,$AT9)+SUMIFS(AV$18:AV$296,$P$18:$P$296,"特別損失",$AT$18:$AT$296,$AT9)</f>
        <v>0</v>
      </c>
      <c r="AW9" s="2919">
        <f t="shared" si="8"/>
        <v>0</v>
      </c>
      <c r="AX9" s="2919">
        <f t="shared" si="8"/>
        <v>0</v>
      </c>
      <c r="AY9" s="2919">
        <f t="shared" si="8"/>
        <v>0</v>
      </c>
      <c r="AZ9" s="2919">
        <f t="shared" si="8"/>
        <v>0</v>
      </c>
      <c r="BA9" s="2919">
        <f t="shared" si="8"/>
        <v>0</v>
      </c>
      <c r="BB9" s="2919">
        <f t="shared" si="8"/>
        <v>0</v>
      </c>
      <c r="BC9" s="2919">
        <f t="shared" si="8"/>
        <v>0</v>
      </c>
      <c r="BD9" s="2919">
        <f t="shared" si="8"/>
        <v>0</v>
      </c>
      <c r="BE9" s="2919"/>
      <c r="BF9" s="2907">
        <f t="shared" ref="BF9:BH13" si="9">+IFERROR(ROUNDUP(AV9*100/(100+$AT9),0),AV9)</f>
        <v>0</v>
      </c>
      <c r="BG9" s="2907">
        <f t="shared" si="9"/>
        <v>0</v>
      </c>
      <c r="BH9" s="2907">
        <f t="shared" si="9"/>
        <v>0</v>
      </c>
      <c r="BI9" s="2907">
        <f t="shared" ref="BI9:BI13" si="10">SUM(BF9:BH9)</f>
        <v>0</v>
      </c>
      <c r="BJ9" s="2907">
        <f t="shared" ref="BJ9:BK13" si="11">+IFERROR(ROUNDUP(AZ9*100/(100+$AT9),0),AZ9)</f>
        <v>0</v>
      </c>
      <c r="BK9" s="2907">
        <f t="shared" si="11"/>
        <v>0</v>
      </c>
      <c r="BL9" s="2907">
        <f>SUM(BJ9:BK9)</f>
        <v>0</v>
      </c>
      <c r="BM9" s="2907">
        <f t="shared" ref="BM9:BM13" si="12">+BI9+BL9</f>
        <v>0</v>
      </c>
      <c r="BN9" s="2907"/>
      <c r="BO9" s="2907">
        <f t="shared" si="3"/>
        <v>0</v>
      </c>
    </row>
    <row r="10" spans="1:67">
      <c r="AS10" s="2920" t="s">
        <v>5668</v>
      </c>
      <c r="AT10" s="2906">
        <v>5</v>
      </c>
      <c r="AV10" s="2919">
        <f t="shared" si="8"/>
        <v>0</v>
      </c>
      <c r="AW10" s="2919">
        <f t="shared" si="8"/>
        <v>0</v>
      </c>
      <c r="AX10" s="2919">
        <f t="shared" si="8"/>
        <v>0</v>
      </c>
      <c r="AY10" s="2919">
        <f t="shared" si="8"/>
        <v>0</v>
      </c>
      <c r="AZ10" s="2919">
        <f t="shared" si="8"/>
        <v>0</v>
      </c>
      <c r="BA10" s="2919">
        <f t="shared" si="8"/>
        <v>0</v>
      </c>
      <c r="BB10" s="2919">
        <f t="shared" si="8"/>
        <v>0</v>
      </c>
      <c r="BC10" s="2919">
        <f t="shared" si="8"/>
        <v>0</v>
      </c>
      <c r="BD10" s="2919">
        <f t="shared" si="8"/>
        <v>0</v>
      </c>
      <c r="BE10" s="2919"/>
      <c r="BF10" s="2907">
        <f t="shared" si="9"/>
        <v>0</v>
      </c>
      <c r="BG10" s="2907">
        <f t="shared" si="9"/>
        <v>0</v>
      </c>
      <c r="BH10" s="2907">
        <f t="shared" si="9"/>
        <v>0</v>
      </c>
      <c r="BI10" s="2907">
        <f t="shared" si="10"/>
        <v>0</v>
      </c>
      <c r="BJ10" s="2907">
        <f t="shared" si="11"/>
        <v>0</v>
      </c>
      <c r="BK10" s="2907">
        <f t="shared" si="11"/>
        <v>0</v>
      </c>
      <c r="BL10" s="2907">
        <f>SUM(BJ10:BK10)</f>
        <v>0</v>
      </c>
      <c r="BM10" s="2907">
        <f t="shared" si="12"/>
        <v>0</v>
      </c>
      <c r="BN10" s="2907"/>
      <c r="BO10" s="2907">
        <f t="shared" si="3"/>
        <v>0</v>
      </c>
    </row>
    <row r="11" spans="1:67">
      <c r="AS11" s="2920" t="s">
        <v>5667</v>
      </c>
      <c r="AT11" s="2906">
        <v>8</v>
      </c>
      <c r="AV11" s="2919">
        <f t="shared" si="8"/>
        <v>0</v>
      </c>
      <c r="AW11" s="2919">
        <f t="shared" si="8"/>
        <v>0</v>
      </c>
      <c r="AX11" s="2919">
        <f t="shared" si="8"/>
        <v>0</v>
      </c>
      <c r="AY11" s="2919">
        <f t="shared" si="8"/>
        <v>0</v>
      </c>
      <c r="AZ11" s="2919">
        <f t="shared" si="8"/>
        <v>0</v>
      </c>
      <c r="BA11" s="2919">
        <f t="shared" si="8"/>
        <v>39339</v>
      </c>
      <c r="BB11" s="2919">
        <f t="shared" si="8"/>
        <v>39339</v>
      </c>
      <c r="BC11" s="2919">
        <f t="shared" si="8"/>
        <v>39339</v>
      </c>
      <c r="BD11" s="2919">
        <f t="shared" si="8"/>
        <v>0</v>
      </c>
      <c r="BE11" s="2919"/>
      <c r="BF11" s="2907">
        <f t="shared" si="9"/>
        <v>0</v>
      </c>
      <c r="BG11" s="2907">
        <f t="shared" si="9"/>
        <v>0</v>
      </c>
      <c r="BH11" s="2907">
        <f t="shared" si="9"/>
        <v>0</v>
      </c>
      <c r="BI11" s="2907">
        <f t="shared" si="10"/>
        <v>0</v>
      </c>
      <c r="BJ11" s="2907">
        <f t="shared" si="11"/>
        <v>0</v>
      </c>
      <c r="BK11" s="2907">
        <f t="shared" si="11"/>
        <v>36425</v>
      </c>
      <c r="BL11" s="2907">
        <f>SUM(BJ11:BK11)</f>
        <v>36425</v>
      </c>
      <c r="BM11" s="2907">
        <f t="shared" si="12"/>
        <v>36425</v>
      </c>
      <c r="BN11" s="2907"/>
      <c r="BO11" s="2907">
        <f t="shared" si="3"/>
        <v>2914</v>
      </c>
    </row>
    <row r="12" spans="1:67">
      <c r="AQ12" s="3309"/>
      <c r="AR12" s="3309"/>
      <c r="AS12" s="3310" t="s">
        <v>6160</v>
      </c>
      <c r="AT12" s="3311">
        <v>8</v>
      </c>
      <c r="AV12" s="3312">
        <f t="shared" ref="AV12:BD12" si="13">+SUMIFS(AV$18:AV$296,$P$18:$P$296,"営業外費用",$AS$18:$AS$296,82)+SUMIFS(AV$18:AV$296,$P$18:$P$296,"特別損失",$AS$18:$AS$296,82)</f>
        <v>0</v>
      </c>
      <c r="AW12" s="3312">
        <f t="shared" si="13"/>
        <v>0</v>
      </c>
      <c r="AX12" s="3312">
        <f t="shared" si="13"/>
        <v>0</v>
      </c>
      <c r="AY12" s="3312">
        <f t="shared" si="13"/>
        <v>0</v>
      </c>
      <c r="AZ12" s="3312">
        <f t="shared" si="13"/>
        <v>0</v>
      </c>
      <c r="BA12" s="3312">
        <f t="shared" si="13"/>
        <v>0</v>
      </c>
      <c r="BB12" s="3312">
        <f t="shared" si="13"/>
        <v>0</v>
      </c>
      <c r="BC12" s="3312">
        <f t="shared" si="13"/>
        <v>0</v>
      </c>
      <c r="BD12" s="3312">
        <f t="shared" si="13"/>
        <v>0</v>
      </c>
      <c r="BE12" s="2919"/>
      <c r="BF12" s="3313">
        <f t="shared" si="9"/>
        <v>0</v>
      </c>
      <c r="BG12" s="3313">
        <f t="shared" si="9"/>
        <v>0</v>
      </c>
      <c r="BH12" s="3313">
        <f t="shared" si="9"/>
        <v>0</v>
      </c>
      <c r="BI12" s="3313">
        <f t="shared" si="10"/>
        <v>0</v>
      </c>
      <c r="BJ12" s="3313">
        <f t="shared" si="11"/>
        <v>0</v>
      </c>
      <c r="BK12" s="3313">
        <f t="shared" si="11"/>
        <v>0</v>
      </c>
      <c r="BL12" s="3313">
        <f>SUM(BJ12:BK12)</f>
        <v>0</v>
      </c>
      <c r="BM12" s="3313">
        <f t="shared" si="12"/>
        <v>0</v>
      </c>
      <c r="BN12" s="3313"/>
      <c r="BO12" s="3313">
        <f t="shared" si="3"/>
        <v>0</v>
      </c>
    </row>
    <row r="13" spans="1:67">
      <c r="AS13" s="2920" t="s">
        <v>5804</v>
      </c>
      <c r="AT13" s="2906">
        <v>10</v>
      </c>
      <c r="AV13" s="2919">
        <f t="shared" ref="AV13:BD13" si="14">+SUMIFS(AV$18:AV$296,$P$18:$P$296,"営業外費用",$AT$18:$AT$296,$AT13)+SUMIFS(AV$18:AV$296,$P$18:$P$296,"特別損失",$AT$18:$AT$296,$AT13)</f>
        <v>0</v>
      </c>
      <c r="AW13" s="2919">
        <f t="shared" si="14"/>
        <v>0</v>
      </c>
      <c r="AX13" s="2919">
        <f t="shared" si="14"/>
        <v>0</v>
      </c>
      <c r="AY13" s="2919">
        <f t="shared" si="14"/>
        <v>0</v>
      </c>
      <c r="AZ13" s="2919">
        <f t="shared" si="14"/>
        <v>0</v>
      </c>
      <c r="BA13" s="2919">
        <f t="shared" si="14"/>
        <v>10639743</v>
      </c>
      <c r="BB13" s="2919">
        <f t="shared" si="14"/>
        <v>10639743</v>
      </c>
      <c r="BC13" s="2919">
        <f t="shared" si="14"/>
        <v>10639743</v>
      </c>
      <c r="BD13" s="2919">
        <f t="shared" si="14"/>
        <v>0</v>
      </c>
      <c r="BE13" s="2919"/>
      <c r="BF13" s="2907">
        <f t="shared" si="9"/>
        <v>0</v>
      </c>
      <c r="BG13" s="2907">
        <f t="shared" si="9"/>
        <v>0</v>
      </c>
      <c r="BH13" s="2907">
        <f t="shared" si="9"/>
        <v>0</v>
      </c>
      <c r="BI13" s="2907">
        <f t="shared" si="10"/>
        <v>0</v>
      </c>
      <c r="BJ13" s="2907">
        <f t="shared" si="11"/>
        <v>0</v>
      </c>
      <c r="BK13" s="2907">
        <f t="shared" si="11"/>
        <v>9672494</v>
      </c>
      <c r="BL13" s="2907">
        <f>SUM(BJ13:BK13)</f>
        <v>9672494</v>
      </c>
      <c r="BM13" s="2907">
        <f t="shared" si="12"/>
        <v>9672494</v>
      </c>
      <c r="BN13" s="2907"/>
      <c r="BO13" s="2907">
        <f t="shared" si="3"/>
        <v>967249</v>
      </c>
    </row>
    <row r="14" spans="1:67" s="2914" customFormat="1">
      <c r="AS14" s="2916" t="s">
        <v>5803</v>
      </c>
      <c r="AV14" s="2918">
        <f t="shared" ref="AV14:BM14" si="15">+SUM(AV9:AV13)</f>
        <v>0</v>
      </c>
      <c r="AW14" s="2918">
        <f t="shared" si="15"/>
        <v>0</v>
      </c>
      <c r="AX14" s="2918">
        <f>+SUM(AX9:AX13)</f>
        <v>0</v>
      </c>
      <c r="AY14" s="2918">
        <f t="shared" si="15"/>
        <v>0</v>
      </c>
      <c r="AZ14" s="2918">
        <f t="shared" si="15"/>
        <v>0</v>
      </c>
      <c r="BA14" s="2918">
        <f t="shared" si="15"/>
        <v>10679082</v>
      </c>
      <c r="BB14" s="2918">
        <f t="shared" si="15"/>
        <v>10679082</v>
      </c>
      <c r="BC14" s="2918">
        <f t="shared" si="15"/>
        <v>10679082</v>
      </c>
      <c r="BD14" s="2918">
        <f t="shared" si="15"/>
        <v>0</v>
      </c>
      <c r="BE14" s="2918">
        <f t="shared" si="15"/>
        <v>0</v>
      </c>
      <c r="BF14" s="2918">
        <f t="shared" si="15"/>
        <v>0</v>
      </c>
      <c r="BG14" s="2918">
        <f t="shared" si="15"/>
        <v>0</v>
      </c>
      <c r="BH14" s="2918">
        <f>+SUM(BH9:BH13)</f>
        <v>0</v>
      </c>
      <c r="BI14" s="2918">
        <f t="shared" si="15"/>
        <v>0</v>
      </c>
      <c r="BJ14" s="2918">
        <f t="shared" si="15"/>
        <v>0</v>
      </c>
      <c r="BK14" s="2918">
        <f t="shared" si="15"/>
        <v>9708919</v>
      </c>
      <c r="BL14" s="2918">
        <f t="shared" si="15"/>
        <v>9708919</v>
      </c>
      <c r="BM14" s="2918">
        <f t="shared" si="15"/>
        <v>9708919</v>
      </c>
      <c r="BN14" s="2915"/>
      <c r="BO14" s="2907">
        <f t="shared" si="3"/>
        <v>970163</v>
      </c>
    </row>
    <row r="15" spans="1:67" s="2914" customFormat="1">
      <c r="A15" s="2917" t="s">
        <v>5802</v>
      </c>
      <c r="AS15" s="2916"/>
      <c r="AV15" s="3338"/>
      <c r="AW15" s="3338"/>
      <c r="AX15" s="3338"/>
      <c r="AY15" s="3338"/>
      <c r="AZ15" s="3338"/>
      <c r="BA15" s="3338"/>
      <c r="BB15" s="3338"/>
      <c r="BC15" s="3338"/>
      <c r="BD15" s="3338"/>
      <c r="BE15" s="3338"/>
      <c r="BF15" s="3338"/>
      <c r="BG15" s="3338"/>
      <c r="BH15" s="3338"/>
      <c r="BI15" s="3338"/>
      <c r="BJ15" s="3338"/>
      <c r="BK15" s="3338"/>
      <c r="BL15" s="3338"/>
      <c r="BM15" s="3338"/>
      <c r="BN15" s="3339"/>
      <c r="BO15" s="3339"/>
    </row>
    <row r="16" spans="1:67" s="2914" customFormat="1">
      <c r="A16" s="2917"/>
      <c r="Y16" s="2907">
        <f>+SUBTOTAL(109,Y18:Y948)</f>
        <v>10679082</v>
      </c>
      <c r="AS16" s="2916"/>
      <c r="AV16" s="3336">
        <f t="shared" ref="AV16:BD16" si="16">+SUBTOTAL(109,AV18:AV948)</f>
        <v>0</v>
      </c>
      <c r="AW16" s="3336">
        <f t="shared" si="16"/>
        <v>0</v>
      </c>
      <c r="AX16" s="3336">
        <f t="shared" si="16"/>
        <v>0</v>
      </c>
      <c r="AY16" s="3336">
        <f t="shared" si="16"/>
        <v>0</v>
      </c>
      <c r="AZ16" s="3336">
        <f t="shared" si="16"/>
        <v>0</v>
      </c>
      <c r="BA16" s="3336">
        <f t="shared" si="16"/>
        <v>10679082</v>
      </c>
      <c r="BB16" s="3336">
        <f t="shared" si="16"/>
        <v>10679082</v>
      </c>
      <c r="BC16" s="3336">
        <f t="shared" si="16"/>
        <v>10679082</v>
      </c>
      <c r="BD16" s="3336">
        <f t="shared" si="16"/>
        <v>0</v>
      </c>
      <c r="BE16" s="3336"/>
      <c r="BF16" s="3336">
        <f t="shared" ref="BF16:BM16" si="17">+SUBTOTAL(109,BF18:BF948)</f>
        <v>0</v>
      </c>
      <c r="BG16" s="3336">
        <f t="shared" si="17"/>
        <v>0</v>
      </c>
      <c r="BH16" s="3336">
        <f t="shared" si="17"/>
        <v>0</v>
      </c>
      <c r="BI16" s="3336">
        <f t="shared" si="17"/>
        <v>0</v>
      </c>
      <c r="BJ16" s="3336">
        <f t="shared" si="17"/>
        <v>0</v>
      </c>
      <c r="BK16" s="3336">
        <f t="shared" si="17"/>
        <v>9708919</v>
      </c>
      <c r="BL16" s="3336">
        <f t="shared" si="17"/>
        <v>9708919</v>
      </c>
      <c r="BM16" s="3336">
        <f t="shared" si="17"/>
        <v>9708919</v>
      </c>
      <c r="BN16" s="3339"/>
      <c r="BO16" s="3339"/>
    </row>
    <row r="17" spans="1:72">
      <c r="V17" s="2911"/>
      <c r="W17" s="2911"/>
      <c r="X17" s="2911"/>
      <c r="Y17" s="2913"/>
      <c r="AB17" s="2911"/>
      <c r="AE17" s="2911"/>
      <c r="AG17" s="2911"/>
      <c r="AH17" s="2911"/>
      <c r="AI17" s="2911"/>
      <c r="AL17" s="2908" t="s">
        <v>5801</v>
      </c>
      <c r="AQ17" s="2906" t="s">
        <v>5800</v>
      </c>
      <c r="AS17" s="2908">
        <v>0</v>
      </c>
      <c r="AT17" s="2908">
        <v>0</v>
      </c>
      <c r="AV17" s="3554" t="s">
        <v>6129</v>
      </c>
      <c r="AW17" s="3554"/>
      <c r="AX17" s="3554"/>
      <c r="AY17" s="3554"/>
      <c r="AZ17" s="3554" t="s">
        <v>5798</v>
      </c>
      <c r="BA17" s="3554"/>
      <c r="BB17" s="3554"/>
      <c r="BC17" s="3554" t="s">
        <v>5797</v>
      </c>
      <c r="BD17" s="3554" t="s">
        <v>5799</v>
      </c>
      <c r="BE17" s="3335"/>
      <c r="BF17" s="3554" t="s">
        <v>6129</v>
      </c>
      <c r="BG17" s="3554"/>
      <c r="BH17" s="3554"/>
      <c r="BI17" s="3554"/>
      <c r="BJ17" s="3554" t="s">
        <v>5798</v>
      </c>
      <c r="BK17" s="3554"/>
      <c r="BL17" s="3554"/>
      <c r="BM17" s="3554" t="s">
        <v>5797</v>
      </c>
      <c r="BN17" s="3554" t="s">
        <v>5796</v>
      </c>
      <c r="BP17" s="2912"/>
      <c r="BQ17" s="2912"/>
      <c r="BR17" s="2912"/>
      <c r="BS17" s="2912"/>
      <c r="BT17" s="2912"/>
    </row>
    <row r="18" spans="1:72">
      <c r="A18" s="2906" t="s">
        <v>5795</v>
      </c>
      <c r="B18" s="2906" t="s">
        <v>5794</v>
      </c>
      <c r="C18" s="2906" t="s">
        <v>5793</v>
      </c>
      <c r="D18" s="2906" t="s">
        <v>5792</v>
      </c>
      <c r="E18" s="2906" t="s">
        <v>5791</v>
      </c>
      <c r="F18" s="2906" t="s">
        <v>5790</v>
      </c>
      <c r="G18" s="2906" t="s">
        <v>5789</v>
      </c>
      <c r="H18" s="2906" t="s">
        <v>5788</v>
      </c>
      <c r="I18" s="2906" t="s">
        <v>5787</v>
      </c>
      <c r="J18" s="2906" t="s">
        <v>5786</v>
      </c>
      <c r="K18" s="2906" t="s">
        <v>5785</v>
      </c>
      <c r="L18" s="2906" t="s">
        <v>5784</v>
      </c>
      <c r="M18" s="2906" t="s">
        <v>5783</v>
      </c>
      <c r="N18" s="2906" t="s">
        <v>5782</v>
      </c>
      <c r="O18" s="2906" t="s">
        <v>5781</v>
      </c>
      <c r="P18" s="2906" t="s">
        <v>5780</v>
      </c>
      <c r="Q18" s="2906" t="s">
        <v>5779</v>
      </c>
      <c r="R18" s="2910" t="s">
        <v>5778</v>
      </c>
      <c r="S18" s="2906" t="s">
        <v>5777</v>
      </c>
      <c r="T18" s="2906" t="s">
        <v>5776</v>
      </c>
      <c r="U18" s="2906" t="s">
        <v>5775</v>
      </c>
      <c r="V18" s="2911" t="s">
        <v>5774</v>
      </c>
      <c r="W18" s="2911" t="s">
        <v>5773</v>
      </c>
      <c r="X18" s="2911" t="s">
        <v>5772</v>
      </c>
      <c r="Y18" s="2907" t="s">
        <v>5771</v>
      </c>
      <c r="Z18" s="2906" t="s">
        <v>5770</v>
      </c>
      <c r="AA18" s="2906" t="s">
        <v>5769</v>
      </c>
      <c r="AB18" s="2911" t="s">
        <v>5768</v>
      </c>
      <c r="AC18" s="2906" t="s">
        <v>5767</v>
      </c>
      <c r="AD18" s="2906" t="s">
        <v>5766</v>
      </c>
      <c r="AE18" s="2911" t="s">
        <v>5765</v>
      </c>
      <c r="AF18" s="2906" t="s">
        <v>5764</v>
      </c>
      <c r="AG18" s="2911" t="s">
        <v>5763</v>
      </c>
      <c r="AH18" s="2911" t="s">
        <v>5762</v>
      </c>
      <c r="AI18" s="2911" t="s">
        <v>5761</v>
      </c>
      <c r="AJ18" s="2906" t="s">
        <v>5760</v>
      </c>
      <c r="AL18" s="2909" t="s">
        <v>5759</v>
      </c>
      <c r="AM18" s="2909" t="s">
        <v>5758</v>
      </c>
      <c r="AN18" s="2910" t="s">
        <v>5757</v>
      </c>
      <c r="AO18" s="2910" t="s">
        <v>5756</v>
      </c>
      <c r="AP18" s="2909" t="s">
        <v>5755</v>
      </c>
      <c r="AQ18" s="2909" t="s">
        <v>5754</v>
      </c>
      <c r="AS18" s="2906" t="s">
        <v>5753</v>
      </c>
      <c r="AT18" s="2906" t="s">
        <v>5752</v>
      </c>
      <c r="AV18" s="3335" t="s">
        <v>5751</v>
      </c>
      <c r="AW18" s="3335" t="s">
        <v>5750</v>
      </c>
      <c r="AX18" s="3335" t="s">
        <v>6131</v>
      </c>
      <c r="AY18" s="3335" t="s">
        <v>5747</v>
      </c>
      <c r="AZ18" s="3335" t="s">
        <v>5749</v>
      </c>
      <c r="BA18" s="3335" t="s">
        <v>5748</v>
      </c>
      <c r="BB18" s="3335" t="s">
        <v>5747</v>
      </c>
      <c r="BC18" s="3554"/>
      <c r="BD18" s="3554"/>
      <c r="BE18" s="3335"/>
      <c r="BF18" s="3335" t="s">
        <v>5751</v>
      </c>
      <c r="BG18" s="3335" t="s">
        <v>5750</v>
      </c>
      <c r="BH18" s="3335" t="s">
        <v>6132</v>
      </c>
      <c r="BI18" s="3335" t="s">
        <v>5747</v>
      </c>
      <c r="BJ18" s="3335" t="s">
        <v>5749</v>
      </c>
      <c r="BK18" s="3335" t="s">
        <v>5748</v>
      </c>
      <c r="BL18" s="3335" t="s">
        <v>5747</v>
      </c>
      <c r="BM18" s="3554"/>
      <c r="BN18" s="3554"/>
      <c r="BO18" s="3337" t="s">
        <v>6549</v>
      </c>
      <c r="BP18" s="2906" t="s">
        <v>6549</v>
      </c>
      <c r="BQ18" s="2906" t="s">
        <v>6549</v>
      </c>
      <c r="BR18" s="2906" t="s">
        <v>6549</v>
      </c>
      <c r="BS18" s="2906" t="s">
        <v>6550</v>
      </c>
      <c r="BT18" s="2906" t="s">
        <v>6550</v>
      </c>
    </row>
    <row r="19" spans="1:72" s="3316" customFormat="1">
      <c r="A19" s="3316" t="s">
        <v>6252</v>
      </c>
      <c r="B19" s="3316" t="s">
        <v>6253</v>
      </c>
      <c r="C19" s="3316" t="s">
        <v>5800</v>
      </c>
      <c r="D19" s="3316" t="s">
        <v>6254</v>
      </c>
      <c r="E19" s="3316" t="s">
        <v>6255</v>
      </c>
      <c r="F19" s="3316" t="s">
        <v>6281</v>
      </c>
      <c r="G19" s="3316" t="s">
        <v>6281</v>
      </c>
      <c r="H19" s="3316" t="s">
        <v>6282</v>
      </c>
      <c r="I19" s="3316" t="s">
        <v>6283</v>
      </c>
      <c r="J19" s="3316" t="s">
        <v>6284</v>
      </c>
      <c r="K19" s="3316" t="s">
        <v>6257</v>
      </c>
      <c r="L19" s="3316" t="s">
        <v>6258</v>
      </c>
      <c r="M19" s="3316" t="s">
        <v>6252</v>
      </c>
      <c r="N19" s="3316" t="s">
        <v>6285</v>
      </c>
      <c r="O19" s="3316" t="s">
        <v>6286</v>
      </c>
      <c r="P19" s="3316" t="s">
        <v>6287</v>
      </c>
      <c r="Q19" s="3316" t="s">
        <v>6288</v>
      </c>
      <c r="R19" s="3316" t="s">
        <v>6289</v>
      </c>
      <c r="S19" s="3316" t="s">
        <v>5800</v>
      </c>
      <c r="T19" s="3316" t="s">
        <v>6290</v>
      </c>
      <c r="U19" s="3316" t="s">
        <v>6291</v>
      </c>
      <c r="V19" s="3316">
        <v>0</v>
      </c>
      <c r="W19" s="3316">
        <v>0</v>
      </c>
      <c r="X19" s="3316">
        <v>0</v>
      </c>
      <c r="Y19" s="3316">
        <v>23932</v>
      </c>
      <c r="Z19" s="3316" t="s">
        <v>6292</v>
      </c>
      <c r="AA19" s="3316" t="s">
        <v>6289</v>
      </c>
      <c r="AB19" s="3316">
        <v>23932</v>
      </c>
      <c r="AC19" s="3316" t="s">
        <v>6293</v>
      </c>
      <c r="AD19" s="3316" t="s">
        <v>6294</v>
      </c>
      <c r="AE19" s="3316">
        <v>23932</v>
      </c>
      <c r="AF19" s="3316" t="s">
        <v>6295</v>
      </c>
      <c r="AG19" s="3316" t="s">
        <v>6261</v>
      </c>
      <c r="AH19" s="3316">
        <v>1767</v>
      </c>
      <c r="AI19" s="3316">
        <v>22165</v>
      </c>
      <c r="AJ19" s="3316" t="s">
        <v>6296</v>
      </c>
      <c r="AL19" s="3316" t="s">
        <v>6297</v>
      </c>
      <c r="AM19" s="3316">
        <v>1</v>
      </c>
      <c r="AN19" s="3316">
        <v>0</v>
      </c>
      <c r="AO19" s="3316">
        <v>0</v>
      </c>
      <c r="AP19" s="3316">
        <v>0</v>
      </c>
      <c r="AQ19" s="3316" t="s">
        <v>5800</v>
      </c>
      <c r="AS19" s="3316" t="s">
        <v>6295</v>
      </c>
      <c r="AT19" s="3316" t="s">
        <v>6261</v>
      </c>
      <c r="AV19" s="3340">
        <v>0</v>
      </c>
      <c r="AW19" s="3340">
        <v>0</v>
      </c>
      <c r="AX19" s="3340">
        <v>0</v>
      </c>
      <c r="AY19" s="3340">
        <v>0</v>
      </c>
      <c r="AZ19" s="3340">
        <v>0</v>
      </c>
      <c r="BA19" s="3340">
        <v>23932</v>
      </c>
      <c r="BB19" s="3340">
        <v>23932</v>
      </c>
      <c r="BC19" s="3340">
        <v>23932</v>
      </c>
      <c r="BD19" s="3340">
        <v>0</v>
      </c>
      <c r="BE19" s="3340"/>
      <c r="BF19" s="3340">
        <v>0</v>
      </c>
      <c r="BG19" s="3340">
        <v>0</v>
      </c>
      <c r="BH19" s="3340">
        <v>0</v>
      </c>
      <c r="BI19" s="3340">
        <v>0</v>
      </c>
      <c r="BJ19" s="3340">
        <v>0</v>
      </c>
      <c r="BK19" s="3340">
        <v>22159</v>
      </c>
      <c r="BL19" s="3340">
        <v>22159</v>
      </c>
      <c r="BM19" s="3340">
        <v>22159</v>
      </c>
      <c r="BN19" s="3340"/>
      <c r="BO19" s="3340"/>
    </row>
    <row r="20" spans="1:72" s="3316" customFormat="1">
      <c r="A20" s="3316" t="s">
        <v>6252</v>
      </c>
      <c r="B20" s="3316" t="s">
        <v>6253</v>
      </c>
      <c r="C20" s="3316" t="s">
        <v>5800</v>
      </c>
      <c r="D20" s="3316" t="s">
        <v>6254</v>
      </c>
      <c r="E20" s="3316" t="s">
        <v>6255</v>
      </c>
      <c r="F20" s="3316" t="s">
        <v>6262</v>
      </c>
      <c r="G20" s="3316" t="s">
        <v>6262</v>
      </c>
      <c r="H20" s="3316" t="s">
        <v>6298</v>
      </c>
      <c r="I20" s="3316" t="s">
        <v>6299</v>
      </c>
      <c r="J20" s="3316" t="s">
        <v>6300</v>
      </c>
      <c r="K20" s="3316" t="s">
        <v>6257</v>
      </c>
      <c r="L20" s="3316" t="s">
        <v>6258</v>
      </c>
      <c r="M20" s="3316" t="s">
        <v>6252</v>
      </c>
      <c r="N20" s="3316" t="s">
        <v>6301</v>
      </c>
      <c r="O20" s="3316" t="s">
        <v>6286</v>
      </c>
      <c r="P20" s="3316" t="s">
        <v>6302</v>
      </c>
      <c r="Q20" s="3316" t="s">
        <v>6303</v>
      </c>
      <c r="R20" s="3316" t="s">
        <v>6303</v>
      </c>
      <c r="S20" s="3316" t="s">
        <v>5800</v>
      </c>
      <c r="T20" s="3316" t="s">
        <v>6304</v>
      </c>
      <c r="U20" s="3316" t="s">
        <v>6305</v>
      </c>
      <c r="V20" s="3316">
        <v>0</v>
      </c>
      <c r="W20" s="3316">
        <v>0</v>
      </c>
      <c r="X20" s="3316">
        <v>0</v>
      </c>
      <c r="Y20" s="3316">
        <v>7639</v>
      </c>
      <c r="Z20" s="3316" t="s">
        <v>6306</v>
      </c>
      <c r="AA20" s="3316" t="s">
        <v>6303</v>
      </c>
      <c r="AB20" s="3316">
        <v>7639</v>
      </c>
      <c r="AC20" s="3316" t="s">
        <v>6307</v>
      </c>
      <c r="AD20" s="3316" t="s">
        <v>6308</v>
      </c>
      <c r="AE20" s="3316">
        <v>7639</v>
      </c>
      <c r="AF20" s="3316" t="s">
        <v>6309</v>
      </c>
      <c r="AG20" s="3316" t="s">
        <v>6264</v>
      </c>
      <c r="AH20" s="3316">
        <v>694</v>
      </c>
      <c r="AI20" s="3316">
        <v>6945</v>
      </c>
      <c r="AJ20" s="3316" t="s">
        <v>5800</v>
      </c>
      <c r="AL20" s="3316" t="s">
        <v>6310</v>
      </c>
      <c r="AM20" s="3316">
        <v>1</v>
      </c>
      <c r="AN20" s="3316">
        <v>0</v>
      </c>
      <c r="AO20" s="3316">
        <v>0</v>
      </c>
      <c r="AP20" s="3316">
        <v>0</v>
      </c>
      <c r="AQ20" s="3316" t="s">
        <v>5800</v>
      </c>
      <c r="AS20" s="3316" t="s">
        <v>6309</v>
      </c>
      <c r="AT20" s="3316" t="s">
        <v>6264</v>
      </c>
      <c r="AV20" s="3340">
        <v>0</v>
      </c>
      <c r="AW20" s="3340">
        <v>0</v>
      </c>
      <c r="AX20" s="3340">
        <v>0</v>
      </c>
      <c r="AY20" s="3340">
        <v>0</v>
      </c>
      <c r="AZ20" s="3340">
        <v>0</v>
      </c>
      <c r="BA20" s="3340">
        <v>7639</v>
      </c>
      <c r="BB20" s="3340">
        <v>7639</v>
      </c>
      <c r="BC20" s="3340">
        <v>7639</v>
      </c>
      <c r="BD20" s="3340">
        <v>0</v>
      </c>
      <c r="BE20" s="3340"/>
      <c r="BF20" s="3340">
        <v>0</v>
      </c>
      <c r="BG20" s="3340">
        <v>0</v>
      </c>
      <c r="BH20" s="3340">
        <v>0</v>
      </c>
      <c r="BI20" s="3340">
        <v>0</v>
      </c>
      <c r="BJ20" s="3340">
        <v>0</v>
      </c>
      <c r="BK20" s="3340">
        <v>6945</v>
      </c>
      <c r="BL20" s="3340">
        <v>6945</v>
      </c>
      <c r="BM20" s="3340">
        <v>6945</v>
      </c>
      <c r="BN20" s="3340"/>
      <c r="BO20" s="3340"/>
    </row>
    <row r="21" spans="1:72" s="3316" customFormat="1">
      <c r="A21" s="3316" t="s">
        <v>6252</v>
      </c>
      <c r="B21" s="3316" t="s">
        <v>6253</v>
      </c>
      <c r="C21" s="3316" t="s">
        <v>5800</v>
      </c>
      <c r="D21" s="3316" t="s">
        <v>6254</v>
      </c>
      <c r="E21" s="3316" t="s">
        <v>6255</v>
      </c>
      <c r="F21" s="3316" t="s">
        <v>6262</v>
      </c>
      <c r="G21" s="3316" t="s">
        <v>6262</v>
      </c>
      <c r="H21" s="3316" t="s">
        <v>6298</v>
      </c>
      <c r="I21" s="3316" t="s">
        <v>6299</v>
      </c>
      <c r="J21" s="3316" t="s">
        <v>6311</v>
      </c>
      <c r="K21" s="3316" t="s">
        <v>6257</v>
      </c>
      <c r="L21" s="3316" t="s">
        <v>6258</v>
      </c>
      <c r="M21" s="3316" t="s">
        <v>6252</v>
      </c>
      <c r="N21" s="3316" t="s">
        <v>6301</v>
      </c>
      <c r="O21" s="3316" t="s">
        <v>6286</v>
      </c>
      <c r="P21" s="3316" t="s">
        <v>6302</v>
      </c>
      <c r="Q21" s="3316" t="s">
        <v>6303</v>
      </c>
      <c r="R21" s="3316" t="s">
        <v>6303</v>
      </c>
      <c r="S21" s="3316" t="s">
        <v>5800</v>
      </c>
      <c r="T21" s="3316" t="s">
        <v>6304</v>
      </c>
      <c r="U21" s="3316" t="s">
        <v>6305</v>
      </c>
      <c r="V21" s="3316">
        <v>0</v>
      </c>
      <c r="W21" s="3316">
        <v>0</v>
      </c>
      <c r="X21" s="3316">
        <v>0</v>
      </c>
      <c r="Y21" s="3316">
        <v>3359</v>
      </c>
      <c r="Z21" s="3316" t="s">
        <v>6306</v>
      </c>
      <c r="AA21" s="3316" t="s">
        <v>6303</v>
      </c>
      <c r="AB21" s="3316">
        <v>3359</v>
      </c>
      <c r="AC21" s="3316" t="s">
        <v>6307</v>
      </c>
      <c r="AD21" s="3316" t="s">
        <v>6308</v>
      </c>
      <c r="AE21" s="3316">
        <v>3359</v>
      </c>
      <c r="AF21" s="3316" t="s">
        <v>6309</v>
      </c>
      <c r="AG21" s="3316" t="s">
        <v>6264</v>
      </c>
      <c r="AH21" s="3316">
        <v>305</v>
      </c>
      <c r="AI21" s="3316">
        <v>3054</v>
      </c>
      <c r="AJ21" s="3316" t="s">
        <v>5800</v>
      </c>
      <c r="AL21" s="3316" t="s">
        <v>6312</v>
      </c>
      <c r="AM21" s="3316">
        <v>1</v>
      </c>
      <c r="AN21" s="3316">
        <v>0</v>
      </c>
      <c r="AO21" s="3316">
        <v>0</v>
      </c>
      <c r="AP21" s="3316">
        <v>0</v>
      </c>
      <c r="AQ21" s="3316" t="s">
        <v>5800</v>
      </c>
      <c r="AS21" s="3316" t="s">
        <v>6309</v>
      </c>
      <c r="AT21" s="3316" t="s">
        <v>6264</v>
      </c>
      <c r="AV21" s="3340">
        <v>0</v>
      </c>
      <c r="AW21" s="3340">
        <v>0</v>
      </c>
      <c r="AX21" s="3340">
        <v>0</v>
      </c>
      <c r="AY21" s="3340">
        <v>0</v>
      </c>
      <c r="AZ21" s="3340">
        <v>0</v>
      </c>
      <c r="BA21" s="3340">
        <v>3359</v>
      </c>
      <c r="BB21" s="3340">
        <v>3359</v>
      </c>
      <c r="BC21" s="3340">
        <v>3359</v>
      </c>
      <c r="BD21" s="3340">
        <v>0</v>
      </c>
      <c r="BE21" s="3340"/>
      <c r="BF21" s="3340">
        <v>0</v>
      </c>
      <c r="BG21" s="3340">
        <v>0</v>
      </c>
      <c r="BH21" s="3340">
        <v>0</v>
      </c>
      <c r="BI21" s="3340">
        <v>0</v>
      </c>
      <c r="BJ21" s="3340">
        <v>0</v>
      </c>
      <c r="BK21" s="3340">
        <v>3054</v>
      </c>
      <c r="BL21" s="3340">
        <v>3054</v>
      </c>
      <c r="BM21" s="3340">
        <v>3054</v>
      </c>
      <c r="BN21" s="3340"/>
      <c r="BO21" s="3340"/>
    </row>
    <row r="22" spans="1:72" s="3316" customFormat="1">
      <c r="A22" s="3316" t="s">
        <v>6252</v>
      </c>
      <c r="B22" s="3316" t="s">
        <v>6253</v>
      </c>
      <c r="C22" s="3316" t="s">
        <v>5800</v>
      </c>
      <c r="D22" s="3316" t="s">
        <v>6254</v>
      </c>
      <c r="E22" s="3316" t="s">
        <v>6255</v>
      </c>
      <c r="F22" s="3316" t="s">
        <v>6262</v>
      </c>
      <c r="G22" s="3316" t="s">
        <v>6262</v>
      </c>
      <c r="H22" s="3316" t="s">
        <v>6298</v>
      </c>
      <c r="I22" s="3316" t="s">
        <v>6299</v>
      </c>
      <c r="J22" s="3316" t="s">
        <v>6313</v>
      </c>
      <c r="K22" s="3316" t="s">
        <v>6257</v>
      </c>
      <c r="L22" s="3316" t="s">
        <v>6258</v>
      </c>
      <c r="M22" s="3316" t="s">
        <v>6252</v>
      </c>
      <c r="N22" s="3316" t="s">
        <v>6301</v>
      </c>
      <c r="O22" s="3316" t="s">
        <v>6286</v>
      </c>
      <c r="P22" s="3316" t="s">
        <v>6302</v>
      </c>
      <c r="Q22" s="3316" t="s">
        <v>6303</v>
      </c>
      <c r="R22" s="3316" t="s">
        <v>6303</v>
      </c>
      <c r="S22" s="3316" t="s">
        <v>5800</v>
      </c>
      <c r="T22" s="3316" t="s">
        <v>6304</v>
      </c>
      <c r="U22" s="3316" t="s">
        <v>6305</v>
      </c>
      <c r="V22" s="3316">
        <v>0</v>
      </c>
      <c r="W22" s="3316">
        <v>0</v>
      </c>
      <c r="X22" s="3316">
        <v>0</v>
      </c>
      <c r="Y22" s="3316">
        <v>465</v>
      </c>
      <c r="Z22" s="3316" t="s">
        <v>6306</v>
      </c>
      <c r="AA22" s="3316" t="s">
        <v>6303</v>
      </c>
      <c r="AB22" s="3316">
        <v>465</v>
      </c>
      <c r="AC22" s="3316" t="s">
        <v>6307</v>
      </c>
      <c r="AD22" s="3316" t="s">
        <v>6308</v>
      </c>
      <c r="AE22" s="3316">
        <v>465</v>
      </c>
      <c r="AF22" s="3316" t="s">
        <v>6309</v>
      </c>
      <c r="AG22" s="3316" t="s">
        <v>6264</v>
      </c>
      <c r="AH22" s="3316">
        <v>42</v>
      </c>
      <c r="AI22" s="3316">
        <v>423</v>
      </c>
      <c r="AJ22" s="3316" t="s">
        <v>5800</v>
      </c>
      <c r="AL22" s="3316" t="s">
        <v>6314</v>
      </c>
      <c r="AM22" s="3316">
        <v>1</v>
      </c>
      <c r="AN22" s="3316">
        <v>0</v>
      </c>
      <c r="AO22" s="3316">
        <v>0</v>
      </c>
      <c r="AP22" s="3316">
        <v>0</v>
      </c>
      <c r="AQ22" s="3316" t="s">
        <v>5800</v>
      </c>
      <c r="AS22" s="3316" t="s">
        <v>6309</v>
      </c>
      <c r="AT22" s="3316" t="s">
        <v>6264</v>
      </c>
      <c r="AV22" s="3340">
        <v>0</v>
      </c>
      <c r="AW22" s="3340">
        <v>0</v>
      </c>
      <c r="AX22" s="3340">
        <v>0</v>
      </c>
      <c r="AY22" s="3340">
        <v>0</v>
      </c>
      <c r="AZ22" s="3340">
        <v>0</v>
      </c>
      <c r="BA22" s="3340">
        <v>465</v>
      </c>
      <c r="BB22" s="3340">
        <v>465</v>
      </c>
      <c r="BC22" s="3340">
        <v>465</v>
      </c>
      <c r="BD22" s="3340">
        <v>0</v>
      </c>
      <c r="BE22" s="3340"/>
      <c r="BF22" s="3340">
        <v>0</v>
      </c>
      <c r="BG22" s="3340">
        <v>0</v>
      </c>
      <c r="BH22" s="3340">
        <v>0</v>
      </c>
      <c r="BI22" s="3340">
        <v>0</v>
      </c>
      <c r="BJ22" s="3340">
        <v>0</v>
      </c>
      <c r="BK22" s="3340">
        <v>423</v>
      </c>
      <c r="BL22" s="3340">
        <v>423</v>
      </c>
      <c r="BM22" s="3340">
        <v>423</v>
      </c>
      <c r="BN22" s="3340"/>
      <c r="BO22" s="3340"/>
    </row>
    <row r="23" spans="1:72" s="3316" customFormat="1">
      <c r="A23" s="3316" t="s">
        <v>6252</v>
      </c>
      <c r="B23" s="3316" t="s">
        <v>6253</v>
      </c>
      <c r="C23" s="3316" t="s">
        <v>5800</v>
      </c>
      <c r="D23" s="3316" t="s">
        <v>6254</v>
      </c>
      <c r="E23" s="3316" t="s">
        <v>6255</v>
      </c>
      <c r="F23" s="3316" t="s">
        <v>6275</v>
      </c>
      <c r="G23" s="3316" t="s">
        <v>6275</v>
      </c>
      <c r="H23" s="3316" t="s">
        <v>6315</v>
      </c>
      <c r="I23" s="3316" t="s">
        <v>6299</v>
      </c>
      <c r="J23" s="3316" t="s">
        <v>6316</v>
      </c>
      <c r="K23" s="3316" t="s">
        <v>6257</v>
      </c>
      <c r="L23" s="3316" t="s">
        <v>6258</v>
      </c>
      <c r="M23" s="3316" t="s">
        <v>6252</v>
      </c>
      <c r="N23" s="3316" t="s">
        <v>6301</v>
      </c>
      <c r="O23" s="3316" t="s">
        <v>6286</v>
      </c>
      <c r="P23" s="3316" t="s">
        <v>6302</v>
      </c>
      <c r="Q23" s="3316" t="s">
        <v>6303</v>
      </c>
      <c r="R23" s="3316" t="s">
        <v>6303</v>
      </c>
      <c r="S23" s="3316" t="s">
        <v>5800</v>
      </c>
      <c r="T23" s="3316" t="s">
        <v>6304</v>
      </c>
      <c r="U23" s="3316" t="s">
        <v>6305</v>
      </c>
      <c r="V23" s="3316">
        <v>0</v>
      </c>
      <c r="W23" s="3316">
        <v>0</v>
      </c>
      <c r="X23" s="3316">
        <v>0</v>
      </c>
      <c r="Y23" s="3316">
        <v>797</v>
      </c>
      <c r="Z23" s="3316" t="s">
        <v>6306</v>
      </c>
      <c r="AA23" s="3316" t="s">
        <v>6303</v>
      </c>
      <c r="AB23" s="3316">
        <v>797</v>
      </c>
      <c r="AC23" s="3316" t="s">
        <v>6307</v>
      </c>
      <c r="AD23" s="3316" t="s">
        <v>6308</v>
      </c>
      <c r="AE23" s="3316">
        <v>797</v>
      </c>
      <c r="AF23" s="3316" t="s">
        <v>6309</v>
      </c>
      <c r="AG23" s="3316" t="s">
        <v>6264</v>
      </c>
      <c r="AH23" s="3316">
        <v>72</v>
      </c>
      <c r="AI23" s="3316">
        <v>725</v>
      </c>
      <c r="AJ23" s="3316" t="s">
        <v>5800</v>
      </c>
      <c r="AL23" s="3316" t="s">
        <v>6317</v>
      </c>
      <c r="AM23" s="3316">
        <v>1</v>
      </c>
      <c r="AN23" s="3316">
        <v>0</v>
      </c>
      <c r="AO23" s="3316">
        <v>0</v>
      </c>
      <c r="AP23" s="3316">
        <v>0</v>
      </c>
      <c r="AQ23" s="3316" t="s">
        <v>5800</v>
      </c>
      <c r="AS23" s="3316" t="s">
        <v>6309</v>
      </c>
      <c r="AT23" s="3316" t="s">
        <v>6264</v>
      </c>
      <c r="AV23" s="3340">
        <v>0</v>
      </c>
      <c r="AW23" s="3340">
        <v>0</v>
      </c>
      <c r="AX23" s="3340">
        <v>0</v>
      </c>
      <c r="AY23" s="3340">
        <v>0</v>
      </c>
      <c r="AZ23" s="3340">
        <v>0</v>
      </c>
      <c r="BA23" s="3340">
        <v>797</v>
      </c>
      <c r="BB23" s="3340">
        <v>797</v>
      </c>
      <c r="BC23" s="3340">
        <v>797</v>
      </c>
      <c r="BD23" s="3340">
        <v>0</v>
      </c>
      <c r="BE23" s="3340"/>
      <c r="BF23" s="3340">
        <v>0</v>
      </c>
      <c r="BG23" s="3340">
        <v>0</v>
      </c>
      <c r="BH23" s="3340">
        <v>0</v>
      </c>
      <c r="BI23" s="3340">
        <v>0</v>
      </c>
      <c r="BJ23" s="3340">
        <v>0</v>
      </c>
      <c r="BK23" s="3340">
        <v>725</v>
      </c>
      <c r="BL23" s="3340">
        <v>725</v>
      </c>
      <c r="BM23" s="3340">
        <v>725</v>
      </c>
      <c r="BN23" s="3340"/>
      <c r="BO23" s="3340"/>
    </row>
    <row r="24" spans="1:72" s="3316" customFormat="1">
      <c r="A24" s="3316" t="s">
        <v>6252</v>
      </c>
      <c r="B24" s="3316" t="s">
        <v>6253</v>
      </c>
      <c r="C24" s="3316" t="s">
        <v>5800</v>
      </c>
      <c r="D24" s="3316" t="s">
        <v>6254</v>
      </c>
      <c r="E24" s="3316" t="s">
        <v>6255</v>
      </c>
      <c r="F24" s="3316" t="s">
        <v>6275</v>
      </c>
      <c r="G24" s="3316" t="s">
        <v>6275</v>
      </c>
      <c r="H24" s="3316" t="s">
        <v>6315</v>
      </c>
      <c r="I24" s="3316" t="s">
        <v>6299</v>
      </c>
      <c r="J24" s="3316" t="s">
        <v>6318</v>
      </c>
      <c r="K24" s="3316" t="s">
        <v>6257</v>
      </c>
      <c r="L24" s="3316" t="s">
        <v>6258</v>
      </c>
      <c r="M24" s="3316" t="s">
        <v>6252</v>
      </c>
      <c r="N24" s="3316" t="s">
        <v>6301</v>
      </c>
      <c r="O24" s="3316" t="s">
        <v>6286</v>
      </c>
      <c r="P24" s="3316" t="s">
        <v>6302</v>
      </c>
      <c r="Q24" s="3316" t="s">
        <v>6303</v>
      </c>
      <c r="R24" s="3316" t="s">
        <v>6303</v>
      </c>
      <c r="S24" s="3316" t="s">
        <v>5800</v>
      </c>
      <c r="T24" s="3316" t="s">
        <v>6304</v>
      </c>
      <c r="U24" s="3316" t="s">
        <v>6305</v>
      </c>
      <c r="V24" s="3316">
        <v>0</v>
      </c>
      <c r="W24" s="3316">
        <v>0</v>
      </c>
      <c r="X24" s="3316">
        <v>0</v>
      </c>
      <c r="Y24" s="3316">
        <v>377</v>
      </c>
      <c r="Z24" s="3316" t="s">
        <v>6306</v>
      </c>
      <c r="AA24" s="3316" t="s">
        <v>6303</v>
      </c>
      <c r="AB24" s="3316">
        <v>377</v>
      </c>
      <c r="AC24" s="3316" t="s">
        <v>6307</v>
      </c>
      <c r="AD24" s="3316" t="s">
        <v>6308</v>
      </c>
      <c r="AE24" s="3316">
        <v>377</v>
      </c>
      <c r="AF24" s="3316" t="s">
        <v>6309</v>
      </c>
      <c r="AG24" s="3316" t="s">
        <v>6264</v>
      </c>
      <c r="AH24" s="3316">
        <v>32</v>
      </c>
      <c r="AI24" s="3316">
        <v>345</v>
      </c>
      <c r="AJ24" s="3316" t="s">
        <v>5800</v>
      </c>
      <c r="AL24" s="3316" t="s">
        <v>6319</v>
      </c>
      <c r="AM24" s="3316">
        <v>1</v>
      </c>
      <c r="AN24" s="3316">
        <v>0</v>
      </c>
      <c r="AO24" s="3316">
        <v>0</v>
      </c>
      <c r="AP24" s="3316">
        <v>0</v>
      </c>
      <c r="AQ24" s="3316" t="s">
        <v>5800</v>
      </c>
      <c r="AS24" s="3316" t="s">
        <v>6309</v>
      </c>
      <c r="AT24" s="3316" t="s">
        <v>6264</v>
      </c>
      <c r="AV24" s="3340">
        <v>0</v>
      </c>
      <c r="AW24" s="3340">
        <v>0</v>
      </c>
      <c r="AX24" s="3340">
        <v>0</v>
      </c>
      <c r="AY24" s="3340">
        <v>0</v>
      </c>
      <c r="AZ24" s="3340">
        <v>0</v>
      </c>
      <c r="BA24" s="3340">
        <v>377</v>
      </c>
      <c r="BB24" s="3340">
        <v>377</v>
      </c>
      <c r="BC24" s="3340">
        <v>377</v>
      </c>
      <c r="BD24" s="3340">
        <v>0</v>
      </c>
      <c r="BE24" s="3340"/>
      <c r="BF24" s="3340">
        <v>0</v>
      </c>
      <c r="BG24" s="3340">
        <v>0</v>
      </c>
      <c r="BH24" s="3340">
        <v>0</v>
      </c>
      <c r="BI24" s="3340">
        <v>0</v>
      </c>
      <c r="BJ24" s="3340">
        <v>0</v>
      </c>
      <c r="BK24" s="3340">
        <v>343</v>
      </c>
      <c r="BL24" s="3340">
        <v>343</v>
      </c>
      <c r="BM24" s="3340">
        <v>343</v>
      </c>
      <c r="BN24" s="3340"/>
      <c r="BO24" s="3340"/>
    </row>
    <row r="25" spans="1:72" s="3316" customFormat="1">
      <c r="A25" s="3316" t="s">
        <v>6252</v>
      </c>
      <c r="B25" s="3316" t="s">
        <v>6253</v>
      </c>
      <c r="C25" s="3316" t="s">
        <v>5800</v>
      </c>
      <c r="D25" s="3316" t="s">
        <v>6254</v>
      </c>
      <c r="E25" s="3316" t="s">
        <v>6255</v>
      </c>
      <c r="F25" s="3316" t="s">
        <v>6275</v>
      </c>
      <c r="G25" s="3316" t="s">
        <v>6275</v>
      </c>
      <c r="H25" s="3316" t="s">
        <v>6315</v>
      </c>
      <c r="I25" s="3316" t="s">
        <v>6299</v>
      </c>
      <c r="J25" s="3316" t="s">
        <v>6320</v>
      </c>
      <c r="K25" s="3316" t="s">
        <v>6257</v>
      </c>
      <c r="L25" s="3316" t="s">
        <v>6258</v>
      </c>
      <c r="M25" s="3316" t="s">
        <v>6252</v>
      </c>
      <c r="N25" s="3316" t="s">
        <v>6301</v>
      </c>
      <c r="O25" s="3316" t="s">
        <v>6286</v>
      </c>
      <c r="P25" s="3316" t="s">
        <v>6302</v>
      </c>
      <c r="Q25" s="3316" t="s">
        <v>6303</v>
      </c>
      <c r="R25" s="3316" t="s">
        <v>6303</v>
      </c>
      <c r="S25" s="3316" t="s">
        <v>5800</v>
      </c>
      <c r="T25" s="3316" t="s">
        <v>6304</v>
      </c>
      <c r="U25" s="3316" t="s">
        <v>6305</v>
      </c>
      <c r="V25" s="3316">
        <v>0</v>
      </c>
      <c r="W25" s="3316">
        <v>0</v>
      </c>
      <c r="X25" s="3316">
        <v>0</v>
      </c>
      <c r="Y25" s="3316">
        <v>1117</v>
      </c>
      <c r="Z25" s="3316" t="s">
        <v>6306</v>
      </c>
      <c r="AA25" s="3316" t="s">
        <v>6303</v>
      </c>
      <c r="AB25" s="3316">
        <v>1117</v>
      </c>
      <c r="AC25" s="3316" t="s">
        <v>6307</v>
      </c>
      <c r="AD25" s="3316" t="s">
        <v>6308</v>
      </c>
      <c r="AE25" s="3316">
        <v>1117</v>
      </c>
      <c r="AF25" s="3316" t="s">
        <v>6309</v>
      </c>
      <c r="AG25" s="3316" t="s">
        <v>6264</v>
      </c>
      <c r="AH25" s="3316">
        <v>101</v>
      </c>
      <c r="AI25" s="3316">
        <v>1016</v>
      </c>
      <c r="AJ25" s="3316" t="s">
        <v>5800</v>
      </c>
      <c r="AL25" s="3316" t="s">
        <v>6321</v>
      </c>
      <c r="AM25" s="3316">
        <v>1</v>
      </c>
      <c r="AN25" s="3316">
        <v>0</v>
      </c>
      <c r="AO25" s="3316">
        <v>0</v>
      </c>
      <c r="AP25" s="3316">
        <v>0</v>
      </c>
      <c r="AQ25" s="3316" t="s">
        <v>5800</v>
      </c>
      <c r="AS25" s="3316" t="s">
        <v>6309</v>
      </c>
      <c r="AT25" s="3316" t="s">
        <v>6264</v>
      </c>
      <c r="AV25" s="3340">
        <v>0</v>
      </c>
      <c r="AW25" s="3340">
        <v>0</v>
      </c>
      <c r="AX25" s="3340">
        <v>0</v>
      </c>
      <c r="AY25" s="3340">
        <v>0</v>
      </c>
      <c r="AZ25" s="3340">
        <v>0</v>
      </c>
      <c r="BA25" s="3340">
        <v>1117</v>
      </c>
      <c r="BB25" s="3340">
        <v>1117</v>
      </c>
      <c r="BC25" s="3340">
        <v>1117</v>
      </c>
      <c r="BD25" s="3340">
        <v>0</v>
      </c>
      <c r="BE25" s="3340"/>
      <c r="BF25" s="3340">
        <v>0</v>
      </c>
      <c r="BG25" s="3340">
        <v>0</v>
      </c>
      <c r="BH25" s="3340">
        <v>0</v>
      </c>
      <c r="BI25" s="3340">
        <v>0</v>
      </c>
      <c r="BJ25" s="3340">
        <v>0</v>
      </c>
      <c r="BK25" s="3340">
        <v>1015</v>
      </c>
      <c r="BL25" s="3340">
        <v>1015</v>
      </c>
      <c r="BM25" s="3340">
        <v>1015</v>
      </c>
      <c r="BN25" s="3340"/>
      <c r="BO25" s="3340"/>
    </row>
    <row r="26" spans="1:72" s="3316" customFormat="1">
      <c r="A26" s="3316" t="s">
        <v>6252</v>
      </c>
      <c r="B26" s="3316" t="s">
        <v>6253</v>
      </c>
      <c r="C26" s="3316" t="s">
        <v>5800</v>
      </c>
      <c r="D26" s="3316" t="s">
        <v>6254</v>
      </c>
      <c r="E26" s="3316" t="s">
        <v>6255</v>
      </c>
      <c r="F26" s="3316" t="s">
        <v>6265</v>
      </c>
      <c r="G26" s="3316" t="s">
        <v>6265</v>
      </c>
      <c r="H26" s="3316" t="s">
        <v>6322</v>
      </c>
      <c r="I26" s="3316" t="s">
        <v>6299</v>
      </c>
      <c r="J26" s="3316" t="s">
        <v>6323</v>
      </c>
      <c r="K26" s="3316" t="s">
        <v>6257</v>
      </c>
      <c r="L26" s="3316" t="s">
        <v>6258</v>
      </c>
      <c r="M26" s="3316" t="s">
        <v>6252</v>
      </c>
      <c r="N26" s="3316" t="s">
        <v>6301</v>
      </c>
      <c r="O26" s="3316" t="s">
        <v>6286</v>
      </c>
      <c r="P26" s="3316" t="s">
        <v>6302</v>
      </c>
      <c r="Q26" s="3316" t="s">
        <v>6303</v>
      </c>
      <c r="R26" s="3316" t="s">
        <v>6303</v>
      </c>
      <c r="S26" s="3316" t="s">
        <v>5800</v>
      </c>
      <c r="T26" s="3316" t="s">
        <v>6304</v>
      </c>
      <c r="U26" s="3316" t="s">
        <v>6305</v>
      </c>
      <c r="V26" s="3316">
        <v>0</v>
      </c>
      <c r="W26" s="3316">
        <v>0</v>
      </c>
      <c r="X26" s="3316">
        <v>0</v>
      </c>
      <c r="Y26" s="3316">
        <v>455</v>
      </c>
      <c r="Z26" s="3316" t="s">
        <v>6306</v>
      </c>
      <c r="AA26" s="3316" t="s">
        <v>6303</v>
      </c>
      <c r="AB26" s="3316">
        <v>455</v>
      </c>
      <c r="AC26" s="3316" t="s">
        <v>6307</v>
      </c>
      <c r="AD26" s="3316" t="s">
        <v>6308</v>
      </c>
      <c r="AE26" s="3316">
        <v>455</v>
      </c>
      <c r="AF26" s="3316" t="s">
        <v>6309</v>
      </c>
      <c r="AG26" s="3316" t="s">
        <v>6264</v>
      </c>
      <c r="AH26" s="3316">
        <v>41</v>
      </c>
      <c r="AI26" s="3316">
        <v>414</v>
      </c>
      <c r="AJ26" s="3316" t="s">
        <v>5800</v>
      </c>
      <c r="AL26" s="3316" t="s">
        <v>6324</v>
      </c>
      <c r="AM26" s="3316">
        <v>1</v>
      </c>
      <c r="AN26" s="3316">
        <v>0</v>
      </c>
      <c r="AO26" s="3316">
        <v>0</v>
      </c>
      <c r="AP26" s="3316">
        <v>0</v>
      </c>
      <c r="AQ26" s="3316" t="s">
        <v>5800</v>
      </c>
      <c r="AS26" s="3316" t="s">
        <v>6309</v>
      </c>
      <c r="AT26" s="3316" t="s">
        <v>6264</v>
      </c>
      <c r="AV26" s="3340">
        <v>0</v>
      </c>
      <c r="AW26" s="3340">
        <v>0</v>
      </c>
      <c r="AX26" s="3340">
        <v>0</v>
      </c>
      <c r="AY26" s="3340">
        <v>0</v>
      </c>
      <c r="AZ26" s="3340">
        <v>0</v>
      </c>
      <c r="BA26" s="3340">
        <v>455</v>
      </c>
      <c r="BB26" s="3340">
        <v>455</v>
      </c>
      <c r="BC26" s="3340">
        <v>455</v>
      </c>
      <c r="BD26" s="3340">
        <v>0</v>
      </c>
      <c r="BE26" s="3340"/>
      <c r="BF26" s="3340">
        <v>0</v>
      </c>
      <c r="BG26" s="3340">
        <v>0</v>
      </c>
      <c r="BH26" s="3340">
        <v>0</v>
      </c>
      <c r="BI26" s="3340">
        <v>0</v>
      </c>
      <c r="BJ26" s="3340">
        <v>0</v>
      </c>
      <c r="BK26" s="3340">
        <v>414</v>
      </c>
      <c r="BL26" s="3340">
        <v>414</v>
      </c>
      <c r="BM26" s="3340">
        <v>414</v>
      </c>
      <c r="BN26" s="3340"/>
      <c r="BO26" s="3340"/>
    </row>
    <row r="27" spans="1:72" s="3316" customFormat="1">
      <c r="A27" s="3316" t="s">
        <v>6252</v>
      </c>
      <c r="B27" s="3316" t="s">
        <v>6253</v>
      </c>
      <c r="C27" s="3316" t="s">
        <v>5800</v>
      </c>
      <c r="D27" s="3316" t="s">
        <v>6254</v>
      </c>
      <c r="E27" s="3316" t="s">
        <v>6255</v>
      </c>
      <c r="F27" s="3316" t="s">
        <v>6265</v>
      </c>
      <c r="G27" s="3316" t="s">
        <v>6265</v>
      </c>
      <c r="H27" s="3316" t="s">
        <v>6322</v>
      </c>
      <c r="I27" s="3316" t="s">
        <v>6299</v>
      </c>
      <c r="J27" s="3316" t="s">
        <v>6325</v>
      </c>
      <c r="K27" s="3316" t="s">
        <v>6257</v>
      </c>
      <c r="L27" s="3316" t="s">
        <v>6258</v>
      </c>
      <c r="M27" s="3316" t="s">
        <v>6252</v>
      </c>
      <c r="N27" s="3316" t="s">
        <v>6301</v>
      </c>
      <c r="O27" s="3316" t="s">
        <v>6286</v>
      </c>
      <c r="P27" s="3316" t="s">
        <v>6302</v>
      </c>
      <c r="Q27" s="3316" t="s">
        <v>6303</v>
      </c>
      <c r="R27" s="3316" t="s">
        <v>6303</v>
      </c>
      <c r="S27" s="3316" t="s">
        <v>5800</v>
      </c>
      <c r="T27" s="3316" t="s">
        <v>6304</v>
      </c>
      <c r="U27" s="3316" t="s">
        <v>6305</v>
      </c>
      <c r="V27" s="3316">
        <v>0</v>
      </c>
      <c r="W27" s="3316">
        <v>0</v>
      </c>
      <c r="X27" s="3316">
        <v>0</v>
      </c>
      <c r="Y27" s="3316">
        <v>119045</v>
      </c>
      <c r="Z27" s="3316" t="s">
        <v>6306</v>
      </c>
      <c r="AA27" s="3316" t="s">
        <v>6303</v>
      </c>
      <c r="AB27" s="3316">
        <v>119045</v>
      </c>
      <c r="AC27" s="3316" t="s">
        <v>6307</v>
      </c>
      <c r="AD27" s="3316" t="s">
        <v>6308</v>
      </c>
      <c r="AE27" s="3316">
        <v>119045</v>
      </c>
      <c r="AF27" s="3316" t="s">
        <v>6309</v>
      </c>
      <c r="AG27" s="3316" t="s">
        <v>6264</v>
      </c>
      <c r="AH27" s="3316">
        <v>10822</v>
      </c>
      <c r="AI27" s="3316">
        <v>108223</v>
      </c>
      <c r="AJ27" s="3316" t="s">
        <v>5800</v>
      </c>
      <c r="AL27" s="3316" t="s">
        <v>6326</v>
      </c>
      <c r="AM27" s="3316">
        <v>1</v>
      </c>
      <c r="AN27" s="3316">
        <v>0</v>
      </c>
      <c r="AO27" s="3316">
        <v>0</v>
      </c>
      <c r="AP27" s="3316">
        <v>0</v>
      </c>
      <c r="AQ27" s="3316" t="s">
        <v>5800</v>
      </c>
      <c r="AS27" s="3316" t="s">
        <v>6309</v>
      </c>
      <c r="AT27" s="3316" t="s">
        <v>6264</v>
      </c>
      <c r="AV27" s="3340">
        <v>0</v>
      </c>
      <c r="AW27" s="3340">
        <v>0</v>
      </c>
      <c r="AX27" s="3340">
        <v>0</v>
      </c>
      <c r="AY27" s="3340">
        <v>0</v>
      </c>
      <c r="AZ27" s="3340">
        <v>0</v>
      </c>
      <c r="BA27" s="3340">
        <v>119045</v>
      </c>
      <c r="BB27" s="3340">
        <v>119045</v>
      </c>
      <c r="BC27" s="3340">
        <v>119045</v>
      </c>
      <c r="BD27" s="3340">
        <v>0</v>
      </c>
      <c r="BE27" s="3340"/>
      <c r="BF27" s="3340">
        <v>0</v>
      </c>
      <c r="BG27" s="3340">
        <v>0</v>
      </c>
      <c r="BH27" s="3340">
        <v>0</v>
      </c>
      <c r="BI27" s="3340">
        <v>0</v>
      </c>
      <c r="BJ27" s="3340">
        <v>0</v>
      </c>
      <c r="BK27" s="3340">
        <v>108223</v>
      </c>
      <c r="BL27" s="3340">
        <v>108223</v>
      </c>
      <c r="BM27" s="3340">
        <v>108223</v>
      </c>
      <c r="BN27" s="3340"/>
      <c r="BO27" s="3340"/>
    </row>
    <row r="28" spans="1:72" s="3316" customFormat="1">
      <c r="A28" s="3316" t="s">
        <v>6252</v>
      </c>
      <c r="B28" s="3316" t="s">
        <v>6253</v>
      </c>
      <c r="C28" s="3316" t="s">
        <v>5800</v>
      </c>
      <c r="D28" s="3316" t="s">
        <v>6254</v>
      </c>
      <c r="E28" s="3316" t="s">
        <v>6255</v>
      </c>
      <c r="F28" s="3316" t="s">
        <v>6270</v>
      </c>
      <c r="G28" s="3316" t="s">
        <v>6270</v>
      </c>
      <c r="H28" s="3316" t="s">
        <v>6327</v>
      </c>
      <c r="I28" s="3316" t="s">
        <v>6299</v>
      </c>
      <c r="J28" s="3316" t="s">
        <v>6328</v>
      </c>
      <c r="K28" s="3316" t="s">
        <v>6257</v>
      </c>
      <c r="L28" s="3316" t="s">
        <v>6258</v>
      </c>
      <c r="M28" s="3316" t="s">
        <v>6252</v>
      </c>
      <c r="N28" s="3316" t="s">
        <v>6301</v>
      </c>
      <c r="O28" s="3316" t="s">
        <v>6286</v>
      </c>
      <c r="P28" s="3316" t="s">
        <v>6302</v>
      </c>
      <c r="Q28" s="3316" t="s">
        <v>6303</v>
      </c>
      <c r="R28" s="3316" t="s">
        <v>6303</v>
      </c>
      <c r="S28" s="3316" t="s">
        <v>5800</v>
      </c>
      <c r="T28" s="3316" t="s">
        <v>6304</v>
      </c>
      <c r="U28" s="3316" t="s">
        <v>6305</v>
      </c>
      <c r="V28" s="3316">
        <v>0</v>
      </c>
      <c r="W28" s="3316">
        <v>0</v>
      </c>
      <c r="X28" s="3316">
        <v>0</v>
      </c>
      <c r="Y28" s="3316">
        <v>46834</v>
      </c>
      <c r="Z28" s="3316" t="s">
        <v>6306</v>
      </c>
      <c r="AA28" s="3316" t="s">
        <v>6303</v>
      </c>
      <c r="AB28" s="3316">
        <v>46834</v>
      </c>
      <c r="AC28" s="3316" t="s">
        <v>6307</v>
      </c>
      <c r="AD28" s="3316" t="s">
        <v>6308</v>
      </c>
      <c r="AE28" s="3316">
        <v>46834</v>
      </c>
      <c r="AF28" s="3316" t="s">
        <v>6309</v>
      </c>
      <c r="AG28" s="3316" t="s">
        <v>6264</v>
      </c>
      <c r="AH28" s="3316">
        <v>4257</v>
      </c>
      <c r="AI28" s="3316">
        <v>42577</v>
      </c>
      <c r="AJ28" s="3316" t="s">
        <v>5800</v>
      </c>
      <c r="AL28" s="3316" t="s">
        <v>6329</v>
      </c>
      <c r="AM28" s="3316">
        <v>1</v>
      </c>
      <c r="AN28" s="3316">
        <v>0</v>
      </c>
      <c r="AO28" s="3316">
        <v>0</v>
      </c>
      <c r="AP28" s="3316">
        <v>0</v>
      </c>
      <c r="AQ28" s="3316" t="s">
        <v>5800</v>
      </c>
      <c r="AS28" s="3316" t="s">
        <v>6309</v>
      </c>
      <c r="AT28" s="3316" t="s">
        <v>6264</v>
      </c>
      <c r="AV28" s="3340">
        <v>0</v>
      </c>
      <c r="AW28" s="3340">
        <v>0</v>
      </c>
      <c r="AX28" s="3340">
        <v>0</v>
      </c>
      <c r="AY28" s="3340">
        <v>0</v>
      </c>
      <c r="AZ28" s="3340">
        <v>0</v>
      </c>
      <c r="BA28" s="3340">
        <v>46834</v>
      </c>
      <c r="BB28" s="3340">
        <v>46834</v>
      </c>
      <c r="BC28" s="3340">
        <v>46834</v>
      </c>
      <c r="BD28" s="3340">
        <v>0</v>
      </c>
      <c r="BE28" s="3340"/>
      <c r="BF28" s="3340">
        <v>0</v>
      </c>
      <c r="BG28" s="3340">
        <v>0</v>
      </c>
      <c r="BH28" s="3340">
        <v>0</v>
      </c>
      <c r="BI28" s="3340">
        <v>0</v>
      </c>
      <c r="BJ28" s="3340">
        <v>0</v>
      </c>
      <c r="BK28" s="3340">
        <v>42576</v>
      </c>
      <c r="BL28" s="3340">
        <v>42576</v>
      </c>
      <c r="BM28" s="3340">
        <v>42576</v>
      </c>
      <c r="BN28" s="3340"/>
      <c r="BO28" s="3340"/>
    </row>
    <row r="29" spans="1:72" s="3316" customFormat="1">
      <c r="A29" s="3316" t="s">
        <v>6252</v>
      </c>
      <c r="B29" s="3316" t="s">
        <v>6253</v>
      </c>
      <c r="C29" s="3316" t="s">
        <v>5800</v>
      </c>
      <c r="D29" s="3316" t="s">
        <v>6254</v>
      </c>
      <c r="E29" s="3316" t="s">
        <v>6255</v>
      </c>
      <c r="F29" s="3316" t="s">
        <v>6270</v>
      </c>
      <c r="G29" s="3316" t="s">
        <v>6270</v>
      </c>
      <c r="H29" s="3316" t="s">
        <v>6327</v>
      </c>
      <c r="I29" s="3316" t="s">
        <v>6299</v>
      </c>
      <c r="J29" s="3316" t="s">
        <v>6330</v>
      </c>
      <c r="K29" s="3316" t="s">
        <v>6257</v>
      </c>
      <c r="L29" s="3316" t="s">
        <v>6258</v>
      </c>
      <c r="M29" s="3316" t="s">
        <v>6252</v>
      </c>
      <c r="N29" s="3316" t="s">
        <v>6301</v>
      </c>
      <c r="O29" s="3316" t="s">
        <v>6286</v>
      </c>
      <c r="P29" s="3316" t="s">
        <v>6302</v>
      </c>
      <c r="Q29" s="3316" t="s">
        <v>6303</v>
      </c>
      <c r="R29" s="3316" t="s">
        <v>6303</v>
      </c>
      <c r="S29" s="3316" t="s">
        <v>5800</v>
      </c>
      <c r="T29" s="3316" t="s">
        <v>6304</v>
      </c>
      <c r="U29" s="3316" t="s">
        <v>6305</v>
      </c>
      <c r="V29" s="3316">
        <v>0</v>
      </c>
      <c r="W29" s="3316">
        <v>0</v>
      </c>
      <c r="X29" s="3316">
        <v>0</v>
      </c>
      <c r="Y29" s="3316">
        <v>139433</v>
      </c>
      <c r="Z29" s="3316" t="s">
        <v>6306</v>
      </c>
      <c r="AA29" s="3316" t="s">
        <v>6303</v>
      </c>
      <c r="AB29" s="3316">
        <v>139433</v>
      </c>
      <c r="AC29" s="3316" t="s">
        <v>6307</v>
      </c>
      <c r="AD29" s="3316" t="s">
        <v>6308</v>
      </c>
      <c r="AE29" s="3316">
        <v>139433</v>
      </c>
      <c r="AF29" s="3316" t="s">
        <v>6309</v>
      </c>
      <c r="AG29" s="3316" t="s">
        <v>6264</v>
      </c>
      <c r="AH29" s="3316">
        <v>12675</v>
      </c>
      <c r="AI29" s="3316">
        <v>126758</v>
      </c>
      <c r="AJ29" s="3316" t="s">
        <v>5800</v>
      </c>
      <c r="AL29" s="3316" t="s">
        <v>6331</v>
      </c>
      <c r="AM29" s="3316">
        <v>1</v>
      </c>
      <c r="AN29" s="3316">
        <v>0</v>
      </c>
      <c r="AO29" s="3316">
        <v>0</v>
      </c>
      <c r="AP29" s="3316">
        <v>0</v>
      </c>
      <c r="AQ29" s="3316" t="s">
        <v>5800</v>
      </c>
      <c r="AS29" s="3316" t="s">
        <v>6309</v>
      </c>
      <c r="AT29" s="3316" t="s">
        <v>6264</v>
      </c>
      <c r="AV29" s="3340">
        <v>0</v>
      </c>
      <c r="AW29" s="3340">
        <v>0</v>
      </c>
      <c r="AX29" s="3340">
        <v>0</v>
      </c>
      <c r="AY29" s="3340">
        <v>0</v>
      </c>
      <c r="AZ29" s="3340">
        <v>0</v>
      </c>
      <c r="BA29" s="3340">
        <v>139433</v>
      </c>
      <c r="BB29" s="3340">
        <v>139433</v>
      </c>
      <c r="BC29" s="3340">
        <v>139433</v>
      </c>
      <c r="BD29" s="3340">
        <v>0</v>
      </c>
      <c r="BE29" s="3340"/>
      <c r="BF29" s="3340">
        <v>0</v>
      </c>
      <c r="BG29" s="3340">
        <v>0</v>
      </c>
      <c r="BH29" s="3340">
        <v>0</v>
      </c>
      <c r="BI29" s="3340">
        <v>0</v>
      </c>
      <c r="BJ29" s="3340">
        <v>0</v>
      </c>
      <c r="BK29" s="3340">
        <v>126757</v>
      </c>
      <c r="BL29" s="3340">
        <v>126757</v>
      </c>
      <c r="BM29" s="3340">
        <v>126757</v>
      </c>
      <c r="BN29" s="3340"/>
      <c r="BO29" s="3340"/>
    </row>
    <row r="30" spans="1:72" s="3316" customFormat="1">
      <c r="A30" s="3316" t="s">
        <v>6252</v>
      </c>
      <c r="B30" s="3316" t="s">
        <v>6253</v>
      </c>
      <c r="C30" s="3316" t="s">
        <v>5800</v>
      </c>
      <c r="D30" s="3316" t="s">
        <v>6254</v>
      </c>
      <c r="E30" s="3316" t="s">
        <v>6255</v>
      </c>
      <c r="F30" s="3316" t="s">
        <v>6276</v>
      </c>
      <c r="G30" s="3316" t="s">
        <v>6276</v>
      </c>
      <c r="H30" s="3316" t="s">
        <v>6332</v>
      </c>
      <c r="I30" s="3316" t="s">
        <v>6299</v>
      </c>
      <c r="J30" s="3316" t="s">
        <v>6333</v>
      </c>
      <c r="K30" s="3316" t="s">
        <v>6257</v>
      </c>
      <c r="L30" s="3316" t="s">
        <v>6258</v>
      </c>
      <c r="M30" s="3316" t="s">
        <v>6252</v>
      </c>
      <c r="N30" s="3316" t="s">
        <v>6301</v>
      </c>
      <c r="O30" s="3316" t="s">
        <v>6286</v>
      </c>
      <c r="P30" s="3316" t="s">
        <v>6302</v>
      </c>
      <c r="Q30" s="3316" t="s">
        <v>6303</v>
      </c>
      <c r="R30" s="3316" t="s">
        <v>6303</v>
      </c>
      <c r="S30" s="3316" t="s">
        <v>5800</v>
      </c>
      <c r="T30" s="3316" t="s">
        <v>6304</v>
      </c>
      <c r="U30" s="3316" t="s">
        <v>6305</v>
      </c>
      <c r="V30" s="3316">
        <v>0</v>
      </c>
      <c r="W30" s="3316">
        <v>0</v>
      </c>
      <c r="X30" s="3316">
        <v>0</v>
      </c>
      <c r="Y30" s="3316">
        <v>288</v>
      </c>
      <c r="Z30" s="3316" t="s">
        <v>6306</v>
      </c>
      <c r="AA30" s="3316" t="s">
        <v>6303</v>
      </c>
      <c r="AB30" s="3316">
        <v>288</v>
      </c>
      <c r="AC30" s="3316" t="s">
        <v>6307</v>
      </c>
      <c r="AD30" s="3316" t="s">
        <v>6308</v>
      </c>
      <c r="AE30" s="3316">
        <v>288</v>
      </c>
      <c r="AF30" s="3316" t="s">
        <v>6309</v>
      </c>
      <c r="AG30" s="3316" t="s">
        <v>6264</v>
      </c>
      <c r="AH30" s="3316">
        <v>26</v>
      </c>
      <c r="AI30" s="3316">
        <v>262</v>
      </c>
      <c r="AJ30" s="3316" t="s">
        <v>5800</v>
      </c>
      <c r="AL30" s="3316" t="s">
        <v>6334</v>
      </c>
      <c r="AM30" s="3316">
        <v>1</v>
      </c>
      <c r="AN30" s="3316">
        <v>0</v>
      </c>
      <c r="AO30" s="3316">
        <v>0</v>
      </c>
      <c r="AP30" s="3316">
        <v>0</v>
      </c>
      <c r="AQ30" s="3316" t="s">
        <v>5800</v>
      </c>
      <c r="AS30" s="3316" t="s">
        <v>6309</v>
      </c>
      <c r="AT30" s="3316" t="s">
        <v>6264</v>
      </c>
      <c r="AV30" s="3340">
        <v>0</v>
      </c>
      <c r="AW30" s="3340">
        <v>0</v>
      </c>
      <c r="AX30" s="3340">
        <v>0</v>
      </c>
      <c r="AY30" s="3340">
        <v>0</v>
      </c>
      <c r="AZ30" s="3340">
        <v>0</v>
      </c>
      <c r="BA30" s="3340">
        <v>288</v>
      </c>
      <c r="BB30" s="3340">
        <v>288</v>
      </c>
      <c r="BC30" s="3340">
        <v>288</v>
      </c>
      <c r="BD30" s="3340">
        <v>0</v>
      </c>
      <c r="BE30" s="3340"/>
      <c r="BF30" s="3340">
        <v>0</v>
      </c>
      <c r="BG30" s="3340">
        <v>0</v>
      </c>
      <c r="BH30" s="3340">
        <v>0</v>
      </c>
      <c r="BI30" s="3340">
        <v>0</v>
      </c>
      <c r="BJ30" s="3340">
        <v>0</v>
      </c>
      <c r="BK30" s="3340">
        <v>262</v>
      </c>
      <c r="BL30" s="3340">
        <v>262</v>
      </c>
      <c r="BM30" s="3340">
        <v>262</v>
      </c>
      <c r="BN30" s="3340"/>
      <c r="BO30" s="3340"/>
    </row>
    <row r="31" spans="1:72" s="3316" customFormat="1">
      <c r="A31" s="3316" t="s">
        <v>6252</v>
      </c>
      <c r="B31" s="3316" t="s">
        <v>6253</v>
      </c>
      <c r="C31" s="3316" t="s">
        <v>5800</v>
      </c>
      <c r="D31" s="3316" t="s">
        <v>6254</v>
      </c>
      <c r="E31" s="3316" t="s">
        <v>6255</v>
      </c>
      <c r="F31" s="3316" t="s">
        <v>6276</v>
      </c>
      <c r="G31" s="3316" t="s">
        <v>6276</v>
      </c>
      <c r="H31" s="3316" t="s">
        <v>6332</v>
      </c>
      <c r="I31" s="3316" t="s">
        <v>6299</v>
      </c>
      <c r="J31" s="3316" t="s">
        <v>6335</v>
      </c>
      <c r="K31" s="3316" t="s">
        <v>6257</v>
      </c>
      <c r="L31" s="3316" t="s">
        <v>6258</v>
      </c>
      <c r="M31" s="3316" t="s">
        <v>6252</v>
      </c>
      <c r="N31" s="3316" t="s">
        <v>6301</v>
      </c>
      <c r="O31" s="3316" t="s">
        <v>6286</v>
      </c>
      <c r="P31" s="3316" t="s">
        <v>6302</v>
      </c>
      <c r="Q31" s="3316" t="s">
        <v>6303</v>
      </c>
      <c r="R31" s="3316" t="s">
        <v>6303</v>
      </c>
      <c r="S31" s="3316" t="s">
        <v>5800</v>
      </c>
      <c r="T31" s="3316" t="s">
        <v>6304</v>
      </c>
      <c r="U31" s="3316" t="s">
        <v>6305</v>
      </c>
      <c r="V31" s="3316">
        <v>0</v>
      </c>
      <c r="W31" s="3316">
        <v>0</v>
      </c>
      <c r="X31" s="3316">
        <v>0</v>
      </c>
      <c r="Y31" s="3316">
        <v>765</v>
      </c>
      <c r="Z31" s="3316" t="s">
        <v>6306</v>
      </c>
      <c r="AA31" s="3316" t="s">
        <v>6303</v>
      </c>
      <c r="AB31" s="3316">
        <v>765</v>
      </c>
      <c r="AC31" s="3316" t="s">
        <v>6307</v>
      </c>
      <c r="AD31" s="3316" t="s">
        <v>6308</v>
      </c>
      <c r="AE31" s="3316">
        <v>765</v>
      </c>
      <c r="AF31" s="3316" t="s">
        <v>6309</v>
      </c>
      <c r="AG31" s="3316" t="s">
        <v>6264</v>
      </c>
      <c r="AH31" s="3316">
        <v>69</v>
      </c>
      <c r="AI31" s="3316">
        <v>696</v>
      </c>
      <c r="AJ31" s="3316" t="s">
        <v>5800</v>
      </c>
      <c r="AL31" s="3316" t="s">
        <v>6336</v>
      </c>
      <c r="AM31" s="3316">
        <v>1</v>
      </c>
      <c r="AN31" s="3316">
        <v>0</v>
      </c>
      <c r="AO31" s="3316">
        <v>0</v>
      </c>
      <c r="AP31" s="3316">
        <v>0</v>
      </c>
      <c r="AQ31" s="3316" t="s">
        <v>5800</v>
      </c>
      <c r="AS31" s="3316" t="s">
        <v>6309</v>
      </c>
      <c r="AT31" s="3316" t="s">
        <v>6264</v>
      </c>
      <c r="AV31" s="3340">
        <v>0</v>
      </c>
      <c r="AW31" s="3340">
        <v>0</v>
      </c>
      <c r="AX31" s="3340">
        <v>0</v>
      </c>
      <c r="AY31" s="3340">
        <v>0</v>
      </c>
      <c r="AZ31" s="3340">
        <v>0</v>
      </c>
      <c r="BA31" s="3340">
        <v>765</v>
      </c>
      <c r="BB31" s="3340">
        <v>765</v>
      </c>
      <c r="BC31" s="3340">
        <v>765</v>
      </c>
      <c r="BD31" s="3340">
        <v>0</v>
      </c>
      <c r="BE31" s="3340"/>
      <c r="BF31" s="3340">
        <v>0</v>
      </c>
      <c r="BG31" s="3340">
        <v>0</v>
      </c>
      <c r="BH31" s="3340">
        <v>0</v>
      </c>
      <c r="BI31" s="3340">
        <v>0</v>
      </c>
      <c r="BJ31" s="3340">
        <v>0</v>
      </c>
      <c r="BK31" s="3340">
        <v>695</v>
      </c>
      <c r="BL31" s="3340">
        <v>695</v>
      </c>
      <c r="BM31" s="3340">
        <v>695</v>
      </c>
      <c r="BN31" s="3340"/>
      <c r="BO31" s="3340"/>
    </row>
    <row r="32" spans="1:72" s="3316" customFormat="1">
      <c r="A32" s="3316" t="s">
        <v>6252</v>
      </c>
      <c r="B32" s="3316" t="s">
        <v>6253</v>
      </c>
      <c r="C32" s="3316" t="s">
        <v>5800</v>
      </c>
      <c r="D32" s="3316" t="s">
        <v>6254</v>
      </c>
      <c r="E32" s="3316" t="s">
        <v>6255</v>
      </c>
      <c r="F32" s="3316" t="s">
        <v>6337</v>
      </c>
      <c r="G32" s="3316" t="s">
        <v>6337</v>
      </c>
      <c r="H32" s="3316" t="s">
        <v>6338</v>
      </c>
      <c r="I32" s="3316" t="s">
        <v>6299</v>
      </c>
      <c r="J32" s="3316" t="s">
        <v>6339</v>
      </c>
      <c r="K32" s="3316" t="s">
        <v>6257</v>
      </c>
      <c r="L32" s="3316" t="s">
        <v>6258</v>
      </c>
      <c r="M32" s="3316" t="s">
        <v>6252</v>
      </c>
      <c r="N32" s="3316" t="s">
        <v>6301</v>
      </c>
      <c r="O32" s="3316" t="s">
        <v>6286</v>
      </c>
      <c r="P32" s="3316" t="s">
        <v>6302</v>
      </c>
      <c r="Q32" s="3316" t="s">
        <v>6303</v>
      </c>
      <c r="R32" s="3316" t="s">
        <v>6303</v>
      </c>
      <c r="S32" s="3316" t="s">
        <v>5800</v>
      </c>
      <c r="T32" s="3316" t="s">
        <v>6304</v>
      </c>
      <c r="U32" s="3316" t="s">
        <v>6305</v>
      </c>
      <c r="V32" s="3316">
        <v>0</v>
      </c>
      <c r="W32" s="3316">
        <v>0</v>
      </c>
      <c r="X32" s="3316">
        <v>0</v>
      </c>
      <c r="Y32" s="3316">
        <v>5363</v>
      </c>
      <c r="Z32" s="3316" t="s">
        <v>6306</v>
      </c>
      <c r="AA32" s="3316" t="s">
        <v>6303</v>
      </c>
      <c r="AB32" s="3316">
        <v>5363</v>
      </c>
      <c r="AC32" s="3316" t="s">
        <v>6307</v>
      </c>
      <c r="AD32" s="3316" t="s">
        <v>6308</v>
      </c>
      <c r="AE32" s="3316">
        <v>5363</v>
      </c>
      <c r="AF32" s="3316" t="s">
        <v>6309</v>
      </c>
      <c r="AG32" s="3316" t="s">
        <v>6264</v>
      </c>
      <c r="AH32" s="3316">
        <v>487</v>
      </c>
      <c r="AI32" s="3316">
        <v>4876</v>
      </c>
      <c r="AJ32" s="3316" t="s">
        <v>5800</v>
      </c>
      <c r="AL32" s="3316" t="s">
        <v>6340</v>
      </c>
      <c r="AM32" s="3316">
        <v>1</v>
      </c>
      <c r="AN32" s="3316">
        <v>0</v>
      </c>
      <c r="AO32" s="3316">
        <v>0</v>
      </c>
      <c r="AP32" s="3316">
        <v>0</v>
      </c>
      <c r="AQ32" s="3316" t="s">
        <v>5800</v>
      </c>
      <c r="AS32" s="3316" t="s">
        <v>6309</v>
      </c>
      <c r="AT32" s="3316" t="s">
        <v>6264</v>
      </c>
      <c r="AV32" s="3340">
        <v>0</v>
      </c>
      <c r="AW32" s="3340">
        <v>0</v>
      </c>
      <c r="AX32" s="3340">
        <v>0</v>
      </c>
      <c r="AY32" s="3340">
        <v>0</v>
      </c>
      <c r="AZ32" s="3340">
        <v>0</v>
      </c>
      <c r="BA32" s="3340">
        <v>5363</v>
      </c>
      <c r="BB32" s="3340">
        <v>5363</v>
      </c>
      <c r="BC32" s="3340">
        <v>5363</v>
      </c>
      <c r="BD32" s="3340">
        <v>0</v>
      </c>
      <c r="BE32" s="3340"/>
      <c r="BF32" s="3340">
        <v>0</v>
      </c>
      <c r="BG32" s="3340">
        <v>0</v>
      </c>
      <c r="BH32" s="3340">
        <v>0</v>
      </c>
      <c r="BI32" s="3340">
        <v>0</v>
      </c>
      <c r="BJ32" s="3340">
        <v>0</v>
      </c>
      <c r="BK32" s="3340">
        <v>4875</v>
      </c>
      <c r="BL32" s="3340">
        <v>4875</v>
      </c>
      <c r="BM32" s="3340">
        <v>4875</v>
      </c>
      <c r="BN32" s="3340"/>
      <c r="BO32" s="3340"/>
    </row>
    <row r="33" spans="1:67" s="3316" customFormat="1">
      <c r="A33" s="3316" t="s">
        <v>6252</v>
      </c>
      <c r="B33" s="3316" t="s">
        <v>6253</v>
      </c>
      <c r="C33" s="3316" t="s">
        <v>5800</v>
      </c>
      <c r="D33" s="3316" t="s">
        <v>6254</v>
      </c>
      <c r="E33" s="3316" t="s">
        <v>6255</v>
      </c>
      <c r="F33" s="3316" t="s">
        <v>6279</v>
      </c>
      <c r="G33" s="3316" t="s">
        <v>6279</v>
      </c>
      <c r="H33" s="3316" t="s">
        <v>6341</v>
      </c>
      <c r="I33" s="3316" t="s">
        <v>6299</v>
      </c>
      <c r="J33" s="3316" t="s">
        <v>6342</v>
      </c>
      <c r="K33" s="3316" t="s">
        <v>6257</v>
      </c>
      <c r="L33" s="3316" t="s">
        <v>6258</v>
      </c>
      <c r="M33" s="3316" t="s">
        <v>6252</v>
      </c>
      <c r="N33" s="3316" t="s">
        <v>6301</v>
      </c>
      <c r="O33" s="3316" t="s">
        <v>6286</v>
      </c>
      <c r="P33" s="3316" t="s">
        <v>6302</v>
      </c>
      <c r="Q33" s="3316" t="s">
        <v>6303</v>
      </c>
      <c r="R33" s="3316" t="s">
        <v>6303</v>
      </c>
      <c r="S33" s="3316" t="s">
        <v>5800</v>
      </c>
      <c r="T33" s="3316" t="s">
        <v>6304</v>
      </c>
      <c r="U33" s="3316" t="s">
        <v>6305</v>
      </c>
      <c r="V33" s="3316">
        <v>0</v>
      </c>
      <c r="W33" s="3316">
        <v>0</v>
      </c>
      <c r="X33" s="3316">
        <v>0</v>
      </c>
      <c r="Y33" s="3316">
        <v>932</v>
      </c>
      <c r="Z33" s="3316" t="s">
        <v>6306</v>
      </c>
      <c r="AA33" s="3316" t="s">
        <v>6303</v>
      </c>
      <c r="AB33" s="3316">
        <v>932</v>
      </c>
      <c r="AC33" s="3316" t="s">
        <v>6307</v>
      </c>
      <c r="AD33" s="3316" t="s">
        <v>6308</v>
      </c>
      <c r="AE33" s="3316">
        <v>932</v>
      </c>
      <c r="AF33" s="3316" t="s">
        <v>6309</v>
      </c>
      <c r="AG33" s="3316" t="s">
        <v>6264</v>
      </c>
      <c r="AH33" s="3316">
        <v>84</v>
      </c>
      <c r="AI33" s="3316">
        <v>848</v>
      </c>
      <c r="AJ33" s="3316" t="s">
        <v>5800</v>
      </c>
      <c r="AL33" s="3316" t="s">
        <v>6343</v>
      </c>
      <c r="AM33" s="3316">
        <v>1</v>
      </c>
      <c r="AN33" s="3316">
        <v>0</v>
      </c>
      <c r="AO33" s="3316">
        <v>0</v>
      </c>
      <c r="AP33" s="3316">
        <v>0</v>
      </c>
      <c r="AQ33" s="3316" t="s">
        <v>5800</v>
      </c>
      <c r="AS33" s="3316" t="s">
        <v>6309</v>
      </c>
      <c r="AT33" s="3316" t="s">
        <v>6264</v>
      </c>
      <c r="AV33" s="3340">
        <v>0</v>
      </c>
      <c r="AW33" s="3340">
        <v>0</v>
      </c>
      <c r="AX33" s="3340">
        <v>0</v>
      </c>
      <c r="AY33" s="3340">
        <v>0</v>
      </c>
      <c r="AZ33" s="3340">
        <v>0</v>
      </c>
      <c r="BA33" s="3340">
        <v>932</v>
      </c>
      <c r="BB33" s="3340">
        <v>932</v>
      </c>
      <c r="BC33" s="3340">
        <v>932</v>
      </c>
      <c r="BD33" s="3340">
        <v>0</v>
      </c>
      <c r="BE33" s="3340"/>
      <c r="BF33" s="3340">
        <v>0</v>
      </c>
      <c r="BG33" s="3340">
        <v>0</v>
      </c>
      <c r="BH33" s="3340">
        <v>0</v>
      </c>
      <c r="BI33" s="3340">
        <v>0</v>
      </c>
      <c r="BJ33" s="3340">
        <v>0</v>
      </c>
      <c r="BK33" s="3340">
        <v>847</v>
      </c>
      <c r="BL33" s="3340">
        <v>847</v>
      </c>
      <c r="BM33" s="3340">
        <v>847</v>
      </c>
      <c r="BN33" s="3340"/>
      <c r="BO33" s="3340"/>
    </row>
    <row r="34" spans="1:67" s="3316" customFormat="1">
      <c r="A34" s="3316" t="s">
        <v>6252</v>
      </c>
      <c r="B34" s="3316" t="s">
        <v>6253</v>
      </c>
      <c r="C34" s="3316" t="s">
        <v>5800</v>
      </c>
      <c r="D34" s="3316" t="s">
        <v>6254</v>
      </c>
      <c r="E34" s="3316" t="s">
        <v>6255</v>
      </c>
      <c r="F34" s="3316" t="s">
        <v>6279</v>
      </c>
      <c r="G34" s="3316" t="s">
        <v>6279</v>
      </c>
      <c r="H34" s="3316" t="s">
        <v>6341</v>
      </c>
      <c r="I34" s="3316" t="s">
        <v>6299</v>
      </c>
      <c r="J34" s="3316" t="s">
        <v>6344</v>
      </c>
      <c r="K34" s="3316" t="s">
        <v>6257</v>
      </c>
      <c r="L34" s="3316" t="s">
        <v>6258</v>
      </c>
      <c r="M34" s="3316" t="s">
        <v>6252</v>
      </c>
      <c r="N34" s="3316" t="s">
        <v>6301</v>
      </c>
      <c r="O34" s="3316" t="s">
        <v>6286</v>
      </c>
      <c r="P34" s="3316" t="s">
        <v>6302</v>
      </c>
      <c r="Q34" s="3316" t="s">
        <v>6303</v>
      </c>
      <c r="R34" s="3316" t="s">
        <v>6303</v>
      </c>
      <c r="S34" s="3316" t="s">
        <v>5800</v>
      </c>
      <c r="T34" s="3316" t="s">
        <v>6304</v>
      </c>
      <c r="U34" s="3316" t="s">
        <v>6305</v>
      </c>
      <c r="V34" s="3316">
        <v>0</v>
      </c>
      <c r="W34" s="3316">
        <v>0</v>
      </c>
      <c r="X34" s="3316">
        <v>0</v>
      </c>
      <c r="Y34" s="3316">
        <v>2471</v>
      </c>
      <c r="Z34" s="3316" t="s">
        <v>6306</v>
      </c>
      <c r="AA34" s="3316" t="s">
        <v>6303</v>
      </c>
      <c r="AB34" s="3316">
        <v>2471</v>
      </c>
      <c r="AC34" s="3316" t="s">
        <v>6307</v>
      </c>
      <c r="AD34" s="3316" t="s">
        <v>6308</v>
      </c>
      <c r="AE34" s="3316">
        <v>2471</v>
      </c>
      <c r="AF34" s="3316" t="s">
        <v>6309</v>
      </c>
      <c r="AG34" s="3316" t="s">
        <v>6264</v>
      </c>
      <c r="AH34" s="3316">
        <v>224</v>
      </c>
      <c r="AI34" s="3316">
        <v>2247</v>
      </c>
      <c r="AJ34" s="3316" t="s">
        <v>5800</v>
      </c>
      <c r="AL34" s="3316" t="s">
        <v>6345</v>
      </c>
      <c r="AM34" s="3316">
        <v>1</v>
      </c>
      <c r="AN34" s="3316">
        <v>0</v>
      </c>
      <c r="AO34" s="3316">
        <v>0</v>
      </c>
      <c r="AP34" s="3316">
        <v>0</v>
      </c>
      <c r="AQ34" s="3316" t="s">
        <v>5800</v>
      </c>
      <c r="AS34" s="3316" t="s">
        <v>6309</v>
      </c>
      <c r="AT34" s="3316" t="s">
        <v>6264</v>
      </c>
      <c r="AV34" s="3340">
        <v>0</v>
      </c>
      <c r="AW34" s="3340">
        <v>0</v>
      </c>
      <c r="AX34" s="3340">
        <v>0</v>
      </c>
      <c r="AY34" s="3340">
        <v>0</v>
      </c>
      <c r="AZ34" s="3340">
        <v>0</v>
      </c>
      <c r="BA34" s="3340">
        <v>2471</v>
      </c>
      <c r="BB34" s="3340">
        <v>2471</v>
      </c>
      <c r="BC34" s="3340">
        <v>2471</v>
      </c>
      <c r="BD34" s="3340">
        <v>0</v>
      </c>
      <c r="BE34" s="3340"/>
      <c r="BF34" s="3340">
        <v>0</v>
      </c>
      <c r="BG34" s="3340">
        <v>0</v>
      </c>
      <c r="BH34" s="3340">
        <v>0</v>
      </c>
      <c r="BI34" s="3340">
        <v>0</v>
      </c>
      <c r="BJ34" s="3340">
        <v>0</v>
      </c>
      <c r="BK34" s="3340">
        <v>2246</v>
      </c>
      <c r="BL34" s="3340">
        <v>2246</v>
      </c>
      <c r="BM34" s="3340">
        <v>2246</v>
      </c>
      <c r="BN34" s="3340"/>
      <c r="BO34" s="3340"/>
    </row>
    <row r="35" spans="1:67" s="3316" customFormat="1">
      <c r="A35" s="3316" t="s">
        <v>6252</v>
      </c>
      <c r="B35" s="3316" t="s">
        <v>6253</v>
      </c>
      <c r="C35" s="3316" t="s">
        <v>5800</v>
      </c>
      <c r="D35" s="3316" t="s">
        <v>6254</v>
      </c>
      <c r="E35" s="3316" t="s">
        <v>6255</v>
      </c>
      <c r="F35" s="3316" t="s">
        <v>6279</v>
      </c>
      <c r="G35" s="3316" t="s">
        <v>6279</v>
      </c>
      <c r="H35" s="3316" t="s">
        <v>6341</v>
      </c>
      <c r="I35" s="3316" t="s">
        <v>6299</v>
      </c>
      <c r="J35" s="3316" t="s">
        <v>6346</v>
      </c>
      <c r="K35" s="3316" t="s">
        <v>6257</v>
      </c>
      <c r="L35" s="3316" t="s">
        <v>6258</v>
      </c>
      <c r="M35" s="3316" t="s">
        <v>6252</v>
      </c>
      <c r="N35" s="3316" t="s">
        <v>6301</v>
      </c>
      <c r="O35" s="3316" t="s">
        <v>6286</v>
      </c>
      <c r="P35" s="3316" t="s">
        <v>6302</v>
      </c>
      <c r="Q35" s="3316" t="s">
        <v>6303</v>
      </c>
      <c r="R35" s="3316" t="s">
        <v>6303</v>
      </c>
      <c r="S35" s="3316" t="s">
        <v>5800</v>
      </c>
      <c r="T35" s="3316" t="s">
        <v>6304</v>
      </c>
      <c r="U35" s="3316" t="s">
        <v>6305</v>
      </c>
      <c r="V35" s="3316">
        <v>0</v>
      </c>
      <c r="W35" s="3316">
        <v>0</v>
      </c>
      <c r="X35" s="3316">
        <v>0</v>
      </c>
      <c r="Y35" s="3316">
        <v>41272</v>
      </c>
      <c r="Z35" s="3316" t="s">
        <v>6306</v>
      </c>
      <c r="AA35" s="3316" t="s">
        <v>6303</v>
      </c>
      <c r="AB35" s="3316">
        <v>41272</v>
      </c>
      <c r="AC35" s="3316" t="s">
        <v>6307</v>
      </c>
      <c r="AD35" s="3316" t="s">
        <v>6308</v>
      </c>
      <c r="AE35" s="3316">
        <v>41272</v>
      </c>
      <c r="AF35" s="3316" t="s">
        <v>6309</v>
      </c>
      <c r="AG35" s="3316" t="s">
        <v>6264</v>
      </c>
      <c r="AH35" s="3316">
        <v>3752</v>
      </c>
      <c r="AI35" s="3316">
        <v>37520</v>
      </c>
      <c r="AJ35" s="3316" t="s">
        <v>5800</v>
      </c>
      <c r="AL35" s="3316" t="s">
        <v>6347</v>
      </c>
      <c r="AM35" s="3316">
        <v>1</v>
      </c>
      <c r="AN35" s="3316">
        <v>0</v>
      </c>
      <c r="AO35" s="3316">
        <v>0</v>
      </c>
      <c r="AP35" s="3316">
        <v>0</v>
      </c>
      <c r="AQ35" s="3316" t="s">
        <v>5800</v>
      </c>
      <c r="AS35" s="3316" t="s">
        <v>6309</v>
      </c>
      <c r="AT35" s="3316" t="s">
        <v>6264</v>
      </c>
      <c r="AV35" s="3340">
        <v>0</v>
      </c>
      <c r="AW35" s="3340">
        <v>0</v>
      </c>
      <c r="AX35" s="3340">
        <v>0</v>
      </c>
      <c r="AY35" s="3340">
        <v>0</v>
      </c>
      <c r="AZ35" s="3340">
        <v>0</v>
      </c>
      <c r="BA35" s="3340">
        <v>41272</v>
      </c>
      <c r="BB35" s="3340">
        <v>41272</v>
      </c>
      <c r="BC35" s="3340">
        <v>41272</v>
      </c>
      <c r="BD35" s="3340">
        <v>0</v>
      </c>
      <c r="BE35" s="3340"/>
      <c r="BF35" s="3340">
        <v>0</v>
      </c>
      <c r="BG35" s="3340">
        <v>0</v>
      </c>
      <c r="BH35" s="3340">
        <v>0</v>
      </c>
      <c r="BI35" s="3340">
        <v>0</v>
      </c>
      <c r="BJ35" s="3340">
        <v>0</v>
      </c>
      <c r="BK35" s="3340">
        <v>37520</v>
      </c>
      <c r="BL35" s="3340">
        <v>37520</v>
      </c>
      <c r="BM35" s="3340">
        <v>37520</v>
      </c>
      <c r="BN35" s="3340"/>
      <c r="BO35" s="3340"/>
    </row>
    <row r="36" spans="1:67" s="3316" customFormat="1">
      <c r="A36" s="3316" t="s">
        <v>6252</v>
      </c>
      <c r="B36" s="3316" t="s">
        <v>6253</v>
      </c>
      <c r="C36" s="3316" t="s">
        <v>5800</v>
      </c>
      <c r="D36" s="3316" t="s">
        <v>6254</v>
      </c>
      <c r="E36" s="3316" t="s">
        <v>6255</v>
      </c>
      <c r="F36" s="3316" t="s">
        <v>6279</v>
      </c>
      <c r="G36" s="3316" t="s">
        <v>6279</v>
      </c>
      <c r="H36" s="3316" t="s">
        <v>6341</v>
      </c>
      <c r="I36" s="3316" t="s">
        <v>6299</v>
      </c>
      <c r="J36" s="3316" t="s">
        <v>6348</v>
      </c>
      <c r="K36" s="3316" t="s">
        <v>6257</v>
      </c>
      <c r="L36" s="3316" t="s">
        <v>6258</v>
      </c>
      <c r="M36" s="3316" t="s">
        <v>6252</v>
      </c>
      <c r="N36" s="3316" t="s">
        <v>6301</v>
      </c>
      <c r="O36" s="3316" t="s">
        <v>6286</v>
      </c>
      <c r="P36" s="3316" t="s">
        <v>6302</v>
      </c>
      <c r="Q36" s="3316" t="s">
        <v>6303</v>
      </c>
      <c r="R36" s="3316" t="s">
        <v>6303</v>
      </c>
      <c r="S36" s="3316" t="s">
        <v>5800</v>
      </c>
      <c r="T36" s="3316" t="s">
        <v>6304</v>
      </c>
      <c r="U36" s="3316" t="s">
        <v>6305</v>
      </c>
      <c r="V36" s="3316">
        <v>0</v>
      </c>
      <c r="W36" s="3316">
        <v>0</v>
      </c>
      <c r="X36" s="3316">
        <v>0</v>
      </c>
      <c r="Y36" s="3316">
        <v>764</v>
      </c>
      <c r="Z36" s="3316" t="s">
        <v>6306</v>
      </c>
      <c r="AA36" s="3316" t="s">
        <v>6303</v>
      </c>
      <c r="AB36" s="3316">
        <v>764</v>
      </c>
      <c r="AC36" s="3316" t="s">
        <v>6307</v>
      </c>
      <c r="AD36" s="3316" t="s">
        <v>6308</v>
      </c>
      <c r="AE36" s="3316">
        <v>764</v>
      </c>
      <c r="AF36" s="3316" t="s">
        <v>6309</v>
      </c>
      <c r="AG36" s="3316" t="s">
        <v>6264</v>
      </c>
      <c r="AH36" s="3316">
        <v>69</v>
      </c>
      <c r="AI36" s="3316">
        <v>695</v>
      </c>
      <c r="AJ36" s="3316" t="s">
        <v>5800</v>
      </c>
      <c r="AL36" s="3316" t="s">
        <v>6349</v>
      </c>
      <c r="AM36" s="3316">
        <v>1</v>
      </c>
      <c r="AN36" s="3316">
        <v>0</v>
      </c>
      <c r="AO36" s="3316">
        <v>0</v>
      </c>
      <c r="AP36" s="3316">
        <v>0</v>
      </c>
      <c r="AQ36" s="3316" t="s">
        <v>5800</v>
      </c>
      <c r="AS36" s="3316" t="s">
        <v>6309</v>
      </c>
      <c r="AT36" s="3316" t="s">
        <v>6264</v>
      </c>
      <c r="AV36" s="3340">
        <v>0</v>
      </c>
      <c r="AW36" s="3340">
        <v>0</v>
      </c>
      <c r="AX36" s="3340">
        <v>0</v>
      </c>
      <c r="AY36" s="3340">
        <v>0</v>
      </c>
      <c r="AZ36" s="3340">
        <v>0</v>
      </c>
      <c r="BA36" s="3340">
        <v>764</v>
      </c>
      <c r="BB36" s="3340">
        <v>764</v>
      </c>
      <c r="BC36" s="3340">
        <v>764</v>
      </c>
      <c r="BD36" s="3340">
        <v>0</v>
      </c>
      <c r="BE36" s="3340"/>
      <c r="BF36" s="3340">
        <v>0</v>
      </c>
      <c r="BG36" s="3340">
        <v>0</v>
      </c>
      <c r="BH36" s="3340">
        <v>0</v>
      </c>
      <c r="BI36" s="3340">
        <v>0</v>
      </c>
      <c r="BJ36" s="3340">
        <v>0</v>
      </c>
      <c r="BK36" s="3340">
        <v>695</v>
      </c>
      <c r="BL36" s="3340">
        <v>695</v>
      </c>
      <c r="BM36" s="3340">
        <v>695</v>
      </c>
      <c r="BN36" s="3340"/>
      <c r="BO36" s="3340"/>
    </row>
    <row r="37" spans="1:67" s="3316" customFormat="1">
      <c r="A37" s="3316" t="s">
        <v>6252</v>
      </c>
      <c r="B37" s="3316" t="s">
        <v>6253</v>
      </c>
      <c r="C37" s="3316" t="s">
        <v>5800</v>
      </c>
      <c r="D37" s="3316" t="s">
        <v>6254</v>
      </c>
      <c r="E37" s="3316" t="s">
        <v>6255</v>
      </c>
      <c r="F37" s="3316" t="s">
        <v>6350</v>
      </c>
      <c r="G37" s="3316" t="s">
        <v>6350</v>
      </c>
      <c r="H37" s="3316" t="s">
        <v>6351</v>
      </c>
      <c r="I37" s="3316" t="s">
        <v>6299</v>
      </c>
      <c r="J37" s="3316" t="s">
        <v>6352</v>
      </c>
      <c r="K37" s="3316" t="s">
        <v>6257</v>
      </c>
      <c r="L37" s="3316" t="s">
        <v>6258</v>
      </c>
      <c r="M37" s="3316" t="s">
        <v>6252</v>
      </c>
      <c r="N37" s="3316" t="s">
        <v>6301</v>
      </c>
      <c r="O37" s="3316" t="s">
        <v>6286</v>
      </c>
      <c r="P37" s="3316" t="s">
        <v>6302</v>
      </c>
      <c r="Q37" s="3316" t="s">
        <v>6303</v>
      </c>
      <c r="R37" s="3316" t="s">
        <v>6303</v>
      </c>
      <c r="S37" s="3316" t="s">
        <v>5800</v>
      </c>
      <c r="T37" s="3316" t="s">
        <v>6304</v>
      </c>
      <c r="U37" s="3316" t="s">
        <v>6305</v>
      </c>
      <c r="V37" s="3316">
        <v>0</v>
      </c>
      <c r="W37" s="3316">
        <v>0</v>
      </c>
      <c r="X37" s="3316">
        <v>0</v>
      </c>
      <c r="Y37" s="3316">
        <v>49628</v>
      </c>
      <c r="Z37" s="3316" t="s">
        <v>6306</v>
      </c>
      <c r="AA37" s="3316" t="s">
        <v>6303</v>
      </c>
      <c r="AB37" s="3316">
        <v>49628</v>
      </c>
      <c r="AC37" s="3316" t="s">
        <v>6307</v>
      </c>
      <c r="AD37" s="3316" t="s">
        <v>6308</v>
      </c>
      <c r="AE37" s="3316">
        <v>49628</v>
      </c>
      <c r="AF37" s="3316" t="s">
        <v>6309</v>
      </c>
      <c r="AG37" s="3316" t="s">
        <v>6264</v>
      </c>
      <c r="AH37" s="3316">
        <v>4511</v>
      </c>
      <c r="AI37" s="3316">
        <v>45117</v>
      </c>
      <c r="AJ37" s="3316" t="s">
        <v>5800</v>
      </c>
      <c r="AL37" s="3316" t="s">
        <v>6353</v>
      </c>
      <c r="AM37" s="3316">
        <v>1</v>
      </c>
      <c r="AN37" s="3316">
        <v>0</v>
      </c>
      <c r="AO37" s="3316">
        <v>0</v>
      </c>
      <c r="AP37" s="3316">
        <v>0</v>
      </c>
      <c r="AQ37" s="3316" t="s">
        <v>5800</v>
      </c>
      <c r="AS37" s="3316" t="s">
        <v>6309</v>
      </c>
      <c r="AT37" s="3316" t="s">
        <v>6264</v>
      </c>
      <c r="AV37" s="3340">
        <v>0</v>
      </c>
      <c r="AW37" s="3340">
        <v>0</v>
      </c>
      <c r="AX37" s="3340">
        <v>0</v>
      </c>
      <c r="AY37" s="3340">
        <v>0</v>
      </c>
      <c r="AZ37" s="3340">
        <v>0</v>
      </c>
      <c r="BA37" s="3340">
        <v>49628</v>
      </c>
      <c r="BB37" s="3340">
        <v>49628</v>
      </c>
      <c r="BC37" s="3340">
        <v>49628</v>
      </c>
      <c r="BD37" s="3340">
        <v>0</v>
      </c>
      <c r="BE37" s="3340"/>
      <c r="BF37" s="3340">
        <v>0</v>
      </c>
      <c r="BG37" s="3340">
        <v>0</v>
      </c>
      <c r="BH37" s="3340">
        <v>0</v>
      </c>
      <c r="BI37" s="3340">
        <v>0</v>
      </c>
      <c r="BJ37" s="3340">
        <v>0</v>
      </c>
      <c r="BK37" s="3340">
        <v>45116</v>
      </c>
      <c r="BL37" s="3340">
        <v>45116</v>
      </c>
      <c r="BM37" s="3340">
        <v>45116</v>
      </c>
      <c r="BN37" s="3340"/>
      <c r="BO37" s="3340"/>
    </row>
    <row r="38" spans="1:67" s="3316" customFormat="1">
      <c r="A38" s="3316" t="s">
        <v>6252</v>
      </c>
      <c r="B38" s="3316" t="s">
        <v>6253</v>
      </c>
      <c r="C38" s="3316" t="s">
        <v>5800</v>
      </c>
      <c r="D38" s="3316" t="s">
        <v>6254</v>
      </c>
      <c r="E38" s="3316" t="s">
        <v>6255</v>
      </c>
      <c r="F38" s="3316" t="s">
        <v>6350</v>
      </c>
      <c r="G38" s="3316" t="s">
        <v>6350</v>
      </c>
      <c r="H38" s="3316" t="s">
        <v>6351</v>
      </c>
      <c r="I38" s="3316" t="s">
        <v>6299</v>
      </c>
      <c r="J38" s="3316" t="s">
        <v>6354</v>
      </c>
      <c r="K38" s="3316" t="s">
        <v>6257</v>
      </c>
      <c r="L38" s="3316" t="s">
        <v>6258</v>
      </c>
      <c r="M38" s="3316" t="s">
        <v>6252</v>
      </c>
      <c r="N38" s="3316" t="s">
        <v>6301</v>
      </c>
      <c r="O38" s="3316" t="s">
        <v>6286</v>
      </c>
      <c r="P38" s="3316" t="s">
        <v>6302</v>
      </c>
      <c r="Q38" s="3316" t="s">
        <v>6303</v>
      </c>
      <c r="R38" s="3316" t="s">
        <v>6303</v>
      </c>
      <c r="S38" s="3316" t="s">
        <v>5800</v>
      </c>
      <c r="T38" s="3316" t="s">
        <v>6304</v>
      </c>
      <c r="U38" s="3316" t="s">
        <v>6305</v>
      </c>
      <c r="V38" s="3316">
        <v>0</v>
      </c>
      <c r="W38" s="3316">
        <v>0</v>
      </c>
      <c r="X38" s="3316">
        <v>0</v>
      </c>
      <c r="Y38" s="3316">
        <v>85050</v>
      </c>
      <c r="Z38" s="3316" t="s">
        <v>6306</v>
      </c>
      <c r="AA38" s="3316" t="s">
        <v>6303</v>
      </c>
      <c r="AB38" s="3316">
        <v>85050</v>
      </c>
      <c r="AC38" s="3316" t="s">
        <v>6307</v>
      </c>
      <c r="AD38" s="3316" t="s">
        <v>6308</v>
      </c>
      <c r="AE38" s="3316">
        <v>85050</v>
      </c>
      <c r="AF38" s="3316" t="s">
        <v>6309</v>
      </c>
      <c r="AG38" s="3316" t="s">
        <v>6264</v>
      </c>
      <c r="AH38" s="3316">
        <v>7731</v>
      </c>
      <c r="AI38" s="3316">
        <v>77319</v>
      </c>
      <c r="AJ38" s="3316" t="s">
        <v>5800</v>
      </c>
      <c r="AL38" s="3316" t="s">
        <v>6355</v>
      </c>
      <c r="AM38" s="3316">
        <v>1</v>
      </c>
      <c r="AN38" s="3316">
        <v>0</v>
      </c>
      <c r="AO38" s="3316">
        <v>0</v>
      </c>
      <c r="AP38" s="3316">
        <v>0</v>
      </c>
      <c r="AQ38" s="3316" t="s">
        <v>5800</v>
      </c>
      <c r="AS38" s="3316" t="s">
        <v>6309</v>
      </c>
      <c r="AT38" s="3316" t="s">
        <v>6264</v>
      </c>
      <c r="AV38" s="3340">
        <v>0</v>
      </c>
      <c r="AW38" s="3340">
        <v>0</v>
      </c>
      <c r="AX38" s="3340">
        <v>0</v>
      </c>
      <c r="AY38" s="3340">
        <v>0</v>
      </c>
      <c r="AZ38" s="3340">
        <v>0</v>
      </c>
      <c r="BA38" s="3340">
        <v>85050</v>
      </c>
      <c r="BB38" s="3340">
        <v>85050</v>
      </c>
      <c r="BC38" s="3340">
        <v>85050</v>
      </c>
      <c r="BD38" s="3340">
        <v>0</v>
      </c>
      <c r="BE38" s="3340"/>
      <c r="BF38" s="3340">
        <v>0</v>
      </c>
      <c r="BG38" s="3340">
        <v>0</v>
      </c>
      <c r="BH38" s="3340">
        <v>0</v>
      </c>
      <c r="BI38" s="3340">
        <v>0</v>
      </c>
      <c r="BJ38" s="3340">
        <v>0</v>
      </c>
      <c r="BK38" s="3340">
        <v>77318</v>
      </c>
      <c r="BL38" s="3340">
        <v>77318</v>
      </c>
      <c r="BM38" s="3340">
        <v>77318</v>
      </c>
      <c r="BN38" s="3340"/>
      <c r="BO38" s="3340"/>
    </row>
    <row r="39" spans="1:67" s="3316" customFormat="1">
      <c r="A39" s="3316" t="s">
        <v>6252</v>
      </c>
      <c r="B39" s="3316" t="s">
        <v>6253</v>
      </c>
      <c r="C39" s="3316" t="s">
        <v>5800</v>
      </c>
      <c r="D39" s="3316" t="s">
        <v>6254</v>
      </c>
      <c r="E39" s="3316" t="s">
        <v>6255</v>
      </c>
      <c r="F39" s="3316" t="s">
        <v>6350</v>
      </c>
      <c r="G39" s="3316" t="s">
        <v>6350</v>
      </c>
      <c r="H39" s="3316" t="s">
        <v>6351</v>
      </c>
      <c r="I39" s="3316" t="s">
        <v>6299</v>
      </c>
      <c r="J39" s="3316" t="s">
        <v>6356</v>
      </c>
      <c r="K39" s="3316" t="s">
        <v>6257</v>
      </c>
      <c r="L39" s="3316" t="s">
        <v>6258</v>
      </c>
      <c r="M39" s="3316" t="s">
        <v>6252</v>
      </c>
      <c r="N39" s="3316" t="s">
        <v>6301</v>
      </c>
      <c r="O39" s="3316" t="s">
        <v>6286</v>
      </c>
      <c r="P39" s="3316" t="s">
        <v>6302</v>
      </c>
      <c r="Q39" s="3316" t="s">
        <v>6303</v>
      </c>
      <c r="R39" s="3316" t="s">
        <v>6303</v>
      </c>
      <c r="S39" s="3316" t="s">
        <v>5800</v>
      </c>
      <c r="T39" s="3316" t="s">
        <v>6304</v>
      </c>
      <c r="U39" s="3316" t="s">
        <v>6305</v>
      </c>
      <c r="V39" s="3316">
        <v>0</v>
      </c>
      <c r="W39" s="3316">
        <v>0</v>
      </c>
      <c r="X39" s="3316">
        <v>0</v>
      </c>
      <c r="Y39" s="3316">
        <v>13580</v>
      </c>
      <c r="Z39" s="3316" t="s">
        <v>6306</v>
      </c>
      <c r="AA39" s="3316" t="s">
        <v>6303</v>
      </c>
      <c r="AB39" s="3316">
        <v>13580</v>
      </c>
      <c r="AC39" s="3316" t="s">
        <v>6307</v>
      </c>
      <c r="AD39" s="3316" t="s">
        <v>6308</v>
      </c>
      <c r="AE39" s="3316">
        <v>13580</v>
      </c>
      <c r="AF39" s="3316" t="s">
        <v>6309</v>
      </c>
      <c r="AG39" s="3316" t="s">
        <v>6264</v>
      </c>
      <c r="AH39" s="3316">
        <v>1234</v>
      </c>
      <c r="AI39" s="3316">
        <v>12346</v>
      </c>
      <c r="AJ39" s="3316" t="s">
        <v>5800</v>
      </c>
      <c r="AL39" s="3316" t="s">
        <v>6357</v>
      </c>
      <c r="AM39" s="3316">
        <v>1</v>
      </c>
      <c r="AN39" s="3316">
        <v>0</v>
      </c>
      <c r="AO39" s="3316">
        <v>0</v>
      </c>
      <c r="AP39" s="3316">
        <v>0</v>
      </c>
      <c r="AQ39" s="3316" t="s">
        <v>5800</v>
      </c>
      <c r="AS39" s="3316" t="s">
        <v>6309</v>
      </c>
      <c r="AT39" s="3316" t="s">
        <v>6264</v>
      </c>
      <c r="AV39" s="3340">
        <v>0</v>
      </c>
      <c r="AW39" s="3340">
        <v>0</v>
      </c>
      <c r="AX39" s="3340">
        <v>0</v>
      </c>
      <c r="AY39" s="3340">
        <v>0</v>
      </c>
      <c r="AZ39" s="3340">
        <v>0</v>
      </c>
      <c r="BA39" s="3340">
        <v>13580</v>
      </c>
      <c r="BB39" s="3340">
        <v>13580</v>
      </c>
      <c r="BC39" s="3340">
        <v>13580</v>
      </c>
      <c r="BD39" s="3340">
        <v>0</v>
      </c>
      <c r="BE39" s="3340"/>
      <c r="BF39" s="3340">
        <v>0</v>
      </c>
      <c r="BG39" s="3340">
        <v>0</v>
      </c>
      <c r="BH39" s="3340">
        <v>0</v>
      </c>
      <c r="BI39" s="3340">
        <v>0</v>
      </c>
      <c r="BJ39" s="3340">
        <v>0</v>
      </c>
      <c r="BK39" s="3340">
        <v>12345</v>
      </c>
      <c r="BL39" s="3340">
        <v>12345</v>
      </c>
      <c r="BM39" s="3340">
        <v>12345</v>
      </c>
      <c r="BN39" s="3340"/>
      <c r="BO39" s="3340"/>
    </row>
    <row r="40" spans="1:67" s="3316" customFormat="1">
      <c r="A40" s="3316" t="s">
        <v>6252</v>
      </c>
      <c r="B40" s="3316" t="s">
        <v>6253</v>
      </c>
      <c r="C40" s="3316" t="s">
        <v>5800</v>
      </c>
      <c r="D40" s="3316" t="s">
        <v>6254</v>
      </c>
      <c r="E40" s="3316" t="s">
        <v>6255</v>
      </c>
      <c r="F40" s="3316" t="s">
        <v>6350</v>
      </c>
      <c r="G40" s="3316" t="s">
        <v>6350</v>
      </c>
      <c r="H40" s="3316" t="s">
        <v>6351</v>
      </c>
      <c r="I40" s="3316" t="s">
        <v>6299</v>
      </c>
      <c r="J40" s="3316" t="s">
        <v>6358</v>
      </c>
      <c r="K40" s="3316" t="s">
        <v>6257</v>
      </c>
      <c r="L40" s="3316" t="s">
        <v>6258</v>
      </c>
      <c r="M40" s="3316" t="s">
        <v>6252</v>
      </c>
      <c r="N40" s="3316" t="s">
        <v>6301</v>
      </c>
      <c r="O40" s="3316" t="s">
        <v>6286</v>
      </c>
      <c r="P40" s="3316" t="s">
        <v>6302</v>
      </c>
      <c r="Q40" s="3316" t="s">
        <v>6303</v>
      </c>
      <c r="R40" s="3316" t="s">
        <v>6303</v>
      </c>
      <c r="S40" s="3316" t="s">
        <v>5800</v>
      </c>
      <c r="T40" s="3316" t="s">
        <v>6304</v>
      </c>
      <c r="U40" s="3316" t="s">
        <v>6305</v>
      </c>
      <c r="V40" s="3316">
        <v>0</v>
      </c>
      <c r="W40" s="3316">
        <v>0</v>
      </c>
      <c r="X40" s="3316">
        <v>0</v>
      </c>
      <c r="Y40" s="3316">
        <v>23592</v>
      </c>
      <c r="Z40" s="3316" t="s">
        <v>6306</v>
      </c>
      <c r="AA40" s="3316" t="s">
        <v>6303</v>
      </c>
      <c r="AB40" s="3316">
        <v>23592</v>
      </c>
      <c r="AC40" s="3316" t="s">
        <v>6307</v>
      </c>
      <c r="AD40" s="3316" t="s">
        <v>6308</v>
      </c>
      <c r="AE40" s="3316">
        <v>23592</v>
      </c>
      <c r="AF40" s="3316" t="s">
        <v>6309</v>
      </c>
      <c r="AG40" s="3316" t="s">
        <v>6264</v>
      </c>
      <c r="AH40" s="3316">
        <v>2144</v>
      </c>
      <c r="AI40" s="3316">
        <v>21448</v>
      </c>
      <c r="AJ40" s="3316" t="s">
        <v>5800</v>
      </c>
      <c r="AL40" s="3316" t="s">
        <v>6359</v>
      </c>
      <c r="AM40" s="3316">
        <v>1</v>
      </c>
      <c r="AN40" s="3316">
        <v>0</v>
      </c>
      <c r="AO40" s="3316">
        <v>0</v>
      </c>
      <c r="AP40" s="3316">
        <v>0</v>
      </c>
      <c r="AQ40" s="3316" t="s">
        <v>5800</v>
      </c>
      <c r="AS40" s="3316" t="s">
        <v>6309</v>
      </c>
      <c r="AT40" s="3316" t="s">
        <v>6264</v>
      </c>
      <c r="AV40" s="3340">
        <v>0</v>
      </c>
      <c r="AW40" s="3340">
        <v>0</v>
      </c>
      <c r="AX40" s="3340">
        <v>0</v>
      </c>
      <c r="AY40" s="3340">
        <v>0</v>
      </c>
      <c r="AZ40" s="3340">
        <v>0</v>
      </c>
      <c r="BA40" s="3340">
        <v>23592</v>
      </c>
      <c r="BB40" s="3340">
        <v>23592</v>
      </c>
      <c r="BC40" s="3340">
        <v>23592</v>
      </c>
      <c r="BD40" s="3340">
        <v>0</v>
      </c>
      <c r="BE40" s="3340"/>
      <c r="BF40" s="3340">
        <v>0</v>
      </c>
      <c r="BG40" s="3340">
        <v>0</v>
      </c>
      <c r="BH40" s="3340">
        <v>0</v>
      </c>
      <c r="BI40" s="3340">
        <v>0</v>
      </c>
      <c r="BJ40" s="3340">
        <v>0</v>
      </c>
      <c r="BK40" s="3340">
        <v>21447</v>
      </c>
      <c r="BL40" s="3340">
        <v>21447</v>
      </c>
      <c r="BM40" s="3340">
        <v>21447</v>
      </c>
      <c r="BN40" s="3340"/>
      <c r="BO40" s="3340"/>
    </row>
    <row r="41" spans="1:67" s="3316" customFormat="1">
      <c r="A41" s="3316" t="s">
        <v>6252</v>
      </c>
      <c r="B41" s="3316" t="s">
        <v>6253</v>
      </c>
      <c r="C41" s="3316" t="s">
        <v>5800</v>
      </c>
      <c r="D41" s="3316" t="s">
        <v>6254</v>
      </c>
      <c r="E41" s="3316" t="s">
        <v>6255</v>
      </c>
      <c r="F41" s="3316" t="s">
        <v>6360</v>
      </c>
      <c r="G41" s="3316" t="s">
        <v>6360</v>
      </c>
      <c r="H41" s="3316" t="s">
        <v>6361</v>
      </c>
      <c r="I41" s="3316" t="s">
        <v>6299</v>
      </c>
      <c r="J41" s="3316" t="s">
        <v>6362</v>
      </c>
      <c r="K41" s="3316" t="s">
        <v>6257</v>
      </c>
      <c r="L41" s="3316" t="s">
        <v>6258</v>
      </c>
      <c r="M41" s="3316" t="s">
        <v>6252</v>
      </c>
      <c r="N41" s="3316" t="s">
        <v>6301</v>
      </c>
      <c r="O41" s="3316" t="s">
        <v>6286</v>
      </c>
      <c r="P41" s="3316" t="s">
        <v>6302</v>
      </c>
      <c r="Q41" s="3316" t="s">
        <v>6303</v>
      </c>
      <c r="R41" s="3316" t="s">
        <v>6303</v>
      </c>
      <c r="S41" s="3316" t="s">
        <v>5800</v>
      </c>
      <c r="T41" s="3316" t="s">
        <v>6304</v>
      </c>
      <c r="U41" s="3316" t="s">
        <v>6305</v>
      </c>
      <c r="V41" s="3316">
        <v>0</v>
      </c>
      <c r="W41" s="3316">
        <v>0</v>
      </c>
      <c r="X41" s="3316">
        <v>0</v>
      </c>
      <c r="Y41" s="3316">
        <v>66041</v>
      </c>
      <c r="Z41" s="3316" t="s">
        <v>6306</v>
      </c>
      <c r="AA41" s="3316" t="s">
        <v>6303</v>
      </c>
      <c r="AB41" s="3316">
        <v>66041</v>
      </c>
      <c r="AC41" s="3316" t="s">
        <v>6307</v>
      </c>
      <c r="AD41" s="3316" t="s">
        <v>6308</v>
      </c>
      <c r="AE41" s="3316">
        <v>66041</v>
      </c>
      <c r="AF41" s="3316" t="s">
        <v>6309</v>
      </c>
      <c r="AG41" s="3316" t="s">
        <v>6264</v>
      </c>
      <c r="AH41" s="3316">
        <v>6003</v>
      </c>
      <c r="AI41" s="3316">
        <v>60038</v>
      </c>
      <c r="AJ41" s="3316" t="s">
        <v>5800</v>
      </c>
      <c r="AL41" s="3316" t="s">
        <v>6363</v>
      </c>
      <c r="AM41" s="3316">
        <v>1</v>
      </c>
      <c r="AN41" s="3316">
        <v>0</v>
      </c>
      <c r="AO41" s="3316">
        <v>0</v>
      </c>
      <c r="AP41" s="3316">
        <v>0</v>
      </c>
      <c r="AQ41" s="3316" t="s">
        <v>5800</v>
      </c>
      <c r="AS41" s="3316" t="s">
        <v>6309</v>
      </c>
      <c r="AT41" s="3316" t="s">
        <v>6264</v>
      </c>
      <c r="AV41" s="3340">
        <v>0</v>
      </c>
      <c r="AW41" s="3340">
        <v>0</v>
      </c>
      <c r="AX41" s="3340">
        <v>0</v>
      </c>
      <c r="AY41" s="3340">
        <v>0</v>
      </c>
      <c r="AZ41" s="3340">
        <v>0</v>
      </c>
      <c r="BA41" s="3340">
        <v>66041</v>
      </c>
      <c r="BB41" s="3340">
        <v>66041</v>
      </c>
      <c r="BC41" s="3340">
        <v>66041</v>
      </c>
      <c r="BD41" s="3340">
        <v>0</v>
      </c>
      <c r="BE41" s="3340"/>
      <c r="BF41" s="3340">
        <v>0</v>
      </c>
      <c r="BG41" s="3340">
        <v>0</v>
      </c>
      <c r="BH41" s="3340">
        <v>0</v>
      </c>
      <c r="BI41" s="3340">
        <v>0</v>
      </c>
      <c r="BJ41" s="3340">
        <v>0</v>
      </c>
      <c r="BK41" s="3340">
        <v>60037</v>
      </c>
      <c r="BL41" s="3340">
        <v>60037</v>
      </c>
      <c r="BM41" s="3340">
        <v>60037</v>
      </c>
      <c r="BN41" s="3340"/>
      <c r="BO41" s="3340"/>
    </row>
    <row r="42" spans="1:67" s="3316" customFormat="1">
      <c r="A42" s="3316" t="s">
        <v>6252</v>
      </c>
      <c r="B42" s="3316" t="s">
        <v>6253</v>
      </c>
      <c r="C42" s="3316" t="s">
        <v>5800</v>
      </c>
      <c r="D42" s="3316" t="s">
        <v>6254</v>
      </c>
      <c r="E42" s="3316" t="s">
        <v>6255</v>
      </c>
      <c r="F42" s="3316" t="s">
        <v>6360</v>
      </c>
      <c r="G42" s="3316" t="s">
        <v>6360</v>
      </c>
      <c r="H42" s="3316" t="s">
        <v>6361</v>
      </c>
      <c r="I42" s="3316" t="s">
        <v>6299</v>
      </c>
      <c r="J42" s="3316" t="s">
        <v>6364</v>
      </c>
      <c r="K42" s="3316" t="s">
        <v>6257</v>
      </c>
      <c r="L42" s="3316" t="s">
        <v>6258</v>
      </c>
      <c r="M42" s="3316" t="s">
        <v>6252</v>
      </c>
      <c r="N42" s="3316" t="s">
        <v>6301</v>
      </c>
      <c r="O42" s="3316" t="s">
        <v>6286</v>
      </c>
      <c r="P42" s="3316" t="s">
        <v>6302</v>
      </c>
      <c r="Q42" s="3316" t="s">
        <v>6303</v>
      </c>
      <c r="R42" s="3316" t="s">
        <v>6303</v>
      </c>
      <c r="S42" s="3316" t="s">
        <v>5800</v>
      </c>
      <c r="T42" s="3316" t="s">
        <v>6304</v>
      </c>
      <c r="U42" s="3316" t="s">
        <v>6305</v>
      </c>
      <c r="V42" s="3316">
        <v>0</v>
      </c>
      <c r="W42" s="3316">
        <v>0</v>
      </c>
      <c r="X42" s="3316">
        <v>0</v>
      </c>
      <c r="Y42" s="3316">
        <v>11556</v>
      </c>
      <c r="Z42" s="3316" t="s">
        <v>6306</v>
      </c>
      <c r="AA42" s="3316" t="s">
        <v>6303</v>
      </c>
      <c r="AB42" s="3316">
        <v>11556</v>
      </c>
      <c r="AC42" s="3316" t="s">
        <v>6307</v>
      </c>
      <c r="AD42" s="3316" t="s">
        <v>6308</v>
      </c>
      <c r="AE42" s="3316">
        <v>11556</v>
      </c>
      <c r="AF42" s="3316" t="s">
        <v>6309</v>
      </c>
      <c r="AG42" s="3316" t="s">
        <v>6264</v>
      </c>
      <c r="AH42" s="3316">
        <v>1050</v>
      </c>
      <c r="AI42" s="3316">
        <v>10506</v>
      </c>
      <c r="AJ42" s="3316" t="s">
        <v>5800</v>
      </c>
      <c r="AL42" s="3316" t="s">
        <v>6365</v>
      </c>
      <c r="AM42" s="3316">
        <v>1</v>
      </c>
      <c r="AN42" s="3316">
        <v>0</v>
      </c>
      <c r="AO42" s="3316">
        <v>0</v>
      </c>
      <c r="AP42" s="3316">
        <v>0</v>
      </c>
      <c r="AQ42" s="3316" t="s">
        <v>5800</v>
      </c>
      <c r="AS42" s="3316" t="s">
        <v>6309</v>
      </c>
      <c r="AT42" s="3316" t="s">
        <v>6264</v>
      </c>
      <c r="AV42" s="3340">
        <v>0</v>
      </c>
      <c r="AW42" s="3340">
        <v>0</v>
      </c>
      <c r="AX42" s="3340">
        <v>0</v>
      </c>
      <c r="AY42" s="3340">
        <v>0</v>
      </c>
      <c r="AZ42" s="3340">
        <v>0</v>
      </c>
      <c r="BA42" s="3340">
        <v>11556</v>
      </c>
      <c r="BB42" s="3340">
        <v>11556</v>
      </c>
      <c r="BC42" s="3340">
        <v>11556</v>
      </c>
      <c r="BD42" s="3340">
        <v>0</v>
      </c>
      <c r="BE42" s="3340"/>
      <c r="BF42" s="3340">
        <v>0</v>
      </c>
      <c r="BG42" s="3340">
        <v>0</v>
      </c>
      <c r="BH42" s="3340">
        <v>0</v>
      </c>
      <c r="BI42" s="3340">
        <v>0</v>
      </c>
      <c r="BJ42" s="3340">
        <v>0</v>
      </c>
      <c r="BK42" s="3340">
        <v>10505</v>
      </c>
      <c r="BL42" s="3340">
        <v>10505</v>
      </c>
      <c r="BM42" s="3340">
        <v>10505</v>
      </c>
      <c r="BN42" s="3340"/>
      <c r="BO42" s="3340"/>
    </row>
    <row r="43" spans="1:67" s="3316" customFormat="1">
      <c r="A43" s="3316" t="s">
        <v>6252</v>
      </c>
      <c r="B43" s="3316" t="s">
        <v>6253</v>
      </c>
      <c r="C43" s="3316" t="s">
        <v>5800</v>
      </c>
      <c r="D43" s="3316" t="s">
        <v>6254</v>
      </c>
      <c r="E43" s="3316" t="s">
        <v>6255</v>
      </c>
      <c r="F43" s="3316" t="s">
        <v>6360</v>
      </c>
      <c r="G43" s="3316" t="s">
        <v>6360</v>
      </c>
      <c r="H43" s="3316" t="s">
        <v>6361</v>
      </c>
      <c r="I43" s="3316" t="s">
        <v>6299</v>
      </c>
      <c r="J43" s="3316" t="s">
        <v>6366</v>
      </c>
      <c r="K43" s="3316" t="s">
        <v>6257</v>
      </c>
      <c r="L43" s="3316" t="s">
        <v>6258</v>
      </c>
      <c r="M43" s="3316" t="s">
        <v>6252</v>
      </c>
      <c r="N43" s="3316" t="s">
        <v>6301</v>
      </c>
      <c r="O43" s="3316" t="s">
        <v>6286</v>
      </c>
      <c r="P43" s="3316" t="s">
        <v>6302</v>
      </c>
      <c r="Q43" s="3316" t="s">
        <v>6303</v>
      </c>
      <c r="R43" s="3316" t="s">
        <v>6303</v>
      </c>
      <c r="S43" s="3316" t="s">
        <v>5800</v>
      </c>
      <c r="T43" s="3316" t="s">
        <v>6304</v>
      </c>
      <c r="U43" s="3316" t="s">
        <v>6305</v>
      </c>
      <c r="V43" s="3316">
        <v>0</v>
      </c>
      <c r="W43" s="3316">
        <v>0</v>
      </c>
      <c r="X43" s="3316">
        <v>0</v>
      </c>
      <c r="Y43" s="3316">
        <v>10706</v>
      </c>
      <c r="Z43" s="3316" t="s">
        <v>6306</v>
      </c>
      <c r="AA43" s="3316" t="s">
        <v>6303</v>
      </c>
      <c r="AB43" s="3316">
        <v>10706</v>
      </c>
      <c r="AC43" s="3316" t="s">
        <v>6307</v>
      </c>
      <c r="AD43" s="3316" t="s">
        <v>6308</v>
      </c>
      <c r="AE43" s="3316">
        <v>10706</v>
      </c>
      <c r="AF43" s="3316" t="s">
        <v>6309</v>
      </c>
      <c r="AG43" s="3316" t="s">
        <v>6264</v>
      </c>
      <c r="AH43" s="3316">
        <v>973</v>
      </c>
      <c r="AI43" s="3316">
        <v>9733</v>
      </c>
      <c r="AJ43" s="3316" t="s">
        <v>5800</v>
      </c>
      <c r="AL43" s="3316" t="s">
        <v>6367</v>
      </c>
      <c r="AM43" s="3316">
        <v>1</v>
      </c>
      <c r="AN43" s="3316">
        <v>0</v>
      </c>
      <c r="AO43" s="3316">
        <v>0</v>
      </c>
      <c r="AP43" s="3316">
        <v>0</v>
      </c>
      <c r="AQ43" s="3316" t="s">
        <v>5800</v>
      </c>
      <c r="AS43" s="3316" t="s">
        <v>6309</v>
      </c>
      <c r="AT43" s="3316" t="s">
        <v>6264</v>
      </c>
      <c r="AV43" s="3340">
        <v>0</v>
      </c>
      <c r="AW43" s="3340">
        <v>0</v>
      </c>
      <c r="AX43" s="3340">
        <v>0</v>
      </c>
      <c r="AY43" s="3340">
        <v>0</v>
      </c>
      <c r="AZ43" s="3340">
        <v>0</v>
      </c>
      <c r="BA43" s="3340">
        <v>10706</v>
      </c>
      <c r="BB43" s="3340">
        <v>10706</v>
      </c>
      <c r="BC43" s="3340">
        <v>10706</v>
      </c>
      <c r="BD43" s="3340">
        <v>0</v>
      </c>
      <c r="BE43" s="3340"/>
      <c r="BF43" s="3340">
        <v>0</v>
      </c>
      <c r="BG43" s="3340">
        <v>0</v>
      </c>
      <c r="BH43" s="3340">
        <v>0</v>
      </c>
      <c r="BI43" s="3340">
        <v>0</v>
      </c>
      <c r="BJ43" s="3340">
        <v>0</v>
      </c>
      <c r="BK43" s="3340">
        <v>9733</v>
      </c>
      <c r="BL43" s="3340">
        <v>9733</v>
      </c>
      <c r="BM43" s="3340">
        <v>9733</v>
      </c>
      <c r="BN43" s="3340"/>
      <c r="BO43" s="3340"/>
    </row>
    <row r="44" spans="1:67" s="3316" customFormat="1">
      <c r="A44" s="3316" t="s">
        <v>6252</v>
      </c>
      <c r="B44" s="3316" t="s">
        <v>6253</v>
      </c>
      <c r="C44" s="3316" t="s">
        <v>5800</v>
      </c>
      <c r="D44" s="3316" t="s">
        <v>6254</v>
      </c>
      <c r="E44" s="3316" t="s">
        <v>6255</v>
      </c>
      <c r="F44" s="3316" t="s">
        <v>6360</v>
      </c>
      <c r="G44" s="3316" t="s">
        <v>6360</v>
      </c>
      <c r="H44" s="3316" t="s">
        <v>6361</v>
      </c>
      <c r="I44" s="3316" t="s">
        <v>6299</v>
      </c>
      <c r="J44" s="3316" t="s">
        <v>6368</v>
      </c>
      <c r="K44" s="3316" t="s">
        <v>6257</v>
      </c>
      <c r="L44" s="3316" t="s">
        <v>6258</v>
      </c>
      <c r="M44" s="3316" t="s">
        <v>6252</v>
      </c>
      <c r="N44" s="3316" t="s">
        <v>6301</v>
      </c>
      <c r="O44" s="3316" t="s">
        <v>6286</v>
      </c>
      <c r="P44" s="3316" t="s">
        <v>6302</v>
      </c>
      <c r="Q44" s="3316" t="s">
        <v>6303</v>
      </c>
      <c r="R44" s="3316" t="s">
        <v>6303</v>
      </c>
      <c r="S44" s="3316" t="s">
        <v>5800</v>
      </c>
      <c r="T44" s="3316" t="s">
        <v>6304</v>
      </c>
      <c r="U44" s="3316" t="s">
        <v>6305</v>
      </c>
      <c r="V44" s="3316">
        <v>0</v>
      </c>
      <c r="W44" s="3316">
        <v>0</v>
      </c>
      <c r="X44" s="3316">
        <v>0</v>
      </c>
      <c r="Y44" s="3316">
        <v>37</v>
      </c>
      <c r="Z44" s="3316" t="s">
        <v>6306</v>
      </c>
      <c r="AA44" s="3316" t="s">
        <v>6303</v>
      </c>
      <c r="AB44" s="3316">
        <v>37</v>
      </c>
      <c r="AC44" s="3316" t="s">
        <v>6307</v>
      </c>
      <c r="AD44" s="3316" t="s">
        <v>6308</v>
      </c>
      <c r="AE44" s="3316">
        <v>37</v>
      </c>
      <c r="AF44" s="3316" t="s">
        <v>6309</v>
      </c>
      <c r="AG44" s="3316" t="s">
        <v>6264</v>
      </c>
      <c r="AH44" s="3316">
        <v>3</v>
      </c>
      <c r="AI44" s="3316">
        <v>34</v>
      </c>
      <c r="AJ44" s="3316" t="s">
        <v>5800</v>
      </c>
      <c r="AL44" s="3316" t="s">
        <v>6369</v>
      </c>
      <c r="AM44" s="3316">
        <v>1</v>
      </c>
      <c r="AN44" s="3316">
        <v>0</v>
      </c>
      <c r="AO44" s="3316">
        <v>0</v>
      </c>
      <c r="AP44" s="3316">
        <v>0</v>
      </c>
      <c r="AQ44" s="3316" t="s">
        <v>5800</v>
      </c>
      <c r="AS44" s="3316" t="s">
        <v>6309</v>
      </c>
      <c r="AT44" s="3316" t="s">
        <v>6264</v>
      </c>
      <c r="AV44" s="3340">
        <v>0</v>
      </c>
      <c r="AW44" s="3340">
        <v>0</v>
      </c>
      <c r="AX44" s="3340">
        <v>0</v>
      </c>
      <c r="AY44" s="3340">
        <v>0</v>
      </c>
      <c r="AZ44" s="3340">
        <v>0</v>
      </c>
      <c r="BA44" s="3340">
        <v>37</v>
      </c>
      <c r="BB44" s="3340">
        <v>37</v>
      </c>
      <c r="BC44" s="3340">
        <v>37</v>
      </c>
      <c r="BD44" s="3340">
        <v>0</v>
      </c>
      <c r="BE44" s="3340"/>
      <c r="BF44" s="3340">
        <v>0</v>
      </c>
      <c r="BG44" s="3340">
        <v>0</v>
      </c>
      <c r="BH44" s="3340">
        <v>0</v>
      </c>
      <c r="BI44" s="3340">
        <v>0</v>
      </c>
      <c r="BJ44" s="3340">
        <v>0</v>
      </c>
      <c r="BK44" s="3340">
        <v>34</v>
      </c>
      <c r="BL44" s="3340">
        <v>34</v>
      </c>
      <c r="BM44" s="3340">
        <v>34</v>
      </c>
      <c r="BN44" s="3340"/>
      <c r="BO44" s="3340"/>
    </row>
    <row r="45" spans="1:67" s="3316" customFormat="1">
      <c r="A45" s="3316" t="s">
        <v>6252</v>
      </c>
      <c r="B45" s="3316" t="s">
        <v>6253</v>
      </c>
      <c r="C45" s="3316" t="s">
        <v>5800</v>
      </c>
      <c r="D45" s="3316" t="s">
        <v>6254</v>
      </c>
      <c r="E45" s="3316" t="s">
        <v>6255</v>
      </c>
      <c r="F45" s="3316" t="s">
        <v>6360</v>
      </c>
      <c r="G45" s="3316" t="s">
        <v>6360</v>
      </c>
      <c r="H45" s="3316" t="s">
        <v>6361</v>
      </c>
      <c r="I45" s="3316" t="s">
        <v>6299</v>
      </c>
      <c r="J45" s="3316" t="s">
        <v>6370</v>
      </c>
      <c r="K45" s="3316" t="s">
        <v>6257</v>
      </c>
      <c r="L45" s="3316" t="s">
        <v>6258</v>
      </c>
      <c r="M45" s="3316" t="s">
        <v>6252</v>
      </c>
      <c r="N45" s="3316" t="s">
        <v>6301</v>
      </c>
      <c r="O45" s="3316" t="s">
        <v>6286</v>
      </c>
      <c r="P45" s="3316" t="s">
        <v>6302</v>
      </c>
      <c r="Q45" s="3316" t="s">
        <v>6303</v>
      </c>
      <c r="R45" s="3316" t="s">
        <v>6303</v>
      </c>
      <c r="S45" s="3316" t="s">
        <v>5800</v>
      </c>
      <c r="T45" s="3316" t="s">
        <v>6304</v>
      </c>
      <c r="U45" s="3316" t="s">
        <v>6305</v>
      </c>
      <c r="V45" s="3316">
        <v>0</v>
      </c>
      <c r="W45" s="3316">
        <v>0</v>
      </c>
      <c r="X45" s="3316">
        <v>0</v>
      </c>
      <c r="Y45" s="3316">
        <v>21887</v>
      </c>
      <c r="Z45" s="3316" t="s">
        <v>6306</v>
      </c>
      <c r="AA45" s="3316" t="s">
        <v>6303</v>
      </c>
      <c r="AB45" s="3316">
        <v>21887</v>
      </c>
      <c r="AC45" s="3316" t="s">
        <v>6307</v>
      </c>
      <c r="AD45" s="3316" t="s">
        <v>6308</v>
      </c>
      <c r="AE45" s="3316">
        <v>21887</v>
      </c>
      <c r="AF45" s="3316" t="s">
        <v>6309</v>
      </c>
      <c r="AG45" s="3316" t="s">
        <v>6264</v>
      </c>
      <c r="AH45" s="3316">
        <v>1989</v>
      </c>
      <c r="AI45" s="3316">
        <v>19898</v>
      </c>
      <c r="AJ45" s="3316" t="s">
        <v>5800</v>
      </c>
      <c r="AL45" s="3316" t="s">
        <v>6371</v>
      </c>
      <c r="AM45" s="3316">
        <v>1</v>
      </c>
      <c r="AN45" s="3316">
        <v>0</v>
      </c>
      <c r="AO45" s="3316">
        <v>0</v>
      </c>
      <c r="AP45" s="3316">
        <v>0</v>
      </c>
      <c r="AQ45" s="3316" t="s">
        <v>5800</v>
      </c>
      <c r="AS45" s="3316" t="s">
        <v>6309</v>
      </c>
      <c r="AT45" s="3316" t="s">
        <v>6264</v>
      </c>
      <c r="AV45" s="3340">
        <v>0</v>
      </c>
      <c r="AW45" s="3340">
        <v>0</v>
      </c>
      <c r="AX45" s="3340">
        <v>0</v>
      </c>
      <c r="AY45" s="3340">
        <v>0</v>
      </c>
      <c r="AZ45" s="3340">
        <v>0</v>
      </c>
      <c r="BA45" s="3340">
        <v>21887</v>
      </c>
      <c r="BB45" s="3340">
        <v>21887</v>
      </c>
      <c r="BC45" s="3340">
        <v>21887</v>
      </c>
      <c r="BD45" s="3340">
        <v>0</v>
      </c>
      <c r="BE45" s="3340"/>
      <c r="BF45" s="3340">
        <v>0</v>
      </c>
      <c r="BG45" s="3340">
        <v>0</v>
      </c>
      <c r="BH45" s="3340">
        <v>0</v>
      </c>
      <c r="BI45" s="3340">
        <v>0</v>
      </c>
      <c r="BJ45" s="3340">
        <v>0</v>
      </c>
      <c r="BK45" s="3340">
        <v>19897</v>
      </c>
      <c r="BL45" s="3340">
        <v>19897</v>
      </c>
      <c r="BM45" s="3340">
        <v>19897</v>
      </c>
      <c r="BN45" s="3340"/>
      <c r="BO45" s="3340"/>
    </row>
    <row r="46" spans="1:67" s="3316" customFormat="1">
      <c r="A46" s="3316" t="s">
        <v>6252</v>
      </c>
      <c r="B46" s="3316" t="s">
        <v>6253</v>
      </c>
      <c r="C46" s="3316" t="s">
        <v>5800</v>
      </c>
      <c r="D46" s="3316" t="s">
        <v>6254</v>
      </c>
      <c r="E46" s="3316" t="s">
        <v>6255</v>
      </c>
      <c r="F46" s="3316" t="s">
        <v>6268</v>
      </c>
      <c r="G46" s="3316" t="s">
        <v>6268</v>
      </c>
      <c r="H46" s="3316" t="s">
        <v>6372</v>
      </c>
      <c r="I46" s="3316" t="s">
        <v>6299</v>
      </c>
      <c r="J46" s="3316" t="s">
        <v>6373</v>
      </c>
      <c r="K46" s="3316" t="s">
        <v>6257</v>
      </c>
      <c r="L46" s="3316" t="s">
        <v>6258</v>
      </c>
      <c r="M46" s="3316" t="s">
        <v>6252</v>
      </c>
      <c r="N46" s="3316" t="s">
        <v>6301</v>
      </c>
      <c r="O46" s="3316" t="s">
        <v>6286</v>
      </c>
      <c r="P46" s="3316" t="s">
        <v>6302</v>
      </c>
      <c r="Q46" s="3316" t="s">
        <v>6303</v>
      </c>
      <c r="R46" s="3316" t="s">
        <v>6303</v>
      </c>
      <c r="S46" s="3316" t="s">
        <v>5800</v>
      </c>
      <c r="T46" s="3316" t="s">
        <v>6304</v>
      </c>
      <c r="U46" s="3316" t="s">
        <v>6305</v>
      </c>
      <c r="V46" s="3316">
        <v>0</v>
      </c>
      <c r="W46" s="3316">
        <v>0</v>
      </c>
      <c r="X46" s="3316">
        <v>0</v>
      </c>
      <c r="Y46" s="3316">
        <v>878987</v>
      </c>
      <c r="Z46" s="3316" t="s">
        <v>6306</v>
      </c>
      <c r="AA46" s="3316" t="s">
        <v>6303</v>
      </c>
      <c r="AB46" s="3316">
        <v>878987</v>
      </c>
      <c r="AC46" s="3316" t="s">
        <v>6307</v>
      </c>
      <c r="AD46" s="3316" t="s">
        <v>6308</v>
      </c>
      <c r="AE46" s="3316">
        <v>878987</v>
      </c>
      <c r="AF46" s="3316" t="s">
        <v>6309</v>
      </c>
      <c r="AG46" s="3316" t="s">
        <v>6264</v>
      </c>
      <c r="AH46" s="3316">
        <v>79907</v>
      </c>
      <c r="AI46" s="3316">
        <v>799080</v>
      </c>
      <c r="AJ46" s="3316" t="s">
        <v>5800</v>
      </c>
      <c r="AL46" s="3316" t="s">
        <v>6374</v>
      </c>
      <c r="AM46" s="3316">
        <v>1</v>
      </c>
      <c r="AN46" s="3316">
        <v>0</v>
      </c>
      <c r="AO46" s="3316">
        <v>0</v>
      </c>
      <c r="AP46" s="3316">
        <v>0</v>
      </c>
      <c r="AQ46" s="3316" t="s">
        <v>5800</v>
      </c>
      <c r="AS46" s="3316" t="s">
        <v>6309</v>
      </c>
      <c r="AT46" s="3316" t="s">
        <v>6264</v>
      </c>
      <c r="AV46" s="3340">
        <v>0</v>
      </c>
      <c r="AW46" s="3340">
        <v>0</v>
      </c>
      <c r="AX46" s="3340">
        <v>0</v>
      </c>
      <c r="AY46" s="3340">
        <v>0</v>
      </c>
      <c r="AZ46" s="3340">
        <v>0</v>
      </c>
      <c r="BA46" s="3340">
        <v>878987</v>
      </c>
      <c r="BB46" s="3340">
        <v>878987</v>
      </c>
      <c r="BC46" s="3340">
        <v>878987</v>
      </c>
      <c r="BD46" s="3340">
        <v>0</v>
      </c>
      <c r="BE46" s="3340"/>
      <c r="BF46" s="3340">
        <v>0</v>
      </c>
      <c r="BG46" s="3340">
        <v>0</v>
      </c>
      <c r="BH46" s="3340">
        <v>0</v>
      </c>
      <c r="BI46" s="3340">
        <v>0</v>
      </c>
      <c r="BJ46" s="3340">
        <v>0</v>
      </c>
      <c r="BK46" s="3340">
        <v>799079</v>
      </c>
      <c r="BL46" s="3340">
        <v>799079</v>
      </c>
      <c r="BM46" s="3340">
        <v>799079</v>
      </c>
      <c r="BN46" s="3340"/>
      <c r="BO46" s="3340"/>
    </row>
    <row r="47" spans="1:67" s="3316" customFormat="1">
      <c r="A47" s="3316" t="s">
        <v>6252</v>
      </c>
      <c r="B47" s="3316" t="s">
        <v>6253</v>
      </c>
      <c r="C47" s="3316" t="s">
        <v>5800</v>
      </c>
      <c r="D47" s="3316" t="s">
        <v>6254</v>
      </c>
      <c r="E47" s="3316" t="s">
        <v>6255</v>
      </c>
      <c r="F47" s="3316" t="s">
        <v>6268</v>
      </c>
      <c r="G47" s="3316" t="s">
        <v>6268</v>
      </c>
      <c r="H47" s="3316" t="s">
        <v>6372</v>
      </c>
      <c r="I47" s="3316" t="s">
        <v>6299</v>
      </c>
      <c r="J47" s="3316" t="s">
        <v>6375</v>
      </c>
      <c r="K47" s="3316" t="s">
        <v>6257</v>
      </c>
      <c r="L47" s="3316" t="s">
        <v>6258</v>
      </c>
      <c r="M47" s="3316" t="s">
        <v>6252</v>
      </c>
      <c r="N47" s="3316" t="s">
        <v>6301</v>
      </c>
      <c r="O47" s="3316" t="s">
        <v>6286</v>
      </c>
      <c r="P47" s="3316" t="s">
        <v>6302</v>
      </c>
      <c r="Q47" s="3316" t="s">
        <v>6303</v>
      </c>
      <c r="R47" s="3316" t="s">
        <v>6303</v>
      </c>
      <c r="S47" s="3316" t="s">
        <v>5800</v>
      </c>
      <c r="T47" s="3316" t="s">
        <v>6304</v>
      </c>
      <c r="U47" s="3316" t="s">
        <v>6305</v>
      </c>
      <c r="V47" s="3316">
        <v>0</v>
      </c>
      <c r="W47" s="3316">
        <v>0</v>
      </c>
      <c r="X47" s="3316">
        <v>0</v>
      </c>
      <c r="Y47" s="3316">
        <v>14357</v>
      </c>
      <c r="Z47" s="3316" t="s">
        <v>6306</v>
      </c>
      <c r="AA47" s="3316" t="s">
        <v>6303</v>
      </c>
      <c r="AB47" s="3316">
        <v>14357</v>
      </c>
      <c r="AC47" s="3316" t="s">
        <v>6307</v>
      </c>
      <c r="AD47" s="3316" t="s">
        <v>6308</v>
      </c>
      <c r="AE47" s="3316">
        <v>14357</v>
      </c>
      <c r="AF47" s="3316" t="s">
        <v>6309</v>
      </c>
      <c r="AG47" s="3316" t="s">
        <v>6264</v>
      </c>
      <c r="AH47" s="3316">
        <v>1305</v>
      </c>
      <c r="AI47" s="3316">
        <v>13052</v>
      </c>
      <c r="AJ47" s="3316" t="s">
        <v>5800</v>
      </c>
      <c r="AL47" s="3316" t="s">
        <v>6376</v>
      </c>
      <c r="AM47" s="3316">
        <v>1</v>
      </c>
      <c r="AN47" s="3316">
        <v>0</v>
      </c>
      <c r="AO47" s="3316">
        <v>0</v>
      </c>
      <c r="AP47" s="3316">
        <v>0</v>
      </c>
      <c r="AQ47" s="3316" t="s">
        <v>5800</v>
      </c>
      <c r="AS47" s="3316" t="s">
        <v>6309</v>
      </c>
      <c r="AT47" s="3316" t="s">
        <v>6264</v>
      </c>
      <c r="AV47" s="3340">
        <v>0</v>
      </c>
      <c r="AW47" s="3340">
        <v>0</v>
      </c>
      <c r="AX47" s="3340">
        <v>0</v>
      </c>
      <c r="AY47" s="3340">
        <v>0</v>
      </c>
      <c r="AZ47" s="3340">
        <v>0</v>
      </c>
      <c r="BA47" s="3340">
        <v>14357</v>
      </c>
      <c r="BB47" s="3340">
        <v>14357</v>
      </c>
      <c r="BC47" s="3340">
        <v>14357</v>
      </c>
      <c r="BD47" s="3340">
        <v>0</v>
      </c>
      <c r="BE47" s="3340"/>
      <c r="BF47" s="3340">
        <v>0</v>
      </c>
      <c r="BG47" s="3340">
        <v>0</v>
      </c>
      <c r="BH47" s="3340">
        <v>0</v>
      </c>
      <c r="BI47" s="3340">
        <v>0</v>
      </c>
      <c r="BJ47" s="3340">
        <v>0</v>
      </c>
      <c r="BK47" s="3340">
        <v>13052</v>
      </c>
      <c r="BL47" s="3340">
        <v>13052</v>
      </c>
      <c r="BM47" s="3340">
        <v>13052</v>
      </c>
      <c r="BN47" s="3340"/>
      <c r="BO47" s="3340"/>
    </row>
    <row r="48" spans="1:67" s="3316" customFormat="1">
      <c r="A48" s="3316" t="s">
        <v>6252</v>
      </c>
      <c r="B48" s="3316" t="s">
        <v>6253</v>
      </c>
      <c r="C48" s="3316" t="s">
        <v>5800</v>
      </c>
      <c r="D48" s="3316" t="s">
        <v>6254</v>
      </c>
      <c r="E48" s="3316" t="s">
        <v>6255</v>
      </c>
      <c r="F48" s="3316" t="s">
        <v>6268</v>
      </c>
      <c r="G48" s="3316" t="s">
        <v>6268</v>
      </c>
      <c r="H48" s="3316" t="s">
        <v>6372</v>
      </c>
      <c r="I48" s="3316" t="s">
        <v>6299</v>
      </c>
      <c r="J48" s="3316" t="s">
        <v>6377</v>
      </c>
      <c r="K48" s="3316" t="s">
        <v>6257</v>
      </c>
      <c r="L48" s="3316" t="s">
        <v>6258</v>
      </c>
      <c r="M48" s="3316" t="s">
        <v>6252</v>
      </c>
      <c r="N48" s="3316" t="s">
        <v>6301</v>
      </c>
      <c r="O48" s="3316" t="s">
        <v>6286</v>
      </c>
      <c r="P48" s="3316" t="s">
        <v>6302</v>
      </c>
      <c r="Q48" s="3316" t="s">
        <v>6303</v>
      </c>
      <c r="R48" s="3316" t="s">
        <v>6303</v>
      </c>
      <c r="S48" s="3316" t="s">
        <v>5800</v>
      </c>
      <c r="T48" s="3316" t="s">
        <v>6304</v>
      </c>
      <c r="U48" s="3316" t="s">
        <v>6305</v>
      </c>
      <c r="V48" s="3316">
        <v>0</v>
      </c>
      <c r="W48" s="3316">
        <v>0</v>
      </c>
      <c r="X48" s="3316">
        <v>0</v>
      </c>
      <c r="Y48" s="3316">
        <v>72017</v>
      </c>
      <c r="Z48" s="3316" t="s">
        <v>6306</v>
      </c>
      <c r="AA48" s="3316" t="s">
        <v>6303</v>
      </c>
      <c r="AB48" s="3316">
        <v>72017</v>
      </c>
      <c r="AC48" s="3316" t="s">
        <v>6307</v>
      </c>
      <c r="AD48" s="3316" t="s">
        <v>6308</v>
      </c>
      <c r="AE48" s="3316">
        <v>72017</v>
      </c>
      <c r="AF48" s="3316" t="s">
        <v>6309</v>
      </c>
      <c r="AG48" s="3316" t="s">
        <v>6264</v>
      </c>
      <c r="AH48" s="3316">
        <v>6547</v>
      </c>
      <c r="AI48" s="3316">
        <v>65470</v>
      </c>
      <c r="AJ48" s="3316" t="s">
        <v>5800</v>
      </c>
      <c r="AL48" s="3316" t="s">
        <v>6378</v>
      </c>
      <c r="AM48" s="3316">
        <v>1</v>
      </c>
      <c r="AN48" s="3316">
        <v>0</v>
      </c>
      <c r="AO48" s="3316">
        <v>0</v>
      </c>
      <c r="AP48" s="3316">
        <v>0</v>
      </c>
      <c r="AQ48" s="3316" t="s">
        <v>5800</v>
      </c>
      <c r="AS48" s="3316" t="s">
        <v>6309</v>
      </c>
      <c r="AT48" s="3316" t="s">
        <v>6264</v>
      </c>
      <c r="AV48" s="3340">
        <v>0</v>
      </c>
      <c r="AW48" s="3340">
        <v>0</v>
      </c>
      <c r="AX48" s="3340">
        <v>0</v>
      </c>
      <c r="AY48" s="3340">
        <v>0</v>
      </c>
      <c r="AZ48" s="3340">
        <v>0</v>
      </c>
      <c r="BA48" s="3340">
        <v>72017</v>
      </c>
      <c r="BB48" s="3340">
        <v>72017</v>
      </c>
      <c r="BC48" s="3340">
        <v>72017</v>
      </c>
      <c r="BD48" s="3340">
        <v>0</v>
      </c>
      <c r="BE48" s="3340"/>
      <c r="BF48" s="3340">
        <v>0</v>
      </c>
      <c r="BG48" s="3340">
        <v>0</v>
      </c>
      <c r="BH48" s="3340">
        <v>0</v>
      </c>
      <c r="BI48" s="3340">
        <v>0</v>
      </c>
      <c r="BJ48" s="3340">
        <v>0</v>
      </c>
      <c r="BK48" s="3340">
        <v>65470</v>
      </c>
      <c r="BL48" s="3340">
        <v>65470</v>
      </c>
      <c r="BM48" s="3340">
        <v>65470</v>
      </c>
      <c r="BN48" s="3340"/>
      <c r="BO48" s="3340"/>
    </row>
    <row r="49" spans="1:67" s="3316" customFormat="1">
      <c r="A49" s="3316" t="s">
        <v>6252</v>
      </c>
      <c r="B49" s="3316" t="s">
        <v>6253</v>
      </c>
      <c r="C49" s="3316" t="s">
        <v>5800</v>
      </c>
      <c r="D49" s="3316" t="s">
        <v>6254</v>
      </c>
      <c r="E49" s="3316" t="s">
        <v>6255</v>
      </c>
      <c r="F49" s="3316" t="s">
        <v>6268</v>
      </c>
      <c r="G49" s="3316" t="s">
        <v>6268</v>
      </c>
      <c r="H49" s="3316" t="s">
        <v>6372</v>
      </c>
      <c r="I49" s="3316" t="s">
        <v>6299</v>
      </c>
      <c r="J49" s="3316" t="s">
        <v>6379</v>
      </c>
      <c r="K49" s="3316" t="s">
        <v>6257</v>
      </c>
      <c r="L49" s="3316" t="s">
        <v>6258</v>
      </c>
      <c r="M49" s="3316" t="s">
        <v>6252</v>
      </c>
      <c r="N49" s="3316" t="s">
        <v>6301</v>
      </c>
      <c r="O49" s="3316" t="s">
        <v>6286</v>
      </c>
      <c r="P49" s="3316" t="s">
        <v>6302</v>
      </c>
      <c r="Q49" s="3316" t="s">
        <v>6303</v>
      </c>
      <c r="R49" s="3316" t="s">
        <v>6303</v>
      </c>
      <c r="S49" s="3316" t="s">
        <v>5800</v>
      </c>
      <c r="T49" s="3316" t="s">
        <v>6304</v>
      </c>
      <c r="U49" s="3316" t="s">
        <v>6305</v>
      </c>
      <c r="V49" s="3316">
        <v>0</v>
      </c>
      <c r="W49" s="3316">
        <v>0</v>
      </c>
      <c r="X49" s="3316">
        <v>0</v>
      </c>
      <c r="Y49" s="3316">
        <v>47795</v>
      </c>
      <c r="Z49" s="3316" t="s">
        <v>6306</v>
      </c>
      <c r="AA49" s="3316" t="s">
        <v>6303</v>
      </c>
      <c r="AB49" s="3316">
        <v>47795</v>
      </c>
      <c r="AC49" s="3316" t="s">
        <v>6307</v>
      </c>
      <c r="AD49" s="3316" t="s">
        <v>6308</v>
      </c>
      <c r="AE49" s="3316">
        <v>47795</v>
      </c>
      <c r="AF49" s="3316" t="s">
        <v>6309</v>
      </c>
      <c r="AG49" s="3316" t="s">
        <v>6264</v>
      </c>
      <c r="AH49" s="3316">
        <v>4345</v>
      </c>
      <c r="AI49" s="3316">
        <v>43450</v>
      </c>
      <c r="AJ49" s="3316" t="s">
        <v>5800</v>
      </c>
      <c r="AL49" s="3316" t="s">
        <v>6380</v>
      </c>
      <c r="AM49" s="3316">
        <v>1</v>
      </c>
      <c r="AN49" s="3316">
        <v>0</v>
      </c>
      <c r="AO49" s="3316">
        <v>0</v>
      </c>
      <c r="AP49" s="3316">
        <v>0</v>
      </c>
      <c r="AQ49" s="3316" t="s">
        <v>5800</v>
      </c>
      <c r="AS49" s="3316" t="s">
        <v>6309</v>
      </c>
      <c r="AT49" s="3316" t="s">
        <v>6264</v>
      </c>
      <c r="AV49" s="3340">
        <v>0</v>
      </c>
      <c r="AW49" s="3340">
        <v>0</v>
      </c>
      <c r="AX49" s="3340">
        <v>0</v>
      </c>
      <c r="AY49" s="3340">
        <v>0</v>
      </c>
      <c r="AZ49" s="3340">
        <v>0</v>
      </c>
      <c r="BA49" s="3340">
        <v>47795</v>
      </c>
      <c r="BB49" s="3340">
        <v>47795</v>
      </c>
      <c r="BC49" s="3340">
        <v>47795</v>
      </c>
      <c r="BD49" s="3340">
        <v>0</v>
      </c>
      <c r="BE49" s="3340"/>
      <c r="BF49" s="3340">
        <v>0</v>
      </c>
      <c r="BG49" s="3340">
        <v>0</v>
      </c>
      <c r="BH49" s="3340">
        <v>0</v>
      </c>
      <c r="BI49" s="3340">
        <v>0</v>
      </c>
      <c r="BJ49" s="3340">
        <v>0</v>
      </c>
      <c r="BK49" s="3340">
        <v>43450</v>
      </c>
      <c r="BL49" s="3340">
        <v>43450</v>
      </c>
      <c r="BM49" s="3340">
        <v>43450</v>
      </c>
      <c r="BN49" s="3340"/>
      <c r="BO49" s="3340"/>
    </row>
    <row r="50" spans="1:67" s="3316" customFormat="1">
      <c r="A50" s="3316" t="s">
        <v>6252</v>
      </c>
      <c r="B50" s="3316" t="s">
        <v>6253</v>
      </c>
      <c r="C50" s="3316" t="s">
        <v>5800</v>
      </c>
      <c r="D50" s="3316" t="s">
        <v>6254</v>
      </c>
      <c r="E50" s="3316" t="s">
        <v>6255</v>
      </c>
      <c r="F50" s="3316" t="s">
        <v>6268</v>
      </c>
      <c r="G50" s="3316" t="s">
        <v>6268</v>
      </c>
      <c r="H50" s="3316" t="s">
        <v>6372</v>
      </c>
      <c r="I50" s="3316" t="s">
        <v>6299</v>
      </c>
      <c r="J50" s="3316" t="s">
        <v>6381</v>
      </c>
      <c r="K50" s="3316" t="s">
        <v>6257</v>
      </c>
      <c r="L50" s="3316" t="s">
        <v>6258</v>
      </c>
      <c r="M50" s="3316" t="s">
        <v>6252</v>
      </c>
      <c r="N50" s="3316" t="s">
        <v>6301</v>
      </c>
      <c r="O50" s="3316" t="s">
        <v>6286</v>
      </c>
      <c r="P50" s="3316" t="s">
        <v>6302</v>
      </c>
      <c r="Q50" s="3316" t="s">
        <v>6303</v>
      </c>
      <c r="R50" s="3316" t="s">
        <v>6303</v>
      </c>
      <c r="S50" s="3316" t="s">
        <v>5800</v>
      </c>
      <c r="T50" s="3316" t="s">
        <v>6304</v>
      </c>
      <c r="U50" s="3316" t="s">
        <v>6305</v>
      </c>
      <c r="V50" s="3316">
        <v>0</v>
      </c>
      <c r="W50" s="3316">
        <v>0</v>
      </c>
      <c r="X50" s="3316">
        <v>0</v>
      </c>
      <c r="Y50" s="3316">
        <v>5553</v>
      </c>
      <c r="Z50" s="3316" t="s">
        <v>6306</v>
      </c>
      <c r="AA50" s="3316" t="s">
        <v>6303</v>
      </c>
      <c r="AB50" s="3316">
        <v>5553</v>
      </c>
      <c r="AC50" s="3316" t="s">
        <v>6307</v>
      </c>
      <c r="AD50" s="3316" t="s">
        <v>6308</v>
      </c>
      <c r="AE50" s="3316">
        <v>5553</v>
      </c>
      <c r="AF50" s="3316" t="s">
        <v>6309</v>
      </c>
      <c r="AG50" s="3316" t="s">
        <v>6264</v>
      </c>
      <c r="AH50" s="3316">
        <v>504</v>
      </c>
      <c r="AI50" s="3316">
        <v>5049</v>
      </c>
      <c r="AJ50" s="3316" t="s">
        <v>5800</v>
      </c>
      <c r="AL50" s="3316" t="s">
        <v>6382</v>
      </c>
      <c r="AM50" s="3316">
        <v>1</v>
      </c>
      <c r="AN50" s="3316">
        <v>0</v>
      </c>
      <c r="AO50" s="3316">
        <v>0</v>
      </c>
      <c r="AP50" s="3316">
        <v>0</v>
      </c>
      <c r="AQ50" s="3316" t="s">
        <v>5800</v>
      </c>
      <c r="AS50" s="3316" t="s">
        <v>6309</v>
      </c>
      <c r="AT50" s="3316" t="s">
        <v>6264</v>
      </c>
      <c r="AV50" s="3340">
        <v>0</v>
      </c>
      <c r="AW50" s="3340">
        <v>0</v>
      </c>
      <c r="AX50" s="3340">
        <v>0</v>
      </c>
      <c r="AY50" s="3340">
        <v>0</v>
      </c>
      <c r="AZ50" s="3340">
        <v>0</v>
      </c>
      <c r="BA50" s="3340">
        <v>5553</v>
      </c>
      <c r="BB50" s="3340">
        <v>5553</v>
      </c>
      <c r="BC50" s="3340">
        <v>5553</v>
      </c>
      <c r="BD50" s="3340">
        <v>0</v>
      </c>
      <c r="BE50" s="3340"/>
      <c r="BF50" s="3340">
        <v>0</v>
      </c>
      <c r="BG50" s="3340">
        <v>0</v>
      </c>
      <c r="BH50" s="3340">
        <v>0</v>
      </c>
      <c r="BI50" s="3340">
        <v>0</v>
      </c>
      <c r="BJ50" s="3340">
        <v>0</v>
      </c>
      <c r="BK50" s="3340">
        <v>5048</v>
      </c>
      <c r="BL50" s="3340">
        <v>5048</v>
      </c>
      <c r="BM50" s="3340">
        <v>5048</v>
      </c>
      <c r="BN50" s="3340"/>
      <c r="BO50" s="3340"/>
    </row>
    <row r="51" spans="1:67" s="3316" customFormat="1">
      <c r="A51" s="3316" t="s">
        <v>6252</v>
      </c>
      <c r="B51" s="3316" t="s">
        <v>6253</v>
      </c>
      <c r="C51" s="3316" t="s">
        <v>5800</v>
      </c>
      <c r="D51" s="3316" t="s">
        <v>6254</v>
      </c>
      <c r="E51" s="3316" t="s">
        <v>6255</v>
      </c>
      <c r="F51" s="3316" t="s">
        <v>6256</v>
      </c>
      <c r="G51" s="3316" t="s">
        <v>6256</v>
      </c>
      <c r="H51" s="3316" t="s">
        <v>6383</v>
      </c>
      <c r="I51" s="3316" t="s">
        <v>6299</v>
      </c>
      <c r="J51" s="3316" t="s">
        <v>6384</v>
      </c>
      <c r="K51" s="3316" t="s">
        <v>6257</v>
      </c>
      <c r="L51" s="3316" t="s">
        <v>6258</v>
      </c>
      <c r="M51" s="3316" t="s">
        <v>6252</v>
      </c>
      <c r="N51" s="3316" t="s">
        <v>6301</v>
      </c>
      <c r="O51" s="3316" t="s">
        <v>6286</v>
      </c>
      <c r="P51" s="3316" t="s">
        <v>6302</v>
      </c>
      <c r="Q51" s="3316" t="s">
        <v>6303</v>
      </c>
      <c r="R51" s="3316" t="s">
        <v>6303</v>
      </c>
      <c r="S51" s="3316" t="s">
        <v>5800</v>
      </c>
      <c r="T51" s="3316" t="s">
        <v>6304</v>
      </c>
      <c r="U51" s="3316" t="s">
        <v>6305</v>
      </c>
      <c r="V51" s="3316">
        <v>0</v>
      </c>
      <c r="W51" s="3316">
        <v>0</v>
      </c>
      <c r="X51" s="3316">
        <v>0</v>
      </c>
      <c r="Y51" s="3316">
        <v>33450</v>
      </c>
      <c r="Z51" s="3316" t="s">
        <v>6306</v>
      </c>
      <c r="AA51" s="3316" t="s">
        <v>6303</v>
      </c>
      <c r="AB51" s="3316">
        <v>33450</v>
      </c>
      <c r="AC51" s="3316" t="s">
        <v>6307</v>
      </c>
      <c r="AD51" s="3316" t="s">
        <v>6308</v>
      </c>
      <c r="AE51" s="3316">
        <v>33450</v>
      </c>
      <c r="AF51" s="3316" t="s">
        <v>6309</v>
      </c>
      <c r="AG51" s="3316" t="s">
        <v>6264</v>
      </c>
      <c r="AH51" s="3316">
        <v>3040</v>
      </c>
      <c r="AI51" s="3316">
        <v>30410</v>
      </c>
      <c r="AJ51" s="3316" t="s">
        <v>5800</v>
      </c>
      <c r="AL51" s="3316" t="s">
        <v>6385</v>
      </c>
      <c r="AM51" s="3316">
        <v>1</v>
      </c>
      <c r="AN51" s="3316">
        <v>0</v>
      </c>
      <c r="AO51" s="3316">
        <v>0</v>
      </c>
      <c r="AP51" s="3316">
        <v>0</v>
      </c>
      <c r="AQ51" s="3316" t="s">
        <v>5800</v>
      </c>
      <c r="AS51" s="3316" t="s">
        <v>6309</v>
      </c>
      <c r="AT51" s="3316" t="s">
        <v>6264</v>
      </c>
      <c r="AV51" s="3340">
        <v>0</v>
      </c>
      <c r="AW51" s="3340">
        <v>0</v>
      </c>
      <c r="AX51" s="3340">
        <v>0</v>
      </c>
      <c r="AY51" s="3340">
        <v>0</v>
      </c>
      <c r="AZ51" s="3340">
        <v>0</v>
      </c>
      <c r="BA51" s="3340">
        <v>33450</v>
      </c>
      <c r="BB51" s="3340">
        <v>33450</v>
      </c>
      <c r="BC51" s="3340">
        <v>33450</v>
      </c>
      <c r="BD51" s="3340">
        <v>0</v>
      </c>
      <c r="BE51" s="3340"/>
      <c r="BF51" s="3340">
        <v>0</v>
      </c>
      <c r="BG51" s="3340">
        <v>0</v>
      </c>
      <c r="BH51" s="3340">
        <v>0</v>
      </c>
      <c r="BI51" s="3340">
        <v>0</v>
      </c>
      <c r="BJ51" s="3340">
        <v>0</v>
      </c>
      <c r="BK51" s="3340">
        <v>30409</v>
      </c>
      <c r="BL51" s="3340">
        <v>30409</v>
      </c>
      <c r="BM51" s="3340">
        <v>30409</v>
      </c>
      <c r="BN51" s="3340"/>
      <c r="BO51" s="3340"/>
    </row>
    <row r="52" spans="1:67" s="3316" customFormat="1">
      <c r="A52" s="3316" t="s">
        <v>6252</v>
      </c>
      <c r="B52" s="3316" t="s">
        <v>6253</v>
      </c>
      <c r="C52" s="3316" t="s">
        <v>5800</v>
      </c>
      <c r="D52" s="3316" t="s">
        <v>6254</v>
      </c>
      <c r="E52" s="3316" t="s">
        <v>6255</v>
      </c>
      <c r="F52" s="3316" t="s">
        <v>6256</v>
      </c>
      <c r="G52" s="3316" t="s">
        <v>6256</v>
      </c>
      <c r="H52" s="3316" t="s">
        <v>6383</v>
      </c>
      <c r="I52" s="3316" t="s">
        <v>6299</v>
      </c>
      <c r="J52" s="3316" t="s">
        <v>6386</v>
      </c>
      <c r="K52" s="3316" t="s">
        <v>6257</v>
      </c>
      <c r="L52" s="3316" t="s">
        <v>6258</v>
      </c>
      <c r="M52" s="3316" t="s">
        <v>6252</v>
      </c>
      <c r="N52" s="3316" t="s">
        <v>6301</v>
      </c>
      <c r="O52" s="3316" t="s">
        <v>6286</v>
      </c>
      <c r="P52" s="3316" t="s">
        <v>6302</v>
      </c>
      <c r="Q52" s="3316" t="s">
        <v>6303</v>
      </c>
      <c r="R52" s="3316" t="s">
        <v>6303</v>
      </c>
      <c r="S52" s="3316" t="s">
        <v>5800</v>
      </c>
      <c r="T52" s="3316" t="s">
        <v>6304</v>
      </c>
      <c r="U52" s="3316" t="s">
        <v>6305</v>
      </c>
      <c r="V52" s="3316">
        <v>0</v>
      </c>
      <c r="W52" s="3316">
        <v>0</v>
      </c>
      <c r="X52" s="3316">
        <v>0</v>
      </c>
      <c r="Y52" s="3316">
        <v>3784</v>
      </c>
      <c r="Z52" s="3316" t="s">
        <v>6306</v>
      </c>
      <c r="AA52" s="3316" t="s">
        <v>6303</v>
      </c>
      <c r="AB52" s="3316">
        <v>3784</v>
      </c>
      <c r="AC52" s="3316" t="s">
        <v>6307</v>
      </c>
      <c r="AD52" s="3316" t="s">
        <v>6308</v>
      </c>
      <c r="AE52" s="3316">
        <v>3784</v>
      </c>
      <c r="AF52" s="3316" t="s">
        <v>6309</v>
      </c>
      <c r="AG52" s="3316" t="s">
        <v>6264</v>
      </c>
      <c r="AH52" s="3316">
        <v>344</v>
      </c>
      <c r="AI52" s="3316">
        <v>3440</v>
      </c>
      <c r="AJ52" s="3316" t="s">
        <v>5800</v>
      </c>
      <c r="AL52" s="3316" t="s">
        <v>6387</v>
      </c>
      <c r="AM52" s="3316">
        <v>1</v>
      </c>
      <c r="AN52" s="3316">
        <v>0</v>
      </c>
      <c r="AO52" s="3316">
        <v>0</v>
      </c>
      <c r="AP52" s="3316">
        <v>0</v>
      </c>
      <c r="AQ52" s="3316" t="s">
        <v>5800</v>
      </c>
      <c r="AS52" s="3316" t="s">
        <v>6309</v>
      </c>
      <c r="AT52" s="3316" t="s">
        <v>6264</v>
      </c>
      <c r="AV52" s="3340">
        <v>0</v>
      </c>
      <c r="AW52" s="3340">
        <v>0</v>
      </c>
      <c r="AX52" s="3340">
        <v>0</v>
      </c>
      <c r="AY52" s="3340">
        <v>0</v>
      </c>
      <c r="AZ52" s="3340">
        <v>0</v>
      </c>
      <c r="BA52" s="3340">
        <v>3784</v>
      </c>
      <c r="BB52" s="3340">
        <v>3784</v>
      </c>
      <c r="BC52" s="3340">
        <v>3784</v>
      </c>
      <c r="BD52" s="3340">
        <v>0</v>
      </c>
      <c r="BE52" s="3340"/>
      <c r="BF52" s="3340">
        <v>0</v>
      </c>
      <c r="BG52" s="3340">
        <v>0</v>
      </c>
      <c r="BH52" s="3340">
        <v>0</v>
      </c>
      <c r="BI52" s="3340">
        <v>0</v>
      </c>
      <c r="BJ52" s="3340">
        <v>0</v>
      </c>
      <c r="BK52" s="3340">
        <v>3440</v>
      </c>
      <c r="BL52" s="3340">
        <v>3440</v>
      </c>
      <c r="BM52" s="3340">
        <v>3440</v>
      </c>
      <c r="BN52" s="3340"/>
      <c r="BO52" s="3340"/>
    </row>
    <row r="53" spans="1:67" s="3316" customFormat="1">
      <c r="A53" s="3316" t="s">
        <v>6252</v>
      </c>
      <c r="B53" s="3316" t="s">
        <v>6253</v>
      </c>
      <c r="C53" s="3316" t="s">
        <v>5800</v>
      </c>
      <c r="D53" s="3316" t="s">
        <v>6254</v>
      </c>
      <c r="E53" s="3316" t="s">
        <v>6255</v>
      </c>
      <c r="F53" s="3316" t="s">
        <v>6256</v>
      </c>
      <c r="G53" s="3316" t="s">
        <v>6256</v>
      </c>
      <c r="H53" s="3316" t="s">
        <v>6383</v>
      </c>
      <c r="I53" s="3316" t="s">
        <v>6299</v>
      </c>
      <c r="J53" s="3316" t="s">
        <v>6388</v>
      </c>
      <c r="K53" s="3316" t="s">
        <v>6257</v>
      </c>
      <c r="L53" s="3316" t="s">
        <v>6258</v>
      </c>
      <c r="M53" s="3316" t="s">
        <v>6252</v>
      </c>
      <c r="N53" s="3316" t="s">
        <v>6301</v>
      </c>
      <c r="O53" s="3316" t="s">
        <v>6286</v>
      </c>
      <c r="P53" s="3316" t="s">
        <v>6302</v>
      </c>
      <c r="Q53" s="3316" t="s">
        <v>6303</v>
      </c>
      <c r="R53" s="3316" t="s">
        <v>6303</v>
      </c>
      <c r="S53" s="3316" t="s">
        <v>5800</v>
      </c>
      <c r="T53" s="3316" t="s">
        <v>6304</v>
      </c>
      <c r="U53" s="3316" t="s">
        <v>6305</v>
      </c>
      <c r="V53" s="3316">
        <v>0</v>
      </c>
      <c r="W53" s="3316">
        <v>0</v>
      </c>
      <c r="X53" s="3316">
        <v>0</v>
      </c>
      <c r="Y53" s="3316">
        <v>8492</v>
      </c>
      <c r="Z53" s="3316" t="s">
        <v>6306</v>
      </c>
      <c r="AA53" s="3316" t="s">
        <v>6303</v>
      </c>
      <c r="AB53" s="3316">
        <v>8492</v>
      </c>
      <c r="AC53" s="3316" t="s">
        <v>6307</v>
      </c>
      <c r="AD53" s="3316" t="s">
        <v>6308</v>
      </c>
      <c r="AE53" s="3316">
        <v>8492</v>
      </c>
      <c r="AF53" s="3316" t="s">
        <v>6309</v>
      </c>
      <c r="AG53" s="3316" t="s">
        <v>6264</v>
      </c>
      <c r="AH53" s="3316">
        <v>772</v>
      </c>
      <c r="AI53" s="3316">
        <v>7720</v>
      </c>
      <c r="AJ53" s="3316" t="s">
        <v>5800</v>
      </c>
      <c r="AL53" s="3316" t="s">
        <v>6389</v>
      </c>
      <c r="AM53" s="3316">
        <v>1</v>
      </c>
      <c r="AN53" s="3316">
        <v>0</v>
      </c>
      <c r="AO53" s="3316">
        <v>0</v>
      </c>
      <c r="AP53" s="3316">
        <v>0</v>
      </c>
      <c r="AQ53" s="3316" t="s">
        <v>5800</v>
      </c>
      <c r="AS53" s="3316" t="s">
        <v>6309</v>
      </c>
      <c r="AT53" s="3316" t="s">
        <v>6264</v>
      </c>
      <c r="AV53" s="3340">
        <v>0</v>
      </c>
      <c r="AW53" s="3340">
        <v>0</v>
      </c>
      <c r="AX53" s="3340">
        <v>0</v>
      </c>
      <c r="AY53" s="3340">
        <v>0</v>
      </c>
      <c r="AZ53" s="3340">
        <v>0</v>
      </c>
      <c r="BA53" s="3340">
        <v>8492</v>
      </c>
      <c r="BB53" s="3340">
        <v>8492</v>
      </c>
      <c r="BC53" s="3340">
        <v>8492</v>
      </c>
      <c r="BD53" s="3340">
        <v>0</v>
      </c>
      <c r="BE53" s="3340"/>
      <c r="BF53" s="3340">
        <v>0</v>
      </c>
      <c r="BG53" s="3340">
        <v>0</v>
      </c>
      <c r="BH53" s="3340">
        <v>0</v>
      </c>
      <c r="BI53" s="3340">
        <v>0</v>
      </c>
      <c r="BJ53" s="3340">
        <v>0</v>
      </c>
      <c r="BK53" s="3340">
        <v>7720</v>
      </c>
      <c r="BL53" s="3340">
        <v>7720</v>
      </c>
      <c r="BM53" s="3340">
        <v>7720</v>
      </c>
      <c r="BN53" s="3340"/>
      <c r="BO53" s="3340"/>
    </row>
    <row r="54" spans="1:67" s="3316" customFormat="1">
      <c r="A54" s="3316" t="s">
        <v>6252</v>
      </c>
      <c r="B54" s="3316" t="s">
        <v>6253</v>
      </c>
      <c r="C54" s="3316" t="s">
        <v>5800</v>
      </c>
      <c r="D54" s="3316" t="s">
        <v>6254</v>
      </c>
      <c r="E54" s="3316" t="s">
        <v>6255</v>
      </c>
      <c r="F54" s="3316" t="s">
        <v>6256</v>
      </c>
      <c r="G54" s="3316" t="s">
        <v>6256</v>
      </c>
      <c r="H54" s="3316" t="s">
        <v>6383</v>
      </c>
      <c r="I54" s="3316" t="s">
        <v>6299</v>
      </c>
      <c r="J54" s="3316" t="s">
        <v>6390</v>
      </c>
      <c r="K54" s="3316" t="s">
        <v>6257</v>
      </c>
      <c r="L54" s="3316" t="s">
        <v>6258</v>
      </c>
      <c r="M54" s="3316" t="s">
        <v>6252</v>
      </c>
      <c r="N54" s="3316" t="s">
        <v>6301</v>
      </c>
      <c r="O54" s="3316" t="s">
        <v>6286</v>
      </c>
      <c r="P54" s="3316" t="s">
        <v>6302</v>
      </c>
      <c r="Q54" s="3316" t="s">
        <v>6303</v>
      </c>
      <c r="R54" s="3316" t="s">
        <v>6303</v>
      </c>
      <c r="S54" s="3316" t="s">
        <v>5800</v>
      </c>
      <c r="T54" s="3316" t="s">
        <v>6304</v>
      </c>
      <c r="U54" s="3316" t="s">
        <v>6305</v>
      </c>
      <c r="V54" s="3316">
        <v>0</v>
      </c>
      <c r="W54" s="3316">
        <v>0</v>
      </c>
      <c r="X54" s="3316">
        <v>0</v>
      </c>
      <c r="Y54" s="3316">
        <v>393</v>
      </c>
      <c r="Z54" s="3316" t="s">
        <v>6306</v>
      </c>
      <c r="AA54" s="3316" t="s">
        <v>6303</v>
      </c>
      <c r="AB54" s="3316">
        <v>393</v>
      </c>
      <c r="AC54" s="3316" t="s">
        <v>6307</v>
      </c>
      <c r="AD54" s="3316" t="s">
        <v>6308</v>
      </c>
      <c r="AE54" s="3316">
        <v>393</v>
      </c>
      <c r="AF54" s="3316" t="s">
        <v>6309</v>
      </c>
      <c r="AG54" s="3316" t="s">
        <v>6264</v>
      </c>
      <c r="AH54" s="3316">
        <v>35</v>
      </c>
      <c r="AI54" s="3316">
        <v>358</v>
      </c>
      <c r="AJ54" s="3316" t="s">
        <v>5800</v>
      </c>
      <c r="AL54" s="3316" t="s">
        <v>6391</v>
      </c>
      <c r="AM54" s="3316">
        <v>1</v>
      </c>
      <c r="AN54" s="3316">
        <v>0</v>
      </c>
      <c r="AO54" s="3316">
        <v>0</v>
      </c>
      <c r="AP54" s="3316">
        <v>0</v>
      </c>
      <c r="AQ54" s="3316" t="s">
        <v>5800</v>
      </c>
      <c r="AS54" s="3316" t="s">
        <v>6309</v>
      </c>
      <c r="AT54" s="3316" t="s">
        <v>6264</v>
      </c>
      <c r="AV54" s="3340">
        <v>0</v>
      </c>
      <c r="AW54" s="3340">
        <v>0</v>
      </c>
      <c r="AX54" s="3340">
        <v>0</v>
      </c>
      <c r="AY54" s="3340">
        <v>0</v>
      </c>
      <c r="AZ54" s="3340">
        <v>0</v>
      </c>
      <c r="BA54" s="3340">
        <v>393</v>
      </c>
      <c r="BB54" s="3340">
        <v>393</v>
      </c>
      <c r="BC54" s="3340">
        <v>393</v>
      </c>
      <c r="BD54" s="3340">
        <v>0</v>
      </c>
      <c r="BE54" s="3340"/>
      <c r="BF54" s="3340">
        <v>0</v>
      </c>
      <c r="BG54" s="3340">
        <v>0</v>
      </c>
      <c r="BH54" s="3340">
        <v>0</v>
      </c>
      <c r="BI54" s="3340">
        <v>0</v>
      </c>
      <c r="BJ54" s="3340">
        <v>0</v>
      </c>
      <c r="BK54" s="3340">
        <v>357</v>
      </c>
      <c r="BL54" s="3340">
        <v>357</v>
      </c>
      <c r="BM54" s="3340">
        <v>357</v>
      </c>
      <c r="BN54" s="3340"/>
      <c r="BO54" s="3340"/>
    </row>
    <row r="55" spans="1:67" s="3316" customFormat="1">
      <c r="A55" s="3316" t="s">
        <v>6252</v>
      </c>
      <c r="B55" s="3316" t="s">
        <v>6253</v>
      </c>
      <c r="C55" s="3316" t="s">
        <v>5800</v>
      </c>
      <c r="D55" s="3316" t="s">
        <v>6254</v>
      </c>
      <c r="E55" s="3316" t="s">
        <v>6255</v>
      </c>
      <c r="F55" s="3316" t="s">
        <v>6392</v>
      </c>
      <c r="G55" s="3316" t="s">
        <v>6392</v>
      </c>
      <c r="H55" s="3316" t="s">
        <v>6393</v>
      </c>
      <c r="I55" s="3316" t="s">
        <v>6299</v>
      </c>
      <c r="J55" s="3316" t="s">
        <v>6394</v>
      </c>
      <c r="K55" s="3316" t="s">
        <v>6257</v>
      </c>
      <c r="L55" s="3316" t="s">
        <v>6258</v>
      </c>
      <c r="M55" s="3316" t="s">
        <v>6252</v>
      </c>
      <c r="N55" s="3316" t="s">
        <v>6301</v>
      </c>
      <c r="O55" s="3316" t="s">
        <v>6286</v>
      </c>
      <c r="P55" s="3316" t="s">
        <v>6302</v>
      </c>
      <c r="Q55" s="3316" t="s">
        <v>6303</v>
      </c>
      <c r="R55" s="3316" t="s">
        <v>6303</v>
      </c>
      <c r="S55" s="3316" t="s">
        <v>5800</v>
      </c>
      <c r="T55" s="3316" t="s">
        <v>6304</v>
      </c>
      <c r="U55" s="3316" t="s">
        <v>6305</v>
      </c>
      <c r="V55" s="3316">
        <v>0</v>
      </c>
      <c r="W55" s="3316">
        <v>0</v>
      </c>
      <c r="X55" s="3316">
        <v>0</v>
      </c>
      <c r="Y55" s="3316">
        <v>51970</v>
      </c>
      <c r="Z55" s="3316" t="s">
        <v>6306</v>
      </c>
      <c r="AA55" s="3316" t="s">
        <v>6303</v>
      </c>
      <c r="AB55" s="3316">
        <v>51970</v>
      </c>
      <c r="AC55" s="3316" t="s">
        <v>6307</v>
      </c>
      <c r="AD55" s="3316" t="s">
        <v>6308</v>
      </c>
      <c r="AE55" s="3316">
        <v>51970</v>
      </c>
      <c r="AF55" s="3316" t="s">
        <v>6309</v>
      </c>
      <c r="AG55" s="3316" t="s">
        <v>6264</v>
      </c>
      <c r="AH55" s="3316">
        <v>4724</v>
      </c>
      <c r="AI55" s="3316">
        <v>47246</v>
      </c>
      <c r="AJ55" s="3316" t="s">
        <v>5800</v>
      </c>
      <c r="AL55" s="3316" t="s">
        <v>6395</v>
      </c>
      <c r="AM55" s="3316">
        <v>1</v>
      </c>
      <c r="AN55" s="3316">
        <v>0</v>
      </c>
      <c r="AO55" s="3316">
        <v>0</v>
      </c>
      <c r="AP55" s="3316">
        <v>0</v>
      </c>
      <c r="AQ55" s="3316" t="s">
        <v>5800</v>
      </c>
      <c r="AS55" s="3316" t="s">
        <v>6309</v>
      </c>
      <c r="AT55" s="3316" t="s">
        <v>6264</v>
      </c>
      <c r="AV55" s="3340">
        <v>0</v>
      </c>
      <c r="AW55" s="3340">
        <v>0</v>
      </c>
      <c r="AX55" s="3340">
        <v>0</v>
      </c>
      <c r="AY55" s="3340">
        <v>0</v>
      </c>
      <c r="AZ55" s="3340">
        <v>0</v>
      </c>
      <c r="BA55" s="3340">
        <v>51970</v>
      </c>
      <c r="BB55" s="3340">
        <v>51970</v>
      </c>
      <c r="BC55" s="3340">
        <v>51970</v>
      </c>
      <c r="BD55" s="3340">
        <v>0</v>
      </c>
      <c r="BE55" s="3340"/>
      <c r="BF55" s="3340">
        <v>0</v>
      </c>
      <c r="BG55" s="3340">
        <v>0</v>
      </c>
      <c r="BH55" s="3340">
        <v>0</v>
      </c>
      <c r="BI55" s="3340">
        <v>0</v>
      </c>
      <c r="BJ55" s="3340">
        <v>0</v>
      </c>
      <c r="BK55" s="3340">
        <v>47246</v>
      </c>
      <c r="BL55" s="3340">
        <v>47246</v>
      </c>
      <c r="BM55" s="3340">
        <v>47246</v>
      </c>
      <c r="BN55" s="3340"/>
      <c r="BO55" s="3340"/>
    </row>
    <row r="56" spans="1:67" s="3316" customFormat="1">
      <c r="A56" s="3316" t="s">
        <v>6252</v>
      </c>
      <c r="B56" s="3316" t="s">
        <v>6253</v>
      </c>
      <c r="C56" s="3316" t="s">
        <v>5800</v>
      </c>
      <c r="D56" s="3316" t="s">
        <v>6254</v>
      </c>
      <c r="E56" s="3316" t="s">
        <v>6255</v>
      </c>
      <c r="F56" s="3316" t="s">
        <v>6392</v>
      </c>
      <c r="G56" s="3316" t="s">
        <v>6392</v>
      </c>
      <c r="H56" s="3316" t="s">
        <v>6393</v>
      </c>
      <c r="I56" s="3316" t="s">
        <v>6299</v>
      </c>
      <c r="J56" s="3316" t="s">
        <v>6396</v>
      </c>
      <c r="K56" s="3316" t="s">
        <v>6257</v>
      </c>
      <c r="L56" s="3316" t="s">
        <v>6258</v>
      </c>
      <c r="M56" s="3316" t="s">
        <v>6252</v>
      </c>
      <c r="N56" s="3316" t="s">
        <v>6301</v>
      </c>
      <c r="O56" s="3316" t="s">
        <v>6286</v>
      </c>
      <c r="P56" s="3316" t="s">
        <v>6302</v>
      </c>
      <c r="Q56" s="3316" t="s">
        <v>6303</v>
      </c>
      <c r="R56" s="3316" t="s">
        <v>6303</v>
      </c>
      <c r="S56" s="3316" t="s">
        <v>5800</v>
      </c>
      <c r="T56" s="3316" t="s">
        <v>6304</v>
      </c>
      <c r="U56" s="3316" t="s">
        <v>6305</v>
      </c>
      <c r="V56" s="3316">
        <v>0</v>
      </c>
      <c r="W56" s="3316">
        <v>0</v>
      </c>
      <c r="X56" s="3316">
        <v>0</v>
      </c>
      <c r="Y56" s="3316">
        <v>1689</v>
      </c>
      <c r="Z56" s="3316" t="s">
        <v>6306</v>
      </c>
      <c r="AA56" s="3316" t="s">
        <v>6303</v>
      </c>
      <c r="AB56" s="3316">
        <v>1689</v>
      </c>
      <c r="AC56" s="3316" t="s">
        <v>6307</v>
      </c>
      <c r="AD56" s="3316" t="s">
        <v>6308</v>
      </c>
      <c r="AE56" s="3316">
        <v>1689</v>
      </c>
      <c r="AF56" s="3316" t="s">
        <v>6309</v>
      </c>
      <c r="AG56" s="3316" t="s">
        <v>6264</v>
      </c>
      <c r="AH56" s="3316">
        <v>153</v>
      </c>
      <c r="AI56" s="3316">
        <v>1536</v>
      </c>
      <c r="AJ56" s="3316" t="s">
        <v>5800</v>
      </c>
      <c r="AL56" s="3316" t="s">
        <v>6397</v>
      </c>
      <c r="AM56" s="3316">
        <v>1</v>
      </c>
      <c r="AN56" s="3316">
        <v>0</v>
      </c>
      <c r="AO56" s="3316">
        <v>0</v>
      </c>
      <c r="AP56" s="3316">
        <v>0</v>
      </c>
      <c r="AQ56" s="3316" t="s">
        <v>5800</v>
      </c>
      <c r="AS56" s="3316" t="s">
        <v>6309</v>
      </c>
      <c r="AT56" s="3316" t="s">
        <v>6264</v>
      </c>
      <c r="AV56" s="3340">
        <v>0</v>
      </c>
      <c r="AW56" s="3340">
        <v>0</v>
      </c>
      <c r="AX56" s="3340">
        <v>0</v>
      </c>
      <c r="AY56" s="3340">
        <v>0</v>
      </c>
      <c r="AZ56" s="3340">
        <v>0</v>
      </c>
      <c r="BA56" s="3340">
        <v>1689</v>
      </c>
      <c r="BB56" s="3340">
        <v>1689</v>
      </c>
      <c r="BC56" s="3340">
        <v>1689</v>
      </c>
      <c r="BD56" s="3340">
        <v>0</v>
      </c>
      <c r="BE56" s="3340"/>
      <c r="BF56" s="3340">
        <v>0</v>
      </c>
      <c r="BG56" s="3340">
        <v>0</v>
      </c>
      <c r="BH56" s="3340">
        <v>0</v>
      </c>
      <c r="BI56" s="3340">
        <v>0</v>
      </c>
      <c r="BJ56" s="3340">
        <v>0</v>
      </c>
      <c r="BK56" s="3340">
        <v>1535</v>
      </c>
      <c r="BL56" s="3340">
        <v>1535</v>
      </c>
      <c r="BM56" s="3340">
        <v>1535</v>
      </c>
      <c r="BN56" s="3340"/>
      <c r="BO56" s="3340"/>
    </row>
    <row r="57" spans="1:67" s="3316" customFormat="1">
      <c r="A57" s="3316" t="s">
        <v>6252</v>
      </c>
      <c r="B57" s="3316" t="s">
        <v>6253</v>
      </c>
      <c r="C57" s="3316" t="s">
        <v>5800</v>
      </c>
      <c r="D57" s="3316" t="s">
        <v>6254</v>
      </c>
      <c r="E57" s="3316" t="s">
        <v>6255</v>
      </c>
      <c r="F57" s="3316" t="s">
        <v>6392</v>
      </c>
      <c r="G57" s="3316" t="s">
        <v>6392</v>
      </c>
      <c r="H57" s="3316" t="s">
        <v>6393</v>
      </c>
      <c r="I57" s="3316" t="s">
        <v>6299</v>
      </c>
      <c r="J57" s="3316" t="s">
        <v>6398</v>
      </c>
      <c r="K57" s="3316" t="s">
        <v>6257</v>
      </c>
      <c r="L57" s="3316" t="s">
        <v>6258</v>
      </c>
      <c r="M57" s="3316" t="s">
        <v>6252</v>
      </c>
      <c r="N57" s="3316" t="s">
        <v>6301</v>
      </c>
      <c r="O57" s="3316" t="s">
        <v>6286</v>
      </c>
      <c r="P57" s="3316" t="s">
        <v>6302</v>
      </c>
      <c r="Q57" s="3316" t="s">
        <v>6303</v>
      </c>
      <c r="R57" s="3316" t="s">
        <v>6303</v>
      </c>
      <c r="S57" s="3316" t="s">
        <v>5800</v>
      </c>
      <c r="T57" s="3316" t="s">
        <v>6304</v>
      </c>
      <c r="U57" s="3316" t="s">
        <v>6305</v>
      </c>
      <c r="V57" s="3316">
        <v>0</v>
      </c>
      <c r="W57" s="3316">
        <v>0</v>
      </c>
      <c r="X57" s="3316">
        <v>0</v>
      </c>
      <c r="Y57" s="3316">
        <v>1162</v>
      </c>
      <c r="Z57" s="3316" t="s">
        <v>6306</v>
      </c>
      <c r="AA57" s="3316" t="s">
        <v>6303</v>
      </c>
      <c r="AB57" s="3316">
        <v>1162</v>
      </c>
      <c r="AC57" s="3316" t="s">
        <v>6307</v>
      </c>
      <c r="AD57" s="3316" t="s">
        <v>6308</v>
      </c>
      <c r="AE57" s="3316">
        <v>1162</v>
      </c>
      <c r="AF57" s="3316" t="s">
        <v>6309</v>
      </c>
      <c r="AG57" s="3316" t="s">
        <v>6264</v>
      </c>
      <c r="AH57" s="3316">
        <v>105</v>
      </c>
      <c r="AI57" s="3316">
        <v>1057</v>
      </c>
      <c r="AJ57" s="3316" t="s">
        <v>5800</v>
      </c>
      <c r="AL57" s="3316" t="s">
        <v>6399</v>
      </c>
      <c r="AM57" s="3316">
        <v>1</v>
      </c>
      <c r="AN57" s="3316">
        <v>0</v>
      </c>
      <c r="AO57" s="3316">
        <v>0</v>
      </c>
      <c r="AP57" s="3316">
        <v>0</v>
      </c>
      <c r="AQ57" s="3316" t="s">
        <v>5800</v>
      </c>
      <c r="AS57" s="3316" t="s">
        <v>6309</v>
      </c>
      <c r="AT57" s="3316" t="s">
        <v>6264</v>
      </c>
      <c r="AV57" s="3340">
        <v>0</v>
      </c>
      <c r="AW57" s="3340">
        <v>0</v>
      </c>
      <c r="AX57" s="3340">
        <v>0</v>
      </c>
      <c r="AY57" s="3340">
        <v>0</v>
      </c>
      <c r="AZ57" s="3340">
        <v>0</v>
      </c>
      <c r="BA57" s="3340">
        <v>1162</v>
      </c>
      <c r="BB57" s="3340">
        <v>1162</v>
      </c>
      <c r="BC57" s="3340">
        <v>1162</v>
      </c>
      <c r="BD57" s="3340">
        <v>0</v>
      </c>
      <c r="BE57" s="3340"/>
      <c r="BF57" s="3340">
        <v>0</v>
      </c>
      <c r="BG57" s="3340">
        <v>0</v>
      </c>
      <c r="BH57" s="3340">
        <v>0</v>
      </c>
      <c r="BI57" s="3340">
        <v>0</v>
      </c>
      <c r="BJ57" s="3340">
        <v>0</v>
      </c>
      <c r="BK57" s="3340">
        <v>1056</v>
      </c>
      <c r="BL57" s="3340">
        <v>1056</v>
      </c>
      <c r="BM57" s="3340">
        <v>1056</v>
      </c>
      <c r="BN57" s="3340"/>
      <c r="BO57" s="3340"/>
    </row>
    <row r="58" spans="1:67" s="3316" customFormat="1">
      <c r="A58" s="3316" t="s">
        <v>6252</v>
      </c>
      <c r="B58" s="3316" t="s">
        <v>6253</v>
      </c>
      <c r="C58" s="3316" t="s">
        <v>5800</v>
      </c>
      <c r="D58" s="3316" t="s">
        <v>6254</v>
      </c>
      <c r="E58" s="3316" t="s">
        <v>6255</v>
      </c>
      <c r="F58" s="3316" t="s">
        <v>6392</v>
      </c>
      <c r="G58" s="3316" t="s">
        <v>6392</v>
      </c>
      <c r="H58" s="3316" t="s">
        <v>6393</v>
      </c>
      <c r="I58" s="3316" t="s">
        <v>6299</v>
      </c>
      <c r="J58" s="3316" t="s">
        <v>6400</v>
      </c>
      <c r="K58" s="3316" t="s">
        <v>6257</v>
      </c>
      <c r="L58" s="3316" t="s">
        <v>6258</v>
      </c>
      <c r="M58" s="3316" t="s">
        <v>6252</v>
      </c>
      <c r="N58" s="3316" t="s">
        <v>6301</v>
      </c>
      <c r="O58" s="3316" t="s">
        <v>6286</v>
      </c>
      <c r="P58" s="3316" t="s">
        <v>6302</v>
      </c>
      <c r="Q58" s="3316" t="s">
        <v>6303</v>
      </c>
      <c r="R58" s="3316" t="s">
        <v>6303</v>
      </c>
      <c r="S58" s="3316" t="s">
        <v>5800</v>
      </c>
      <c r="T58" s="3316" t="s">
        <v>6304</v>
      </c>
      <c r="U58" s="3316" t="s">
        <v>6305</v>
      </c>
      <c r="V58" s="3316">
        <v>0</v>
      </c>
      <c r="W58" s="3316">
        <v>0</v>
      </c>
      <c r="X58" s="3316">
        <v>0</v>
      </c>
      <c r="Y58" s="3316">
        <v>869</v>
      </c>
      <c r="Z58" s="3316" t="s">
        <v>6306</v>
      </c>
      <c r="AA58" s="3316" t="s">
        <v>6303</v>
      </c>
      <c r="AB58" s="3316">
        <v>869</v>
      </c>
      <c r="AC58" s="3316" t="s">
        <v>6307</v>
      </c>
      <c r="AD58" s="3316" t="s">
        <v>6308</v>
      </c>
      <c r="AE58" s="3316">
        <v>869</v>
      </c>
      <c r="AF58" s="3316" t="s">
        <v>6309</v>
      </c>
      <c r="AG58" s="3316" t="s">
        <v>6264</v>
      </c>
      <c r="AH58" s="3316">
        <v>79</v>
      </c>
      <c r="AI58" s="3316">
        <v>790</v>
      </c>
      <c r="AJ58" s="3316" t="s">
        <v>5800</v>
      </c>
      <c r="AL58" s="3316" t="s">
        <v>6401</v>
      </c>
      <c r="AM58" s="3316">
        <v>1</v>
      </c>
      <c r="AN58" s="3316">
        <v>0</v>
      </c>
      <c r="AO58" s="3316">
        <v>0</v>
      </c>
      <c r="AP58" s="3316">
        <v>0</v>
      </c>
      <c r="AQ58" s="3316" t="s">
        <v>5800</v>
      </c>
      <c r="AS58" s="3316" t="s">
        <v>6309</v>
      </c>
      <c r="AT58" s="3316" t="s">
        <v>6264</v>
      </c>
      <c r="AV58" s="3340">
        <v>0</v>
      </c>
      <c r="AW58" s="3340">
        <v>0</v>
      </c>
      <c r="AX58" s="3340">
        <v>0</v>
      </c>
      <c r="AY58" s="3340">
        <v>0</v>
      </c>
      <c r="AZ58" s="3340">
        <v>0</v>
      </c>
      <c r="BA58" s="3340">
        <v>869</v>
      </c>
      <c r="BB58" s="3340">
        <v>869</v>
      </c>
      <c r="BC58" s="3340">
        <v>869</v>
      </c>
      <c r="BD58" s="3340">
        <v>0</v>
      </c>
      <c r="BE58" s="3340"/>
      <c r="BF58" s="3340">
        <v>0</v>
      </c>
      <c r="BG58" s="3340">
        <v>0</v>
      </c>
      <c r="BH58" s="3340">
        <v>0</v>
      </c>
      <c r="BI58" s="3340">
        <v>0</v>
      </c>
      <c r="BJ58" s="3340">
        <v>0</v>
      </c>
      <c r="BK58" s="3340">
        <v>790</v>
      </c>
      <c r="BL58" s="3340">
        <v>790</v>
      </c>
      <c r="BM58" s="3340">
        <v>790</v>
      </c>
      <c r="BN58" s="3340"/>
      <c r="BO58" s="3340"/>
    </row>
    <row r="59" spans="1:67" s="3316" customFormat="1">
      <c r="A59" s="3316" t="s">
        <v>6252</v>
      </c>
      <c r="B59" s="3316" t="s">
        <v>6253</v>
      </c>
      <c r="C59" s="3316" t="s">
        <v>5800</v>
      </c>
      <c r="D59" s="3316" t="s">
        <v>6254</v>
      </c>
      <c r="E59" s="3316" t="s">
        <v>6255</v>
      </c>
      <c r="F59" s="3316" t="s">
        <v>6402</v>
      </c>
      <c r="G59" s="3316" t="s">
        <v>6402</v>
      </c>
      <c r="H59" s="3316" t="s">
        <v>6403</v>
      </c>
      <c r="I59" s="3316" t="s">
        <v>6299</v>
      </c>
      <c r="J59" s="3316" t="s">
        <v>6404</v>
      </c>
      <c r="K59" s="3316" t="s">
        <v>6257</v>
      </c>
      <c r="L59" s="3316" t="s">
        <v>6258</v>
      </c>
      <c r="M59" s="3316" t="s">
        <v>6252</v>
      </c>
      <c r="N59" s="3316" t="s">
        <v>6301</v>
      </c>
      <c r="O59" s="3316" t="s">
        <v>6286</v>
      </c>
      <c r="P59" s="3316" t="s">
        <v>6302</v>
      </c>
      <c r="Q59" s="3316" t="s">
        <v>6303</v>
      </c>
      <c r="R59" s="3316" t="s">
        <v>6303</v>
      </c>
      <c r="S59" s="3316" t="s">
        <v>5800</v>
      </c>
      <c r="T59" s="3316" t="s">
        <v>6304</v>
      </c>
      <c r="U59" s="3316" t="s">
        <v>6305</v>
      </c>
      <c r="V59" s="3316">
        <v>0</v>
      </c>
      <c r="W59" s="3316">
        <v>0</v>
      </c>
      <c r="X59" s="3316">
        <v>0</v>
      </c>
      <c r="Y59" s="3316">
        <v>83432</v>
      </c>
      <c r="Z59" s="3316" t="s">
        <v>6306</v>
      </c>
      <c r="AA59" s="3316" t="s">
        <v>6303</v>
      </c>
      <c r="AB59" s="3316">
        <v>83432</v>
      </c>
      <c r="AC59" s="3316" t="s">
        <v>6405</v>
      </c>
      <c r="AD59" s="3316" t="s">
        <v>6406</v>
      </c>
      <c r="AE59" s="3316">
        <v>83432</v>
      </c>
      <c r="AF59" s="3316" t="s">
        <v>6309</v>
      </c>
      <c r="AG59" s="3316" t="s">
        <v>6264</v>
      </c>
      <c r="AH59" s="3316">
        <v>7584</v>
      </c>
      <c r="AI59" s="3316">
        <v>75848</v>
      </c>
      <c r="AJ59" s="3316" t="s">
        <v>5800</v>
      </c>
      <c r="AL59" s="3316" t="s">
        <v>6407</v>
      </c>
      <c r="AM59" s="3316">
        <v>1</v>
      </c>
      <c r="AN59" s="3316">
        <v>0</v>
      </c>
      <c r="AO59" s="3316">
        <v>0</v>
      </c>
      <c r="AP59" s="3316">
        <v>0</v>
      </c>
      <c r="AQ59" s="3316" t="s">
        <v>5800</v>
      </c>
      <c r="AS59" s="3316" t="s">
        <v>6309</v>
      </c>
      <c r="AT59" s="3316" t="s">
        <v>6264</v>
      </c>
      <c r="AV59" s="3340">
        <v>0</v>
      </c>
      <c r="AW59" s="3340">
        <v>0</v>
      </c>
      <c r="AX59" s="3340">
        <v>0</v>
      </c>
      <c r="AY59" s="3340">
        <v>0</v>
      </c>
      <c r="AZ59" s="3340">
        <v>0</v>
      </c>
      <c r="BA59" s="3340">
        <v>83432</v>
      </c>
      <c r="BB59" s="3340">
        <v>83432</v>
      </c>
      <c r="BC59" s="3340">
        <v>83432</v>
      </c>
      <c r="BD59" s="3340">
        <v>0</v>
      </c>
      <c r="BE59" s="3340"/>
      <c r="BF59" s="3340">
        <v>0</v>
      </c>
      <c r="BG59" s="3340">
        <v>0</v>
      </c>
      <c r="BH59" s="3340">
        <v>0</v>
      </c>
      <c r="BI59" s="3340">
        <v>0</v>
      </c>
      <c r="BJ59" s="3340">
        <v>0</v>
      </c>
      <c r="BK59" s="3340">
        <v>75847</v>
      </c>
      <c r="BL59" s="3340">
        <v>75847</v>
      </c>
      <c r="BM59" s="3340">
        <v>75847</v>
      </c>
      <c r="BN59" s="3340"/>
      <c r="BO59" s="3340"/>
    </row>
    <row r="60" spans="1:67" s="3316" customFormat="1">
      <c r="A60" s="3316" t="s">
        <v>6252</v>
      </c>
      <c r="B60" s="3316" t="s">
        <v>6253</v>
      </c>
      <c r="C60" s="3316" t="s">
        <v>5800</v>
      </c>
      <c r="D60" s="3316" t="s">
        <v>6254</v>
      </c>
      <c r="E60" s="3316" t="s">
        <v>6255</v>
      </c>
      <c r="F60" s="3316" t="s">
        <v>6408</v>
      </c>
      <c r="G60" s="3316" t="s">
        <v>6408</v>
      </c>
      <c r="H60" s="3316" t="s">
        <v>6403</v>
      </c>
      <c r="I60" s="3316" t="s">
        <v>6299</v>
      </c>
      <c r="J60" s="3316" t="s">
        <v>6409</v>
      </c>
      <c r="K60" s="3316" t="s">
        <v>6257</v>
      </c>
      <c r="L60" s="3316" t="s">
        <v>6258</v>
      </c>
      <c r="M60" s="3316" t="s">
        <v>6252</v>
      </c>
      <c r="N60" s="3316" t="s">
        <v>6301</v>
      </c>
      <c r="O60" s="3316" t="s">
        <v>6286</v>
      </c>
      <c r="P60" s="3316" t="s">
        <v>6302</v>
      </c>
      <c r="Q60" s="3316" t="s">
        <v>6303</v>
      </c>
      <c r="R60" s="3316" t="s">
        <v>6303</v>
      </c>
      <c r="S60" s="3316" t="s">
        <v>5800</v>
      </c>
      <c r="T60" s="3316" t="s">
        <v>6304</v>
      </c>
      <c r="U60" s="3316" t="s">
        <v>6305</v>
      </c>
      <c r="V60" s="3316">
        <v>0</v>
      </c>
      <c r="W60" s="3316">
        <v>0</v>
      </c>
      <c r="X60" s="3316">
        <v>0</v>
      </c>
      <c r="Y60" s="3316">
        <v>5402</v>
      </c>
      <c r="Z60" s="3316" t="s">
        <v>6306</v>
      </c>
      <c r="AA60" s="3316" t="s">
        <v>6303</v>
      </c>
      <c r="AB60" s="3316">
        <v>5402</v>
      </c>
      <c r="AC60" s="3316" t="s">
        <v>6405</v>
      </c>
      <c r="AD60" s="3316" t="s">
        <v>6406</v>
      </c>
      <c r="AE60" s="3316">
        <v>5402</v>
      </c>
      <c r="AF60" s="3316" t="s">
        <v>6295</v>
      </c>
      <c r="AG60" s="3316" t="s">
        <v>6264</v>
      </c>
      <c r="AH60" s="3316">
        <v>491</v>
      </c>
      <c r="AI60" s="3316">
        <v>4911</v>
      </c>
      <c r="AJ60" s="3316" t="s">
        <v>5800</v>
      </c>
      <c r="AL60" s="3316" t="s">
        <v>6410</v>
      </c>
      <c r="AM60" s="3316">
        <v>2</v>
      </c>
      <c r="AN60" s="3316">
        <v>18</v>
      </c>
      <c r="AO60" s="3316">
        <v>10</v>
      </c>
      <c r="AP60" s="3316">
        <v>0</v>
      </c>
      <c r="AQ60" s="3316" t="s">
        <v>5800</v>
      </c>
      <c r="AS60" s="3316">
        <v>18</v>
      </c>
      <c r="AT60" s="3316">
        <v>10</v>
      </c>
      <c r="AV60" s="3340">
        <v>0</v>
      </c>
      <c r="AW60" s="3340">
        <v>0</v>
      </c>
      <c r="AX60" s="3340">
        <v>0</v>
      </c>
      <c r="AY60" s="3340">
        <v>0</v>
      </c>
      <c r="AZ60" s="3340">
        <v>0</v>
      </c>
      <c r="BA60" s="3340">
        <v>5402</v>
      </c>
      <c r="BB60" s="3340">
        <v>5402</v>
      </c>
      <c r="BC60" s="3340">
        <v>5402</v>
      </c>
      <c r="BD60" s="3340">
        <v>0</v>
      </c>
      <c r="BE60" s="3340"/>
      <c r="BF60" s="3340">
        <v>0</v>
      </c>
      <c r="BG60" s="3340">
        <v>0</v>
      </c>
      <c r="BH60" s="3340">
        <v>0</v>
      </c>
      <c r="BI60" s="3340">
        <v>0</v>
      </c>
      <c r="BJ60" s="3340">
        <v>0</v>
      </c>
      <c r="BK60" s="3340">
        <v>4911</v>
      </c>
      <c r="BL60" s="3340">
        <v>4911</v>
      </c>
      <c r="BM60" s="3340">
        <v>4911</v>
      </c>
      <c r="BN60" s="3340"/>
      <c r="BO60" s="3340"/>
    </row>
    <row r="61" spans="1:67" s="3316" customFormat="1">
      <c r="A61" s="3316" t="s">
        <v>6252</v>
      </c>
      <c r="B61" s="3316" t="s">
        <v>6253</v>
      </c>
      <c r="C61" s="3316" t="s">
        <v>5800</v>
      </c>
      <c r="D61" s="3316" t="s">
        <v>6254</v>
      </c>
      <c r="E61" s="3316" t="s">
        <v>6255</v>
      </c>
      <c r="F61" s="3316" t="s">
        <v>6411</v>
      </c>
      <c r="G61" s="3316" t="s">
        <v>6411</v>
      </c>
      <c r="H61" s="3316" t="s">
        <v>6403</v>
      </c>
      <c r="I61" s="3316" t="s">
        <v>6299</v>
      </c>
      <c r="J61" s="3316" t="s">
        <v>6412</v>
      </c>
      <c r="K61" s="3316" t="s">
        <v>6257</v>
      </c>
      <c r="L61" s="3316" t="s">
        <v>6258</v>
      </c>
      <c r="M61" s="3316" t="s">
        <v>6252</v>
      </c>
      <c r="N61" s="3316" t="s">
        <v>6301</v>
      </c>
      <c r="O61" s="3316" t="s">
        <v>6286</v>
      </c>
      <c r="P61" s="3316" t="s">
        <v>6302</v>
      </c>
      <c r="Q61" s="3316" t="s">
        <v>6303</v>
      </c>
      <c r="R61" s="3316" t="s">
        <v>6303</v>
      </c>
      <c r="S61" s="3316" t="s">
        <v>5800</v>
      </c>
      <c r="T61" s="3316" t="s">
        <v>6304</v>
      </c>
      <c r="U61" s="3316" t="s">
        <v>6305</v>
      </c>
      <c r="V61" s="3316">
        <v>0</v>
      </c>
      <c r="W61" s="3316">
        <v>0</v>
      </c>
      <c r="X61" s="3316">
        <v>0</v>
      </c>
      <c r="Y61" s="3316">
        <v>5696</v>
      </c>
      <c r="Z61" s="3316" t="s">
        <v>6306</v>
      </c>
      <c r="AA61" s="3316" t="s">
        <v>6303</v>
      </c>
      <c r="AB61" s="3316">
        <v>5696</v>
      </c>
      <c r="AC61" s="3316" t="s">
        <v>6405</v>
      </c>
      <c r="AD61" s="3316" t="s">
        <v>6406</v>
      </c>
      <c r="AE61" s="3316">
        <v>5696</v>
      </c>
      <c r="AF61" s="3316" t="s">
        <v>6295</v>
      </c>
      <c r="AG61" s="3316" t="s">
        <v>6264</v>
      </c>
      <c r="AH61" s="3316">
        <v>518</v>
      </c>
      <c r="AI61" s="3316">
        <v>5178</v>
      </c>
      <c r="AJ61" s="3316" t="s">
        <v>5800</v>
      </c>
      <c r="AL61" s="3316" t="s">
        <v>6413</v>
      </c>
      <c r="AM61" s="3316">
        <v>2</v>
      </c>
      <c r="AN61" s="3316">
        <v>18</v>
      </c>
      <c r="AO61" s="3316">
        <v>10</v>
      </c>
      <c r="AP61" s="3316">
        <v>0</v>
      </c>
      <c r="AQ61" s="3316" t="s">
        <v>5800</v>
      </c>
      <c r="AS61" s="3316">
        <v>18</v>
      </c>
      <c r="AT61" s="3316">
        <v>10</v>
      </c>
      <c r="AV61" s="3340">
        <v>0</v>
      </c>
      <c r="AW61" s="3340">
        <v>0</v>
      </c>
      <c r="AX61" s="3340">
        <v>0</v>
      </c>
      <c r="AY61" s="3340">
        <v>0</v>
      </c>
      <c r="AZ61" s="3340">
        <v>0</v>
      </c>
      <c r="BA61" s="3340">
        <v>5696</v>
      </c>
      <c r="BB61" s="3340">
        <v>5696</v>
      </c>
      <c r="BC61" s="3340">
        <v>5696</v>
      </c>
      <c r="BD61" s="3340">
        <v>0</v>
      </c>
      <c r="BE61" s="3340"/>
      <c r="BF61" s="3340">
        <v>0</v>
      </c>
      <c r="BG61" s="3340">
        <v>0</v>
      </c>
      <c r="BH61" s="3340">
        <v>0</v>
      </c>
      <c r="BI61" s="3340">
        <v>0</v>
      </c>
      <c r="BJ61" s="3340">
        <v>0</v>
      </c>
      <c r="BK61" s="3340">
        <v>5178</v>
      </c>
      <c r="BL61" s="3340">
        <v>5178</v>
      </c>
      <c r="BM61" s="3340">
        <v>5178</v>
      </c>
      <c r="BN61" s="3340"/>
      <c r="BO61" s="3340"/>
    </row>
    <row r="62" spans="1:67" s="3316" customFormat="1">
      <c r="A62" s="3316" t="s">
        <v>6252</v>
      </c>
      <c r="B62" s="3316" t="s">
        <v>6253</v>
      </c>
      <c r="C62" s="3316" t="s">
        <v>5800</v>
      </c>
      <c r="D62" s="3316" t="s">
        <v>6254</v>
      </c>
      <c r="E62" s="3316" t="s">
        <v>6255</v>
      </c>
      <c r="F62" s="3316" t="s">
        <v>6414</v>
      </c>
      <c r="G62" s="3316" t="s">
        <v>6414</v>
      </c>
      <c r="H62" s="3316" t="s">
        <v>6415</v>
      </c>
      <c r="I62" s="3316" t="s">
        <v>6299</v>
      </c>
      <c r="J62" s="3316" t="s">
        <v>6416</v>
      </c>
      <c r="K62" s="3316" t="s">
        <v>6257</v>
      </c>
      <c r="L62" s="3316" t="s">
        <v>6258</v>
      </c>
      <c r="M62" s="3316" t="s">
        <v>6252</v>
      </c>
      <c r="N62" s="3316" t="s">
        <v>6301</v>
      </c>
      <c r="O62" s="3316" t="s">
        <v>6286</v>
      </c>
      <c r="P62" s="3316" t="s">
        <v>6302</v>
      </c>
      <c r="Q62" s="3316" t="s">
        <v>6303</v>
      </c>
      <c r="R62" s="3316" t="s">
        <v>6303</v>
      </c>
      <c r="S62" s="3316" t="s">
        <v>5800</v>
      </c>
      <c r="T62" s="3316" t="s">
        <v>6304</v>
      </c>
      <c r="U62" s="3316" t="s">
        <v>6305</v>
      </c>
      <c r="V62" s="3316">
        <v>0</v>
      </c>
      <c r="W62" s="3316">
        <v>0</v>
      </c>
      <c r="X62" s="3316">
        <v>0</v>
      </c>
      <c r="Y62" s="3316">
        <v>33818</v>
      </c>
      <c r="Z62" s="3316" t="s">
        <v>6306</v>
      </c>
      <c r="AA62" s="3316" t="s">
        <v>6303</v>
      </c>
      <c r="AB62" s="3316">
        <v>33818</v>
      </c>
      <c r="AC62" s="3316" t="s">
        <v>6405</v>
      </c>
      <c r="AD62" s="3316" t="s">
        <v>6406</v>
      </c>
      <c r="AE62" s="3316">
        <v>33818</v>
      </c>
      <c r="AF62" s="3316" t="s">
        <v>6309</v>
      </c>
      <c r="AG62" s="3316" t="s">
        <v>6264</v>
      </c>
      <c r="AH62" s="3316">
        <v>3073</v>
      </c>
      <c r="AI62" s="3316">
        <v>30745</v>
      </c>
      <c r="AJ62" s="3316" t="s">
        <v>5800</v>
      </c>
      <c r="AL62" s="3316" t="s">
        <v>6417</v>
      </c>
      <c r="AM62" s="3316">
        <v>1</v>
      </c>
      <c r="AN62" s="3316">
        <v>0</v>
      </c>
      <c r="AO62" s="3316">
        <v>0</v>
      </c>
      <c r="AP62" s="3316">
        <v>0</v>
      </c>
      <c r="AQ62" s="3316" t="s">
        <v>5800</v>
      </c>
      <c r="AS62" s="3316" t="s">
        <v>6309</v>
      </c>
      <c r="AT62" s="3316" t="s">
        <v>6264</v>
      </c>
      <c r="AV62" s="3340">
        <v>0</v>
      </c>
      <c r="AW62" s="3340">
        <v>0</v>
      </c>
      <c r="AX62" s="3340">
        <v>0</v>
      </c>
      <c r="AY62" s="3340">
        <v>0</v>
      </c>
      <c r="AZ62" s="3340">
        <v>0</v>
      </c>
      <c r="BA62" s="3340">
        <v>33818</v>
      </c>
      <c r="BB62" s="3340">
        <v>33818</v>
      </c>
      <c r="BC62" s="3340">
        <v>33818</v>
      </c>
      <c r="BD62" s="3340">
        <v>0</v>
      </c>
      <c r="BE62" s="3340"/>
      <c r="BF62" s="3340">
        <v>0</v>
      </c>
      <c r="BG62" s="3340">
        <v>0</v>
      </c>
      <c r="BH62" s="3340">
        <v>0</v>
      </c>
      <c r="BI62" s="3340">
        <v>0</v>
      </c>
      <c r="BJ62" s="3340">
        <v>0</v>
      </c>
      <c r="BK62" s="3340">
        <v>30744</v>
      </c>
      <c r="BL62" s="3340">
        <v>30744</v>
      </c>
      <c r="BM62" s="3340">
        <v>30744</v>
      </c>
      <c r="BN62" s="3340"/>
      <c r="BO62" s="3340"/>
    </row>
    <row r="63" spans="1:67" s="3316" customFormat="1">
      <c r="A63" s="3316" t="s">
        <v>6252</v>
      </c>
      <c r="B63" s="3316" t="s">
        <v>6253</v>
      </c>
      <c r="C63" s="3316" t="s">
        <v>5800</v>
      </c>
      <c r="D63" s="3316" t="s">
        <v>6254</v>
      </c>
      <c r="E63" s="3316" t="s">
        <v>6255</v>
      </c>
      <c r="F63" s="3316" t="s">
        <v>6418</v>
      </c>
      <c r="G63" s="3316" t="s">
        <v>6418</v>
      </c>
      <c r="H63" s="3316" t="s">
        <v>6415</v>
      </c>
      <c r="I63" s="3316" t="s">
        <v>6299</v>
      </c>
      <c r="J63" s="3316" t="s">
        <v>6419</v>
      </c>
      <c r="K63" s="3316" t="s">
        <v>6257</v>
      </c>
      <c r="L63" s="3316" t="s">
        <v>6258</v>
      </c>
      <c r="M63" s="3316" t="s">
        <v>6252</v>
      </c>
      <c r="N63" s="3316" t="s">
        <v>6301</v>
      </c>
      <c r="O63" s="3316" t="s">
        <v>6286</v>
      </c>
      <c r="P63" s="3316" t="s">
        <v>6302</v>
      </c>
      <c r="Q63" s="3316" t="s">
        <v>6303</v>
      </c>
      <c r="R63" s="3316" t="s">
        <v>6303</v>
      </c>
      <c r="S63" s="3316" t="s">
        <v>5800</v>
      </c>
      <c r="T63" s="3316" t="s">
        <v>6304</v>
      </c>
      <c r="U63" s="3316" t="s">
        <v>6305</v>
      </c>
      <c r="V63" s="3316">
        <v>0</v>
      </c>
      <c r="W63" s="3316">
        <v>0</v>
      </c>
      <c r="X63" s="3316">
        <v>0</v>
      </c>
      <c r="Y63" s="3316">
        <v>764</v>
      </c>
      <c r="Z63" s="3316" t="s">
        <v>6306</v>
      </c>
      <c r="AA63" s="3316" t="s">
        <v>6303</v>
      </c>
      <c r="AB63" s="3316">
        <v>764</v>
      </c>
      <c r="AC63" s="3316" t="s">
        <v>6405</v>
      </c>
      <c r="AD63" s="3316" t="s">
        <v>6406</v>
      </c>
      <c r="AE63" s="3316">
        <v>764</v>
      </c>
      <c r="AF63" s="3316" t="s">
        <v>6309</v>
      </c>
      <c r="AG63" s="3316" t="s">
        <v>6264</v>
      </c>
      <c r="AH63" s="3316">
        <v>69</v>
      </c>
      <c r="AI63" s="3316">
        <v>695</v>
      </c>
      <c r="AJ63" s="3316" t="s">
        <v>5800</v>
      </c>
      <c r="AL63" s="3316" t="s">
        <v>6420</v>
      </c>
      <c r="AM63" s="3316">
        <v>1</v>
      </c>
      <c r="AN63" s="3316">
        <v>0</v>
      </c>
      <c r="AO63" s="3316">
        <v>0</v>
      </c>
      <c r="AP63" s="3316">
        <v>0</v>
      </c>
      <c r="AQ63" s="3316" t="s">
        <v>5800</v>
      </c>
      <c r="AS63" s="3316" t="s">
        <v>6309</v>
      </c>
      <c r="AT63" s="3316" t="s">
        <v>6264</v>
      </c>
      <c r="AV63" s="3340">
        <v>0</v>
      </c>
      <c r="AW63" s="3340">
        <v>0</v>
      </c>
      <c r="AX63" s="3340">
        <v>0</v>
      </c>
      <c r="AY63" s="3340">
        <v>0</v>
      </c>
      <c r="AZ63" s="3340">
        <v>0</v>
      </c>
      <c r="BA63" s="3340">
        <v>764</v>
      </c>
      <c r="BB63" s="3340">
        <v>764</v>
      </c>
      <c r="BC63" s="3340">
        <v>764</v>
      </c>
      <c r="BD63" s="3340">
        <v>0</v>
      </c>
      <c r="BE63" s="3340"/>
      <c r="BF63" s="3340">
        <v>0</v>
      </c>
      <c r="BG63" s="3340">
        <v>0</v>
      </c>
      <c r="BH63" s="3340">
        <v>0</v>
      </c>
      <c r="BI63" s="3340">
        <v>0</v>
      </c>
      <c r="BJ63" s="3340">
        <v>0</v>
      </c>
      <c r="BK63" s="3340">
        <v>695</v>
      </c>
      <c r="BL63" s="3340">
        <v>695</v>
      </c>
      <c r="BM63" s="3340">
        <v>695</v>
      </c>
      <c r="BN63" s="3340"/>
      <c r="BO63" s="3340"/>
    </row>
    <row r="64" spans="1:67" s="3316" customFormat="1">
      <c r="A64" s="3316" t="s">
        <v>6252</v>
      </c>
      <c r="B64" s="3316" t="s">
        <v>6253</v>
      </c>
      <c r="C64" s="3316" t="s">
        <v>5800</v>
      </c>
      <c r="D64" s="3316" t="s">
        <v>6254</v>
      </c>
      <c r="E64" s="3316" t="s">
        <v>6255</v>
      </c>
      <c r="F64" s="3316" t="s">
        <v>6427</v>
      </c>
      <c r="G64" s="3316" t="s">
        <v>6427</v>
      </c>
      <c r="H64" s="3316" t="s">
        <v>6403</v>
      </c>
      <c r="I64" s="3316" t="s">
        <v>6299</v>
      </c>
      <c r="J64" s="3316" t="s">
        <v>6428</v>
      </c>
      <c r="K64" s="3316" t="s">
        <v>6257</v>
      </c>
      <c r="L64" s="3316" t="s">
        <v>6258</v>
      </c>
      <c r="M64" s="3316" t="s">
        <v>6252</v>
      </c>
      <c r="N64" s="3316" t="s">
        <v>6301</v>
      </c>
      <c r="O64" s="3316" t="s">
        <v>6286</v>
      </c>
      <c r="P64" s="3316" t="s">
        <v>6302</v>
      </c>
      <c r="Q64" s="3316" t="s">
        <v>6303</v>
      </c>
      <c r="R64" s="3316" t="s">
        <v>6303</v>
      </c>
      <c r="S64" s="3316" t="s">
        <v>5800</v>
      </c>
      <c r="T64" s="3316" t="s">
        <v>6304</v>
      </c>
      <c r="U64" s="3316" t="s">
        <v>6305</v>
      </c>
      <c r="V64" s="3316">
        <v>0</v>
      </c>
      <c r="W64" s="3316">
        <v>0</v>
      </c>
      <c r="X64" s="3316">
        <v>0</v>
      </c>
      <c r="Y64" s="3316">
        <v>31460</v>
      </c>
      <c r="Z64" s="3316" t="s">
        <v>6306</v>
      </c>
      <c r="AA64" s="3316" t="s">
        <v>6303</v>
      </c>
      <c r="AB64" s="3316">
        <v>31460</v>
      </c>
      <c r="AC64" s="3316" t="s">
        <v>6405</v>
      </c>
      <c r="AD64" s="3316" t="s">
        <v>6406</v>
      </c>
      <c r="AE64" s="3316">
        <v>31460</v>
      </c>
      <c r="AF64" s="3316" t="s">
        <v>6309</v>
      </c>
      <c r="AG64" s="3316" t="s">
        <v>6264</v>
      </c>
      <c r="AH64" s="3316">
        <v>2860</v>
      </c>
      <c r="AI64" s="3316">
        <v>28600</v>
      </c>
      <c r="AJ64" s="3316" t="s">
        <v>5800</v>
      </c>
      <c r="AL64" s="3316" t="s">
        <v>6429</v>
      </c>
      <c r="AM64" s="3316">
        <v>1</v>
      </c>
      <c r="AN64" s="3316">
        <v>0</v>
      </c>
      <c r="AO64" s="3316">
        <v>0</v>
      </c>
      <c r="AP64" s="3316">
        <v>0</v>
      </c>
      <c r="AQ64" s="3316" t="s">
        <v>5800</v>
      </c>
      <c r="AS64" s="3316" t="s">
        <v>6309</v>
      </c>
      <c r="AT64" s="3316" t="s">
        <v>6264</v>
      </c>
      <c r="AV64" s="3340">
        <v>0</v>
      </c>
      <c r="AW64" s="3340">
        <v>0</v>
      </c>
      <c r="AX64" s="3340">
        <v>0</v>
      </c>
      <c r="AY64" s="3340">
        <v>0</v>
      </c>
      <c r="AZ64" s="3340">
        <v>0</v>
      </c>
      <c r="BA64" s="3340">
        <v>31460</v>
      </c>
      <c r="BB64" s="3340">
        <v>31460</v>
      </c>
      <c r="BC64" s="3340">
        <v>31460</v>
      </c>
      <c r="BD64" s="3340">
        <v>0</v>
      </c>
      <c r="BE64" s="3340"/>
      <c r="BF64" s="3340">
        <v>0</v>
      </c>
      <c r="BG64" s="3340">
        <v>0</v>
      </c>
      <c r="BH64" s="3340">
        <v>0</v>
      </c>
      <c r="BI64" s="3340">
        <v>0</v>
      </c>
      <c r="BJ64" s="3340">
        <v>0</v>
      </c>
      <c r="BK64" s="3340">
        <v>28600</v>
      </c>
      <c r="BL64" s="3340">
        <v>28600</v>
      </c>
      <c r="BM64" s="3340">
        <v>28600</v>
      </c>
      <c r="BN64" s="3340"/>
      <c r="BO64" s="3340"/>
    </row>
    <row r="65" spans="1:67" s="3316" customFormat="1">
      <c r="A65" s="3316" t="s">
        <v>6252</v>
      </c>
      <c r="B65" s="3316" t="s">
        <v>6253</v>
      </c>
      <c r="C65" s="3316" t="s">
        <v>5800</v>
      </c>
      <c r="D65" s="3316" t="s">
        <v>6254</v>
      </c>
      <c r="E65" s="3316" t="s">
        <v>6255</v>
      </c>
      <c r="F65" s="3316" t="s">
        <v>6427</v>
      </c>
      <c r="G65" s="3316" t="s">
        <v>6427</v>
      </c>
      <c r="H65" s="3316" t="s">
        <v>6403</v>
      </c>
      <c r="I65" s="3316" t="s">
        <v>6299</v>
      </c>
      <c r="J65" s="3316" t="s">
        <v>6430</v>
      </c>
      <c r="K65" s="3316" t="s">
        <v>6257</v>
      </c>
      <c r="L65" s="3316" t="s">
        <v>6258</v>
      </c>
      <c r="M65" s="3316" t="s">
        <v>6252</v>
      </c>
      <c r="N65" s="3316" t="s">
        <v>6301</v>
      </c>
      <c r="O65" s="3316" t="s">
        <v>6286</v>
      </c>
      <c r="P65" s="3316" t="s">
        <v>6302</v>
      </c>
      <c r="Q65" s="3316" t="s">
        <v>6303</v>
      </c>
      <c r="R65" s="3316" t="s">
        <v>6303</v>
      </c>
      <c r="S65" s="3316" t="s">
        <v>5800</v>
      </c>
      <c r="T65" s="3316" t="s">
        <v>6304</v>
      </c>
      <c r="U65" s="3316" t="s">
        <v>6305</v>
      </c>
      <c r="V65" s="3316">
        <v>0</v>
      </c>
      <c r="W65" s="3316">
        <v>0</v>
      </c>
      <c r="X65" s="3316">
        <v>0</v>
      </c>
      <c r="Y65" s="3316">
        <v>9264</v>
      </c>
      <c r="Z65" s="3316" t="s">
        <v>6306</v>
      </c>
      <c r="AA65" s="3316" t="s">
        <v>6303</v>
      </c>
      <c r="AB65" s="3316">
        <v>9264</v>
      </c>
      <c r="AC65" s="3316" t="s">
        <v>6405</v>
      </c>
      <c r="AD65" s="3316" t="s">
        <v>6406</v>
      </c>
      <c r="AE65" s="3316">
        <v>9264</v>
      </c>
      <c r="AF65" s="3316" t="s">
        <v>6295</v>
      </c>
      <c r="AG65" s="3316" t="s">
        <v>6261</v>
      </c>
      <c r="AH65" s="3316">
        <v>684</v>
      </c>
      <c r="AI65" s="3316">
        <v>8580</v>
      </c>
      <c r="AJ65" s="3316" t="s">
        <v>5800</v>
      </c>
      <c r="AL65" s="3316" t="s">
        <v>6431</v>
      </c>
      <c r="AM65" s="3316">
        <v>1</v>
      </c>
      <c r="AN65" s="3316">
        <v>0</v>
      </c>
      <c r="AO65" s="3316">
        <v>0</v>
      </c>
      <c r="AP65" s="3316">
        <v>0</v>
      </c>
      <c r="AQ65" s="3316" t="s">
        <v>5800</v>
      </c>
      <c r="AS65" s="3316" t="s">
        <v>6295</v>
      </c>
      <c r="AT65" s="3316" t="s">
        <v>6261</v>
      </c>
      <c r="AV65" s="3340">
        <v>0</v>
      </c>
      <c r="AW65" s="3340">
        <v>0</v>
      </c>
      <c r="AX65" s="3340">
        <v>0</v>
      </c>
      <c r="AY65" s="3340">
        <v>0</v>
      </c>
      <c r="AZ65" s="3340">
        <v>0</v>
      </c>
      <c r="BA65" s="3340">
        <v>9264</v>
      </c>
      <c r="BB65" s="3340">
        <v>9264</v>
      </c>
      <c r="BC65" s="3340">
        <v>9264</v>
      </c>
      <c r="BD65" s="3340">
        <v>0</v>
      </c>
      <c r="BE65" s="3340"/>
      <c r="BF65" s="3340">
        <v>0</v>
      </c>
      <c r="BG65" s="3340">
        <v>0</v>
      </c>
      <c r="BH65" s="3340">
        <v>0</v>
      </c>
      <c r="BI65" s="3340">
        <v>0</v>
      </c>
      <c r="BJ65" s="3340">
        <v>0</v>
      </c>
      <c r="BK65" s="3340">
        <v>8578</v>
      </c>
      <c r="BL65" s="3340">
        <v>8578</v>
      </c>
      <c r="BM65" s="3340">
        <v>8578</v>
      </c>
      <c r="BN65" s="3340"/>
      <c r="BO65" s="3340"/>
    </row>
    <row r="66" spans="1:67" s="3316" customFormat="1">
      <c r="A66" s="3316" t="s">
        <v>6252</v>
      </c>
      <c r="B66" s="3316" t="s">
        <v>6253</v>
      </c>
      <c r="C66" s="3316" t="s">
        <v>5800</v>
      </c>
      <c r="D66" s="3316" t="s">
        <v>6254</v>
      </c>
      <c r="E66" s="3316" t="s">
        <v>6255</v>
      </c>
      <c r="F66" s="3316" t="s">
        <v>6432</v>
      </c>
      <c r="G66" s="3316" t="s">
        <v>6432</v>
      </c>
      <c r="H66" s="3316" t="s">
        <v>6403</v>
      </c>
      <c r="I66" s="3316" t="s">
        <v>6299</v>
      </c>
      <c r="J66" s="3316" t="s">
        <v>6433</v>
      </c>
      <c r="K66" s="3316" t="s">
        <v>6257</v>
      </c>
      <c r="L66" s="3316" t="s">
        <v>6258</v>
      </c>
      <c r="M66" s="3316" t="s">
        <v>6252</v>
      </c>
      <c r="N66" s="3316" t="s">
        <v>6301</v>
      </c>
      <c r="O66" s="3316" t="s">
        <v>6286</v>
      </c>
      <c r="P66" s="3316" t="s">
        <v>6302</v>
      </c>
      <c r="Q66" s="3316" t="s">
        <v>6303</v>
      </c>
      <c r="R66" s="3316" t="s">
        <v>6303</v>
      </c>
      <c r="S66" s="3316" t="s">
        <v>5800</v>
      </c>
      <c r="T66" s="3316" t="s">
        <v>6304</v>
      </c>
      <c r="U66" s="3316" t="s">
        <v>6305</v>
      </c>
      <c r="V66" s="3316">
        <v>0</v>
      </c>
      <c r="W66" s="3316">
        <v>0</v>
      </c>
      <c r="X66" s="3316">
        <v>0</v>
      </c>
      <c r="Y66" s="3316">
        <v>7770</v>
      </c>
      <c r="Z66" s="3316" t="s">
        <v>6306</v>
      </c>
      <c r="AA66" s="3316" t="s">
        <v>6303</v>
      </c>
      <c r="AB66" s="3316">
        <v>7770</v>
      </c>
      <c r="AC66" s="3316" t="s">
        <v>6405</v>
      </c>
      <c r="AD66" s="3316" t="s">
        <v>6406</v>
      </c>
      <c r="AE66" s="3316">
        <v>7770</v>
      </c>
      <c r="AF66" s="3316" t="s">
        <v>6309</v>
      </c>
      <c r="AG66" s="3316" t="s">
        <v>6264</v>
      </c>
      <c r="AH66" s="3316">
        <v>706</v>
      </c>
      <c r="AI66" s="3316">
        <v>7064</v>
      </c>
      <c r="AJ66" s="3316" t="s">
        <v>5800</v>
      </c>
      <c r="AL66" s="3316" t="s">
        <v>6434</v>
      </c>
      <c r="AM66" s="3316">
        <v>1</v>
      </c>
      <c r="AN66" s="3316">
        <v>0</v>
      </c>
      <c r="AO66" s="3316">
        <v>0</v>
      </c>
      <c r="AP66" s="3316">
        <v>0</v>
      </c>
      <c r="AQ66" s="3316" t="s">
        <v>5800</v>
      </c>
      <c r="AS66" s="3316" t="s">
        <v>6309</v>
      </c>
      <c r="AT66" s="3316" t="s">
        <v>6264</v>
      </c>
      <c r="AV66" s="3340">
        <v>0</v>
      </c>
      <c r="AW66" s="3340">
        <v>0</v>
      </c>
      <c r="AX66" s="3340">
        <v>0</v>
      </c>
      <c r="AY66" s="3340">
        <v>0</v>
      </c>
      <c r="AZ66" s="3340">
        <v>0</v>
      </c>
      <c r="BA66" s="3340">
        <v>7770</v>
      </c>
      <c r="BB66" s="3340">
        <v>7770</v>
      </c>
      <c r="BC66" s="3340">
        <v>7770</v>
      </c>
      <c r="BD66" s="3340">
        <v>0</v>
      </c>
      <c r="BE66" s="3340"/>
      <c r="BF66" s="3340">
        <v>0</v>
      </c>
      <c r="BG66" s="3340">
        <v>0</v>
      </c>
      <c r="BH66" s="3340">
        <v>0</v>
      </c>
      <c r="BI66" s="3340">
        <v>0</v>
      </c>
      <c r="BJ66" s="3340">
        <v>0</v>
      </c>
      <c r="BK66" s="3340">
        <v>7064</v>
      </c>
      <c r="BL66" s="3340">
        <v>7064</v>
      </c>
      <c r="BM66" s="3340">
        <v>7064</v>
      </c>
      <c r="BN66" s="3340"/>
      <c r="BO66" s="3340"/>
    </row>
    <row r="67" spans="1:67" s="3316" customFormat="1">
      <c r="A67" s="3316" t="s">
        <v>6252</v>
      </c>
      <c r="B67" s="3316" t="s">
        <v>6253</v>
      </c>
      <c r="C67" s="3316" t="s">
        <v>5800</v>
      </c>
      <c r="D67" s="3316" t="s">
        <v>6254</v>
      </c>
      <c r="E67" s="3316" t="s">
        <v>6255</v>
      </c>
      <c r="F67" s="3316" t="s">
        <v>6421</v>
      </c>
      <c r="G67" s="3316" t="s">
        <v>6421</v>
      </c>
      <c r="H67" s="3316" t="s">
        <v>6415</v>
      </c>
      <c r="I67" s="3316" t="s">
        <v>6299</v>
      </c>
      <c r="J67" s="3316" t="s">
        <v>6422</v>
      </c>
      <c r="K67" s="3316" t="s">
        <v>6257</v>
      </c>
      <c r="L67" s="3316" t="s">
        <v>6258</v>
      </c>
      <c r="M67" s="3316" t="s">
        <v>6252</v>
      </c>
      <c r="N67" s="3316" t="s">
        <v>6301</v>
      </c>
      <c r="O67" s="3316" t="s">
        <v>6286</v>
      </c>
      <c r="P67" s="3316" t="s">
        <v>6302</v>
      </c>
      <c r="Q67" s="3316" t="s">
        <v>6303</v>
      </c>
      <c r="R67" s="3316" t="s">
        <v>6303</v>
      </c>
      <c r="S67" s="3316" t="s">
        <v>5800</v>
      </c>
      <c r="T67" s="3316" t="s">
        <v>6304</v>
      </c>
      <c r="U67" s="3316" t="s">
        <v>6305</v>
      </c>
      <c r="V67" s="3316">
        <v>0</v>
      </c>
      <c r="W67" s="3316">
        <v>0</v>
      </c>
      <c r="X67" s="3316">
        <v>0</v>
      </c>
      <c r="Y67" s="3316">
        <v>4587</v>
      </c>
      <c r="Z67" s="3316" t="s">
        <v>6306</v>
      </c>
      <c r="AA67" s="3316" t="s">
        <v>6303</v>
      </c>
      <c r="AB67" s="3316">
        <v>4587</v>
      </c>
      <c r="AC67" s="3316" t="s">
        <v>6405</v>
      </c>
      <c r="AD67" s="3316" t="s">
        <v>6406</v>
      </c>
      <c r="AE67" s="3316">
        <v>4587</v>
      </c>
      <c r="AF67" s="3316" t="s">
        <v>6309</v>
      </c>
      <c r="AG67" s="3316" t="s">
        <v>6264</v>
      </c>
      <c r="AH67" s="3316">
        <v>417</v>
      </c>
      <c r="AI67" s="3316">
        <v>4170</v>
      </c>
      <c r="AJ67" s="3316" t="s">
        <v>5800</v>
      </c>
      <c r="AL67" s="3316" t="s">
        <v>6423</v>
      </c>
      <c r="AM67" s="3316">
        <v>1</v>
      </c>
      <c r="AN67" s="3316">
        <v>0</v>
      </c>
      <c r="AO67" s="3316">
        <v>0</v>
      </c>
      <c r="AP67" s="3316">
        <v>0</v>
      </c>
      <c r="AQ67" s="3316" t="s">
        <v>5800</v>
      </c>
      <c r="AS67" s="3316" t="s">
        <v>6309</v>
      </c>
      <c r="AT67" s="3316" t="s">
        <v>6264</v>
      </c>
      <c r="AV67" s="3340">
        <v>0</v>
      </c>
      <c r="AW67" s="3340">
        <v>0</v>
      </c>
      <c r="AX67" s="3340">
        <v>0</v>
      </c>
      <c r="AY67" s="3340">
        <v>0</v>
      </c>
      <c r="AZ67" s="3340">
        <v>0</v>
      </c>
      <c r="BA67" s="3340">
        <v>4587</v>
      </c>
      <c r="BB67" s="3340">
        <v>4587</v>
      </c>
      <c r="BC67" s="3340">
        <v>4587</v>
      </c>
      <c r="BD67" s="3340">
        <v>0</v>
      </c>
      <c r="BE67" s="3340"/>
      <c r="BF67" s="3340">
        <v>0</v>
      </c>
      <c r="BG67" s="3340">
        <v>0</v>
      </c>
      <c r="BH67" s="3340">
        <v>0</v>
      </c>
      <c r="BI67" s="3340">
        <v>0</v>
      </c>
      <c r="BJ67" s="3340">
        <v>0</v>
      </c>
      <c r="BK67" s="3340">
        <v>4170</v>
      </c>
      <c r="BL67" s="3340">
        <v>4170</v>
      </c>
      <c r="BM67" s="3340">
        <v>4170</v>
      </c>
      <c r="BN67" s="3340"/>
      <c r="BO67" s="3340"/>
    </row>
    <row r="68" spans="1:67" s="3316" customFormat="1">
      <c r="A68" s="3316" t="s">
        <v>6252</v>
      </c>
      <c r="B68" s="3316" t="s">
        <v>6253</v>
      </c>
      <c r="C68" s="3316" t="s">
        <v>5800</v>
      </c>
      <c r="D68" s="3316" t="s">
        <v>6254</v>
      </c>
      <c r="E68" s="3316" t="s">
        <v>6255</v>
      </c>
      <c r="F68" s="3316" t="s">
        <v>6424</v>
      </c>
      <c r="G68" s="3316" t="s">
        <v>6424</v>
      </c>
      <c r="H68" s="3316" t="s">
        <v>6403</v>
      </c>
      <c r="I68" s="3316" t="s">
        <v>6299</v>
      </c>
      <c r="J68" s="3316" t="s">
        <v>6425</v>
      </c>
      <c r="K68" s="3316" t="s">
        <v>6257</v>
      </c>
      <c r="L68" s="3316" t="s">
        <v>6258</v>
      </c>
      <c r="M68" s="3316" t="s">
        <v>6252</v>
      </c>
      <c r="N68" s="3316" t="s">
        <v>6301</v>
      </c>
      <c r="O68" s="3316" t="s">
        <v>6286</v>
      </c>
      <c r="P68" s="3316" t="s">
        <v>6302</v>
      </c>
      <c r="Q68" s="3316" t="s">
        <v>6303</v>
      </c>
      <c r="R68" s="3316" t="s">
        <v>6303</v>
      </c>
      <c r="S68" s="3316" t="s">
        <v>5800</v>
      </c>
      <c r="T68" s="3316" t="s">
        <v>6304</v>
      </c>
      <c r="U68" s="3316" t="s">
        <v>6305</v>
      </c>
      <c r="V68" s="3316">
        <v>0</v>
      </c>
      <c r="W68" s="3316">
        <v>0</v>
      </c>
      <c r="X68" s="3316">
        <v>0</v>
      </c>
      <c r="Y68" s="3316">
        <v>20972</v>
      </c>
      <c r="Z68" s="3316" t="s">
        <v>6306</v>
      </c>
      <c r="AA68" s="3316" t="s">
        <v>6303</v>
      </c>
      <c r="AB68" s="3316">
        <v>20972</v>
      </c>
      <c r="AC68" s="3316" t="s">
        <v>6405</v>
      </c>
      <c r="AD68" s="3316" t="s">
        <v>6406</v>
      </c>
      <c r="AE68" s="3316">
        <v>20972</v>
      </c>
      <c r="AF68" s="3316" t="s">
        <v>6309</v>
      </c>
      <c r="AG68" s="3316" t="s">
        <v>6264</v>
      </c>
      <c r="AH68" s="3316">
        <v>1907</v>
      </c>
      <c r="AI68" s="3316">
        <v>19065</v>
      </c>
      <c r="AJ68" s="3316" t="s">
        <v>5800</v>
      </c>
      <c r="AL68" s="3316" t="s">
        <v>6426</v>
      </c>
      <c r="AM68" s="3316">
        <v>1</v>
      </c>
      <c r="AN68" s="3316">
        <v>0</v>
      </c>
      <c r="AO68" s="3316">
        <v>0</v>
      </c>
      <c r="AP68" s="3316">
        <v>0</v>
      </c>
      <c r="AQ68" s="3316" t="s">
        <v>5800</v>
      </c>
      <c r="AS68" s="3316" t="s">
        <v>6309</v>
      </c>
      <c r="AT68" s="3316" t="s">
        <v>6264</v>
      </c>
      <c r="AV68" s="3340">
        <v>0</v>
      </c>
      <c r="AW68" s="3340">
        <v>0</v>
      </c>
      <c r="AX68" s="3340">
        <v>0</v>
      </c>
      <c r="AY68" s="3340">
        <v>0</v>
      </c>
      <c r="AZ68" s="3340">
        <v>0</v>
      </c>
      <c r="BA68" s="3340">
        <v>20972</v>
      </c>
      <c r="BB68" s="3340">
        <v>20972</v>
      </c>
      <c r="BC68" s="3340">
        <v>20972</v>
      </c>
      <c r="BD68" s="3340">
        <v>0</v>
      </c>
      <c r="BE68" s="3340"/>
      <c r="BF68" s="3340">
        <v>0</v>
      </c>
      <c r="BG68" s="3340">
        <v>0</v>
      </c>
      <c r="BH68" s="3340">
        <v>0</v>
      </c>
      <c r="BI68" s="3340">
        <v>0</v>
      </c>
      <c r="BJ68" s="3340">
        <v>0</v>
      </c>
      <c r="BK68" s="3340">
        <v>19066</v>
      </c>
      <c r="BL68" s="3340">
        <v>19066</v>
      </c>
      <c r="BM68" s="3340">
        <v>19066</v>
      </c>
      <c r="BN68" s="3340"/>
      <c r="BO68" s="3340"/>
    </row>
    <row r="69" spans="1:67" s="3316" customFormat="1">
      <c r="A69" s="3316" t="s">
        <v>6252</v>
      </c>
      <c r="B69" s="3316" t="s">
        <v>6253</v>
      </c>
      <c r="C69" s="3316" t="s">
        <v>5800</v>
      </c>
      <c r="D69" s="3316" t="s">
        <v>6254</v>
      </c>
      <c r="E69" s="3316" t="s">
        <v>6255</v>
      </c>
      <c r="F69" s="3316" t="s">
        <v>6435</v>
      </c>
      <c r="G69" s="3316" t="s">
        <v>6435</v>
      </c>
      <c r="H69" s="3316" t="s">
        <v>6403</v>
      </c>
      <c r="I69" s="3316" t="s">
        <v>6299</v>
      </c>
      <c r="J69" s="3316" t="s">
        <v>6436</v>
      </c>
      <c r="K69" s="3316" t="s">
        <v>6257</v>
      </c>
      <c r="L69" s="3316" t="s">
        <v>6258</v>
      </c>
      <c r="M69" s="3316" t="s">
        <v>6252</v>
      </c>
      <c r="N69" s="3316" t="s">
        <v>6301</v>
      </c>
      <c r="O69" s="3316" t="s">
        <v>6286</v>
      </c>
      <c r="P69" s="3316" t="s">
        <v>6302</v>
      </c>
      <c r="Q69" s="3316" t="s">
        <v>6303</v>
      </c>
      <c r="R69" s="3316" t="s">
        <v>6303</v>
      </c>
      <c r="S69" s="3316" t="s">
        <v>5800</v>
      </c>
      <c r="T69" s="3316" t="s">
        <v>6304</v>
      </c>
      <c r="U69" s="3316" t="s">
        <v>6305</v>
      </c>
      <c r="V69" s="3316">
        <v>0</v>
      </c>
      <c r="W69" s="3316">
        <v>0</v>
      </c>
      <c r="X69" s="3316">
        <v>0</v>
      </c>
      <c r="Y69" s="3316">
        <v>136155</v>
      </c>
      <c r="Z69" s="3316" t="s">
        <v>6306</v>
      </c>
      <c r="AA69" s="3316" t="s">
        <v>6303</v>
      </c>
      <c r="AB69" s="3316">
        <v>136155</v>
      </c>
      <c r="AC69" s="3316" t="s">
        <v>6405</v>
      </c>
      <c r="AD69" s="3316" t="s">
        <v>6406</v>
      </c>
      <c r="AE69" s="3316">
        <v>136155</v>
      </c>
      <c r="AF69" s="3316" t="s">
        <v>6309</v>
      </c>
      <c r="AG69" s="3316" t="s">
        <v>6264</v>
      </c>
      <c r="AH69" s="3316">
        <v>12377</v>
      </c>
      <c r="AI69" s="3316">
        <v>123778</v>
      </c>
      <c r="AJ69" s="3316" t="s">
        <v>5800</v>
      </c>
      <c r="AL69" s="3316" t="s">
        <v>6437</v>
      </c>
      <c r="AM69" s="3316">
        <v>1</v>
      </c>
      <c r="AN69" s="3316">
        <v>0</v>
      </c>
      <c r="AO69" s="3316">
        <v>0</v>
      </c>
      <c r="AP69" s="3316">
        <v>0</v>
      </c>
      <c r="AQ69" s="3316" t="s">
        <v>5800</v>
      </c>
      <c r="AS69" s="3316" t="s">
        <v>6309</v>
      </c>
      <c r="AT69" s="3316" t="s">
        <v>6264</v>
      </c>
      <c r="AV69" s="3340">
        <v>0</v>
      </c>
      <c r="AW69" s="3340">
        <v>0</v>
      </c>
      <c r="AX69" s="3340">
        <v>0</v>
      </c>
      <c r="AY69" s="3340">
        <v>0</v>
      </c>
      <c r="AZ69" s="3340">
        <v>0</v>
      </c>
      <c r="BA69" s="3340">
        <v>136155</v>
      </c>
      <c r="BB69" s="3340">
        <v>136155</v>
      </c>
      <c r="BC69" s="3340">
        <v>136155</v>
      </c>
      <c r="BD69" s="3340">
        <v>0</v>
      </c>
      <c r="BE69" s="3340"/>
      <c r="BF69" s="3340">
        <v>0</v>
      </c>
      <c r="BG69" s="3340">
        <v>0</v>
      </c>
      <c r="BH69" s="3340">
        <v>0</v>
      </c>
      <c r="BI69" s="3340">
        <v>0</v>
      </c>
      <c r="BJ69" s="3340">
        <v>0</v>
      </c>
      <c r="BK69" s="3340">
        <v>123777</v>
      </c>
      <c r="BL69" s="3340">
        <v>123777</v>
      </c>
      <c r="BM69" s="3340">
        <v>123777</v>
      </c>
      <c r="BN69" s="3340"/>
      <c r="BO69" s="3340"/>
    </row>
    <row r="70" spans="1:67" s="3316" customFormat="1">
      <c r="A70" s="3316" t="s">
        <v>6252</v>
      </c>
      <c r="B70" s="3316" t="s">
        <v>6253</v>
      </c>
      <c r="C70" s="3316" t="s">
        <v>5800</v>
      </c>
      <c r="D70" s="3316" t="s">
        <v>6254</v>
      </c>
      <c r="E70" s="3316" t="s">
        <v>6255</v>
      </c>
      <c r="F70" s="3316" t="s">
        <v>6438</v>
      </c>
      <c r="G70" s="3316" t="s">
        <v>6438</v>
      </c>
      <c r="H70" s="3316" t="s">
        <v>6403</v>
      </c>
      <c r="I70" s="3316" t="s">
        <v>6299</v>
      </c>
      <c r="J70" s="3316" t="s">
        <v>6439</v>
      </c>
      <c r="K70" s="3316" t="s">
        <v>6257</v>
      </c>
      <c r="L70" s="3316" t="s">
        <v>6258</v>
      </c>
      <c r="M70" s="3316" t="s">
        <v>6252</v>
      </c>
      <c r="N70" s="3316" t="s">
        <v>6301</v>
      </c>
      <c r="O70" s="3316" t="s">
        <v>6286</v>
      </c>
      <c r="P70" s="3316" t="s">
        <v>6302</v>
      </c>
      <c r="Q70" s="3316" t="s">
        <v>6303</v>
      </c>
      <c r="R70" s="3316" t="s">
        <v>6303</v>
      </c>
      <c r="S70" s="3316" t="s">
        <v>5800</v>
      </c>
      <c r="T70" s="3316" t="s">
        <v>6304</v>
      </c>
      <c r="U70" s="3316" t="s">
        <v>6305</v>
      </c>
      <c r="V70" s="3316">
        <v>0</v>
      </c>
      <c r="W70" s="3316">
        <v>0</v>
      </c>
      <c r="X70" s="3316">
        <v>0</v>
      </c>
      <c r="Y70" s="3316">
        <v>789522</v>
      </c>
      <c r="Z70" s="3316" t="s">
        <v>6306</v>
      </c>
      <c r="AA70" s="3316" t="s">
        <v>6303</v>
      </c>
      <c r="AB70" s="3316">
        <v>789522</v>
      </c>
      <c r="AC70" s="3316" t="s">
        <v>6405</v>
      </c>
      <c r="AD70" s="3316" t="s">
        <v>6406</v>
      </c>
      <c r="AE70" s="3316">
        <v>789522</v>
      </c>
      <c r="AF70" s="3316" t="s">
        <v>6295</v>
      </c>
      <c r="AG70" s="3316" t="s">
        <v>6264</v>
      </c>
      <c r="AH70" s="3316">
        <v>71771</v>
      </c>
      <c r="AI70" s="3316">
        <v>717751</v>
      </c>
      <c r="AJ70" s="3316" t="s">
        <v>5800</v>
      </c>
      <c r="AL70" s="3316" t="s">
        <v>6440</v>
      </c>
      <c r="AM70" s="3316">
        <v>2</v>
      </c>
      <c r="AN70" s="3316">
        <v>18</v>
      </c>
      <c r="AO70" s="3316">
        <v>10</v>
      </c>
      <c r="AP70" s="3316">
        <v>0</v>
      </c>
      <c r="AQ70" s="3316" t="s">
        <v>5800</v>
      </c>
      <c r="AS70" s="3316">
        <v>18</v>
      </c>
      <c r="AT70" s="3316">
        <v>10</v>
      </c>
      <c r="AV70" s="3340">
        <v>0</v>
      </c>
      <c r="AW70" s="3340">
        <v>0</v>
      </c>
      <c r="AX70" s="3340">
        <v>0</v>
      </c>
      <c r="AY70" s="3340">
        <v>0</v>
      </c>
      <c r="AZ70" s="3340">
        <v>0</v>
      </c>
      <c r="BA70" s="3340">
        <v>789522</v>
      </c>
      <c r="BB70" s="3340">
        <v>789522</v>
      </c>
      <c r="BC70" s="3340">
        <v>789522</v>
      </c>
      <c r="BD70" s="3340">
        <v>0</v>
      </c>
      <c r="BE70" s="3340"/>
      <c r="BF70" s="3340">
        <v>0</v>
      </c>
      <c r="BG70" s="3340">
        <v>0</v>
      </c>
      <c r="BH70" s="3340">
        <v>0</v>
      </c>
      <c r="BI70" s="3340">
        <v>0</v>
      </c>
      <c r="BJ70" s="3340">
        <v>0</v>
      </c>
      <c r="BK70" s="3340">
        <v>717747</v>
      </c>
      <c r="BL70" s="3340">
        <v>717747</v>
      </c>
      <c r="BM70" s="3340">
        <v>717747</v>
      </c>
      <c r="BN70" s="3340"/>
      <c r="BO70" s="3340"/>
    </row>
    <row r="71" spans="1:67" s="3316" customFormat="1">
      <c r="A71" s="3316" t="s">
        <v>6252</v>
      </c>
      <c r="B71" s="3316" t="s">
        <v>6253</v>
      </c>
      <c r="C71" s="3316" t="s">
        <v>5800</v>
      </c>
      <c r="D71" s="3316" t="s">
        <v>6254</v>
      </c>
      <c r="E71" s="3316" t="s">
        <v>6255</v>
      </c>
      <c r="F71" s="3316" t="s">
        <v>6360</v>
      </c>
      <c r="G71" s="3316" t="s">
        <v>6360</v>
      </c>
      <c r="H71" s="3316" t="s">
        <v>6403</v>
      </c>
      <c r="I71" s="3316" t="s">
        <v>6299</v>
      </c>
      <c r="J71" s="3316" t="s">
        <v>6441</v>
      </c>
      <c r="K71" s="3316" t="s">
        <v>6257</v>
      </c>
      <c r="L71" s="3316" t="s">
        <v>6258</v>
      </c>
      <c r="M71" s="3316" t="s">
        <v>6252</v>
      </c>
      <c r="N71" s="3316" t="s">
        <v>6301</v>
      </c>
      <c r="O71" s="3316" t="s">
        <v>6286</v>
      </c>
      <c r="P71" s="3316" t="s">
        <v>6302</v>
      </c>
      <c r="Q71" s="3316" t="s">
        <v>6303</v>
      </c>
      <c r="R71" s="3316" t="s">
        <v>6303</v>
      </c>
      <c r="S71" s="3316" t="s">
        <v>5800</v>
      </c>
      <c r="T71" s="3316" t="s">
        <v>6304</v>
      </c>
      <c r="U71" s="3316" t="s">
        <v>6305</v>
      </c>
      <c r="V71" s="3316">
        <v>0</v>
      </c>
      <c r="W71" s="3316">
        <v>0</v>
      </c>
      <c r="X71" s="3316">
        <v>0</v>
      </c>
      <c r="Y71" s="3316">
        <v>38149</v>
      </c>
      <c r="Z71" s="3316" t="s">
        <v>6306</v>
      </c>
      <c r="AA71" s="3316" t="s">
        <v>6303</v>
      </c>
      <c r="AB71" s="3316">
        <v>38149</v>
      </c>
      <c r="AC71" s="3316" t="s">
        <v>6405</v>
      </c>
      <c r="AD71" s="3316" t="s">
        <v>6406</v>
      </c>
      <c r="AE71" s="3316">
        <v>38149</v>
      </c>
      <c r="AF71" s="3316" t="s">
        <v>6309</v>
      </c>
      <c r="AG71" s="3316" t="s">
        <v>6264</v>
      </c>
      <c r="AH71" s="3316">
        <v>3466</v>
      </c>
      <c r="AI71" s="3316">
        <v>34683</v>
      </c>
      <c r="AJ71" s="3316" t="s">
        <v>5800</v>
      </c>
      <c r="AL71" s="3316" t="s">
        <v>6442</v>
      </c>
      <c r="AM71" s="3316">
        <v>1</v>
      </c>
      <c r="AN71" s="3316">
        <v>0</v>
      </c>
      <c r="AO71" s="3316">
        <v>0</v>
      </c>
      <c r="AP71" s="3316">
        <v>0</v>
      </c>
      <c r="AQ71" s="3316" t="s">
        <v>5800</v>
      </c>
      <c r="AS71" s="3316" t="s">
        <v>6309</v>
      </c>
      <c r="AT71" s="3316" t="s">
        <v>6264</v>
      </c>
      <c r="AV71" s="3340">
        <v>0</v>
      </c>
      <c r="AW71" s="3340">
        <v>0</v>
      </c>
      <c r="AX71" s="3340">
        <v>0</v>
      </c>
      <c r="AY71" s="3340">
        <v>0</v>
      </c>
      <c r="AZ71" s="3340">
        <v>0</v>
      </c>
      <c r="BA71" s="3340">
        <v>38149</v>
      </c>
      <c r="BB71" s="3340">
        <v>38149</v>
      </c>
      <c r="BC71" s="3340">
        <v>38149</v>
      </c>
      <c r="BD71" s="3340">
        <v>0</v>
      </c>
      <c r="BE71" s="3340"/>
      <c r="BF71" s="3340">
        <v>0</v>
      </c>
      <c r="BG71" s="3340">
        <v>0</v>
      </c>
      <c r="BH71" s="3340">
        <v>0</v>
      </c>
      <c r="BI71" s="3340">
        <v>0</v>
      </c>
      <c r="BJ71" s="3340">
        <v>0</v>
      </c>
      <c r="BK71" s="3340">
        <v>34681</v>
      </c>
      <c r="BL71" s="3340">
        <v>34681</v>
      </c>
      <c r="BM71" s="3340">
        <v>34681</v>
      </c>
      <c r="BN71" s="3340"/>
      <c r="BO71" s="3340"/>
    </row>
    <row r="72" spans="1:67" s="3316" customFormat="1">
      <c r="A72" s="3316" t="s">
        <v>6252</v>
      </c>
      <c r="B72" s="3316" t="s">
        <v>6253</v>
      </c>
      <c r="C72" s="3316" t="s">
        <v>5800</v>
      </c>
      <c r="D72" s="3316" t="s">
        <v>6254</v>
      </c>
      <c r="E72" s="3316" t="s">
        <v>6255</v>
      </c>
      <c r="F72" s="3316" t="s">
        <v>6360</v>
      </c>
      <c r="G72" s="3316" t="s">
        <v>6360</v>
      </c>
      <c r="H72" s="3316" t="s">
        <v>6403</v>
      </c>
      <c r="I72" s="3316" t="s">
        <v>6299</v>
      </c>
      <c r="J72" s="3316" t="s">
        <v>6443</v>
      </c>
      <c r="K72" s="3316" t="s">
        <v>6257</v>
      </c>
      <c r="L72" s="3316" t="s">
        <v>6258</v>
      </c>
      <c r="M72" s="3316" t="s">
        <v>6252</v>
      </c>
      <c r="N72" s="3316" t="s">
        <v>6301</v>
      </c>
      <c r="O72" s="3316" t="s">
        <v>6286</v>
      </c>
      <c r="P72" s="3316" t="s">
        <v>6302</v>
      </c>
      <c r="Q72" s="3316" t="s">
        <v>6303</v>
      </c>
      <c r="R72" s="3316" t="s">
        <v>6303</v>
      </c>
      <c r="S72" s="3316" t="s">
        <v>5800</v>
      </c>
      <c r="T72" s="3316" t="s">
        <v>6304</v>
      </c>
      <c r="U72" s="3316" t="s">
        <v>6305</v>
      </c>
      <c r="V72" s="3316">
        <v>0</v>
      </c>
      <c r="W72" s="3316">
        <v>0</v>
      </c>
      <c r="X72" s="3316">
        <v>0</v>
      </c>
      <c r="Y72" s="3316">
        <v>55357</v>
      </c>
      <c r="Z72" s="3316" t="s">
        <v>6306</v>
      </c>
      <c r="AA72" s="3316" t="s">
        <v>6303</v>
      </c>
      <c r="AB72" s="3316">
        <v>55357</v>
      </c>
      <c r="AC72" s="3316" t="s">
        <v>6405</v>
      </c>
      <c r="AD72" s="3316" t="s">
        <v>6406</v>
      </c>
      <c r="AE72" s="3316">
        <v>55357</v>
      </c>
      <c r="AF72" s="3316" t="s">
        <v>6309</v>
      </c>
      <c r="AG72" s="3316" t="s">
        <v>6264</v>
      </c>
      <c r="AH72" s="3316">
        <v>5032</v>
      </c>
      <c r="AI72" s="3316">
        <v>50325</v>
      </c>
      <c r="AJ72" s="3316" t="s">
        <v>5800</v>
      </c>
      <c r="AL72" s="3316" t="s">
        <v>6444</v>
      </c>
      <c r="AM72" s="3316">
        <v>1</v>
      </c>
      <c r="AN72" s="3316">
        <v>0</v>
      </c>
      <c r="AO72" s="3316">
        <v>0</v>
      </c>
      <c r="AP72" s="3316">
        <v>0</v>
      </c>
      <c r="AQ72" s="3316" t="s">
        <v>5800</v>
      </c>
      <c r="AS72" s="3316" t="s">
        <v>6309</v>
      </c>
      <c r="AT72" s="3316" t="s">
        <v>6264</v>
      </c>
      <c r="AV72" s="3340">
        <v>0</v>
      </c>
      <c r="AW72" s="3340">
        <v>0</v>
      </c>
      <c r="AX72" s="3340">
        <v>0</v>
      </c>
      <c r="AY72" s="3340">
        <v>0</v>
      </c>
      <c r="AZ72" s="3340">
        <v>0</v>
      </c>
      <c r="BA72" s="3340">
        <v>55357</v>
      </c>
      <c r="BB72" s="3340">
        <v>55357</v>
      </c>
      <c r="BC72" s="3340">
        <v>55357</v>
      </c>
      <c r="BD72" s="3340">
        <v>0</v>
      </c>
      <c r="BE72" s="3340"/>
      <c r="BF72" s="3340">
        <v>0</v>
      </c>
      <c r="BG72" s="3340">
        <v>0</v>
      </c>
      <c r="BH72" s="3340">
        <v>0</v>
      </c>
      <c r="BI72" s="3340">
        <v>0</v>
      </c>
      <c r="BJ72" s="3340">
        <v>0</v>
      </c>
      <c r="BK72" s="3340">
        <v>50325</v>
      </c>
      <c r="BL72" s="3340">
        <v>50325</v>
      </c>
      <c r="BM72" s="3340">
        <v>50325</v>
      </c>
      <c r="BN72" s="3340"/>
      <c r="BO72" s="3340"/>
    </row>
    <row r="73" spans="1:67" s="3316" customFormat="1">
      <c r="A73" s="3316" t="s">
        <v>6252</v>
      </c>
      <c r="B73" s="3316" t="s">
        <v>6253</v>
      </c>
      <c r="C73" s="3316" t="s">
        <v>5800</v>
      </c>
      <c r="D73" s="3316" t="s">
        <v>6254</v>
      </c>
      <c r="E73" s="3316" t="s">
        <v>6255</v>
      </c>
      <c r="F73" s="3316" t="s">
        <v>6360</v>
      </c>
      <c r="G73" s="3316" t="s">
        <v>6360</v>
      </c>
      <c r="H73" s="3316" t="s">
        <v>6403</v>
      </c>
      <c r="I73" s="3316" t="s">
        <v>6299</v>
      </c>
      <c r="J73" s="3316" t="s">
        <v>6445</v>
      </c>
      <c r="K73" s="3316" t="s">
        <v>6257</v>
      </c>
      <c r="L73" s="3316" t="s">
        <v>6258</v>
      </c>
      <c r="M73" s="3316" t="s">
        <v>6252</v>
      </c>
      <c r="N73" s="3316" t="s">
        <v>6301</v>
      </c>
      <c r="O73" s="3316" t="s">
        <v>6286</v>
      </c>
      <c r="P73" s="3316" t="s">
        <v>6302</v>
      </c>
      <c r="Q73" s="3316" t="s">
        <v>6303</v>
      </c>
      <c r="R73" s="3316" t="s">
        <v>6303</v>
      </c>
      <c r="S73" s="3316" t="s">
        <v>5800</v>
      </c>
      <c r="T73" s="3316" t="s">
        <v>6304</v>
      </c>
      <c r="U73" s="3316" t="s">
        <v>6305</v>
      </c>
      <c r="V73" s="3316">
        <v>0</v>
      </c>
      <c r="W73" s="3316">
        <v>0</v>
      </c>
      <c r="X73" s="3316">
        <v>0</v>
      </c>
      <c r="Y73" s="3316">
        <v>1453</v>
      </c>
      <c r="Z73" s="3316" t="s">
        <v>6306</v>
      </c>
      <c r="AA73" s="3316" t="s">
        <v>6303</v>
      </c>
      <c r="AB73" s="3316">
        <v>1453</v>
      </c>
      <c r="AC73" s="3316" t="s">
        <v>6405</v>
      </c>
      <c r="AD73" s="3316" t="s">
        <v>6406</v>
      </c>
      <c r="AE73" s="3316">
        <v>1453</v>
      </c>
      <c r="AF73" s="3316" t="s">
        <v>6295</v>
      </c>
      <c r="AG73" s="3316" t="s">
        <v>6261</v>
      </c>
      <c r="AH73" s="3316">
        <v>103</v>
      </c>
      <c r="AI73" s="3316">
        <v>1350</v>
      </c>
      <c r="AJ73" s="3316" t="s">
        <v>5800</v>
      </c>
      <c r="AL73" s="3316" t="s">
        <v>6446</v>
      </c>
      <c r="AM73" s="3316">
        <v>1</v>
      </c>
      <c r="AN73" s="3316">
        <v>0</v>
      </c>
      <c r="AO73" s="3316">
        <v>0</v>
      </c>
      <c r="AP73" s="3316">
        <v>0</v>
      </c>
      <c r="AQ73" s="3316" t="s">
        <v>5800</v>
      </c>
      <c r="AS73" s="3316" t="s">
        <v>6295</v>
      </c>
      <c r="AT73" s="3316" t="s">
        <v>6261</v>
      </c>
      <c r="AV73" s="3340">
        <v>0</v>
      </c>
      <c r="AW73" s="3340">
        <v>0</v>
      </c>
      <c r="AX73" s="3340">
        <v>0</v>
      </c>
      <c r="AY73" s="3340">
        <v>0</v>
      </c>
      <c r="AZ73" s="3340">
        <v>0</v>
      </c>
      <c r="BA73" s="3340">
        <v>1453</v>
      </c>
      <c r="BB73" s="3340">
        <v>1453</v>
      </c>
      <c r="BC73" s="3340">
        <v>1453</v>
      </c>
      <c r="BD73" s="3340">
        <v>0</v>
      </c>
      <c r="BE73" s="3340"/>
      <c r="BF73" s="3340">
        <v>0</v>
      </c>
      <c r="BG73" s="3340">
        <v>0</v>
      </c>
      <c r="BH73" s="3340">
        <v>0</v>
      </c>
      <c r="BI73" s="3340">
        <v>0</v>
      </c>
      <c r="BJ73" s="3340">
        <v>0</v>
      </c>
      <c r="BK73" s="3340">
        <v>1345</v>
      </c>
      <c r="BL73" s="3340">
        <v>1345</v>
      </c>
      <c r="BM73" s="3340">
        <v>1345</v>
      </c>
      <c r="BN73" s="3340"/>
      <c r="BO73" s="3340"/>
    </row>
    <row r="74" spans="1:67" s="3316" customFormat="1">
      <c r="A74" s="3316" t="s">
        <v>6252</v>
      </c>
      <c r="B74" s="3316" t="s">
        <v>6253</v>
      </c>
      <c r="C74" s="3316" t="s">
        <v>5800</v>
      </c>
      <c r="D74" s="3316" t="s">
        <v>6254</v>
      </c>
      <c r="E74" s="3316" t="s">
        <v>6255</v>
      </c>
      <c r="F74" s="3316" t="s">
        <v>6360</v>
      </c>
      <c r="G74" s="3316" t="s">
        <v>6360</v>
      </c>
      <c r="H74" s="3316" t="s">
        <v>6403</v>
      </c>
      <c r="I74" s="3316" t="s">
        <v>6299</v>
      </c>
      <c r="J74" s="3316" t="s">
        <v>6447</v>
      </c>
      <c r="K74" s="3316" t="s">
        <v>6257</v>
      </c>
      <c r="L74" s="3316" t="s">
        <v>6258</v>
      </c>
      <c r="M74" s="3316" t="s">
        <v>6252</v>
      </c>
      <c r="N74" s="3316" t="s">
        <v>6301</v>
      </c>
      <c r="O74" s="3316" t="s">
        <v>6286</v>
      </c>
      <c r="P74" s="3316" t="s">
        <v>6302</v>
      </c>
      <c r="Q74" s="3316" t="s">
        <v>6303</v>
      </c>
      <c r="R74" s="3316" t="s">
        <v>6303</v>
      </c>
      <c r="S74" s="3316" t="s">
        <v>5800</v>
      </c>
      <c r="T74" s="3316" t="s">
        <v>6304</v>
      </c>
      <c r="U74" s="3316" t="s">
        <v>6305</v>
      </c>
      <c r="V74" s="3316">
        <v>0</v>
      </c>
      <c r="W74" s="3316">
        <v>0</v>
      </c>
      <c r="X74" s="3316">
        <v>0</v>
      </c>
      <c r="Y74" s="3316">
        <v>138909</v>
      </c>
      <c r="Z74" s="3316" t="s">
        <v>6306</v>
      </c>
      <c r="AA74" s="3316" t="s">
        <v>6303</v>
      </c>
      <c r="AB74" s="3316">
        <v>138909</v>
      </c>
      <c r="AC74" s="3316" t="s">
        <v>6405</v>
      </c>
      <c r="AD74" s="3316" t="s">
        <v>6406</v>
      </c>
      <c r="AE74" s="3316">
        <v>138909</v>
      </c>
      <c r="AF74" s="3316" t="s">
        <v>6309</v>
      </c>
      <c r="AG74" s="3316" t="s">
        <v>6264</v>
      </c>
      <c r="AH74" s="3316">
        <v>12621</v>
      </c>
      <c r="AI74" s="3316">
        <v>126288</v>
      </c>
      <c r="AJ74" s="3316" t="s">
        <v>5800</v>
      </c>
      <c r="AL74" s="3316" t="s">
        <v>6448</v>
      </c>
      <c r="AM74" s="3316">
        <v>1</v>
      </c>
      <c r="AN74" s="3316">
        <v>0</v>
      </c>
      <c r="AO74" s="3316">
        <v>0</v>
      </c>
      <c r="AP74" s="3316">
        <v>0</v>
      </c>
      <c r="AQ74" s="3316" t="s">
        <v>5800</v>
      </c>
      <c r="AS74" s="3316" t="s">
        <v>6309</v>
      </c>
      <c r="AT74" s="3316" t="s">
        <v>6264</v>
      </c>
      <c r="AV74" s="3340">
        <v>0</v>
      </c>
      <c r="AW74" s="3340">
        <v>0</v>
      </c>
      <c r="AX74" s="3340">
        <v>0</v>
      </c>
      <c r="AY74" s="3340">
        <v>0</v>
      </c>
      <c r="AZ74" s="3340">
        <v>0</v>
      </c>
      <c r="BA74" s="3340">
        <v>138909</v>
      </c>
      <c r="BB74" s="3340">
        <v>138909</v>
      </c>
      <c r="BC74" s="3340">
        <v>138909</v>
      </c>
      <c r="BD74" s="3340">
        <v>0</v>
      </c>
      <c r="BE74" s="3340"/>
      <c r="BF74" s="3340">
        <v>0</v>
      </c>
      <c r="BG74" s="3340">
        <v>0</v>
      </c>
      <c r="BH74" s="3340">
        <v>0</v>
      </c>
      <c r="BI74" s="3340">
        <v>0</v>
      </c>
      <c r="BJ74" s="3340">
        <v>0</v>
      </c>
      <c r="BK74" s="3340">
        <v>126281</v>
      </c>
      <c r="BL74" s="3340">
        <v>126281</v>
      </c>
      <c r="BM74" s="3340">
        <v>126281</v>
      </c>
      <c r="BN74" s="3340"/>
      <c r="BO74" s="3340"/>
    </row>
    <row r="75" spans="1:67" s="3316" customFormat="1">
      <c r="A75" s="3316" t="s">
        <v>6252</v>
      </c>
      <c r="B75" s="3316" t="s">
        <v>6253</v>
      </c>
      <c r="C75" s="3316" t="s">
        <v>5800</v>
      </c>
      <c r="D75" s="3316" t="s">
        <v>6254</v>
      </c>
      <c r="E75" s="3316" t="s">
        <v>6255</v>
      </c>
      <c r="F75" s="3316" t="s">
        <v>6360</v>
      </c>
      <c r="G75" s="3316" t="s">
        <v>6360</v>
      </c>
      <c r="H75" s="3316" t="s">
        <v>6403</v>
      </c>
      <c r="I75" s="3316" t="s">
        <v>6299</v>
      </c>
      <c r="J75" s="3316" t="s">
        <v>6449</v>
      </c>
      <c r="K75" s="3316" t="s">
        <v>6257</v>
      </c>
      <c r="L75" s="3316" t="s">
        <v>6258</v>
      </c>
      <c r="M75" s="3316" t="s">
        <v>6252</v>
      </c>
      <c r="N75" s="3316" t="s">
        <v>6301</v>
      </c>
      <c r="O75" s="3316" t="s">
        <v>6286</v>
      </c>
      <c r="P75" s="3316" t="s">
        <v>6302</v>
      </c>
      <c r="Q75" s="3316" t="s">
        <v>6303</v>
      </c>
      <c r="R75" s="3316" t="s">
        <v>6303</v>
      </c>
      <c r="S75" s="3316" t="s">
        <v>5800</v>
      </c>
      <c r="T75" s="3316" t="s">
        <v>6304</v>
      </c>
      <c r="U75" s="3316" t="s">
        <v>6305</v>
      </c>
      <c r="V75" s="3316">
        <v>0</v>
      </c>
      <c r="W75" s="3316">
        <v>0</v>
      </c>
      <c r="X75" s="3316">
        <v>0</v>
      </c>
      <c r="Y75" s="3316">
        <v>104861</v>
      </c>
      <c r="Z75" s="3316" t="s">
        <v>6306</v>
      </c>
      <c r="AA75" s="3316" t="s">
        <v>6303</v>
      </c>
      <c r="AB75" s="3316">
        <v>104861</v>
      </c>
      <c r="AC75" s="3316" t="s">
        <v>6405</v>
      </c>
      <c r="AD75" s="3316" t="s">
        <v>6406</v>
      </c>
      <c r="AE75" s="3316">
        <v>104861</v>
      </c>
      <c r="AF75" s="3316" t="s">
        <v>6309</v>
      </c>
      <c r="AG75" s="3316" t="s">
        <v>6264</v>
      </c>
      <c r="AH75" s="3316">
        <v>9532</v>
      </c>
      <c r="AI75" s="3316">
        <v>95329</v>
      </c>
      <c r="AJ75" s="3316" t="s">
        <v>5800</v>
      </c>
      <c r="AL75" s="3316" t="s">
        <v>6450</v>
      </c>
      <c r="AM75" s="3316">
        <v>1</v>
      </c>
      <c r="AN75" s="3316">
        <v>0</v>
      </c>
      <c r="AO75" s="3316">
        <v>0</v>
      </c>
      <c r="AP75" s="3316">
        <v>0</v>
      </c>
      <c r="AQ75" s="3316" t="s">
        <v>5800</v>
      </c>
      <c r="AS75" s="3316" t="s">
        <v>6309</v>
      </c>
      <c r="AT75" s="3316" t="s">
        <v>6264</v>
      </c>
      <c r="AV75" s="3340">
        <v>0</v>
      </c>
      <c r="AW75" s="3340">
        <v>0</v>
      </c>
      <c r="AX75" s="3340">
        <v>0</v>
      </c>
      <c r="AY75" s="3340">
        <v>0</v>
      </c>
      <c r="AZ75" s="3340">
        <v>0</v>
      </c>
      <c r="BA75" s="3340">
        <v>104861</v>
      </c>
      <c r="BB75" s="3340">
        <v>104861</v>
      </c>
      <c r="BC75" s="3340">
        <v>104861</v>
      </c>
      <c r="BD75" s="3340">
        <v>0</v>
      </c>
      <c r="BE75" s="3340"/>
      <c r="BF75" s="3340">
        <v>0</v>
      </c>
      <c r="BG75" s="3340">
        <v>0</v>
      </c>
      <c r="BH75" s="3340">
        <v>0</v>
      </c>
      <c r="BI75" s="3340">
        <v>0</v>
      </c>
      <c r="BJ75" s="3340">
        <v>0</v>
      </c>
      <c r="BK75" s="3340">
        <v>95328</v>
      </c>
      <c r="BL75" s="3340">
        <v>95328</v>
      </c>
      <c r="BM75" s="3340">
        <v>95328</v>
      </c>
      <c r="BN75" s="3340"/>
      <c r="BO75" s="3340"/>
    </row>
    <row r="76" spans="1:67" s="3316" customFormat="1">
      <c r="A76" s="3316" t="s">
        <v>6252</v>
      </c>
      <c r="B76" s="3316" t="s">
        <v>6253</v>
      </c>
      <c r="C76" s="3316" t="s">
        <v>5800</v>
      </c>
      <c r="D76" s="3316" t="s">
        <v>6254</v>
      </c>
      <c r="E76" s="3316" t="s">
        <v>6255</v>
      </c>
      <c r="F76" s="3316" t="s">
        <v>6360</v>
      </c>
      <c r="G76" s="3316" t="s">
        <v>6360</v>
      </c>
      <c r="H76" s="3316" t="s">
        <v>6403</v>
      </c>
      <c r="I76" s="3316" t="s">
        <v>6299</v>
      </c>
      <c r="J76" s="3316" t="s">
        <v>6451</v>
      </c>
      <c r="K76" s="3316" t="s">
        <v>6257</v>
      </c>
      <c r="L76" s="3316" t="s">
        <v>6258</v>
      </c>
      <c r="M76" s="3316" t="s">
        <v>6252</v>
      </c>
      <c r="N76" s="3316" t="s">
        <v>6301</v>
      </c>
      <c r="O76" s="3316" t="s">
        <v>6286</v>
      </c>
      <c r="P76" s="3316" t="s">
        <v>6302</v>
      </c>
      <c r="Q76" s="3316" t="s">
        <v>6303</v>
      </c>
      <c r="R76" s="3316" t="s">
        <v>6303</v>
      </c>
      <c r="S76" s="3316" t="s">
        <v>5800</v>
      </c>
      <c r="T76" s="3316" t="s">
        <v>6304</v>
      </c>
      <c r="U76" s="3316" t="s">
        <v>6305</v>
      </c>
      <c r="V76" s="3316">
        <v>0</v>
      </c>
      <c r="W76" s="3316">
        <v>0</v>
      </c>
      <c r="X76" s="3316">
        <v>0</v>
      </c>
      <c r="Y76" s="3316">
        <v>1108227</v>
      </c>
      <c r="Z76" s="3316" t="s">
        <v>6306</v>
      </c>
      <c r="AA76" s="3316" t="s">
        <v>6303</v>
      </c>
      <c r="AB76" s="3316">
        <v>1108227</v>
      </c>
      <c r="AC76" s="3316" t="s">
        <v>6405</v>
      </c>
      <c r="AD76" s="3316" t="s">
        <v>6406</v>
      </c>
      <c r="AE76" s="3316">
        <v>1108227</v>
      </c>
      <c r="AF76" s="3316" t="s">
        <v>6309</v>
      </c>
      <c r="AG76" s="3316" t="s">
        <v>6264</v>
      </c>
      <c r="AH76" s="3316">
        <v>100747</v>
      </c>
      <c r="AI76" s="3316">
        <v>1007480</v>
      </c>
      <c r="AJ76" s="3316" t="s">
        <v>5800</v>
      </c>
      <c r="AL76" s="3316" t="s">
        <v>6452</v>
      </c>
      <c r="AM76" s="3316">
        <v>1</v>
      </c>
      <c r="AN76" s="3316">
        <v>0</v>
      </c>
      <c r="AO76" s="3316">
        <v>0</v>
      </c>
      <c r="AP76" s="3316">
        <v>0</v>
      </c>
      <c r="AQ76" s="3316" t="s">
        <v>5800</v>
      </c>
      <c r="AS76" s="3316" t="s">
        <v>6309</v>
      </c>
      <c r="AT76" s="3316" t="s">
        <v>6264</v>
      </c>
      <c r="AV76" s="3340">
        <v>0</v>
      </c>
      <c r="AW76" s="3340">
        <v>0</v>
      </c>
      <c r="AX76" s="3340">
        <v>0</v>
      </c>
      <c r="AY76" s="3340">
        <v>0</v>
      </c>
      <c r="AZ76" s="3340">
        <v>0</v>
      </c>
      <c r="BA76" s="3340">
        <v>1108227</v>
      </c>
      <c r="BB76" s="3340">
        <v>1108227</v>
      </c>
      <c r="BC76" s="3340">
        <v>1108227</v>
      </c>
      <c r="BD76" s="3340">
        <v>0</v>
      </c>
      <c r="BE76" s="3340"/>
      <c r="BF76" s="3340">
        <v>0</v>
      </c>
      <c r="BG76" s="3340">
        <v>0</v>
      </c>
      <c r="BH76" s="3340">
        <v>0</v>
      </c>
      <c r="BI76" s="3340">
        <v>0</v>
      </c>
      <c r="BJ76" s="3340">
        <v>0</v>
      </c>
      <c r="BK76" s="3340">
        <v>1007479</v>
      </c>
      <c r="BL76" s="3340">
        <v>1007479</v>
      </c>
      <c r="BM76" s="3340">
        <v>1007479</v>
      </c>
      <c r="BN76" s="3340"/>
      <c r="BO76" s="3340"/>
    </row>
    <row r="77" spans="1:67" s="3316" customFormat="1">
      <c r="A77" s="3316" t="s">
        <v>6252</v>
      </c>
      <c r="B77" s="3316" t="s">
        <v>6253</v>
      </c>
      <c r="C77" s="3316" t="s">
        <v>5800</v>
      </c>
      <c r="D77" s="3316" t="s">
        <v>6254</v>
      </c>
      <c r="E77" s="3316" t="s">
        <v>6255</v>
      </c>
      <c r="F77" s="3316" t="s">
        <v>6453</v>
      </c>
      <c r="G77" s="3316" t="s">
        <v>6453</v>
      </c>
      <c r="H77" s="3316" t="s">
        <v>6403</v>
      </c>
      <c r="I77" s="3316" t="s">
        <v>6299</v>
      </c>
      <c r="J77" s="3316" t="s">
        <v>6454</v>
      </c>
      <c r="K77" s="3316" t="s">
        <v>6257</v>
      </c>
      <c r="L77" s="3316" t="s">
        <v>6258</v>
      </c>
      <c r="M77" s="3316" t="s">
        <v>6252</v>
      </c>
      <c r="N77" s="3316" t="s">
        <v>6301</v>
      </c>
      <c r="O77" s="3316" t="s">
        <v>6286</v>
      </c>
      <c r="P77" s="3316" t="s">
        <v>6302</v>
      </c>
      <c r="Q77" s="3316" t="s">
        <v>6303</v>
      </c>
      <c r="R77" s="3316" t="s">
        <v>6303</v>
      </c>
      <c r="S77" s="3316" t="s">
        <v>5800</v>
      </c>
      <c r="T77" s="3316" t="s">
        <v>6304</v>
      </c>
      <c r="U77" s="3316" t="s">
        <v>6305</v>
      </c>
      <c r="V77" s="3316">
        <v>0</v>
      </c>
      <c r="W77" s="3316">
        <v>0</v>
      </c>
      <c r="X77" s="3316">
        <v>0</v>
      </c>
      <c r="Y77" s="3316">
        <v>453753</v>
      </c>
      <c r="Z77" s="3316" t="s">
        <v>6306</v>
      </c>
      <c r="AA77" s="3316" t="s">
        <v>6303</v>
      </c>
      <c r="AB77" s="3316">
        <v>453753</v>
      </c>
      <c r="AC77" s="3316" t="s">
        <v>6405</v>
      </c>
      <c r="AD77" s="3316" t="s">
        <v>6406</v>
      </c>
      <c r="AE77" s="3316">
        <v>453753</v>
      </c>
      <c r="AF77" s="3316" t="s">
        <v>6309</v>
      </c>
      <c r="AG77" s="3316" t="s">
        <v>6264</v>
      </c>
      <c r="AH77" s="3316">
        <v>41243</v>
      </c>
      <c r="AI77" s="3316">
        <v>412510</v>
      </c>
      <c r="AJ77" s="3316" t="s">
        <v>5800</v>
      </c>
      <c r="AL77" s="3316" t="s">
        <v>6455</v>
      </c>
      <c r="AM77" s="3316">
        <v>1</v>
      </c>
      <c r="AN77" s="3316">
        <v>0</v>
      </c>
      <c r="AO77" s="3316">
        <v>0</v>
      </c>
      <c r="AP77" s="3316">
        <v>0</v>
      </c>
      <c r="AQ77" s="3316" t="s">
        <v>5800</v>
      </c>
      <c r="AS77" s="3316" t="s">
        <v>6309</v>
      </c>
      <c r="AT77" s="3316" t="s">
        <v>6264</v>
      </c>
      <c r="AV77" s="3340">
        <v>0</v>
      </c>
      <c r="AW77" s="3340">
        <v>0</v>
      </c>
      <c r="AX77" s="3340">
        <v>0</v>
      </c>
      <c r="AY77" s="3340">
        <v>0</v>
      </c>
      <c r="AZ77" s="3340">
        <v>0</v>
      </c>
      <c r="BA77" s="3340">
        <v>453753</v>
      </c>
      <c r="BB77" s="3340">
        <v>453753</v>
      </c>
      <c r="BC77" s="3340">
        <v>453753</v>
      </c>
      <c r="BD77" s="3340">
        <v>0</v>
      </c>
      <c r="BE77" s="3340"/>
      <c r="BF77" s="3340">
        <v>0</v>
      </c>
      <c r="BG77" s="3340">
        <v>0</v>
      </c>
      <c r="BH77" s="3340">
        <v>0</v>
      </c>
      <c r="BI77" s="3340">
        <v>0</v>
      </c>
      <c r="BJ77" s="3340">
        <v>0</v>
      </c>
      <c r="BK77" s="3340">
        <v>412503</v>
      </c>
      <c r="BL77" s="3340">
        <v>412503</v>
      </c>
      <c r="BM77" s="3340">
        <v>412503</v>
      </c>
      <c r="BN77" s="3340"/>
      <c r="BO77" s="3340"/>
    </row>
    <row r="78" spans="1:67" s="3316" customFormat="1">
      <c r="A78" s="3316" t="s">
        <v>6252</v>
      </c>
      <c r="B78" s="3316" t="s">
        <v>6253</v>
      </c>
      <c r="C78" s="3316" t="s">
        <v>5800</v>
      </c>
      <c r="D78" s="3316" t="s">
        <v>6254</v>
      </c>
      <c r="E78" s="3316" t="s">
        <v>6255</v>
      </c>
      <c r="F78" s="3316" t="s">
        <v>6456</v>
      </c>
      <c r="G78" s="3316" t="s">
        <v>6456</v>
      </c>
      <c r="H78" s="3316" t="s">
        <v>6403</v>
      </c>
      <c r="I78" s="3316" t="s">
        <v>6299</v>
      </c>
      <c r="J78" s="3316" t="s">
        <v>6457</v>
      </c>
      <c r="K78" s="3316" t="s">
        <v>6257</v>
      </c>
      <c r="L78" s="3316" t="s">
        <v>6258</v>
      </c>
      <c r="M78" s="3316" t="s">
        <v>6252</v>
      </c>
      <c r="N78" s="3316" t="s">
        <v>6301</v>
      </c>
      <c r="O78" s="3316" t="s">
        <v>6286</v>
      </c>
      <c r="P78" s="3316" t="s">
        <v>6302</v>
      </c>
      <c r="Q78" s="3316" t="s">
        <v>6303</v>
      </c>
      <c r="R78" s="3316" t="s">
        <v>6303</v>
      </c>
      <c r="S78" s="3316" t="s">
        <v>5800</v>
      </c>
      <c r="T78" s="3316" t="s">
        <v>6304</v>
      </c>
      <c r="U78" s="3316" t="s">
        <v>6305</v>
      </c>
      <c r="V78" s="3316">
        <v>0</v>
      </c>
      <c r="W78" s="3316">
        <v>0</v>
      </c>
      <c r="X78" s="3316">
        <v>0</v>
      </c>
      <c r="Y78" s="3316">
        <v>18717</v>
      </c>
      <c r="Z78" s="3316" t="s">
        <v>6306</v>
      </c>
      <c r="AA78" s="3316" t="s">
        <v>6303</v>
      </c>
      <c r="AB78" s="3316">
        <v>18717</v>
      </c>
      <c r="AC78" s="3316" t="s">
        <v>6405</v>
      </c>
      <c r="AD78" s="3316" t="s">
        <v>6406</v>
      </c>
      <c r="AE78" s="3316">
        <v>18717</v>
      </c>
      <c r="AF78" s="3316" t="s">
        <v>6309</v>
      </c>
      <c r="AG78" s="3316" t="s">
        <v>6264</v>
      </c>
      <c r="AH78" s="3316">
        <v>1701</v>
      </c>
      <c r="AI78" s="3316">
        <v>17016</v>
      </c>
      <c r="AJ78" s="3316" t="s">
        <v>5800</v>
      </c>
      <c r="AL78" s="3316" t="s">
        <v>6458</v>
      </c>
      <c r="AM78" s="3316">
        <v>1</v>
      </c>
      <c r="AN78" s="3316">
        <v>0</v>
      </c>
      <c r="AO78" s="3316">
        <v>0</v>
      </c>
      <c r="AP78" s="3316">
        <v>0</v>
      </c>
      <c r="AQ78" s="3316" t="s">
        <v>5800</v>
      </c>
      <c r="AS78" s="3316" t="s">
        <v>6309</v>
      </c>
      <c r="AT78" s="3316" t="s">
        <v>6264</v>
      </c>
      <c r="AV78" s="3340">
        <v>0</v>
      </c>
      <c r="AW78" s="3340">
        <v>0</v>
      </c>
      <c r="AX78" s="3340">
        <v>0</v>
      </c>
      <c r="AY78" s="3340">
        <v>0</v>
      </c>
      <c r="AZ78" s="3340">
        <v>0</v>
      </c>
      <c r="BA78" s="3340">
        <v>18717</v>
      </c>
      <c r="BB78" s="3340">
        <v>18717</v>
      </c>
      <c r="BC78" s="3340">
        <v>18717</v>
      </c>
      <c r="BD78" s="3340">
        <v>0</v>
      </c>
      <c r="BE78" s="3340"/>
      <c r="BF78" s="3340">
        <v>0</v>
      </c>
      <c r="BG78" s="3340">
        <v>0</v>
      </c>
      <c r="BH78" s="3340">
        <v>0</v>
      </c>
      <c r="BI78" s="3340">
        <v>0</v>
      </c>
      <c r="BJ78" s="3340">
        <v>0</v>
      </c>
      <c r="BK78" s="3340">
        <v>17015</v>
      </c>
      <c r="BL78" s="3340">
        <v>17015</v>
      </c>
      <c r="BM78" s="3340">
        <v>17015</v>
      </c>
      <c r="BN78" s="3340"/>
      <c r="BO78" s="3340"/>
    </row>
    <row r="79" spans="1:67" s="3316" customFormat="1">
      <c r="A79" s="3316" t="s">
        <v>6252</v>
      </c>
      <c r="B79" s="3316" t="s">
        <v>6253</v>
      </c>
      <c r="C79" s="3316" t="s">
        <v>5800</v>
      </c>
      <c r="D79" s="3316" t="s">
        <v>6254</v>
      </c>
      <c r="E79" s="3316" t="s">
        <v>6255</v>
      </c>
      <c r="F79" s="3316" t="s">
        <v>6472</v>
      </c>
      <c r="G79" s="3316" t="s">
        <v>6472</v>
      </c>
      <c r="H79" s="3316" t="s">
        <v>6403</v>
      </c>
      <c r="I79" s="3316" t="s">
        <v>6299</v>
      </c>
      <c r="J79" s="3316" t="s">
        <v>6473</v>
      </c>
      <c r="K79" s="3316" t="s">
        <v>6257</v>
      </c>
      <c r="L79" s="3316" t="s">
        <v>6258</v>
      </c>
      <c r="M79" s="3316" t="s">
        <v>6252</v>
      </c>
      <c r="N79" s="3316" t="s">
        <v>6301</v>
      </c>
      <c r="O79" s="3316" t="s">
        <v>6286</v>
      </c>
      <c r="P79" s="3316" t="s">
        <v>6302</v>
      </c>
      <c r="Q79" s="3316" t="s">
        <v>6303</v>
      </c>
      <c r="R79" s="3316" t="s">
        <v>6303</v>
      </c>
      <c r="S79" s="3316" t="s">
        <v>5800</v>
      </c>
      <c r="T79" s="3316" t="s">
        <v>6304</v>
      </c>
      <c r="U79" s="3316" t="s">
        <v>6305</v>
      </c>
      <c r="V79" s="3316">
        <v>0</v>
      </c>
      <c r="W79" s="3316">
        <v>0</v>
      </c>
      <c r="X79" s="3316">
        <v>0</v>
      </c>
      <c r="Y79" s="3316">
        <v>17704</v>
      </c>
      <c r="Z79" s="3316" t="s">
        <v>6306</v>
      </c>
      <c r="AA79" s="3316" t="s">
        <v>6303</v>
      </c>
      <c r="AB79" s="3316">
        <v>17704</v>
      </c>
      <c r="AC79" s="3316" t="s">
        <v>6405</v>
      </c>
      <c r="AD79" s="3316" t="s">
        <v>6406</v>
      </c>
      <c r="AE79" s="3316">
        <v>17704</v>
      </c>
      <c r="AF79" s="3316" t="s">
        <v>6309</v>
      </c>
      <c r="AG79" s="3316" t="s">
        <v>6264</v>
      </c>
      <c r="AH79" s="3316">
        <v>1608</v>
      </c>
      <c r="AI79" s="3316">
        <v>16096</v>
      </c>
      <c r="AJ79" s="3316" t="s">
        <v>5800</v>
      </c>
      <c r="AL79" s="3316" t="s">
        <v>6474</v>
      </c>
      <c r="AM79" s="3316">
        <v>1</v>
      </c>
      <c r="AN79" s="3316">
        <v>0</v>
      </c>
      <c r="AO79" s="3316">
        <v>0</v>
      </c>
      <c r="AP79" s="3316">
        <v>0</v>
      </c>
      <c r="AQ79" s="3316" t="s">
        <v>5800</v>
      </c>
      <c r="AS79" s="3316" t="s">
        <v>6309</v>
      </c>
      <c r="AT79" s="3316" t="s">
        <v>6264</v>
      </c>
      <c r="AV79" s="3340">
        <v>0</v>
      </c>
      <c r="AW79" s="3340">
        <v>0</v>
      </c>
      <c r="AX79" s="3340">
        <v>0</v>
      </c>
      <c r="AY79" s="3340">
        <v>0</v>
      </c>
      <c r="AZ79" s="3340">
        <v>0</v>
      </c>
      <c r="BA79" s="3340">
        <v>17704</v>
      </c>
      <c r="BB79" s="3340">
        <v>17704</v>
      </c>
      <c r="BC79" s="3340">
        <v>17704</v>
      </c>
      <c r="BD79" s="3340">
        <v>0</v>
      </c>
      <c r="BE79" s="3340"/>
      <c r="BF79" s="3340">
        <v>0</v>
      </c>
      <c r="BG79" s="3340">
        <v>0</v>
      </c>
      <c r="BH79" s="3340">
        <v>0</v>
      </c>
      <c r="BI79" s="3340">
        <v>0</v>
      </c>
      <c r="BJ79" s="3340">
        <v>0</v>
      </c>
      <c r="BK79" s="3340">
        <v>16095</v>
      </c>
      <c r="BL79" s="3340">
        <v>16095</v>
      </c>
      <c r="BM79" s="3340">
        <v>16095</v>
      </c>
      <c r="BN79" s="3340"/>
      <c r="BO79" s="3340"/>
    </row>
    <row r="80" spans="1:67" s="3316" customFormat="1">
      <c r="A80" s="3316" t="s">
        <v>6252</v>
      </c>
      <c r="B80" s="3316" t="s">
        <v>6253</v>
      </c>
      <c r="C80" s="3316" t="s">
        <v>5800</v>
      </c>
      <c r="D80" s="3316" t="s">
        <v>6254</v>
      </c>
      <c r="E80" s="3316" t="s">
        <v>6255</v>
      </c>
      <c r="F80" s="3316" t="s">
        <v>6268</v>
      </c>
      <c r="G80" s="3316" t="s">
        <v>6268</v>
      </c>
      <c r="H80" s="3316" t="s">
        <v>6403</v>
      </c>
      <c r="I80" s="3316" t="s">
        <v>6299</v>
      </c>
      <c r="J80" s="3316" t="s">
        <v>6459</v>
      </c>
      <c r="K80" s="3316" t="s">
        <v>6257</v>
      </c>
      <c r="L80" s="3316" t="s">
        <v>6258</v>
      </c>
      <c r="M80" s="3316" t="s">
        <v>6252</v>
      </c>
      <c r="N80" s="3316" t="s">
        <v>6301</v>
      </c>
      <c r="O80" s="3316" t="s">
        <v>6286</v>
      </c>
      <c r="P80" s="3316" t="s">
        <v>6302</v>
      </c>
      <c r="Q80" s="3316" t="s">
        <v>6303</v>
      </c>
      <c r="R80" s="3316" t="s">
        <v>6303</v>
      </c>
      <c r="S80" s="3316" t="s">
        <v>5800</v>
      </c>
      <c r="T80" s="3316" t="s">
        <v>6304</v>
      </c>
      <c r="U80" s="3316" t="s">
        <v>6305</v>
      </c>
      <c r="V80" s="3316">
        <v>0</v>
      </c>
      <c r="W80" s="3316">
        <v>0</v>
      </c>
      <c r="X80" s="3316">
        <v>0</v>
      </c>
      <c r="Y80" s="3316">
        <v>46382</v>
      </c>
      <c r="Z80" s="3316" t="s">
        <v>6306</v>
      </c>
      <c r="AA80" s="3316" t="s">
        <v>6303</v>
      </c>
      <c r="AB80" s="3316">
        <v>46382</v>
      </c>
      <c r="AC80" s="3316" t="s">
        <v>6405</v>
      </c>
      <c r="AD80" s="3316" t="s">
        <v>6406</v>
      </c>
      <c r="AE80" s="3316">
        <v>46382</v>
      </c>
      <c r="AF80" s="3316" t="s">
        <v>6309</v>
      </c>
      <c r="AG80" s="3316" t="s">
        <v>6264</v>
      </c>
      <c r="AH80" s="3316">
        <v>4217</v>
      </c>
      <c r="AI80" s="3316">
        <v>42165</v>
      </c>
      <c r="AJ80" s="3316" t="s">
        <v>5800</v>
      </c>
      <c r="AL80" s="3316" t="s">
        <v>6460</v>
      </c>
      <c r="AM80" s="3316">
        <v>1</v>
      </c>
      <c r="AN80" s="3316">
        <v>0</v>
      </c>
      <c r="AO80" s="3316">
        <v>0</v>
      </c>
      <c r="AP80" s="3316">
        <v>0</v>
      </c>
      <c r="AQ80" s="3316" t="s">
        <v>5800</v>
      </c>
      <c r="AS80" s="3316" t="s">
        <v>6309</v>
      </c>
      <c r="AT80" s="3316" t="s">
        <v>6264</v>
      </c>
      <c r="AV80" s="3340">
        <v>0</v>
      </c>
      <c r="AW80" s="3340">
        <v>0</v>
      </c>
      <c r="AX80" s="3340">
        <v>0</v>
      </c>
      <c r="AY80" s="3340">
        <v>0</v>
      </c>
      <c r="AZ80" s="3340">
        <v>0</v>
      </c>
      <c r="BA80" s="3340">
        <v>46382</v>
      </c>
      <c r="BB80" s="3340">
        <v>46382</v>
      </c>
      <c r="BC80" s="3340">
        <v>46382</v>
      </c>
      <c r="BD80" s="3340">
        <v>0</v>
      </c>
      <c r="BE80" s="3340"/>
      <c r="BF80" s="3340">
        <v>0</v>
      </c>
      <c r="BG80" s="3340">
        <v>0</v>
      </c>
      <c r="BH80" s="3340">
        <v>0</v>
      </c>
      <c r="BI80" s="3340">
        <v>0</v>
      </c>
      <c r="BJ80" s="3340">
        <v>0</v>
      </c>
      <c r="BK80" s="3340">
        <v>42166</v>
      </c>
      <c r="BL80" s="3340">
        <v>42166</v>
      </c>
      <c r="BM80" s="3340">
        <v>42166</v>
      </c>
      <c r="BN80" s="3340"/>
      <c r="BO80" s="3340"/>
    </row>
    <row r="81" spans="1:67" s="3316" customFormat="1">
      <c r="A81" s="3316" t="s">
        <v>6252</v>
      </c>
      <c r="B81" s="3316" t="s">
        <v>6253</v>
      </c>
      <c r="C81" s="3316" t="s">
        <v>5800</v>
      </c>
      <c r="D81" s="3316" t="s">
        <v>6254</v>
      </c>
      <c r="E81" s="3316" t="s">
        <v>6255</v>
      </c>
      <c r="F81" s="3316" t="s">
        <v>6268</v>
      </c>
      <c r="G81" s="3316" t="s">
        <v>6268</v>
      </c>
      <c r="H81" s="3316" t="s">
        <v>6403</v>
      </c>
      <c r="I81" s="3316" t="s">
        <v>6299</v>
      </c>
      <c r="J81" s="3316" t="s">
        <v>6461</v>
      </c>
      <c r="K81" s="3316" t="s">
        <v>6257</v>
      </c>
      <c r="L81" s="3316" t="s">
        <v>6258</v>
      </c>
      <c r="M81" s="3316" t="s">
        <v>6252</v>
      </c>
      <c r="N81" s="3316" t="s">
        <v>6301</v>
      </c>
      <c r="O81" s="3316" t="s">
        <v>6286</v>
      </c>
      <c r="P81" s="3316" t="s">
        <v>6302</v>
      </c>
      <c r="Q81" s="3316" t="s">
        <v>6303</v>
      </c>
      <c r="R81" s="3316" t="s">
        <v>6303</v>
      </c>
      <c r="S81" s="3316" t="s">
        <v>5800</v>
      </c>
      <c r="T81" s="3316" t="s">
        <v>6304</v>
      </c>
      <c r="U81" s="3316" t="s">
        <v>6305</v>
      </c>
      <c r="V81" s="3316">
        <v>0</v>
      </c>
      <c r="W81" s="3316">
        <v>0</v>
      </c>
      <c r="X81" s="3316">
        <v>0</v>
      </c>
      <c r="Y81" s="3316">
        <v>146344</v>
      </c>
      <c r="Z81" s="3316" t="s">
        <v>6306</v>
      </c>
      <c r="AA81" s="3316" t="s">
        <v>6303</v>
      </c>
      <c r="AB81" s="3316">
        <v>146344</v>
      </c>
      <c r="AC81" s="3316" t="s">
        <v>6405</v>
      </c>
      <c r="AD81" s="3316" t="s">
        <v>6406</v>
      </c>
      <c r="AE81" s="3316">
        <v>146344</v>
      </c>
      <c r="AF81" s="3316" t="s">
        <v>6309</v>
      </c>
      <c r="AG81" s="3316" t="s">
        <v>6264</v>
      </c>
      <c r="AH81" s="3316">
        <v>13300</v>
      </c>
      <c r="AI81" s="3316">
        <v>133044</v>
      </c>
      <c r="AJ81" s="3316" t="s">
        <v>5800</v>
      </c>
      <c r="AL81" s="3316" t="s">
        <v>6462</v>
      </c>
      <c r="AM81" s="3316">
        <v>1</v>
      </c>
      <c r="AN81" s="3316">
        <v>0</v>
      </c>
      <c r="AO81" s="3316">
        <v>0</v>
      </c>
      <c r="AP81" s="3316">
        <v>0</v>
      </c>
      <c r="AQ81" s="3316" t="s">
        <v>5800</v>
      </c>
      <c r="AS81" s="3316" t="s">
        <v>6309</v>
      </c>
      <c r="AT81" s="3316" t="s">
        <v>6264</v>
      </c>
      <c r="AV81" s="3340">
        <v>0</v>
      </c>
      <c r="AW81" s="3340">
        <v>0</v>
      </c>
      <c r="AX81" s="3340">
        <v>0</v>
      </c>
      <c r="AY81" s="3340">
        <v>0</v>
      </c>
      <c r="AZ81" s="3340">
        <v>0</v>
      </c>
      <c r="BA81" s="3340">
        <v>146344</v>
      </c>
      <c r="BB81" s="3340">
        <v>146344</v>
      </c>
      <c r="BC81" s="3340">
        <v>146344</v>
      </c>
      <c r="BD81" s="3340">
        <v>0</v>
      </c>
      <c r="BE81" s="3340"/>
      <c r="BF81" s="3340">
        <v>0</v>
      </c>
      <c r="BG81" s="3340">
        <v>0</v>
      </c>
      <c r="BH81" s="3340">
        <v>0</v>
      </c>
      <c r="BI81" s="3340">
        <v>0</v>
      </c>
      <c r="BJ81" s="3340">
        <v>0</v>
      </c>
      <c r="BK81" s="3340">
        <v>133040</v>
      </c>
      <c r="BL81" s="3340">
        <v>133040</v>
      </c>
      <c r="BM81" s="3340">
        <v>133040</v>
      </c>
      <c r="BN81" s="3340"/>
      <c r="BO81" s="3340"/>
    </row>
    <row r="82" spans="1:67" s="3316" customFormat="1">
      <c r="A82" s="3316" t="s">
        <v>6252</v>
      </c>
      <c r="B82" s="3316" t="s">
        <v>6253</v>
      </c>
      <c r="C82" s="3316" t="s">
        <v>5800</v>
      </c>
      <c r="D82" s="3316" t="s">
        <v>6254</v>
      </c>
      <c r="E82" s="3316" t="s">
        <v>6255</v>
      </c>
      <c r="F82" s="3316" t="s">
        <v>6463</v>
      </c>
      <c r="G82" s="3316" t="s">
        <v>6463</v>
      </c>
      <c r="H82" s="3316" t="s">
        <v>6403</v>
      </c>
      <c r="I82" s="3316" t="s">
        <v>6299</v>
      </c>
      <c r="J82" s="3316" t="s">
        <v>6464</v>
      </c>
      <c r="K82" s="3316" t="s">
        <v>6257</v>
      </c>
      <c r="L82" s="3316" t="s">
        <v>6258</v>
      </c>
      <c r="M82" s="3316" t="s">
        <v>6252</v>
      </c>
      <c r="N82" s="3316" t="s">
        <v>6301</v>
      </c>
      <c r="O82" s="3316" t="s">
        <v>6286</v>
      </c>
      <c r="P82" s="3316" t="s">
        <v>6302</v>
      </c>
      <c r="Q82" s="3316" t="s">
        <v>6303</v>
      </c>
      <c r="R82" s="3316" t="s">
        <v>6303</v>
      </c>
      <c r="S82" s="3316" t="s">
        <v>5800</v>
      </c>
      <c r="T82" s="3316" t="s">
        <v>6304</v>
      </c>
      <c r="U82" s="3316" t="s">
        <v>6305</v>
      </c>
      <c r="V82" s="3316">
        <v>0</v>
      </c>
      <c r="W82" s="3316">
        <v>0</v>
      </c>
      <c r="X82" s="3316">
        <v>0</v>
      </c>
      <c r="Y82" s="3316">
        <v>44284</v>
      </c>
      <c r="Z82" s="3316" t="s">
        <v>6306</v>
      </c>
      <c r="AA82" s="3316" t="s">
        <v>6303</v>
      </c>
      <c r="AB82" s="3316">
        <v>44284</v>
      </c>
      <c r="AC82" s="3316" t="s">
        <v>6405</v>
      </c>
      <c r="AD82" s="3316" t="s">
        <v>6406</v>
      </c>
      <c r="AE82" s="3316">
        <v>44284</v>
      </c>
      <c r="AF82" s="3316" t="s">
        <v>6309</v>
      </c>
      <c r="AG82" s="3316" t="s">
        <v>6264</v>
      </c>
      <c r="AH82" s="3316">
        <v>4026</v>
      </c>
      <c r="AI82" s="3316">
        <v>40258</v>
      </c>
      <c r="AJ82" s="3316" t="s">
        <v>5800</v>
      </c>
      <c r="AL82" s="3316" t="s">
        <v>6465</v>
      </c>
      <c r="AM82" s="3316">
        <v>1</v>
      </c>
      <c r="AN82" s="3316">
        <v>0</v>
      </c>
      <c r="AO82" s="3316">
        <v>0</v>
      </c>
      <c r="AP82" s="3316">
        <v>0</v>
      </c>
      <c r="AQ82" s="3316" t="s">
        <v>5800</v>
      </c>
      <c r="AS82" s="3316" t="s">
        <v>6309</v>
      </c>
      <c r="AT82" s="3316" t="s">
        <v>6264</v>
      </c>
      <c r="AV82" s="3340">
        <v>0</v>
      </c>
      <c r="AW82" s="3340">
        <v>0</v>
      </c>
      <c r="AX82" s="3340">
        <v>0</v>
      </c>
      <c r="AY82" s="3340">
        <v>0</v>
      </c>
      <c r="AZ82" s="3340">
        <v>0</v>
      </c>
      <c r="BA82" s="3340">
        <v>44284</v>
      </c>
      <c r="BB82" s="3340">
        <v>44284</v>
      </c>
      <c r="BC82" s="3340">
        <v>44284</v>
      </c>
      <c r="BD82" s="3340">
        <v>0</v>
      </c>
      <c r="BE82" s="3340"/>
      <c r="BF82" s="3340">
        <v>0</v>
      </c>
      <c r="BG82" s="3340">
        <v>0</v>
      </c>
      <c r="BH82" s="3340">
        <v>0</v>
      </c>
      <c r="BI82" s="3340">
        <v>0</v>
      </c>
      <c r="BJ82" s="3340">
        <v>0</v>
      </c>
      <c r="BK82" s="3340">
        <v>40258</v>
      </c>
      <c r="BL82" s="3340">
        <v>40258</v>
      </c>
      <c r="BM82" s="3340">
        <v>40258</v>
      </c>
      <c r="BN82" s="3340"/>
      <c r="BO82" s="3340"/>
    </row>
    <row r="83" spans="1:67" s="3316" customFormat="1">
      <c r="A83" s="3316" t="s">
        <v>6252</v>
      </c>
      <c r="B83" s="3316" t="s">
        <v>6253</v>
      </c>
      <c r="C83" s="3316" t="s">
        <v>5800</v>
      </c>
      <c r="D83" s="3316" t="s">
        <v>6254</v>
      </c>
      <c r="E83" s="3316" t="s">
        <v>6255</v>
      </c>
      <c r="F83" s="3316" t="s">
        <v>6466</v>
      </c>
      <c r="G83" s="3316" t="s">
        <v>6466</v>
      </c>
      <c r="H83" s="3316" t="s">
        <v>6403</v>
      </c>
      <c r="I83" s="3316" t="s">
        <v>6299</v>
      </c>
      <c r="J83" s="3316" t="s">
        <v>6467</v>
      </c>
      <c r="K83" s="3316" t="s">
        <v>6257</v>
      </c>
      <c r="L83" s="3316" t="s">
        <v>6258</v>
      </c>
      <c r="M83" s="3316" t="s">
        <v>6252</v>
      </c>
      <c r="N83" s="3316" t="s">
        <v>6301</v>
      </c>
      <c r="O83" s="3316" t="s">
        <v>6286</v>
      </c>
      <c r="P83" s="3316" t="s">
        <v>6302</v>
      </c>
      <c r="Q83" s="3316" t="s">
        <v>6303</v>
      </c>
      <c r="R83" s="3316" t="s">
        <v>6303</v>
      </c>
      <c r="S83" s="3316" t="s">
        <v>5800</v>
      </c>
      <c r="T83" s="3316" t="s">
        <v>6304</v>
      </c>
      <c r="U83" s="3316" t="s">
        <v>6305</v>
      </c>
      <c r="V83" s="3316">
        <v>0</v>
      </c>
      <c r="W83" s="3316">
        <v>0</v>
      </c>
      <c r="X83" s="3316">
        <v>0</v>
      </c>
      <c r="Y83" s="3316">
        <v>10000</v>
      </c>
      <c r="Z83" s="3316" t="s">
        <v>6306</v>
      </c>
      <c r="AA83" s="3316" t="s">
        <v>6303</v>
      </c>
      <c r="AB83" s="3316">
        <v>10000</v>
      </c>
      <c r="AC83" s="3316" t="s">
        <v>6405</v>
      </c>
      <c r="AD83" s="3316" t="s">
        <v>6406</v>
      </c>
      <c r="AE83" s="3316">
        <v>10000</v>
      </c>
      <c r="AF83" s="3316" t="s">
        <v>6309</v>
      </c>
      <c r="AG83" s="3316" t="s">
        <v>6264</v>
      </c>
      <c r="AH83" s="3316">
        <v>909</v>
      </c>
      <c r="AI83" s="3316">
        <v>9091</v>
      </c>
      <c r="AJ83" s="3316" t="s">
        <v>5800</v>
      </c>
      <c r="AL83" s="3316" t="s">
        <v>6468</v>
      </c>
      <c r="AM83" s="3316">
        <v>1</v>
      </c>
      <c r="AN83" s="3316">
        <v>0</v>
      </c>
      <c r="AO83" s="3316">
        <v>0</v>
      </c>
      <c r="AP83" s="3316">
        <v>0</v>
      </c>
      <c r="AQ83" s="3316" t="s">
        <v>5800</v>
      </c>
      <c r="AS83" s="3316" t="s">
        <v>6309</v>
      </c>
      <c r="AT83" s="3316" t="s">
        <v>6264</v>
      </c>
      <c r="AV83" s="3340">
        <v>0</v>
      </c>
      <c r="AW83" s="3340">
        <v>0</v>
      </c>
      <c r="AX83" s="3340">
        <v>0</v>
      </c>
      <c r="AY83" s="3340">
        <v>0</v>
      </c>
      <c r="AZ83" s="3340">
        <v>0</v>
      </c>
      <c r="BA83" s="3340">
        <v>10000</v>
      </c>
      <c r="BB83" s="3340">
        <v>10000</v>
      </c>
      <c r="BC83" s="3340">
        <v>10000</v>
      </c>
      <c r="BD83" s="3340">
        <v>0</v>
      </c>
      <c r="BE83" s="3340"/>
      <c r="BF83" s="3340">
        <v>0</v>
      </c>
      <c r="BG83" s="3340">
        <v>0</v>
      </c>
      <c r="BH83" s="3340">
        <v>0</v>
      </c>
      <c r="BI83" s="3340">
        <v>0</v>
      </c>
      <c r="BJ83" s="3340">
        <v>0</v>
      </c>
      <c r="BK83" s="3340">
        <v>9091</v>
      </c>
      <c r="BL83" s="3340">
        <v>9091</v>
      </c>
      <c r="BM83" s="3340">
        <v>9091</v>
      </c>
      <c r="BN83" s="3340"/>
      <c r="BO83" s="3340"/>
    </row>
    <row r="84" spans="1:67" s="3316" customFormat="1">
      <c r="A84" s="3316" t="s">
        <v>6252</v>
      </c>
      <c r="B84" s="3316" t="s">
        <v>6253</v>
      </c>
      <c r="C84" s="3316" t="s">
        <v>5800</v>
      </c>
      <c r="D84" s="3316" t="s">
        <v>6254</v>
      </c>
      <c r="E84" s="3316" t="s">
        <v>6255</v>
      </c>
      <c r="F84" s="3316" t="s">
        <v>6469</v>
      </c>
      <c r="G84" s="3316" t="s">
        <v>6469</v>
      </c>
      <c r="H84" s="3316" t="s">
        <v>6403</v>
      </c>
      <c r="I84" s="3316" t="s">
        <v>6299</v>
      </c>
      <c r="J84" s="3316" t="s">
        <v>6470</v>
      </c>
      <c r="K84" s="3316" t="s">
        <v>6257</v>
      </c>
      <c r="L84" s="3316" t="s">
        <v>6258</v>
      </c>
      <c r="M84" s="3316" t="s">
        <v>6252</v>
      </c>
      <c r="N84" s="3316" t="s">
        <v>6301</v>
      </c>
      <c r="O84" s="3316" t="s">
        <v>6286</v>
      </c>
      <c r="P84" s="3316" t="s">
        <v>6302</v>
      </c>
      <c r="Q84" s="3316" t="s">
        <v>6303</v>
      </c>
      <c r="R84" s="3316" t="s">
        <v>6303</v>
      </c>
      <c r="S84" s="3316" t="s">
        <v>5800</v>
      </c>
      <c r="T84" s="3316" t="s">
        <v>6304</v>
      </c>
      <c r="U84" s="3316" t="s">
        <v>6305</v>
      </c>
      <c r="V84" s="3316">
        <v>0</v>
      </c>
      <c r="W84" s="3316">
        <v>0</v>
      </c>
      <c r="X84" s="3316">
        <v>0</v>
      </c>
      <c r="Y84" s="3316">
        <v>9421</v>
      </c>
      <c r="Z84" s="3316" t="s">
        <v>6306</v>
      </c>
      <c r="AA84" s="3316" t="s">
        <v>6303</v>
      </c>
      <c r="AB84" s="3316">
        <v>9421</v>
      </c>
      <c r="AC84" s="3316" t="s">
        <v>6405</v>
      </c>
      <c r="AD84" s="3316" t="s">
        <v>6406</v>
      </c>
      <c r="AE84" s="3316">
        <v>9421</v>
      </c>
      <c r="AF84" s="3316" t="s">
        <v>6309</v>
      </c>
      <c r="AG84" s="3316" t="s">
        <v>6264</v>
      </c>
      <c r="AH84" s="3316">
        <v>857</v>
      </c>
      <c r="AI84" s="3316">
        <v>8564</v>
      </c>
      <c r="AJ84" s="3316" t="s">
        <v>5800</v>
      </c>
      <c r="AL84" s="3316" t="s">
        <v>6471</v>
      </c>
      <c r="AM84" s="3316">
        <v>1</v>
      </c>
      <c r="AN84" s="3316">
        <v>0</v>
      </c>
      <c r="AO84" s="3316">
        <v>0</v>
      </c>
      <c r="AP84" s="3316">
        <v>0</v>
      </c>
      <c r="AQ84" s="3316" t="s">
        <v>5800</v>
      </c>
      <c r="AS84" s="3316" t="s">
        <v>6309</v>
      </c>
      <c r="AT84" s="3316" t="s">
        <v>6264</v>
      </c>
      <c r="AV84" s="3340">
        <v>0</v>
      </c>
      <c r="AW84" s="3340">
        <v>0</v>
      </c>
      <c r="AX84" s="3340">
        <v>0</v>
      </c>
      <c r="AY84" s="3340">
        <v>0</v>
      </c>
      <c r="AZ84" s="3340">
        <v>0</v>
      </c>
      <c r="BA84" s="3340">
        <v>9421</v>
      </c>
      <c r="BB84" s="3340">
        <v>9421</v>
      </c>
      <c r="BC84" s="3340">
        <v>9421</v>
      </c>
      <c r="BD84" s="3340">
        <v>0</v>
      </c>
      <c r="BE84" s="3340"/>
      <c r="BF84" s="3340">
        <v>0</v>
      </c>
      <c r="BG84" s="3340">
        <v>0</v>
      </c>
      <c r="BH84" s="3340">
        <v>0</v>
      </c>
      <c r="BI84" s="3340">
        <v>0</v>
      </c>
      <c r="BJ84" s="3340">
        <v>0</v>
      </c>
      <c r="BK84" s="3340">
        <v>8565</v>
      </c>
      <c r="BL84" s="3340">
        <v>8565</v>
      </c>
      <c r="BM84" s="3340">
        <v>8565</v>
      </c>
      <c r="BN84" s="3340"/>
      <c r="BO84" s="3340"/>
    </row>
    <row r="85" spans="1:67" s="3316" customFormat="1">
      <c r="A85" s="3316" t="s">
        <v>6252</v>
      </c>
      <c r="B85" s="3316" t="s">
        <v>6253</v>
      </c>
      <c r="C85" s="3316" t="s">
        <v>5800</v>
      </c>
      <c r="D85" s="3316" t="s">
        <v>6254</v>
      </c>
      <c r="E85" s="3316" t="s">
        <v>6255</v>
      </c>
      <c r="F85" s="3316" t="s">
        <v>6475</v>
      </c>
      <c r="G85" s="3316" t="s">
        <v>6475</v>
      </c>
      <c r="H85" s="3316" t="s">
        <v>6403</v>
      </c>
      <c r="I85" s="3316" t="s">
        <v>6299</v>
      </c>
      <c r="J85" s="3316" t="s">
        <v>6476</v>
      </c>
      <c r="K85" s="3316" t="s">
        <v>6257</v>
      </c>
      <c r="L85" s="3316" t="s">
        <v>6258</v>
      </c>
      <c r="M85" s="3316" t="s">
        <v>6252</v>
      </c>
      <c r="N85" s="3316" t="s">
        <v>6301</v>
      </c>
      <c r="O85" s="3316" t="s">
        <v>6286</v>
      </c>
      <c r="P85" s="3316" t="s">
        <v>6302</v>
      </c>
      <c r="Q85" s="3316" t="s">
        <v>6303</v>
      </c>
      <c r="R85" s="3316" t="s">
        <v>6303</v>
      </c>
      <c r="S85" s="3316" t="s">
        <v>5800</v>
      </c>
      <c r="T85" s="3316" t="s">
        <v>6304</v>
      </c>
      <c r="U85" s="3316" t="s">
        <v>6305</v>
      </c>
      <c r="V85" s="3316">
        <v>0</v>
      </c>
      <c r="W85" s="3316">
        <v>0</v>
      </c>
      <c r="X85" s="3316">
        <v>0</v>
      </c>
      <c r="Y85" s="3316">
        <v>1529</v>
      </c>
      <c r="Z85" s="3316" t="s">
        <v>6306</v>
      </c>
      <c r="AA85" s="3316" t="s">
        <v>6303</v>
      </c>
      <c r="AB85" s="3316">
        <v>1529</v>
      </c>
      <c r="AC85" s="3316" t="s">
        <v>6405</v>
      </c>
      <c r="AD85" s="3316" t="s">
        <v>6406</v>
      </c>
      <c r="AE85" s="3316">
        <v>1529</v>
      </c>
      <c r="AF85" s="3316" t="s">
        <v>6295</v>
      </c>
      <c r="AG85" s="3316" t="s">
        <v>6264</v>
      </c>
      <c r="AH85" s="3316">
        <v>139</v>
      </c>
      <c r="AI85" s="3316">
        <v>1390</v>
      </c>
      <c r="AJ85" s="3316" t="s">
        <v>5800</v>
      </c>
      <c r="AL85" s="3316" t="s">
        <v>6477</v>
      </c>
      <c r="AM85" s="3316">
        <v>2</v>
      </c>
      <c r="AN85" s="3316">
        <v>18</v>
      </c>
      <c r="AO85" s="3316">
        <v>10</v>
      </c>
      <c r="AP85" s="3316">
        <v>0</v>
      </c>
      <c r="AQ85" s="3316" t="s">
        <v>5800</v>
      </c>
      <c r="AS85" s="3316">
        <v>18</v>
      </c>
      <c r="AT85" s="3316">
        <v>10</v>
      </c>
      <c r="AV85" s="3340">
        <v>0</v>
      </c>
      <c r="AW85" s="3340">
        <v>0</v>
      </c>
      <c r="AX85" s="3340">
        <v>0</v>
      </c>
      <c r="AY85" s="3340">
        <v>0</v>
      </c>
      <c r="AZ85" s="3340">
        <v>0</v>
      </c>
      <c r="BA85" s="3340">
        <v>1529</v>
      </c>
      <c r="BB85" s="3340">
        <v>1529</v>
      </c>
      <c r="BC85" s="3340">
        <v>1529</v>
      </c>
      <c r="BD85" s="3340">
        <v>0</v>
      </c>
      <c r="BE85" s="3340"/>
      <c r="BF85" s="3340">
        <v>0</v>
      </c>
      <c r="BG85" s="3340">
        <v>0</v>
      </c>
      <c r="BH85" s="3340">
        <v>0</v>
      </c>
      <c r="BI85" s="3340">
        <v>0</v>
      </c>
      <c r="BJ85" s="3340">
        <v>0</v>
      </c>
      <c r="BK85" s="3340">
        <v>1390</v>
      </c>
      <c r="BL85" s="3340">
        <v>1390</v>
      </c>
      <c r="BM85" s="3340">
        <v>1390</v>
      </c>
      <c r="BN85" s="3340"/>
      <c r="BO85" s="3340"/>
    </row>
    <row r="86" spans="1:67" s="3316" customFormat="1">
      <c r="A86" s="3316" t="s">
        <v>6252</v>
      </c>
      <c r="B86" s="3316" t="s">
        <v>6253</v>
      </c>
      <c r="C86" s="3316" t="s">
        <v>5800</v>
      </c>
      <c r="D86" s="3316" t="s">
        <v>6254</v>
      </c>
      <c r="E86" s="3316" t="s">
        <v>6255</v>
      </c>
      <c r="F86" s="3316" t="s">
        <v>6256</v>
      </c>
      <c r="G86" s="3316" t="s">
        <v>6256</v>
      </c>
      <c r="H86" s="3316" t="s">
        <v>6478</v>
      </c>
      <c r="I86" s="3316" t="s">
        <v>6299</v>
      </c>
      <c r="J86" s="3316" t="s">
        <v>6479</v>
      </c>
      <c r="K86" s="3316" t="s">
        <v>6257</v>
      </c>
      <c r="L86" s="3316" t="s">
        <v>6258</v>
      </c>
      <c r="M86" s="3316" t="s">
        <v>6252</v>
      </c>
      <c r="N86" s="3316" t="s">
        <v>6301</v>
      </c>
      <c r="O86" s="3316" t="s">
        <v>6286</v>
      </c>
      <c r="P86" s="3316" t="s">
        <v>6302</v>
      </c>
      <c r="Q86" s="3316" t="s">
        <v>6303</v>
      </c>
      <c r="R86" s="3316" t="s">
        <v>6303</v>
      </c>
      <c r="S86" s="3316" t="s">
        <v>5800</v>
      </c>
      <c r="T86" s="3316" t="s">
        <v>6304</v>
      </c>
      <c r="U86" s="3316" t="s">
        <v>6305</v>
      </c>
      <c r="V86" s="3316">
        <v>0</v>
      </c>
      <c r="W86" s="3316">
        <v>0</v>
      </c>
      <c r="X86" s="3316">
        <v>0</v>
      </c>
      <c r="Y86" s="3316">
        <v>4690</v>
      </c>
      <c r="Z86" s="3316" t="s">
        <v>6306</v>
      </c>
      <c r="AA86" s="3316" t="s">
        <v>6303</v>
      </c>
      <c r="AB86" s="3316">
        <v>4690</v>
      </c>
      <c r="AC86" s="3316" t="s">
        <v>6259</v>
      </c>
      <c r="AD86" s="3316" t="s">
        <v>6260</v>
      </c>
      <c r="AE86" s="3316">
        <v>4690</v>
      </c>
      <c r="AF86" s="3316" t="s">
        <v>6295</v>
      </c>
      <c r="AG86" s="3316" t="s">
        <v>6261</v>
      </c>
      <c r="AH86" s="3316">
        <v>347</v>
      </c>
      <c r="AI86" s="3316">
        <v>4343</v>
      </c>
      <c r="AJ86" s="3316" t="s">
        <v>5800</v>
      </c>
      <c r="AL86" s="3316" t="s">
        <v>6480</v>
      </c>
      <c r="AM86" s="3316">
        <v>1</v>
      </c>
      <c r="AN86" s="3316">
        <v>0</v>
      </c>
      <c r="AO86" s="3316">
        <v>0</v>
      </c>
      <c r="AP86" s="3316">
        <v>0</v>
      </c>
      <c r="AQ86" s="3316" t="s">
        <v>5800</v>
      </c>
      <c r="AS86" s="3316" t="s">
        <v>6295</v>
      </c>
      <c r="AT86" s="3316" t="s">
        <v>6261</v>
      </c>
      <c r="AV86" s="3340">
        <v>0</v>
      </c>
      <c r="AW86" s="3340">
        <v>0</v>
      </c>
      <c r="AX86" s="3340">
        <v>0</v>
      </c>
      <c r="AY86" s="3340">
        <v>0</v>
      </c>
      <c r="AZ86" s="3340">
        <v>0</v>
      </c>
      <c r="BA86" s="3340">
        <v>4690</v>
      </c>
      <c r="BB86" s="3340">
        <v>4690</v>
      </c>
      <c r="BC86" s="3340">
        <v>4690</v>
      </c>
      <c r="BD86" s="3340">
        <v>0</v>
      </c>
      <c r="BE86" s="3340"/>
      <c r="BF86" s="3340">
        <v>0</v>
      </c>
      <c r="BG86" s="3340">
        <v>0</v>
      </c>
      <c r="BH86" s="3340">
        <v>0</v>
      </c>
      <c r="BI86" s="3340">
        <v>0</v>
      </c>
      <c r="BJ86" s="3340">
        <v>0</v>
      </c>
      <c r="BK86" s="3340">
        <v>4343</v>
      </c>
      <c r="BL86" s="3340">
        <v>4343</v>
      </c>
      <c r="BM86" s="3340">
        <v>4343</v>
      </c>
      <c r="BN86" s="3340"/>
      <c r="BO86" s="3340"/>
    </row>
    <row r="87" spans="1:67" s="3316" customFormat="1">
      <c r="A87" s="3316" t="s">
        <v>6252</v>
      </c>
      <c r="B87" s="3316" t="s">
        <v>6253</v>
      </c>
      <c r="C87" s="3316" t="s">
        <v>5800</v>
      </c>
      <c r="D87" s="3316" t="s">
        <v>6254</v>
      </c>
      <c r="E87" s="3316" t="s">
        <v>6255</v>
      </c>
      <c r="F87" s="3316" t="s">
        <v>6269</v>
      </c>
      <c r="G87" s="3316" t="s">
        <v>6269</v>
      </c>
      <c r="H87" s="3316" t="s">
        <v>6481</v>
      </c>
      <c r="I87" s="3316" t="s">
        <v>6299</v>
      </c>
      <c r="J87" s="3316" t="s">
        <v>6482</v>
      </c>
      <c r="K87" s="3316" t="s">
        <v>6257</v>
      </c>
      <c r="L87" s="3316" t="s">
        <v>6258</v>
      </c>
      <c r="M87" s="3316" t="s">
        <v>6252</v>
      </c>
      <c r="N87" s="3316" t="s">
        <v>6301</v>
      </c>
      <c r="O87" s="3316" t="s">
        <v>6286</v>
      </c>
      <c r="P87" s="3316" t="s">
        <v>6302</v>
      </c>
      <c r="Q87" s="3316" t="s">
        <v>6303</v>
      </c>
      <c r="R87" s="3316" t="s">
        <v>6303</v>
      </c>
      <c r="S87" s="3316" t="s">
        <v>5800</v>
      </c>
      <c r="T87" s="3316" t="s">
        <v>6304</v>
      </c>
      <c r="U87" s="3316" t="s">
        <v>6305</v>
      </c>
      <c r="V87" s="3316">
        <v>0</v>
      </c>
      <c r="W87" s="3316">
        <v>0</v>
      </c>
      <c r="X87" s="3316">
        <v>0</v>
      </c>
      <c r="Y87" s="3316">
        <v>1</v>
      </c>
      <c r="Z87" s="3316" t="s">
        <v>6306</v>
      </c>
      <c r="AA87" s="3316" t="s">
        <v>6303</v>
      </c>
      <c r="AB87" s="3316">
        <v>1</v>
      </c>
      <c r="AC87" s="3316" t="s">
        <v>6266</v>
      </c>
      <c r="AD87" s="3316" t="s">
        <v>6267</v>
      </c>
      <c r="AE87" s="3316">
        <v>1</v>
      </c>
      <c r="AF87" s="3316" t="s">
        <v>6309</v>
      </c>
      <c r="AG87" s="3316" t="s">
        <v>6264</v>
      </c>
      <c r="AH87" s="3316">
        <v>0</v>
      </c>
      <c r="AI87" s="3316">
        <v>1</v>
      </c>
      <c r="AJ87" s="3316" t="s">
        <v>5800</v>
      </c>
      <c r="AL87" s="3316" t="s">
        <v>6483</v>
      </c>
      <c r="AM87" s="3316">
        <v>1</v>
      </c>
      <c r="AN87" s="3316">
        <v>0</v>
      </c>
      <c r="AO87" s="3316">
        <v>0</v>
      </c>
      <c r="AP87" s="3316">
        <v>0</v>
      </c>
      <c r="AQ87" s="3316" t="s">
        <v>5800</v>
      </c>
      <c r="AS87" s="3316" t="s">
        <v>6309</v>
      </c>
      <c r="AT87" s="3316" t="s">
        <v>6264</v>
      </c>
      <c r="AV87" s="3340">
        <v>0</v>
      </c>
      <c r="AW87" s="3340">
        <v>0</v>
      </c>
      <c r="AX87" s="3340">
        <v>0</v>
      </c>
      <c r="AY87" s="3340">
        <v>0</v>
      </c>
      <c r="AZ87" s="3340">
        <v>0</v>
      </c>
      <c r="BA87" s="3340">
        <v>1</v>
      </c>
      <c r="BB87" s="3340">
        <v>1</v>
      </c>
      <c r="BC87" s="3340">
        <v>1</v>
      </c>
      <c r="BD87" s="3340">
        <v>0</v>
      </c>
      <c r="BE87" s="3340"/>
      <c r="BF87" s="3340">
        <v>0</v>
      </c>
      <c r="BG87" s="3340">
        <v>0</v>
      </c>
      <c r="BH87" s="3340">
        <v>0</v>
      </c>
      <c r="BI87" s="3340">
        <v>0</v>
      </c>
      <c r="BJ87" s="3340">
        <v>0</v>
      </c>
      <c r="BK87" s="3340">
        <v>1</v>
      </c>
      <c r="BL87" s="3340">
        <v>1</v>
      </c>
      <c r="BM87" s="3340">
        <v>1</v>
      </c>
      <c r="BN87" s="3340"/>
      <c r="BO87" s="3340"/>
    </row>
    <row r="88" spans="1:67" s="3316" customFormat="1">
      <c r="A88" s="3316" t="s">
        <v>6252</v>
      </c>
      <c r="B88" s="3316" t="s">
        <v>6253</v>
      </c>
      <c r="C88" s="3316" t="s">
        <v>5800</v>
      </c>
      <c r="D88" s="3316" t="s">
        <v>6254</v>
      </c>
      <c r="E88" s="3316" t="s">
        <v>6255</v>
      </c>
      <c r="F88" s="3316" t="s">
        <v>6262</v>
      </c>
      <c r="G88" s="3316" t="s">
        <v>6262</v>
      </c>
      <c r="H88" s="3316" t="s">
        <v>6484</v>
      </c>
      <c r="I88" s="3316" t="s">
        <v>6299</v>
      </c>
      <c r="J88" s="3316" t="s">
        <v>6485</v>
      </c>
      <c r="K88" s="3316" t="s">
        <v>6257</v>
      </c>
      <c r="L88" s="3316" t="s">
        <v>6258</v>
      </c>
      <c r="M88" s="3316" t="s">
        <v>6252</v>
      </c>
      <c r="N88" s="3316" t="s">
        <v>6301</v>
      </c>
      <c r="O88" s="3316" t="s">
        <v>6286</v>
      </c>
      <c r="P88" s="3316" t="s">
        <v>6302</v>
      </c>
      <c r="Q88" s="3316" t="s">
        <v>6303</v>
      </c>
      <c r="R88" s="3316" t="s">
        <v>6303</v>
      </c>
      <c r="S88" s="3316" t="s">
        <v>5800</v>
      </c>
      <c r="T88" s="3316" t="s">
        <v>6304</v>
      </c>
      <c r="U88" s="3316" t="s">
        <v>6305</v>
      </c>
      <c r="V88" s="3316">
        <v>0</v>
      </c>
      <c r="W88" s="3316">
        <v>0</v>
      </c>
      <c r="X88" s="3316">
        <v>0</v>
      </c>
      <c r="Y88" s="3316">
        <v>10672</v>
      </c>
      <c r="Z88" s="3316" t="s">
        <v>6306</v>
      </c>
      <c r="AA88" s="3316" t="s">
        <v>6303</v>
      </c>
      <c r="AB88" s="3316">
        <v>10672</v>
      </c>
      <c r="AC88" s="3316" t="s">
        <v>6266</v>
      </c>
      <c r="AD88" s="3316" t="s">
        <v>6267</v>
      </c>
      <c r="AE88" s="3316">
        <v>10672</v>
      </c>
      <c r="AF88" s="3316" t="s">
        <v>6295</v>
      </c>
      <c r="AG88" s="3316" t="s">
        <v>6264</v>
      </c>
      <c r="AH88" s="3316">
        <v>970</v>
      </c>
      <c r="AI88" s="3316">
        <v>9702</v>
      </c>
      <c r="AJ88" s="3316" t="s">
        <v>5800</v>
      </c>
      <c r="AL88" s="3316" t="s">
        <v>6486</v>
      </c>
      <c r="AM88" s="3316">
        <v>2</v>
      </c>
      <c r="AN88" s="3316">
        <v>18</v>
      </c>
      <c r="AO88" s="3316">
        <v>10</v>
      </c>
      <c r="AP88" s="3316">
        <v>0</v>
      </c>
      <c r="AQ88" s="3316" t="s">
        <v>5800</v>
      </c>
      <c r="AS88" s="3316">
        <v>18</v>
      </c>
      <c r="AT88" s="3316">
        <v>10</v>
      </c>
      <c r="AV88" s="3340">
        <v>0</v>
      </c>
      <c r="AW88" s="3340">
        <v>0</v>
      </c>
      <c r="AX88" s="3340">
        <v>0</v>
      </c>
      <c r="AY88" s="3340">
        <v>0</v>
      </c>
      <c r="AZ88" s="3340">
        <v>0</v>
      </c>
      <c r="BA88" s="3340">
        <v>10672</v>
      </c>
      <c r="BB88" s="3340">
        <v>10672</v>
      </c>
      <c r="BC88" s="3340">
        <v>10672</v>
      </c>
      <c r="BD88" s="3340">
        <v>0</v>
      </c>
      <c r="BE88" s="3340"/>
      <c r="BF88" s="3340">
        <v>0</v>
      </c>
      <c r="BG88" s="3340">
        <v>0</v>
      </c>
      <c r="BH88" s="3340">
        <v>0</v>
      </c>
      <c r="BI88" s="3340">
        <v>0</v>
      </c>
      <c r="BJ88" s="3340">
        <v>0</v>
      </c>
      <c r="BK88" s="3340">
        <v>9702</v>
      </c>
      <c r="BL88" s="3340">
        <v>9702</v>
      </c>
      <c r="BM88" s="3340">
        <v>9702</v>
      </c>
      <c r="BN88" s="3340"/>
      <c r="BO88" s="3340"/>
    </row>
    <row r="89" spans="1:67" s="3316" customFormat="1">
      <c r="A89" s="3316" t="s">
        <v>6252</v>
      </c>
      <c r="B89" s="3316" t="s">
        <v>6253</v>
      </c>
      <c r="C89" s="3316" t="s">
        <v>5800</v>
      </c>
      <c r="D89" s="3316" t="s">
        <v>6254</v>
      </c>
      <c r="E89" s="3316" t="s">
        <v>6255</v>
      </c>
      <c r="F89" s="3316" t="s">
        <v>6275</v>
      </c>
      <c r="G89" s="3316" t="s">
        <v>6275</v>
      </c>
      <c r="H89" s="3316" t="s">
        <v>6484</v>
      </c>
      <c r="I89" s="3316" t="s">
        <v>6299</v>
      </c>
      <c r="J89" s="3316" t="s">
        <v>6487</v>
      </c>
      <c r="K89" s="3316" t="s">
        <v>6257</v>
      </c>
      <c r="L89" s="3316" t="s">
        <v>6258</v>
      </c>
      <c r="M89" s="3316" t="s">
        <v>6252</v>
      </c>
      <c r="N89" s="3316" t="s">
        <v>6301</v>
      </c>
      <c r="O89" s="3316" t="s">
        <v>6286</v>
      </c>
      <c r="P89" s="3316" t="s">
        <v>6302</v>
      </c>
      <c r="Q89" s="3316" t="s">
        <v>6303</v>
      </c>
      <c r="R89" s="3316" t="s">
        <v>6303</v>
      </c>
      <c r="S89" s="3316" t="s">
        <v>5800</v>
      </c>
      <c r="T89" s="3316" t="s">
        <v>6304</v>
      </c>
      <c r="U89" s="3316" t="s">
        <v>6305</v>
      </c>
      <c r="V89" s="3316">
        <v>0</v>
      </c>
      <c r="W89" s="3316">
        <v>0</v>
      </c>
      <c r="X89" s="3316">
        <v>0</v>
      </c>
      <c r="Y89" s="3316">
        <v>2057</v>
      </c>
      <c r="Z89" s="3316" t="s">
        <v>6306</v>
      </c>
      <c r="AA89" s="3316" t="s">
        <v>6303</v>
      </c>
      <c r="AB89" s="3316">
        <v>2057</v>
      </c>
      <c r="AC89" s="3316" t="s">
        <v>6266</v>
      </c>
      <c r="AD89" s="3316" t="s">
        <v>6267</v>
      </c>
      <c r="AE89" s="3316">
        <v>2057</v>
      </c>
      <c r="AF89" s="3316" t="s">
        <v>6309</v>
      </c>
      <c r="AG89" s="3316" t="s">
        <v>6264</v>
      </c>
      <c r="AH89" s="3316">
        <v>187</v>
      </c>
      <c r="AI89" s="3316">
        <v>1870</v>
      </c>
      <c r="AJ89" s="3316" t="s">
        <v>5800</v>
      </c>
      <c r="AL89" s="3316" t="s">
        <v>6488</v>
      </c>
      <c r="AM89" s="3316">
        <v>1</v>
      </c>
      <c r="AN89" s="3316">
        <v>0</v>
      </c>
      <c r="AO89" s="3316">
        <v>0</v>
      </c>
      <c r="AP89" s="3316">
        <v>0</v>
      </c>
      <c r="AQ89" s="3316" t="s">
        <v>5800</v>
      </c>
      <c r="AS89" s="3316" t="s">
        <v>6309</v>
      </c>
      <c r="AT89" s="3316" t="s">
        <v>6264</v>
      </c>
      <c r="AV89" s="3340">
        <v>0</v>
      </c>
      <c r="AW89" s="3340">
        <v>0</v>
      </c>
      <c r="AX89" s="3340">
        <v>0</v>
      </c>
      <c r="AY89" s="3340">
        <v>0</v>
      </c>
      <c r="AZ89" s="3340">
        <v>0</v>
      </c>
      <c r="BA89" s="3340">
        <v>2057</v>
      </c>
      <c r="BB89" s="3340">
        <v>2057</v>
      </c>
      <c r="BC89" s="3340">
        <v>2057</v>
      </c>
      <c r="BD89" s="3340">
        <v>0</v>
      </c>
      <c r="BE89" s="3340"/>
      <c r="BF89" s="3340">
        <v>0</v>
      </c>
      <c r="BG89" s="3340">
        <v>0</v>
      </c>
      <c r="BH89" s="3340">
        <v>0</v>
      </c>
      <c r="BI89" s="3340">
        <v>0</v>
      </c>
      <c r="BJ89" s="3340">
        <v>0</v>
      </c>
      <c r="BK89" s="3340">
        <v>1870</v>
      </c>
      <c r="BL89" s="3340">
        <v>1870</v>
      </c>
      <c r="BM89" s="3340">
        <v>1870</v>
      </c>
      <c r="BN89" s="3340"/>
      <c r="BO89" s="3340"/>
    </row>
    <row r="90" spans="1:67" s="3316" customFormat="1">
      <c r="A90" s="3316" t="s">
        <v>6252</v>
      </c>
      <c r="B90" s="3316" t="s">
        <v>6253</v>
      </c>
      <c r="C90" s="3316" t="s">
        <v>5800</v>
      </c>
      <c r="D90" s="3316" t="s">
        <v>6254</v>
      </c>
      <c r="E90" s="3316" t="s">
        <v>6255</v>
      </c>
      <c r="F90" s="3316" t="s">
        <v>6268</v>
      </c>
      <c r="G90" s="3316" t="s">
        <v>6268</v>
      </c>
      <c r="H90" s="3316" t="s">
        <v>6484</v>
      </c>
      <c r="I90" s="3316" t="s">
        <v>6299</v>
      </c>
      <c r="J90" s="3316" t="s">
        <v>6489</v>
      </c>
      <c r="K90" s="3316" t="s">
        <v>6257</v>
      </c>
      <c r="L90" s="3316" t="s">
        <v>6258</v>
      </c>
      <c r="M90" s="3316" t="s">
        <v>6252</v>
      </c>
      <c r="N90" s="3316" t="s">
        <v>6301</v>
      </c>
      <c r="O90" s="3316" t="s">
        <v>6286</v>
      </c>
      <c r="P90" s="3316" t="s">
        <v>6302</v>
      </c>
      <c r="Q90" s="3316" t="s">
        <v>6303</v>
      </c>
      <c r="R90" s="3316" t="s">
        <v>6303</v>
      </c>
      <c r="S90" s="3316" t="s">
        <v>5800</v>
      </c>
      <c r="T90" s="3316" t="s">
        <v>6304</v>
      </c>
      <c r="U90" s="3316" t="s">
        <v>6305</v>
      </c>
      <c r="V90" s="3316">
        <v>0</v>
      </c>
      <c r="W90" s="3316">
        <v>0</v>
      </c>
      <c r="X90" s="3316">
        <v>0</v>
      </c>
      <c r="Y90" s="3316">
        <v>1529</v>
      </c>
      <c r="Z90" s="3316" t="s">
        <v>6306</v>
      </c>
      <c r="AA90" s="3316" t="s">
        <v>6303</v>
      </c>
      <c r="AB90" s="3316">
        <v>1529</v>
      </c>
      <c r="AC90" s="3316" t="s">
        <v>6266</v>
      </c>
      <c r="AD90" s="3316" t="s">
        <v>6267</v>
      </c>
      <c r="AE90" s="3316">
        <v>1529</v>
      </c>
      <c r="AF90" s="3316" t="s">
        <v>6309</v>
      </c>
      <c r="AG90" s="3316" t="s">
        <v>6264</v>
      </c>
      <c r="AH90" s="3316">
        <v>139</v>
      </c>
      <c r="AI90" s="3316">
        <v>1390</v>
      </c>
      <c r="AJ90" s="3316" t="s">
        <v>5800</v>
      </c>
      <c r="AL90" s="3316" t="s">
        <v>6490</v>
      </c>
      <c r="AM90" s="3316">
        <v>1</v>
      </c>
      <c r="AN90" s="3316">
        <v>0</v>
      </c>
      <c r="AO90" s="3316">
        <v>0</v>
      </c>
      <c r="AP90" s="3316">
        <v>0</v>
      </c>
      <c r="AQ90" s="3316" t="s">
        <v>5800</v>
      </c>
      <c r="AS90" s="3316" t="s">
        <v>6309</v>
      </c>
      <c r="AT90" s="3316" t="s">
        <v>6264</v>
      </c>
      <c r="AV90" s="3340">
        <v>0</v>
      </c>
      <c r="AW90" s="3340">
        <v>0</v>
      </c>
      <c r="AX90" s="3340">
        <v>0</v>
      </c>
      <c r="AY90" s="3340">
        <v>0</v>
      </c>
      <c r="AZ90" s="3340">
        <v>0</v>
      </c>
      <c r="BA90" s="3340">
        <v>1529</v>
      </c>
      <c r="BB90" s="3340">
        <v>1529</v>
      </c>
      <c r="BC90" s="3340">
        <v>1529</v>
      </c>
      <c r="BD90" s="3340">
        <v>0</v>
      </c>
      <c r="BE90" s="3340"/>
      <c r="BF90" s="3340">
        <v>0</v>
      </c>
      <c r="BG90" s="3340">
        <v>0</v>
      </c>
      <c r="BH90" s="3340">
        <v>0</v>
      </c>
      <c r="BI90" s="3340">
        <v>0</v>
      </c>
      <c r="BJ90" s="3340">
        <v>0</v>
      </c>
      <c r="BK90" s="3340">
        <v>1390</v>
      </c>
      <c r="BL90" s="3340">
        <v>1390</v>
      </c>
      <c r="BM90" s="3340">
        <v>1390</v>
      </c>
      <c r="BN90" s="3340"/>
      <c r="BO90" s="3340"/>
    </row>
    <row r="91" spans="1:67" s="3316" customFormat="1">
      <c r="A91" s="3316" t="s">
        <v>6252</v>
      </c>
      <c r="B91" s="3316" t="s">
        <v>6253</v>
      </c>
      <c r="C91" s="3316" t="s">
        <v>5800</v>
      </c>
      <c r="D91" s="3316" t="s">
        <v>6254</v>
      </c>
      <c r="E91" s="3316" t="s">
        <v>6255</v>
      </c>
      <c r="F91" s="3316" t="s">
        <v>6265</v>
      </c>
      <c r="G91" s="3316" t="s">
        <v>6265</v>
      </c>
      <c r="H91" s="3316" t="s">
        <v>6491</v>
      </c>
      <c r="I91" s="3316" t="s">
        <v>6299</v>
      </c>
      <c r="J91" s="3316" t="s">
        <v>6492</v>
      </c>
      <c r="K91" s="3316" t="s">
        <v>6257</v>
      </c>
      <c r="L91" s="3316" t="s">
        <v>6258</v>
      </c>
      <c r="M91" s="3316" t="s">
        <v>6252</v>
      </c>
      <c r="N91" s="3316" t="s">
        <v>6301</v>
      </c>
      <c r="O91" s="3316" t="s">
        <v>6286</v>
      </c>
      <c r="P91" s="3316" t="s">
        <v>6302</v>
      </c>
      <c r="Q91" s="3316" t="s">
        <v>6303</v>
      </c>
      <c r="R91" s="3316" t="s">
        <v>6303</v>
      </c>
      <c r="S91" s="3316" t="s">
        <v>5800</v>
      </c>
      <c r="T91" s="3316" t="s">
        <v>6304</v>
      </c>
      <c r="U91" s="3316" t="s">
        <v>6305</v>
      </c>
      <c r="V91" s="3316">
        <v>0</v>
      </c>
      <c r="W91" s="3316">
        <v>0</v>
      </c>
      <c r="X91" s="3316">
        <v>0</v>
      </c>
      <c r="Y91" s="3316">
        <v>3822</v>
      </c>
      <c r="Z91" s="3316" t="s">
        <v>6306</v>
      </c>
      <c r="AA91" s="3316" t="s">
        <v>6303</v>
      </c>
      <c r="AB91" s="3316">
        <v>3822</v>
      </c>
      <c r="AC91" s="3316" t="s">
        <v>6266</v>
      </c>
      <c r="AD91" s="3316" t="s">
        <v>6267</v>
      </c>
      <c r="AE91" s="3316">
        <v>3822</v>
      </c>
      <c r="AF91" s="3316" t="s">
        <v>6309</v>
      </c>
      <c r="AG91" s="3316" t="s">
        <v>6264</v>
      </c>
      <c r="AH91" s="3316">
        <v>347</v>
      </c>
      <c r="AI91" s="3316">
        <v>3475</v>
      </c>
      <c r="AJ91" s="3316" t="s">
        <v>5800</v>
      </c>
      <c r="AL91" s="3316" t="s">
        <v>6493</v>
      </c>
      <c r="AM91" s="3316">
        <v>1</v>
      </c>
      <c r="AN91" s="3316">
        <v>0</v>
      </c>
      <c r="AO91" s="3316">
        <v>0</v>
      </c>
      <c r="AP91" s="3316">
        <v>0</v>
      </c>
      <c r="AQ91" s="3316" t="s">
        <v>5800</v>
      </c>
      <c r="AS91" s="3316" t="s">
        <v>6309</v>
      </c>
      <c r="AT91" s="3316" t="s">
        <v>6264</v>
      </c>
      <c r="AV91" s="3340">
        <v>0</v>
      </c>
      <c r="AW91" s="3340">
        <v>0</v>
      </c>
      <c r="AX91" s="3340">
        <v>0</v>
      </c>
      <c r="AY91" s="3340">
        <v>0</v>
      </c>
      <c r="AZ91" s="3340">
        <v>0</v>
      </c>
      <c r="BA91" s="3340">
        <v>3822</v>
      </c>
      <c r="BB91" s="3340">
        <v>3822</v>
      </c>
      <c r="BC91" s="3340">
        <v>3822</v>
      </c>
      <c r="BD91" s="3340">
        <v>0</v>
      </c>
      <c r="BE91" s="3340"/>
      <c r="BF91" s="3340">
        <v>0</v>
      </c>
      <c r="BG91" s="3340">
        <v>0</v>
      </c>
      <c r="BH91" s="3340">
        <v>0</v>
      </c>
      <c r="BI91" s="3340">
        <v>0</v>
      </c>
      <c r="BJ91" s="3340">
        <v>0</v>
      </c>
      <c r="BK91" s="3340">
        <v>3475</v>
      </c>
      <c r="BL91" s="3340">
        <v>3475</v>
      </c>
      <c r="BM91" s="3340">
        <v>3475</v>
      </c>
      <c r="BN91" s="3340"/>
      <c r="BO91" s="3340"/>
    </row>
    <row r="92" spans="1:67" s="3316" customFormat="1">
      <c r="A92" s="3316" t="s">
        <v>6252</v>
      </c>
      <c r="B92" s="3316" t="s">
        <v>6253</v>
      </c>
      <c r="C92" s="3316" t="s">
        <v>5800</v>
      </c>
      <c r="D92" s="3316" t="s">
        <v>6254</v>
      </c>
      <c r="E92" s="3316" t="s">
        <v>6255</v>
      </c>
      <c r="F92" s="3316" t="s">
        <v>6256</v>
      </c>
      <c r="G92" s="3316" t="s">
        <v>6256</v>
      </c>
      <c r="H92" s="3316" t="s">
        <v>6494</v>
      </c>
      <c r="I92" s="3316" t="s">
        <v>6299</v>
      </c>
      <c r="J92" s="3316" t="s">
        <v>6495</v>
      </c>
      <c r="K92" s="3316" t="s">
        <v>6257</v>
      </c>
      <c r="L92" s="3316" t="s">
        <v>6258</v>
      </c>
      <c r="M92" s="3316" t="s">
        <v>6252</v>
      </c>
      <c r="N92" s="3316" t="s">
        <v>6301</v>
      </c>
      <c r="O92" s="3316" t="s">
        <v>6286</v>
      </c>
      <c r="P92" s="3316" t="s">
        <v>6302</v>
      </c>
      <c r="Q92" s="3316" t="s">
        <v>6303</v>
      </c>
      <c r="R92" s="3316" t="s">
        <v>6303</v>
      </c>
      <c r="S92" s="3316" t="s">
        <v>5800</v>
      </c>
      <c r="T92" s="3316" t="s">
        <v>6304</v>
      </c>
      <c r="U92" s="3316" t="s">
        <v>6305</v>
      </c>
      <c r="V92" s="3316">
        <v>0</v>
      </c>
      <c r="W92" s="3316">
        <v>0</v>
      </c>
      <c r="X92" s="3316">
        <v>0</v>
      </c>
      <c r="Y92" s="3316">
        <v>3058</v>
      </c>
      <c r="Z92" s="3316" t="s">
        <v>6306</v>
      </c>
      <c r="AA92" s="3316" t="s">
        <v>6303</v>
      </c>
      <c r="AB92" s="3316">
        <v>3058</v>
      </c>
      <c r="AC92" s="3316" t="s">
        <v>6271</v>
      </c>
      <c r="AD92" s="3316" t="s">
        <v>6272</v>
      </c>
      <c r="AE92" s="3316">
        <v>3058</v>
      </c>
      <c r="AF92" s="3316" t="s">
        <v>6309</v>
      </c>
      <c r="AG92" s="3316" t="s">
        <v>6264</v>
      </c>
      <c r="AH92" s="3316">
        <v>278</v>
      </c>
      <c r="AI92" s="3316">
        <v>2780</v>
      </c>
      <c r="AJ92" s="3316" t="s">
        <v>5800</v>
      </c>
      <c r="AL92" s="3316" t="s">
        <v>6496</v>
      </c>
      <c r="AM92" s="3316">
        <v>1</v>
      </c>
      <c r="AN92" s="3316">
        <v>0</v>
      </c>
      <c r="AO92" s="3316">
        <v>0</v>
      </c>
      <c r="AP92" s="3316">
        <v>0</v>
      </c>
      <c r="AQ92" s="3316" t="s">
        <v>5800</v>
      </c>
      <c r="AS92" s="3316" t="s">
        <v>6309</v>
      </c>
      <c r="AT92" s="3316" t="s">
        <v>6264</v>
      </c>
      <c r="AV92" s="3340">
        <v>0</v>
      </c>
      <c r="AW92" s="3340">
        <v>0</v>
      </c>
      <c r="AX92" s="3340">
        <v>0</v>
      </c>
      <c r="AY92" s="3340">
        <v>0</v>
      </c>
      <c r="AZ92" s="3340">
        <v>0</v>
      </c>
      <c r="BA92" s="3340">
        <v>3058</v>
      </c>
      <c r="BB92" s="3340">
        <v>3058</v>
      </c>
      <c r="BC92" s="3340">
        <v>3058</v>
      </c>
      <c r="BD92" s="3340">
        <v>0</v>
      </c>
      <c r="BE92" s="3340"/>
      <c r="BF92" s="3340">
        <v>0</v>
      </c>
      <c r="BG92" s="3340">
        <v>0</v>
      </c>
      <c r="BH92" s="3340">
        <v>0</v>
      </c>
      <c r="BI92" s="3340">
        <v>0</v>
      </c>
      <c r="BJ92" s="3340">
        <v>0</v>
      </c>
      <c r="BK92" s="3340">
        <v>2780</v>
      </c>
      <c r="BL92" s="3340">
        <v>2780</v>
      </c>
      <c r="BM92" s="3340">
        <v>2780</v>
      </c>
      <c r="BN92" s="3340"/>
      <c r="BO92" s="3340"/>
    </row>
    <row r="93" spans="1:67" s="3316" customFormat="1">
      <c r="A93" s="3316" t="s">
        <v>6252</v>
      </c>
      <c r="B93" s="3316" t="s">
        <v>6253</v>
      </c>
      <c r="C93" s="3316" t="s">
        <v>5800</v>
      </c>
      <c r="D93" s="3316" t="s">
        <v>6254</v>
      </c>
      <c r="E93" s="3316" t="s">
        <v>6255</v>
      </c>
      <c r="F93" s="3316" t="s">
        <v>6278</v>
      </c>
      <c r="G93" s="3316" t="s">
        <v>6278</v>
      </c>
      <c r="H93" s="3316" t="s">
        <v>6497</v>
      </c>
      <c r="I93" s="3316" t="s">
        <v>6299</v>
      </c>
      <c r="J93" s="3316" t="s">
        <v>6498</v>
      </c>
      <c r="K93" s="3316" t="s">
        <v>6257</v>
      </c>
      <c r="L93" s="3316" t="s">
        <v>6258</v>
      </c>
      <c r="M93" s="3316" t="s">
        <v>6252</v>
      </c>
      <c r="N93" s="3316" t="s">
        <v>6301</v>
      </c>
      <c r="O93" s="3316" t="s">
        <v>6286</v>
      </c>
      <c r="P93" s="3316" t="s">
        <v>6302</v>
      </c>
      <c r="Q93" s="3316" t="s">
        <v>6303</v>
      </c>
      <c r="R93" s="3316" t="s">
        <v>6303</v>
      </c>
      <c r="S93" s="3316" t="s">
        <v>5800</v>
      </c>
      <c r="T93" s="3316" t="s">
        <v>6304</v>
      </c>
      <c r="U93" s="3316" t="s">
        <v>6305</v>
      </c>
      <c r="V93" s="3316">
        <v>0</v>
      </c>
      <c r="W93" s="3316">
        <v>0</v>
      </c>
      <c r="X93" s="3316">
        <v>0</v>
      </c>
      <c r="Y93" s="3316">
        <v>377391</v>
      </c>
      <c r="Z93" s="3316" t="s">
        <v>6306</v>
      </c>
      <c r="AA93" s="3316" t="s">
        <v>6303</v>
      </c>
      <c r="AB93" s="3316">
        <v>377391</v>
      </c>
      <c r="AC93" s="3316" t="s">
        <v>6273</v>
      </c>
      <c r="AD93" s="3316" t="s">
        <v>6274</v>
      </c>
      <c r="AE93" s="3316">
        <v>377391</v>
      </c>
      <c r="AF93" s="3316" t="s">
        <v>6309</v>
      </c>
      <c r="AG93" s="3316" t="s">
        <v>6264</v>
      </c>
      <c r="AH93" s="3316">
        <v>34302</v>
      </c>
      <c r="AI93" s="3316">
        <v>343089</v>
      </c>
      <c r="AJ93" s="3316" t="s">
        <v>5800</v>
      </c>
      <c r="AL93" s="3316" t="s">
        <v>6499</v>
      </c>
      <c r="AM93" s="3316">
        <v>1</v>
      </c>
      <c r="AN93" s="3316">
        <v>0</v>
      </c>
      <c r="AO93" s="3316">
        <v>0</v>
      </c>
      <c r="AP93" s="3316">
        <v>0</v>
      </c>
      <c r="AQ93" s="3316" t="s">
        <v>5800</v>
      </c>
      <c r="AS93" s="3316" t="s">
        <v>6309</v>
      </c>
      <c r="AT93" s="3316" t="s">
        <v>6264</v>
      </c>
      <c r="AV93" s="3340">
        <v>0</v>
      </c>
      <c r="AW93" s="3340">
        <v>0</v>
      </c>
      <c r="AX93" s="3340">
        <v>0</v>
      </c>
      <c r="AY93" s="3340">
        <v>0</v>
      </c>
      <c r="AZ93" s="3340">
        <v>0</v>
      </c>
      <c r="BA93" s="3340">
        <v>377391</v>
      </c>
      <c r="BB93" s="3340">
        <v>377391</v>
      </c>
      <c r="BC93" s="3340">
        <v>377391</v>
      </c>
      <c r="BD93" s="3340">
        <v>0</v>
      </c>
      <c r="BE93" s="3340"/>
      <c r="BF93" s="3340">
        <v>0</v>
      </c>
      <c r="BG93" s="3340">
        <v>0</v>
      </c>
      <c r="BH93" s="3340">
        <v>0</v>
      </c>
      <c r="BI93" s="3340">
        <v>0</v>
      </c>
      <c r="BJ93" s="3340">
        <v>0</v>
      </c>
      <c r="BK93" s="3340">
        <v>343083</v>
      </c>
      <c r="BL93" s="3340">
        <v>343083</v>
      </c>
      <c r="BM93" s="3340">
        <v>343083</v>
      </c>
      <c r="BN93" s="3340"/>
      <c r="BO93" s="3340"/>
    </row>
    <row r="94" spans="1:67" s="3316" customFormat="1">
      <c r="A94" s="3316" t="s">
        <v>6252</v>
      </c>
      <c r="B94" s="3316" t="s">
        <v>6253</v>
      </c>
      <c r="C94" s="3316" t="s">
        <v>5800</v>
      </c>
      <c r="D94" s="3316" t="s">
        <v>6254</v>
      </c>
      <c r="E94" s="3316" t="s">
        <v>6255</v>
      </c>
      <c r="F94" s="3316" t="s">
        <v>6277</v>
      </c>
      <c r="G94" s="3316" t="s">
        <v>6277</v>
      </c>
      <c r="H94" s="3316" t="s">
        <v>6500</v>
      </c>
      <c r="I94" s="3316" t="s">
        <v>6299</v>
      </c>
      <c r="J94" s="3316" t="s">
        <v>6501</v>
      </c>
      <c r="K94" s="3316" t="s">
        <v>6257</v>
      </c>
      <c r="L94" s="3316" t="s">
        <v>6258</v>
      </c>
      <c r="M94" s="3316" t="s">
        <v>6252</v>
      </c>
      <c r="N94" s="3316" t="s">
        <v>6301</v>
      </c>
      <c r="O94" s="3316" t="s">
        <v>6286</v>
      </c>
      <c r="P94" s="3316" t="s">
        <v>6302</v>
      </c>
      <c r="Q94" s="3316" t="s">
        <v>6303</v>
      </c>
      <c r="R94" s="3316" t="s">
        <v>6303</v>
      </c>
      <c r="S94" s="3316" t="s">
        <v>5800</v>
      </c>
      <c r="T94" s="3316" t="s">
        <v>6304</v>
      </c>
      <c r="U94" s="3316" t="s">
        <v>6305</v>
      </c>
      <c r="V94" s="3316">
        <v>0</v>
      </c>
      <c r="W94" s="3316">
        <v>0</v>
      </c>
      <c r="X94" s="3316">
        <v>0</v>
      </c>
      <c r="Y94" s="3316">
        <v>660527</v>
      </c>
      <c r="Z94" s="3316" t="s">
        <v>6306</v>
      </c>
      <c r="AA94" s="3316" t="s">
        <v>6303</v>
      </c>
      <c r="AB94" s="3316">
        <v>660527</v>
      </c>
      <c r="AC94" s="3316" t="s">
        <v>6273</v>
      </c>
      <c r="AD94" s="3316" t="s">
        <v>6274</v>
      </c>
      <c r="AE94" s="3316">
        <v>660527</v>
      </c>
      <c r="AF94" s="3316" t="s">
        <v>6309</v>
      </c>
      <c r="AG94" s="3316" t="s">
        <v>6264</v>
      </c>
      <c r="AH94" s="3316">
        <v>60038</v>
      </c>
      <c r="AI94" s="3316">
        <v>600489</v>
      </c>
      <c r="AJ94" s="3316" t="s">
        <v>5800</v>
      </c>
      <c r="AL94" s="3316" t="s">
        <v>6502</v>
      </c>
      <c r="AM94" s="3316">
        <v>1</v>
      </c>
      <c r="AN94" s="3316">
        <v>0</v>
      </c>
      <c r="AO94" s="3316">
        <v>0</v>
      </c>
      <c r="AP94" s="3316">
        <v>0</v>
      </c>
      <c r="AQ94" s="3316" t="s">
        <v>5800</v>
      </c>
      <c r="AS94" s="3316" t="s">
        <v>6309</v>
      </c>
      <c r="AT94" s="3316" t="s">
        <v>6264</v>
      </c>
      <c r="AV94" s="3340">
        <v>0</v>
      </c>
      <c r="AW94" s="3340">
        <v>0</v>
      </c>
      <c r="AX94" s="3340">
        <v>0</v>
      </c>
      <c r="AY94" s="3340">
        <v>0</v>
      </c>
      <c r="AZ94" s="3340">
        <v>0</v>
      </c>
      <c r="BA94" s="3340">
        <v>660527</v>
      </c>
      <c r="BB94" s="3340">
        <v>660527</v>
      </c>
      <c r="BC94" s="3340">
        <v>660527</v>
      </c>
      <c r="BD94" s="3340">
        <v>0</v>
      </c>
      <c r="BE94" s="3340"/>
      <c r="BF94" s="3340">
        <v>0</v>
      </c>
      <c r="BG94" s="3340">
        <v>0</v>
      </c>
      <c r="BH94" s="3340">
        <v>0</v>
      </c>
      <c r="BI94" s="3340">
        <v>0</v>
      </c>
      <c r="BJ94" s="3340">
        <v>0</v>
      </c>
      <c r="BK94" s="3340">
        <v>600479</v>
      </c>
      <c r="BL94" s="3340">
        <v>600479</v>
      </c>
      <c r="BM94" s="3340">
        <v>600479</v>
      </c>
      <c r="BN94" s="3340"/>
      <c r="BO94" s="3340"/>
    </row>
    <row r="95" spans="1:67" s="3316" customFormat="1">
      <c r="A95" s="3316" t="s">
        <v>6252</v>
      </c>
      <c r="B95" s="3316" t="s">
        <v>6253</v>
      </c>
      <c r="C95" s="3316" t="s">
        <v>5800</v>
      </c>
      <c r="D95" s="3316" t="s">
        <v>6254</v>
      </c>
      <c r="E95" s="3316" t="s">
        <v>6255</v>
      </c>
      <c r="F95" s="3316" t="s">
        <v>6265</v>
      </c>
      <c r="G95" s="3316" t="s">
        <v>6265</v>
      </c>
      <c r="H95" s="3316" t="s">
        <v>6503</v>
      </c>
      <c r="I95" s="3316" t="s">
        <v>6299</v>
      </c>
      <c r="J95" s="3316" t="s">
        <v>6506</v>
      </c>
      <c r="K95" s="3316" t="s">
        <v>6257</v>
      </c>
      <c r="L95" s="3316" t="s">
        <v>6258</v>
      </c>
      <c r="M95" s="3316" t="s">
        <v>6252</v>
      </c>
      <c r="N95" s="3316" t="s">
        <v>6301</v>
      </c>
      <c r="O95" s="3316" t="s">
        <v>6286</v>
      </c>
      <c r="P95" s="3316" t="s">
        <v>6302</v>
      </c>
      <c r="Q95" s="3316" t="s">
        <v>6303</v>
      </c>
      <c r="R95" s="3316" t="s">
        <v>6303</v>
      </c>
      <c r="S95" s="3316" t="s">
        <v>5800</v>
      </c>
      <c r="T95" s="3316" t="s">
        <v>6304</v>
      </c>
      <c r="U95" s="3316" t="s">
        <v>6305</v>
      </c>
      <c r="V95" s="3316">
        <v>0</v>
      </c>
      <c r="W95" s="3316">
        <v>0</v>
      </c>
      <c r="X95" s="3316">
        <v>0</v>
      </c>
      <c r="Y95" s="3316">
        <v>1529</v>
      </c>
      <c r="Z95" s="3316" t="s">
        <v>6306</v>
      </c>
      <c r="AA95" s="3316" t="s">
        <v>6303</v>
      </c>
      <c r="AB95" s="3316">
        <v>1529</v>
      </c>
      <c r="AC95" s="3316" t="s">
        <v>6273</v>
      </c>
      <c r="AD95" s="3316" t="s">
        <v>6274</v>
      </c>
      <c r="AE95" s="3316">
        <v>1529</v>
      </c>
      <c r="AF95" s="3316" t="s">
        <v>6309</v>
      </c>
      <c r="AG95" s="3316" t="s">
        <v>6264</v>
      </c>
      <c r="AH95" s="3316">
        <v>139</v>
      </c>
      <c r="AI95" s="3316">
        <v>1390</v>
      </c>
      <c r="AJ95" s="3316" t="s">
        <v>5800</v>
      </c>
      <c r="AL95" s="3316" t="s">
        <v>6507</v>
      </c>
      <c r="AM95" s="3316">
        <v>1</v>
      </c>
      <c r="AN95" s="3316">
        <v>0</v>
      </c>
      <c r="AO95" s="3316">
        <v>0</v>
      </c>
      <c r="AP95" s="3316">
        <v>0</v>
      </c>
      <c r="AQ95" s="3316" t="s">
        <v>5800</v>
      </c>
      <c r="AS95" s="3316" t="s">
        <v>6309</v>
      </c>
      <c r="AT95" s="3316" t="s">
        <v>6264</v>
      </c>
      <c r="AV95" s="3340">
        <v>0</v>
      </c>
      <c r="AW95" s="3340">
        <v>0</v>
      </c>
      <c r="AX95" s="3340">
        <v>0</v>
      </c>
      <c r="AY95" s="3340">
        <v>0</v>
      </c>
      <c r="AZ95" s="3340">
        <v>0</v>
      </c>
      <c r="BA95" s="3340">
        <v>1529</v>
      </c>
      <c r="BB95" s="3340">
        <v>1529</v>
      </c>
      <c r="BC95" s="3340">
        <v>1529</v>
      </c>
      <c r="BD95" s="3340">
        <v>0</v>
      </c>
      <c r="BE95" s="3340"/>
      <c r="BF95" s="3340">
        <v>0</v>
      </c>
      <c r="BG95" s="3340">
        <v>0</v>
      </c>
      <c r="BH95" s="3340">
        <v>0</v>
      </c>
      <c r="BI95" s="3340">
        <v>0</v>
      </c>
      <c r="BJ95" s="3340">
        <v>0</v>
      </c>
      <c r="BK95" s="3340">
        <v>1390</v>
      </c>
      <c r="BL95" s="3340">
        <v>1390</v>
      </c>
      <c r="BM95" s="3340">
        <v>1390</v>
      </c>
      <c r="BN95" s="3340"/>
      <c r="BO95" s="3340"/>
    </row>
    <row r="96" spans="1:67" s="3316" customFormat="1">
      <c r="A96" s="3316" t="s">
        <v>6252</v>
      </c>
      <c r="B96" s="3316" t="s">
        <v>6253</v>
      </c>
      <c r="C96" s="3316" t="s">
        <v>5800</v>
      </c>
      <c r="D96" s="3316" t="s">
        <v>6254</v>
      </c>
      <c r="E96" s="3316" t="s">
        <v>6255</v>
      </c>
      <c r="F96" s="3316" t="s">
        <v>6265</v>
      </c>
      <c r="G96" s="3316" t="s">
        <v>6265</v>
      </c>
      <c r="H96" s="3316" t="s">
        <v>6503</v>
      </c>
      <c r="I96" s="3316" t="s">
        <v>6299</v>
      </c>
      <c r="J96" s="3316" t="s">
        <v>6504</v>
      </c>
      <c r="K96" s="3316" t="s">
        <v>6257</v>
      </c>
      <c r="L96" s="3316" t="s">
        <v>6258</v>
      </c>
      <c r="M96" s="3316" t="s">
        <v>6252</v>
      </c>
      <c r="N96" s="3316" t="s">
        <v>6301</v>
      </c>
      <c r="O96" s="3316" t="s">
        <v>6286</v>
      </c>
      <c r="P96" s="3316" t="s">
        <v>6302</v>
      </c>
      <c r="Q96" s="3316" t="s">
        <v>6303</v>
      </c>
      <c r="R96" s="3316" t="s">
        <v>6303</v>
      </c>
      <c r="S96" s="3316" t="s">
        <v>5800</v>
      </c>
      <c r="T96" s="3316" t="s">
        <v>6304</v>
      </c>
      <c r="U96" s="3316" t="s">
        <v>6305</v>
      </c>
      <c r="V96" s="3316">
        <v>0</v>
      </c>
      <c r="W96" s="3316">
        <v>0</v>
      </c>
      <c r="X96" s="3316">
        <v>0</v>
      </c>
      <c r="Y96" s="3316">
        <v>1519</v>
      </c>
      <c r="Z96" s="3316" t="s">
        <v>6306</v>
      </c>
      <c r="AA96" s="3316" t="s">
        <v>6303</v>
      </c>
      <c r="AB96" s="3316">
        <v>1519</v>
      </c>
      <c r="AC96" s="3316" t="s">
        <v>6273</v>
      </c>
      <c r="AD96" s="3316" t="s">
        <v>6274</v>
      </c>
      <c r="AE96" s="3316">
        <v>1519</v>
      </c>
      <c r="AF96" s="3316" t="s">
        <v>6309</v>
      </c>
      <c r="AG96" s="3316" t="s">
        <v>6264</v>
      </c>
      <c r="AH96" s="3316">
        <v>149</v>
      </c>
      <c r="AI96" s="3316">
        <v>1370</v>
      </c>
      <c r="AJ96" s="3316" t="s">
        <v>5800</v>
      </c>
      <c r="AL96" s="3316" t="s">
        <v>6505</v>
      </c>
      <c r="AM96" s="3316">
        <v>1</v>
      </c>
      <c r="AN96" s="3316">
        <v>0</v>
      </c>
      <c r="AO96" s="3316">
        <v>0</v>
      </c>
      <c r="AP96" s="3316">
        <v>0</v>
      </c>
      <c r="AQ96" s="3316" t="s">
        <v>5800</v>
      </c>
      <c r="AS96" s="3316" t="s">
        <v>6309</v>
      </c>
      <c r="AT96" s="3316" t="s">
        <v>6264</v>
      </c>
      <c r="AV96" s="3340">
        <v>0</v>
      </c>
      <c r="AW96" s="3340">
        <v>0</v>
      </c>
      <c r="AX96" s="3340">
        <v>0</v>
      </c>
      <c r="AY96" s="3340">
        <v>0</v>
      </c>
      <c r="AZ96" s="3340">
        <v>0</v>
      </c>
      <c r="BA96" s="3340">
        <v>1519</v>
      </c>
      <c r="BB96" s="3340">
        <v>1519</v>
      </c>
      <c r="BC96" s="3340">
        <v>1519</v>
      </c>
      <c r="BD96" s="3340">
        <v>0</v>
      </c>
      <c r="BE96" s="3340"/>
      <c r="BF96" s="3340">
        <v>0</v>
      </c>
      <c r="BG96" s="3340">
        <v>0</v>
      </c>
      <c r="BH96" s="3340">
        <v>0</v>
      </c>
      <c r="BI96" s="3340">
        <v>0</v>
      </c>
      <c r="BJ96" s="3340">
        <v>0</v>
      </c>
      <c r="BK96" s="3340">
        <v>1381</v>
      </c>
      <c r="BL96" s="3340">
        <v>1381</v>
      </c>
      <c r="BM96" s="3340">
        <v>1381</v>
      </c>
      <c r="BN96" s="3340"/>
      <c r="BO96" s="3340"/>
    </row>
    <row r="97" spans="1:67" s="3316" customFormat="1">
      <c r="A97" s="3316" t="s">
        <v>6252</v>
      </c>
      <c r="B97" s="3316" t="s">
        <v>6253</v>
      </c>
      <c r="C97" s="3316" t="s">
        <v>5800</v>
      </c>
      <c r="D97" s="3316" t="s">
        <v>6254</v>
      </c>
      <c r="E97" s="3316" t="s">
        <v>6255</v>
      </c>
      <c r="F97" s="3316" t="s">
        <v>6268</v>
      </c>
      <c r="G97" s="3316" t="s">
        <v>6268</v>
      </c>
      <c r="H97" s="3316" t="s">
        <v>6503</v>
      </c>
      <c r="I97" s="3316" t="s">
        <v>6299</v>
      </c>
      <c r="J97" s="3316" t="s">
        <v>6508</v>
      </c>
      <c r="K97" s="3316" t="s">
        <v>6257</v>
      </c>
      <c r="L97" s="3316" t="s">
        <v>6258</v>
      </c>
      <c r="M97" s="3316" t="s">
        <v>6252</v>
      </c>
      <c r="N97" s="3316" t="s">
        <v>6301</v>
      </c>
      <c r="O97" s="3316" t="s">
        <v>6286</v>
      </c>
      <c r="P97" s="3316" t="s">
        <v>6302</v>
      </c>
      <c r="Q97" s="3316" t="s">
        <v>6303</v>
      </c>
      <c r="R97" s="3316" t="s">
        <v>6303</v>
      </c>
      <c r="S97" s="3316" t="s">
        <v>5800</v>
      </c>
      <c r="T97" s="3316" t="s">
        <v>6304</v>
      </c>
      <c r="U97" s="3316" t="s">
        <v>6305</v>
      </c>
      <c r="V97" s="3316">
        <v>0</v>
      </c>
      <c r="W97" s="3316">
        <v>0</v>
      </c>
      <c r="X97" s="3316">
        <v>0</v>
      </c>
      <c r="Y97" s="3316">
        <v>1540</v>
      </c>
      <c r="Z97" s="3316" t="s">
        <v>6306</v>
      </c>
      <c r="AA97" s="3316" t="s">
        <v>6303</v>
      </c>
      <c r="AB97" s="3316">
        <v>1540</v>
      </c>
      <c r="AC97" s="3316" t="s">
        <v>6273</v>
      </c>
      <c r="AD97" s="3316" t="s">
        <v>6274</v>
      </c>
      <c r="AE97" s="3316">
        <v>1540</v>
      </c>
      <c r="AF97" s="3316" t="s">
        <v>6309</v>
      </c>
      <c r="AG97" s="3316" t="s">
        <v>6264</v>
      </c>
      <c r="AH97" s="3316">
        <v>140</v>
      </c>
      <c r="AI97" s="3316">
        <v>1400</v>
      </c>
      <c r="AJ97" s="3316" t="s">
        <v>5800</v>
      </c>
      <c r="AL97" s="3316" t="s">
        <v>6509</v>
      </c>
      <c r="AM97" s="3316">
        <v>1</v>
      </c>
      <c r="AN97" s="3316">
        <v>0</v>
      </c>
      <c r="AO97" s="3316">
        <v>0</v>
      </c>
      <c r="AP97" s="3316">
        <v>0</v>
      </c>
      <c r="AQ97" s="3316" t="s">
        <v>5800</v>
      </c>
      <c r="AS97" s="3316" t="s">
        <v>6309</v>
      </c>
      <c r="AT97" s="3316" t="s">
        <v>6264</v>
      </c>
      <c r="AV97" s="3340">
        <v>0</v>
      </c>
      <c r="AW97" s="3340">
        <v>0</v>
      </c>
      <c r="AX97" s="3340">
        <v>0</v>
      </c>
      <c r="AY97" s="3340">
        <v>0</v>
      </c>
      <c r="AZ97" s="3340">
        <v>0</v>
      </c>
      <c r="BA97" s="3340">
        <v>1540</v>
      </c>
      <c r="BB97" s="3340">
        <v>1540</v>
      </c>
      <c r="BC97" s="3340">
        <v>1540</v>
      </c>
      <c r="BD97" s="3340">
        <v>0</v>
      </c>
      <c r="BE97" s="3340"/>
      <c r="BF97" s="3340">
        <v>0</v>
      </c>
      <c r="BG97" s="3340">
        <v>0</v>
      </c>
      <c r="BH97" s="3340">
        <v>0</v>
      </c>
      <c r="BI97" s="3340">
        <v>0</v>
      </c>
      <c r="BJ97" s="3340">
        <v>0</v>
      </c>
      <c r="BK97" s="3340">
        <v>1400</v>
      </c>
      <c r="BL97" s="3340">
        <v>1400</v>
      </c>
      <c r="BM97" s="3340">
        <v>1400</v>
      </c>
      <c r="BN97" s="3340"/>
      <c r="BO97" s="3340"/>
    </row>
    <row r="98" spans="1:67" s="3316" customFormat="1">
      <c r="A98" s="3316" t="s">
        <v>6252</v>
      </c>
      <c r="B98" s="3316" t="s">
        <v>6253</v>
      </c>
      <c r="C98" s="3316" t="s">
        <v>5800</v>
      </c>
      <c r="D98" s="3316" t="s">
        <v>6254</v>
      </c>
      <c r="E98" s="3316" t="s">
        <v>6255</v>
      </c>
      <c r="F98" s="3316" t="s">
        <v>6268</v>
      </c>
      <c r="G98" s="3316" t="s">
        <v>6268</v>
      </c>
      <c r="H98" s="3316" t="s">
        <v>6503</v>
      </c>
      <c r="I98" s="3316" t="s">
        <v>6299</v>
      </c>
      <c r="J98" s="3316" t="s">
        <v>6510</v>
      </c>
      <c r="K98" s="3316" t="s">
        <v>6257</v>
      </c>
      <c r="L98" s="3316" t="s">
        <v>6258</v>
      </c>
      <c r="M98" s="3316" t="s">
        <v>6252</v>
      </c>
      <c r="N98" s="3316" t="s">
        <v>6301</v>
      </c>
      <c r="O98" s="3316" t="s">
        <v>6286</v>
      </c>
      <c r="P98" s="3316" t="s">
        <v>6302</v>
      </c>
      <c r="Q98" s="3316" t="s">
        <v>6303</v>
      </c>
      <c r="R98" s="3316" t="s">
        <v>6303</v>
      </c>
      <c r="S98" s="3316" t="s">
        <v>5800</v>
      </c>
      <c r="T98" s="3316" t="s">
        <v>6304</v>
      </c>
      <c r="U98" s="3316" t="s">
        <v>6305</v>
      </c>
      <c r="V98" s="3316">
        <v>0</v>
      </c>
      <c r="W98" s="3316">
        <v>0</v>
      </c>
      <c r="X98" s="3316">
        <v>0</v>
      </c>
      <c r="Y98" s="3316">
        <v>10403</v>
      </c>
      <c r="Z98" s="3316" t="s">
        <v>6306</v>
      </c>
      <c r="AA98" s="3316" t="s">
        <v>6303</v>
      </c>
      <c r="AB98" s="3316">
        <v>10403</v>
      </c>
      <c r="AC98" s="3316" t="s">
        <v>6273</v>
      </c>
      <c r="AD98" s="3316" t="s">
        <v>6274</v>
      </c>
      <c r="AE98" s="3316">
        <v>10403</v>
      </c>
      <c r="AF98" s="3316" t="s">
        <v>6309</v>
      </c>
      <c r="AG98" s="3316" t="s">
        <v>6264</v>
      </c>
      <c r="AH98" s="3316">
        <v>944</v>
      </c>
      <c r="AI98" s="3316">
        <v>9459</v>
      </c>
      <c r="AJ98" s="3316" t="s">
        <v>5800</v>
      </c>
      <c r="AL98" s="3316" t="s">
        <v>6511</v>
      </c>
      <c r="AM98" s="3316">
        <v>1</v>
      </c>
      <c r="AN98" s="3316">
        <v>0</v>
      </c>
      <c r="AO98" s="3316">
        <v>0</v>
      </c>
      <c r="AP98" s="3316">
        <v>0</v>
      </c>
      <c r="AQ98" s="3316" t="s">
        <v>5800</v>
      </c>
      <c r="AS98" s="3316" t="s">
        <v>6309</v>
      </c>
      <c r="AT98" s="3316" t="s">
        <v>6264</v>
      </c>
      <c r="AV98" s="3340">
        <v>0</v>
      </c>
      <c r="AW98" s="3340">
        <v>0</v>
      </c>
      <c r="AX98" s="3340">
        <v>0</v>
      </c>
      <c r="AY98" s="3340">
        <v>0</v>
      </c>
      <c r="AZ98" s="3340">
        <v>0</v>
      </c>
      <c r="BA98" s="3340">
        <v>10403</v>
      </c>
      <c r="BB98" s="3340">
        <v>10403</v>
      </c>
      <c r="BC98" s="3340">
        <v>10403</v>
      </c>
      <c r="BD98" s="3340">
        <v>0</v>
      </c>
      <c r="BE98" s="3340"/>
      <c r="BF98" s="3340">
        <v>0</v>
      </c>
      <c r="BG98" s="3340">
        <v>0</v>
      </c>
      <c r="BH98" s="3340">
        <v>0</v>
      </c>
      <c r="BI98" s="3340">
        <v>0</v>
      </c>
      <c r="BJ98" s="3340">
        <v>0</v>
      </c>
      <c r="BK98" s="3340">
        <v>9457</v>
      </c>
      <c r="BL98" s="3340">
        <v>9457</v>
      </c>
      <c r="BM98" s="3340">
        <v>9457</v>
      </c>
      <c r="BN98" s="3340"/>
      <c r="BO98" s="3340"/>
    </row>
    <row r="99" spans="1:67" s="3316" customFormat="1">
      <c r="A99" s="3316" t="s">
        <v>6252</v>
      </c>
      <c r="B99" s="3316" t="s">
        <v>6253</v>
      </c>
      <c r="C99" s="3316" t="s">
        <v>5800</v>
      </c>
      <c r="D99" s="3316" t="s">
        <v>6254</v>
      </c>
      <c r="E99" s="3316" t="s">
        <v>6255</v>
      </c>
      <c r="F99" s="3316" t="s">
        <v>6256</v>
      </c>
      <c r="G99" s="3316" t="s">
        <v>6256</v>
      </c>
      <c r="H99" s="3316" t="s">
        <v>6503</v>
      </c>
      <c r="I99" s="3316" t="s">
        <v>6299</v>
      </c>
      <c r="J99" s="3316" t="s">
        <v>6512</v>
      </c>
      <c r="K99" s="3316" t="s">
        <v>6257</v>
      </c>
      <c r="L99" s="3316" t="s">
        <v>6258</v>
      </c>
      <c r="M99" s="3316" t="s">
        <v>6252</v>
      </c>
      <c r="N99" s="3316" t="s">
        <v>6301</v>
      </c>
      <c r="O99" s="3316" t="s">
        <v>6286</v>
      </c>
      <c r="P99" s="3316" t="s">
        <v>6302</v>
      </c>
      <c r="Q99" s="3316" t="s">
        <v>6303</v>
      </c>
      <c r="R99" s="3316" t="s">
        <v>6303</v>
      </c>
      <c r="S99" s="3316" t="s">
        <v>5800</v>
      </c>
      <c r="T99" s="3316" t="s">
        <v>6304</v>
      </c>
      <c r="U99" s="3316" t="s">
        <v>6305</v>
      </c>
      <c r="V99" s="3316">
        <v>0</v>
      </c>
      <c r="W99" s="3316">
        <v>0</v>
      </c>
      <c r="X99" s="3316">
        <v>0</v>
      </c>
      <c r="Y99" s="3316">
        <v>18931</v>
      </c>
      <c r="Z99" s="3316" t="s">
        <v>6306</v>
      </c>
      <c r="AA99" s="3316" t="s">
        <v>6303</v>
      </c>
      <c r="AB99" s="3316">
        <v>18931</v>
      </c>
      <c r="AC99" s="3316" t="s">
        <v>6273</v>
      </c>
      <c r="AD99" s="3316" t="s">
        <v>6274</v>
      </c>
      <c r="AE99" s="3316">
        <v>18931</v>
      </c>
      <c r="AF99" s="3316" t="s">
        <v>6309</v>
      </c>
      <c r="AG99" s="3316" t="s">
        <v>6264</v>
      </c>
      <c r="AH99" s="3316">
        <v>1720</v>
      </c>
      <c r="AI99" s="3316">
        <v>17211</v>
      </c>
      <c r="AJ99" s="3316" t="s">
        <v>5800</v>
      </c>
      <c r="AL99" s="3316" t="s">
        <v>6513</v>
      </c>
      <c r="AM99" s="3316">
        <v>1</v>
      </c>
      <c r="AN99" s="3316">
        <v>0</v>
      </c>
      <c r="AO99" s="3316">
        <v>0</v>
      </c>
      <c r="AP99" s="3316">
        <v>0</v>
      </c>
      <c r="AQ99" s="3316" t="s">
        <v>5800</v>
      </c>
      <c r="AS99" s="3316" t="s">
        <v>6309</v>
      </c>
      <c r="AT99" s="3316" t="s">
        <v>6264</v>
      </c>
      <c r="AV99" s="3340">
        <v>0</v>
      </c>
      <c r="AW99" s="3340">
        <v>0</v>
      </c>
      <c r="AX99" s="3340">
        <v>0</v>
      </c>
      <c r="AY99" s="3340">
        <v>0</v>
      </c>
      <c r="AZ99" s="3340">
        <v>0</v>
      </c>
      <c r="BA99" s="3340">
        <v>18931</v>
      </c>
      <c r="BB99" s="3340">
        <v>18931</v>
      </c>
      <c r="BC99" s="3340">
        <v>18931</v>
      </c>
      <c r="BD99" s="3340">
        <v>0</v>
      </c>
      <c r="BE99" s="3340"/>
      <c r="BF99" s="3340">
        <v>0</v>
      </c>
      <c r="BG99" s="3340">
        <v>0</v>
      </c>
      <c r="BH99" s="3340">
        <v>0</v>
      </c>
      <c r="BI99" s="3340">
        <v>0</v>
      </c>
      <c r="BJ99" s="3340">
        <v>0</v>
      </c>
      <c r="BK99" s="3340">
        <v>17210</v>
      </c>
      <c r="BL99" s="3340">
        <v>17210</v>
      </c>
      <c r="BM99" s="3340">
        <v>17210</v>
      </c>
      <c r="BN99" s="3340"/>
      <c r="BO99" s="3340"/>
    </row>
    <row r="100" spans="1:67" s="3316" customFormat="1">
      <c r="A100" s="3316" t="s">
        <v>6252</v>
      </c>
      <c r="B100" s="3316" t="s">
        <v>6253</v>
      </c>
      <c r="C100" s="3316" t="s">
        <v>5800</v>
      </c>
      <c r="D100" s="3316" t="s">
        <v>6254</v>
      </c>
      <c r="E100" s="3316" t="s">
        <v>6255</v>
      </c>
      <c r="F100" s="3316" t="s">
        <v>6268</v>
      </c>
      <c r="G100" s="3316" t="s">
        <v>6268</v>
      </c>
      <c r="H100" s="3316" t="s">
        <v>6514</v>
      </c>
      <c r="I100" s="3316" t="s">
        <v>6299</v>
      </c>
      <c r="J100" s="3316" t="s">
        <v>6515</v>
      </c>
      <c r="K100" s="3316" t="s">
        <v>6257</v>
      </c>
      <c r="L100" s="3316" t="s">
        <v>6258</v>
      </c>
      <c r="M100" s="3316" t="s">
        <v>6252</v>
      </c>
      <c r="N100" s="3316" t="s">
        <v>6301</v>
      </c>
      <c r="O100" s="3316" t="s">
        <v>6286</v>
      </c>
      <c r="P100" s="3316" t="s">
        <v>6302</v>
      </c>
      <c r="Q100" s="3316" t="s">
        <v>6303</v>
      </c>
      <c r="R100" s="3316" t="s">
        <v>6303</v>
      </c>
      <c r="S100" s="3316" t="s">
        <v>5800</v>
      </c>
      <c r="T100" s="3316" t="s">
        <v>6304</v>
      </c>
      <c r="U100" s="3316" t="s">
        <v>6305</v>
      </c>
      <c r="V100" s="3316">
        <v>0</v>
      </c>
      <c r="W100" s="3316">
        <v>0</v>
      </c>
      <c r="X100" s="3316">
        <v>0</v>
      </c>
      <c r="Y100" s="3316">
        <v>23778</v>
      </c>
      <c r="Z100" s="3316" t="s">
        <v>6306</v>
      </c>
      <c r="AA100" s="3316" t="s">
        <v>6303</v>
      </c>
      <c r="AB100" s="3316">
        <v>23778</v>
      </c>
      <c r="AC100" s="3316" t="s">
        <v>6273</v>
      </c>
      <c r="AD100" s="3316" t="s">
        <v>6274</v>
      </c>
      <c r="AE100" s="3316">
        <v>23778</v>
      </c>
      <c r="AF100" s="3316" t="s">
        <v>6309</v>
      </c>
      <c r="AG100" s="3316" t="s">
        <v>6264</v>
      </c>
      <c r="AH100" s="3316">
        <v>2162</v>
      </c>
      <c r="AI100" s="3316">
        <v>21616</v>
      </c>
      <c r="AJ100" s="3316" t="s">
        <v>5800</v>
      </c>
      <c r="AL100" s="3316" t="s">
        <v>6516</v>
      </c>
      <c r="AM100" s="3316">
        <v>1</v>
      </c>
      <c r="AN100" s="3316">
        <v>0</v>
      </c>
      <c r="AO100" s="3316">
        <v>0</v>
      </c>
      <c r="AP100" s="3316">
        <v>0</v>
      </c>
      <c r="AQ100" s="3316" t="s">
        <v>5800</v>
      </c>
      <c r="AS100" s="3316" t="s">
        <v>6309</v>
      </c>
      <c r="AT100" s="3316" t="s">
        <v>6264</v>
      </c>
      <c r="AV100" s="3340">
        <v>0</v>
      </c>
      <c r="AW100" s="3340">
        <v>0</v>
      </c>
      <c r="AX100" s="3340">
        <v>0</v>
      </c>
      <c r="AY100" s="3340">
        <v>0</v>
      </c>
      <c r="AZ100" s="3340">
        <v>0</v>
      </c>
      <c r="BA100" s="3340">
        <v>23778</v>
      </c>
      <c r="BB100" s="3340">
        <v>23778</v>
      </c>
      <c r="BC100" s="3340">
        <v>23778</v>
      </c>
      <c r="BD100" s="3340">
        <v>0</v>
      </c>
      <c r="BE100" s="3340"/>
      <c r="BF100" s="3340">
        <v>0</v>
      </c>
      <c r="BG100" s="3340">
        <v>0</v>
      </c>
      <c r="BH100" s="3340">
        <v>0</v>
      </c>
      <c r="BI100" s="3340">
        <v>0</v>
      </c>
      <c r="BJ100" s="3340">
        <v>0</v>
      </c>
      <c r="BK100" s="3340">
        <v>21616</v>
      </c>
      <c r="BL100" s="3340">
        <v>21616</v>
      </c>
      <c r="BM100" s="3340">
        <v>21616</v>
      </c>
      <c r="BN100" s="3340"/>
      <c r="BO100" s="3340"/>
    </row>
    <row r="101" spans="1:67" s="3316" customFormat="1">
      <c r="A101" s="3316" t="s">
        <v>6252</v>
      </c>
      <c r="B101" s="3316" t="s">
        <v>6253</v>
      </c>
      <c r="C101" s="3316" t="s">
        <v>5800</v>
      </c>
      <c r="D101" s="3316" t="s">
        <v>6254</v>
      </c>
      <c r="E101" s="3316" t="s">
        <v>6255</v>
      </c>
      <c r="F101" s="3316" t="s">
        <v>6268</v>
      </c>
      <c r="G101" s="3316" t="s">
        <v>6268</v>
      </c>
      <c r="H101" s="3316" t="s">
        <v>6517</v>
      </c>
      <c r="I101" s="3316" t="s">
        <v>6299</v>
      </c>
      <c r="J101" s="3316" t="s">
        <v>6518</v>
      </c>
      <c r="K101" s="3316" t="s">
        <v>6257</v>
      </c>
      <c r="L101" s="3316" t="s">
        <v>6258</v>
      </c>
      <c r="M101" s="3316" t="s">
        <v>6252</v>
      </c>
      <c r="N101" s="3316" t="s">
        <v>6301</v>
      </c>
      <c r="O101" s="3316" t="s">
        <v>6286</v>
      </c>
      <c r="P101" s="3316" t="s">
        <v>6302</v>
      </c>
      <c r="Q101" s="3316" t="s">
        <v>6303</v>
      </c>
      <c r="R101" s="3316" t="s">
        <v>6303</v>
      </c>
      <c r="S101" s="3316" t="s">
        <v>5800</v>
      </c>
      <c r="T101" s="3316" t="s">
        <v>6304</v>
      </c>
      <c r="U101" s="3316" t="s">
        <v>6305</v>
      </c>
      <c r="V101" s="3316">
        <v>0</v>
      </c>
      <c r="W101" s="3316">
        <v>0</v>
      </c>
      <c r="X101" s="3316">
        <v>0</v>
      </c>
      <c r="Y101" s="3316">
        <v>3822</v>
      </c>
      <c r="Z101" s="3316" t="s">
        <v>6306</v>
      </c>
      <c r="AA101" s="3316" t="s">
        <v>6303</v>
      </c>
      <c r="AB101" s="3316">
        <v>3822</v>
      </c>
      <c r="AC101" s="3316" t="s">
        <v>6273</v>
      </c>
      <c r="AD101" s="3316" t="s">
        <v>6274</v>
      </c>
      <c r="AE101" s="3316">
        <v>3822</v>
      </c>
      <c r="AF101" s="3316" t="s">
        <v>6309</v>
      </c>
      <c r="AG101" s="3316" t="s">
        <v>6264</v>
      </c>
      <c r="AH101" s="3316">
        <v>347</v>
      </c>
      <c r="AI101" s="3316">
        <v>3475</v>
      </c>
      <c r="AJ101" s="3316" t="s">
        <v>5800</v>
      </c>
      <c r="AL101" s="3316" t="s">
        <v>6519</v>
      </c>
      <c r="AM101" s="3316">
        <v>1</v>
      </c>
      <c r="AN101" s="3316">
        <v>0</v>
      </c>
      <c r="AO101" s="3316">
        <v>0</v>
      </c>
      <c r="AP101" s="3316">
        <v>0</v>
      </c>
      <c r="AQ101" s="3316" t="s">
        <v>5800</v>
      </c>
      <c r="AS101" s="3316" t="s">
        <v>6309</v>
      </c>
      <c r="AT101" s="3316" t="s">
        <v>6264</v>
      </c>
      <c r="AV101" s="3340">
        <v>0</v>
      </c>
      <c r="AW101" s="3340">
        <v>0</v>
      </c>
      <c r="AX101" s="3340">
        <v>0</v>
      </c>
      <c r="AY101" s="3340">
        <v>0</v>
      </c>
      <c r="AZ101" s="3340">
        <v>0</v>
      </c>
      <c r="BA101" s="3340">
        <v>3822</v>
      </c>
      <c r="BB101" s="3340">
        <v>3822</v>
      </c>
      <c r="BC101" s="3340">
        <v>3822</v>
      </c>
      <c r="BD101" s="3340">
        <v>0</v>
      </c>
      <c r="BE101" s="3340"/>
      <c r="BF101" s="3340">
        <v>0</v>
      </c>
      <c r="BG101" s="3340">
        <v>0</v>
      </c>
      <c r="BH101" s="3340">
        <v>0</v>
      </c>
      <c r="BI101" s="3340">
        <v>0</v>
      </c>
      <c r="BJ101" s="3340">
        <v>0</v>
      </c>
      <c r="BK101" s="3340">
        <v>3475</v>
      </c>
      <c r="BL101" s="3340">
        <v>3475</v>
      </c>
      <c r="BM101" s="3340">
        <v>3475</v>
      </c>
      <c r="BN101" s="3340"/>
      <c r="BO101" s="3340"/>
    </row>
    <row r="102" spans="1:67" s="3316" customFormat="1">
      <c r="A102" s="3316" t="s">
        <v>6252</v>
      </c>
      <c r="B102" s="3316" t="s">
        <v>6253</v>
      </c>
      <c r="C102" s="3316" t="s">
        <v>5800</v>
      </c>
      <c r="D102" s="3316" t="s">
        <v>6254</v>
      </c>
      <c r="E102" s="3316" t="s">
        <v>6255</v>
      </c>
      <c r="F102" s="3316" t="s">
        <v>6268</v>
      </c>
      <c r="G102" s="3316" t="s">
        <v>6268</v>
      </c>
      <c r="H102" s="3316" t="s">
        <v>6520</v>
      </c>
      <c r="I102" s="3316" t="s">
        <v>6299</v>
      </c>
      <c r="J102" s="3316" t="s">
        <v>6521</v>
      </c>
      <c r="K102" s="3316" t="s">
        <v>6257</v>
      </c>
      <c r="L102" s="3316" t="s">
        <v>6258</v>
      </c>
      <c r="M102" s="3316" t="s">
        <v>6252</v>
      </c>
      <c r="N102" s="3316" t="s">
        <v>6301</v>
      </c>
      <c r="O102" s="3316" t="s">
        <v>6286</v>
      </c>
      <c r="P102" s="3316" t="s">
        <v>6302</v>
      </c>
      <c r="Q102" s="3316" t="s">
        <v>6303</v>
      </c>
      <c r="R102" s="3316" t="s">
        <v>6303</v>
      </c>
      <c r="S102" s="3316" t="s">
        <v>5800</v>
      </c>
      <c r="T102" s="3316" t="s">
        <v>6304</v>
      </c>
      <c r="U102" s="3316" t="s">
        <v>6305</v>
      </c>
      <c r="V102" s="3316">
        <v>0</v>
      </c>
      <c r="W102" s="3316">
        <v>0</v>
      </c>
      <c r="X102" s="3316">
        <v>0</v>
      </c>
      <c r="Y102" s="3316">
        <v>286529</v>
      </c>
      <c r="Z102" s="3316" t="s">
        <v>6306</v>
      </c>
      <c r="AA102" s="3316" t="s">
        <v>6303</v>
      </c>
      <c r="AB102" s="3316">
        <v>286529</v>
      </c>
      <c r="AC102" s="3316" t="s">
        <v>6273</v>
      </c>
      <c r="AD102" s="3316" t="s">
        <v>6274</v>
      </c>
      <c r="AE102" s="3316">
        <v>286529</v>
      </c>
      <c r="AF102" s="3316" t="s">
        <v>6309</v>
      </c>
      <c r="AG102" s="3316" t="s">
        <v>6264</v>
      </c>
      <c r="AH102" s="3316">
        <v>26048</v>
      </c>
      <c r="AI102" s="3316">
        <v>260481</v>
      </c>
      <c r="AJ102" s="3316" t="s">
        <v>5800</v>
      </c>
      <c r="AL102" s="3316" t="s">
        <v>6522</v>
      </c>
      <c r="AM102" s="3316">
        <v>1</v>
      </c>
      <c r="AN102" s="3316">
        <v>0</v>
      </c>
      <c r="AO102" s="3316">
        <v>0</v>
      </c>
      <c r="AP102" s="3316">
        <v>0</v>
      </c>
      <c r="AQ102" s="3316" t="s">
        <v>5800</v>
      </c>
      <c r="AS102" s="3316" t="s">
        <v>6309</v>
      </c>
      <c r="AT102" s="3316" t="s">
        <v>6264</v>
      </c>
      <c r="AV102" s="3340">
        <v>0</v>
      </c>
      <c r="AW102" s="3340">
        <v>0</v>
      </c>
      <c r="AX102" s="3340">
        <v>0</v>
      </c>
      <c r="AY102" s="3340">
        <v>0</v>
      </c>
      <c r="AZ102" s="3340">
        <v>0</v>
      </c>
      <c r="BA102" s="3340">
        <v>286529</v>
      </c>
      <c r="BB102" s="3340">
        <v>286529</v>
      </c>
      <c r="BC102" s="3340">
        <v>286529</v>
      </c>
      <c r="BD102" s="3340">
        <v>0</v>
      </c>
      <c r="BE102" s="3340"/>
      <c r="BF102" s="3340">
        <v>0</v>
      </c>
      <c r="BG102" s="3340">
        <v>0</v>
      </c>
      <c r="BH102" s="3340">
        <v>0</v>
      </c>
      <c r="BI102" s="3340">
        <v>0</v>
      </c>
      <c r="BJ102" s="3340">
        <v>0</v>
      </c>
      <c r="BK102" s="3340">
        <v>260481</v>
      </c>
      <c r="BL102" s="3340">
        <v>260481</v>
      </c>
      <c r="BM102" s="3340">
        <v>260481</v>
      </c>
      <c r="BN102" s="3340"/>
      <c r="BO102" s="3340"/>
    </row>
    <row r="103" spans="1:67" s="3316" customFormat="1">
      <c r="A103" s="3316" t="s">
        <v>6252</v>
      </c>
      <c r="B103" s="3316" t="s">
        <v>6253</v>
      </c>
      <c r="C103" s="3316" t="s">
        <v>5800</v>
      </c>
      <c r="D103" s="3316" t="s">
        <v>6254</v>
      </c>
      <c r="E103" s="3316" t="s">
        <v>6255</v>
      </c>
      <c r="F103" s="3316" t="s">
        <v>6268</v>
      </c>
      <c r="G103" s="3316" t="s">
        <v>6268</v>
      </c>
      <c r="H103" s="3316" t="s">
        <v>6520</v>
      </c>
      <c r="I103" s="3316" t="s">
        <v>6299</v>
      </c>
      <c r="J103" s="3316" t="s">
        <v>6523</v>
      </c>
      <c r="K103" s="3316" t="s">
        <v>6257</v>
      </c>
      <c r="L103" s="3316" t="s">
        <v>6258</v>
      </c>
      <c r="M103" s="3316" t="s">
        <v>6252</v>
      </c>
      <c r="N103" s="3316" t="s">
        <v>6301</v>
      </c>
      <c r="O103" s="3316" t="s">
        <v>6286</v>
      </c>
      <c r="P103" s="3316" t="s">
        <v>6302</v>
      </c>
      <c r="Q103" s="3316" t="s">
        <v>6303</v>
      </c>
      <c r="R103" s="3316" t="s">
        <v>6303</v>
      </c>
      <c r="S103" s="3316" t="s">
        <v>5800</v>
      </c>
      <c r="T103" s="3316" t="s">
        <v>6304</v>
      </c>
      <c r="U103" s="3316" t="s">
        <v>6305</v>
      </c>
      <c r="V103" s="3316">
        <v>0</v>
      </c>
      <c r="W103" s="3316">
        <v>0</v>
      </c>
      <c r="X103" s="3316">
        <v>0</v>
      </c>
      <c r="Y103" s="3316">
        <v>647067</v>
      </c>
      <c r="Z103" s="3316" t="s">
        <v>6306</v>
      </c>
      <c r="AA103" s="3316" t="s">
        <v>6303</v>
      </c>
      <c r="AB103" s="3316">
        <v>647067</v>
      </c>
      <c r="AC103" s="3316" t="s">
        <v>6273</v>
      </c>
      <c r="AD103" s="3316" t="s">
        <v>6274</v>
      </c>
      <c r="AE103" s="3316">
        <v>647067</v>
      </c>
      <c r="AF103" s="3316" t="s">
        <v>6309</v>
      </c>
      <c r="AG103" s="3316" t="s">
        <v>6264</v>
      </c>
      <c r="AH103" s="3316">
        <v>58850</v>
      </c>
      <c r="AI103" s="3316">
        <v>588217</v>
      </c>
      <c r="AJ103" s="3316" t="s">
        <v>5800</v>
      </c>
      <c r="AL103" s="3316" t="s">
        <v>6524</v>
      </c>
      <c r="AM103" s="3316">
        <v>1</v>
      </c>
      <c r="AN103" s="3316">
        <v>0</v>
      </c>
      <c r="AO103" s="3316">
        <v>0</v>
      </c>
      <c r="AP103" s="3316">
        <v>0</v>
      </c>
      <c r="AQ103" s="3316" t="s">
        <v>5800</v>
      </c>
      <c r="AS103" s="3316" t="s">
        <v>6309</v>
      </c>
      <c r="AT103" s="3316" t="s">
        <v>6264</v>
      </c>
      <c r="AV103" s="3340">
        <v>0</v>
      </c>
      <c r="AW103" s="3340">
        <v>0</v>
      </c>
      <c r="AX103" s="3340">
        <v>0</v>
      </c>
      <c r="AY103" s="3340">
        <v>0</v>
      </c>
      <c r="AZ103" s="3340">
        <v>0</v>
      </c>
      <c r="BA103" s="3340">
        <v>647067</v>
      </c>
      <c r="BB103" s="3340">
        <v>647067</v>
      </c>
      <c r="BC103" s="3340">
        <v>647067</v>
      </c>
      <c r="BD103" s="3340">
        <v>0</v>
      </c>
      <c r="BE103" s="3340"/>
      <c r="BF103" s="3340">
        <v>0</v>
      </c>
      <c r="BG103" s="3340">
        <v>0</v>
      </c>
      <c r="BH103" s="3340">
        <v>0</v>
      </c>
      <c r="BI103" s="3340">
        <v>0</v>
      </c>
      <c r="BJ103" s="3340">
        <v>0</v>
      </c>
      <c r="BK103" s="3340">
        <v>588243</v>
      </c>
      <c r="BL103" s="3340">
        <v>588243</v>
      </c>
      <c r="BM103" s="3340">
        <v>588243</v>
      </c>
      <c r="BN103" s="3340"/>
      <c r="BO103" s="3340"/>
    </row>
    <row r="104" spans="1:67" s="3316" customFormat="1">
      <c r="A104" s="3316" t="s">
        <v>6252</v>
      </c>
      <c r="B104" s="3316" t="s">
        <v>6253</v>
      </c>
      <c r="C104" s="3316" t="s">
        <v>5800</v>
      </c>
      <c r="D104" s="3316" t="s">
        <v>6254</v>
      </c>
      <c r="E104" s="3316" t="s">
        <v>6255</v>
      </c>
      <c r="F104" s="3316" t="s">
        <v>6268</v>
      </c>
      <c r="G104" s="3316" t="s">
        <v>6268</v>
      </c>
      <c r="H104" s="3316" t="s">
        <v>6525</v>
      </c>
      <c r="I104" s="3316" t="s">
        <v>6299</v>
      </c>
      <c r="J104" s="3316" t="s">
        <v>6526</v>
      </c>
      <c r="K104" s="3316" t="s">
        <v>6257</v>
      </c>
      <c r="L104" s="3316" t="s">
        <v>6258</v>
      </c>
      <c r="M104" s="3316" t="s">
        <v>6252</v>
      </c>
      <c r="N104" s="3316" t="s">
        <v>6301</v>
      </c>
      <c r="O104" s="3316" t="s">
        <v>6286</v>
      </c>
      <c r="P104" s="3316" t="s">
        <v>6302</v>
      </c>
      <c r="Q104" s="3316" t="s">
        <v>6303</v>
      </c>
      <c r="R104" s="3316" t="s">
        <v>6303</v>
      </c>
      <c r="S104" s="3316" t="s">
        <v>5800</v>
      </c>
      <c r="T104" s="3316" t="s">
        <v>6304</v>
      </c>
      <c r="U104" s="3316" t="s">
        <v>6305</v>
      </c>
      <c r="V104" s="3316">
        <v>0</v>
      </c>
      <c r="W104" s="3316">
        <v>0</v>
      </c>
      <c r="X104" s="3316">
        <v>0</v>
      </c>
      <c r="Y104" s="3316">
        <v>27024</v>
      </c>
      <c r="Z104" s="3316" t="s">
        <v>6306</v>
      </c>
      <c r="AA104" s="3316" t="s">
        <v>6303</v>
      </c>
      <c r="AB104" s="3316">
        <v>27024</v>
      </c>
      <c r="AC104" s="3316" t="s">
        <v>6273</v>
      </c>
      <c r="AD104" s="3316" t="s">
        <v>6274</v>
      </c>
      <c r="AE104" s="3316">
        <v>27024</v>
      </c>
      <c r="AF104" s="3316" t="s">
        <v>6309</v>
      </c>
      <c r="AG104" s="3316" t="s">
        <v>6264</v>
      </c>
      <c r="AH104" s="3316">
        <v>2456</v>
      </c>
      <c r="AI104" s="3316">
        <v>24568</v>
      </c>
      <c r="AJ104" s="3316" t="s">
        <v>5800</v>
      </c>
      <c r="AL104" s="3316" t="s">
        <v>6527</v>
      </c>
      <c r="AM104" s="3316">
        <v>1</v>
      </c>
      <c r="AN104" s="3316">
        <v>0</v>
      </c>
      <c r="AO104" s="3316">
        <v>0</v>
      </c>
      <c r="AP104" s="3316">
        <v>0</v>
      </c>
      <c r="AQ104" s="3316" t="s">
        <v>5800</v>
      </c>
      <c r="AS104" s="3316" t="s">
        <v>6309</v>
      </c>
      <c r="AT104" s="3316" t="s">
        <v>6264</v>
      </c>
      <c r="AV104" s="3340">
        <v>0</v>
      </c>
      <c r="AW104" s="3340">
        <v>0</v>
      </c>
      <c r="AX104" s="3340">
        <v>0</v>
      </c>
      <c r="AY104" s="3340">
        <v>0</v>
      </c>
      <c r="AZ104" s="3340">
        <v>0</v>
      </c>
      <c r="BA104" s="3340">
        <v>27024</v>
      </c>
      <c r="BB104" s="3340">
        <v>27024</v>
      </c>
      <c r="BC104" s="3340">
        <v>27024</v>
      </c>
      <c r="BD104" s="3340">
        <v>0</v>
      </c>
      <c r="BE104" s="3340"/>
      <c r="BF104" s="3340">
        <v>0</v>
      </c>
      <c r="BG104" s="3340">
        <v>0</v>
      </c>
      <c r="BH104" s="3340">
        <v>0</v>
      </c>
      <c r="BI104" s="3340">
        <v>0</v>
      </c>
      <c r="BJ104" s="3340">
        <v>0</v>
      </c>
      <c r="BK104" s="3340">
        <v>24567</v>
      </c>
      <c r="BL104" s="3340">
        <v>24567</v>
      </c>
      <c r="BM104" s="3340">
        <v>24567</v>
      </c>
      <c r="BN104" s="3340"/>
      <c r="BO104" s="3340"/>
    </row>
    <row r="105" spans="1:67" s="3316" customFormat="1">
      <c r="A105" s="3316" t="s">
        <v>6252</v>
      </c>
      <c r="B105" s="3316" t="s">
        <v>6253</v>
      </c>
      <c r="C105" s="3316" t="s">
        <v>5800</v>
      </c>
      <c r="D105" s="3316" t="s">
        <v>6254</v>
      </c>
      <c r="E105" s="3316" t="s">
        <v>6255</v>
      </c>
      <c r="F105" s="3316" t="s">
        <v>6279</v>
      </c>
      <c r="G105" s="3316" t="s">
        <v>6279</v>
      </c>
      <c r="H105" s="3316" t="s">
        <v>6528</v>
      </c>
      <c r="I105" s="3316" t="s">
        <v>6299</v>
      </c>
      <c r="J105" s="3316" t="s">
        <v>6529</v>
      </c>
      <c r="K105" s="3316" t="s">
        <v>6257</v>
      </c>
      <c r="L105" s="3316" t="s">
        <v>6258</v>
      </c>
      <c r="M105" s="3316" t="s">
        <v>6252</v>
      </c>
      <c r="N105" s="3316" t="s">
        <v>6301</v>
      </c>
      <c r="O105" s="3316" t="s">
        <v>6286</v>
      </c>
      <c r="P105" s="3316" t="s">
        <v>6302</v>
      </c>
      <c r="Q105" s="3316" t="s">
        <v>6303</v>
      </c>
      <c r="R105" s="3316" t="s">
        <v>6303</v>
      </c>
      <c r="S105" s="3316" t="s">
        <v>5800</v>
      </c>
      <c r="T105" s="3316" t="s">
        <v>6304</v>
      </c>
      <c r="U105" s="3316" t="s">
        <v>6305</v>
      </c>
      <c r="V105" s="3316">
        <v>0</v>
      </c>
      <c r="W105" s="3316">
        <v>0</v>
      </c>
      <c r="X105" s="3316">
        <v>0</v>
      </c>
      <c r="Y105" s="3316">
        <v>268951</v>
      </c>
      <c r="Z105" s="3316" t="s">
        <v>6306</v>
      </c>
      <c r="AA105" s="3316" t="s">
        <v>6303</v>
      </c>
      <c r="AB105" s="3316">
        <v>268951</v>
      </c>
      <c r="AC105" s="3316" t="s">
        <v>6273</v>
      </c>
      <c r="AD105" s="3316" t="s">
        <v>6274</v>
      </c>
      <c r="AE105" s="3316">
        <v>268951</v>
      </c>
      <c r="AF105" s="3316" t="s">
        <v>6309</v>
      </c>
      <c r="AG105" s="3316" t="s">
        <v>6264</v>
      </c>
      <c r="AH105" s="3316">
        <v>24446</v>
      </c>
      <c r="AI105" s="3316">
        <v>244505</v>
      </c>
      <c r="AJ105" s="3316" t="s">
        <v>5800</v>
      </c>
      <c r="AL105" s="3316" t="s">
        <v>6530</v>
      </c>
      <c r="AM105" s="3316">
        <v>1</v>
      </c>
      <c r="AN105" s="3316">
        <v>0</v>
      </c>
      <c r="AO105" s="3316">
        <v>0</v>
      </c>
      <c r="AP105" s="3316">
        <v>0</v>
      </c>
      <c r="AQ105" s="3316" t="s">
        <v>5800</v>
      </c>
      <c r="AS105" s="3316" t="s">
        <v>6309</v>
      </c>
      <c r="AT105" s="3316" t="s">
        <v>6264</v>
      </c>
      <c r="AV105" s="3340">
        <v>0</v>
      </c>
      <c r="AW105" s="3340">
        <v>0</v>
      </c>
      <c r="AX105" s="3340">
        <v>0</v>
      </c>
      <c r="AY105" s="3340">
        <v>0</v>
      </c>
      <c r="AZ105" s="3340">
        <v>0</v>
      </c>
      <c r="BA105" s="3340">
        <v>268951</v>
      </c>
      <c r="BB105" s="3340">
        <v>268951</v>
      </c>
      <c r="BC105" s="3340">
        <v>268951</v>
      </c>
      <c r="BD105" s="3340">
        <v>0</v>
      </c>
      <c r="BE105" s="3340"/>
      <c r="BF105" s="3340">
        <v>0</v>
      </c>
      <c r="BG105" s="3340">
        <v>0</v>
      </c>
      <c r="BH105" s="3340">
        <v>0</v>
      </c>
      <c r="BI105" s="3340">
        <v>0</v>
      </c>
      <c r="BJ105" s="3340">
        <v>0</v>
      </c>
      <c r="BK105" s="3340">
        <v>244501</v>
      </c>
      <c r="BL105" s="3340">
        <v>244501</v>
      </c>
      <c r="BM105" s="3340">
        <v>244501</v>
      </c>
      <c r="BN105" s="3340"/>
      <c r="BO105" s="3340"/>
    </row>
    <row r="106" spans="1:67" s="3316" customFormat="1">
      <c r="A106" s="3316" t="s">
        <v>6252</v>
      </c>
      <c r="B106" s="3316" t="s">
        <v>6253</v>
      </c>
      <c r="C106" s="3316" t="s">
        <v>5800</v>
      </c>
      <c r="D106" s="3316" t="s">
        <v>6254</v>
      </c>
      <c r="E106" s="3316" t="s">
        <v>6255</v>
      </c>
      <c r="F106" s="3316" t="s">
        <v>6268</v>
      </c>
      <c r="G106" s="3316" t="s">
        <v>6268</v>
      </c>
      <c r="H106" s="3316" t="s">
        <v>6531</v>
      </c>
      <c r="I106" s="3316" t="s">
        <v>6299</v>
      </c>
      <c r="J106" s="3316" t="s">
        <v>6532</v>
      </c>
      <c r="K106" s="3316" t="s">
        <v>6257</v>
      </c>
      <c r="L106" s="3316" t="s">
        <v>6258</v>
      </c>
      <c r="M106" s="3316" t="s">
        <v>6252</v>
      </c>
      <c r="N106" s="3316" t="s">
        <v>6301</v>
      </c>
      <c r="O106" s="3316" t="s">
        <v>6286</v>
      </c>
      <c r="P106" s="3316" t="s">
        <v>6302</v>
      </c>
      <c r="Q106" s="3316" t="s">
        <v>6303</v>
      </c>
      <c r="R106" s="3316" t="s">
        <v>6303</v>
      </c>
      <c r="S106" s="3316" t="s">
        <v>5800</v>
      </c>
      <c r="T106" s="3316" t="s">
        <v>6304</v>
      </c>
      <c r="U106" s="3316" t="s">
        <v>6305</v>
      </c>
      <c r="V106" s="3316">
        <v>0</v>
      </c>
      <c r="W106" s="3316">
        <v>0</v>
      </c>
      <c r="X106" s="3316">
        <v>0</v>
      </c>
      <c r="Y106" s="3316">
        <v>41653</v>
      </c>
      <c r="Z106" s="3316" t="s">
        <v>6306</v>
      </c>
      <c r="AA106" s="3316" t="s">
        <v>6303</v>
      </c>
      <c r="AB106" s="3316">
        <v>41653</v>
      </c>
      <c r="AC106" s="3316" t="s">
        <v>6273</v>
      </c>
      <c r="AD106" s="3316" t="s">
        <v>6274</v>
      </c>
      <c r="AE106" s="3316">
        <v>41653</v>
      </c>
      <c r="AF106" s="3316" t="s">
        <v>6309</v>
      </c>
      <c r="AG106" s="3316" t="s">
        <v>6264</v>
      </c>
      <c r="AH106" s="3316">
        <v>3785</v>
      </c>
      <c r="AI106" s="3316">
        <v>37868</v>
      </c>
      <c r="AJ106" s="3316" t="s">
        <v>5800</v>
      </c>
      <c r="AL106" s="3316" t="s">
        <v>6533</v>
      </c>
      <c r="AM106" s="3316">
        <v>1</v>
      </c>
      <c r="AN106" s="3316">
        <v>0</v>
      </c>
      <c r="AO106" s="3316">
        <v>0</v>
      </c>
      <c r="AP106" s="3316">
        <v>0</v>
      </c>
      <c r="AQ106" s="3316" t="s">
        <v>5800</v>
      </c>
      <c r="AS106" s="3316" t="s">
        <v>6309</v>
      </c>
      <c r="AT106" s="3316" t="s">
        <v>6264</v>
      </c>
      <c r="AV106" s="3340">
        <v>0</v>
      </c>
      <c r="AW106" s="3340">
        <v>0</v>
      </c>
      <c r="AX106" s="3340">
        <v>0</v>
      </c>
      <c r="AY106" s="3340">
        <v>0</v>
      </c>
      <c r="AZ106" s="3340">
        <v>0</v>
      </c>
      <c r="BA106" s="3340">
        <v>41653</v>
      </c>
      <c r="BB106" s="3340">
        <v>41653</v>
      </c>
      <c r="BC106" s="3340">
        <v>41653</v>
      </c>
      <c r="BD106" s="3340">
        <v>0</v>
      </c>
      <c r="BE106" s="3340"/>
      <c r="BF106" s="3340">
        <v>0</v>
      </c>
      <c r="BG106" s="3340">
        <v>0</v>
      </c>
      <c r="BH106" s="3340">
        <v>0</v>
      </c>
      <c r="BI106" s="3340">
        <v>0</v>
      </c>
      <c r="BJ106" s="3340">
        <v>0</v>
      </c>
      <c r="BK106" s="3340">
        <v>37866</v>
      </c>
      <c r="BL106" s="3340">
        <v>37866</v>
      </c>
      <c r="BM106" s="3340">
        <v>37866</v>
      </c>
      <c r="BN106" s="3340"/>
      <c r="BO106" s="3340"/>
    </row>
    <row r="107" spans="1:67" s="3316" customFormat="1">
      <c r="A107" s="3316" t="s">
        <v>6252</v>
      </c>
      <c r="B107" s="3316" t="s">
        <v>6253</v>
      </c>
      <c r="C107" s="3316" t="s">
        <v>5800</v>
      </c>
      <c r="D107" s="3316" t="s">
        <v>6254</v>
      </c>
      <c r="E107" s="3316" t="s">
        <v>6255</v>
      </c>
      <c r="F107" s="3316" t="s">
        <v>6268</v>
      </c>
      <c r="G107" s="3316" t="s">
        <v>6268</v>
      </c>
      <c r="H107" s="3316" t="s">
        <v>6531</v>
      </c>
      <c r="I107" s="3316" t="s">
        <v>6299</v>
      </c>
      <c r="J107" s="3316" t="s">
        <v>6534</v>
      </c>
      <c r="K107" s="3316" t="s">
        <v>6257</v>
      </c>
      <c r="L107" s="3316" t="s">
        <v>6258</v>
      </c>
      <c r="M107" s="3316" t="s">
        <v>6252</v>
      </c>
      <c r="N107" s="3316" t="s">
        <v>6301</v>
      </c>
      <c r="O107" s="3316" t="s">
        <v>6286</v>
      </c>
      <c r="P107" s="3316" t="s">
        <v>6302</v>
      </c>
      <c r="Q107" s="3316" t="s">
        <v>6303</v>
      </c>
      <c r="R107" s="3316" t="s">
        <v>6303</v>
      </c>
      <c r="S107" s="3316" t="s">
        <v>5800</v>
      </c>
      <c r="T107" s="3316" t="s">
        <v>6304</v>
      </c>
      <c r="U107" s="3316" t="s">
        <v>6305</v>
      </c>
      <c r="V107" s="3316">
        <v>0</v>
      </c>
      <c r="W107" s="3316">
        <v>0</v>
      </c>
      <c r="X107" s="3316">
        <v>0</v>
      </c>
      <c r="Y107" s="3316">
        <v>2940580</v>
      </c>
      <c r="Z107" s="3316" t="s">
        <v>6306</v>
      </c>
      <c r="AA107" s="3316" t="s">
        <v>6303</v>
      </c>
      <c r="AB107" s="3316">
        <v>2940580</v>
      </c>
      <c r="AC107" s="3316" t="s">
        <v>6273</v>
      </c>
      <c r="AD107" s="3316" t="s">
        <v>6274</v>
      </c>
      <c r="AE107" s="3316">
        <v>2940580</v>
      </c>
      <c r="AF107" s="3316" t="s">
        <v>6309</v>
      </c>
      <c r="AG107" s="3316" t="s">
        <v>6264</v>
      </c>
      <c r="AH107" s="3316">
        <v>267323</v>
      </c>
      <c r="AI107" s="3316">
        <v>2673257</v>
      </c>
      <c r="AJ107" s="3316" t="s">
        <v>5800</v>
      </c>
      <c r="AL107" s="3316" t="s">
        <v>6535</v>
      </c>
      <c r="AM107" s="3316">
        <v>1</v>
      </c>
      <c r="AN107" s="3316">
        <v>0</v>
      </c>
      <c r="AO107" s="3316">
        <v>0</v>
      </c>
      <c r="AP107" s="3316">
        <v>0</v>
      </c>
      <c r="AQ107" s="3316" t="s">
        <v>5800</v>
      </c>
      <c r="AS107" s="3316" t="s">
        <v>6309</v>
      </c>
      <c r="AT107" s="3316" t="s">
        <v>6264</v>
      </c>
      <c r="AV107" s="3340">
        <v>0</v>
      </c>
      <c r="AW107" s="3340">
        <v>0</v>
      </c>
      <c r="AX107" s="3340">
        <v>0</v>
      </c>
      <c r="AY107" s="3340">
        <v>0</v>
      </c>
      <c r="AZ107" s="3340">
        <v>0</v>
      </c>
      <c r="BA107" s="3340">
        <v>2940580</v>
      </c>
      <c r="BB107" s="3340">
        <v>2940580</v>
      </c>
      <c r="BC107" s="3340">
        <v>2940580</v>
      </c>
      <c r="BD107" s="3340">
        <v>0</v>
      </c>
      <c r="BE107" s="3340"/>
      <c r="BF107" s="3340">
        <v>0</v>
      </c>
      <c r="BG107" s="3340">
        <v>0</v>
      </c>
      <c r="BH107" s="3340">
        <v>0</v>
      </c>
      <c r="BI107" s="3340">
        <v>0</v>
      </c>
      <c r="BJ107" s="3340">
        <v>0</v>
      </c>
      <c r="BK107" s="3340">
        <v>2673254</v>
      </c>
      <c r="BL107" s="3340">
        <v>2673254</v>
      </c>
      <c r="BM107" s="3340">
        <v>2673254</v>
      </c>
      <c r="BN107" s="3340"/>
      <c r="BO107" s="3340"/>
    </row>
    <row r="108" spans="1:67" s="3316" customFormat="1">
      <c r="A108" s="3316" t="s">
        <v>6252</v>
      </c>
      <c r="B108" s="3316" t="s">
        <v>6253</v>
      </c>
      <c r="C108" s="3316" t="s">
        <v>5800</v>
      </c>
      <c r="D108" s="3316" t="s">
        <v>6254</v>
      </c>
      <c r="E108" s="3316" t="s">
        <v>6255</v>
      </c>
      <c r="F108" s="3316" t="s">
        <v>6256</v>
      </c>
      <c r="G108" s="3316" t="s">
        <v>6256</v>
      </c>
      <c r="H108" s="3316" t="s">
        <v>6536</v>
      </c>
      <c r="I108" s="3316" t="s">
        <v>6299</v>
      </c>
      <c r="J108" s="3316" t="s">
        <v>6537</v>
      </c>
      <c r="K108" s="3316" t="s">
        <v>6257</v>
      </c>
      <c r="L108" s="3316" t="s">
        <v>6258</v>
      </c>
      <c r="M108" s="3316" t="s">
        <v>6252</v>
      </c>
      <c r="N108" s="3316" t="s">
        <v>6301</v>
      </c>
      <c r="O108" s="3316" t="s">
        <v>6286</v>
      </c>
      <c r="P108" s="3316" t="s">
        <v>6302</v>
      </c>
      <c r="Q108" s="3316" t="s">
        <v>6303</v>
      </c>
      <c r="R108" s="3316" t="s">
        <v>6303</v>
      </c>
      <c r="S108" s="3316" t="s">
        <v>5800</v>
      </c>
      <c r="T108" s="3316" t="s">
        <v>6304</v>
      </c>
      <c r="U108" s="3316" t="s">
        <v>6305</v>
      </c>
      <c r="V108" s="3316">
        <v>0</v>
      </c>
      <c r="W108" s="3316">
        <v>0</v>
      </c>
      <c r="X108" s="3316">
        <v>0</v>
      </c>
      <c r="Y108" s="3316">
        <v>24551</v>
      </c>
      <c r="Z108" s="3316" t="s">
        <v>6306</v>
      </c>
      <c r="AA108" s="3316" t="s">
        <v>6303</v>
      </c>
      <c r="AB108" s="3316">
        <v>24551</v>
      </c>
      <c r="AC108" s="3316" t="s">
        <v>6273</v>
      </c>
      <c r="AD108" s="3316" t="s">
        <v>6274</v>
      </c>
      <c r="AE108" s="3316">
        <v>24551</v>
      </c>
      <c r="AF108" s="3316" t="s">
        <v>6309</v>
      </c>
      <c r="AG108" s="3316" t="s">
        <v>6264</v>
      </c>
      <c r="AH108" s="3316">
        <v>2231</v>
      </c>
      <c r="AI108" s="3316">
        <v>22320</v>
      </c>
      <c r="AJ108" s="3316" t="s">
        <v>5800</v>
      </c>
      <c r="AL108" s="3316" t="s">
        <v>6538</v>
      </c>
      <c r="AM108" s="3316">
        <v>1</v>
      </c>
      <c r="AN108" s="3316">
        <v>0</v>
      </c>
      <c r="AO108" s="3316">
        <v>0</v>
      </c>
      <c r="AP108" s="3316">
        <v>0</v>
      </c>
      <c r="AQ108" s="3316" t="s">
        <v>5800</v>
      </c>
      <c r="AS108" s="3316" t="s">
        <v>6309</v>
      </c>
      <c r="AT108" s="3316" t="s">
        <v>6264</v>
      </c>
      <c r="AV108" s="3340">
        <v>0</v>
      </c>
      <c r="AW108" s="3340">
        <v>0</v>
      </c>
      <c r="AX108" s="3340">
        <v>0</v>
      </c>
      <c r="AY108" s="3340">
        <v>0</v>
      </c>
      <c r="AZ108" s="3340">
        <v>0</v>
      </c>
      <c r="BA108" s="3340">
        <v>24551</v>
      </c>
      <c r="BB108" s="3340">
        <v>24551</v>
      </c>
      <c r="BC108" s="3340">
        <v>24551</v>
      </c>
      <c r="BD108" s="3340">
        <v>0</v>
      </c>
      <c r="BE108" s="3340"/>
      <c r="BF108" s="3340">
        <v>0</v>
      </c>
      <c r="BG108" s="3340">
        <v>0</v>
      </c>
      <c r="BH108" s="3340">
        <v>0</v>
      </c>
      <c r="BI108" s="3340">
        <v>0</v>
      </c>
      <c r="BJ108" s="3340">
        <v>0</v>
      </c>
      <c r="BK108" s="3340">
        <v>22319</v>
      </c>
      <c r="BL108" s="3340">
        <v>22319</v>
      </c>
      <c r="BM108" s="3340">
        <v>22319</v>
      </c>
      <c r="BN108" s="3340"/>
      <c r="BO108" s="3340"/>
    </row>
    <row r="109" spans="1:67" s="3316" customFormat="1">
      <c r="A109" s="3316" t="s">
        <v>6280</v>
      </c>
      <c r="B109" s="3316" t="s">
        <v>6253</v>
      </c>
      <c r="C109" s="3316" t="s">
        <v>5800</v>
      </c>
      <c r="D109" s="3316" t="s">
        <v>6254</v>
      </c>
      <c r="E109" s="3316" t="s">
        <v>6255</v>
      </c>
      <c r="F109" s="3316" t="s">
        <v>6278</v>
      </c>
      <c r="G109" s="3316" t="s">
        <v>6278</v>
      </c>
      <c r="H109" s="3316" t="s">
        <v>6539</v>
      </c>
      <c r="I109" s="3316" t="s">
        <v>6299</v>
      </c>
      <c r="J109" s="3316" t="s">
        <v>6540</v>
      </c>
      <c r="K109" s="3316" t="s">
        <v>6257</v>
      </c>
      <c r="L109" s="3316" t="s">
        <v>6258</v>
      </c>
      <c r="M109" s="3316" t="s">
        <v>6252</v>
      </c>
      <c r="N109" s="3316" t="s">
        <v>6301</v>
      </c>
      <c r="O109" s="3316" t="s">
        <v>6286</v>
      </c>
      <c r="P109" s="3316" t="s">
        <v>6302</v>
      </c>
      <c r="Q109" s="3316" t="s">
        <v>6303</v>
      </c>
      <c r="R109" s="3316" t="s">
        <v>6303</v>
      </c>
      <c r="S109" s="3316" t="s">
        <v>5800</v>
      </c>
      <c r="T109" s="3316" t="s">
        <v>6541</v>
      </c>
      <c r="U109" s="3316" t="s">
        <v>6542</v>
      </c>
      <c r="V109" s="3316">
        <v>0</v>
      </c>
      <c r="W109" s="3316">
        <v>0</v>
      </c>
      <c r="X109" s="3316">
        <v>0</v>
      </c>
      <c r="Y109" s="3316">
        <v>160124</v>
      </c>
      <c r="Z109" s="3316" t="s">
        <v>6306</v>
      </c>
      <c r="AA109" s="3316" t="s">
        <v>6303</v>
      </c>
      <c r="AB109" s="3316">
        <v>160124</v>
      </c>
      <c r="AC109" s="3316" t="s">
        <v>6273</v>
      </c>
      <c r="AD109" s="3316" t="s">
        <v>6274</v>
      </c>
      <c r="AE109" s="3316">
        <v>160124</v>
      </c>
      <c r="AF109" s="3316" t="s">
        <v>6309</v>
      </c>
      <c r="AG109" s="3316" t="s">
        <v>6264</v>
      </c>
      <c r="AH109" s="3316">
        <v>14556</v>
      </c>
      <c r="AI109" s="3316">
        <v>145568</v>
      </c>
      <c r="AJ109" s="3316" t="s">
        <v>5800</v>
      </c>
      <c r="AL109" s="3316" t="s">
        <v>6543</v>
      </c>
      <c r="AM109" s="3316">
        <v>1</v>
      </c>
      <c r="AN109" s="3316">
        <v>0</v>
      </c>
      <c r="AO109" s="3316">
        <v>0</v>
      </c>
      <c r="AP109" s="3316">
        <v>0</v>
      </c>
      <c r="AQ109" s="3316" t="s">
        <v>5800</v>
      </c>
      <c r="AS109" s="3316" t="s">
        <v>6309</v>
      </c>
      <c r="AT109" s="3316" t="s">
        <v>6264</v>
      </c>
      <c r="AV109" s="3340">
        <v>0</v>
      </c>
      <c r="AW109" s="3340">
        <v>0</v>
      </c>
      <c r="AX109" s="3340">
        <v>0</v>
      </c>
      <c r="AY109" s="3340">
        <v>0</v>
      </c>
      <c r="AZ109" s="3340">
        <v>0</v>
      </c>
      <c r="BA109" s="3340">
        <v>160124</v>
      </c>
      <c r="BB109" s="3340">
        <v>160124</v>
      </c>
      <c r="BC109" s="3340">
        <v>160124</v>
      </c>
      <c r="BD109" s="3340">
        <v>0</v>
      </c>
      <c r="BE109" s="3340"/>
      <c r="BF109" s="3340">
        <v>0</v>
      </c>
      <c r="BG109" s="3340">
        <v>0</v>
      </c>
      <c r="BH109" s="3340">
        <v>0</v>
      </c>
      <c r="BI109" s="3340">
        <v>0</v>
      </c>
      <c r="BJ109" s="3340">
        <v>0</v>
      </c>
      <c r="BK109" s="3340">
        <v>145567</v>
      </c>
      <c r="BL109" s="3340">
        <v>145567</v>
      </c>
      <c r="BM109" s="3340">
        <v>145567</v>
      </c>
      <c r="BN109" s="3340"/>
      <c r="BO109" s="3340"/>
    </row>
    <row r="110" spans="1:67" s="3316" customFormat="1">
      <c r="A110" s="3316" t="s">
        <v>6263</v>
      </c>
      <c r="B110" s="3316" t="s">
        <v>6253</v>
      </c>
      <c r="C110" s="3316" t="s">
        <v>5800</v>
      </c>
      <c r="D110" s="3316" t="s">
        <v>6254</v>
      </c>
      <c r="E110" s="3316" t="s">
        <v>6255</v>
      </c>
      <c r="F110" s="3316" t="s">
        <v>6278</v>
      </c>
      <c r="G110" s="3316" t="s">
        <v>6278</v>
      </c>
      <c r="H110" s="3316" t="s">
        <v>6544</v>
      </c>
      <c r="I110" s="3316" t="s">
        <v>6299</v>
      </c>
      <c r="J110" s="3316" t="s">
        <v>6545</v>
      </c>
      <c r="K110" s="3316" t="s">
        <v>6257</v>
      </c>
      <c r="L110" s="3316" t="s">
        <v>6258</v>
      </c>
      <c r="M110" s="3316" t="s">
        <v>6252</v>
      </c>
      <c r="N110" s="3316" t="s">
        <v>6301</v>
      </c>
      <c r="O110" s="3316" t="s">
        <v>6286</v>
      </c>
      <c r="P110" s="3316" t="s">
        <v>6302</v>
      </c>
      <c r="Q110" s="3316" t="s">
        <v>6303</v>
      </c>
      <c r="R110" s="3316" t="s">
        <v>6303</v>
      </c>
      <c r="S110" s="3316" t="s">
        <v>5800</v>
      </c>
      <c r="T110" s="3316" t="s">
        <v>6546</v>
      </c>
      <c r="U110" s="3316" t="s">
        <v>6547</v>
      </c>
      <c r="V110" s="3316">
        <v>0</v>
      </c>
      <c r="W110" s="3316">
        <v>0</v>
      </c>
      <c r="X110" s="3316">
        <v>0</v>
      </c>
      <c r="Y110" s="3316">
        <v>35499</v>
      </c>
      <c r="Z110" s="3316" t="s">
        <v>6306</v>
      </c>
      <c r="AA110" s="3316" t="s">
        <v>6303</v>
      </c>
      <c r="AB110" s="3316">
        <v>35499</v>
      </c>
      <c r="AC110" s="3316" t="s">
        <v>6273</v>
      </c>
      <c r="AD110" s="3316" t="s">
        <v>6274</v>
      </c>
      <c r="AE110" s="3316">
        <v>35499</v>
      </c>
      <c r="AF110" s="3316" t="s">
        <v>6309</v>
      </c>
      <c r="AG110" s="3316" t="s">
        <v>6264</v>
      </c>
      <c r="AH110" s="3316">
        <v>3227</v>
      </c>
      <c r="AI110" s="3316">
        <v>32272</v>
      </c>
      <c r="AJ110" s="3316" t="s">
        <v>5800</v>
      </c>
      <c r="AL110" s="3316" t="s">
        <v>6548</v>
      </c>
      <c r="AM110" s="3316">
        <v>1</v>
      </c>
      <c r="AN110" s="3316">
        <v>0</v>
      </c>
      <c r="AO110" s="3316">
        <v>0</v>
      </c>
      <c r="AP110" s="3316">
        <v>0</v>
      </c>
      <c r="AQ110" s="3316" t="s">
        <v>5800</v>
      </c>
      <c r="AS110" s="3316" t="s">
        <v>6309</v>
      </c>
      <c r="AT110" s="3316" t="s">
        <v>6264</v>
      </c>
      <c r="AV110" s="3340">
        <v>0</v>
      </c>
      <c r="AW110" s="3340">
        <v>0</v>
      </c>
      <c r="AX110" s="3340">
        <v>0</v>
      </c>
      <c r="AY110" s="3340">
        <v>0</v>
      </c>
      <c r="AZ110" s="3340">
        <v>0</v>
      </c>
      <c r="BA110" s="3340">
        <v>35499</v>
      </c>
      <c r="BB110" s="3340">
        <v>35499</v>
      </c>
      <c r="BC110" s="3340">
        <v>35499</v>
      </c>
      <c r="BD110" s="3340">
        <v>0</v>
      </c>
      <c r="BE110" s="3340"/>
      <c r="BF110" s="3340">
        <v>0</v>
      </c>
      <c r="BG110" s="3340">
        <v>0</v>
      </c>
      <c r="BH110" s="3340">
        <v>0</v>
      </c>
      <c r="BI110" s="3340">
        <v>0</v>
      </c>
      <c r="BJ110" s="3340">
        <v>0</v>
      </c>
      <c r="BK110" s="3340">
        <v>32272</v>
      </c>
      <c r="BL110" s="3340">
        <v>32272</v>
      </c>
      <c r="BM110" s="3340">
        <v>32272</v>
      </c>
      <c r="BN110" s="3340"/>
      <c r="BO110" s="3340"/>
    </row>
    <row r="111" spans="1:67" s="3316" customFormat="1">
      <c r="AV111" s="3340"/>
      <c r="AW111" s="3340"/>
      <c r="AX111" s="3340"/>
      <c r="AY111" s="3340"/>
      <c r="AZ111" s="3340"/>
      <c r="BA111" s="3340"/>
      <c r="BB111" s="3340"/>
      <c r="BC111" s="3340"/>
      <c r="BD111" s="3340"/>
      <c r="BE111" s="3340"/>
      <c r="BF111" s="3340"/>
      <c r="BG111" s="3340"/>
      <c r="BH111" s="3340"/>
      <c r="BI111" s="3340"/>
      <c r="BJ111" s="3340"/>
      <c r="BK111" s="3340"/>
      <c r="BL111" s="3340"/>
      <c r="BM111" s="3340"/>
      <c r="BN111" s="3340"/>
      <c r="BO111" s="3340"/>
    </row>
    <row r="112" spans="1:67" s="3316" customFormat="1">
      <c r="AV112" s="3340"/>
      <c r="AW112" s="3340"/>
      <c r="AX112" s="3340"/>
      <c r="AY112" s="3340"/>
      <c r="AZ112" s="3340"/>
      <c r="BA112" s="3340"/>
      <c r="BB112" s="3340"/>
      <c r="BC112" s="3340"/>
      <c r="BD112" s="3340"/>
      <c r="BE112" s="3340"/>
      <c r="BF112" s="3340"/>
      <c r="BG112" s="3340"/>
      <c r="BH112" s="3340"/>
      <c r="BI112" s="3340"/>
      <c r="BJ112" s="3340"/>
      <c r="BK112" s="3340"/>
      <c r="BL112" s="3340"/>
      <c r="BM112" s="3340"/>
      <c r="BN112" s="3340"/>
      <c r="BO112" s="3340"/>
    </row>
    <row r="113" spans="48:67" s="3316" customFormat="1">
      <c r="AV113" s="3340"/>
      <c r="AW113" s="3340"/>
      <c r="AX113" s="3340"/>
      <c r="AY113" s="3340"/>
      <c r="AZ113" s="3340"/>
      <c r="BA113" s="3340"/>
      <c r="BB113" s="3340"/>
      <c r="BC113" s="3340"/>
      <c r="BD113" s="3340"/>
      <c r="BE113" s="3340"/>
      <c r="BF113" s="3340"/>
      <c r="BG113" s="3340"/>
      <c r="BH113" s="3340"/>
      <c r="BI113" s="3340"/>
      <c r="BJ113" s="3340"/>
      <c r="BK113" s="3340"/>
      <c r="BL113" s="3340"/>
      <c r="BM113" s="3340"/>
      <c r="BN113" s="3340"/>
      <c r="BO113" s="3340"/>
    </row>
    <row r="114" spans="48:67" s="3316" customFormat="1">
      <c r="AV114" s="3340"/>
      <c r="AW114" s="3340"/>
      <c r="AX114" s="3340"/>
      <c r="AY114" s="3340"/>
      <c r="AZ114" s="3340"/>
      <c r="BA114" s="3340"/>
      <c r="BB114" s="3340"/>
      <c r="BC114" s="3340"/>
      <c r="BD114" s="3340"/>
      <c r="BE114" s="3340"/>
      <c r="BF114" s="3340"/>
      <c r="BG114" s="3340"/>
      <c r="BH114" s="3340"/>
      <c r="BI114" s="3340"/>
      <c r="BJ114" s="3340"/>
      <c r="BK114" s="3340"/>
      <c r="BL114" s="3340"/>
      <c r="BM114" s="3340"/>
      <c r="BN114" s="3340"/>
      <c r="BO114" s="3340"/>
    </row>
    <row r="115" spans="48:67" s="3316" customFormat="1">
      <c r="AV115" s="3340"/>
      <c r="AW115" s="3340"/>
      <c r="AX115" s="3340"/>
      <c r="AY115" s="3340"/>
      <c r="AZ115" s="3340"/>
      <c r="BA115" s="3340"/>
      <c r="BB115" s="3340"/>
      <c r="BC115" s="3340"/>
      <c r="BD115" s="3340"/>
      <c r="BE115" s="3340"/>
      <c r="BF115" s="3340"/>
      <c r="BG115" s="3340"/>
      <c r="BH115" s="3340"/>
      <c r="BI115" s="3340"/>
      <c r="BJ115" s="3340"/>
      <c r="BK115" s="3340"/>
      <c r="BL115" s="3340"/>
      <c r="BM115" s="3340"/>
      <c r="BN115" s="3340"/>
      <c r="BO115" s="3340"/>
    </row>
    <row r="116" spans="48:67" s="3316" customFormat="1">
      <c r="AV116" s="3340"/>
      <c r="AW116" s="3340"/>
      <c r="AX116" s="3340"/>
      <c r="AY116" s="3340"/>
      <c r="AZ116" s="3340"/>
      <c r="BA116" s="3340"/>
      <c r="BB116" s="3340"/>
      <c r="BC116" s="3340"/>
      <c r="BD116" s="3340"/>
      <c r="BE116" s="3340"/>
      <c r="BF116" s="3340"/>
      <c r="BG116" s="3340"/>
      <c r="BH116" s="3340"/>
      <c r="BI116" s="3340"/>
      <c r="BJ116" s="3340"/>
      <c r="BK116" s="3340"/>
      <c r="BL116" s="3340"/>
      <c r="BM116" s="3340"/>
      <c r="BN116" s="3340"/>
      <c r="BO116" s="3340"/>
    </row>
    <row r="117" spans="48:67" s="3316" customFormat="1">
      <c r="AV117" s="3340"/>
      <c r="AW117" s="3340"/>
      <c r="AX117" s="3340"/>
      <c r="AY117" s="3340"/>
      <c r="AZ117" s="3340"/>
      <c r="BA117" s="3340"/>
      <c r="BB117" s="3340"/>
      <c r="BC117" s="3340"/>
      <c r="BD117" s="3340"/>
      <c r="BE117" s="3340"/>
      <c r="BF117" s="3340"/>
      <c r="BG117" s="3340"/>
      <c r="BH117" s="3340"/>
      <c r="BI117" s="3340"/>
      <c r="BJ117" s="3340"/>
      <c r="BK117" s="3340"/>
      <c r="BL117" s="3340"/>
      <c r="BM117" s="3340"/>
      <c r="BN117" s="3340"/>
      <c r="BO117" s="3340"/>
    </row>
    <row r="118" spans="48:67" s="3316" customFormat="1">
      <c r="AV118" s="3340"/>
      <c r="AW118" s="3340"/>
      <c r="AX118" s="3340"/>
      <c r="AY118" s="3340"/>
      <c r="AZ118" s="3340"/>
      <c r="BA118" s="3340"/>
      <c r="BB118" s="3340"/>
      <c r="BC118" s="3340"/>
      <c r="BD118" s="3340"/>
      <c r="BE118" s="3340"/>
      <c r="BF118" s="3340"/>
      <c r="BG118" s="3340"/>
      <c r="BH118" s="3340"/>
      <c r="BI118" s="3340"/>
      <c r="BJ118" s="3340"/>
      <c r="BK118" s="3340"/>
      <c r="BL118" s="3340"/>
      <c r="BM118" s="3340"/>
      <c r="BN118" s="3340"/>
      <c r="BO118" s="3340"/>
    </row>
    <row r="119" spans="48:67" s="3316" customFormat="1">
      <c r="AV119" s="3340"/>
      <c r="AW119" s="3340"/>
      <c r="AX119" s="3340"/>
      <c r="AY119" s="3340"/>
      <c r="AZ119" s="3340"/>
      <c r="BA119" s="3340"/>
      <c r="BB119" s="3340"/>
      <c r="BC119" s="3340"/>
      <c r="BD119" s="3340"/>
      <c r="BE119" s="3340"/>
      <c r="BF119" s="3340"/>
      <c r="BG119" s="3340"/>
      <c r="BH119" s="3340"/>
      <c r="BI119" s="3340"/>
      <c r="BJ119" s="3340"/>
      <c r="BK119" s="3340"/>
      <c r="BL119" s="3340"/>
      <c r="BM119" s="3340"/>
      <c r="BN119" s="3340"/>
      <c r="BO119" s="3340"/>
    </row>
    <row r="120" spans="48:67" s="3316" customFormat="1">
      <c r="AV120" s="3340"/>
      <c r="AW120" s="3340"/>
      <c r="AX120" s="3340"/>
      <c r="AY120" s="3340"/>
      <c r="AZ120" s="3340"/>
      <c r="BA120" s="3340"/>
      <c r="BB120" s="3340"/>
      <c r="BC120" s="3340"/>
      <c r="BD120" s="3340"/>
      <c r="BE120" s="3340"/>
      <c r="BF120" s="3340"/>
      <c r="BG120" s="3340"/>
      <c r="BH120" s="3340"/>
      <c r="BI120" s="3340"/>
      <c r="BJ120" s="3340"/>
      <c r="BK120" s="3340"/>
      <c r="BL120" s="3340"/>
      <c r="BM120" s="3340"/>
      <c r="BN120" s="3340"/>
      <c r="BO120" s="3340"/>
    </row>
    <row r="121" spans="48:67" s="3316" customFormat="1">
      <c r="AV121" s="3340"/>
      <c r="AW121" s="3340"/>
      <c r="AX121" s="3340"/>
      <c r="AY121" s="3340"/>
      <c r="AZ121" s="3340"/>
      <c r="BA121" s="3340"/>
      <c r="BB121" s="3340"/>
      <c r="BC121" s="3340"/>
      <c r="BD121" s="3340"/>
      <c r="BE121" s="3340"/>
      <c r="BF121" s="3340"/>
      <c r="BG121" s="3340"/>
      <c r="BH121" s="3340"/>
      <c r="BI121" s="3340"/>
      <c r="BJ121" s="3340"/>
      <c r="BK121" s="3340"/>
      <c r="BL121" s="3340"/>
      <c r="BM121" s="3340"/>
      <c r="BN121" s="3340"/>
      <c r="BO121" s="3340"/>
    </row>
    <row r="122" spans="48:67" s="3316" customFormat="1">
      <c r="AV122" s="3340"/>
      <c r="AW122" s="3340"/>
      <c r="AX122" s="3340"/>
      <c r="AY122" s="3340"/>
      <c r="AZ122" s="3340"/>
      <c r="BA122" s="3340"/>
      <c r="BB122" s="3340"/>
      <c r="BC122" s="3340"/>
      <c r="BD122" s="3340"/>
      <c r="BE122" s="3340"/>
      <c r="BF122" s="3340"/>
      <c r="BG122" s="3340"/>
      <c r="BH122" s="3340"/>
      <c r="BI122" s="3340"/>
      <c r="BJ122" s="3340"/>
      <c r="BK122" s="3340"/>
      <c r="BL122" s="3340"/>
      <c r="BM122" s="3340"/>
      <c r="BN122" s="3340"/>
      <c r="BO122" s="3340"/>
    </row>
    <row r="123" spans="48:67" s="3316" customFormat="1">
      <c r="AV123" s="3340"/>
      <c r="AW123" s="3340"/>
      <c r="AX123" s="3340"/>
      <c r="AY123" s="3340"/>
      <c r="AZ123" s="3340"/>
      <c r="BA123" s="3340"/>
      <c r="BB123" s="3340"/>
      <c r="BC123" s="3340"/>
      <c r="BD123" s="3340"/>
      <c r="BE123" s="3340"/>
      <c r="BF123" s="3340"/>
      <c r="BG123" s="3340"/>
      <c r="BH123" s="3340"/>
      <c r="BI123" s="3340"/>
      <c r="BJ123" s="3340"/>
      <c r="BK123" s="3340"/>
      <c r="BL123" s="3340"/>
      <c r="BM123" s="3340"/>
      <c r="BN123" s="3340"/>
      <c r="BO123" s="3340"/>
    </row>
    <row r="124" spans="48:67" s="3316" customFormat="1">
      <c r="AV124" s="3340"/>
      <c r="AW124" s="3340"/>
      <c r="AX124" s="3340"/>
      <c r="AY124" s="3340"/>
      <c r="AZ124" s="3340"/>
      <c r="BA124" s="3340"/>
      <c r="BB124" s="3340"/>
      <c r="BC124" s="3340"/>
      <c r="BD124" s="3340"/>
      <c r="BE124" s="3340"/>
      <c r="BF124" s="3340"/>
      <c r="BG124" s="3340"/>
      <c r="BH124" s="3340"/>
      <c r="BI124" s="3340"/>
      <c r="BJ124" s="3340"/>
      <c r="BK124" s="3340"/>
      <c r="BL124" s="3340"/>
      <c r="BM124" s="3340"/>
      <c r="BN124" s="3340"/>
      <c r="BO124" s="3340"/>
    </row>
    <row r="125" spans="48:67" s="3316" customFormat="1">
      <c r="AV125" s="3340"/>
      <c r="AW125" s="3340"/>
      <c r="AX125" s="3340"/>
      <c r="AY125" s="3340"/>
      <c r="AZ125" s="3340"/>
      <c r="BA125" s="3340"/>
      <c r="BB125" s="3340"/>
      <c r="BC125" s="3340"/>
      <c r="BD125" s="3340"/>
      <c r="BE125" s="3340"/>
      <c r="BF125" s="3340"/>
      <c r="BG125" s="3340"/>
      <c r="BH125" s="3340"/>
      <c r="BI125" s="3340"/>
      <c r="BJ125" s="3340"/>
      <c r="BK125" s="3340"/>
      <c r="BL125" s="3340"/>
      <c r="BM125" s="3340"/>
      <c r="BN125" s="3340"/>
      <c r="BO125" s="3340"/>
    </row>
    <row r="126" spans="48:67" s="3316" customFormat="1">
      <c r="AV126" s="3340"/>
      <c r="AW126" s="3340"/>
      <c r="AX126" s="3340"/>
      <c r="AY126" s="3340"/>
      <c r="AZ126" s="3340"/>
      <c r="BA126" s="3340"/>
      <c r="BB126" s="3340"/>
      <c r="BC126" s="3340"/>
      <c r="BD126" s="3340"/>
      <c r="BE126" s="3340"/>
      <c r="BF126" s="3340"/>
      <c r="BG126" s="3340"/>
      <c r="BH126" s="3340"/>
      <c r="BI126" s="3340"/>
      <c r="BJ126" s="3340"/>
      <c r="BK126" s="3340"/>
      <c r="BL126" s="3340"/>
      <c r="BM126" s="3340"/>
      <c r="BN126" s="3340"/>
      <c r="BO126" s="3340"/>
    </row>
    <row r="127" spans="48:67" s="3316" customFormat="1">
      <c r="AV127" s="3340"/>
      <c r="AW127" s="3340"/>
      <c r="AX127" s="3340"/>
      <c r="AY127" s="3340"/>
      <c r="AZ127" s="3340"/>
      <c r="BA127" s="3340"/>
      <c r="BB127" s="3340"/>
      <c r="BC127" s="3340"/>
      <c r="BD127" s="3340"/>
      <c r="BE127" s="3340"/>
      <c r="BF127" s="3340"/>
      <c r="BG127" s="3340"/>
      <c r="BH127" s="3340"/>
      <c r="BI127" s="3340"/>
      <c r="BJ127" s="3340"/>
      <c r="BK127" s="3340"/>
      <c r="BL127" s="3340"/>
      <c r="BM127" s="3340"/>
      <c r="BN127" s="3340"/>
      <c r="BO127" s="3340"/>
    </row>
    <row r="128" spans="48:67" s="3316" customFormat="1">
      <c r="AV128" s="3340"/>
      <c r="AW128" s="3340"/>
      <c r="AX128" s="3340"/>
      <c r="AY128" s="3340"/>
      <c r="AZ128" s="3340"/>
      <c r="BA128" s="3340"/>
      <c r="BB128" s="3340"/>
      <c r="BC128" s="3340"/>
      <c r="BD128" s="3340"/>
      <c r="BE128" s="3340"/>
      <c r="BF128" s="3340"/>
      <c r="BG128" s="3340"/>
      <c r="BH128" s="3340"/>
      <c r="BI128" s="3340"/>
      <c r="BJ128" s="3340"/>
      <c r="BK128" s="3340"/>
      <c r="BL128" s="3340"/>
      <c r="BM128" s="3340"/>
      <c r="BN128" s="3340"/>
      <c r="BO128" s="3340"/>
    </row>
    <row r="129" spans="48:67" s="3316" customFormat="1">
      <c r="AV129" s="3340"/>
      <c r="AW129" s="3340"/>
      <c r="AX129" s="3340"/>
      <c r="AY129" s="3340"/>
      <c r="AZ129" s="3340"/>
      <c r="BA129" s="3340"/>
      <c r="BB129" s="3340"/>
      <c r="BC129" s="3340"/>
      <c r="BD129" s="3340"/>
      <c r="BE129" s="3340"/>
      <c r="BF129" s="3340"/>
      <c r="BG129" s="3340"/>
      <c r="BH129" s="3340"/>
      <c r="BI129" s="3340"/>
      <c r="BJ129" s="3340"/>
      <c r="BK129" s="3340"/>
      <c r="BL129" s="3340"/>
      <c r="BM129" s="3340"/>
      <c r="BN129" s="3340"/>
      <c r="BO129" s="3340"/>
    </row>
    <row r="130" spans="48:67" s="3316" customFormat="1">
      <c r="AV130" s="3340"/>
      <c r="AW130" s="3340"/>
      <c r="AX130" s="3340"/>
      <c r="AY130" s="3340"/>
      <c r="AZ130" s="3340"/>
      <c r="BA130" s="3340"/>
      <c r="BB130" s="3340"/>
      <c r="BC130" s="3340"/>
      <c r="BD130" s="3340"/>
      <c r="BE130" s="3340"/>
      <c r="BF130" s="3340"/>
      <c r="BG130" s="3340"/>
      <c r="BH130" s="3340"/>
      <c r="BI130" s="3340"/>
      <c r="BJ130" s="3340"/>
      <c r="BK130" s="3340"/>
      <c r="BL130" s="3340"/>
      <c r="BM130" s="3340"/>
      <c r="BN130" s="3340"/>
      <c r="BO130" s="3340"/>
    </row>
    <row r="131" spans="48:67" s="3316" customFormat="1">
      <c r="AV131" s="3340"/>
      <c r="AW131" s="3340"/>
      <c r="AX131" s="3340"/>
      <c r="AY131" s="3340"/>
      <c r="AZ131" s="3340"/>
      <c r="BA131" s="3340"/>
      <c r="BB131" s="3340"/>
      <c r="BC131" s="3340"/>
      <c r="BD131" s="3340"/>
      <c r="BE131" s="3340"/>
      <c r="BF131" s="3340"/>
      <c r="BG131" s="3340"/>
      <c r="BH131" s="3340"/>
      <c r="BI131" s="3340"/>
      <c r="BJ131" s="3340"/>
      <c r="BK131" s="3340"/>
      <c r="BL131" s="3340"/>
      <c r="BM131" s="3340"/>
      <c r="BN131" s="3340"/>
      <c r="BO131" s="3340"/>
    </row>
    <row r="132" spans="48:67" s="3316" customFormat="1">
      <c r="AV132" s="3340"/>
      <c r="AW132" s="3340"/>
      <c r="AX132" s="3340"/>
      <c r="AY132" s="3340"/>
      <c r="AZ132" s="3340"/>
      <c r="BA132" s="3340"/>
      <c r="BB132" s="3340"/>
      <c r="BC132" s="3340"/>
      <c r="BD132" s="3340"/>
      <c r="BE132" s="3340"/>
      <c r="BF132" s="3340"/>
      <c r="BG132" s="3340"/>
      <c r="BH132" s="3340"/>
      <c r="BI132" s="3340"/>
      <c r="BJ132" s="3340"/>
      <c r="BK132" s="3340"/>
      <c r="BL132" s="3340"/>
      <c r="BM132" s="3340"/>
      <c r="BN132" s="3340"/>
      <c r="BO132" s="3340"/>
    </row>
    <row r="133" spans="48:67" s="3316" customFormat="1">
      <c r="AV133" s="3340"/>
      <c r="AW133" s="3340"/>
      <c r="AX133" s="3340"/>
      <c r="AY133" s="3340"/>
      <c r="AZ133" s="3340"/>
      <c r="BA133" s="3340"/>
      <c r="BB133" s="3340"/>
      <c r="BC133" s="3340"/>
      <c r="BD133" s="3340"/>
      <c r="BE133" s="3340"/>
      <c r="BF133" s="3340"/>
      <c r="BG133" s="3340"/>
      <c r="BH133" s="3340"/>
      <c r="BI133" s="3340"/>
      <c r="BJ133" s="3340"/>
      <c r="BK133" s="3340"/>
      <c r="BL133" s="3340"/>
      <c r="BM133" s="3340"/>
      <c r="BN133" s="3340"/>
      <c r="BO133" s="3340"/>
    </row>
    <row r="134" spans="48:67" s="3316" customFormat="1">
      <c r="AV134" s="3340"/>
      <c r="AW134" s="3340"/>
      <c r="AX134" s="3340"/>
      <c r="AY134" s="3340"/>
      <c r="AZ134" s="3340"/>
      <c r="BA134" s="3340"/>
      <c r="BB134" s="3340"/>
      <c r="BC134" s="3340"/>
      <c r="BD134" s="3340"/>
      <c r="BE134" s="3340"/>
      <c r="BF134" s="3340"/>
      <c r="BG134" s="3340"/>
      <c r="BH134" s="3340"/>
      <c r="BI134" s="3340"/>
      <c r="BJ134" s="3340"/>
      <c r="BK134" s="3340"/>
      <c r="BL134" s="3340"/>
      <c r="BM134" s="3340"/>
      <c r="BN134" s="3340"/>
      <c r="BO134" s="3340"/>
    </row>
    <row r="135" spans="48:67" s="3316" customFormat="1">
      <c r="AV135" s="3340"/>
      <c r="AW135" s="3340"/>
      <c r="AX135" s="3340"/>
      <c r="AY135" s="3340"/>
      <c r="AZ135" s="3340"/>
      <c r="BA135" s="3340"/>
      <c r="BB135" s="3340"/>
      <c r="BC135" s="3340"/>
      <c r="BD135" s="3340"/>
      <c r="BE135" s="3340"/>
      <c r="BF135" s="3340"/>
      <c r="BG135" s="3340"/>
      <c r="BH135" s="3340"/>
      <c r="BI135" s="3340"/>
      <c r="BJ135" s="3340"/>
      <c r="BK135" s="3340"/>
      <c r="BL135" s="3340"/>
      <c r="BM135" s="3340"/>
      <c r="BN135" s="3340"/>
      <c r="BO135" s="3340"/>
    </row>
    <row r="136" spans="48:67" s="3316" customFormat="1">
      <c r="AV136" s="3340"/>
      <c r="AW136" s="3340"/>
      <c r="AX136" s="3340"/>
      <c r="AY136" s="3340"/>
      <c r="AZ136" s="3340"/>
      <c r="BA136" s="3340"/>
      <c r="BB136" s="3340"/>
      <c r="BC136" s="3340"/>
      <c r="BD136" s="3340"/>
      <c r="BE136" s="3340"/>
      <c r="BF136" s="3340"/>
      <c r="BG136" s="3340"/>
      <c r="BH136" s="3340"/>
      <c r="BI136" s="3340"/>
      <c r="BJ136" s="3340"/>
      <c r="BK136" s="3340"/>
      <c r="BL136" s="3340"/>
      <c r="BM136" s="3340"/>
      <c r="BN136" s="3340"/>
      <c r="BO136" s="3340"/>
    </row>
    <row r="137" spans="48:67" s="3316" customFormat="1">
      <c r="AV137" s="3340"/>
      <c r="AW137" s="3340"/>
      <c r="AX137" s="3340"/>
      <c r="AY137" s="3340"/>
      <c r="AZ137" s="3340"/>
      <c r="BA137" s="3340"/>
      <c r="BB137" s="3340"/>
      <c r="BC137" s="3340"/>
      <c r="BD137" s="3340"/>
      <c r="BE137" s="3340"/>
      <c r="BF137" s="3340"/>
      <c r="BG137" s="3340"/>
      <c r="BH137" s="3340"/>
      <c r="BI137" s="3340"/>
      <c r="BJ137" s="3340"/>
      <c r="BK137" s="3340"/>
      <c r="BL137" s="3340"/>
      <c r="BM137" s="3340"/>
      <c r="BN137" s="3340"/>
      <c r="BO137" s="3340"/>
    </row>
    <row r="138" spans="48:67" s="3316" customFormat="1">
      <c r="AV138" s="3340"/>
      <c r="AW138" s="3340"/>
      <c r="AX138" s="3340"/>
      <c r="AY138" s="3340"/>
      <c r="AZ138" s="3340"/>
      <c r="BA138" s="3340"/>
      <c r="BB138" s="3340"/>
      <c r="BC138" s="3340"/>
      <c r="BD138" s="3340"/>
      <c r="BE138" s="3340"/>
      <c r="BF138" s="3340"/>
      <c r="BG138" s="3340"/>
      <c r="BH138" s="3340"/>
      <c r="BI138" s="3340"/>
      <c r="BJ138" s="3340"/>
      <c r="BK138" s="3340"/>
      <c r="BL138" s="3340"/>
      <c r="BM138" s="3340"/>
      <c r="BN138" s="3340"/>
      <c r="BO138" s="3340"/>
    </row>
    <row r="139" spans="48:67" s="3316" customFormat="1">
      <c r="AV139" s="3340"/>
      <c r="AW139" s="3340"/>
      <c r="AX139" s="3340"/>
      <c r="AY139" s="3340"/>
      <c r="AZ139" s="3340"/>
      <c r="BA139" s="3340"/>
      <c r="BB139" s="3340"/>
      <c r="BC139" s="3340"/>
      <c r="BD139" s="3340"/>
      <c r="BE139" s="3340"/>
      <c r="BF139" s="3340"/>
      <c r="BG139" s="3340"/>
      <c r="BH139" s="3340"/>
      <c r="BI139" s="3340"/>
      <c r="BJ139" s="3340"/>
      <c r="BK139" s="3340"/>
      <c r="BL139" s="3340"/>
      <c r="BM139" s="3340"/>
      <c r="BN139" s="3340"/>
      <c r="BO139" s="3340"/>
    </row>
    <row r="140" spans="48:67" s="3316" customFormat="1">
      <c r="AV140" s="3340"/>
      <c r="AW140" s="3340"/>
      <c r="AX140" s="3340"/>
      <c r="AY140" s="3340"/>
      <c r="AZ140" s="3340"/>
      <c r="BA140" s="3340"/>
      <c r="BB140" s="3340"/>
      <c r="BC140" s="3340"/>
      <c r="BD140" s="3340"/>
      <c r="BE140" s="3340"/>
      <c r="BF140" s="3340"/>
      <c r="BG140" s="3340"/>
      <c r="BH140" s="3340"/>
      <c r="BI140" s="3340"/>
      <c r="BJ140" s="3340"/>
      <c r="BK140" s="3340"/>
      <c r="BL140" s="3340"/>
      <c r="BM140" s="3340"/>
      <c r="BN140" s="3340"/>
      <c r="BO140" s="3340"/>
    </row>
    <row r="141" spans="48:67" s="3316" customFormat="1">
      <c r="AV141" s="3340"/>
      <c r="AW141" s="3340"/>
      <c r="AX141" s="3340"/>
      <c r="AY141" s="3340"/>
      <c r="AZ141" s="3340"/>
      <c r="BA141" s="3340"/>
      <c r="BB141" s="3340"/>
      <c r="BC141" s="3340"/>
      <c r="BD141" s="3340"/>
      <c r="BE141" s="3340"/>
      <c r="BF141" s="3340"/>
      <c r="BG141" s="3340"/>
      <c r="BH141" s="3340"/>
      <c r="BI141" s="3340"/>
      <c r="BJ141" s="3340"/>
      <c r="BK141" s="3340"/>
      <c r="BL141" s="3340"/>
      <c r="BM141" s="3340"/>
      <c r="BN141" s="3340"/>
      <c r="BO141" s="3340"/>
    </row>
    <row r="142" spans="48:67" s="3316" customFormat="1">
      <c r="AV142" s="3340"/>
      <c r="AW142" s="3340"/>
      <c r="AX142" s="3340"/>
      <c r="AY142" s="3340"/>
      <c r="AZ142" s="3340"/>
      <c r="BA142" s="3340"/>
      <c r="BB142" s="3340"/>
      <c r="BC142" s="3340"/>
      <c r="BD142" s="3340"/>
      <c r="BE142" s="3340"/>
      <c r="BF142" s="3340"/>
      <c r="BG142" s="3340"/>
      <c r="BH142" s="3340"/>
      <c r="BI142" s="3340"/>
      <c r="BJ142" s="3340"/>
      <c r="BK142" s="3340"/>
      <c r="BL142" s="3340"/>
      <c r="BM142" s="3340"/>
      <c r="BN142" s="3340"/>
      <c r="BO142" s="3340"/>
    </row>
    <row r="143" spans="48:67" s="3316" customFormat="1">
      <c r="AV143" s="3340"/>
      <c r="AW143" s="3340"/>
      <c r="AX143" s="3340"/>
      <c r="AY143" s="3340"/>
      <c r="AZ143" s="3340"/>
      <c r="BA143" s="3340"/>
      <c r="BB143" s="3340"/>
      <c r="BC143" s="3340"/>
      <c r="BD143" s="3340"/>
      <c r="BE143" s="3340"/>
      <c r="BF143" s="3340"/>
      <c r="BG143" s="3340"/>
      <c r="BH143" s="3340"/>
      <c r="BI143" s="3340"/>
      <c r="BJ143" s="3340"/>
      <c r="BK143" s="3340"/>
      <c r="BL143" s="3340"/>
      <c r="BM143" s="3340"/>
      <c r="BN143" s="3340"/>
      <c r="BO143" s="3340"/>
    </row>
    <row r="144" spans="48:67" s="3316" customFormat="1">
      <c r="AV144" s="3340"/>
      <c r="AW144" s="3340"/>
      <c r="AX144" s="3340"/>
      <c r="AY144" s="3340"/>
      <c r="AZ144" s="3340"/>
      <c r="BA144" s="3340"/>
      <c r="BB144" s="3340"/>
      <c r="BC144" s="3340"/>
      <c r="BD144" s="3340"/>
      <c r="BE144" s="3340"/>
      <c r="BF144" s="3340"/>
      <c r="BG144" s="3340"/>
      <c r="BH144" s="3340"/>
      <c r="BI144" s="3340"/>
      <c r="BJ144" s="3340"/>
      <c r="BK144" s="3340"/>
      <c r="BL144" s="3340"/>
      <c r="BM144" s="3340"/>
      <c r="BN144" s="3340"/>
      <c r="BO144" s="3340"/>
    </row>
    <row r="145" spans="48:67" s="3316" customFormat="1">
      <c r="AV145" s="3340"/>
      <c r="AW145" s="3340"/>
      <c r="AX145" s="3340"/>
      <c r="AY145" s="3340"/>
      <c r="AZ145" s="3340"/>
      <c r="BA145" s="3340"/>
      <c r="BB145" s="3340"/>
      <c r="BC145" s="3340"/>
      <c r="BD145" s="3340"/>
      <c r="BE145" s="3340"/>
      <c r="BF145" s="3340"/>
      <c r="BG145" s="3340"/>
      <c r="BH145" s="3340"/>
      <c r="BI145" s="3340"/>
      <c r="BJ145" s="3340"/>
      <c r="BK145" s="3340"/>
      <c r="BL145" s="3340"/>
      <c r="BM145" s="3340"/>
      <c r="BN145" s="3340"/>
      <c r="BO145" s="3340"/>
    </row>
    <row r="146" spans="48:67" s="3316" customFormat="1">
      <c r="AV146" s="3340"/>
      <c r="AW146" s="3340"/>
      <c r="AX146" s="3340"/>
      <c r="AY146" s="3340"/>
      <c r="AZ146" s="3340"/>
      <c r="BA146" s="3340"/>
      <c r="BB146" s="3340"/>
      <c r="BC146" s="3340"/>
      <c r="BD146" s="3340"/>
      <c r="BE146" s="3340"/>
      <c r="BF146" s="3340"/>
      <c r="BG146" s="3340"/>
      <c r="BH146" s="3340"/>
      <c r="BI146" s="3340"/>
      <c r="BJ146" s="3340"/>
      <c r="BK146" s="3340"/>
      <c r="BL146" s="3340"/>
      <c r="BM146" s="3340"/>
      <c r="BN146" s="3340"/>
      <c r="BO146" s="3340"/>
    </row>
    <row r="147" spans="48:67" s="3316" customFormat="1">
      <c r="AV147" s="3340"/>
      <c r="AW147" s="3340"/>
      <c r="AX147" s="3340"/>
      <c r="AY147" s="3340"/>
      <c r="AZ147" s="3340"/>
      <c r="BA147" s="3340"/>
      <c r="BB147" s="3340"/>
      <c r="BC147" s="3340"/>
      <c r="BD147" s="3340"/>
      <c r="BE147" s="3340"/>
      <c r="BF147" s="3340"/>
      <c r="BG147" s="3340"/>
      <c r="BH147" s="3340"/>
      <c r="BI147" s="3340"/>
      <c r="BJ147" s="3340"/>
      <c r="BK147" s="3340"/>
      <c r="BL147" s="3340"/>
      <c r="BM147" s="3340"/>
      <c r="BN147" s="3340"/>
      <c r="BO147" s="3340"/>
    </row>
    <row r="148" spans="48:67" s="3316" customFormat="1">
      <c r="AV148" s="3340"/>
      <c r="AW148" s="3340"/>
      <c r="AX148" s="3340"/>
      <c r="AY148" s="3340"/>
      <c r="AZ148" s="3340"/>
      <c r="BA148" s="3340"/>
      <c r="BB148" s="3340"/>
      <c r="BC148" s="3340"/>
      <c r="BD148" s="3340"/>
      <c r="BE148" s="3340"/>
      <c r="BF148" s="3340"/>
      <c r="BG148" s="3340"/>
      <c r="BH148" s="3340"/>
      <c r="BI148" s="3340"/>
      <c r="BJ148" s="3340"/>
      <c r="BK148" s="3340"/>
      <c r="BL148" s="3340"/>
      <c r="BM148" s="3340"/>
      <c r="BN148" s="3340"/>
      <c r="BO148" s="3340"/>
    </row>
    <row r="149" spans="48:67" s="3316" customFormat="1">
      <c r="AV149" s="3340"/>
      <c r="AW149" s="3340"/>
      <c r="AX149" s="3340"/>
      <c r="AY149" s="3340"/>
      <c r="AZ149" s="3340"/>
      <c r="BA149" s="3340"/>
      <c r="BB149" s="3340"/>
      <c r="BC149" s="3340"/>
      <c r="BD149" s="3340"/>
      <c r="BE149" s="3340"/>
      <c r="BF149" s="3340"/>
      <c r="BG149" s="3340"/>
      <c r="BH149" s="3340"/>
      <c r="BI149" s="3340"/>
      <c r="BJ149" s="3340"/>
      <c r="BK149" s="3340"/>
      <c r="BL149" s="3340"/>
      <c r="BM149" s="3340"/>
      <c r="BN149" s="3340"/>
      <c r="BO149" s="3340"/>
    </row>
    <row r="150" spans="48:67" s="3316" customFormat="1">
      <c r="AV150" s="3340"/>
      <c r="AW150" s="3340"/>
      <c r="AX150" s="3340"/>
      <c r="AY150" s="3340"/>
      <c r="AZ150" s="3340"/>
      <c r="BA150" s="3340"/>
      <c r="BB150" s="3340"/>
      <c r="BC150" s="3340"/>
      <c r="BD150" s="3340"/>
      <c r="BE150" s="3340"/>
      <c r="BF150" s="3340"/>
      <c r="BG150" s="3340"/>
      <c r="BH150" s="3340"/>
      <c r="BI150" s="3340"/>
      <c r="BJ150" s="3340"/>
      <c r="BK150" s="3340"/>
      <c r="BL150" s="3340"/>
      <c r="BM150" s="3340"/>
      <c r="BN150" s="3340"/>
      <c r="BO150" s="3340"/>
    </row>
    <row r="151" spans="48:67" s="3316" customFormat="1">
      <c r="AV151" s="3340"/>
      <c r="AW151" s="3340"/>
      <c r="AX151" s="3340"/>
      <c r="AY151" s="3340"/>
      <c r="AZ151" s="3340"/>
      <c r="BA151" s="3340"/>
      <c r="BB151" s="3340"/>
      <c r="BC151" s="3340"/>
      <c r="BD151" s="3340"/>
      <c r="BE151" s="3340"/>
      <c r="BF151" s="3340"/>
      <c r="BG151" s="3340"/>
      <c r="BH151" s="3340"/>
      <c r="BI151" s="3340"/>
      <c r="BJ151" s="3340"/>
      <c r="BK151" s="3340"/>
      <c r="BL151" s="3340"/>
      <c r="BM151" s="3340"/>
      <c r="BN151" s="3340"/>
      <c r="BO151" s="3340"/>
    </row>
    <row r="152" spans="48:67" s="3316" customFormat="1">
      <c r="AV152" s="3340"/>
      <c r="AW152" s="3340"/>
      <c r="AX152" s="3340"/>
      <c r="AY152" s="3340"/>
      <c r="AZ152" s="3340"/>
      <c r="BA152" s="3340"/>
      <c r="BB152" s="3340"/>
      <c r="BC152" s="3340"/>
      <c r="BD152" s="3340"/>
      <c r="BE152" s="3340"/>
      <c r="BF152" s="3340"/>
      <c r="BG152" s="3340"/>
      <c r="BH152" s="3340"/>
      <c r="BI152" s="3340"/>
      <c r="BJ152" s="3340"/>
      <c r="BK152" s="3340"/>
      <c r="BL152" s="3340"/>
      <c r="BM152" s="3340"/>
      <c r="BN152" s="3340"/>
      <c r="BO152" s="3340"/>
    </row>
    <row r="153" spans="48:67" s="3316" customFormat="1">
      <c r="AV153" s="3340"/>
      <c r="AW153" s="3340"/>
      <c r="AX153" s="3340"/>
      <c r="AY153" s="3340"/>
      <c r="AZ153" s="3340"/>
      <c r="BA153" s="3340"/>
      <c r="BB153" s="3340"/>
      <c r="BC153" s="3340"/>
      <c r="BD153" s="3340"/>
      <c r="BE153" s="3340"/>
      <c r="BF153" s="3340"/>
      <c r="BG153" s="3340"/>
      <c r="BH153" s="3340"/>
      <c r="BI153" s="3340"/>
      <c r="BJ153" s="3340"/>
      <c r="BK153" s="3340"/>
      <c r="BL153" s="3340"/>
      <c r="BM153" s="3340"/>
      <c r="BN153" s="3340"/>
      <c r="BO153" s="3340"/>
    </row>
    <row r="154" spans="48:67" s="3316" customFormat="1">
      <c r="AV154" s="3340"/>
      <c r="AW154" s="3340"/>
      <c r="AX154" s="3340"/>
      <c r="AY154" s="3340"/>
      <c r="AZ154" s="3340"/>
      <c r="BA154" s="3340"/>
      <c r="BB154" s="3340"/>
      <c r="BC154" s="3340"/>
      <c r="BD154" s="3340"/>
      <c r="BE154" s="3340"/>
      <c r="BF154" s="3340"/>
      <c r="BG154" s="3340"/>
      <c r="BH154" s="3340"/>
      <c r="BI154" s="3340"/>
      <c r="BJ154" s="3340"/>
      <c r="BK154" s="3340"/>
      <c r="BL154" s="3340"/>
      <c r="BM154" s="3340"/>
      <c r="BN154" s="3340"/>
      <c r="BO154" s="3340"/>
    </row>
    <row r="155" spans="48:67" s="3316" customFormat="1">
      <c r="AV155" s="3340"/>
      <c r="AW155" s="3340"/>
      <c r="AX155" s="3340"/>
      <c r="AY155" s="3340"/>
      <c r="AZ155" s="3340"/>
      <c r="BA155" s="3340"/>
      <c r="BB155" s="3340"/>
      <c r="BC155" s="3340"/>
      <c r="BD155" s="3340"/>
      <c r="BE155" s="3340"/>
      <c r="BF155" s="3340"/>
      <c r="BG155" s="3340"/>
      <c r="BH155" s="3340"/>
      <c r="BI155" s="3340"/>
      <c r="BJ155" s="3340"/>
      <c r="BK155" s="3340"/>
      <c r="BL155" s="3340"/>
      <c r="BM155" s="3340"/>
      <c r="BN155" s="3340"/>
      <c r="BO155" s="3340"/>
    </row>
    <row r="156" spans="48:67" s="3316" customFormat="1">
      <c r="AV156" s="3340"/>
      <c r="AW156" s="3340"/>
      <c r="AX156" s="3340"/>
      <c r="AY156" s="3340"/>
      <c r="AZ156" s="3340"/>
      <c r="BA156" s="3340"/>
      <c r="BB156" s="3340"/>
      <c r="BC156" s="3340"/>
      <c r="BD156" s="3340"/>
      <c r="BE156" s="3340"/>
      <c r="BF156" s="3340"/>
      <c r="BG156" s="3340"/>
      <c r="BH156" s="3340"/>
      <c r="BI156" s="3340"/>
      <c r="BJ156" s="3340"/>
      <c r="BK156" s="3340"/>
      <c r="BL156" s="3340"/>
      <c r="BM156" s="3340"/>
      <c r="BN156" s="3340"/>
      <c r="BO156" s="3340"/>
    </row>
    <row r="157" spans="48:67" s="3316" customFormat="1">
      <c r="AV157" s="3340"/>
      <c r="AW157" s="3340"/>
      <c r="AX157" s="3340"/>
      <c r="AY157" s="3340"/>
      <c r="AZ157" s="3340"/>
      <c r="BA157" s="3340"/>
      <c r="BB157" s="3340"/>
      <c r="BC157" s="3340"/>
      <c r="BD157" s="3340"/>
      <c r="BE157" s="3340"/>
      <c r="BF157" s="3340"/>
      <c r="BG157" s="3340"/>
      <c r="BH157" s="3340"/>
      <c r="BI157" s="3340"/>
      <c r="BJ157" s="3340"/>
      <c r="BK157" s="3340"/>
      <c r="BL157" s="3340"/>
      <c r="BM157" s="3340"/>
      <c r="BN157" s="3340"/>
      <c r="BO157" s="3340"/>
    </row>
    <row r="158" spans="48:67" s="3316" customFormat="1">
      <c r="AV158" s="3340"/>
      <c r="AW158" s="3340"/>
      <c r="AX158" s="3340"/>
      <c r="AY158" s="3340"/>
      <c r="AZ158" s="3340"/>
      <c r="BA158" s="3340"/>
      <c r="BB158" s="3340"/>
      <c r="BC158" s="3340"/>
      <c r="BD158" s="3340"/>
      <c r="BE158" s="3340"/>
      <c r="BF158" s="3340"/>
      <c r="BG158" s="3340"/>
      <c r="BH158" s="3340"/>
      <c r="BI158" s="3340"/>
      <c r="BJ158" s="3340"/>
      <c r="BK158" s="3340"/>
      <c r="BL158" s="3340"/>
      <c r="BM158" s="3340"/>
      <c r="BN158" s="3340"/>
      <c r="BO158" s="3340"/>
    </row>
    <row r="159" spans="48:67" s="3316" customFormat="1">
      <c r="AV159" s="3340"/>
      <c r="AW159" s="3340"/>
      <c r="AX159" s="3340"/>
      <c r="AY159" s="3340"/>
      <c r="AZ159" s="3340"/>
      <c r="BA159" s="3340"/>
      <c r="BB159" s="3340"/>
      <c r="BC159" s="3340"/>
      <c r="BD159" s="3340"/>
      <c r="BE159" s="3340"/>
      <c r="BF159" s="3340"/>
      <c r="BG159" s="3340"/>
      <c r="BH159" s="3340"/>
      <c r="BI159" s="3340"/>
      <c r="BJ159" s="3340"/>
      <c r="BK159" s="3340"/>
      <c r="BL159" s="3340"/>
      <c r="BM159" s="3340"/>
      <c r="BN159" s="3340"/>
      <c r="BO159" s="3340"/>
    </row>
    <row r="160" spans="48:67" s="3316" customFormat="1">
      <c r="AV160" s="3340"/>
      <c r="AW160" s="3340"/>
      <c r="AX160" s="3340"/>
      <c r="AY160" s="3340"/>
      <c r="AZ160" s="3340"/>
      <c r="BA160" s="3340"/>
      <c r="BB160" s="3340"/>
      <c r="BC160" s="3340"/>
      <c r="BD160" s="3340"/>
      <c r="BE160" s="3340"/>
      <c r="BF160" s="3340"/>
      <c r="BG160" s="3340"/>
      <c r="BH160" s="3340"/>
      <c r="BI160" s="3340"/>
      <c r="BJ160" s="3340"/>
      <c r="BK160" s="3340"/>
      <c r="BL160" s="3340"/>
      <c r="BM160" s="3340"/>
      <c r="BN160" s="3340"/>
      <c r="BO160" s="3340"/>
    </row>
    <row r="161" spans="48:67" s="3316" customFormat="1">
      <c r="AV161" s="3340"/>
      <c r="AW161" s="3340"/>
      <c r="AX161" s="3340"/>
      <c r="AY161" s="3340"/>
      <c r="AZ161" s="3340"/>
      <c r="BA161" s="3340"/>
      <c r="BB161" s="3340"/>
      <c r="BC161" s="3340"/>
      <c r="BD161" s="3340"/>
      <c r="BE161" s="3340"/>
      <c r="BF161" s="3340"/>
      <c r="BG161" s="3340"/>
      <c r="BH161" s="3340"/>
      <c r="BI161" s="3340"/>
      <c r="BJ161" s="3340"/>
      <c r="BK161" s="3340"/>
      <c r="BL161" s="3340"/>
      <c r="BM161" s="3340"/>
      <c r="BN161" s="3340"/>
      <c r="BO161" s="3340"/>
    </row>
    <row r="162" spans="48:67" s="3316" customFormat="1">
      <c r="AV162" s="3340"/>
      <c r="AW162" s="3340"/>
      <c r="AX162" s="3340"/>
      <c r="AY162" s="3340"/>
      <c r="AZ162" s="3340"/>
      <c r="BA162" s="3340"/>
      <c r="BB162" s="3340"/>
      <c r="BC162" s="3340"/>
      <c r="BD162" s="3340"/>
      <c r="BE162" s="3340"/>
      <c r="BF162" s="3340"/>
      <c r="BG162" s="3340"/>
      <c r="BH162" s="3340"/>
      <c r="BI162" s="3340"/>
      <c r="BJ162" s="3340"/>
      <c r="BK162" s="3340"/>
      <c r="BL162" s="3340"/>
      <c r="BM162" s="3340"/>
      <c r="BN162" s="3340"/>
      <c r="BO162" s="3340"/>
    </row>
    <row r="163" spans="48:67" s="3316" customFormat="1">
      <c r="AV163" s="3340"/>
      <c r="AW163" s="3340"/>
      <c r="AX163" s="3340"/>
      <c r="AY163" s="3340"/>
      <c r="AZ163" s="3340"/>
      <c r="BA163" s="3340"/>
      <c r="BB163" s="3340"/>
      <c r="BC163" s="3340"/>
      <c r="BD163" s="3340"/>
      <c r="BE163" s="3340"/>
      <c r="BF163" s="3340"/>
      <c r="BG163" s="3340"/>
      <c r="BH163" s="3340"/>
      <c r="BI163" s="3340"/>
      <c r="BJ163" s="3340"/>
      <c r="BK163" s="3340"/>
      <c r="BL163" s="3340"/>
      <c r="BM163" s="3340"/>
      <c r="BN163" s="3340"/>
      <c r="BO163" s="3340"/>
    </row>
    <row r="164" spans="48:67" s="3316" customFormat="1">
      <c r="AV164" s="3340"/>
      <c r="AW164" s="3340"/>
      <c r="AX164" s="3340"/>
      <c r="AY164" s="3340"/>
      <c r="AZ164" s="3340"/>
      <c r="BA164" s="3340"/>
      <c r="BB164" s="3340"/>
      <c r="BC164" s="3340"/>
      <c r="BD164" s="3340"/>
      <c r="BE164" s="3340"/>
      <c r="BF164" s="3340"/>
      <c r="BG164" s="3340"/>
      <c r="BH164" s="3340"/>
      <c r="BI164" s="3340"/>
      <c r="BJ164" s="3340"/>
      <c r="BK164" s="3340"/>
      <c r="BL164" s="3340"/>
      <c r="BM164" s="3340"/>
      <c r="BN164" s="3340"/>
      <c r="BO164" s="3340"/>
    </row>
    <row r="165" spans="48:67" s="3316" customFormat="1">
      <c r="AV165" s="3340"/>
      <c r="AW165" s="3340"/>
      <c r="AX165" s="3340"/>
      <c r="AY165" s="3340"/>
      <c r="AZ165" s="3340"/>
      <c r="BA165" s="3340"/>
      <c r="BB165" s="3340"/>
      <c r="BC165" s="3340"/>
      <c r="BD165" s="3340"/>
      <c r="BE165" s="3340"/>
      <c r="BF165" s="3340"/>
      <c r="BG165" s="3340"/>
      <c r="BH165" s="3340"/>
      <c r="BI165" s="3340"/>
      <c r="BJ165" s="3340"/>
      <c r="BK165" s="3340"/>
      <c r="BL165" s="3340"/>
      <c r="BM165" s="3340"/>
      <c r="BN165" s="3340"/>
      <c r="BO165" s="3340"/>
    </row>
    <row r="166" spans="48:67" s="3316" customFormat="1">
      <c r="AV166" s="3340"/>
      <c r="AW166" s="3340"/>
      <c r="AX166" s="3340"/>
      <c r="AY166" s="3340"/>
      <c r="AZ166" s="3340"/>
      <c r="BA166" s="3340"/>
      <c r="BB166" s="3340"/>
      <c r="BC166" s="3340"/>
      <c r="BD166" s="3340"/>
      <c r="BE166" s="3340"/>
      <c r="BF166" s="3340"/>
      <c r="BG166" s="3340"/>
      <c r="BH166" s="3340"/>
      <c r="BI166" s="3340"/>
      <c r="BJ166" s="3340"/>
      <c r="BK166" s="3340"/>
      <c r="BL166" s="3340"/>
      <c r="BM166" s="3340"/>
      <c r="BN166" s="3340"/>
      <c r="BO166" s="3340"/>
    </row>
    <row r="167" spans="48:67" s="3316" customFormat="1">
      <c r="AV167" s="3340"/>
      <c r="AW167" s="3340"/>
      <c r="AX167" s="3340"/>
      <c r="AY167" s="3340"/>
      <c r="AZ167" s="3340"/>
      <c r="BA167" s="3340"/>
      <c r="BB167" s="3340"/>
      <c r="BC167" s="3340"/>
      <c r="BD167" s="3340"/>
      <c r="BE167" s="3340"/>
      <c r="BF167" s="3340"/>
      <c r="BG167" s="3340"/>
      <c r="BH167" s="3340"/>
      <c r="BI167" s="3340"/>
      <c r="BJ167" s="3340"/>
      <c r="BK167" s="3340"/>
      <c r="BL167" s="3340"/>
      <c r="BM167" s="3340"/>
      <c r="BN167" s="3340"/>
      <c r="BO167" s="3340"/>
    </row>
    <row r="168" spans="48:67" s="3316" customFormat="1">
      <c r="AV168" s="3340"/>
      <c r="AW168" s="3340"/>
      <c r="AX168" s="3340"/>
      <c r="AY168" s="3340"/>
      <c r="AZ168" s="3340"/>
      <c r="BA168" s="3340"/>
      <c r="BB168" s="3340"/>
      <c r="BC168" s="3340"/>
      <c r="BD168" s="3340"/>
      <c r="BE168" s="3340"/>
      <c r="BF168" s="3340"/>
      <c r="BG168" s="3340"/>
      <c r="BH168" s="3340"/>
      <c r="BI168" s="3340"/>
      <c r="BJ168" s="3340"/>
      <c r="BK168" s="3340"/>
      <c r="BL168" s="3340"/>
      <c r="BM168" s="3340"/>
      <c r="BN168" s="3340"/>
      <c r="BO168" s="3340"/>
    </row>
    <row r="169" spans="48:67" s="3316" customFormat="1">
      <c r="AV169" s="3340"/>
      <c r="AW169" s="3340"/>
      <c r="AX169" s="3340"/>
      <c r="AY169" s="3340"/>
      <c r="AZ169" s="3340"/>
      <c r="BA169" s="3340"/>
      <c r="BB169" s="3340"/>
      <c r="BC169" s="3340"/>
      <c r="BD169" s="3340"/>
      <c r="BE169" s="3340"/>
      <c r="BF169" s="3340"/>
      <c r="BG169" s="3340"/>
      <c r="BH169" s="3340"/>
      <c r="BI169" s="3340"/>
      <c r="BJ169" s="3340"/>
      <c r="BK169" s="3340"/>
      <c r="BL169" s="3340"/>
      <c r="BM169" s="3340"/>
      <c r="BN169" s="3340"/>
      <c r="BO169" s="3340"/>
    </row>
    <row r="170" spans="48:67" s="3316" customFormat="1">
      <c r="AV170" s="3340"/>
      <c r="AW170" s="3340"/>
      <c r="AX170" s="3340"/>
      <c r="AY170" s="3340"/>
      <c r="AZ170" s="3340"/>
      <c r="BA170" s="3340"/>
      <c r="BB170" s="3340"/>
      <c r="BC170" s="3340"/>
      <c r="BD170" s="3340"/>
      <c r="BE170" s="3340"/>
      <c r="BF170" s="3340"/>
      <c r="BG170" s="3340"/>
      <c r="BH170" s="3340"/>
      <c r="BI170" s="3340"/>
      <c r="BJ170" s="3340"/>
      <c r="BK170" s="3340"/>
      <c r="BL170" s="3340"/>
      <c r="BM170" s="3340"/>
      <c r="BN170" s="3340"/>
      <c r="BO170" s="3340"/>
    </row>
    <row r="171" spans="48:67" s="3316" customFormat="1">
      <c r="AV171" s="3340"/>
      <c r="AW171" s="3340"/>
      <c r="AX171" s="3340"/>
      <c r="AY171" s="3340"/>
      <c r="AZ171" s="3340"/>
      <c r="BA171" s="3340"/>
      <c r="BB171" s="3340"/>
      <c r="BC171" s="3340"/>
      <c r="BD171" s="3340"/>
      <c r="BE171" s="3340"/>
      <c r="BF171" s="3340"/>
      <c r="BG171" s="3340"/>
      <c r="BH171" s="3340"/>
      <c r="BI171" s="3340"/>
      <c r="BJ171" s="3340"/>
      <c r="BK171" s="3340"/>
      <c r="BL171" s="3340"/>
      <c r="BM171" s="3340"/>
      <c r="BN171" s="3340"/>
      <c r="BO171" s="3340"/>
    </row>
    <row r="172" spans="48:67" s="3316" customFormat="1">
      <c r="AV172" s="3340"/>
      <c r="AW172" s="3340"/>
      <c r="AX172" s="3340"/>
      <c r="AY172" s="3340"/>
      <c r="AZ172" s="3340"/>
      <c r="BA172" s="3340"/>
      <c r="BB172" s="3340"/>
      <c r="BC172" s="3340"/>
      <c r="BD172" s="3340"/>
      <c r="BE172" s="3340"/>
      <c r="BF172" s="3340"/>
      <c r="BG172" s="3340"/>
      <c r="BH172" s="3340"/>
      <c r="BI172" s="3340"/>
      <c r="BJ172" s="3340"/>
      <c r="BK172" s="3340"/>
      <c r="BL172" s="3340"/>
      <c r="BM172" s="3340"/>
      <c r="BN172" s="3340"/>
      <c r="BO172" s="3340"/>
    </row>
    <row r="173" spans="48:67" s="3316" customFormat="1">
      <c r="AV173" s="3340"/>
      <c r="AW173" s="3340"/>
      <c r="AX173" s="3340"/>
      <c r="AY173" s="3340"/>
      <c r="AZ173" s="3340"/>
      <c r="BA173" s="3340"/>
      <c r="BB173" s="3340"/>
      <c r="BC173" s="3340"/>
      <c r="BD173" s="3340"/>
      <c r="BE173" s="3340"/>
      <c r="BF173" s="3340"/>
      <c r="BG173" s="3340"/>
      <c r="BH173" s="3340"/>
      <c r="BI173" s="3340"/>
      <c r="BJ173" s="3340"/>
      <c r="BK173" s="3340"/>
      <c r="BL173" s="3340"/>
      <c r="BM173" s="3340"/>
      <c r="BN173" s="3340"/>
      <c r="BO173" s="3340"/>
    </row>
    <row r="174" spans="48:67" s="3316" customFormat="1">
      <c r="AV174" s="3340"/>
      <c r="AW174" s="3340"/>
      <c r="AX174" s="3340"/>
      <c r="AY174" s="3340"/>
      <c r="AZ174" s="3340"/>
      <c r="BA174" s="3340"/>
      <c r="BB174" s="3340"/>
      <c r="BC174" s="3340"/>
      <c r="BD174" s="3340"/>
      <c r="BE174" s="3340"/>
      <c r="BF174" s="3340"/>
      <c r="BG174" s="3340"/>
      <c r="BH174" s="3340"/>
      <c r="BI174" s="3340"/>
      <c r="BJ174" s="3340"/>
      <c r="BK174" s="3340"/>
      <c r="BL174" s="3340"/>
      <c r="BM174" s="3340"/>
      <c r="BN174" s="3340"/>
      <c r="BO174" s="3340"/>
    </row>
    <row r="175" spans="48:67" s="3316" customFormat="1">
      <c r="AV175" s="3340"/>
      <c r="AW175" s="3340"/>
      <c r="AX175" s="3340"/>
      <c r="AY175" s="3340"/>
      <c r="AZ175" s="3340"/>
      <c r="BA175" s="3340"/>
      <c r="BB175" s="3340"/>
      <c r="BC175" s="3340"/>
      <c r="BD175" s="3340"/>
      <c r="BE175" s="3340"/>
      <c r="BF175" s="3340"/>
      <c r="BG175" s="3340"/>
      <c r="BH175" s="3340"/>
      <c r="BI175" s="3340"/>
      <c r="BJ175" s="3340"/>
      <c r="BK175" s="3340"/>
      <c r="BL175" s="3340"/>
      <c r="BM175" s="3340"/>
      <c r="BN175" s="3340"/>
      <c r="BO175" s="3340"/>
    </row>
    <row r="176" spans="48:67" s="3316" customFormat="1">
      <c r="AV176" s="3340"/>
      <c r="AW176" s="3340"/>
      <c r="AX176" s="3340"/>
      <c r="AY176" s="3340"/>
      <c r="AZ176" s="3340"/>
      <c r="BA176" s="3340"/>
      <c r="BB176" s="3340"/>
      <c r="BC176" s="3340"/>
      <c r="BD176" s="3340"/>
      <c r="BE176" s="3340"/>
      <c r="BF176" s="3340"/>
      <c r="BG176" s="3340"/>
      <c r="BH176" s="3340"/>
      <c r="BI176" s="3340"/>
      <c r="BJ176" s="3340"/>
      <c r="BK176" s="3340"/>
      <c r="BL176" s="3340"/>
      <c r="BM176" s="3340"/>
      <c r="BN176" s="3340"/>
      <c r="BO176" s="3340"/>
    </row>
    <row r="177" spans="48:67" s="3316" customFormat="1">
      <c r="AV177" s="3340"/>
      <c r="AW177" s="3340"/>
      <c r="AX177" s="3340"/>
      <c r="AY177" s="3340"/>
      <c r="AZ177" s="3340"/>
      <c r="BA177" s="3340"/>
      <c r="BB177" s="3340"/>
      <c r="BC177" s="3340"/>
      <c r="BD177" s="3340"/>
      <c r="BE177" s="3340"/>
      <c r="BF177" s="3340"/>
      <c r="BG177" s="3340"/>
      <c r="BH177" s="3340"/>
      <c r="BI177" s="3340"/>
      <c r="BJ177" s="3340"/>
      <c r="BK177" s="3340"/>
      <c r="BL177" s="3340"/>
      <c r="BM177" s="3340"/>
      <c r="BN177" s="3340"/>
      <c r="BO177" s="3340"/>
    </row>
    <row r="178" spans="48:67" s="3316" customFormat="1">
      <c r="AV178" s="3340"/>
      <c r="AW178" s="3340"/>
      <c r="AX178" s="3340"/>
      <c r="AY178" s="3340"/>
      <c r="AZ178" s="3340"/>
      <c r="BA178" s="3340"/>
      <c r="BB178" s="3340"/>
      <c r="BC178" s="3340"/>
      <c r="BD178" s="3340"/>
      <c r="BE178" s="3340"/>
      <c r="BF178" s="3340"/>
      <c r="BG178" s="3340"/>
      <c r="BH178" s="3340"/>
      <c r="BI178" s="3340"/>
      <c r="BJ178" s="3340"/>
      <c r="BK178" s="3340"/>
      <c r="BL178" s="3340"/>
      <c r="BM178" s="3340"/>
      <c r="BN178" s="3340"/>
      <c r="BO178" s="3340"/>
    </row>
    <row r="179" spans="48:67" s="3316" customFormat="1">
      <c r="AV179" s="3340"/>
      <c r="AW179" s="3340"/>
      <c r="AX179" s="3340"/>
      <c r="AY179" s="3340"/>
      <c r="AZ179" s="3340"/>
      <c r="BA179" s="3340"/>
      <c r="BB179" s="3340"/>
      <c r="BC179" s="3340"/>
      <c r="BD179" s="3340"/>
      <c r="BE179" s="3340"/>
      <c r="BF179" s="3340"/>
      <c r="BG179" s="3340"/>
      <c r="BH179" s="3340"/>
      <c r="BI179" s="3340"/>
      <c r="BJ179" s="3340"/>
      <c r="BK179" s="3340"/>
      <c r="BL179" s="3340"/>
      <c r="BM179" s="3340"/>
      <c r="BN179" s="3340"/>
      <c r="BO179" s="3340"/>
    </row>
    <row r="180" spans="48:67" s="3316" customFormat="1">
      <c r="AV180" s="3340"/>
      <c r="AW180" s="3340"/>
      <c r="AX180" s="3340"/>
      <c r="AY180" s="3340"/>
      <c r="AZ180" s="3340"/>
      <c r="BA180" s="3340"/>
      <c r="BB180" s="3340"/>
      <c r="BC180" s="3340"/>
      <c r="BD180" s="3340"/>
      <c r="BE180" s="3340"/>
      <c r="BF180" s="3340"/>
      <c r="BG180" s="3340"/>
      <c r="BH180" s="3340"/>
      <c r="BI180" s="3340"/>
      <c r="BJ180" s="3340"/>
      <c r="BK180" s="3340"/>
      <c r="BL180" s="3340"/>
      <c r="BM180" s="3340"/>
      <c r="BN180" s="3340"/>
      <c r="BO180" s="3340"/>
    </row>
    <row r="181" spans="48:67" s="3316" customFormat="1">
      <c r="AV181" s="3340"/>
      <c r="AW181" s="3340"/>
      <c r="AX181" s="3340"/>
      <c r="AY181" s="3340"/>
      <c r="AZ181" s="3340"/>
      <c r="BA181" s="3340"/>
      <c r="BB181" s="3340"/>
      <c r="BC181" s="3340"/>
      <c r="BD181" s="3340"/>
      <c r="BE181" s="3340"/>
      <c r="BF181" s="3340"/>
      <c r="BG181" s="3340"/>
      <c r="BH181" s="3340"/>
      <c r="BI181" s="3340"/>
      <c r="BJ181" s="3340"/>
      <c r="BK181" s="3340"/>
      <c r="BL181" s="3340"/>
      <c r="BM181" s="3340"/>
      <c r="BN181" s="3340"/>
      <c r="BO181" s="3340"/>
    </row>
    <row r="182" spans="48:67" s="3316" customFormat="1">
      <c r="AV182" s="3340"/>
      <c r="AW182" s="3340"/>
      <c r="AX182" s="3340"/>
      <c r="AY182" s="3340"/>
      <c r="AZ182" s="3340"/>
      <c r="BA182" s="3340"/>
      <c r="BB182" s="3340"/>
      <c r="BC182" s="3340"/>
      <c r="BD182" s="3340"/>
      <c r="BE182" s="3340"/>
      <c r="BF182" s="3340"/>
      <c r="BG182" s="3340"/>
      <c r="BH182" s="3340"/>
      <c r="BI182" s="3340"/>
      <c r="BJ182" s="3340"/>
      <c r="BK182" s="3340"/>
      <c r="BL182" s="3340"/>
      <c r="BM182" s="3340"/>
      <c r="BN182" s="3340"/>
      <c r="BO182" s="3340"/>
    </row>
    <row r="183" spans="48:67" s="3316" customFormat="1">
      <c r="AV183" s="3340"/>
      <c r="AW183" s="3340"/>
      <c r="AX183" s="3340"/>
      <c r="AY183" s="3340"/>
      <c r="AZ183" s="3340"/>
      <c r="BA183" s="3340"/>
      <c r="BB183" s="3340"/>
      <c r="BC183" s="3340"/>
      <c r="BD183" s="3340"/>
      <c r="BE183" s="3340"/>
      <c r="BF183" s="3340"/>
      <c r="BG183" s="3340"/>
      <c r="BH183" s="3340"/>
      <c r="BI183" s="3340"/>
      <c r="BJ183" s="3340"/>
      <c r="BK183" s="3340"/>
      <c r="BL183" s="3340"/>
      <c r="BM183" s="3340"/>
      <c r="BN183" s="3340"/>
      <c r="BO183" s="3340"/>
    </row>
    <row r="184" spans="48:67" s="3316" customFormat="1">
      <c r="AV184" s="3340"/>
      <c r="AW184" s="3340"/>
      <c r="AX184" s="3340"/>
      <c r="AY184" s="3340"/>
      <c r="AZ184" s="3340"/>
      <c r="BA184" s="3340"/>
      <c r="BB184" s="3340"/>
      <c r="BC184" s="3340"/>
      <c r="BD184" s="3340"/>
      <c r="BE184" s="3340"/>
      <c r="BF184" s="3340"/>
      <c r="BG184" s="3340"/>
      <c r="BH184" s="3340"/>
      <c r="BI184" s="3340"/>
      <c r="BJ184" s="3340"/>
      <c r="BK184" s="3340"/>
      <c r="BL184" s="3340"/>
      <c r="BM184" s="3340"/>
      <c r="BN184" s="3340"/>
      <c r="BO184" s="3340"/>
    </row>
    <row r="185" spans="48:67" s="3316" customFormat="1">
      <c r="AV185" s="3340"/>
      <c r="AW185" s="3340"/>
      <c r="AX185" s="3340"/>
      <c r="AY185" s="3340"/>
      <c r="AZ185" s="3340"/>
      <c r="BA185" s="3340"/>
      <c r="BB185" s="3340"/>
      <c r="BC185" s="3340"/>
      <c r="BD185" s="3340"/>
      <c r="BE185" s="3340"/>
      <c r="BF185" s="3340"/>
      <c r="BG185" s="3340"/>
      <c r="BH185" s="3340"/>
      <c r="BI185" s="3340"/>
      <c r="BJ185" s="3340"/>
      <c r="BK185" s="3340"/>
      <c r="BL185" s="3340"/>
      <c r="BM185" s="3340"/>
      <c r="BN185" s="3340"/>
      <c r="BO185" s="3340"/>
    </row>
    <row r="186" spans="48:67" s="3316" customFormat="1">
      <c r="AV186" s="3340"/>
      <c r="AW186" s="3340"/>
      <c r="AX186" s="3340"/>
      <c r="AY186" s="3340"/>
      <c r="AZ186" s="3340"/>
      <c r="BA186" s="3340"/>
      <c r="BB186" s="3340"/>
      <c r="BC186" s="3340"/>
      <c r="BD186" s="3340"/>
      <c r="BE186" s="3340"/>
      <c r="BF186" s="3340"/>
      <c r="BG186" s="3340"/>
      <c r="BH186" s="3340"/>
      <c r="BI186" s="3340"/>
      <c r="BJ186" s="3340"/>
      <c r="BK186" s="3340"/>
      <c r="BL186" s="3340"/>
      <c r="BM186" s="3340"/>
      <c r="BN186" s="3340"/>
      <c r="BO186" s="3340"/>
    </row>
    <row r="187" spans="48:67" s="3316" customFormat="1">
      <c r="AV187" s="3340"/>
      <c r="AW187" s="3340"/>
      <c r="AX187" s="3340"/>
      <c r="AY187" s="3340"/>
      <c r="AZ187" s="3340"/>
      <c r="BA187" s="3340"/>
      <c r="BB187" s="3340"/>
      <c r="BC187" s="3340"/>
      <c r="BD187" s="3340"/>
      <c r="BE187" s="3340"/>
      <c r="BF187" s="3340"/>
      <c r="BG187" s="3340"/>
      <c r="BH187" s="3340"/>
      <c r="BI187" s="3340"/>
      <c r="BJ187" s="3340"/>
      <c r="BK187" s="3340"/>
      <c r="BL187" s="3340"/>
      <c r="BM187" s="3340"/>
      <c r="BN187" s="3340"/>
      <c r="BO187" s="3340"/>
    </row>
    <row r="188" spans="48:67" s="3316" customFormat="1">
      <c r="AV188" s="3340"/>
      <c r="AW188" s="3340"/>
      <c r="AX188" s="3340"/>
      <c r="AY188" s="3340"/>
      <c r="AZ188" s="3340"/>
      <c r="BA188" s="3340"/>
      <c r="BB188" s="3340"/>
      <c r="BC188" s="3340"/>
      <c r="BD188" s="3340"/>
      <c r="BE188" s="3340"/>
      <c r="BF188" s="3340"/>
      <c r="BG188" s="3340"/>
      <c r="BH188" s="3340"/>
      <c r="BI188" s="3340"/>
      <c r="BJ188" s="3340"/>
      <c r="BK188" s="3340"/>
      <c r="BL188" s="3340"/>
      <c r="BM188" s="3340"/>
      <c r="BN188" s="3340"/>
      <c r="BO188" s="3340"/>
    </row>
    <row r="189" spans="48:67" s="3316" customFormat="1">
      <c r="AV189" s="3340"/>
      <c r="AW189" s="3340"/>
      <c r="AX189" s="3340"/>
      <c r="AY189" s="3340"/>
      <c r="AZ189" s="3340"/>
      <c r="BA189" s="3340"/>
      <c r="BB189" s="3340"/>
      <c r="BC189" s="3340"/>
      <c r="BD189" s="3340"/>
      <c r="BE189" s="3340"/>
      <c r="BF189" s="3340"/>
      <c r="BG189" s="3340"/>
      <c r="BH189" s="3340"/>
      <c r="BI189" s="3340"/>
      <c r="BJ189" s="3340"/>
      <c r="BK189" s="3340"/>
      <c r="BL189" s="3340"/>
      <c r="BM189" s="3340"/>
      <c r="BN189" s="3340"/>
      <c r="BO189" s="3340"/>
    </row>
    <row r="190" spans="48:67" s="3316" customFormat="1">
      <c r="AV190" s="3340"/>
      <c r="AW190" s="3340"/>
      <c r="AX190" s="3340"/>
      <c r="AY190" s="3340"/>
      <c r="AZ190" s="3340"/>
      <c r="BA190" s="3340"/>
      <c r="BB190" s="3340"/>
      <c r="BC190" s="3340"/>
      <c r="BD190" s="3340"/>
      <c r="BE190" s="3340"/>
      <c r="BF190" s="3340"/>
      <c r="BG190" s="3340"/>
      <c r="BH190" s="3340"/>
      <c r="BI190" s="3340"/>
      <c r="BJ190" s="3340"/>
      <c r="BK190" s="3340"/>
      <c r="BL190" s="3340"/>
      <c r="BM190" s="3340"/>
      <c r="BN190" s="3340"/>
      <c r="BO190" s="3340"/>
    </row>
    <row r="191" spans="48:67" s="3316" customFormat="1">
      <c r="AV191" s="3340"/>
      <c r="AW191" s="3340"/>
      <c r="AX191" s="3340"/>
      <c r="AY191" s="3340"/>
      <c r="AZ191" s="3340"/>
      <c r="BA191" s="3340"/>
      <c r="BB191" s="3340"/>
      <c r="BC191" s="3340"/>
      <c r="BD191" s="3340"/>
      <c r="BE191" s="3340"/>
      <c r="BF191" s="3340"/>
      <c r="BG191" s="3340"/>
      <c r="BH191" s="3340"/>
      <c r="BI191" s="3340"/>
      <c r="BJ191" s="3340"/>
      <c r="BK191" s="3340"/>
      <c r="BL191" s="3340"/>
      <c r="BM191" s="3340"/>
      <c r="BN191" s="3340"/>
      <c r="BO191" s="3340"/>
    </row>
    <row r="192" spans="48:67" s="3316" customFormat="1">
      <c r="AV192" s="3340"/>
      <c r="AW192" s="3340"/>
      <c r="AX192" s="3340"/>
      <c r="AY192" s="3340"/>
      <c r="AZ192" s="3340"/>
      <c r="BA192" s="3340"/>
      <c r="BB192" s="3340"/>
      <c r="BC192" s="3340"/>
      <c r="BD192" s="3340"/>
      <c r="BE192" s="3340"/>
      <c r="BF192" s="3340"/>
      <c r="BG192" s="3340"/>
      <c r="BH192" s="3340"/>
      <c r="BI192" s="3340"/>
      <c r="BJ192" s="3340"/>
      <c r="BK192" s="3340"/>
      <c r="BL192" s="3340"/>
      <c r="BM192" s="3340"/>
      <c r="BN192" s="3340"/>
      <c r="BO192" s="3340"/>
    </row>
    <row r="193" spans="48:67" s="3316" customFormat="1">
      <c r="AV193" s="3340"/>
      <c r="AW193" s="3340"/>
      <c r="AX193" s="3340"/>
      <c r="AY193" s="3340"/>
      <c r="AZ193" s="3340"/>
      <c r="BA193" s="3340"/>
      <c r="BB193" s="3340"/>
      <c r="BC193" s="3340"/>
      <c r="BD193" s="3340"/>
      <c r="BE193" s="3340"/>
      <c r="BF193" s="3340"/>
      <c r="BG193" s="3340"/>
      <c r="BH193" s="3340"/>
      <c r="BI193" s="3340"/>
      <c r="BJ193" s="3340"/>
      <c r="BK193" s="3340"/>
      <c r="BL193" s="3340"/>
      <c r="BM193" s="3340"/>
      <c r="BN193" s="3340"/>
      <c r="BO193" s="3340"/>
    </row>
    <row r="194" spans="48:67" s="3316" customFormat="1">
      <c r="AV194" s="3340"/>
      <c r="AW194" s="3340"/>
      <c r="AX194" s="3340"/>
      <c r="AY194" s="3340"/>
      <c r="AZ194" s="3340"/>
      <c r="BA194" s="3340"/>
      <c r="BB194" s="3340"/>
      <c r="BC194" s="3340"/>
      <c r="BD194" s="3340"/>
      <c r="BE194" s="3340"/>
      <c r="BF194" s="3340"/>
      <c r="BG194" s="3340"/>
      <c r="BH194" s="3340"/>
      <c r="BI194" s="3340"/>
      <c r="BJ194" s="3340"/>
      <c r="BK194" s="3340"/>
      <c r="BL194" s="3340"/>
      <c r="BM194" s="3340"/>
      <c r="BN194" s="3340"/>
      <c r="BO194" s="3340"/>
    </row>
    <row r="195" spans="48:67" s="3316" customFormat="1">
      <c r="AV195" s="3340"/>
      <c r="AW195" s="3340"/>
      <c r="AX195" s="3340"/>
      <c r="AY195" s="3340"/>
      <c r="AZ195" s="3340"/>
      <c r="BA195" s="3340"/>
      <c r="BB195" s="3340"/>
      <c r="BC195" s="3340"/>
      <c r="BD195" s="3340"/>
      <c r="BE195" s="3340"/>
      <c r="BF195" s="3340"/>
      <c r="BG195" s="3340"/>
      <c r="BH195" s="3340"/>
      <c r="BI195" s="3340"/>
      <c r="BJ195" s="3340"/>
      <c r="BK195" s="3340"/>
      <c r="BL195" s="3340"/>
      <c r="BM195" s="3340"/>
      <c r="BN195" s="3340"/>
      <c r="BO195" s="3340"/>
    </row>
    <row r="196" spans="48:67" s="3316" customFormat="1">
      <c r="AV196" s="3340"/>
      <c r="AW196" s="3340"/>
      <c r="AX196" s="3340"/>
      <c r="AY196" s="3340"/>
      <c r="AZ196" s="3340"/>
      <c r="BA196" s="3340"/>
      <c r="BB196" s="3340"/>
      <c r="BC196" s="3340"/>
      <c r="BD196" s="3340"/>
      <c r="BE196" s="3340"/>
      <c r="BF196" s="3340"/>
      <c r="BG196" s="3340"/>
      <c r="BH196" s="3340"/>
      <c r="BI196" s="3340"/>
      <c r="BJ196" s="3340"/>
      <c r="BK196" s="3340"/>
      <c r="BL196" s="3340"/>
      <c r="BM196" s="3340"/>
      <c r="BN196" s="3340"/>
      <c r="BO196" s="3340"/>
    </row>
    <row r="197" spans="48:67" s="3316" customFormat="1">
      <c r="AV197" s="3340"/>
      <c r="AW197" s="3340"/>
      <c r="AX197" s="3340"/>
      <c r="AY197" s="3340"/>
      <c r="AZ197" s="3340"/>
      <c r="BA197" s="3340"/>
      <c r="BB197" s="3340"/>
      <c r="BC197" s="3340"/>
      <c r="BD197" s="3340"/>
      <c r="BE197" s="3340"/>
      <c r="BF197" s="3340"/>
      <c r="BG197" s="3340"/>
      <c r="BH197" s="3340"/>
      <c r="BI197" s="3340"/>
      <c r="BJ197" s="3340"/>
      <c r="BK197" s="3340"/>
      <c r="BL197" s="3340"/>
      <c r="BM197" s="3340"/>
      <c r="BN197" s="3340"/>
      <c r="BO197" s="3340"/>
    </row>
    <row r="198" spans="48:67" s="3316" customFormat="1">
      <c r="AV198" s="3340"/>
      <c r="AW198" s="3340"/>
      <c r="AX198" s="3340"/>
      <c r="AY198" s="3340"/>
      <c r="AZ198" s="3340"/>
      <c r="BA198" s="3340"/>
      <c r="BB198" s="3340"/>
      <c r="BC198" s="3340"/>
      <c r="BD198" s="3340"/>
      <c r="BE198" s="3340"/>
      <c r="BF198" s="3340"/>
      <c r="BG198" s="3340"/>
      <c r="BH198" s="3340"/>
      <c r="BI198" s="3340"/>
      <c r="BJ198" s="3340"/>
      <c r="BK198" s="3340"/>
      <c r="BL198" s="3340"/>
      <c r="BM198" s="3340"/>
      <c r="BN198" s="3340"/>
      <c r="BO198" s="3340"/>
    </row>
    <row r="199" spans="48:67" s="3316" customFormat="1">
      <c r="AV199" s="3340"/>
      <c r="AW199" s="3340"/>
      <c r="AX199" s="3340"/>
      <c r="AY199" s="3340"/>
      <c r="AZ199" s="3340"/>
      <c r="BA199" s="3340"/>
      <c r="BB199" s="3340"/>
      <c r="BC199" s="3340"/>
      <c r="BD199" s="3340"/>
      <c r="BE199" s="3340"/>
      <c r="BF199" s="3340"/>
      <c r="BG199" s="3340"/>
      <c r="BH199" s="3340"/>
      <c r="BI199" s="3340"/>
      <c r="BJ199" s="3340"/>
      <c r="BK199" s="3340"/>
      <c r="BL199" s="3340"/>
      <c r="BM199" s="3340"/>
      <c r="BN199" s="3340"/>
      <c r="BO199" s="3340"/>
    </row>
    <row r="200" spans="48:67" s="3316" customFormat="1">
      <c r="AV200" s="3340"/>
      <c r="AW200" s="3340"/>
      <c r="AX200" s="3340"/>
      <c r="AY200" s="3340"/>
      <c r="AZ200" s="3340"/>
      <c r="BA200" s="3340"/>
      <c r="BB200" s="3340"/>
      <c r="BC200" s="3340"/>
      <c r="BD200" s="3340"/>
      <c r="BE200" s="3340"/>
      <c r="BF200" s="3340"/>
      <c r="BG200" s="3340"/>
      <c r="BH200" s="3340"/>
      <c r="BI200" s="3340"/>
      <c r="BJ200" s="3340"/>
      <c r="BK200" s="3340"/>
      <c r="BL200" s="3340"/>
      <c r="BM200" s="3340"/>
      <c r="BN200" s="3340"/>
      <c r="BO200" s="3340"/>
    </row>
    <row r="201" spans="48:67" s="3316" customFormat="1">
      <c r="AV201" s="3340"/>
      <c r="AW201" s="3340"/>
      <c r="AX201" s="3340"/>
      <c r="AY201" s="3340"/>
      <c r="AZ201" s="3340"/>
      <c r="BA201" s="3340"/>
      <c r="BB201" s="3340"/>
      <c r="BC201" s="3340"/>
      <c r="BD201" s="3340"/>
      <c r="BE201" s="3340"/>
      <c r="BF201" s="3340"/>
      <c r="BG201" s="3340"/>
      <c r="BH201" s="3340"/>
      <c r="BI201" s="3340"/>
      <c r="BJ201" s="3340"/>
      <c r="BK201" s="3340"/>
      <c r="BL201" s="3340"/>
      <c r="BM201" s="3340"/>
      <c r="BN201" s="3340"/>
      <c r="BO201" s="3340"/>
    </row>
    <row r="202" spans="48:67" s="3316" customFormat="1">
      <c r="AV202" s="3340"/>
      <c r="AW202" s="3340"/>
      <c r="AX202" s="3340"/>
      <c r="AY202" s="3340"/>
      <c r="AZ202" s="3340"/>
      <c r="BA202" s="3340"/>
      <c r="BB202" s="3340"/>
      <c r="BC202" s="3340"/>
      <c r="BD202" s="3340"/>
      <c r="BE202" s="3340"/>
      <c r="BF202" s="3340"/>
      <c r="BG202" s="3340"/>
      <c r="BH202" s="3340"/>
      <c r="BI202" s="3340"/>
      <c r="BJ202" s="3340"/>
      <c r="BK202" s="3340"/>
      <c r="BL202" s="3340"/>
      <c r="BM202" s="3340"/>
      <c r="BN202" s="3340"/>
      <c r="BO202" s="3340"/>
    </row>
    <row r="203" spans="48:67" s="3316" customFormat="1">
      <c r="AV203" s="3340"/>
      <c r="AW203" s="3340"/>
      <c r="AX203" s="3340"/>
      <c r="AY203" s="3340"/>
      <c r="AZ203" s="3340"/>
      <c r="BA203" s="3340"/>
      <c r="BB203" s="3340"/>
      <c r="BC203" s="3340"/>
      <c r="BD203" s="3340"/>
      <c r="BE203" s="3340"/>
      <c r="BF203" s="3340"/>
      <c r="BG203" s="3340"/>
      <c r="BH203" s="3340"/>
      <c r="BI203" s="3340"/>
      <c r="BJ203" s="3340"/>
      <c r="BK203" s="3340"/>
      <c r="BL203" s="3340"/>
      <c r="BM203" s="3340"/>
      <c r="BN203" s="3340"/>
      <c r="BO203" s="3340"/>
    </row>
    <row r="204" spans="48:67" s="3316" customFormat="1">
      <c r="AV204" s="3340"/>
      <c r="AW204" s="3340"/>
      <c r="AX204" s="3340"/>
      <c r="AY204" s="3340"/>
      <c r="AZ204" s="3340"/>
      <c r="BA204" s="3340"/>
      <c r="BB204" s="3340"/>
      <c r="BC204" s="3340"/>
      <c r="BD204" s="3340"/>
      <c r="BE204" s="3340"/>
      <c r="BF204" s="3340"/>
      <c r="BG204" s="3340"/>
      <c r="BH204" s="3340"/>
      <c r="BI204" s="3340"/>
      <c r="BJ204" s="3340"/>
      <c r="BK204" s="3340"/>
      <c r="BL204" s="3340"/>
      <c r="BM204" s="3340"/>
      <c r="BN204" s="3340"/>
      <c r="BO204" s="3340"/>
    </row>
    <row r="205" spans="48:67" s="3316" customFormat="1">
      <c r="AV205" s="3340"/>
      <c r="AW205" s="3340"/>
      <c r="AX205" s="3340"/>
      <c r="AY205" s="3340"/>
      <c r="AZ205" s="3340"/>
      <c r="BA205" s="3340"/>
      <c r="BB205" s="3340"/>
      <c r="BC205" s="3340"/>
      <c r="BD205" s="3340"/>
      <c r="BE205" s="3340"/>
      <c r="BF205" s="3340"/>
      <c r="BG205" s="3340"/>
      <c r="BH205" s="3340"/>
      <c r="BI205" s="3340"/>
      <c r="BJ205" s="3340"/>
      <c r="BK205" s="3340"/>
      <c r="BL205" s="3340"/>
      <c r="BM205" s="3340"/>
      <c r="BN205" s="3340"/>
      <c r="BO205" s="3340"/>
    </row>
    <row r="206" spans="48:67" s="3316" customFormat="1">
      <c r="AV206" s="3340"/>
      <c r="AW206" s="3340"/>
      <c r="AX206" s="3340"/>
      <c r="AY206" s="3340"/>
      <c r="AZ206" s="3340"/>
      <c r="BA206" s="3340"/>
      <c r="BB206" s="3340"/>
      <c r="BC206" s="3340"/>
      <c r="BD206" s="3340"/>
      <c r="BE206" s="3340"/>
      <c r="BF206" s="3340"/>
      <c r="BG206" s="3340"/>
      <c r="BH206" s="3340"/>
      <c r="BI206" s="3340"/>
      <c r="BJ206" s="3340"/>
      <c r="BK206" s="3340"/>
      <c r="BL206" s="3340"/>
      <c r="BM206" s="3340"/>
      <c r="BN206" s="3340"/>
      <c r="BO206" s="3340"/>
    </row>
    <row r="207" spans="48:67" s="3316" customFormat="1">
      <c r="AV207" s="3340"/>
      <c r="AW207" s="3340"/>
      <c r="AX207" s="3340"/>
      <c r="AY207" s="3340"/>
      <c r="AZ207" s="3340"/>
      <c r="BA207" s="3340"/>
      <c r="BB207" s="3340"/>
      <c r="BC207" s="3340"/>
      <c r="BD207" s="3340"/>
      <c r="BE207" s="3340"/>
      <c r="BF207" s="3340"/>
      <c r="BG207" s="3340"/>
      <c r="BH207" s="3340"/>
      <c r="BI207" s="3340"/>
      <c r="BJ207" s="3340"/>
      <c r="BK207" s="3340"/>
      <c r="BL207" s="3340"/>
      <c r="BM207" s="3340"/>
      <c r="BN207" s="3340"/>
      <c r="BO207" s="3340"/>
    </row>
    <row r="208" spans="48:67" s="3316" customFormat="1">
      <c r="AV208" s="3340"/>
      <c r="AW208" s="3340"/>
      <c r="AX208" s="3340"/>
      <c r="AY208" s="3340"/>
      <c r="AZ208" s="3340"/>
      <c r="BA208" s="3340"/>
      <c r="BB208" s="3340"/>
      <c r="BC208" s="3340"/>
      <c r="BD208" s="3340"/>
      <c r="BE208" s="3340"/>
      <c r="BF208" s="3340"/>
      <c r="BG208" s="3340"/>
      <c r="BH208" s="3340"/>
      <c r="BI208" s="3340"/>
      <c r="BJ208" s="3340"/>
      <c r="BK208" s="3340"/>
      <c r="BL208" s="3340"/>
      <c r="BM208" s="3340"/>
      <c r="BN208" s="3340"/>
      <c r="BO208" s="3340"/>
    </row>
    <row r="209" spans="48:67" s="3316" customFormat="1">
      <c r="AV209" s="3340"/>
      <c r="AW209" s="3340"/>
      <c r="AX209" s="3340"/>
      <c r="AY209" s="3340"/>
      <c r="AZ209" s="3340"/>
      <c r="BA209" s="3340"/>
      <c r="BB209" s="3340"/>
      <c r="BC209" s="3340"/>
      <c r="BD209" s="3340"/>
      <c r="BE209" s="3340"/>
      <c r="BF209" s="3340"/>
      <c r="BG209" s="3340"/>
      <c r="BH209" s="3340"/>
      <c r="BI209" s="3340"/>
      <c r="BJ209" s="3340"/>
      <c r="BK209" s="3340"/>
      <c r="BL209" s="3340"/>
      <c r="BM209" s="3340"/>
      <c r="BN209" s="3340"/>
      <c r="BO209" s="3340"/>
    </row>
    <row r="210" spans="48:67" s="3316" customFormat="1">
      <c r="AV210" s="3340"/>
      <c r="AW210" s="3340"/>
      <c r="AX210" s="3340"/>
      <c r="AY210" s="3340"/>
      <c r="AZ210" s="3340"/>
      <c r="BA210" s="3340"/>
      <c r="BB210" s="3340"/>
      <c r="BC210" s="3340"/>
      <c r="BD210" s="3340"/>
      <c r="BE210" s="3340"/>
      <c r="BF210" s="3340"/>
      <c r="BG210" s="3340"/>
      <c r="BH210" s="3340"/>
      <c r="BI210" s="3340"/>
      <c r="BJ210" s="3340"/>
      <c r="BK210" s="3340"/>
      <c r="BL210" s="3340"/>
      <c r="BM210" s="3340"/>
      <c r="BN210" s="3340"/>
      <c r="BO210" s="3340"/>
    </row>
    <row r="211" spans="48:67" s="3316" customFormat="1">
      <c r="AV211" s="3340"/>
      <c r="AW211" s="3340"/>
      <c r="AX211" s="3340"/>
      <c r="AY211" s="3340"/>
      <c r="AZ211" s="3340"/>
      <c r="BA211" s="3340"/>
      <c r="BB211" s="3340"/>
      <c r="BC211" s="3340"/>
      <c r="BD211" s="3340"/>
      <c r="BE211" s="3340"/>
      <c r="BF211" s="3340"/>
      <c r="BG211" s="3340"/>
      <c r="BH211" s="3340"/>
      <c r="BI211" s="3340"/>
      <c r="BJ211" s="3340"/>
      <c r="BK211" s="3340"/>
      <c r="BL211" s="3340"/>
      <c r="BM211" s="3340"/>
      <c r="BN211" s="3340"/>
      <c r="BO211" s="3340"/>
    </row>
    <row r="212" spans="48:67" s="3316" customFormat="1">
      <c r="AV212" s="3340"/>
      <c r="AW212" s="3340"/>
      <c r="AX212" s="3340"/>
      <c r="AY212" s="3340"/>
      <c r="AZ212" s="3340"/>
      <c r="BA212" s="3340"/>
      <c r="BB212" s="3340"/>
      <c r="BC212" s="3340"/>
      <c r="BD212" s="3340"/>
      <c r="BE212" s="3340"/>
      <c r="BF212" s="3340"/>
      <c r="BG212" s="3340"/>
      <c r="BH212" s="3340"/>
      <c r="BI212" s="3340"/>
      <c r="BJ212" s="3340"/>
      <c r="BK212" s="3340"/>
      <c r="BL212" s="3340"/>
      <c r="BM212" s="3340"/>
      <c r="BN212" s="3340"/>
      <c r="BO212" s="3340"/>
    </row>
    <row r="213" spans="48:67" s="3316" customFormat="1">
      <c r="AV213" s="3340"/>
      <c r="AW213" s="3340"/>
      <c r="AX213" s="3340"/>
      <c r="AY213" s="3340"/>
      <c r="AZ213" s="3340"/>
      <c r="BA213" s="3340"/>
      <c r="BB213" s="3340"/>
      <c r="BC213" s="3340"/>
      <c r="BD213" s="3340"/>
      <c r="BE213" s="3340"/>
      <c r="BF213" s="3340"/>
      <c r="BG213" s="3340"/>
      <c r="BH213" s="3340"/>
      <c r="BI213" s="3340"/>
      <c r="BJ213" s="3340"/>
      <c r="BK213" s="3340"/>
      <c r="BL213" s="3340"/>
      <c r="BM213" s="3340"/>
      <c r="BN213" s="3340"/>
      <c r="BO213" s="3340"/>
    </row>
    <row r="214" spans="48:67" s="3316" customFormat="1">
      <c r="AV214" s="3340"/>
      <c r="AW214" s="3340"/>
      <c r="AX214" s="3340"/>
      <c r="AY214" s="3340"/>
      <c r="AZ214" s="3340"/>
      <c r="BA214" s="3340"/>
      <c r="BB214" s="3340"/>
      <c r="BC214" s="3340"/>
      <c r="BD214" s="3340"/>
      <c r="BE214" s="3340"/>
      <c r="BF214" s="3340"/>
      <c r="BG214" s="3340"/>
      <c r="BH214" s="3340"/>
      <c r="BI214" s="3340"/>
      <c r="BJ214" s="3340"/>
      <c r="BK214" s="3340"/>
      <c r="BL214" s="3340"/>
      <c r="BM214" s="3340"/>
      <c r="BN214" s="3340"/>
      <c r="BO214" s="3340"/>
    </row>
    <row r="215" spans="48:67" s="3316" customFormat="1">
      <c r="AV215" s="3340"/>
      <c r="AW215" s="3340"/>
      <c r="AX215" s="3340"/>
      <c r="AY215" s="3340"/>
      <c r="AZ215" s="3340"/>
      <c r="BA215" s="3340"/>
      <c r="BB215" s="3340"/>
      <c r="BC215" s="3340"/>
      <c r="BD215" s="3340"/>
      <c r="BE215" s="3340"/>
      <c r="BF215" s="3340"/>
      <c r="BG215" s="3340"/>
      <c r="BH215" s="3340"/>
      <c r="BI215" s="3340"/>
      <c r="BJ215" s="3340"/>
      <c r="BK215" s="3340"/>
      <c r="BL215" s="3340"/>
      <c r="BM215" s="3340"/>
      <c r="BN215" s="3340"/>
      <c r="BO215" s="3340"/>
    </row>
    <row r="216" spans="48:67" s="3316" customFormat="1">
      <c r="AV216" s="3340"/>
      <c r="AW216" s="3340"/>
      <c r="AX216" s="3340"/>
      <c r="AY216" s="3340"/>
      <c r="AZ216" s="3340"/>
      <c r="BA216" s="3340"/>
      <c r="BB216" s="3340"/>
      <c r="BC216" s="3340"/>
      <c r="BD216" s="3340"/>
      <c r="BE216" s="3340"/>
      <c r="BF216" s="3340"/>
      <c r="BG216" s="3340"/>
      <c r="BH216" s="3340"/>
      <c r="BI216" s="3340"/>
      <c r="BJ216" s="3340"/>
      <c r="BK216" s="3340"/>
      <c r="BL216" s="3340"/>
      <c r="BM216" s="3340"/>
      <c r="BN216" s="3340"/>
      <c r="BO216" s="3340"/>
    </row>
    <row r="217" spans="48:67" s="3316" customFormat="1">
      <c r="AV217" s="3340"/>
      <c r="AW217" s="3340"/>
      <c r="AX217" s="3340"/>
      <c r="AY217" s="3340"/>
      <c r="AZ217" s="3340"/>
      <c r="BA217" s="3340"/>
      <c r="BB217" s="3340"/>
      <c r="BC217" s="3340"/>
      <c r="BD217" s="3340"/>
      <c r="BE217" s="3340"/>
      <c r="BF217" s="3340"/>
      <c r="BG217" s="3340"/>
      <c r="BH217" s="3340"/>
      <c r="BI217" s="3340"/>
      <c r="BJ217" s="3340"/>
      <c r="BK217" s="3340"/>
      <c r="BL217" s="3340"/>
      <c r="BM217" s="3340"/>
      <c r="BN217" s="3340"/>
      <c r="BO217" s="3340"/>
    </row>
    <row r="218" spans="48:67" s="3316" customFormat="1">
      <c r="AV218" s="3340"/>
      <c r="AW218" s="3340"/>
      <c r="AX218" s="3340"/>
      <c r="AY218" s="3340"/>
      <c r="AZ218" s="3340"/>
      <c r="BA218" s="3340"/>
      <c r="BB218" s="3340"/>
      <c r="BC218" s="3340"/>
      <c r="BD218" s="3340"/>
      <c r="BE218" s="3340"/>
      <c r="BF218" s="3340"/>
      <c r="BG218" s="3340"/>
      <c r="BH218" s="3340"/>
      <c r="BI218" s="3340"/>
      <c r="BJ218" s="3340"/>
      <c r="BK218" s="3340"/>
      <c r="BL218" s="3340"/>
      <c r="BM218" s="3340"/>
      <c r="BN218" s="3340"/>
      <c r="BO218" s="3340"/>
    </row>
    <row r="219" spans="48:67" s="3316" customFormat="1">
      <c r="AV219" s="3340"/>
      <c r="AW219" s="3340"/>
      <c r="AX219" s="3340"/>
      <c r="AY219" s="3340"/>
      <c r="AZ219" s="3340"/>
      <c r="BA219" s="3340"/>
      <c r="BB219" s="3340"/>
      <c r="BC219" s="3340"/>
      <c r="BD219" s="3340"/>
      <c r="BE219" s="3340"/>
      <c r="BF219" s="3340"/>
      <c r="BG219" s="3340"/>
      <c r="BH219" s="3340"/>
      <c r="BI219" s="3340"/>
      <c r="BJ219" s="3340"/>
      <c r="BK219" s="3340"/>
      <c r="BL219" s="3340"/>
      <c r="BM219" s="3340"/>
      <c r="BN219" s="3340"/>
      <c r="BO219" s="3340"/>
    </row>
    <row r="220" spans="48:67" s="3316" customFormat="1">
      <c r="AV220" s="3340"/>
      <c r="AW220" s="3340"/>
      <c r="AX220" s="3340"/>
      <c r="AY220" s="3340"/>
      <c r="AZ220" s="3340"/>
      <c r="BA220" s="3340"/>
      <c r="BB220" s="3340"/>
      <c r="BC220" s="3340"/>
      <c r="BD220" s="3340"/>
      <c r="BE220" s="3340"/>
      <c r="BF220" s="3340"/>
      <c r="BG220" s="3340"/>
      <c r="BH220" s="3340"/>
      <c r="BI220" s="3340"/>
      <c r="BJ220" s="3340"/>
      <c r="BK220" s="3340"/>
      <c r="BL220" s="3340"/>
      <c r="BM220" s="3340"/>
      <c r="BN220" s="3340"/>
      <c r="BO220" s="3340"/>
    </row>
    <row r="221" spans="48:67" s="3316" customFormat="1">
      <c r="AV221" s="3340"/>
      <c r="AW221" s="3340"/>
      <c r="AX221" s="3340"/>
      <c r="AY221" s="3340"/>
      <c r="AZ221" s="3340"/>
      <c r="BA221" s="3340"/>
      <c r="BB221" s="3340"/>
      <c r="BC221" s="3340"/>
      <c r="BD221" s="3340"/>
      <c r="BE221" s="3340"/>
      <c r="BF221" s="3340"/>
      <c r="BG221" s="3340"/>
      <c r="BH221" s="3340"/>
      <c r="BI221" s="3340"/>
      <c r="BJ221" s="3340"/>
      <c r="BK221" s="3340"/>
      <c r="BL221" s="3340"/>
      <c r="BM221" s="3340"/>
      <c r="BN221" s="3340"/>
      <c r="BO221" s="3340"/>
    </row>
    <row r="222" spans="48:67" s="3316" customFormat="1">
      <c r="AV222" s="3340"/>
      <c r="AW222" s="3340"/>
      <c r="AX222" s="3340"/>
      <c r="AY222" s="3340"/>
      <c r="AZ222" s="3340"/>
      <c r="BA222" s="3340"/>
      <c r="BB222" s="3340"/>
      <c r="BC222" s="3340"/>
      <c r="BD222" s="3340"/>
      <c r="BE222" s="3340"/>
      <c r="BF222" s="3340"/>
      <c r="BG222" s="3340"/>
      <c r="BH222" s="3340"/>
      <c r="BI222" s="3340"/>
      <c r="BJ222" s="3340"/>
      <c r="BK222" s="3340"/>
      <c r="BL222" s="3340"/>
      <c r="BM222" s="3340"/>
      <c r="BN222" s="3340"/>
      <c r="BO222" s="3340"/>
    </row>
    <row r="223" spans="48:67" s="3316" customFormat="1">
      <c r="AV223" s="3340"/>
      <c r="AW223" s="3340"/>
      <c r="AX223" s="3340"/>
      <c r="AY223" s="3340"/>
      <c r="AZ223" s="3340"/>
      <c r="BA223" s="3340"/>
      <c r="BB223" s="3340"/>
      <c r="BC223" s="3340"/>
      <c r="BD223" s="3340"/>
      <c r="BE223" s="3340"/>
      <c r="BF223" s="3340"/>
      <c r="BG223" s="3340"/>
      <c r="BH223" s="3340"/>
      <c r="BI223" s="3340"/>
      <c r="BJ223" s="3340"/>
      <c r="BK223" s="3340"/>
      <c r="BL223" s="3340"/>
      <c r="BM223" s="3340"/>
      <c r="BN223" s="3340"/>
      <c r="BO223" s="3340"/>
    </row>
    <row r="224" spans="48:67" s="3316" customFormat="1">
      <c r="AV224" s="3340"/>
      <c r="AW224" s="3340"/>
      <c r="AX224" s="3340"/>
      <c r="AY224" s="3340"/>
      <c r="AZ224" s="3340"/>
      <c r="BA224" s="3340"/>
      <c r="BB224" s="3340"/>
      <c r="BC224" s="3340"/>
      <c r="BD224" s="3340"/>
      <c r="BE224" s="3340"/>
      <c r="BF224" s="3340"/>
      <c r="BG224" s="3340"/>
      <c r="BH224" s="3340"/>
      <c r="BI224" s="3340"/>
      <c r="BJ224" s="3340"/>
      <c r="BK224" s="3340"/>
      <c r="BL224" s="3340"/>
      <c r="BM224" s="3340"/>
      <c r="BN224" s="3340"/>
      <c r="BO224" s="3340"/>
    </row>
    <row r="225" spans="48:67" s="3316" customFormat="1">
      <c r="AV225" s="3340"/>
      <c r="AW225" s="3340"/>
      <c r="AX225" s="3340"/>
      <c r="AY225" s="3340"/>
      <c r="AZ225" s="3340"/>
      <c r="BA225" s="3340"/>
      <c r="BB225" s="3340"/>
      <c r="BC225" s="3340"/>
      <c r="BD225" s="3340"/>
      <c r="BE225" s="3340"/>
      <c r="BF225" s="3340"/>
      <c r="BG225" s="3340"/>
      <c r="BH225" s="3340"/>
      <c r="BI225" s="3340"/>
      <c r="BJ225" s="3340"/>
      <c r="BK225" s="3340"/>
      <c r="BL225" s="3340"/>
      <c r="BM225" s="3340"/>
      <c r="BN225" s="3340"/>
      <c r="BO225" s="3340"/>
    </row>
    <row r="226" spans="48:67" s="3316" customFormat="1">
      <c r="AV226" s="3340"/>
      <c r="AW226" s="3340"/>
      <c r="AX226" s="3340"/>
      <c r="AY226" s="3340"/>
      <c r="AZ226" s="3340"/>
      <c r="BA226" s="3340"/>
      <c r="BB226" s="3340"/>
      <c r="BC226" s="3340"/>
      <c r="BD226" s="3340"/>
      <c r="BE226" s="3340"/>
      <c r="BF226" s="3340"/>
      <c r="BG226" s="3340"/>
      <c r="BH226" s="3340"/>
      <c r="BI226" s="3340"/>
      <c r="BJ226" s="3340"/>
      <c r="BK226" s="3340"/>
      <c r="BL226" s="3340"/>
      <c r="BM226" s="3340"/>
      <c r="BN226" s="3340"/>
      <c r="BO226" s="3340"/>
    </row>
    <row r="227" spans="48:67" s="3316" customFormat="1">
      <c r="AV227" s="3340"/>
      <c r="AW227" s="3340"/>
      <c r="AX227" s="3340"/>
      <c r="AY227" s="3340"/>
      <c r="AZ227" s="3340"/>
      <c r="BA227" s="3340"/>
      <c r="BB227" s="3340"/>
      <c r="BC227" s="3340"/>
      <c r="BD227" s="3340"/>
      <c r="BE227" s="3340"/>
      <c r="BF227" s="3340"/>
      <c r="BG227" s="3340"/>
      <c r="BH227" s="3340"/>
      <c r="BI227" s="3340"/>
      <c r="BJ227" s="3340"/>
      <c r="BK227" s="3340"/>
      <c r="BL227" s="3340"/>
      <c r="BM227" s="3340"/>
      <c r="BN227" s="3340"/>
      <c r="BO227" s="3340"/>
    </row>
    <row r="228" spans="48:67" s="3316" customFormat="1">
      <c r="AV228" s="3340"/>
      <c r="AW228" s="3340"/>
      <c r="AX228" s="3340"/>
      <c r="AY228" s="3340"/>
      <c r="AZ228" s="3340"/>
      <c r="BA228" s="3340"/>
      <c r="BB228" s="3340"/>
      <c r="BC228" s="3340"/>
      <c r="BD228" s="3340"/>
      <c r="BE228" s="3340"/>
      <c r="BF228" s="3340"/>
      <c r="BG228" s="3340"/>
      <c r="BH228" s="3340"/>
      <c r="BI228" s="3340"/>
      <c r="BJ228" s="3340"/>
      <c r="BK228" s="3340"/>
      <c r="BL228" s="3340"/>
      <c r="BM228" s="3340"/>
      <c r="BN228" s="3340"/>
      <c r="BO228" s="3340"/>
    </row>
    <row r="229" spans="48:67" s="3316" customFormat="1">
      <c r="AV229" s="3340"/>
      <c r="AW229" s="3340"/>
      <c r="AX229" s="3340"/>
      <c r="AY229" s="3340"/>
      <c r="AZ229" s="3340"/>
      <c r="BA229" s="3340"/>
      <c r="BB229" s="3340"/>
      <c r="BC229" s="3340"/>
      <c r="BD229" s="3340"/>
      <c r="BE229" s="3340"/>
      <c r="BF229" s="3340"/>
      <c r="BG229" s="3340"/>
      <c r="BH229" s="3340"/>
      <c r="BI229" s="3340"/>
      <c r="BJ229" s="3340"/>
      <c r="BK229" s="3340"/>
      <c r="BL229" s="3340"/>
      <c r="BM229" s="3340"/>
      <c r="BN229" s="3340"/>
      <c r="BO229" s="3340"/>
    </row>
    <row r="230" spans="48:67" s="3316" customFormat="1">
      <c r="AV230" s="3340"/>
      <c r="AW230" s="3340"/>
      <c r="AX230" s="3340"/>
      <c r="AY230" s="3340"/>
      <c r="AZ230" s="3340"/>
      <c r="BA230" s="3340"/>
      <c r="BB230" s="3340"/>
      <c r="BC230" s="3340"/>
      <c r="BD230" s="3340"/>
      <c r="BE230" s="3340"/>
      <c r="BF230" s="3340"/>
      <c r="BG230" s="3340"/>
      <c r="BH230" s="3340"/>
      <c r="BI230" s="3340"/>
      <c r="BJ230" s="3340"/>
      <c r="BK230" s="3340"/>
      <c r="BL230" s="3340"/>
      <c r="BM230" s="3340"/>
      <c r="BN230" s="3340"/>
      <c r="BO230" s="3340"/>
    </row>
    <row r="231" spans="48:67" s="3316" customFormat="1">
      <c r="AV231" s="3340"/>
      <c r="AW231" s="3340"/>
      <c r="AX231" s="3340"/>
      <c r="AY231" s="3340"/>
      <c r="AZ231" s="3340"/>
      <c r="BA231" s="3340"/>
      <c r="BB231" s="3340"/>
      <c r="BC231" s="3340"/>
      <c r="BD231" s="3340"/>
      <c r="BE231" s="3340"/>
      <c r="BF231" s="3340"/>
      <c r="BG231" s="3340"/>
      <c r="BH231" s="3340"/>
      <c r="BI231" s="3340"/>
      <c r="BJ231" s="3340"/>
      <c r="BK231" s="3340"/>
      <c r="BL231" s="3340"/>
      <c r="BM231" s="3340"/>
      <c r="BN231" s="3340"/>
      <c r="BO231" s="3340"/>
    </row>
    <row r="232" spans="48:67" s="3316" customFormat="1">
      <c r="AV232" s="3340"/>
      <c r="AW232" s="3340"/>
      <c r="AX232" s="3340"/>
      <c r="AY232" s="3340"/>
      <c r="AZ232" s="3340"/>
      <c r="BA232" s="3340"/>
      <c r="BB232" s="3340"/>
      <c r="BC232" s="3340"/>
      <c r="BD232" s="3340"/>
      <c r="BE232" s="3340"/>
      <c r="BF232" s="3340"/>
      <c r="BG232" s="3340"/>
      <c r="BH232" s="3340"/>
      <c r="BI232" s="3340"/>
      <c r="BJ232" s="3340"/>
      <c r="BK232" s="3340"/>
      <c r="BL232" s="3340"/>
      <c r="BM232" s="3340"/>
      <c r="BN232" s="3340"/>
      <c r="BO232" s="3340"/>
    </row>
    <row r="233" spans="48:67" s="3316" customFormat="1">
      <c r="AV233" s="3340"/>
      <c r="AW233" s="3340"/>
      <c r="AX233" s="3340"/>
      <c r="AY233" s="3340"/>
      <c r="AZ233" s="3340"/>
      <c r="BA233" s="3340"/>
      <c r="BB233" s="3340"/>
      <c r="BC233" s="3340"/>
      <c r="BD233" s="3340"/>
      <c r="BE233" s="3340"/>
      <c r="BF233" s="3340"/>
      <c r="BG233" s="3340"/>
      <c r="BH233" s="3340"/>
      <c r="BI233" s="3340"/>
      <c r="BJ233" s="3340"/>
      <c r="BK233" s="3340"/>
      <c r="BL233" s="3340"/>
      <c r="BM233" s="3340"/>
      <c r="BN233" s="3340"/>
      <c r="BO233" s="3340"/>
    </row>
    <row r="234" spans="48:67" s="3316" customFormat="1">
      <c r="AV234" s="3340"/>
      <c r="AW234" s="3340"/>
      <c r="AX234" s="3340"/>
      <c r="AY234" s="3340"/>
      <c r="AZ234" s="3340"/>
      <c r="BA234" s="3340"/>
      <c r="BB234" s="3340"/>
      <c r="BC234" s="3340"/>
      <c r="BD234" s="3340"/>
      <c r="BE234" s="3340"/>
      <c r="BF234" s="3340"/>
      <c r="BG234" s="3340"/>
      <c r="BH234" s="3340"/>
      <c r="BI234" s="3340"/>
      <c r="BJ234" s="3340"/>
      <c r="BK234" s="3340"/>
      <c r="BL234" s="3340"/>
      <c r="BM234" s="3340"/>
      <c r="BN234" s="3340"/>
      <c r="BO234" s="3340"/>
    </row>
    <row r="235" spans="48:67" s="3316" customFormat="1">
      <c r="AV235" s="3340"/>
      <c r="AW235" s="3340"/>
      <c r="AX235" s="3340"/>
      <c r="AY235" s="3340"/>
      <c r="AZ235" s="3340"/>
      <c r="BA235" s="3340"/>
      <c r="BB235" s="3340"/>
      <c r="BC235" s="3340"/>
      <c r="BD235" s="3340"/>
      <c r="BE235" s="3340"/>
      <c r="BF235" s="3340"/>
      <c r="BG235" s="3340"/>
      <c r="BH235" s="3340"/>
      <c r="BI235" s="3340"/>
      <c r="BJ235" s="3340"/>
      <c r="BK235" s="3340"/>
      <c r="BL235" s="3340"/>
      <c r="BM235" s="3340"/>
      <c r="BN235" s="3340"/>
      <c r="BO235" s="3340"/>
    </row>
    <row r="236" spans="48:67" s="3316" customFormat="1">
      <c r="AV236" s="3340"/>
      <c r="AW236" s="3340"/>
      <c r="AX236" s="3340"/>
      <c r="AY236" s="3340"/>
      <c r="AZ236" s="3340"/>
      <c r="BA236" s="3340"/>
      <c r="BB236" s="3340"/>
      <c r="BC236" s="3340"/>
      <c r="BD236" s="3340"/>
      <c r="BE236" s="3340"/>
      <c r="BF236" s="3340"/>
      <c r="BG236" s="3340"/>
      <c r="BH236" s="3340"/>
      <c r="BI236" s="3340"/>
      <c r="BJ236" s="3340"/>
      <c r="BK236" s="3340"/>
      <c r="BL236" s="3340"/>
      <c r="BM236" s="3340"/>
      <c r="BN236" s="3340"/>
      <c r="BO236" s="3340"/>
    </row>
    <row r="237" spans="48:67" s="3316" customFormat="1">
      <c r="AV237" s="3340"/>
      <c r="AW237" s="3340"/>
      <c r="AX237" s="3340"/>
      <c r="AY237" s="3340"/>
      <c r="AZ237" s="3340"/>
      <c r="BA237" s="3340"/>
      <c r="BB237" s="3340"/>
      <c r="BC237" s="3340"/>
      <c r="BD237" s="3340"/>
      <c r="BE237" s="3340"/>
      <c r="BF237" s="3340"/>
      <c r="BG237" s="3340"/>
      <c r="BH237" s="3340"/>
      <c r="BI237" s="3340"/>
      <c r="BJ237" s="3340"/>
      <c r="BK237" s="3340"/>
      <c r="BL237" s="3340"/>
      <c r="BM237" s="3340"/>
      <c r="BN237" s="3340"/>
      <c r="BO237" s="3340"/>
    </row>
    <row r="238" spans="48:67" s="3316" customFormat="1">
      <c r="AV238" s="3340"/>
      <c r="AW238" s="3340"/>
      <c r="AX238" s="3340"/>
      <c r="AY238" s="3340"/>
      <c r="AZ238" s="3340"/>
      <c r="BA238" s="3340"/>
      <c r="BB238" s="3340"/>
      <c r="BC238" s="3340"/>
      <c r="BD238" s="3340"/>
      <c r="BE238" s="3340"/>
      <c r="BF238" s="3340"/>
      <c r="BG238" s="3340"/>
      <c r="BH238" s="3340"/>
      <c r="BI238" s="3340"/>
      <c r="BJ238" s="3340"/>
      <c r="BK238" s="3340"/>
      <c r="BL238" s="3340"/>
      <c r="BM238" s="3340"/>
      <c r="BN238" s="3340"/>
      <c r="BO238" s="3340"/>
    </row>
    <row r="239" spans="48:67" s="3316" customFormat="1">
      <c r="AV239" s="3340"/>
      <c r="AW239" s="3340"/>
      <c r="AX239" s="3340"/>
      <c r="AY239" s="3340"/>
      <c r="AZ239" s="3340"/>
      <c r="BA239" s="3340"/>
      <c r="BB239" s="3340"/>
      <c r="BC239" s="3340"/>
      <c r="BD239" s="3340"/>
      <c r="BE239" s="3340"/>
      <c r="BF239" s="3340"/>
      <c r="BG239" s="3340"/>
      <c r="BH239" s="3340"/>
      <c r="BI239" s="3340"/>
      <c r="BJ239" s="3340"/>
      <c r="BK239" s="3340"/>
      <c r="BL239" s="3340"/>
      <c r="BM239" s="3340"/>
      <c r="BN239" s="3340"/>
      <c r="BO239" s="3340"/>
    </row>
    <row r="240" spans="48:67" s="3316" customFormat="1">
      <c r="AV240" s="3340"/>
      <c r="AW240" s="3340"/>
      <c r="AX240" s="3340"/>
      <c r="AY240" s="3340"/>
      <c r="AZ240" s="3340"/>
      <c r="BA240" s="3340"/>
      <c r="BB240" s="3340"/>
      <c r="BC240" s="3340"/>
      <c r="BD240" s="3340"/>
      <c r="BE240" s="3340"/>
      <c r="BF240" s="3340"/>
      <c r="BG240" s="3340"/>
      <c r="BH240" s="3340"/>
      <c r="BI240" s="3340"/>
      <c r="BJ240" s="3340"/>
      <c r="BK240" s="3340"/>
      <c r="BL240" s="3340"/>
      <c r="BM240" s="3340"/>
      <c r="BN240" s="3340"/>
      <c r="BO240" s="3340"/>
    </row>
    <row r="241" spans="48:67" s="3316" customFormat="1">
      <c r="AV241" s="3340"/>
      <c r="AW241" s="3340"/>
      <c r="AX241" s="3340"/>
      <c r="AY241" s="3340"/>
      <c r="AZ241" s="3340"/>
      <c r="BA241" s="3340"/>
      <c r="BB241" s="3340"/>
      <c r="BC241" s="3340"/>
      <c r="BD241" s="3340"/>
      <c r="BE241" s="3340"/>
      <c r="BF241" s="3340"/>
      <c r="BG241" s="3340"/>
      <c r="BH241" s="3340"/>
      <c r="BI241" s="3340"/>
      <c r="BJ241" s="3340"/>
      <c r="BK241" s="3340"/>
      <c r="BL241" s="3340"/>
      <c r="BM241" s="3340"/>
      <c r="BN241" s="3340"/>
      <c r="BO241" s="3340"/>
    </row>
    <row r="242" spans="48:67" s="3316" customFormat="1">
      <c r="AV242" s="3340"/>
      <c r="AW242" s="3340"/>
      <c r="AX242" s="3340"/>
      <c r="AY242" s="3340"/>
      <c r="AZ242" s="3340"/>
      <c r="BA242" s="3340"/>
      <c r="BB242" s="3340"/>
      <c r="BC242" s="3340"/>
      <c r="BD242" s="3340"/>
      <c r="BE242" s="3340"/>
      <c r="BF242" s="3340"/>
      <c r="BG242" s="3340"/>
      <c r="BH242" s="3340"/>
      <c r="BI242" s="3340"/>
      <c r="BJ242" s="3340"/>
      <c r="BK242" s="3340"/>
      <c r="BL242" s="3340"/>
      <c r="BM242" s="3340"/>
      <c r="BN242" s="3340"/>
      <c r="BO242" s="3340"/>
    </row>
    <row r="243" spans="48:67" s="3316" customFormat="1">
      <c r="AV243" s="3340"/>
      <c r="AW243" s="3340"/>
      <c r="AX243" s="3340"/>
      <c r="AY243" s="3340"/>
      <c r="AZ243" s="3340"/>
      <c r="BA243" s="3340"/>
      <c r="BB243" s="3340"/>
      <c r="BC243" s="3340"/>
      <c r="BD243" s="3340"/>
      <c r="BE243" s="3340"/>
      <c r="BF243" s="3340"/>
      <c r="BG243" s="3340"/>
      <c r="BH243" s="3340"/>
      <c r="BI243" s="3340"/>
      <c r="BJ243" s="3340"/>
      <c r="BK243" s="3340"/>
      <c r="BL243" s="3340"/>
      <c r="BM243" s="3340"/>
      <c r="BN243" s="3340"/>
      <c r="BO243" s="3340"/>
    </row>
    <row r="244" spans="48:67" s="3316" customFormat="1">
      <c r="AV244" s="3340"/>
      <c r="AW244" s="3340"/>
      <c r="AX244" s="3340"/>
      <c r="AY244" s="3340"/>
      <c r="AZ244" s="3340"/>
      <c r="BA244" s="3340"/>
      <c r="BB244" s="3340"/>
      <c r="BC244" s="3340"/>
      <c r="BD244" s="3340"/>
      <c r="BE244" s="3340"/>
      <c r="BF244" s="3340"/>
      <c r="BG244" s="3340"/>
      <c r="BH244" s="3340"/>
      <c r="BI244" s="3340"/>
      <c r="BJ244" s="3340"/>
      <c r="BK244" s="3340"/>
      <c r="BL244" s="3340"/>
      <c r="BM244" s="3340"/>
      <c r="BN244" s="3340"/>
      <c r="BO244" s="3340"/>
    </row>
    <row r="245" spans="48:67" s="3316" customFormat="1">
      <c r="AV245" s="3340"/>
      <c r="AW245" s="3340"/>
      <c r="AX245" s="3340"/>
      <c r="AY245" s="3340"/>
      <c r="AZ245" s="3340"/>
      <c r="BA245" s="3340"/>
      <c r="BB245" s="3340"/>
      <c r="BC245" s="3340"/>
      <c r="BD245" s="3340"/>
      <c r="BE245" s="3340"/>
      <c r="BF245" s="3340"/>
      <c r="BG245" s="3340"/>
      <c r="BH245" s="3340"/>
      <c r="BI245" s="3340"/>
      <c r="BJ245" s="3340"/>
      <c r="BK245" s="3340"/>
      <c r="BL245" s="3340"/>
      <c r="BM245" s="3340"/>
      <c r="BN245" s="3340"/>
      <c r="BO245" s="3340"/>
    </row>
    <row r="246" spans="48:67" s="3316" customFormat="1">
      <c r="AV246" s="3340"/>
      <c r="AW246" s="3340"/>
      <c r="AX246" s="3340"/>
      <c r="AY246" s="3340"/>
      <c r="AZ246" s="3340"/>
      <c r="BA246" s="3340"/>
      <c r="BB246" s="3340"/>
      <c r="BC246" s="3340"/>
      <c r="BD246" s="3340"/>
      <c r="BE246" s="3340"/>
      <c r="BF246" s="3340"/>
      <c r="BG246" s="3340"/>
      <c r="BH246" s="3340"/>
      <c r="BI246" s="3340"/>
      <c r="BJ246" s="3340"/>
      <c r="BK246" s="3340"/>
      <c r="BL246" s="3340"/>
      <c r="BM246" s="3340"/>
      <c r="BN246" s="3340"/>
      <c r="BO246" s="3340"/>
    </row>
    <row r="247" spans="48:67" s="3316" customFormat="1">
      <c r="AV247" s="3340"/>
      <c r="AW247" s="3340"/>
      <c r="AX247" s="3340"/>
      <c r="AY247" s="3340"/>
      <c r="AZ247" s="3340"/>
      <c r="BA247" s="3340"/>
      <c r="BB247" s="3340"/>
      <c r="BC247" s="3340"/>
      <c r="BD247" s="3340"/>
      <c r="BE247" s="3340"/>
      <c r="BF247" s="3340"/>
      <c r="BG247" s="3340"/>
      <c r="BH247" s="3340"/>
      <c r="BI247" s="3340"/>
      <c r="BJ247" s="3340"/>
      <c r="BK247" s="3340"/>
      <c r="BL247" s="3340"/>
      <c r="BM247" s="3340"/>
      <c r="BN247" s="3340"/>
      <c r="BO247" s="3340"/>
    </row>
    <row r="248" spans="48:67" s="3316" customFormat="1">
      <c r="AV248" s="3340"/>
      <c r="AW248" s="3340"/>
      <c r="AX248" s="3340"/>
      <c r="AY248" s="3340"/>
      <c r="AZ248" s="3340"/>
      <c r="BA248" s="3340"/>
      <c r="BB248" s="3340"/>
      <c r="BC248" s="3340"/>
      <c r="BD248" s="3340"/>
      <c r="BE248" s="3340"/>
      <c r="BF248" s="3340"/>
      <c r="BG248" s="3340"/>
      <c r="BH248" s="3340"/>
      <c r="BI248" s="3340"/>
      <c r="BJ248" s="3340"/>
      <c r="BK248" s="3340"/>
      <c r="BL248" s="3340"/>
      <c r="BM248" s="3340"/>
      <c r="BN248" s="3340"/>
      <c r="BO248" s="3340"/>
    </row>
    <row r="249" spans="48:67" s="3316" customFormat="1">
      <c r="AV249" s="3340"/>
      <c r="AW249" s="3340"/>
      <c r="AX249" s="3340"/>
      <c r="AY249" s="3340"/>
      <c r="AZ249" s="3340"/>
      <c r="BA249" s="3340"/>
      <c r="BB249" s="3340"/>
      <c r="BC249" s="3340"/>
      <c r="BD249" s="3340"/>
      <c r="BE249" s="3340"/>
      <c r="BF249" s="3340"/>
      <c r="BG249" s="3340"/>
      <c r="BH249" s="3340"/>
      <c r="BI249" s="3340"/>
      <c r="BJ249" s="3340"/>
      <c r="BK249" s="3340"/>
      <c r="BL249" s="3340"/>
      <c r="BM249" s="3340"/>
      <c r="BN249" s="3340"/>
      <c r="BO249" s="3340"/>
    </row>
    <row r="250" spans="48:67" s="3316" customFormat="1">
      <c r="AV250" s="3340"/>
      <c r="AW250" s="3340"/>
      <c r="AX250" s="3340"/>
      <c r="AY250" s="3340"/>
      <c r="AZ250" s="3340"/>
      <c r="BA250" s="3340"/>
      <c r="BB250" s="3340"/>
      <c r="BC250" s="3340"/>
      <c r="BD250" s="3340"/>
      <c r="BE250" s="3340"/>
      <c r="BF250" s="3340"/>
      <c r="BG250" s="3340"/>
      <c r="BH250" s="3340"/>
      <c r="BI250" s="3340"/>
      <c r="BJ250" s="3340"/>
      <c r="BK250" s="3340"/>
      <c r="BL250" s="3340"/>
      <c r="BM250" s="3340"/>
      <c r="BN250" s="3340"/>
      <c r="BO250" s="3340"/>
    </row>
    <row r="251" spans="48:67" s="3316" customFormat="1">
      <c r="AV251" s="3340"/>
      <c r="AW251" s="3340"/>
      <c r="AX251" s="3340"/>
      <c r="AY251" s="3340"/>
      <c r="AZ251" s="3340"/>
      <c r="BA251" s="3340"/>
      <c r="BB251" s="3340"/>
      <c r="BC251" s="3340"/>
      <c r="BD251" s="3340"/>
      <c r="BE251" s="3340"/>
      <c r="BF251" s="3340"/>
      <c r="BG251" s="3340"/>
      <c r="BH251" s="3340"/>
      <c r="BI251" s="3340"/>
      <c r="BJ251" s="3340"/>
      <c r="BK251" s="3340"/>
      <c r="BL251" s="3340"/>
      <c r="BM251" s="3340"/>
      <c r="BN251" s="3340"/>
      <c r="BO251" s="3340"/>
    </row>
    <row r="252" spans="48:67" s="3316" customFormat="1">
      <c r="AV252" s="3340"/>
      <c r="AW252" s="3340"/>
      <c r="AX252" s="3340"/>
      <c r="AY252" s="3340"/>
      <c r="AZ252" s="3340"/>
      <c r="BA252" s="3340"/>
      <c r="BB252" s="3340"/>
      <c r="BC252" s="3340"/>
      <c r="BD252" s="3340"/>
      <c r="BE252" s="3340"/>
      <c r="BF252" s="3340"/>
      <c r="BG252" s="3340"/>
      <c r="BH252" s="3340"/>
      <c r="BI252" s="3340"/>
      <c r="BJ252" s="3340"/>
      <c r="BK252" s="3340"/>
      <c r="BL252" s="3340"/>
      <c r="BM252" s="3340"/>
      <c r="BN252" s="3340"/>
      <c r="BO252" s="3340"/>
    </row>
    <row r="253" spans="48:67" s="3316" customFormat="1">
      <c r="AV253" s="3340"/>
      <c r="AW253" s="3340"/>
      <c r="AX253" s="3340"/>
      <c r="AY253" s="3340"/>
      <c r="AZ253" s="3340"/>
      <c r="BA253" s="3340"/>
      <c r="BB253" s="3340"/>
      <c r="BC253" s="3340"/>
      <c r="BD253" s="3340"/>
      <c r="BE253" s="3340"/>
      <c r="BF253" s="3340"/>
      <c r="BG253" s="3340"/>
      <c r="BH253" s="3340"/>
      <c r="BI253" s="3340"/>
      <c r="BJ253" s="3340"/>
      <c r="BK253" s="3340"/>
      <c r="BL253" s="3340"/>
      <c r="BM253" s="3340"/>
      <c r="BN253" s="3340"/>
      <c r="BO253" s="3340"/>
    </row>
    <row r="254" spans="48:67" s="3316" customFormat="1">
      <c r="AV254" s="3340"/>
      <c r="AW254" s="3340"/>
      <c r="AX254" s="3340"/>
      <c r="AY254" s="3340"/>
      <c r="AZ254" s="3340"/>
      <c r="BA254" s="3340"/>
      <c r="BB254" s="3340"/>
      <c r="BC254" s="3340"/>
      <c r="BD254" s="3340"/>
      <c r="BE254" s="3340"/>
      <c r="BF254" s="3340"/>
      <c r="BG254" s="3340"/>
      <c r="BH254" s="3340"/>
      <c r="BI254" s="3340"/>
      <c r="BJ254" s="3340"/>
      <c r="BK254" s="3340"/>
      <c r="BL254" s="3340"/>
      <c r="BM254" s="3340"/>
      <c r="BN254" s="3340"/>
      <c r="BO254" s="3340"/>
    </row>
    <row r="255" spans="48:67" s="3316" customFormat="1">
      <c r="AV255" s="3340"/>
      <c r="AW255" s="3340"/>
      <c r="AX255" s="3340"/>
      <c r="AY255" s="3340"/>
      <c r="AZ255" s="3340"/>
      <c r="BA255" s="3340"/>
      <c r="BB255" s="3340"/>
      <c r="BC255" s="3340"/>
      <c r="BD255" s="3340"/>
      <c r="BE255" s="3340"/>
      <c r="BF255" s="3340"/>
      <c r="BG255" s="3340"/>
      <c r="BH255" s="3340"/>
      <c r="BI255" s="3340"/>
      <c r="BJ255" s="3340"/>
      <c r="BK255" s="3340"/>
      <c r="BL255" s="3340"/>
      <c r="BM255" s="3340"/>
      <c r="BN255" s="3340"/>
      <c r="BO255" s="3340"/>
    </row>
    <row r="256" spans="48:67" s="3316" customFormat="1">
      <c r="AV256" s="3340"/>
      <c r="AW256" s="3340"/>
      <c r="AX256" s="3340"/>
      <c r="AY256" s="3340"/>
      <c r="AZ256" s="3340"/>
      <c r="BA256" s="3340"/>
      <c r="BB256" s="3340"/>
      <c r="BC256" s="3340"/>
      <c r="BD256" s="3340"/>
      <c r="BE256" s="3340"/>
      <c r="BF256" s="3340"/>
      <c r="BG256" s="3340"/>
      <c r="BH256" s="3340"/>
      <c r="BI256" s="3340"/>
      <c r="BJ256" s="3340"/>
      <c r="BK256" s="3340"/>
      <c r="BL256" s="3340"/>
      <c r="BM256" s="3340"/>
      <c r="BN256" s="3340"/>
      <c r="BO256" s="3340"/>
    </row>
    <row r="257" spans="48:67" s="3316" customFormat="1">
      <c r="AV257" s="3340"/>
      <c r="AW257" s="3340"/>
      <c r="AX257" s="3340"/>
      <c r="AY257" s="3340"/>
      <c r="AZ257" s="3340"/>
      <c r="BA257" s="3340"/>
      <c r="BB257" s="3340"/>
      <c r="BC257" s="3340"/>
      <c r="BD257" s="3340"/>
      <c r="BE257" s="3340"/>
      <c r="BF257" s="3340"/>
      <c r="BG257" s="3340"/>
      <c r="BH257" s="3340"/>
      <c r="BI257" s="3340"/>
      <c r="BJ257" s="3340"/>
      <c r="BK257" s="3340"/>
      <c r="BL257" s="3340"/>
      <c r="BM257" s="3340"/>
      <c r="BN257" s="3340"/>
      <c r="BO257" s="3340"/>
    </row>
    <row r="258" spans="48:67" s="3316" customFormat="1">
      <c r="AV258" s="3340"/>
      <c r="AW258" s="3340"/>
      <c r="AX258" s="3340"/>
      <c r="AY258" s="3340"/>
      <c r="AZ258" s="3340"/>
      <c r="BA258" s="3340"/>
      <c r="BB258" s="3340"/>
      <c r="BC258" s="3340"/>
      <c r="BD258" s="3340"/>
      <c r="BE258" s="3340"/>
      <c r="BF258" s="3340"/>
      <c r="BG258" s="3340"/>
      <c r="BH258" s="3340"/>
      <c r="BI258" s="3340"/>
      <c r="BJ258" s="3340"/>
      <c r="BK258" s="3340"/>
      <c r="BL258" s="3340"/>
      <c r="BM258" s="3340"/>
      <c r="BN258" s="3340"/>
      <c r="BO258" s="3340"/>
    </row>
    <row r="259" spans="48:67" s="3316" customFormat="1">
      <c r="AV259" s="3340"/>
      <c r="AW259" s="3340"/>
      <c r="AX259" s="3340"/>
      <c r="AY259" s="3340"/>
      <c r="AZ259" s="3340"/>
      <c r="BA259" s="3340"/>
      <c r="BB259" s="3340"/>
      <c r="BC259" s="3340"/>
      <c r="BD259" s="3340"/>
      <c r="BE259" s="3340"/>
      <c r="BF259" s="3340"/>
      <c r="BG259" s="3340"/>
      <c r="BH259" s="3340"/>
      <c r="BI259" s="3340"/>
      <c r="BJ259" s="3340"/>
      <c r="BK259" s="3340"/>
      <c r="BL259" s="3340"/>
      <c r="BM259" s="3340"/>
      <c r="BN259" s="3340"/>
      <c r="BO259" s="3340"/>
    </row>
    <row r="260" spans="48:67" s="3316" customFormat="1">
      <c r="AV260" s="3340"/>
      <c r="AW260" s="3340"/>
      <c r="AX260" s="3340"/>
      <c r="AY260" s="3340"/>
      <c r="AZ260" s="3340"/>
      <c r="BA260" s="3340"/>
      <c r="BB260" s="3340"/>
      <c r="BC260" s="3340"/>
      <c r="BD260" s="3340"/>
      <c r="BE260" s="3340"/>
      <c r="BF260" s="3340"/>
      <c r="BG260" s="3340"/>
      <c r="BH260" s="3340"/>
      <c r="BI260" s="3340"/>
      <c r="BJ260" s="3340"/>
      <c r="BK260" s="3340"/>
      <c r="BL260" s="3340"/>
      <c r="BM260" s="3340"/>
      <c r="BN260" s="3340"/>
      <c r="BO260" s="3340"/>
    </row>
    <row r="261" spans="48:67" s="3316" customFormat="1">
      <c r="AV261" s="3340"/>
      <c r="AW261" s="3340"/>
      <c r="AX261" s="3340"/>
      <c r="AY261" s="3340"/>
      <c r="AZ261" s="3340"/>
      <c r="BA261" s="3340"/>
      <c r="BB261" s="3340"/>
      <c r="BC261" s="3340"/>
      <c r="BD261" s="3340"/>
      <c r="BE261" s="3340"/>
      <c r="BF261" s="3340"/>
      <c r="BG261" s="3340"/>
      <c r="BH261" s="3340"/>
      <c r="BI261" s="3340"/>
      <c r="BJ261" s="3340"/>
      <c r="BK261" s="3340"/>
      <c r="BL261" s="3340"/>
      <c r="BM261" s="3340"/>
      <c r="BN261" s="3340"/>
      <c r="BO261" s="3340"/>
    </row>
    <row r="262" spans="48:67" s="3316" customFormat="1">
      <c r="AV262" s="3340"/>
      <c r="AW262" s="3340"/>
      <c r="AX262" s="3340"/>
      <c r="AY262" s="3340"/>
      <c r="AZ262" s="3340"/>
      <c r="BA262" s="3340"/>
      <c r="BB262" s="3340"/>
      <c r="BC262" s="3340"/>
      <c r="BD262" s="3340"/>
      <c r="BE262" s="3340"/>
      <c r="BF262" s="3340"/>
      <c r="BG262" s="3340"/>
      <c r="BH262" s="3340"/>
      <c r="BI262" s="3340"/>
      <c r="BJ262" s="3340"/>
      <c r="BK262" s="3340"/>
      <c r="BL262" s="3340"/>
      <c r="BM262" s="3340"/>
      <c r="BN262" s="3340"/>
      <c r="BO262" s="3340"/>
    </row>
    <row r="263" spans="48:67" s="3316" customFormat="1">
      <c r="AV263" s="3340"/>
      <c r="AW263" s="3340"/>
      <c r="AX263" s="3340"/>
      <c r="AY263" s="3340"/>
      <c r="AZ263" s="3340"/>
      <c r="BA263" s="3340"/>
      <c r="BB263" s="3340"/>
      <c r="BC263" s="3340"/>
      <c r="BD263" s="3340"/>
      <c r="BE263" s="3340"/>
      <c r="BF263" s="3340"/>
      <c r="BG263" s="3340"/>
      <c r="BH263" s="3340"/>
      <c r="BI263" s="3340"/>
      <c r="BJ263" s="3340"/>
      <c r="BK263" s="3340"/>
      <c r="BL263" s="3340"/>
      <c r="BM263" s="3340"/>
      <c r="BN263" s="3340"/>
      <c r="BO263" s="3340"/>
    </row>
    <row r="264" spans="48:67" s="3316" customFormat="1">
      <c r="AV264" s="3340"/>
      <c r="AW264" s="3340"/>
      <c r="AX264" s="3340"/>
      <c r="AY264" s="3340"/>
      <c r="AZ264" s="3340"/>
      <c r="BA264" s="3340"/>
      <c r="BB264" s="3340"/>
      <c r="BC264" s="3340"/>
      <c r="BD264" s="3340"/>
      <c r="BE264" s="3340"/>
      <c r="BF264" s="3340"/>
      <c r="BG264" s="3340"/>
      <c r="BH264" s="3340"/>
      <c r="BI264" s="3340"/>
      <c r="BJ264" s="3340"/>
      <c r="BK264" s="3340"/>
      <c r="BL264" s="3340"/>
      <c r="BM264" s="3340"/>
      <c r="BN264" s="3340"/>
      <c r="BO264" s="3340"/>
    </row>
    <row r="265" spans="48:67" s="3316" customFormat="1">
      <c r="AV265" s="3340"/>
      <c r="AW265" s="3340"/>
      <c r="AX265" s="3340"/>
      <c r="AY265" s="3340"/>
      <c r="AZ265" s="3340"/>
      <c r="BA265" s="3340"/>
      <c r="BB265" s="3340"/>
      <c r="BC265" s="3340"/>
      <c r="BD265" s="3340"/>
      <c r="BE265" s="3340"/>
      <c r="BF265" s="3340"/>
      <c r="BG265" s="3340"/>
      <c r="BH265" s="3340"/>
      <c r="BI265" s="3340"/>
      <c r="BJ265" s="3340"/>
      <c r="BK265" s="3340"/>
      <c r="BL265" s="3340"/>
      <c r="BM265" s="3340"/>
      <c r="BN265" s="3340"/>
      <c r="BO265" s="3340"/>
    </row>
    <row r="266" spans="48:67" s="3316" customFormat="1">
      <c r="AV266" s="3340"/>
      <c r="AW266" s="3340"/>
      <c r="AX266" s="3340"/>
      <c r="AY266" s="3340"/>
      <c r="AZ266" s="3340"/>
      <c r="BA266" s="3340"/>
      <c r="BB266" s="3340"/>
      <c r="BC266" s="3340"/>
      <c r="BD266" s="3340"/>
      <c r="BE266" s="3340"/>
      <c r="BF266" s="3340"/>
      <c r="BG266" s="3340"/>
      <c r="BH266" s="3340"/>
      <c r="BI266" s="3340"/>
      <c r="BJ266" s="3340"/>
      <c r="BK266" s="3340"/>
      <c r="BL266" s="3340"/>
      <c r="BM266" s="3340"/>
      <c r="BN266" s="3340"/>
      <c r="BO266" s="3340"/>
    </row>
    <row r="267" spans="48:67" s="3316" customFormat="1">
      <c r="AV267" s="3340"/>
      <c r="AW267" s="3340"/>
      <c r="AX267" s="3340"/>
      <c r="AY267" s="3340"/>
      <c r="AZ267" s="3340"/>
      <c r="BA267" s="3340"/>
      <c r="BB267" s="3340"/>
      <c r="BC267" s="3340"/>
      <c r="BD267" s="3340"/>
      <c r="BE267" s="3340"/>
      <c r="BF267" s="3340"/>
      <c r="BG267" s="3340"/>
      <c r="BH267" s="3340"/>
      <c r="BI267" s="3340"/>
      <c r="BJ267" s="3340"/>
      <c r="BK267" s="3340"/>
      <c r="BL267" s="3340"/>
      <c r="BM267" s="3340"/>
      <c r="BN267" s="3340"/>
      <c r="BO267" s="3340"/>
    </row>
    <row r="268" spans="48:67" s="3316" customFormat="1">
      <c r="AV268" s="3340"/>
      <c r="AW268" s="3340"/>
      <c r="AX268" s="3340"/>
      <c r="AY268" s="3340"/>
      <c r="AZ268" s="3340"/>
      <c r="BA268" s="3340"/>
      <c r="BB268" s="3340"/>
      <c r="BC268" s="3340"/>
      <c r="BD268" s="3340"/>
      <c r="BE268" s="3340"/>
      <c r="BF268" s="3340"/>
      <c r="BG268" s="3340"/>
      <c r="BH268" s="3340"/>
      <c r="BI268" s="3340"/>
      <c r="BJ268" s="3340"/>
      <c r="BK268" s="3340"/>
      <c r="BL268" s="3340"/>
      <c r="BM268" s="3340"/>
      <c r="BN268" s="3340"/>
      <c r="BO268" s="3340"/>
    </row>
    <row r="269" spans="48:67" s="3316" customFormat="1">
      <c r="AV269" s="3340"/>
      <c r="AW269" s="3340"/>
      <c r="AX269" s="3340"/>
      <c r="AY269" s="3340"/>
      <c r="AZ269" s="3340"/>
      <c r="BA269" s="3340"/>
      <c r="BB269" s="3340"/>
      <c r="BC269" s="3340"/>
      <c r="BD269" s="3340"/>
      <c r="BE269" s="3340"/>
      <c r="BF269" s="3340"/>
      <c r="BG269" s="3340"/>
      <c r="BH269" s="3340"/>
      <c r="BI269" s="3340"/>
      <c r="BJ269" s="3340"/>
      <c r="BK269" s="3340"/>
      <c r="BL269" s="3340"/>
      <c r="BM269" s="3340"/>
      <c r="BN269" s="3340"/>
      <c r="BO269" s="3340"/>
    </row>
    <row r="270" spans="48:67" s="3316" customFormat="1">
      <c r="AV270" s="3340"/>
      <c r="AW270" s="3340"/>
      <c r="AX270" s="3340"/>
      <c r="AY270" s="3340"/>
      <c r="AZ270" s="3340"/>
      <c r="BA270" s="3340"/>
      <c r="BB270" s="3340"/>
      <c r="BC270" s="3340"/>
      <c r="BD270" s="3340"/>
      <c r="BE270" s="3340"/>
      <c r="BF270" s="3340"/>
      <c r="BG270" s="3340"/>
      <c r="BH270" s="3340"/>
      <c r="BI270" s="3340"/>
      <c r="BJ270" s="3340"/>
      <c r="BK270" s="3340"/>
      <c r="BL270" s="3340"/>
      <c r="BM270" s="3340"/>
      <c r="BN270" s="3340"/>
      <c r="BO270" s="3340"/>
    </row>
    <row r="271" spans="48:67" s="3316" customFormat="1">
      <c r="AV271" s="3340"/>
      <c r="AW271" s="3340"/>
      <c r="AX271" s="3340"/>
      <c r="AY271" s="3340"/>
      <c r="AZ271" s="3340"/>
      <c r="BA271" s="3340"/>
      <c r="BB271" s="3340"/>
      <c r="BC271" s="3340"/>
      <c r="BD271" s="3340"/>
      <c r="BE271" s="3340"/>
      <c r="BF271" s="3340"/>
      <c r="BG271" s="3340"/>
      <c r="BH271" s="3340"/>
      <c r="BI271" s="3340"/>
      <c r="BJ271" s="3340"/>
      <c r="BK271" s="3340"/>
      <c r="BL271" s="3340"/>
      <c r="BM271" s="3340"/>
      <c r="BN271" s="3340"/>
      <c r="BO271" s="3340"/>
    </row>
    <row r="272" spans="48:67" s="3316" customFormat="1">
      <c r="AV272" s="3340"/>
      <c r="AW272" s="3340"/>
      <c r="AX272" s="3340"/>
      <c r="AY272" s="3340"/>
      <c r="AZ272" s="3340"/>
      <c r="BA272" s="3340"/>
      <c r="BB272" s="3340"/>
      <c r="BC272" s="3340"/>
      <c r="BD272" s="3340"/>
      <c r="BE272" s="3340"/>
      <c r="BF272" s="3340"/>
      <c r="BG272" s="3340"/>
      <c r="BH272" s="3340"/>
      <c r="BI272" s="3340"/>
      <c r="BJ272" s="3340"/>
      <c r="BK272" s="3340"/>
      <c r="BL272" s="3340"/>
      <c r="BM272" s="3340"/>
      <c r="BN272" s="3340"/>
      <c r="BO272" s="3340"/>
    </row>
    <row r="273" spans="48:67" s="3316" customFormat="1">
      <c r="AV273" s="3340"/>
      <c r="AW273" s="3340"/>
      <c r="AX273" s="3340"/>
      <c r="AY273" s="3340"/>
      <c r="AZ273" s="3340"/>
      <c r="BA273" s="3340"/>
      <c r="BB273" s="3340"/>
      <c r="BC273" s="3340"/>
      <c r="BD273" s="3340"/>
      <c r="BE273" s="3340"/>
      <c r="BF273" s="3340"/>
      <c r="BG273" s="3340"/>
      <c r="BH273" s="3340"/>
      <c r="BI273" s="3340"/>
      <c r="BJ273" s="3340"/>
      <c r="BK273" s="3340"/>
      <c r="BL273" s="3340"/>
      <c r="BM273" s="3340"/>
      <c r="BN273" s="3340"/>
      <c r="BO273" s="3340"/>
    </row>
    <row r="274" spans="48:67" s="3316" customFormat="1">
      <c r="AV274" s="3340"/>
      <c r="AW274" s="3340"/>
      <c r="AX274" s="3340"/>
      <c r="AY274" s="3340"/>
      <c r="AZ274" s="3340"/>
      <c r="BA274" s="3340"/>
      <c r="BB274" s="3340"/>
      <c r="BC274" s="3340"/>
      <c r="BD274" s="3340"/>
      <c r="BE274" s="3340"/>
      <c r="BF274" s="3340"/>
      <c r="BG274" s="3340"/>
      <c r="BH274" s="3340"/>
      <c r="BI274" s="3340"/>
      <c r="BJ274" s="3340"/>
      <c r="BK274" s="3340"/>
      <c r="BL274" s="3340"/>
      <c r="BM274" s="3340"/>
      <c r="BN274" s="3340"/>
      <c r="BO274" s="3340"/>
    </row>
    <row r="275" spans="48:67" s="3316" customFormat="1">
      <c r="AV275" s="3340"/>
      <c r="AW275" s="3340"/>
      <c r="AX275" s="3340"/>
      <c r="AY275" s="3340"/>
      <c r="AZ275" s="3340"/>
      <c r="BA275" s="3340"/>
      <c r="BB275" s="3340"/>
      <c r="BC275" s="3340"/>
      <c r="BD275" s="3340"/>
      <c r="BE275" s="3340"/>
      <c r="BF275" s="3340"/>
      <c r="BG275" s="3340"/>
      <c r="BH275" s="3340"/>
      <c r="BI275" s="3340"/>
      <c r="BJ275" s="3340"/>
      <c r="BK275" s="3340"/>
      <c r="BL275" s="3340"/>
      <c r="BM275" s="3340"/>
      <c r="BN275" s="3340"/>
      <c r="BO275" s="3340"/>
    </row>
    <row r="276" spans="48:67" s="3316" customFormat="1">
      <c r="AV276" s="3340"/>
      <c r="AW276" s="3340"/>
      <c r="AX276" s="3340"/>
      <c r="AY276" s="3340"/>
      <c r="AZ276" s="3340"/>
      <c r="BA276" s="3340"/>
      <c r="BB276" s="3340"/>
      <c r="BC276" s="3340"/>
      <c r="BD276" s="3340"/>
      <c r="BE276" s="3340"/>
      <c r="BF276" s="3340"/>
      <c r="BG276" s="3340"/>
      <c r="BH276" s="3340"/>
      <c r="BI276" s="3340"/>
      <c r="BJ276" s="3340"/>
      <c r="BK276" s="3340"/>
      <c r="BL276" s="3340"/>
      <c r="BM276" s="3340"/>
      <c r="BN276" s="3340"/>
      <c r="BO276" s="3340"/>
    </row>
    <row r="277" spans="48:67" s="3316" customFormat="1">
      <c r="AV277" s="3340"/>
      <c r="AW277" s="3340"/>
      <c r="AX277" s="3340"/>
      <c r="AY277" s="3340"/>
      <c r="AZ277" s="3340"/>
      <c r="BA277" s="3340"/>
      <c r="BB277" s="3340"/>
      <c r="BC277" s="3340"/>
      <c r="BD277" s="3340"/>
      <c r="BE277" s="3340"/>
      <c r="BF277" s="3340"/>
      <c r="BG277" s="3340"/>
      <c r="BH277" s="3340"/>
      <c r="BI277" s="3340"/>
      <c r="BJ277" s="3340"/>
      <c r="BK277" s="3340"/>
      <c r="BL277" s="3340"/>
      <c r="BM277" s="3340"/>
      <c r="BN277" s="3340"/>
      <c r="BO277" s="3340"/>
    </row>
    <row r="278" spans="48:67" s="3316" customFormat="1">
      <c r="AV278" s="3340"/>
      <c r="AW278" s="3340"/>
      <c r="AX278" s="3340"/>
      <c r="AY278" s="3340"/>
      <c r="AZ278" s="3340"/>
      <c r="BA278" s="3340"/>
      <c r="BB278" s="3340"/>
      <c r="BC278" s="3340"/>
      <c r="BD278" s="3340"/>
      <c r="BE278" s="3340"/>
      <c r="BF278" s="3340"/>
      <c r="BG278" s="3340"/>
      <c r="BH278" s="3340"/>
      <c r="BI278" s="3340"/>
      <c r="BJ278" s="3340"/>
      <c r="BK278" s="3340"/>
      <c r="BL278" s="3340"/>
      <c r="BM278" s="3340"/>
      <c r="BN278" s="3340"/>
      <c r="BO278" s="3340"/>
    </row>
    <row r="279" spans="48:67" s="3316" customFormat="1">
      <c r="AV279" s="3340"/>
      <c r="AW279" s="3340"/>
      <c r="AX279" s="3340"/>
      <c r="AY279" s="3340"/>
      <c r="AZ279" s="3340"/>
      <c r="BA279" s="3340"/>
      <c r="BB279" s="3340"/>
      <c r="BC279" s="3340"/>
      <c r="BD279" s="3340"/>
      <c r="BE279" s="3340"/>
      <c r="BF279" s="3340"/>
      <c r="BG279" s="3340"/>
      <c r="BH279" s="3340"/>
      <c r="BI279" s="3340"/>
      <c r="BJ279" s="3340"/>
      <c r="BK279" s="3340"/>
      <c r="BL279" s="3340"/>
      <c r="BM279" s="3340"/>
      <c r="BN279" s="3340"/>
      <c r="BO279" s="3340"/>
    </row>
    <row r="280" spans="48:67" s="3316" customFormat="1">
      <c r="AV280" s="3340"/>
      <c r="AW280" s="3340"/>
      <c r="AX280" s="3340"/>
      <c r="AY280" s="3340"/>
      <c r="AZ280" s="3340"/>
      <c r="BA280" s="3340"/>
      <c r="BB280" s="3340"/>
      <c r="BC280" s="3340"/>
      <c r="BD280" s="3340"/>
      <c r="BE280" s="3340"/>
      <c r="BF280" s="3340"/>
      <c r="BG280" s="3340"/>
      <c r="BH280" s="3340"/>
      <c r="BI280" s="3340"/>
      <c r="BJ280" s="3340"/>
      <c r="BK280" s="3340"/>
      <c r="BL280" s="3340"/>
      <c r="BM280" s="3340"/>
      <c r="BN280" s="3340"/>
      <c r="BO280" s="3340"/>
    </row>
    <row r="281" spans="48:67" s="3316" customFormat="1">
      <c r="AV281" s="3340"/>
      <c r="AW281" s="3340"/>
      <c r="AX281" s="3340"/>
      <c r="AY281" s="3340"/>
      <c r="AZ281" s="3340"/>
      <c r="BA281" s="3340"/>
      <c r="BB281" s="3340"/>
      <c r="BC281" s="3340"/>
      <c r="BD281" s="3340"/>
      <c r="BE281" s="3340"/>
      <c r="BF281" s="3340"/>
      <c r="BG281" s="3340"/>
      <c r="BH281" s="3340"/>
      <c r="BI281" s="3340"/>
      <c r="BJ281" s="3340"/>
      <c r="BK281" s="3340"/>
      <c r="BL281" s="3340"/>
      <c r="BM281" s="3340"/>
      <c r="BN281" s="3340"/>
      <c r="BO281" s="3340"/>
    </row>
    <row r="282" spans="48:67" s="3316" customFormat="1">
      <c r="AV282" s="3340"/>
      <c r="AW282" s="3340"/>
      <c r="AX282" s="3340"/>
      <c r="AY282" s="3340"/>
      <c r="AZ282" s="3340"/>
      <c r="BA282" s="3340"/>
      <c r="BB282" s="3340"/>
      <c r="BC282" s="3340"/>
      <c r="BD282" s="3340"/>
      <c r="BE282" s="3340"/>
      <c r="BF282" s="3340"/>
      <c r="BG282" s="3340"/>
      <c r="BH282" s="3340"/>
      <c r="BI282" s="3340"/>
      <c r="BJ282" s="3340"/>
      <c r="BK282" s="3340"/>
      <c r="BL282" s="3340"/>
      <c r="BM282" s="3340"/>
      <c r="BN282" s="3340"/>
      <c r="BO282" s="3340"/>
    </row>
    <row r="283" spans="48:67" s="3316" customFormat="1">
      <c r="AV283" s="3340"/>
      <c r="AW283" s="3340"/>
      <c r="AX283" s="3340"/>
      <c r="AY283" s="3340"/>
      <c r="AZ283" s="3340"/>
      <c r="BA283" s="3340"/>
      <c r="BB283" s="3340"/>
      <c r="BC283" s="3340"/>
      <c r="BD283" s="3340"/>
      <c r="BE283" s="3340"/>
      <c r="BF283" s="3340"/>
      <c r="BG283" s="3340"/>
      <c r="BH283" s="3340"/>
      <c r="BI283" s="3340"/>
      <c r="BJ283" s="3340"/>
      <c r="BK283" s="3340"/>
      <c r="BL283" s="3340"/>
      <c r="BM283" s="3340"/>
      <c r="BN283" s="3340"/>
      <c r="BO283" s="3340"/>
    </row>
    <row r="284" spans="48:67" s="3316" customFormat="1">
      <c r="AV284" s="3340"/>
      <c r="AW284" s="3340"/>
      <c r="AX284" s="3340"/>
      <c r="AY284" s="3340"/>
      <c r="AZ284" s="3340"/>
      <c r="BA284" s="3340"/>
      <c r="BB284" s="3340"/>
      <c r="BC284" s="3340"/>
      <c r="BD284" s="3340"/>
      <c r="BE284" s="3340"/>
      <c r="BF284" s="3340"/>
      <c r="BG284" s="3340"/>
      <c r="BH284" s="3340"/>
      <c r="BI284" s="3340"/>
      <c r="BJ284" s="3340"/>
      <c r="BK284" s="3340"/>
      <c r="BL284" s="3340"/>
      <c r="BM284" s="3340"/>
      <c r="BN284" s="3340"/>
      <c r="BO284" s="3340"/>
    </row>
    <row r="285" spans="48:67" s="3316" customFormat="1">
      <c r="AV285" s="3340"/>
      <c r="AW285" s="3340"/>
      <c r="AX285" s="3340"/>
      <c r="AY285" s="3340"/>
      <c r="AZ285" s="3340"/>
      <c r="BA285" s="3340"/>
      <c r="BB285" s="3340"/>
      <c r="BC285" s="3340"/>
      <c r="BD285" s="3340"/>
      <c r="BE285" s="3340"/>
      <c r="BF285" s="3340"/>
      <c r="BG285" s="3340"/>
      <c r="BH285" s="3340"/>
      <c r="BI285" s="3340"/>
      <c r="BJ285" s="3340"/>
      <c r="BK285" s="3340"/>
      <c r="BL285" s="3340"/>
      <c r="BM285" s="3340"/>
      <c r="BN285" s="3340"/>
      <c r="BO285" s="3340"/>
    </row>
    <row r="286" spans="48:67" s="3316" customFormat="1">
      <c r="AV286" s="3340"/>
      <c r="AW286" s="3340"/>
      <c r="AX286" s="3340"/>
      <c r="AY286" s="3340"/>
      <c r="AZ286" s="3340"/>
      <c r="BA286" s="3340"/>
      <c r="BB286" s="3340"/>
      <c r="BC286" s="3340"/>
      <c r="BD286" s="3340"/>
      <c r="BE286" s="3340"/>
      <c r="BF286" s="3340"/>
      <c r="BG286" s="3340"/>
      <c r="BH286" s="3340"/>
      <c r="BI286" s="3340"/>
      <c r="BJ286" s="3340"/>
      <c r="BK286" s="3340"/>
      <c r="BL286" s="3340"/>
      <c r="BM286" s="3340"/>
      <c r="BN286" s="3340"/>
      <c r="BO286" s="3340"/>
    </row>
    <row r="287" spans="48:67" s="3316" customFormat="1">
      <c r="AV287" s="3340"/>
      <c r="AW287" s="3340"/>
      <c r="AX287" s="3340"/>
      <c r="AY287" s="3340"/>
      <c r="AZ287" s="3340"/>
      <c r="BA287" s="3340"/>
      <c r="BB287" s="3340"/>
      <c r="BC287" s="3340"/>
      <c r="BD287" s="3340"/>
      <c r="BE287" s="3340"/>
      <c r="BF287" s="3340"/>
      <c r="BG287" s="3340"/>
      <c r="BH287" s="3340"/>
      <c r="BI287" s="3340"/>
      <c r="BJ287" s="3340"/>
      <c r="BK287" s="3340"/>
      <c r="BL287" s="3340"/>
      <c r="BM287" s="3340"/>
      <c r="BN287" s="3340"/>
      <c r="BO287" s="3340"/>
    </row>
    <row r="288" spans="48:67" s="3316" customFormat="1">
      <c r="AV288" s="3340"/>
      <c r="AW288" s="3340"/>
      <c r="AX288" s="3340"/>
      <c r="AY288" s="3340"/>
      <c r="AZ288" s="3340"/>
      <c r="BA288" s="3340"/>
      <c r="BB288" s="3340"/>
      <c r="BC288" s="3340"/>
      <c r="BD288" s="3340"/>
      <c r="BE288" s="3340"/>
      <c r="BF288" s="3340"/>
      <c r="BG288" s="3340"/>
      <c r="BH288" s="3340"/>
      <c r="BI288" s="3340"/>
      <c r="BJ288" s="3340"/>
      <c r="BK288" s="3340"/>
      <c r="BL288" s="3340"/>
      <c r="BM288" s="3340"/>
      <c r="BN288" s="3340"/>
      <c r="BO288" s="3340"/>
    </row>
    <row r="289" spans="48:67" s="3316" customFormat="1">
      <c r="AV289" s="3340"/>
      <c r="AW289" s="3340"/>
      <c r="AX289" s="3340"/>
      <c r="AY289" s="3340"/>
      <c r="AZ289" s="3340"/>
      <c r="BA289" s="3340"/>
      <c r="BB289" s="3340"/>
      <c r="BC289" s="3340"/>
      <c r="BD289" s="3340"/>
      <c r="BE289" s="3340"/>
      <c r="BF289" s="3340"/>
      <c r="BG289" s="3340"/>
      <c r="BH289" s="3340"/>
      <c r="BI289" s="3340"/>
      <c r="BJ289" s="3340"/>
      <c r="BK289" s="3340"/>
      <c r="BL289" s="3340"/>
      <c r="BM289" s="3340"/>
      <c r="BN289" s="3340"/>
      <c r="BO289" s="3340"/>
    </row>
    <row r="290" spans="48:67" s="3260" customFormat="1">
      <c r="AV290" s="3336"/>
      <c r="AW290" s="3336"/>
      <c r="AX290" s="3336"/>
      <c r="AY290" s="3336"/>
      <c r="AZ290" s="3336"/>
      <c r="BA290" s="3336"/>
      <c r="BB290" s="3336"/>
      <c r="BC290" s="3336"/>
      <c r="BD290" s="3336"/>
      <c r="BE290" s="3336"/>
      <c r="BF290" s="3336"/>
      <c r="BG290" s="3336"/>
      <c r="BH290" s="3336"/>
      <c r="BI290" s="3336"/>
      <c r="BJ290" s="3336"/>
      <c r="BK290" s="3336"/>
      <c r="BL290" s="3336"/>
      <c r="BM290" s="3336"/>
      <c r="BN290" s="3336"/>
      <c r="BO290" s="3336"/>
    </row>
    <row r="291" spans="48:67" s="3260" customFormat="1">
      <c r="AV291" s="3336"/>
      <c r="AW291" s="3336"/>
      <c r="AX291" s="3336"/>
      <c r="AY291" s="3336"/>
      <c r="AZ291" s="3336"/>
      <c r="BA291" s="3336"/>
      <c r="BB291" s="3336"/>
      <c r="BC291" s="3336"/>
      <c r="BD291" s="3336"/>
      <c r="BE291" s="3336"/>
      <c r="BF291" s="3336"/>
      <c r="BG291" s="3336"/>
      <c r="BH291" s="3336"/>
      <c r="BI291" s="3336"/>
      <c r="BJ291" s="3336"/>
      <c r="BK291" s="3336"/>
      <c r="BL291" s="3336"/>
      <c r="BM291" s="3336"/>
      <c r="BN291" s="3336"/>
      <c r="BO291" s="3336"/>
    </row>
    <row r="292" spans="48:67" s="3260" customFormat="1">
      <c r="AV292" s="3336"/>
      <c r="AW292" s="3336"/>
      <c r="AX292" s="3336"/>
      <c r="AY292" s="3336"/>
      <c r="AZ292" s="3336"/>
      <c r="BA292" s="3336"/>
      <c r="BB292" s="3336"/>
      <c r="BC292" s="3336"/>
      <c r="BD292" s="3336"/>
      <c r="BE292" s="3336"/>
      <c r="BF292" s="3336"/>
      <c r="BG292" s="3336"/>
      <c r="BH292" s="3336"/>
      <c r="BI292" s="3336"/>
      <c r="BJ292" s="3336"/>
      <c r="BK292" s="3336"/>
      <c r="BL292" s="3336"/>
      <c r="BM292" s="3336"/>
      <c r="BN292" s="3336"/>
      <c r="BO292" s="3336"/>
    </row>
    <row r="293" spans="48:67" s="3260" customFormat="1">
      <c r="AV293" s="3336"/>
      <c r="AW293" s="3336"/>
      <c r="AX293" s="3336"/>
      <c r="AY293" s="3336"/>
      <c r="AZ293" s="3336"/>
      <c r="BA293" s="3336"/>
      <c r="BB293" s="3336"/>
      <c r="BC293" s="3336"/>
      <c r="BD293" s="3336"/>
      <c r="BE293" s="3336"/>
      <c r="BF293" s="3336"/>
      <c r="BG293" s="3336"/>
      <c r="BH293" s="3336"/>
      <c r="BI293" s="3336"/>
      <c r="BJ293" s="3336"/>
      <c r="BK293" s="3336"/>
      <c r="BL293" s="3336"/>
      <c r="BM293" s="3336"/>
      <c r="BN293" s="3336"/>
      <c r="BO293" s="3336"/>
    </row>
    <row r="294" spans="48:67" s="3260" customFormat="1">
      <c r="AV294" s="3336"/>
      <c r="AW294" s="3336"/>
      <c r="AX294" s="3336"/>
      <c r="AY294" s="3336"/>
      <c r="AZ294" s="3336"/>
      <c r="BA294" s="3336"/>
      <c r="BB294" s="3336"/>
      <c r="BC294" s="3336"/>
      <c r="BD294" s="3336"/>
      <c r="BE294" s="3336"/>
      <c r="BF294" s="3336"/>
      <c r="BG294" s="3336"/>
      <c r="BH294" s="3336"/>
      <c r="BI294" s="3336"/>
      <c r="BJ294" s="3336"/>
      <c r="BK294" s="3336"/>
      <c r="BL294" s="3336"/>
      <c r="BM294" s="3336"/>
      <c r="BN294" s="3336"/>
      <c r="BO294" s="3336"/>
    </row>
    <row r="295" spans="48:67" s="3260" customFormat="1">
      <c r="AV295" s="3336"/>
      <c r="AW295" s="3336"/>
      <c r="AX295" s="3336"/>
      <c r="AY295" s="3336"/>
      <c r="AZ295" s="3336"/>
      <c r="BA295" s="3336"/>
      <c r="BB295" s="3336"/>
      <c r="BC295" s="3336"/>
      <c r="BD295" s="3336"/>
      <c r="BE295" s="3336"/>
      <c r="BF295" s="3336"/>
      <c r="BG295" s="3336"/>
      <c r="BH295" s="3336"/>
      <c r="BI295" s="3336"/>
      <c r="BJ295" s="3336"/>
      <c r="BK295" s="3336"/>
      <c r="BL295" s="3336"/>
      <c r="BM295" s="3336"/>
      <c r="BN295" s="3336"/>
      <c r="BO295" s="3336"/>
    </row>
    <row r="296" spans="48:67" s="3260" customFormat="1" ht="12.75" customHeight="1">
      <c r="AV296" s="3336"/>
      <c r="AW296" s="3336"/>
      <c r="AX296" s="3336"/>
      <c r="AY296" s="3336"/>
      <c r="AZ296" s="3336"/>
      <c r="BA296" s="3336"/>
      <c r="BB296" s="3336"/>
      <c r="BC296" s="3336"/>
      <c r="BD296" s="3336"/>
      <c r="BE296" s="3336"/>
      <c r="BF296" s="3336"/>
      <c r="BG296" s="3336"/>
      <c r="BH296" s="3336"/>
      <c r="BI296" s="3336"/>
      <c r="BJ296" s="3336"/>
      <c r="BK296" s="3336"/>
      <c r="BL296" s="3336"/>
      <c r="BM296" s="3336"/>
      <c r="BN296" s="3336"/>
      <c r="BO296" s="3336"/>
    </row>
    <row r="319" spans="48:67" s="3316" customFormat="1">
      <c r="AV319" s="3340"/>
      <c r="AW319" s="3340"/>
      <c r="AX319" s="3340"/>
      <c r="AY319" s="3340"/>
      <c r="AZ319" s="3340"/>
      <c r="BA319" s="3340"/>
      <c r="BB319" s="3340"/>
      <c r="BC319" s="3340"/>
      <c r="BD319" s="3340"/>
      <c r="BE319" s="3340"/>
      <c r="BF319" s="3340"/>
      <c r="BG319" s="3340"/>
      <c r="BH319" s="3340"/>
      <c r="BI319" s="3340"/>
      <c r="BJ319" s="3340"/>
      <c r="BK319" s="3340"/>
      <c r="BL319" s="3340"/>
      <c r="BM319" s="3340"/>
      <c r="BN319" s="3340"/>
      <c r="BO319" s="3340"/>
    </row>
    <row r="320" spans="48:67" s="3316" customFormat="1">
      <c r="AV320" s="3340"/>
      <c r="AW320" s="3340"/>
      <c r="AX320" s="3340"/>
      <c r="AY320" s="3340"/>
      <c r="AZ320" s="3340"/>
      <c r="BA320" s="3340"/>
      <c r="BB320" s="3340"/>
      <c r="BC320" s="3340"/>
      <c r="BD320" s="3340"/>
      <c r="BE320" s="3340"/>
      <c r="BF320" s="3340"/>
      <c r="BG320" s="3340"/>
      <c r="BH320" s="3340"/>
      <c r="BI320" s="3340"/>
      <c r="BJ320" s="3340"/>
      <c r="BK320" s="3340"/>
      <c r="BL320" s="3340"/>
      <c r="BM320" s="3340"/>
      <c r="BN320" s="3340"/>
      <c r="BO320" s="3340"/>
    </row>
    <row r="321" spans="48:67" s="3316" customFormat="1">
      <c r="AV321" s="3340"/>
      <c r="AW321" s="3340"/>
      <c r="AX321" s="3340"/>
      <c r="AY321" s="3340"/>
      <c r="AZ321" s="3340"/>
      <c r="BA321" s="3340"/>
      <c r="BB321" s="3340"/>
      <c r="BC321" s="3340"/>
      <c r="BD321" s="3340"/>
      <c r="BE321" s="3340"/>
      <c r="BF321" s="3340"/>
      <c r="BG321" s="3340"/>
      <c r="BH321" s="3340"/>
      <c r="BI321" s="3340"/>
      <c r="BJ321" s="3340"/>
      <c r="BK321" s="3340"/>
      <c r="BL321" s="3340"/>
      <c r="BM321" s="3340"/>
      <c r="BN321" s="3340"/>
      <c r="BO321" s="3340"/>
    </row>
    <row r="322" spans="48:67" s="3316" customFormat="1">
      <c r="AV322" s="3340"/>
      <c r="AW322" s="3340"/>
      <c r="AX322" s="3340"/>
      <c r="AY322" s="3340"/>
      <c r="AZ322" s="3340"/>
      <c r="BA322" s="3340"/>
      <c r="BB322" s="3340"/>
      <c r="BC322" s="3340"/>
      <c r="BD322" s="3340"/>
      <c r="BE322" s="3340"/>
      <c r="BF322" s="3340"/>
      <c r="BG322" s="3340"/>
      <c r="BH322" s="3340"/>
      <c r="BI322" s="3340"/>
      <c r="BJ322" s="3340"/>
      <c r="BK322" s="3340"/>
      <c r="BL322" s="3340"/>
      <c r="BM322" s="3340"/>
      <c r="BN322" s="3340"/>
      <c r="BO322" s="3340"/>
    </row>
    <row r="323" spans="48:67" s="3316" customFormat="1">
      <c r="AV323" s="3340"/>
      <c r="AW323" s="3340"/>
      <c r="AX323" s="3340"/>
      <c r="AY323" s="3340"/>
      <c r="AZ323" s="3340"/>
      <c r="BA323" s="3340"/>
      <c r="BB323" s="3340"/>
      <c r="BC323" s="3340"/>
      <c r="BD323" s="3340"/>
      <c r="BE323" s="3340"/>
      <c r="BF323" s="3340"/>
      <c r="BG323" s="3340"/>
      <c r="BH323" s="3340"/>
      <c r="BI323" s="3340"/>
      <c r="BJ323" s="3340"/>
      <c r="BK323" s="3340"/>
      <c r="BL323" s="3340"/>
      <c r="BM323" s="3340"/>
      <c r="BN323" s="3340"/>
      <c r="BO323" s="3340"/>
    </row>
    <row r="324" spans="48:67" s="3316" customFormat="1">
      <c r="AV324" s="3340"/>
      <c r="AW324" s="3340"/>
      <c r="AX324" s="3340"/>
      <c r="AY324" s="3340"/>
      <c r="AZ324" s="3340"/>
      <c r="BA324" s="3340"/>
      <c r="BB324" s="3340"/>
      <c r="BC324" s="3340"/>
      <c r="BD324" s="3340"/>
      <c r="BE324" s="3340"/>
      <c r="BF324" s="3340"/>
      <c r="BG324" s="3340"/>
      <c r="BH324" s="3340"/>
      <c r="BI324" s="3340"/>
      <c r="BJ324" s="3340"/>
      <c r="BK324" s="3340"/>
      <c r="BL324" s="3340"/>
      <c r="BM324" s="3340"/>
      <c r="BN324" s="3340"/>
      <c r="BO324" s="3340"/>
    </row>
    <row r="325" spans="48:67" s="3316" customFormat="1">
      <c r="AV325" s="3340"/>
      <c r="AW325" s="3340"/>
      <c r="AX325" s="3340"/>
      <c r="AY325" s="3340"/>
      <c r="AZ325" s="3340"/>
      <c r="BA325" s="3340"/>
      <c r="BB325" s="3340"/>
      <c r="BC325" s="3340"/>
      <c r="BD325" s="3340"/>
      <c r="BE325" s="3340"/>
      <c r="BF325" s="3340"/>
      <c r="BG325" s="3340"/>
      <c r="BH325" s="3340"/>
      <c r="BI325" s="3340"/>
      <c r="BJ325" s="3340"/>
      <c r="BK325" s="3340"/>
      <c r="BL325" s="3340"/>
      <c r="BM325" s="3340"/>
      <c r="BN325" s="3340"/>
      <c r="BO325" s="3340"/>
    </row>
    <row r="326" spans="48:67" s="3316" customFormat="1">
      <c r="AV326" s="3340"/>
      <c r="AW326" s="3340"/>
      <c r="AX326" s="3340"/>
      <c r="AY326" s="3340"/>
      <c r="AZ326" s="3340"/>
      <c r="BA326" s="3340"/>
      <c r="BB326" s="3340"/>
      <c r="BC326" s="3340"/>
      <c r="BD326" s="3340"/>
      <c r="BE326" s="3340"/>
      <c r="BF326" s="3340"/>
      <c r="BG326" s="3340"/>
      <c r="BH326" s="3340"/>
      <c r="BI326" s="3340"/>
      <c r="BJ326" s="3340"/>
      <c r="BK326" s="3340"/>
      <c r="BL326" s="3340"/>
      <c r="BM326" s="3340"/>
      <c r="BN326" s="3340"/>
      <c r="BO326" s="3340"/>
    </row>
    <row r="327" spans="48:67" s="3316" customFormat="1">
      <c r="AV327" s="3340"/>
      <c r="AW327" s="3340"/>
      <c r="AX327" s="3340"/>
      <c r="AY327" s="3340"/>
      <c r="AZ327" s="3340"/>
      <c r="BA327" s="3340"/>
      <c r="BB327" s="3340"/>
      <c r="BC327" s="3340"/>
      <c r="BD327" s="3340"/>
      <c r="BE327" s="3340"/>
      <c r="BF327" s="3340"/>
      <c r="BG327" s="3340"/>
      <c r="BH327" s="3340"/>
      <c r="BI327" s="3340"/>
      <c r="BJ327" s="3340"/>
      <c r="BK327" s="3340"/>
      <c r="BL327" s="3340"/>
      <c r="BM327" s="3340"/>
      <c r="BN327" s="3340"/>
      <c r="BO327" s="3340"/>
    </row>
    <row r="328" spans="48:67" s="3316" customFormat="1">
      <c r="AV328" s="3340"/>
      <c r="AW328" s="3340"/>
      <c r="AX328" s="3340"/>
      <c r="AY328" s="3340"/>
      <c r="AZ328" s="3340"/>
      <c r="BA328" s="3340"/>
      <c r="BB328" s="3340"/>
      <c r="BC328" s="3340"/>
      <c r="BD328" s="3340"/>
      <c r="BE328" s="3340"/>
      <c r="BF328" s="3340"/>
      <c r="BG328" s="3340"/>
      <c r="BH328" s="3340"/>
      <c r="BI328" s="3340"/>
      <c r="BJ328" s="3340"/>
      <c r="BK328" s="3340"/>
      <c r="BL328" s="3340"/>
      <c r="BM328" s="3340"/>
      <c r="BN328" s="3340"/>
      <c r="BO328" s="3340"/>
    </row>
    <row r="329" spans="48:67" s="3316" customFormat="1">
      <c r="AV329" s="3340"/>
      <c r="AW329" s="3340"/>
      <c r="AX329" s="3340"/>
      <c r="AY329" s="3340"/>
      <c r="AZ329" s="3340"/>
      <c r="BA329" s="3340"/>
      <c r="BB329" s="3340"/>
      <c r="BC329" s="3340"/>
      <c r="BD329" s="3340"/>
      <c r="BE329" s="3340"/>
      <c r="BF329" s="3340"/>
      <c r="BG329" s="3340"/>
      <c r="BH329" s="3340"/>
      <c r="BI329" s="3340"/>
      <c r="BJ329" s="3340"/>
      <c r="BK329" s="3340"/>
      <c r="BL329" s="3340"/>
      <c r="BM329" s="3340"/>
      <c r="BN329" s="3340"/>
      <c r="BO329" s="3340"/>
    </row>
    <row r="330" spans="48:67" s="3316" customFormat="1">
      <c r="AV330" s="3340"/>
      <c r="AW330" s="3340"/>
      <c r="AX330" s="3340"/>
      <c r="AY330" s="3340"/>
      <c r="AZ330" s="3340"/>
      <c r="BA330" s="3340"/>
      <c r="BB330" s="3340"/>
      <c r="BC330" s="3340"/>
      <c r="BD330" s="3340"/>
      <c r="BE330" s="3340"/>
      <c r="BF330" s="3340"/>
      <c r="BG330" s="3340"/>
      <c r="BH330" s="3340"/>
      <c r="BI330" s="3340"/>
      <c r="BJ330" s="3340"/>
      <c r="BK330" s="3340"/>
      <c r="BL330" s="3340"/>
      <c r="BM330" s="3340"/>
      <c r="BN330" s="3340"/>
      <c r="BO330" s="3340"/>
    </row>
    <row r="331" spans="48:67" s="3316" customFormat="1">
      <c r="AV331" s="3340"/>
      <c r="AW331" s="3340"/>
      <c r="AX331" s="3340"/>
      <c r="AY331" s="3340"/>
      <c r="AZ331" s="3340"/>
      <c r="BA331" s="3340"/>
      <c r="BB331" s="3340"/>
      <c r="BC331" s="3340"/>
      <c r="BD331" s="3340"/>
      <c r="BE331" s="3340"/>
      <c r="BF331" s="3340"/>
      <c r="BG331" s="3340"/>
      <c r="BH331" s="3340"/>
      <c r="BI331" s="3340"/>
      <c r="BJ331" s="3340"/>
      <c r="BK331" s="3340"/>
      <c r="BL331" s="3340"/>
      <c r="BM331" s="3340"/>
      <c r="BN331" s="3340"/>
      <c r="BO331" s="3340"/>
    </row>
    <row r="332" spans="48:67" s="3316" customFormat="1">
      <c r="AV332" s="3340"/>
      <c r="AW332" s="3340"/>
      <c r="AX332" s="3340"/>
      <c r="AY332" s="3340"/>
      <c r="AZ332" s="3340"/>
      <c r="BA332" s="3340"/>
      <c r="BB332" s="3340"/>
      <c r="BC332" s="3340"/>
      <c r="BD332" s="3340"/>
      <c r="BE332" s="3340"/>
      <c r="BF332" s="3340"/>
      <c r="BG332" s="3340"/>
      <c r="BH332" s="3340"/>
      <c r="BI332" s="3340"/>
      <c r="BJ332" s="3340"/>
      <c r="BK332" s="3340"/>
      <c r="BL332" s="3340"/>
      <c r="BM332" s="3340"/>
      <c r="BN332" s="3340"/>
      <c r="BO332" s="3340"/>
    </row>
    <row r="333" spans="48:67" s="3316" customFormat="1">
      <c r="AV333" s="3340"/>
      <c r="AW333" s="3340"/>
      <c r="AX333" s="3340"/>
      <c r="AY333" s="3340"/>
      <c r="AZ333" s="3340"/>
      <c r="BA333" s="3340"/>
      <c r="BB333" s="3340"/>
      <c r="BC333" s="3340"/>
      <c r="BD333" s="3340"/>
      <c r="BE333" s="3340"/>
      <c r="BF333" s="3340"/>
      <c r="BG333" s="3340"/>
      <c r="BH333" s="3340"/>
      <c r="BI333" s="3340"/>
      <c r="BJ333" s="3340"/>
      <c r="BK333" s="3340"/>
      <c r="BL333" s="3340"/>
      <c r="BM333" s="3340"/>
      <c r="BN333" s="3340"/>
      <c r="BO333" s="3340"/>
    </row>
    <row r="334" spans="48:67" s="3316" customFormat="1">
      <c r="AV334" s="3340"/>
      <c r="AW334" s="3340"/>
      <c r="AX334" s="3340"/>
      <c r="AY334" s="3340"/>
      <c r="AZ334" s="3340"/>
      <c r="BA334" s="3340"/>
      <c r="BB334" s="3340"/>
      <c r="BC334" s="3340"/>
      <c r="BD334" s="3340"/>
      <c r="BE334" s="3340"/>
      <c r="BF334" s="3340"/>
      <c r="BG334" s="3340"/>
      <c r="BH334" s="3340"/>
      <c r="BI334" s="3340"/>
      <c r="BJ334" s="3340"/>
      <c r="BK334" s="3340"/>
      <c r="BL334" s="3340"/>
      <c r="BM334" s="3340"/>
      <c r="BN334" s="3340"/>
      <c r="BO334" s="3340"/>
    </row>
    <row r="335" spans="48:67" s="3260" customFormat="1">
      <c r="AV335" s="3336"/>
      <c r="AW335" s="3336"/>
      <c r="AX335" s="3336"/>
      <c r="AY335" s="3336"/>
      <c r="AZ335" s="3336"/>
      <c r="BA335" s="3336"/>
      <c r="BB335" s="3336"/>
      <c r="BC335" s="3336"/>
      <c r="BD335" s="3336"/>
      <c r="BE335" s="3336"/>
      <c r="BF335" s="3336"/>
      <c r="BG335" s="3336"/>
      <c r="BH335" s="3336"/>
      <c r="BI335" s="3336"/>
      <c r="BJ335" s="3336"/>
      <c r="BK335" s="3336"/>
      <c r="BL335" s="3336"/>
      <c r="BM335" s="3336"/>
      <c r="BN335" s="3336"/>
      <c r="BO335" s="3336"/>
    </row>
    <row r="336" spans="48:67" s="3260" customFormat="1">
      <c r="AV336" s="3336"/>
      <c r="AW336" s="3336"/>
      <c r="AX336" s="3336"/>
      <c r="AY336" s="3336"/>
      <c r="AZ336" s="3336"/>
      <c r="BA336" s="3336"/>
      <c r="BB336" s="3336"/>
      <c r="BC336" s="3336"/>
      <c r="BD336" s="3336"/>
      <c r="BE336" s="3336"/>
      <c r="BF336" s="3336"/>
      <c r="BG336" s="3336"/>
      <c r="BH336" s="3336"/>
      <c r="BI336" s="3336"/>
      <c r="BJ336" s="3336"/>
      <c r="BK336" s="3336"/>
      <c r="BL336" s="3336"/>
      <c r="BM336" s="3336"/>
      <c r="BN336" s="3336"/>
      <c r="BO336" s="3336"/>
    </row>
    <row r="337" spans="48:67" s="3260" customFormat="1">
      <c r="AV337" s="3336"/>
      <c r="AW337" s="3336"/>
      <c r="AX337" s="3336"/>
      <c r="AY337" s="3336"/>
      <c r="AZ337" s="3336"/>
      <c r="BA337" s="3336"/>
      <c r="BB337" s="3336"/>
      <c r="BC337" s="3336"/>
      <c r="BD337" s="3336"/>
      <c r="BE337" s="3336"/>
      <c r="BF337" s="3336"/>
      <c r="BG337" s="3336"/>
      <c r="BH337" s="3336"/>
      <c r="BI337" s="3336"/>
      <c r="BJ337" s="3336"/>
      <c r="BK337" s="3336"/>
      <c r="BL337" s="3336"/>
      <c r="BM337" s="3336"/>
      <c r="BN337" s="3336"/>
      <c r="BO337" s="3336"/>
    </row>
    <row r="338" spans="48:67" s="3260" customFormat="1">
      <c r="AV338" s="3336"/>
      <c r="AW338" s="3336"/>
      <c r="AX338" s="3336"/>
      <c r="AY338" s="3336"/>
      <c r="AZ338" s="3336"/>
      <c r="BA338" s="3336"/>
      <c r="BB338" s="3336"/>
      <c r="BC338" s="3336"/>
      <c r="BD338" s="3336"/>
      <c r="BE338" s="3336"/>
      <c r="BF338" s="3336"/>
      <c r="BG338" s="3336"/>
      <c r="BH338" s="3336"/>
      <c r="BI338" s="3336"/>
      <c r="BJ338" s="3336"/>
      <c r="BK338" s="3336"/>
      <c r="BL338" s="3336"/>
      <c r="BM338" s="3336"/>
      <c r="BN338" s="3336"/>
      <c r="BO338" s="3336"/>
    </row>
    <row r="339" spans="48:67" s="3260" customFormat="1">
      <c r="AV339" s="3336"/>
      <c r="AW339" s="3336"/>
      <c r="AX339" s="3336"/>
      <c r="AY339" s="3336"/>
      <c r="AZ339" s="3336"/>
      <c r="BA339" s="3336"/>
      <c r="BB339" s="3336"/>
      <c r="BC339" s="3336"/>
      <c r="BD339" s="3336"/>
      <c r="BE339" s="3336"/>
      <c r="BF339" s="3336"/>
      <c r="BG339" s="3336"/>
      <c r="BH339" s="3336"/>
      <c r="BI339" s="3336"/>
      <c r="BJ339" s="3336"/>
      <c r="BK339" s="3336"/>
      <c r="BL339" s="3336"/>
      <c r="BM339" s="3336"/>
      <c r="BN339" s="3336"/>
      <c r="BO339" s="3336"/>
    </row>
    <row r="340" spans="48:67" s="3260" customFormat="1">
      <c r="AV340" s="3336"/>
      <c r="AW340" s="3336"/>
      <c r="AX340" s="3336"/>
      <c r="AY340" s="3336"/>
      <c r="AZ340" s="3336"/>
      <c r="BA340" s="3336"/>
      <c r="BB340" s="3336"/>
      <c r="BC340" s="3336"/>
      <c r="BD340" s="3336"/>
      <c r="BE340" s="3336"/>
      <c r="BF340" s="3336"/>
      <c r="BG340" s="3336"/>
      <c r="BH340" s="3336"/>
      <c r="BI340" s="3336"/>
      <c r="BJ340" s="3336"/>
      <c r="BK340" s="3336"/>
      <c r="BL340" s="3336"/>
      <c r="BM340" s="3336"/>
      <c r="BN340" s="3336"/>
      <c r="BO340" s="3336"/>
    </row>
    <row r="341" spans="48:67" s="3260" customFormat="1" ht="12.75" customHeight="1">
      <c r="AV341" s="3336"/>
      <c r="AW341" s="3336"/>
      <c r="AX341" s="3336"/>
      <c r="AY341" s="3336"/>
      <c r="AZ341" s="3336"/>
      <c r="BA341" s="3336"/>
      <c r="BB341" s="3336"/>
      <c r="BC341" s="3336"/>
      <c r="BD341" s="3336"/>
      <c r="BE341" s="3336"/>
      <c r="BF341" s="3336"/>
      <c r="BG341" s="3336"/>
      <c r="BH341" s="3336"/>
      <c r="BI341" s="3336"/>
      <c r="BJ341" s="3336"/>
      <c r="BK341" s="3336"/>
      <c r="BL341" s="3336"/>
      <c r="BM341" s="3336"/>
      <c r="BN341" s="3336"/>
      <c r="BO341" s="3336"/>
    </row>
  </sheetData>
  <autoFilter ref="A18:BT363"/>
  <mergeCells count="16">
    <mergeCell ref="BN1:BN2"/>
    <mergeCell ref="BM17:BM18"/>
    <mergeCell ref="BN17:BN18"/>
    <mergeCell ref="AZ17:BB17"/>
    <mergeCell ref="BC17:BC18"/>
    <mergeCell ref="BD17:BD18"/>
    <mergeCell ref="BM1:BM2"/>
    <mergeCell ref="BF17:BI17"/>
    <mergeCell ref="AV1:AY1"/>
    <mergeCell ref="AZ1:BB1"/>
    <mergeCell ref="BF1:BI1"/>
    <mergeCell ref="BJ1:BL1"/>
    <mergeCell ref="BJ17:BL17"/>
    <mergeCell ref="BC1:BC2"/>
    <mergeCell ref="BD1:BD2"/>
    <mergeCell ref="AV17:AY17"/>
  </mergeCells>
  <phoneticPr fontId="4"/>
  <pageMargins left="0.7" right="0.7" top="0.75" bottom="0.75" header="0.3" footer="0.3"/>
  <pageSetup paperSize="9" scale="53" fitToHeight="0" orientation="landscape" r:id="rId1"/>
  <drawing r:id="rId2"/>
</worksheet>
</file>

<file path=xl/worksheets/w7_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B1:J25"/>
  <sheetViews>
    <sheetView topLeftCell="A10" zoomScale="80" zoomScaleNormal="80" workbookViewId="0">
      <selection activeCell="F17" sqref="F17"/>
    </sheetView>
  </sheetViews>
  <sheetFormatPr defaultColWidth="9" defaultRowHeight="24" customHeight="1"/>
  <cols>
    <col min="1" max="1" width="0.625" style="2921" customWidth="1"/>
    <col min="2" max="2" width="3.75" style="2921" customWidth="1"/>
    <col min="3" max="3" width="34" style="2921" bestFit="1" customWidth="1"/>
    <col min="4" max="9" width="15.25" style="2923" customWidth="1"/>
    <col min="10" max="10" width="63.875" style="2922" customWidth="1"/>
    <col min="11" max="11" width="1.625" style="2921" customWidth="1"/>
    <col min="12" max="16384" width="9" style="2921"/>
  </cols>
  <sheetData>
    <row r="1" spans="2:10" ht="24" customHeight="1" thickBot="1">
      <c r="B1" s="2966" t="str">
        <f>+CONCATENATE(LEFT('3条支出'!$D$1,8),"　消費税計算に係る基礎数値")</f>
        <v>令和５年度決算　　消費税計算に係る基礎数値</v>
      </c>
    </row>
    <row r="2" spans="2:10" ht="24" customHeight="1" thickBot="1">
      <c r="B2" s="3558"/>
      <c r="C2" s="3559"/>
      <c r="D2" s="2965" t="s">
        <v>5830</v>
      </c>
      <c r="E2" s="2964" t="s">
        <v>5829</v>
      </c>
      <c r="F2" s="2963" t="s">
        <v>5828</v>
      </c>
      <c r="G2" s="3308" t="s">
        <v>6159</v>
      </c>
      <c r="H2" s="2962" t="s">
        <v>5827</v>
      </c>
      <c r="I2" s="2961" t="s">
        <v>5447</v>
      </c>
      <c r="J2" s="2960" t="s">
        <v>5796</v>
      </c>
    </row>
    <row r="3" spans="2:10" ht="24" customHeight="1">
      <c r="B3" s="3560" t="s">
        <v>5517</v>
      </c>
      <c r="C3" s="3561"/>
      <c r="D3" s="3270">
        <f>+'3条収入'!F69</f>
        <v>0</v>
      </c>
      <c r="E3" s="3271">
        <f>+'3条収入'!G69</f>
        <v>0</v>
      </c>
      <c r="F3" s="3272">
        <f>+'3条収入'!H69</f>
        <v>47053</v>
      </c>
      <c r="G3" s="3272">
        <f>+'3条収入'!I69</f>
        <v>0</v>
      </c>
      <c r="H3" s="3273">
        <f>+'3条収入'!J69</f>
        <v>20730008529</v>
      </c>
      <c r="I3" s="2937">
        <f>SUM(D3:H3)</f>
        <v>20730055582</v>
      </c>
      <c r="J3" s="2936" t="s">
        <v>5821</v>
      </c>
    </row>
    <row r="4" spans="2:10" ht="24" customHeight="1" thickBot="1">
      <c r="B4" s="3564" t="s">
        <v>5516</v>
      </c>
      <c r="C4" s="3565"/>
      <c r="D4" s="3274">
        <f>+'4条収入'!F91</f>
        <v>0</v>
      </c>
      <c r="E4" s="3275">
        <f>+'4条収入'!G91</f>
        <v>0</v>
      </c>
      <c r="F4" s="3276">
        <f>+'4条収入'!H91</f>
        <v>0</v>
      </c>
      <c r="G4" s="3276">
        <f>+'4条収入'!I91</f>
        <v>0</v>
      </c>
      <c r="H4" s="3277">
        <f>+'4条収入'!J91</f>
        <v>39691410</v>
      </c>
      <c r="I4" s="2926">
        <f>SUM(D4:H4)</f>
        <v>39691410</v>
      </c>
      <c r="J4" s="2925" t="s">
        <v>5821</v>
      </c>
    </row>
    <row r="5" spans="2:10" ht="24" customHeight="1">
      <c r="B5" s="3560" t="s">
        <v>5514</v>
      </c>
      <c r="C5" s="3561"/>
      <c r="D5" s="3270"/>
      <c r="E5" s="3271"/>
      <c r="F5" s="3272"/>
      <c r="G5" s="3272"/>
      <c r="H5" s="3273"/>
      <c r="I5" s="2937"/>
      <c r="J5" s="2936"/>
    </row>
    <row r="6" spans="2:10" ht="24" customHeight="1">
      <c r="B6" s="3555"/>
      <c r="C6" s="2935" t="s">
        <v>5815</v>
      </c>
      <c r="D6" s="3278">
        <f>+対価返還!BC3</f>
        <v>0</v>
      </c>
      <c r="E6" s="3279">
        <f>+対価返還!BC4</f>
        <v>0</v>
      </c>
      <c r="F6" s="3280">
        <f>+対価返還!BC5</f>
        <v>0</v>
      </c>
      <c r="G6" s="3279">
        <f>+対価返還!BC6</f>
        <v>0</v>
      </c>
      <c r="H6" s="3281">
        <f>+対価返還!BC7</f>
        <v>0</v>
      </c>
      <c r="I6" s="2953">
        <f>SUM(D6:H6)</f>
        <v>0</v>
      </c>
      <c r="J6" s="2931" t="s">
        <v>5826</v>
      </c>
    </row>
    <row r="7" spans="2:10" ht="24" customHeight="1" thickBot="1">
      <c r="B7" s="3557"/>
      <c r="C7" s="2930" t="s">
        <v>5825</v>
      </c>
      <c r="D7" s="3274">
        <f>+対価返還!BC9</f>
        <v>0</v>
      </c>
      <c r="E7" s="3275">
        <f>+対価返還!BC10</f>
        <v>0</v>
      </c>
      <c r="F7" s="3276">
        <f>+対価返還!BC11</f>
        <v>39339</v>
      </c>
      <c r="G7" s="3279">
        <f>+対価返還!BC12</f>
        <v>0</v>
      </c>
      <c r="H7" s="3277">
        <f>+対価返還!BC13</f>
        <v>10639743</v>
      </c>
      <c r="I7" s="2926">
        <f>SUM(D7:H7)</f>
        <v>10679082</v>
      </c>
      <c r="J7" s="2925" t="s">
        <v>5824</v>
      </c>
    </row>
    <row r="8" spans="2:10" ht="24" customHeight="1" thickBot="1">
      <c r="B8" s="3558" t="s">
        <v>5823</v>
      </c>
      <c r="C8" s="3559"/>
      <c r="D8" s="2947"/>
      <c r="E8" s="2946"/>
      <c r="F8" s="2945"/>
      <c r="G8" s="2945"/>
      <c r="H8" s="2945"/>
      <c r="I8" s="2943">
        <f>+'3条収入'!M69</f>
        <v>86860</v>
      </c>
      <c r="J8" s="2942" t="s">
        <v>5822</v>
      </c>
    </row>
    <row r="9" spans="2:10" ht="24" customHeight="1">
      <c r="B9" s="3560" t="s">
        <v>5493</v>
      </c>
      <c r="C9" s="3561"/>
      <c r="D9" s="2959"/>
      <c r="E9" s="2958"/>
      <c r="F9" s="2957"/>
      <c r="G9" s="2957"/>
      <c r="H9" s="2957"/>
      <c r="I9" s="2937">
        <f>+'3条収入'!L69</f>
        <v>22644840</v>
      </c>
      <c r="J9" s="2936" t="s">
        <v>5821</v>
      </c>
    </row>
    <row r="10" spans="2:10" ht="24" customHeight="1" thickBot="1">
      <c r="B10" s="3564" t="s">
        <v>5492</v>
      </c>
      <c r="C10" s="3565"/>
      <c r="D10" s="2956"/>
      <c r="E10" s="2955"/>
      <c r="F10" s="2954"/>
      <c r="G10" s="2954"/>
      <c r="H10" s="2954"/>
      <c r="I10" s="2926">
        <f>+'4条収入'!L91</f>
        <v>45948113</v>
      </c>
      <c r="J10" s="2925" t="s">
        <v>5820</v>
      </c>
    </row>
    <row r="11" spans="2:10" ht="24" customHeight="1">
      <c r="B11" s="3560" t="s">
        <v>5478</v>
      </c>
      <c r="C11" s="3561"/>
      <c r="D11" s="3270">
        <f>+'3条支出'!F41+D17</f>
        <v>0</v>
      </c>
      <c r="E11" s="3271">
        <f>+'3条支出'!G41+E17</f>
        <v>1120996</v>
      </c>
      <c r="F11" s="3272">
        <f>+'3条支出'!H41+F17</f>
        <v>25903142</v>
      </c>
      <c r="G11" s="3272">
        <f>+'3条支出'!I41+G17</f>
        <v>500878</v>
      </c>
      <c r="H11" s="3273">
        <f>+'3条支出'!J41+H17</f>
        <v>9106828850</v>
      </c>
      <c r="I11" s="2937">
        <f>SUM(D11:H11)</f>
        <v>9134353866</v>
      </c>
      <c r="J11" s="2936" t="s">
        <v>5819</v>
      </c>
    </row>
    <row r="12" spans="2:10" ht="24" customHeight="1" thickBot="1">
      <c r="B12" s="3564" t="s">
        <v>5477</v>
      </c>
      <c r="C12" s="3565"/>
      <c r="D12" s="3274">
        <f>+'4条支出'!F41</f>
        <v>0</v>
      </c>
      <c r="E12" s="3275">
        <f>+'4条支出'!G41</f>
        <v>0</v>
      </c>
      <c r="F12" s="3276">
        <f>+'4条支出'!H41</f>
        <v>125712</v>
      </c>
      <c r="G12" s="3276">
        <f>+'4条支出'!I41</f>
        <v>36840</v>
      </c>
      <c r="H12" s="3277">
        <f>+'4条支出'!J41</f>
        <v>16278736624</v>
      </c>
      <c r="I12" s="2926">
        <f>SUM(D12:H12)</f>
        <v>16278899176</v>
      </c>
      <c r="J12" s="2925" t="s">
        <v>5818</v>
      </c>
    </row>
    <row r="13" spans="2:10" s="2952" customFormat="1" ht="24" customHeight="1">
      <c r="B13" s="3560" t="s">
        <v>5474</v>
      </c>
      <c r="C13" s="3561"/>
      <c r="D13" s="3270"/>
      <c r="E13" s="3271"/>
      <c r="F13" s="3272"/>
      <c r="G13" s="3272"/>
      <c r="H13" s="3273"/>
      <c r="I13" s="2937"/>
      <c r="J13" s="2936"/>
    </row>
    <row r="14" spans="2:10" s="2952" customFormat="1" ht="24" customHeight="1">
      <c r="B14" s="3566"/>
      <c r="C14" s="2935" t="s">
        <v>5817</v>
      </c>
      <c r="D14" s="3278">
        <f>+D7+D17</f>
        <v>0</v>
      </c>
      <c r="E14" s="3279">
        <f>+E7+E17</f>
        <v>1120996</v>
      </c>
      <c r="F14" s="3280">
        <f>+F7+F17</f>
        <v>24706340</v>
      </c>
      <c r="G14" s="3280">
        <f>+G7+G17</f>
        <v>0</v>
      </c>
      <c r="H14" s="3281">
        <f>+H7+H17</f>
        <v>10639743</v>
      </c>
      <c r="I14" s="2953">
        <f t="shared" ref="I14:I19" si="0">SUM(D14:H14)</f>
        <v>36467079</v>
      </c>
      <c r="J14" s="2931" t="s">
        <v>5816</v>
      </c>
    </row>
    <row r="15" spans="2:10" s="2952" customFormat="1" ht="24" customHeight="1" thickBot="1">
      <c r="B15" s="3567"/>
      <c r="C15" s="2930" t="s">
        <v>5815</v>
      </c>
      <c r="D15" s="3274">
        <f>+D6</f>
        <v>0</v>
      </c>
      <c r="E15" s="3275">
        <f>+E6</f>
        <v>0</v>
      </c>
      <c r="F15" s="3276">
        <f>+F6</f>
        <v>0</v>
      </c>
      <c r="G15" s="3276">
        <f>+G6</f>
        <v>0</v>
      </c>
      <c r="H15" s="3277">
        <f>+H6</f>
        <v>0</v>
      </c>
      <c r="I15" s="2926">
        <f t="shared" si="0"/>
        <v>0</v>
      </c>
      <c r="J15" s="2925"/>
    </row>
    <row r="16" spans="2:10" ht="24" customHeight="1" thickBot="1">
      <c r="B16" s="3558" t="s">
        <v>6243</v>
      </c>
      <c r="C16" s="3559"/>
      <c r="D16" s="2951">
        <v>0</v>
      </c>
      <c r="E16" s="2950"/>
      <c r="F16" s="2949"/>
      <c r="G16" s="2949">
        <v>0</v>
      </c>
      <c r="H16" s="2948">
        <v>34600</v>
      </c>
      <c r="I16" s="2943">
        <f t="shared" si="0"/>
        <v>34600</v>
      </c>
      <c r="J16" s="2942" t="s">
        <v>6251</v>
      </c>
    </row>
    <row r="17" spans="2:10" ht="24" customHeight="1" thickBot="1">
      <c r="B17" s="3558" t="s">
        <v>5814</v>
      </c>
      <c r="C17" s="3559"/>
      <c r="D17" s="2951">
        <v>0</v>
      </c>
      <c r="E17" s="2950">
        <v>1120996</v>
      </c>
      <c r="F17" s="2949">
        <v>24667001</v>
      </c>
      <c r="G17" s="2949">
        <v>0</v>
      </c>
      <c r="H17" s="2948">
        <v>0</v>
      </c>
      <c r="I17" s="2943">
        <f t="shared" si="0"/>
        <v>25787997</v>
      </c>
      <c r="J17" s="2942" t="s">
        <v>5813</v>
      </c>
    </row>
    <row r="18" spans="2:10" ht="24" customHeight="1">
      <c r="B18" s="3560" t="s">
        <v>5450</v>
      </c>
      <c r="C18" s="3561"/>
      <c r="D18" s="3270">
        <f>+'総括表(不課税)'!K62</f>
        <v>0</v>
      </c>
      <c r="E18" s="3271">
        <f>+'総括表(不課税)'!L62</f>
        <v>0</v>
      </c>
      <c r="F18" s="3272">
        <f>+'総括表(不課税)'!M62</f>
        <v>455392</v>
      </c>
      <c r="G18" s="3272">
        <f>+'総括表(不課税)'!N62</f>
        <v>130568</v>
      </c>
      <c r="H18" s="3273">
        <f>+'総括表(不課税)'!O62</f>
        <v>2312306920</v>
      </c>
      <c r="I18" s="2937">
        <f t="shared" si="0"/>
        <v>2312892880</v>
      </c>
      <c r="J18" s="3562" t="s">
        <v>5812</v>
      </c>
    </row>
    <row r="19" spans="2:10" ht="24" customHeight="1" thickBot="1">
      <c r="B19" s="3564" t="s">
        <v>5449</v>
      </c>
      <c r="C19" s="3565"/>
      <c r="D19" s="3274">
        <f>+'総括表(不課税)'!K172</f>
        <v>0</v>
      </c>
      <c r="E19" s="3275">
        <f>+'総括表(不課税)'!L172</f>
        <v>131982078</v>
      </c>
      <c r="F19" s="3276">
        <f>+'総括表(不課税)'!M172</f>
        <v>1246904</v>
      </c>
      <c r="G19" s="3276">
        <f>+'総括表(不課税)'!N172</f>
        <v>99</v>
      </c>
      <c r="H19" s="3277">
        <f>+'総括表(不課税)'!O172</f>
        <v>5972404802</v>
      </c>
      <c r="I19" s="2926">
        <f t="shared" si="0"/>
        <v>6105633883</v>
      </c>
      <c r="J19" s="3563"/>
    </row>
    <row r="20" spans="2:10" ht="24" customHeight="1" thickBot="1">
      <c r="B20" s="3558" t="s">
        <v>5811</v>
      </c>
      <c r="C20" s="3559"/>
      <c r="D20" s="2947"/>
      <c r="E20" s="2946"/>
      <c r="F20" s="2945"/>
      <c r="G20" s="3300"/>
      <c r="H20" s="2944"/>
      <c r="I20" s="2943">
        <v>0</v>
      </c>
      <c r="J20" s="2942"/>
    </row>
    <row r="21" spans="2:10" ht="24" customHeight="1">
      <c r="B21" s="3560" t="s">
        <v>5588</v>
      </c>
      <c r="C21" s="3561"/>
      <c r="D21" s="2941"/>
      <c r="E21" s="2940"/>
      <c r="F21" s="2939"/>
      <c r="G21" s="2939"/>
      <c r="H21" s="2938"/>
      <c r="I21" s="2937"/>
      <c r="J21" s="2936"/>
    </row>
    <row r="22" spans="2:10" ht="24" customHeight="1">
      <c r="B22" s="3555"/>
      <c r="C22" s="2935" t="s">
        <v>5810</v>
      </c>
      <c r="D22" s="2934"/>
      <c r="E22" s="2933"/>
      <c r="F22" s="2932"/>
      <c r="G22" s="2932"/>
      <c r="H22" s="2932"/>
      <c r="I22" s="3282">
        <v>365767600</v>
      </c>
      <c r="J22" s="2931"/>
    </row>
    <row r="23" spans="2:10" ht="24" customHeight="1">
      <c r="B23" s="3556"/>
      <c r="C23" s="2935" t="s">
        <v>5809</v>
      </c>
      <c r="D23" s="2934"/>
      <c r="E23" s="2933"/>
      <c r="F23" s="2932"/>
      <c r="G23" s="2932"/>
      <c r="H23" s="2932"/>
      <c r="I23" s="3282">
        <v>103164600</v>
      </c>
      <c r="J23" s="2931"/>
    </row>
    <row r="24" spans="2:10" ht="24" customHeight="1" thickBot="1">
      <c r="B24" s="3557"/>
      <c r="C24" s="2930" t="s">
        <v>5808</v>
      </c>
      <c r="D24" s="2929"/>
      <c r="E24" s="2928"/>
      <c r="F24" s="2927"/>
      <c r="G24" s="2927"/>
      <c r="H24" s="2927"/>
      <c r="I24" s="2926">
        <f>SUM(I22:I23)</f>
        <v>468932200</v>
      </c>
      <c r="J24" s="2925"/>
    </row>
    <row r="25" spans="2:10" ht="24" customHeight="1">
      <c r="J25" s="2924" t="s">
        <v>5807</v>
      </c>
    </row>
  </sheetData>
  <mergeCells count="20">
    <mergeCell ref="B16:C16"/>
    <mergeCell ref="B12:C12"/>
    <mergeCell ref="B13:C13"/>
    <mergeCell ref="B14:B15"/>
    <mergeCell ref="B2:C2"/>
    <mergeCell ref="B3:C3"/>
    <mergeCell ref="B4:C4"/>
    <mergeCell ref="B5:C5"/>
    <mergeCell ref="B6:B7"/>
    <mergeCell ref="B8:C8"/>
    <mergeCell ref="B9:C9"/>
    <mergeCell ref="B10:C10"/>
    <mergeCell ref="B11:C11"/>
    <mergeCell ref="B22:B24"/>
    <mergeCell ref="B17:C17"/>
    <mergeCell ref="B18:C18"/>
    <mergeCell ref="J18:J19"/>
    <mergeCell ref="B19:C19"/>
    <mergeCell ref="B20:C20"/>
    <mergeCell ref="B21:C21"/>
  </mergeCells>
  <phoneticPr fontId="4"/>
  <printOptions horizontalCentered="1"/>
  <pageMargins left="0.31496062992125984" right="0.31496062992125984" top="0.74803149606299213" bottom="0.55118110236220474" header="0.31496062992125984" footer="0.31496062992125984"/>
  <pageSetup paperSize="9" scale="74" fitToHeight="0" orientation="landscape" r:id="rId1"/>
  <legacyDrawing r:id="rId2"/>
</worksheet>
</file>

<file path=xl/worksheets/w7_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B1:AJ150"/>
  <sheetViews>
    <sheetView view="pageBreakPreview" zoomScaleNormal="80" zoomScaleSheetLayoutView="100" workbookViewId="0">
      <pane xSplit="5" ySplit="23" topLeftCell="N24" activePane="bottomRight" state="frozen"/>
      <selection activeCell="R64" sqref="R64"/>
      <selection pane="topRight" activeCell="R64" sqref="R64"/>
      <selection pane="bottomLeft" activeCell="R64" sqref="R64"/>
      <selection pane="bottomRight" activeCell="N24" sqref="N24"/>
    </sheetView>
  </sheetViews>
  <sheetFormatPr defaultColWidth="9" defaultRowHeight="13.5" customHeight="1" outlineLevelCol="2"/>
  <cols>
    <col min="1" max="1" width="0.375" style="2833" customWidth="1"/>
    <col min="2" max="2" width="2.625" style="2970" customWidth="1"/>
    <col min="3" max="3" width="2.625" style="2866" hidden="1" customWidth="1"/>
    <col min="4" max="4" width="21.375" style="2969" customWidth="1"/>
    <col min="5" max="5" width="37.625" style="2833" customWidth="1"/>
    <col min="6" max="6" width="22.375" style="2833" hidden="1" customWidth="1" outlineLevel="1"/>
    <col min="7" max="7" width="11.125" style="2833" hidden="1" customWidth="1" outlineLevel="2"/>
    <col min="8" max="12" width="11.125" style="2833" hidden="1" customWidth="1" outlineLevel="1"/>
    <col min="13" max="13" width="14.75" style="2968" hidden="1" customWidth="1" outlineLevel="1"/>
    <col min="14" max="14" width="30.375" style="2833" customWidth="1" collapsed="1"/>
    <col min="15" max="15" width="11.125" style="2833" customWidth="1" outlineLevel="1"/>
    <col min="16" max="20" width="11.125" style="2833" customWidth="1"/>
    <col min="21" max="21" width="11.125" style="2833" customWidth="1" outlineLevel="1"/>
    <col min="22" max="26" width="11.125" style="2833" customWidth="1"/>
    <col min="27" max="27" width="11.125" style="2833" customWidth="1" outlineLevel="1"/>
    <col min="28" max="32" width="11.125" style="2833" customWidth="1"/>
    <col min="33" max="33" width="25.75" style="2968" customWidth="1"/>
    <col min="34" max="34" width="3.25" style="2833" customWidth="1"/>
    <col min="35" max="35" width="9" style="2833"/>
    <col min="36" max="36" width="12.625" style="2967" customWidth="1"/>
    <col min="37" max="16384" width="9" style="2833"/>
  </cols>
  <sheetData>
    <row r="1" spans="2:33" ht="13.5" customHeight="1">
      <c r="F1" s="2866" t="s">
        <v>5964</v>
      </c>
      <c r="G1" s="3089">
        <v>0.03</v>
      </c>
      <c r="H1" s="3088">
        <v>0.04</v>
      </c>
      <c r="I1" s="3088">
        <v>6.3E-2</v>
      </c>
      <c r="J1" s="3304">
        <v>6.2399999999999997E-2</v>
      </c>
      <c r="K1" s="3087">
        <v>7.8E-2</v>
      </c>
      <c r="N1" s="2866" t="s">
        <v>5964</v>
      </c>
      <c r="O1" s="3086">
        <f>+G1</f>
        <v>0.03</v>
      </c>
      <c r="P1" s="3085">
        <f>+H1</f>
        <v>0.04</v>
      </c>
      <c r="Q1" s="3085">
        <f>+I1</f>
        <v>6.3E-2</v>
      </c>
      <c r="R1" s="3306">
        <f>+J1</f>
        <v>6.2399999999999997E-2</v>
      </c>
      <c r="S1" s="3084">
        <f>+K1</f>
        <v>7.8E-2</v>
      </c>
      <c r="T1" s="2968"/>
      <c r="U1" s="3086">
        <f>+G1</f>
        <v>0.03</v>
      </c>
      <c r="V1" s="3085">
        <f>+H1</f>
        <v>0.04</v>
      </c>
      <c r="W1" s="3085">
        <f>+I1</f>
        <v>6.3E-2</v>
      </c>
      <c r="X1" s="3306">
        <f>+R1</f>
        <v>6.2399999999999997E-2</v>
      </c>
      <c r="Y1" s="3084">
        <f>+K1</f>
        <v>7.8E-2</v>
      </c>
      <c r="Z1" s="2968"/>
      <c r="AA1" s="3086">
        <f>+G1</f>
        <v>0.03</v>
      </c>
      <c r="AB1" s="3085">
        <f>+H1</f>
        <v>0.04</v>
      </c>
      <c r="AC1" s="3085">
        <f>+I1</f>
        <v>6.3E-2</v>
      </c>
      <c r="AD1" s="3306">
        <f>+X1</f>
        <v>6.2399999999999997E-2</v>
      </c>
      <c r="AE1" s="3084">
        <f>+K1</f>
        <v>7.8E-2</v>
      </c>
    </row>
    <row r="2" spans="2:33" ht="13.5" customHeight="1">
      <c r="F2" s="2866" t="s">
        <v>5963</v>
      </c>
      <c r="G2" s="3050">
        <f>+G7-G1</f>
        <v>0</v>
      </c>
      <c r="H2" s="3049">
        <f>+H7-H1</f>
        <v>1.0000000000000002E-2</v>
      </c>
      <c r="I2" s="3049">
        <f>+I7-I1</f>
        <v>1.7000000000000001E-2</v>
      </c>
      <c r="J2" s="3303">
        <f>+J7-J1</f>
        <v>1.7600000000000005E-2</v>
      </c>
      <c r="K2" s="3048">
        <f>+K7-K1</f>
        <v>2.2000000000000006E-2</v>
      </c>
      <c r="N2" s="2866" t="s">
        <v>5963</v>
      </c>
      <c r="O2" s="3083">
        <f>+O7-O1</f>
        <v>0</v>
      </c>
      <c r="P2" s="3082">
        <f>+P7-P1</f>
        <v>1.0000000000000002E-2</v>
      </c>
      <c r="Q2" s="3082">
        <f>+Q7-Q1</f>
        <v>1.7000000000000001E-2</v>
      </c>
      <c r="R2" s="3307">
        <f>+R7-R1</f>
        <v>1.7600000000000005E-2</v>
      </c>
      <c r="S2" s="3081">
        <f>+S7-S1</f>
        <v>2.2000000000000006E-2</v>
      </c>
      <c r="T2" s="2968"/>
      <c r="U2" s="3083">
        <f>+U7-U1</f>
        <v>0</v>
      </c>
      <c r="V2" s="3082">
        <f>+V7-V1</f>
        <v>1.0000000000000002E-2</v>
      </c>
      <c r="W2" s="3082">
        <f>+W7-W1</f>
        <v>1.7000000000000001E-2</v>
      </c>
      <c r="X2" s="3307">
        <f>+X7-X1</f>
        <v>1.7600000000000005E-2</v>
      </c>
      <c r="Y2" s="3081">
        <f>+Y7-Y1</f>
        <v>2.2000000000000006E-2</v>
      </c>
      <c r="Z2" s="2968"/>
      <c r="AA2" s="3083">
        <f>+AA7-AA1</f>
        <v>0</v>
      </c>
      <c r="AB2" s="3082">
        <f>+AB7-AB1</f>
        <v>1.0000000000000002E-2</v>
      </c>
      <c r="AC2" s="3082">
        <f>+AC7-AC1</f>
        <v>1.7000000000000001E-2</v>
      </c>
      <c r="AD2" s="3307">
        <f>+AD7-AD1</f>
        <v>1.7600000000000005E-2</v>
      </c>
      <c r="AE2" s="3081">
        <f>+AE7-AE1</f>
        <v>2.2000000000000006E-2</v>
      </c>
    </row>
    <row r="3" spans="2:33" ht="17.25" customHeight="1">
      <c r="B3" s="3080" t="str">
        <f>+CONCATENATE(LEFT('3条支出'!$D$1,8),"　消費税等計算チェックシート")</f>
        <v>令和５年度決算　　消費税等計算チェックシート</v>
      </c>
      <c r="L3" s="2968" t="s">
        <v>5533</v>
      </c>
      <c r="T3" s="2968"/>
      <c r="AF3" s="2968" t="s">
        <v>5533</v>
      </c>
    </row>
    <row r="4" spans="2:33" ht="12.75" customHeight="1">
      <c r="B4" s="3590" t="s">
        <v>5532</v>
      </c>
      <c r="C4" s="3591"/>
      <c r="D4" s="3592"/>
      <c r="E4" s="2850"/>
      <c r="F4" s="3079" t="s">
        <v>5961</v>
      </c>
      <c r="G4" s="3078" t="s">
        <v>5962</v>
      </c>
      <c r="H4" s="3077"/>
      <c r="I4" s="3077"/>
      <c r="J4" s="3077"/>
      <c r="K4" s="3077"/>
      <c r="L4" s="3076"/>
      <c r="M4" s="3075"/>
      <c r="N4" s="3079" t="s">
        <v>5961</v>
      </c>
      <c r="O4" s="3078" t="s">
        <v>6133</v>
      </c>
      <c r="P4" s="3077"/>
      <c r="Q4" s="3077"/>
      <c r="R4" s="3077"/>
      <c r="S4" s="3077"/>
      <c r="T4" s="3076"/>
      <c r="U4" s="3078" t="s">
        <v>6134</v>
      </c>
      <c r="V4" s="3077"/>
      <c r="W4" s="3077"/>
      <c r="X4" s="3077"/>
      <c r="Y4" s="3077"/>
      <c r="Z4" s="3076"/>
      <c r="AA4" s="3078" t="s">
        <v>5960</v>
      </c>
      <c r="AB4" s="3077"/>
      <c r="AC4" s="3077"/>
      <c r="AD4" s="3077"/>
      <c r="AE4" s="3077"/>
      <c r="AF4" s="3076"/>
      <c r="AG4" s="3075"/>
    </row>
    <row r="5" spans="2:33" ht="12.75" customHeight="1">
      <c r="B5" s="3593"/>
      <c r="C5" s="3594"/>
      <c r="D5" s="3595"/>
      <c r="E5" s="3074" t="s">
        <v>5959</v>
      </c>
      <c r="F5" s="3073" t="s">
        <v>5957</v>
      </c>
      <c r="G5" s="3072" t="s">
        <v>5958</v>
      </c>
      <c r="H5" s="3071"/>
      <c r="I5" s="3071"/>
      <c r="J5" s="3071"/>
      <c r="K5" s="3071"/>
      <c r="L5" s="3070"/>
      <c r="M5" s="2981"/>
      <c r="N5" s="3073" t="s">
        <v>5957</v>
      </c>
      <c r="O5" s="3072" t="s">
        <v>5956</v>
      </c>
      <c r="P5" s="3071"/>
      <c r="Q5" s="3071"/>
      <c r="R5" s="3071"/>
      <c r="S5" s="3071"/>
      <c r="T5" s="3070"/>
      <c r="U5" s="3072" t="s">
        <v>5956</v>
      </c>
      <c r="V5" s="3071"/>
      <c r="W5" s="3071"/>
      <c r="X5" s="3071"/>
      <c r="Y5" s="3071"/>
      <c r="Z5" s="3070"/>
      <c r="AA5" s="3072" t="s">
        <v>5956</v>
      </c>
      <c r="AB5" s="3071"/>
      <c r="AC5" s="3071"/>
      <c r="AD5" s="3071"/>
      <c r="AE5" s="3071"/>
      <c r="AF5" s="3070"/>
      <c r="AG5" s="2981"/>
    </row>
    <row r="6" spans="2:33" ht="12.75" customHeight="1">
      <c r="B6" s="3593"/>
      <c r="C6" s="3594"/>
      <c r="D6" s="3595"/>
      <c r="E6" s="2840"/>
      <c r="F6" s="3069" t="s">
        <v>5954</v>
      </c>
      <c r="G6" s="3068" t="s">
        <v>5955</v>
      </c>
      <c r="H6" s="3067"/>
      <c r="I6" s="3067"/>
      <c r="J6" s="3067"/>
      <c r="K6" s="3067"/>
      <c r="L6" s="3066"/>
      <c r="M6" s="2977"/>
      <c r="N6" s="3069" t="s">
        <v>5954</v>
      </c>
      <c r="O6" s="3068" t="s">
        <v>5953</v>
      </c>
      <c r="P6" s="3067"/>
      <c r="Q6" s="3067"/>
      <c r="R6" s="3067"/>
      <c r="S6" s="3067"/>
      <c r="T6" s="3066"/>
      <c r="U6" s="3068" t="s">
        <v>5953</v>
      </c>
      <c r="V6" s="3067"/>
      <c r="W6" s="3067"/>
      <c r="X6" s="3067"/>
      <c r="Y6" s="3067"/>
      <c r="Z6" s="3066"/>
      <c r="AA6" s="3068" t="s">
        <v>5953</v>
      </c>
      <c r="AB6" s="3067"/>
      <c r="AC6" s="3067"/>
      <c r="AD6" s="3067"/>
      <c r="AE6" s="3067"/>
      <c r="AF6" s="3066"/>
      <c r="AG6" s="2977"/>
    </row>
    <row r="7" spans="2:33" ht="13.5" customHeight="1">
      <c r="B7" s="3596"/>
      <c r="C7" s="3597"/>
      <c r="D7" s="3598"/>
      <c r="E7" s="3065" t="s">
        <v>5531</v>
      </c>
      <c r="F7" s="3063" t="s">
        <v>5952</v>
      </c>
      <c r="G7" s="3062">
        <v>0.03</v>
      </c>
      <c r="H7" s="3061">
        <v>0.05</v>
      </c>
      <c r="I7" s="3061">
        <v>0.08</v>
      </c>
      <c r="J7" s="3305">
        <v>0.08</v>
      </c>
      <c r="K7" s="3060">
        <v>0.1</v>
      </c>
      <c r="L7" s="3059" t="s">
        <v>5797</v>
      </c>
      <c r="M7" s="3064" t="s">
        <v>5530</v>
      </c>
      <c r="N7" s="3063" t="s">
        <v>5952</v>
      </c>
      <c r="O7" s="3062">
        <v>0.03</v>
      </c>
      <c r="P7" s="3061">
        <v>0.05</v>
      </c>
      <c r="Q7" s="3061">
        <v>0.08</v>
      </c>
      <c r="R7" s="3305">
        <v>0.08</v>
      </c>
      <c r="S7" s="3060">
        <v>0.1</v>
      </c>
      <c r="T7" s="3059" t="s">
        <v>5797</v>
      </c>
      <c r="U7" s="3062">
        <v>0.03</v>
      </c>
      <c r="V7" s="3061">
        <v>0.05</v>
      </c>
      <c r="W7" s="3061">
        <v>0.08</v>
      </c>
      <c r="X7" s="3305">
        <v>0.08</v>
      </c>
      <c r="Y7" s="3060">
        <v>0.1</v>
      </c>
      <c r="Z7" s="3059" t="s">
        <v>5797</v>
      </c>
      <c r="AA7" s="3062">
        <v>0.03</v>
      </c>
      <c r="AB7" s="3061">
        <v>0.05</v>
      </c>
      <c r="AC7" s="3061">
        <v>0.08</v>
      </c>
      <c r="AD7" s="3305">
        <v>0.08</v>
      </c>
      <c r="AE7" s="3060">
        <v>0.1</v>
      </c>
      <c r="AF7" s="3059" t="s">
        <v>5797</v>
      </c>
      <c r="AG7" s="3058"/>
    </row>
    <row r="8" spans="2:33" ht="13.5" hidden="1" customHeight="1">
      <c r="B8" s="3583" t="s">
        <v>5529</v>
      </c>
      <c r="C8" s="3589">
        <v>1</v>
      </c>
      <c r="D8" s="3573" t="s">
        <v>5528</v>
      </c>
      <c r="E8" s="3019" t="s">
        <v>5527</v>
      </c>
      <c r="F8" s="3017"/>
      <c r="G8" s="3056"/>
      <c r="H8" s="3055"/>
      <c r="I8" s="3055"/>
      <c r="J8" s="3301"/>
      <c r="K8" s="3054"/>
      <c r="L8" s="3053"/>
      <c r="M8" s="3057"/>
      <c r="N8" s="3017"/>
      <c r="O8" s="3056"/>
      <c r="P8" s="3055"/>
      <c r="Q8" s="3055"/>
      <c r="R8" s="3301"/>
      <c r="S8" s="3054"/>
      <c r="T8" s="3053"/>
      <c r="U8" s="3056"/>
      <c r="V8" s="3055"/>
      <c r="W8" s="3055"/>
      <c r="X8" s="3301"/>
      <c r="Y8" s="3054"/>
      <c r="Z8" s="3053"/>
      <c r="AA8" s="3056"/>
      <c r="AB8" s="3055"/>
      <c r="AC8" s="3055"/>
      <c r="AD8" s="3301"/>
      <c r="AE8" s="3054"/>
      <c r="AF8" s="3053"/>
      <c r="AG8" s="3052"/>
    </row>
    <row r="9" spans="2:33" ht="13.5" hidden="1" customHeight="1">
      <c r="B9" s="3584"/>
      <c r="C9" s="3589"/>
      <c r="D9" s="3573"/>
      <c r="E9" s="3026"/>
      <c r="F9" s="3025"/>
      <c r="G9" s="3050"/>
      <c r="H9" s="3049"/>
      <c r="I9" s="3049"/>
      <c r="J9" s="3302"/>
      <c r="K9" s="3048"/>
      <c r="L9" s="3047"/>
      <c r="M9" s="3051"/>
      <c r="N9" s="3025"/>
      <c r="O9" s="3050"/>
      <c r="P9" s="3049"/>
      <c r="Q9" s="3049"/>
      <c r="R9" s="3302"/>
      <c r="S9" s="3048"/>
      <c r="T9" s="3047"/>
      <c r="U9" s="3050"/>
      <c r="V9" s="3049"/>
      <c r="W9" s="3049"/>
      <c r="X9" s="3302"/>
      <c r="Y9" s="3048"/>
      <c r="Z9" s="3047"/>
      <c r="AA9" s="3050"/>
      <c r="AB9" s="3049"/>
      <c r="AC9" s="3049"/>
      <c r="AD9" s="3302"/>
      <c r="AE9" s="3048"/>
      <c r="AF9" s="3047"/>
      <c r="AG9" s="3046"/>
    </row>
    <row r="10" spans="2:33" ht="13.5" hidden="1" customHeight="1">
      <c r="B10" s="3584"/>
      <c r="C10" s="3589">
        <v>2</v>
      </c>
      <c r="D10" s="3573" t="s">
        <v>5526</v>
      </c>
      <c r="E10" s="3019" t="s">
        <v>5525</v>
      </c>
      <c r="F10" s="3017"/>
      <c r="G10" s="3044"/>
      <c r="H10" s="3043"/>
      <c r="I10" s="3043"/>
      <c r="J10" s="3042"/>
      <c r="K10" s="3042"/>
      <c r="L10" s="3041"/>
      <c r="M10" s="3045"/>
      <c r="N10" s="3017"/>
      <c r="O10" s="3044"/>
      <c r="P10" s="3043"/>
      <c r="Q10" s="3043"/>
      <c r="R10" s="3042"/>
      <c r="S10" s="3042"/>
      <c r="T10" s="3041"/>
      <c r="U10" s="3044"/>
      <c r="V10" s="3043"/>
      <c r="W10" s="3043"/>
      <c r="X10" s="3042"/>
      <c r="Y10" s="3042"/>
      <c r="Z10" s="3041"/>
      <c r="AA10" s="3044"/>
      <c r="AB10" s="3043"/>
      <c r="AC10" s="3043"/>
      <c r="AD10" s="3042"/>
      <c r="AE10" s="3042"/>
      <c r="AF10" s="3041"/>
      <c r="AG10" s="3040"/>
    </row>
    <row r="11" spans="2:33" ht="13.5" hidden="1" customHeight="1">
      <c r="B11" s="3584"/>
      <c r="C11" s="3589"/>
      <c r="D11" s="3573"/>
      <c r="E11" s="3033"/>
      <c r="F11" s="3032"/>
      <c r="G11" s="3031"/>
      <c r="H11" s="3030"/>
      <c r="I11" s="3030"/>
      <c r="J11" s="3029"/>
      <c r="K11" s="3029"/>
      <c r="L11" s="3028"/>
      <c r="M11" s="3027"/>
      <c r="N11" s="3032"/>
      <c r="O11" s="3031"/>
      <c r="P11" s="3030"/>
      <c r="Q11" s="3030"/>
      <c r="R11" s="3029"/>
      <c r="S11" s="3029"/>
      <c r="T11" s="3028"/>
      <c r="U11" s="3031"/>
      <c r="V11" s="3030"/>
      <c r="W11" s="3030"/>
      <c r="X11" s="3029"/>
      <c r="Y11" s="3029"/>
      <c r="Z11" s="3028"/>
      <c r="AA11" s="3031"/>
      <c r="AB11" s="3030"/>
      <c r="AC11" s="3030"/>
      <c r="AD11" s="3029"/>
      <c r="AE11" s="3029"/>
      <c r="AF11" s="3028"/>
      <c r="AG11" s="3027"/>
    </row>
    <row r="12" spans="2:33" ht="13.5" hidden="1" customHeight="1">
      <c r="B12" s="3584"/>
      <c r="C12" s="3589"/>
      <c r="D12" s="3573"/>
      <c r="E12" s="3033"/>
      <c r="F12" s="3032"/>
      <c r="G12" s="3031"/>
      <c r="H12" s="3030"/>
      <c r="I12" s="3030"/>
      <c r="J12" s="3029"/>
      <c r="K12" s="3029"/>
      <c r="L12" s="3028"/>
      <c r="M12" s="3027"/>
      <c r="N12" s="3032"/>
      <c r="O12" s="3031"/>
      <c r="P12" s="3030"/>
      <c r="Q12" s="3030"/>
      <c r="R12" s="3029"/>
      <c r="S12" s="3029"/>
      <c r="T12" s="3028"/>
      <c r="U12" s="3031"/>
      <c r="V12" s="3030"/>
      <c r="W12" s="3030"/>
      <c r="X12" s="3029"/>
      <c r="Y12" s="3029"/>
      <c r="Z12" s="3028"/>
      <c r="AA12" s="3031"/>
      <c r="AB12" s="3030"/>
      <c r="AC12" s="3030"/>
      <c r="AD12" s="3029"/>
      <c r="AE12" s="3029"/>
      <c r="AF12" s="3028"/>
      <c r="AG12" s="3027"/>
    </row>
    <row r="13" spans="2:33" ht="13.5" hidden="1" customHeight="1">
      <c r="B13" s="3584"/>
      <c r="C13" s="3589">
        <v>3</v>
      </c>
      <c r="D13" s="3573" t="s">
        <v>5524</v>
      </c>
      <c r="E13" s="3033"/>
      <c r="F13" s="3032"/>
      <c r="G13" s="3031"/>
      <c r="H13" s="3030"/>
      <c r="I13" s="3030"/>
      <c r="J13" s="3029"/>
      <c r="K13" s="3029"/>
      <c r="L13" s="3028"/>
      <c r="M13" s="3027"/>
      <c r="N13" s="3032"/>
      <c r="O13" s="3031"/>
      <c r="P13" s="3030"/>
      <c r="Q13" s="3030"/>
      <c r="R13" s="3029"/>
      <c r="S13" s="3029"/>
      <c r="T13" s="3028"/>
      <c r="U13" s="3031"/>
      <c r="V13" s="3030"/>
      <c r="W13" s="3030"/>
      <c r="X13" s="3029"/>
      <c r="Y13" s="3029"/>
      <c r="Z13" s="3028"/>
      <c r="AA13" s="3031"/>
      <c r="AB13" s="3030"/>
      <c r="AC13" s="3030"/>
      <c r="AD13" s="3029"/>
      <c r="AE13" s="3029"/>
      <c r="AF13" s="3028"/>
      <c r="AG13" s="3027"/>
    </row>
    <row r="14" spans="2:33" ht="13.5" hidden="1" customHeight="1">
      <c r="B14" s="3584"/>
      <c r="C14" s="3589"/>
      <c r="D14" s="3573"/>
      <c r="E14" s="3033"/>
      <c r="F14" s="3032"/>
      <c r="G14" s="3031"/>
      <c r="H14" s="3030"/>
      <c r="I14" s="3030"/>
      <c r="J14" s="3029"/>
      <c r="K14" s="3029"/>
      <c r="L14" s="3028"/>
      <c r="M14" s="3027"/>
      <c r="N14" s="3032"/>
      <c r="O14" s="3031"/>
      <c r="P14" s="3030"/>
      <c r="Q14" s="3030"/>
      <c r="R14" s="3029"/>
      <c r="S14" s="3029"/>
      <c r="T14" s="3028"/>
      <c r="U14" s="3031"/>
      <c r="V14" s="3030"/>
      <c r="W14" s="3030"/>
      <c r="X14" s="3029"/>
      <c r="Y14" s="3029"/>
      <c r="Z14" s="3028"/>
      <c r="AA14" s="3031"/>
      <c r="AB14" s="3030"/>
      <c r="AC14" s="3030"/>
      <c r="AD14" s="3029"/>
      <c r="AE14" s="3029"/>
      <c r="AF14" s="3028"/>
      <c r="AG14" s="3027"/>
    </row>
    <row r="15" spans="2:33" ht="13.5" hidden="1" customHeight="1">
      <c r="B15" s="3584"/>
      <c r="C15" s="3589"/>
      <c r="D15" s="3573"/>
      <c r="E15" s="3033"/>
      <c r="F15" s="3032"/>
      <c r="G15" s="3031"/>
      <c r="H15" s="3030"/>
      <c r="I15" s="3030"/>
      <c r="J15" s="3029"/>
      <c r="K15" s="3029"/>
      <c r="L15" s="3028"/>
      <c r="M15" s="3027"/>
      <c r="N15" s="3032"/>
      <c r="O15" s="3031"/>
      <c r="P15" s="3030"/>
      <c r="Q15" s="3030"/>
      <c r="R15" s="3029"/>
      <c r="S15" s="3029"/>
      <c r="T15" s="3028"/>
      <c r="U15" s="3031"/>
      <c r="V15" s="3030"/>
      <c r="W15" s="3030"/>
      <c r="X15" s="3029"/>
      <c r="Y15" s="3029"/>
      <c r="Z15" s="3028"/>
      <c r="AA15" s="3031"/>
      <c r="AB15" s="3030"/>
      <c r="AC15" s="3030"/>
      <c r="AD15" s="3029"/>
      <c r="AE15" s="3029"/>
      <c r="AF15" s="3028"/>
      <c r="AG15" s="3027"/>
    </row>
    <row r="16" spans="2:33" ht="13.5" hidden="1" customHeight="1">
      <c r="B16" s="3584"/>
      <c r="C16" s="3571">
        <v>4</v>
      </c>
      <c r="D16" s="3573" t="s">
        <v>5523</v>
      </c>
      <c r="E16" s="3033"/>
      <c r="F16" s="3032"/>
      <c r="G16" s="3031"/>
      <c r="H16" s="3030"/>
      <c r="I16" s="3030"/>
      <c r="J16" s="3029"/>
      <c r="K16" s="3029"/>
      <c r="L16" s="3028"/>
      <c r="M16" s="3027"/>
      <c r="N16" s="3032"/>
      <c r="O16" s="3031"/>
      <c r="P16" s="3030"/>
      <c r="Q16" s="3030"/>
      <c r="R16" s="3029"/>
      <c r="S16" s="3029"/>
      <c r="T16" s="3028"/>
      <c r="U16" s="3031"/>
      <c r="V16" s="3030"/>
      <c r="W16" s="3030"/>
      <c r="X16" s="3029"/>
      <c r="Y16" s="3029"/>
      <c r="Z16" s="3028"/>
      <c r="AA16" s="3031"/>
      <c r="AB16" s="3030"/>
      <c r="AC16" s="3030"/>
      <c r="AD16" s="3029"/>
      <c r="AE16" s="3029"/>
      <c r="AF16" s="3028"/>
      <c r="AG16" s="3027"/>
    </row>
    <row r="17" spans="2:33" ht="13.5" hidden="1" customHeight="1">
      <c r="B17" s="3584"/>
      <c r="C17" s="3572"/>
      <c r="D17" s="3573"/>
      <c r="E17" s="3026"/>
      <c r="F17" s="3025"/>
      <c r="G17" s="3024"/>
      <c r="H17" s="3023"/>
      <c r="I17" s="3023"/>
      <c r="J17" s="3022"/>
      <c r="K17" s="3022"/>
      <c r="L17" s="3021"/>
      <c r="M17" s="3020"/>
      <c r="N17" s="3025"/>
      <c r="O17" s="3024"/>
      <c r="P17" s="3023"/>
      <c r="Q17" s="3023"/>
      <c r="R17" s="3022"/>
      <c r="S17" s="3022"/>
      <c r="T17" s="3021"/>
      <c r="U17" s="3024"/>
      <c r="V17" s="3023"/>
      <c r="W17" s="3023"/>
      <c r="X17" s="3022"/>
      <c r="Y17" s="3022"/>
      <c r="Z17" s="3021"/>
      <c r="AA17" s="3024"/>
      <c r="AB17" s="3023"/>
      <c r="AC17" s="3023"/>
      <c r="AD17" s="3022"/>
      <c r="AE17" s="3022"/>
      <c r="AF17" s="3021"/>
      <c r="AG17" s="3020"/>
    </row>
    <row r="18" spans="2:33" ht="13.5" hidden="1" customHeight="1">
      <c r="B18" s="3584"/>
      <c r="C18" s="3571">
        <v>5</v>
      </c>
      <c r="D18" s="3573" t="s">
        <v>5522</v>
      </c>
      <c r="E18" s="3019" t="s">
        <v>5521</v>
      </c>
      <c r="F18" s="3017"/>
      <c r="G18" s="3018"/>
      <c r="H18" s="3016"/>
      <c r="I18" s="3016"/>
      <c r="J18" s="3015"/>
      <c r="K18" s="3015"/>
      <c r="L18" s="3014"/>
      <c r="M18" s="3013"/>
      <c r="N18" s="3017"/>
      <c r="O18" s="3018"/>
      <c r="P18" s="3016"/>
      <c r="Q18" s="3016"/>
      <c r="R18" s="3015"/>
      <c r="S18" s="3015"/>
      <c r="T18" s="3014"/>
      <c r="U18" s="3018"/>
      <c r="V18" s="3016"/>
      <c r="W18" s="3016"/>
      <c r="X18" s="3015"/>
      <c r="Y18" s="3015"/>
      <c r="Z18" s="3014"/>
      <c r="AA18" s="3018"/>
      <c r="AB18" s="3016"/>
      <c r="AC18" s="3016"/>
      <c r="AD18" s="3015"/>
      <c r="AE18" s="3015"/>
      <c r="AF18" s="3014"/>
      <c r="AG18" s="3013"/>
    </row>
    <row r="19" spans="2:33" ht="13.5" hidden="1" customHeight="1">
      <c r="B19" s="3584"/>
      <c r="C19" s="3572"/>
      <c r="D19" s="3573"/>
      <c r="E19" s="3033"/>
      <c r="F19" s="3032"/>
      <c r="G19" s="3031"/>
      <c r="H19" s="3030"/>
      <c r="I19" s="3030"/>
      <c r="J19" s="3029"/>
      <c r="K19" s="3029"/>
      <c r="L19" s="3028"/>
      <c r="M19" s="3027"/>
      <c r="N19" s="3032"/>
      <c r="O19" s="3031"/>
      <c r="P19" s="3030"/>
      <c r="Q19" s="3030"/>
      <c r="R19" s="3029"/>
      <c r="S19" s="3029"/>
      <c r="T19" s="3028"/>
      <c r="U19" s="3031"/>
      <c r="V19" s="3030"/>
      <c r="W19" s="3030"/>
      <c r="X19" s="3029"/>
      <c r="Y19" s="3029"/>
      <c r="Z19" s="3028"/>
      <c r="AA19" s="3031"/>
      <c r="AB19" s="3030"/>
      <c r="AC19" s="3030"/>
      <c r="AD19" s="3029"/>
      <c r="AE19" s="3029"/>
      <c r="AF19" s="3028"/>
      <c r="AG19" s="3027"/>
    </row>
    <row r="20" spans="2:33" ht="13.5" hidden="1" customHeight="1">
      <c r="B20" s="3584"/>
      <c r="C20" s="3571">
        <v>6</v>
      </c>
      <c r="D20" s="3573" t="s">
        <v>5520</v>
      </c>
      <c r="E20" s="3033"/>
      <c r="F20" s="3032"/>
      <c r="G20" s="3031"/>
      <c r="H20" s="3030"/>
      <c r="I20" s="3030"/>
      <c r="J20" s="3029"/>
      <c r="K20" s="3029"/>
      <c r="L20" s="3028"/>
      <c r="M20" s="3027"/>
      <c r="N20" s="3032"/>
      <c r="O20" s="3031"/>
      <c r="P20" s="3030"/>
      <c r="Q20" s="3030"/>
      <c r="R20" s="3029"/>
      <c r="S20" s="3029"/>
      <c r="T20" s="3028"/>
      <c r="U20" s="3031"/>
      <c r="V20" s="3030"/>
      <c r="W20" s="3030"/>
      <c r="X20" s="3029"/>
      <c r="Y20" s="3029"/>
      <c r="Z20" s="3028"/>
      <c r="AA20" s="3031"/>
      <c r="AB20" s="3030"/>
      <c r="AC20" s="3030"/>
      <c r="AD20" s="3029"/>
      <c r="AE20" s="3029"/>
      <c r="AF20" s="3028"/>
      <c r="AG20" s="3027"/>
    </row>
    <row r="21" spans="2:33" ht="13.5" hidden="1" customHeight="1">
      <c r="B21" s="3584"/>
      <c r="C21" s="3572"/>
      <c r="D21" s="3573"/>
      <c r="E21" s="3033"/>
      <c r="F21" s="3032"/>
      <c r="G21" s="3031"/>
      <c r="H21" s="3030"/>
      <c r="I21" s="3030"/>
      <c r="J21" s="3029"/>
      <c r="K21" s="3029"/>
      <c r="L21" s="3028"/>
      <c r="M21" s="3027"/>
      <c r="N21" s="3032"/>
      <c r="O21" s="3031"/>
      <c r="P21" s="3030"/>
      <c r="Q21" s="3030"/>
      <c r="R21" s="3029"/>
      <c r="S21" s="3029"/>
      <c r="T21" s="3028"/>
      <c r="U21" s="3031"/>
      <c r="V21" s="3030"/>
      <c r="W21" s="3030"/>
      <c r="X21" s="3029"/>
      <c r="Y21" s="3029"/>
      <c r="Z21" s="3028"/>
      <c r="AA21" s="3031"/>
      <c r="AB21" s="3030"/>
      <c r="AC21" s="3030"/>
      <c r="AD21" s="3029"/>
      <c r="AE21" s="3029"/>
      <c r="AF21" s="3028"/>
      <c r="AG21" s="3027"/>
    </row>
    <row r="22" spans="2:33" ht="13.5" hidden="1" customHeight="1">
      <c r="B22" s="3584"/>
      <c r="C22" s="3571">
        <v>7</v>
      </c>
      <c r="D22" s="3573" t="s">
        <v>5519</v>
      </c>
      <c r="E22" s="3033"/>
      <c r="F22" s="3032"/>
      <c r="G22" s="3031"/>
      <c r="H22" s="3030"/>
      <c r="I22" s="3030"/>
      <c r="J22" s="3029"/>
      <c r="K22" s="3029"/>
      <c r="L22" s="3028"/>
      <c r="M22" s="3027"/>
      <c r="N22" s="3032"/>
      <c r="O22" s="3031"/>
      <c r="P22" s="3030"/>
      <c r="Q22" s="3030"/>
      <c r="R22" s="3029"/>
      <c r="S22" s="3029"/>
      <c r="T22" s="3028"/>
      <c r="U22" s="3031"/>
      <c r="V22" s="3030"/>
      <c r="W22" s="3030"/>
      <c r="X22" s="3029"/>
      <c r="Y22" s="3029"/>
      <c r="Z22" s="3028"/>
      <c r="AA22" s="3031"/>
      <c r="AB22" s="3030"/>
      <c r="AC22" s="3030"/>
      <c r="AD22" s="3029"/>
      <c r="AE22" s="3029"/>
      <c r="AF22" s="3028"/>
      <c r="AG22" s="3027"/>
    </row>
    <row r="23" spans="2:33" ht="13.5" hidden="1" customHeight="1">
      <c r="B23" s="3584"/>
      <c r="C23" s="3572"/>
      <c r="D23" s="3573"/>
      <c r="E23" s="3033"/>
      <c r="F23" s="3032"/>
      <c r="G23" s="3031"/>
      <c r="H23" s="3030"/>
      <c r="I23" s="3030"/>
      <c r="J23" s="3029"/>
      <c r="K23" s="3029"/>
      <c r="L23" s="3028"/>
      <c r="M23" s="3027"/>
      <c r="N23" s="3032"/>
      <c r="O23" s="3031"/>
      <c r="P23" s="3030"/>
      <c r="Q23" s="3030"/>
      <c r="R23" s="3029"/>
      <c r="S23" s="3029"/>
      <c r="T23" s="3028"/>
      <c r="U23" s="3031"/>
      <c r="V23" s="3030"/>
      <c r="W23" s="3030"/>
      <c r="X23" s="3029"/>
      <c r="Y23" s="3029"/>
      <c r="Z23" s="3028"/>
      <c r="AA23" s="3031"/>
      <c r="AB23" s="3030"/>
      <c r="AC23" s="3030"/>
      <c r="AD23" s="3029"/>
      <c r="AE23" s="3029"/>
      <c r="AF23" s="3028"/>
      <c r="AG23" s="3027"/>
    </row>
    <row r="24" spans="2:33" ht="13.5" customHeight="1">
      <c r="B24" s="3584"/>
      <c r="C24" s="3571">
        <v>8</v>
      </c>
      <c r="D24" s="3578" t="s">
        <v>5518</v>
      </c>
      <c r="E24" s="3012" t="s">
        <v>5517</v>
      </c>
      <c r="F24" s="3011"/>
      <c r="G24" s="3346">
        <f>+基礎数値!$D3</f>
        <v>0</v>
      </c>
      <c r="H24" s="3347">
        <f>+基礎数値!$E3</f>
        <v>0</v>
      </c>
      <c r="I24" s="3347">
        <f>+基礎数値!$F3</f>
        <v>47053</v>
      </c>
      <c r="J24" s="3347">
        <f>+基礎数値!$G3</f>
        <v>0</v>
      </c>
      <c r="K24" s="3348">
        <f>+基礎数値!$H3</f>
        <v>20730008529</v>
      </c>
      <c r="L24" s="3349">
        <f>+SUM(G24:K24)</f>
        <v>20730055582</v>
      </c>
      <c r="M24" s="2990"/>
      <c r="N24" s="3011"/>
      <c r="O24" s="3350">
        <f t="shared" ref="O24:R26" si="0">+U24+AA24</f>
        <v>0</v>
      </c>
      <c r="P24" s="3351">
        <f t="shared" si="0"/>
        <v>0</v>
      </c>
      <c r="Q24" s="3351">
        <f>+W24+AC24</f>
        <v>47053</v>
      </c>
      <c r="R24" s="3351">
        <f>+X24+AD24</f>
        <v>0</v>
      </c>
      <c r="S24" s="3352">
        <f t="shared" ref="S24:T26" si="1">+Y24+AE24</f>
        <v>20730008529</v>
      </c>
      <c r="T24" s="3349">
        <f t="shared" si="1"/>
        <v>20730055582</v>
      </c>
      <c r="U24" s="3346">
        <f>+基礎数値!$D3</f>
        <v>0</v>
      </c>
      <c r="V24" s="3347">
        <f>+基礎数値!$E3</f>
        <v>0</v>
      </c>
      <c r="W24" s="3347">
        <f>+基礎数値!$F3</f>
        <v>47053</v>
      </c>
      <c r="X24" s="3347">
        <f>+基礎数値!$G3</f>
        <v>0</v>
      </c>
      <c r="Y24" s="3348">
        <f>+基礎数値!$H3</f>
        <v>20730008529</v>
      </c>
      <c r="Z24" s="3349">
        <f>+SUM(U24:Y24)</f>
        <v>20730055582</v>
      </c>
      <c r="AA24" s="3350"/>
      <c r="AB24" s="3351"/>
      <c r="AC24" s="3351"/>
      <c r="AD24" s="3351"/>
      <c r="AE24" s="3352"/>
      <c r="AF24" s="3349">
        <f>+SUM(AA24:AE24)</f>
        <v>0</v>
      </c>
      <c r="AG24" s="2990"/>
    </row>
    <row r="25" spans="2:33" ht="13.5" customHeight="1">
      <c r="B25" s="3584"/>
      <c r="C25" s="3574"/>
      <c r="D25" s="3579"/>
      <c r="E25" s="3010" t="s">
        <v>5516</v>
      </c>
      <c r="F25" s="2982"/>
      <c r="G25" s="3353">
        <f>+基礎数値!$D4</f>
        <v>0</v>
      </c>
      <c r="H25" s="3354">
        <f>+基礎数値!$E4</f>
        <v>0</v>
      </c>
      <c r="I25" s="3354">
        <f>+基礎数値!$F4</f>
        <v>0</v>
      </c>
      <c r="J25" s="3354">
        <f>+基礎数値!$G4</f>
        <v>0</v>
      </c>
      <c r="K25" s="3355">
        <f>+基礎数値!$H4</f>
        <v>39691410</v>
      </c>
      <c r="L25" s="3356">
        <f>+SUM(G25:K25)</f>
        <v>39691410</v>
      </c>
      <c r="M25" s="2995"/>
      <c r="N25" s="2982"/>
      <c r="O25" s="3359">
        <f t="shared" si="0"/>
        <v>0</v>
      </c>
      <c r="P25" s="3360">
        <f t="shared" si="0"/>
        <v>0</v>
      </c>
      <c r="Q25" s="3360">
        <f t="shared" si="0"/>
        <v>0</v>
      </c>
      <c r="R25" s="3360">
        <f t="shared" si="0"/>
        <v>0</v>
      </c>
      <c r="S25" s="3361">
        <f t="shared" si="1"/>
        <v>39691410</v>
      </c>
      <c r="T25" s="3356">
        <f t="shared" si="1"/>
        <v>39691410</v>
      </c>
      <c r="U25" s="3359"/>
      <c r="V25" s="3360"/>
      <c r="W25" s="3360"/>
      <c r="X25" s="3360"/>
      <c r="Y25" s="3361"/>
      <c r="Z25" s="3356">
        <f>+SUM(U25:Y25)</f>
        <v>0</v>
      </c>
      <c r="AA25" s="3353">
        <f>+基礎数値!$D4</f>
        <v>0</v>
      </c>
      <c r="AB25" s="3354">
        <f>+基礎数値!$E4</f>
        <v>0</v>
      </c>
      <c r="AC25" s="3354">
        <f>+基礎数値!$F4</f>
        <v>0</v>
      </c>
      <c r="AD25" s="3354">
        <f>+基礎数値!$G4</f>
        <v>0</v>
      </c>
      <c r="AE25" s="3355">
        <f>+基礎数値!$H4</f>
        <v>39691410</v>
      </c>
      <c r="AF25" s="3356">
        <f>+SUM(AA25:AE25)</f>
        <v>39691410</v>
      </c>
      <c r="AG25" s="2995"/>
    </row>
    <row r="26" spans="2:33" ht="13.5" customHeight="1">
      <c r="B26" s="3584"/>
      <c r="C26" s="3574"/>
      <c r="D26" s="3579"/>
      <c r="E26" s="3010" t="s">
        <v>5951</v>
      </c>
      <c r="F26" s="2982" t="s">
        <v>5950</v>
      </c>
      <c r="G26" s="3362">
        <f>+SUM(G24:G25)</f>
        <v>0</v>
      </c>
      <c r="H26" s="3363">
        <f>+SUM(H24:H25)</f>
        <v>0</v>
      </c>
      <c r="I26" s="3363">
        <f>+SUM(I24:I25)</f>
        <v>47053</v>
      </c>
      <c r="J26" s="3363">
        <f>+SUM(J24:J25)</f>
        <v>0</v>
      </c>
      <c r="K26" s="3364">
        <f>+SUM(K24:K25)</f>
        <v>20769699939</v>
      </c>
      <c r="L26" s="3356">
        <f>+SUM(G26:K26)</f>
        <v>20769746992</v>
      </c>
      <c r="M26" s="2995"/>
      <c r="N26" s="2982" t="s">
        <v>5950</v>
      </c>
      <c r="O26" s="3359">
        <f t="shared" si="0"/>
        <v>0</v>
      </c>
      <c r="P26" s="3360">
        <f t="shared" si="0"/>
        <v>0</v>
      </c>
      <c r="Q26" s="3360">
        <f t="shared" si="0"/>
        <v>47053</v>
      </c>
      <c r="R26" s="3360">
        <f t="shared" si="0"/>
        <v>0</v>
      </c>
      <c r="S26" s="3361">
        <f t="shared" si="1"/>
        <v>20769699939</v>
      </c>
      <c r="T26" s="3356">
        <f t="shared" si="1"/>
        <v>20769746992</v>
      </c>
      <c r="U26" s="3362">
        <f>+SUM(U24:U25)</f>
        <v>0</v>
      </c>
      <c r="V26" s="3363">
        <f>+SUM(V24:V25)</f>
        <v>0</v>
      </c>
      <c r="W26" s="3363">
        <f>+SUM(W24:W25)</f>
        <v>47053</v>
      </c>
      <c r="X26" s="3363">
        <f>+SUM(X24:X25)</f>
        <v>0</v>
      </c>
      <c r="Y26" s="3364">
        <f>+SUM(Y24:Y25)</f>
        <v>20730008529</v>
      </c>
      <c r="Z26" s="3356">
        <f>+SUM(U26:Y26)</f>
        <v>20730055582</v>
      </c>
      <c r="AA26" s="3362">
        <f>+SUM(AA24:AA25)</f>
        <v>0</v>
      </c>
      <c r="AB26" s="3363">
        <f>+SUM(AB24:AB25)</f>
        <v>0</v>
      </c>
      <c r="AC26" s="3363">
        <f>+SUM(AC24:AC25)</f>
        <v>0</v>
      </c>
      <c r="AD26" s="3363">
        <f>+SUM(AD24:AD25)</f>
        <v>0</v>
      </c>
      <c r="AE26" s="3364">
        <f>+SUM(AE24:AE25)</f>
        <v>39691410</v>
      </c>
      <c r="AF26" s="3356">
        <f>+SUM(AA26:AE26)</f>
        <v>39691410</v>
      </c>
      <c r="AG26" s="2995"/>
    </row>
    <row r="27" spans="2:33" ht="13.5" customHeight="1">
      <c r="B27" s="3584"/>
      <c r="C27" s="3574"/>
      <c r="D27" s="3579"/>
      <c r="E27" s="3010" t="s">
        <v>5514</v>
      </c>
      <c r="F27" s="2982"/>
      <c r="G27" s="3362"/>
      <c r="H27" s="3363"/>
      <c r="I27" s="3363"/>
      <c r="J27" s="3363"/>
      <c r="K27" s="3364"/>
      <c r="L27" s="3356"/>
      <c r="M27" s="2995"/>
      <c r="N27" s="2982"/>
      <c r="O27" s="3359"/>
      <c r="P27" s="3360"/>
      <c r="Q27" s="3360"/>
      <c r="R27" s="3360"/>
      <c r="S27" s="3361"/>
      <c r="T27" s="3356"/>
      <c r="U27" s="3362"/>
      <c r="V27" s="3363"/>
      <c r="W27" s="3363"/>
      <c r="X27" s="3363"/>
      <c r="Y27" s="3364"/>
      <c r="Z27" s="3356"/>
      <c r="AA27" s="3362"/>
      <c r="AB27" s="3363"/>
      <c r="AC27" s="3363"/>
      <c r="AD27" s="3363"/>
      <c r="AE27" s="3364"/>
      <c r="AF27" s="3356"/>
      <c r="AG27" s="2995"/>
    </row>
    <row r="28" spans="2:33" ht="13.5" customHeight="1">
      <c r="B28" s="3584"/>
      <c r="C28" s="3574"/>
      <c r="D28" s="3579"/>
      <c r="E28" s="3010" t="s">
        <v>5922</v>
      </c>
      <c r="F28" s="2982" t="s">
        <v>5949</v>
      </c>
      <c r="G28" s="3353">
        <f>+基礎数値!$D6</f>
        <v>0</v>
      </c>
      <c r="H28" s="3354">
        <f>+基礎数値!$E6</f>
        <v>0</v>
      </c>
      <c r="I28" s="3354">
        <f>+基礎数値!$F6</f>
        <v>0</v>
      </c>
      <c r="J28" s="3354">
        <f>+基礎数値!$G6</f>
        <v>0</v>
      </c>
      <c r="K28" s="3355">
        <f>+基礎数値!$H6</f>
        <v>0</v>
      </c>
      <c r="L28" s="3356">
        <f>+SUM(G28:K28)</f>
        <v>0</v>
      </c>
      <c r="M28" s="2995"/>
      <c r="N28" s="2982" t="s">
        <v>5949</v>
      </c>
      <c r="O28" s="3359">
        <f t="shared" ref="O28:R32" si="2">+U28+AA28</f>
        <v>0</v>
      </c>
      <c r="P28" s="3360">
        <f t="shared" si="2"/>
        <v>0</v>
      </c>
      <c r="Q28" s="3360">
        <f t="shared" si="2"/>
        <v>0</v>
      </c>
      <c r="R28" s="3360">
        <f t="shared" si="2"/>
        <v>0</v>
      </c>
      <c r="S28" s="3361">
        <f t="shared" ref="S28:T32" si="3">+Y28+AE28</f>
        <v>0</v>
      </c>
      <c r="T28" s="3356">
        <f t="shared" si="3"/>
        <v>0</v>
      </c>
      <c r="U28" s="3353">
        <f>+基礎数値!$D6</f>
        <v>0</v>
      </c>
      <c r="V28" s="3354">
        <f>+基礎数値!$E6</f>
        <v>0</v>
      </c>
      <c r="W28" s="3354">
        <f>+基礎数値!$F6</f>
        <v>0</v>
      </c>
      <c r="X28" s="3354">
        <f>+基礎数値!$G6</f>
        <v>0</v>
      </c>
      <c r="Y28" s="3355">
        <f>+基礎数値!$H6</f>
        <v>0</v>
      </c>
      <c r="Z28" s="3356">
        <f>+SUM(U28:Y28)</f>
        <v>0</v>
      </c>
      <c r="AA28" s="3359"/>
      <c r="AB28" s="3360"/>
      <c r="AC28" s="3360"/>
      <c r="AD28" s="3360"/>
      <c r="AE28" s="3361"/>
      <c r="AF28" s="3356">
        <f>+SUM(AA28:AE28)</f>
        <v>0</v>
      </c>
      <c r="AG28" s="2995"/>
    </row>
    <row r="29" spans="2:33" ht="13.5" customHeight="1">
      <c r="B29" s="3584"/>
      <c r="C29" s="3574"/>
      <c r="D29" s="3579"/>
      <c r="E29" s="2996" t="s">
        <v>5924</v>
      </c>
      <c r="F29" s="2982" t="s">
        <v>5948</v>
      </c>
      <c r="G29" s="3353">
        <f>+基礎数値!$D7</f>
        <v>0</v>
      </c>
      <c r="H29" s="3354">
        <f>+基礎数値!$E7</f>
        <v>0</v>
      </c>
      <c r="I29" s="3354">
        <f>+基礎数値!$F7</f>
        <v>39339</v>
      </c>
      <c r="J29" s="3354">
        <f>+基礎数値!$G7</f>
        <v>0</v>
      </c>
      <c r="K29" s="3355">
        <f>+基礎数値!$H7</f>
        <v>10639743</v>
      </c>
      <c r="L29" s="3356">
        <f>+SUM(G29:K29)</f>
        <v>10679082</v>
      </c>
      <c r="M29" s="2995"/>
      <c r="N29" s="2982" t="s">
        <v>5948</v>
      </c>
      <c r="O29" s="3359">
        <f t="shared" si="2"/>
        <v>0</v>
      </c>
      <c r="P29" s="3360">
        <f t="shared" si="2"/>
        <v>0</v>
      </c>
      <c r="Q29" s="3360">
        <f t="shared" si="2"/>
        <v>39339</v>
      </c>
      <c r="R29" s="3360">
        <f t="shared" si="2"/>
        <v>0</v>
      </c>
      <c r="S29" s="3361">
        <f t="shared" si="3"/>
        <v>10639743</v>
      </c>
      <c r="T29" s="3356">
        <f t="shared" si="3"/>
        <v>10679082</v>
      </c>
      <c r="U29" s="3353">
        <f>+基礎数値!$D7</f>
        <v>0</v>
      </c>
      <c r="V29" s="3354">
        <f>+基礎数値!$E7</f>
        <v>0</v>
      </c>
      <c r="W29" s="3354">
        <f>+基礎数値!$F7</f>
        <v>39339</v>
      </c>
      <c r="X29" s="3354">
        <f>+基礎数値!$G7</f>
        <v>0</v>
      </c>
      <c r="Y29" s="3355">
        <f>+基礎数値!$H7</f>
        <v>10639743</v>
      </c>
      <c r="Z29" s="3356">
        <f>+SUM(U29:Y29)</f>
        <v>10679082</v>
      </c>
      <c r="AA29" s="3359"/>
      <c r="AB29" s="3360"/>
      <c r="AC29" s="3360"/>
      <c r="AD29" s="3360"/>
      <c r="AE29" s="3361"/>
      <c r="AF29" s="3356">
        <f>+SUM(AA29:AE29)</f>
        <v>0</v>
      </c>
      <c r="AG29" s="2995"/>
    </row>
    <row r="30" spans="2:33" ht="21.75" customHeight="1">
      <c r="B30" s="3584"/>
      <c r="C30" s="3574"/>
      <c r="D30" s="3579"/>
      <c r="E30" s="2996" t="s">
        <v>5445</v>
      </c>
      <c r="F30" s="2982" t="s">
        <v>5947</v>
      </c>
      <c r="G30" s="3362">
        <f>+ROUNDDOWN((G26-G28-G29)*1/(1+G$7),0)</f>
        <v>0</v>
      </c>
      <c r="H30" s="3363">
        <f>+ROUNDDOWN((H26-H28-H29)*1/(1+H$7),0)</f>
        <v>0</v>
      </c>
      <c r="I30" s="3363">
        <f>+ROUNDDOWN((I26-I28-I29)*1/(1+I$7),0)</f>
        <v>7142</v>
      </c>
      <c r="J30" s="3363">
        <f>+ROUNDDOWN((J26-J28-J29)*1/(1+J$7),0)</f>
        <v>0</v>
      </c>
      <c r="K30" s="3364">
        <f>+ROUNDDOWN((K26-K28-K29)*1/(1+K$7),0)</f>
        <v>18871872905</v>
      </c>
      <c r="L30" s="3356">
        <f>+SUM(G30:K30)</f>
        <v>18871880047</v>
      </c>
      <c r="M30" s="2995" t="s">
        <v>5506</v>
      </c>
      <c r="N30" s="2999" t="s">
        <v>5946</v>
      </c>
      <c r="O30" s="3359">
        <f t="shared" si="2"/>
        <v>0</v>
      </c>
      <c r="P30" s="3360">
        <f t="shared" si="2"/>
        <v>0</v>
      </c>
      <c r="Q30" s="3360">
        <f t="shared" si="2"/>
        <v>7142</v>
      </c>
      <c r="R30" s="3360">
        <f t="shared" si="2"/>
        <v>0</v>
      </c>
      <c r="S30" s="3361">
        <f t="shared" si="3"/>
        <v>18871872905</v>
      </c>
      <c r="T30" s="3356">
        <f t="shared" si="3"/>
        <v>18871880047</v>
      </c>
      <c r="U30" s="3362">
        <f>+ROUNDDOWN((U26-U28-U29)*1/(1+U$7),0)</f>
        <v>0</v>
      </c>
      <c r="V30" s="3363">
        <f>+ROUNDDOWN((V26-V28-V29)*1/(1+V$7),0)</f>
        <v>0</v>
      </c>
      <c r="W30" s="3363">
        <f>+ROUNDDOWN((W26-W28-W29)*1/(1+W$7),0)</f>
        <v>7142</v>
      </c>
      <c r="X30" s="3363">
        <f>+ROUNDDOWN((X26-X28-X29)*1/(1+X$7),0)</f>
        <v>0</v>
      </c>
      <c r="Y30" s="3364">
        <f>+ROUNDDOWN((Y26-Y28-Y29)*1/(1+Y$7),0)</f>
        <v>18835789805</v>
      </c>
      <c r="Z30" s="3356">
        <f>+SUM(U30:Y30)</f>
        <v>18835796947</v>
      </c>
      <c r="AA30" s="3362">
        <f>+ROUNDDOWN((AA26-AA28-AA29)*1/(1+AA$7),0)</f>
        <v>0</v>
      </c>
      <c r="AB30" s="3363">
        <f>+ROUNDDOWN((AB26-AB28-AB29)*1/(1+AB$7),0)</f>
        <v>0</v>
      </c>
      <c r="AC30" s="3363">
        <f>+ROUNDDOWN((AC26-AC28-AC29)*1/(1+AC$7),0)</f>
        <v>0</v>
      </c>
      <c r="AD30" s="3363">
        <f>+ROUNDDOWN((AD26-AD28-AD29)*1/(1+AD$7),0)</f>
        <v>0</v>
      </c>
      <c r="AE30" s="3364">
        <f>+ROUNDDOWN((AE26-AE28-AE29)*1/(1+AE$7),0)</f>
        <v>36083100</v>
      </c>
      <c r="AF30" s="3356">
        <f>+SUM(AA30:AE30)</f>
        <v>36083100</v>
      </c>
      <c r="AG30" s="2995"/>
    </row>
    <row r="31" spans="2:33" ht="13.5" customHeight="1">
      <c r="B31" s="3584"/>
      <c r="C31" s="3574"/>
      <c r="D31" s="3579"/>
      <c r="E31" s="2998" t="s">
        <v>5505</v>
      </c>
      <c r="F31" s="2982" t="s">
        <v>5945</v>
      </c>
      <c r="G31" s="3362">
        <f>+ROUNDDOWN((G26-G28)*1/(1+G$7),-3)</f>
        <v>0</v>
      </c>
      <c r="H31" s="3363">
        <f>+ROUNDDOWN((H26-H28)*1/(1+H$7),-3)</f>
        <v>0</v>
      </c>
      <c r="I31" s="3363">
        <f>+ROUNDDOWN((I26-I28)*1/(1+I$7),-3)</f>
        <v>43000</v>
      </c>
      <c r="J31" s="3363">
        <f>+ROUNDDOWN((J26-J28)*1/(1+J$7),-3)</f>
        <v>0</v>
      </c>
      <c r="K31" s="3364">
        <f>+ROUNDDOWN((K26-K28)*1/(1+K$7),-3)</f>
        <v>18881545000</v>
      </c>
      <c r="L31" s="3356">
        <f>+SUM(G31:K31)</f>
        <v>18881588000</v>
      </c>
      <c r="M31" s="2995" t="s">
        <v>5656</v>
      </c>
      <c r="N31" s="2982" t="s">
        <v>5945</v>
      </c>
      <c r="O31" s="3359">
        <f t="shared" si="2"/>
        <v>0</v>
      </c>
      <c r="P31" s="3360">
        <f t="shared" si="2"/>
        <v>0</v>
      </c>
      <c r="Q31" s="3360">
        <f t="shared" si="2"/>
        <v>43567</v>
      </c>
      <c r="R31" s="3360">
        <f t="shared" si="2"/>
        <v>0</v>
      </c>
      <c r="S31" s="3361">
        <f t="shared" si="3"/>
        <v>18881545399</v>
      </c>
      <c r="T31" s="3356">
        <f t="shared" si="3"/>
        <v>18881588966</v>
      </c>
      <c r="U31" s="3362">
        <f>+ROUNDDOWN((U26-U28)*1/(1+U$7),0)</f>
        <v>0</v>
      </c>
      <c r="V31" s="3363">
        <f>+ROUNDDOWN((V26-V28)*1/(1+V$7),0)</f>
        <v>0</v>
      </c>
      <c r="W31" s="3363">
        <f>+ROUNDDOWN((W26-W28)*1/(1+W$7),0)</f>
        <v>43567</v>
      </c>
      <c r="X31" s="3363">
        <f>+ROUNDDOWN((X26-X28)*1/(1+X$7),0)</f>
        <v>0</v>
      </c>
      <c r="Y31" s="3364">
        <f>+ROUNDDOWN((Y26-Y28)*1/(1+Y$7),0)</f>
        <v>18845462299</v>
      </c>
      <c r="Z31" s="3356">
        <f>+SUM(U31:Y31)</f>
        <v>18845505866</v>
      </c>
      <c r="AA31" s="3362">
        <f>+ROUNDDOWN((AA26-AA28)*1/(1+AA$7),0)</f>
        <v>0</v>
      </c>
      <c r="AB31" s="3363">
        <f>+ROUNDDOWN((AB26-AB28)*1/(1+AB$7),0)</f>
        <v>0</v>
      </c>
      <c r="AC31" s="3363">
        <f>+ROUNDDOWN((AC26-AC28)*1/(1+AC$7),0)</f>
        <v>0</v>
      </c>
      <c r="AD31" s="3363">
        <f>+ROUNDDOWN((AD26-AD28)*1/(1+AD$7),0)</f>
        <v>0</v>
      </c>
      <c r="AE31" s="3364">
        <f>+ROUNDDOWN((AE26-AE28)*1/(1+AE$7),0)</f>
        <v>36083100</v>
      </c>
      <c r="AF31" s="3356">
        <f>+SUM(AA31:AE31)</f>
        <v>36083100</v>
      </c>
      <c r="AG31" s="2995"/>
    </row>
    <row r="32" spans="2:33" ht="13.5" customHeight="1">
      <c r="B32" s="3584"/>
      <c r="C32" s="3572"/>
      <c r="D32" s="3580"/>
      <c r="E32" s="2980" t="s">
        <v>5501</v>
      </c>
      <c r="F32" s="2978" t="s">
        <v>5944</v>
      </c>
      <c r="G32" s="3365">
        <f>+ROUNDDOWN(G31*G$1,0)</f>
        <v>0</v>
      </c>
      <c r="H32" s="3366">
        <f>+ROUNDDOWN(H31*H$1,0)</f>
        <v>0</v>
      </c>
      <c r="I32" s="3366">
        <f>+ROUNDDOWN(I31*I$1,0)</f>
        <v>2709</v>
      </c>
      <c r="J32" s="3366">
        <f>+ROUNDDOWN(J31*J$1,0)</f>
        <v>0</v>
      </c>
      <c r="K32" s="3367">
        <f>+ROUNDDOWN(K31*K$1,0)</f>
        <v>1472760510</v>
      </c>
      <c r="L32" s="3368">
        <f>+SUM(G32:K32)</f>
        <v>1472763219</v>
      </c>
      <c r="M32" s="2993" t="s">
        <v>5654</v>
      </c>
      <c r="N32" s="2978" t="s">
        <v>5943</v>
      </c>
      <c r="O32" s="3370">
        <f t="shared" si="2"/>
        <v>0</v>
      </c>
      <c r="P32" s="3371">
        <f t="shared" si="2"/>
        <v>0</v>
      </c>
      <c r="Q32" s="3371">
        <f t="shared" si="2"/>
        <v>3485</v>
      </c>
      <c r="R32" s="3371">
        <f t="shared" si="2"/>
        <v>0</v>
      </c>
      <c r="S32" s="3372">
        <f t="shared" si="3"/>
        <v>1888154539</v>
      </c>
      <c r="T32" s="3368">
        <f t="shared" si="3"/>
        <v>1888158024</v>
      </c>
      <c r="U32" s="3365">
        <f>+ROUNDDOWN(U31*U$7,0)+U135</f>
        <v>0</v>
      </c>
      <c r="V32" s="3366">
        <f t="shared" ref="V32" si="4">+ROUNDDOWN(V31*V$7,0)+V135</f>
        <v>0</v>
      </c>
      <c r="W32" s="3366">
        <f t="shared" ref="W32:X32" si="5">+ROUNDDOWN(W31*W$7,0)+W135</f>
        <v>3485</v>
      </c>
      <c r="X32" s="3366">
        <f t="shared" si="5"/>
        <v>0</v>
      </c>
      <c r="Y32" s="3367">
        <f t="shared" ref="Y32" si="6">+ROUNDDOWN(Y31*Y$7,0)+Y135</f>
        <v>1884546229</v>
      </c>
      <c r="Z32" s="3368">
        <f>+SUM(U32:Y32)</f>
        <v>1884549714</v>
      </c>
      <c r="AA32" s="3365">
        <f>+ROUNDDOWN(AA31*AA$7,0)+AA135</f>
        <v>0</v>
      </c>
      <c r="AB32" s="3366">
        <f t="shared" ref="AB32:AE32" si="7">+ROUNDDOWN(AB31*AB$7,0)+AB135</f>
        <v>0</v>
      </c>
      <c r="AC32" s="3366">
        <f t="shared" si="7"/>
        <v>0</v>
      </c>
      <c r="AD32" s="3366">
        <f t="shared" ref="AD32" si="8">+ROUNDDOWN(AD31*AD$7,0)+AD135</f>
        <v>0</v>
      </c>
      <c r="AE32" s="3367">
        <f t="shared" si="7"/>
        <v>3608310</v>
      </c>
      <c r="AF32" s="3368">
        <f>+SUM(AA32:AE32)</f>
        <v>3608310</v>
      </c>
      <c r="AG32" s="2993"/>
    </row>
    <row r="33" spans="2:33" ht="13.5" customHeight="1">
      <c r="B33" s="3583" t="s">
        <v>5427</v>
      </c>
      <c r="C33" s="3571">
        <v>1</v>
      </c>
      <c r="D33" s="3575" t="s">
        <v>5497</v>
      </c>
      <c r="E33" s="3039" t="s">
        <v>5496</v>
      </c>
      <c r="F33" s="2988" t="s">
        <v>5942</v>
      </c>
      <c r="G33" s="3373"/>
      <c r="H33" s="3374"/>
      <c r="I33" s="3374"/>
      <c r="J33" s="3374"/>
      <c r="K33" s="3375"/>
      <c r="L33" s="3376">
        <f>+L30</f>
        <v>18871880047</v>
      </c>
      <c r="M33" s="3038"/>
      <c r="N33" s="2988" t="s">
        <v>5942</v>
      </c>
      <c r="O33" s="3378"/>
      <c r="P33" s="3379"/>
      <c r="Q33" s="3379"/>
      <c r="R33" s="3379"/>
      <c r="S33" s="3380"/>
      <c r="T33" s="3376">
        <f>+L33</f>
        <v>18871880047</v>
      </c>
      <c r="U33" s="3378"/>
      <c r="V33" s="3379"/>
      <c r="W33" s="3379"/>
      <c r="X33" s="3379"/>
      <c r="Y33" s="3380"/>
      <c r="Z33" s="3381"/>
      <c r="AA33" s="3378"/>
      <c r="AB33" s="3379"/>
      <c r="AC33" s="3379"/>
      <c r="AD33" s="3379"/>
      <c r="AE33" s="3380"/>
      <c r="AF33" s="3381"/>
      <c r="AG33" s="3038"/>
    </row>
    <row r="34" spans="2:33" ht="13.5" customHeight="1">
      <c r="B34" s="3584"/>
      <c r="C34" s="3574"/>
      <c r="D34" s="3576"/>
      <c r="E34" s="2996" t="s">
        <v>5908</v>
      </c>
      <c r="F34" s="2982" t="s">
        <v>5941</v>
      </c>
      <c r="G34" s="3362"/>
      <c r="H34" s="3363"/>
      <c r="I34" s="3363"/>
      <c r="J34" s="3363"/>
      <c r="K34" s="3364"/>
      <c r="L34" s="3382">
        <f>+基礎数値!$I8</f>
        <v>86860</v>
      </c>
      <c r="M34" s="2995" t="s">
        <v>5649</v>
      </c>
      <c r="N34" s="2982" t="s">
        <v>5941</v>
      </c>
      <c r="O34" s="3383"/>
      <c r="P34" s="3384"/>
      <c r="Q34" s="3384"/>
      <c r="R34" s="3384"/>
      <c r="S34" s="3385"/>
      <c r="T34" s="3382">
        <f>+基礎数値!$I8</f>
        <v>86860</v>
      </c>
      <c r="U34" s="3383"/>
      <c r="V34" s="3384"/>
      <c r="W34" s="3384"/>
      <c r="X34" s="3384"/>
      <c r="Y34" s="3385"/>
      <c r="Z34" s="3386"/>
      <c r="AA34" s="3383"/>
      <c r="AB34" s="3384"/>
      <c r="AC34" s="3384"/>
      <c r="AD34" s="3384"/>
      <c r="AE34" s="3385"/>
      <c r="AF34" s="3386"/>
      <c r="AG34" s="2995" t="s">
        <v>5940</v>
      </c>
    </row>
    <row r="35" spans="2:33" ht="13.5" customHeight="1">
      <c r="B35" s="3584"/>
      <c r="C35" s="3574"/>
      <c r="D35" s="3576"/>
      <c r="E35" s="2996" t="s">
        <v>5494</v>
      </c>
      <c r="F35" s="2982" t="s">
        <v>5938</v>
      </c>
      <c r="G35" s="3362"/>
      <c r="H35" s="3363"/>
      <c r="I35" s="3363"/>
      <c r="J35" s="3363"/>
      <c r="K35" s="3364"/>
      <c r="L35" s="3356">
        <f>SUM(L33:L34)</f>
        <v>18871966907</v>
      </c>
      <c r="M35" s="2995" t="s">
        <v>5939</v>
      </c>
      <c r="N35" s="2982" t="s">
        <v>5938</v>
      </c>
      <c r="O35" s="3383"/>
      <c r="P35" s="3384"/>
      <c r="Q35" s="3384"/>
      <c r="R35" s="3384"/>
      <c r="S35" s="3385"/>
      <c r="T35" s="3376">
        <f>+L35</f>
        <v>18871966907</v>
      </c>
      <c r="U35" s="3383"/>
      <c r="V35" s="3384"/>
      <c r="W35" s="3384"/>
      <c r="X35" s="3384"/>
      <c r="Y35" s="3385"/>
      <c r="Z35" s="3386"/>
      <c r="AA35" s="3383"/>
      <c r="AB35" s="3384"/>
      <c r="AC35" s="3384"/>
      <c r="AD35" s="3384"/>
      <c r="AE35" s="3385"/>
      <c r="AF35" s="3386"/>
      <c r="AG35" s="2995" t="s">
        <v>5937</v>
      </c>
    </row>
    <row r="36" spans="2:33" ht="13.5" customHeight="1">
      <c r="B36" s="3584"/>
      <c r="C36" s="3574"/>
      <c r="D36" s="3576"/>
      <c r="E36" s="3010" t="s">
        <v>5493</v>
      </c>
      <c r="F36" s="2982"/>
      <c r="G36" s="3362"/>
      <c r="H36" s="3363"/>
      <c r="I36" s="3363"/>
      <c r="J36" s="3363"/>
      <c r="K36" s="3364"/>
      <c r="L36" s="3382">
        <f>+基礎数値!$I9</f>
        <v>22644840</v>
      </c>
      <c r="M36" s="2995"/>
      <c r="N36" s="2982"/>
      <c r="O36" s="3383"/>
      <c r="P36" s="3384"/>
      <c r="Q36" s="3384"/>
      <c r="R36" s="3384"/>
      <c r="S36" s="3385"/>
      <c r="T36" s="3382">
        <f>+基礎数値!$I9</f>
        <v>22644840</v>
      </c>
      <c r="U36" s="3383"/>
      <c r="V36" s="3384"/>
      <c r="W36" s="3384"/>
      <c r="X36" s="3384"/>
      <c r="Y36" s="3385"/>
      <c r="Z36" s="3386"/>
      <c r="AA36" s="3383"/>
      <c r="AB36" s="3384"/>
      <c r="AC36" s="3384"/>
      <c r="AD36" s="3384"/>
      <c r="AE36" s="3385"/>
      <c r="AF36" s="3386"/>
      <c r="AG36" s="2995" t="s">
        <v>5936</v>
      </c>
    </row>
    <row r="37" spans="2:33" ht="13.5" customHeight="1">
      <c r="B37" s="3584"/>
      <c r="C37" s="3574"/>
      <c r="D37" s="3576"/>
      <c r="E37" s="3010" t="s">
        <v>5492</v>
      </c>
      <c r="F37" s="2982"/>
      <c r="G37" s="3362"/>
      <c r="H37" s="3363"/>
      <c r="I37" s="3363"/>
      <c r="J37" s="3363"/>
      <c r="K37" s="3364"/>
      <c r="L37" s="3382">
        <f>+基礎数値!$I10</f>
        <v>45948113</v>
      </c>
      <c r="M37" s="2995" t="s">
        <v>5643</v>
      </c>
      <c r="N37" s="2982"/>
      <c r="O37" s="3383"/>
      <c r="P37" s="3384"/>
      <c r="Q37" s="3384"/>
      <c r="R37" s="3384"/>
      <c r="S37" s="3385"/>
      <c r="T37" s="3382">
        <f>+基礎数値!$I10</f>
        <v>45948113</v>
      </c>
      <c r="U37" s="3383"/>
      <c r="V37" s="3384"/>
      <c r="W37" s="3384"/>
      <c r="X37" s="3384"/>
      <c r="Y37" s="3385"/>
      <c r="Z37" s="3386"/>
      <c r="AA37" s="3383"/>
      <c r="AB37" s="3384"/>
      <c r="AC37" s="3384"/>
      <c r="AD37" s="3384"/>
      <c r="AE37" s="3385"/>
      <c r="AF37" s="3386"/>
      <c r="AG37" s="2995" t="s">
        <v>5936</v>
      </c>
    </row>
    <row r="38" spans="2:33" ht="13.5" customHeight="1">
      <c r="B38" s="3584"/>
      <c r="C38" s="3574"/>
      <c r="D38" s="3576"/>
      <c r="E38" s="3010" t="s">
        <v>5935</v>
      </c>
      <c r="F38" s="3037" t="s">
        <v>5934</v>
      </c>
      <c r="G38" s="3362"/>
      <c r="H38" s="3363"/>
      <c r="I38" s="3363"/>
      <c r="J38" s="3363"/>
      <c r="K38" s="3364"/>
      <c r="L38" s="3356">
        <f>+SUM(L36:L37)</f>
        <v>68592953</v>
      </c>
      <c r="M38" s="2995"/>
      <c r="N38" s="3037" t="s">
        <v>5934</v>
      </c>
      <c r="O38" s="3383"/>
      <c r="P38" s="3384"/>
      <c r="Q38" s="3384"/>
      <c r="R38" s="3384"/>
      <c r="S38" s="3385"/>
      <c r="T38" s="3376">
        <f>+L38</f>
        <v>68592953</v>
      </c>
      <c r="U38" s="3383"/>
      <c r="V38" s="3384"/>
      <c r="W38" s="3384"/>
      <c r="X38" s="3384"/>
      <c r="Y38" s="3385"/>
      <c r="Z38" s="3386"/>
      <c r="AA38" s="3383"/>
      <c r="AB38" s="3384"/>
      <c r="AC38" s="3384"/>
      <c r="AD38" s="3384"/>
      <c r="AE38" s="3385"/>
      <c r="AF38" s="3386"/>
      <c r="AG38" s="2995"/>
    </row>
    <row r="39" spans="2:33" ht="13.5" customHeight="1">
      <c r="B39" s="3584"/>
      <c r="C39" s="3574"/>
      <c r="D39" s="3576"/>
      <c r="E39" s="2996" t="s">
        <v>5491</v>
      </c>
      <c r="F39" s="2982" t="s">
        <v>5932</v>
      </c>
      <c r="G39" s="3362"/>
      <c r="H39" s="3363"/>
      <c r="I39" s="3363"/>
      <c r="J39" s="3363"/>
      <c r="K39" s="3364"/>
      <c r="L39" s="3356">
        <f>+SUM(L35,L38)</f>
        <v>18940559860</v>
      </c>
      <c r="M39" s="2995" t="s">
        <v>5933</v>
      </c>
      <c r="N39" s="2982" t="s">
        <v>5932</v>
      </c>
      <c r="O39" s="3383"/>
      <c r="P39" s="3384"/>
      <c r="Q39" s="3384"/>
      <c r="R39" s="3384"/>
      <c r="S39" s="3385"/>
      <c r="T39" s="3376">
        <f>+L39</f>
        <v>18940559860</v>
      </c>
      <c r="U39" s="3383"/>
      <c r="V39" s="3384"/>
      <c r="W39" s="3384"/>
      <c r="X39" s="3384"/>
      <c r="Y39" s="3385"/>
      <c r="Z39" s="3386"/>
      <c r="AA39" s="3383"/>
      <c r="AB39" s="3384"/>
      <c r="AC39" s="3384"/>
      <c r="AD39" s="3384"/>
      <c r="AE39" s="3385"/>
      <c r="AF39" s="3386"/>
      <c r="AG39" s="2995" t="s">
        <v>5931</v>
      </c>
    </row>
    <row r="40" spans="2:33" ht="13.5" customHeight="1">
      <c r="B40" s="3585"/>
      <c r="C40" s="3572"/>
      <c r="D40" s="3577"/>
      <c r="E40" s="2994" t="s">
        <v>5930</v>
      </c>
      <c r="F40" s="3036" t="s">
        <v>5929</v>
      </c>
      <c r="G40" s="3365"/>
      <c r="H40" s="3366"/>
      <c r="I40" s="3366"/>
      <c r="J40" s="3366"/>
      <c r="K40" s="3367"/>
      <c r="L40" s="3387">
        <f>+ROUND(L35/L39,4)</f>
        <v>0.99639999999999995</v>
      </c>
      <c r="M40" s="2993" t="s">
        <v>5637</v>
      </c>
      <c r="N40" s="3036" t="s">
        <v>5929</v>
      </c>
      <c r="O40" s="3388"/>
      <c r="P40" s="3389"/>
      <c r="Q40" s="3389"/>
      <c r="R40" s="3389"/>
      <c r="S40" s="3390"/>
      <c r="T40" s="3387">
        <f>+L40</f>
        <v>0.99639999999999995</v>
      </c>
      <c r="U40" s="3388"/>
      <c r="V40" s="3389"/>
      <c r="W40" s="3389"/>
      <c r="X40" s="3389"/>
      <c r="Y40" s="3390"/>
      <c r="Z40" s="3391"/>
      <c r="AA40" s="3388"/>
      <c r="AB40" s="3389"/>
      <c r="AC40" s="3389"/>
      <c r="AD40" s="3389"/>
      <c r="AE40" s="3390"/>
      <c r="AF40" s="3391"/>
      <c r="AG40" s="3007" t="s">
        <v>5928</v>
      </c>
    </row>
    <row r="41" spans="2:33" ht="13.5" hidden="1" customHeight="1">
      <c r="B41" s="3583" t="s">
        <v>5490</v>
      </c>
      <c r="C41" s="3571">
        <v>1</v>
      </c>
      <c r="D41" s="3578" t="s">
        <v>5489</v>
      </c>
      <c r="E41" s="3033" t="s">
        <v>5488</v>
      </c>
      <c r="F41" s="3032"/>
      <c r="G41" s="3392"/>
      <c r="H41" s="3393"/>
      <c r="I41" s="3393"/>
      <c r="J41" s="3393"/>
      <c r="K41" s="3394"/>
      <c r="L41" s="3395"/>
      <c r="M41" s="3027"/>
      <c r="N41" s="3032"/>
      <c r="O41" s="3396">
        <f t="shared" ref="O41:O57" si="9">+U41+AA41</f>
        <v>0</v>
      </c>
      <c r="P41" s="3397">
        <f t="shared" ref="P41:P57" si="10">+V41+AB41</f>
        <v>0</v>
      </c>
      <c r="Q41" s="3397">
        <f t="shared" ref="Q41:R57" si="11">+W41+AC41</f>
        <v>0</v>
      </c>
      <c r="R41" s="3397">
        <f t="shared" si="11"/>
        <v>0</v>
      </c>
      <c r="S41" s="3398">
        <f t="shared" ref="S41:S57" si="12">+Y41+AE41</f>
        <v>0</v>
      </c>
      <c r="T41" s="3395">
        <f t="shared" ref="T41:T61" si="13">+Z41+AF41</f>
        <v>0</v>
      </c>
      <c r="U41" s="3392"/>
      <c r="V41" s="3393"/>
      <c r="W41" s="3393"/>
      <c r="X41" s="3393"/>
      <c r="Y41" s="3394"/>
      <c r="Z41" s="3395"/>
      <c r="AA41" s="3392"/>
      <c r="AB41" s="3393"/>
      <c r="AC41" s="3393"/>
      <c r="AD41" s="3393"/>
      <c r="AE41" s="3394"/>
      <c r="AF41" s="3395"/>
      <c r="AG41" s="3027"/>
    </row>
    <row r="42" spans="2:33" ht="13.5" hidden="1" customHeight="1">
      <c r="B42" s="3584"/>
      <c r="C42" s="3574"/>
      <c r="D42" s="3579"/>
      <c r="E42" s="3033"/>
      <c r="F42" s="3032"/>
      <c r="G42" s="3392"/>
      <c r="H42" s="3393"/>
      <c r="I42" s="3393"/>
      <c r="J42" s="3393"/>
      <c r="K42" s="3394"/>
      <c r="L42" s="3395"/>
      <c r="M42" s="3027"/>
      <c r="N42" s="3032"/>
      <c r="O42" s="3396">
        <f t="shared" si="9"/>
        <v>0</v>
      </c>
      <c r="P42" s="3397">
        <f t="shared" si="10"/>
        <v>0</v>
      </c>
      <c r="Q42" s="3397">
        <f t="shared" si="11"/>
        <v>0</v>
      </c>
      <c r="R42" s="3397">
        <f t="shared" si="11"/>
        <v>0</v>
      </c>
      <c r="S42" s="3398">
        <f t="shared" si="12"/>
        <v>0</v>
      </c>
      <c r="T42" s="3395">
        <f t="shared" si="13"/>
        <v>0</v>
      </c>
      <c r="U42" s="3392"/>
      <c r="V42" s="3393"/>
      <c r="W42" s="3393"/>
      <c r="X42" s="3393"/>
      <c r="Y42" s="3394"/>
      <c r="Z42" s="3395"/>
      <c r="AA42" s="3392"/>
      <c r="AB42" s="3393"/>
      <c r="AC42" s="3393"/>
      <c r="AD42" s="3393"/>
      <c r="AE42" s="3394"/>
      <c r="AF42" s="3395"/>
      <c r="AG42" s="3027"/>
    </row>
    <row r="43" spans="2:33" ht="13.5" hidden="1" customHeight="1">
      <c r="B43" s="3584"/>
      <c r="C43" s="3572"/>
      <c r="D43" s="3580"/>
      <c r="E43" s="3026"/>
      <c r="F43" s="3025"/>
      <c r="G43" s="3399"/>
      <c r="H43" s="3400"/>
      <c r="I43" s="3400"/>
      <c r="J43" s="3400"/>
      <c r="K43" s="3401"/>
      <c r="L43" s="3402"/>
      <c r="M43" s="3020"/>
      <c r="N43" s="3025"/>
      <c r="O43" s="3403">
        <f t="shared" si="9"/>
        <v>0</v>
      </c>
      <c r="P43" s="3404">
        <f t="shared" si="10"/>
        <v>0</v>
      </c>
      <c r="Q43" s="3404">
        <f t="shared" si="11"/>
        <v>0</v>
      </c>
      <c r="R43" s="3404">
        <f t="shared" si="11"/>
        <v>0</v>
      </c>
      <c r="S43" s="3405">
        <f t="shared" si="12"/>
        <v>0</v>
      </c>
      <c r="T43" s="3402">
        <f t="shared" si="13"/>
        <v>0</v>
      </c>
      <c r="U43" s="3399"/>
      <c r="V43" s="3400"/>
      <c r="W43" s="3400"/>
      <c r="X43" s="3400"/>
      <c r="Y43" s="3401"/>
      <c r="Z43" s="3402"/>
      <c r="AA43" s="3399"/>
      <c r="AB43" s="3400"/>
      <c r="AC43" s="3400"/>
      <c r="AD43" s="3400"/>
      <c r="AE43" s="3401"/>
      <c r="AF43" s="3402"/>
      <c r="AG43" s="3020"/>
    </row>
    <row r="44" spans="2:33" ht="13.5" hidden="1" customHeight="1">
      <c r="B44" s="3584"/>
      <c r="C44" s="3571">
        <v>2</v>
      </c>
      <c r="D44" s="3578" t="s">
        <v>5487</v>
      </c>
      <c r="E44" s="3019" t="s">
        <v>5486</v>
      </c>
      <c r="F44" s="3017"/>
      <c r="G44" s="3406"/>
      <c r="H44" s="3407"/>
      <c r="I44" s="3407"/>
      <c r="J44" s="3407"/>
      <c r="K44" s="3408"/>
      <c r="L44" s="3409"/>
      <c r="M44" s="3013"/>
      <c r="N44" s="3017"/>
      <c r="O44" s="3410">
        <f t="shared" si="9"/>
        <v>0</v>
      </c>
      <c r="P44" s="3411">
        <f t="shared" si="10"/>
        <v>0</v>
      </c>
      <c r="Q44" s="3411">
        <f t="shared" si="11"/>
        <v>0</v>
      </c>
      <c r="R44" s="3411">
        <f t="shared" si="11"/>
        <v>0</v>
      </c>
      <c r="S44" s="3412">
        <f t="shared" si="12"/>
        <v>0</v>
      </c>
      <c r="T44" s="3409">
        <f t="shared" si="13"/>
        <v>0</v>
      </c>
      <c r="U44" s="3406"/>
      <c r="V44" s="3407"/>
      <c r="W44" s="3407"/>
      <c r="X44" s="3407"/>
      <c r="Y44" s="3408"/>
      <c r="Z44" s="3409"/>
      <c r="AA44" s="3406"/>
      <c r="AB44" s="3407"/>
      <c r="AC44" s="3407"/>
      <c r="AD44" s="3407"/>
      <c r="AE44" s="3408"/>
      <c r="AF44" s="3409"/>
      <c r="AG44" s="3013"/>
    </row>
    <row r="45" spans="2:33" ht="13.5" hidden="1" customHeight="1">
      <c r="B45" s="3584"/>
      <c r="C45" s="3574"/>
      <c r="D45" s="3579"/>
      <c r="E45" s="3033"/>
      <c r="F45" s="3032"/>
      <c r="G45" s="3392"/>
      <c r="H45" s="3393"/>
      <c r="I45" s="3393"/>
      <c r="J45" s="3393"/>
      <c r="K45" s="3394"/>
      <c r="L45" s="3395"/>
      <c r="M45" s="3027"/>
      <c r="N45" s="3032"/>
      <c r="O45" s="3396">
        <f t="shared" si="9"/>
        <v>0</v>
      </c>
      <c r="P45" s="3397">
        <f t="shared" si="10"/>
        <v>0</v>
      </c>
      <c r="Q45" s="3397">
        <f t="shared" si="11"/>
        <v>0</v>
      </c>
      <c r="R45" s="3397">
        <f t="shared" si="11"/>
        <v>0</v>
      </c>
      <c r="S45" s="3398">
        <f t="shared" si="12"/>
        <v>0</v>
      </c>
      <c r="T45" s="3395">
        <f t="shared" si="13"/>
        <v>0</v>
      </c>
      <c r="U45" s="3392"/>
      <c r="V45" s="3393"/>
      <c r="W45" s="3393"/>
      <c r="X45" s="3393"/>
      <c r="Y45" s="3394"/>
      <c r="Z45" s="3395"/>
      <c r="AA45" s="3392"/>
      <c r="AB45" s="3393"/>
      <c r="AC45" s="3393"/>
      <c r="AD45" s="3393"/>
      <c r="AE45" s="3394"/>
      <c r="AF45" s="3395"/>
      <c r="AG45" s="3027"/>
    </row>
    <row r="46" spans="2:33" ht="13.5" hidden="1" customHeight="1">
      <c r="B46" s="3584"/>
      <c r="C46" s="3572"/>
      <c r="D46" s="3580"/>
      <c r="E46" s="3033"/>
      <c r="F46" s="3032"/>
      <c r="G46" s="3392"/>
      <c r="H46" s="3393"/>
      <c r="I46" s="3393"/>
      <c r="J46" s="3393"/>
      <c r="K46" s="3394"/>
      <c r="L46" s="3395"/>
      <c r="M46" s="3027"/>
      <c r="N46" s="3032"/>
      <c r="O46" s="3396">
        <f t="shared" si="9"/>
        <v>0</v>
      </c>
      <c r="P46" s="3397">
        <f t="shared" si="10"/>
        <v>0</v>
      </c>
      <c r="Q46" s="3397">
        <f t="shared" si="11"/>
        <v>0</v>
      </c>
      <c r="R46" s="3397">
        <f t="shared" si="11"/>
        <v>0</v>
      </c>
      <c r="S46" s="3398">
        <f t="shared" si="12"/>
        <v>0</v>
      </c>
      <c r="T46" s="3395">
        <f t="shared" si="13"/>
        <v>0</v>
      </c>
      <c r="U46" s="3392"/>
      <c r="V46" s="3393"/>
      <c r="W46" s="3393"/>
      <c r="X46" s="3393"/>
      <c r="Y46" s="3394"/>
      <c r="Z46" s="3395"/>
      <c r="AA46" s="3392"/>
      <c r="AB46" s="3393"/>
      <c r="AC46" s="3393"/>
      <c r="AD46" s="3393"/>
      <c r="AE46" s="3394"/>
      <c r="AF46" s="3395"/>
      <c r="AG46" s="3027"/>
    </row>
    <row r="47" spans="2:33" ht="13.5" hidden="1" customHeight="1">
      <c r="B47" s="3584"/>
      <c r="C47" s="3571">
        <v>3</v>
      </c>
      <c r="D47" s="3573" t="s">
        <v>5485</v>
      </c>
      <c r="E47" s="3033"/>
      <c r="F47" s="3032"/>
      <c r="G47" s="3392"/>
      <c r="H47" s="3393"/>
      <c r="I47" s="3393"/>
      <c r="J47" s="3393"/>
      <c r="K47" s="3394"/>
      <c r="L47" s="3395"/>
      <c r="M47" s="3027"/>
      <c r="N47" s="3032"/>
      <c r="O47" s="3396">
        <f t="shared" si="9"/>
        <v>0</v>
      </c>
      <c r="P47" s="3397">
        <f t="shared" si="10"/>
        <v>0</v>
      </c>
      <c r="Q47" s="3397">
        <f t="shared" si="11"/>
        <v>0</v>
      </c>
      <c r="R47" s="3397">
        <f t="shared" si="11"/>
        <v>0</v>
      </c>
      <c r="S47" s="3398">
        <f t="shared" si="12"/>
        <v>0</v>
      </c>
      <c r="T47" s="3395">
        <f t="shared" si="13"/>
        <v>0</v>
      </c>
      <c r="U47" s="3392"/>
      <c r="V47" s="3393"/>
      <c r="W47" s="3393"/>
      <c r="X47" s="3393"/>
      <c r="Y47" s="3394"/>
      <c r="Z47" s="3395"/>
      <c r="AA47" s="3392"/>
      <c r="AB47" s="3393"/>
      <c r="AC47" s="3393"/>
      <c r="AD47" s="3393"/>
      <c r="AE47" s="3394"/>
      <c r="AF47" s="3395"/>
      <c r="AG47" s="3027"/>
    </row>
    <row r="48" spans="2:33" ht="13.5" hidden="1" customHeight="1">
      <c r="B48" s="3584"/>
      <c r="C48" s="3572"/>
      <c r="D48" s="3573"/>
      <c r="E48" s="3026"/>
      <c r="F48" s="3025"/>
      <c r="G48" s="3399"/>
      <c r="H48" s="3400"/>
      <c r="I48" s="3400"/>
      <c r="J48" s="3400"/>
      <c r="K48" s="3401"/>
      <c r="L48" s="3402"/>
      <c r="M48" s="3020"/>
      <c r="N48" s="3025"/>
      <c r="O48" s="3403">
        <f t="shared" si="9"/>
        <v>0</v>
      </c>
      <c r="P48" s="3404">
        <f t="shared" si="10"/>
        <v>0</v>
      </c>
      <c r="Q48" s="3404">
        <f t="shared" si="11"/>
        <v>0</v>
      </c>
      <c r="R48" s="3404">
        <f t="shared" si="11"/>
        <v>0</v>
      </c>
      <c r="S48" s="3405">
        <f t="shared" si="12"/>
        <v>0</v>
      </c>
      <c r="T48" s="3402">
        <f t="shared" si="13"/>
        <v>0</v>
      </c>
      <c r="U48" s="3399"/>
      <c r="V48" s="3400"/>
      <c r="W48" s="3400"/>
      <c r="X48" s="3400"/>
      <c r="Y48" s="3401"/>
      <c r="Z48" s="3402"/>
      <c r="AA48" s="3399"/>
      <c r="AB48" s="3400"/>
      <c r="AC48" s="3400"/>
      <c r="AD48" s="3400"/>
      <c r="AE48" s="3401"/>
      <c r="AF48" s="3402"/>
      <c r="AG48" s="3020"/>
    </row>
    <row r="49" spans="2:36" ht="13.5" hidden="1" customHeight="1">
      <c r="B49" s="3584"/>
      <c r="C49" s="3571">
        <v>4</v>
      </c>
      <c r="D49" s="3573" t="s">
        <v>5484</v>
      </c>
      <c r="E49" s="3019" t="s">
        <v>5483</v>
      </c>
      <c r="F49" s="3017"/>
      <c r="G49" s="3406"/>
      <c r="H49" s="3407"/>
      <c r="I49" s="3407"/>
      <c r="J49" s="3407"/>
      <c r="K49" s="3408"/>
      <c r="L49" s="3409"/>
      <c r="M49" s="3013"/>
      <c r="N49" s="3017"/>
      <c r="O49" s="3410">
        <f t="shared" si="9"/>
        <v>0</v>
      </c>
      <c r="P49" s="3411">
        <f t="shared" si="10"/>
        <v>0</v>
      </c>
      <c r="Q49" s="3411">
        <f t="shared" si="11"/>
        <v>0</v>
      </c>
      <c r="R49" s="3411">
        <f t="shared" si="11"/>
        <v>0</v>
      </c>
      <c r="S49" s="3412">
        <f t="shared" si="12"/>
        <v>0</v>
      </c>
      <c r="T49" s="3409">
        <f t="shared" si="13"/>
        <v>0</v>
      </c>
      <c r="U49" s="3406"/>
      <c r="V49" s="3407"/>
      <c r="W49" s="3407"/>
      <c r="X49" s="3407"/>
      <c r="Y49" s="3408"/>
      <c r="Z49" s="3409"/>
      <c r="AA49" s="3406"/>
      <c r="AB49" s="3407"/>
      <c r="AC49" s="3407"/>
      <c r="AD49" s="3407"/>
      <c r="AE49" s="3408"/>
      <c r="AF49" s="3409"/>
      <c r="AG49" s="3013"/>
    </row>
    <row r="50" spans="2:36" ht="13.5" hidden="1" customHeight="1">
      <c r="B50" s="3584"/>
      <c r="C50" s="3572"/>
      <c r="D50" s="3573"/>
      <c r="E50" s="3026"/>
      <c r="F50" s="3025"/>
      <c r="G50" s="3399"/>
      <c r="H50" s="3400"/>
      <c r="I50" s="3400"/>
      <c r="J50" s="3400"/>
      <c r="K50" s="3401"/>
      <c r="L50" s="3402"/>
      <c r="M50" s="3020"/>
      <c r="N50" s="3025"/>
      <c r="O50" s="3403">
        <f t="shared" si="9"/>
        <v>0</v>
      </c>
      <c r="P50" s="3404">
        <f t="shared" si="10"/>
        <v>0</v>
      </c>
      <c r="Q50" s="3404">
        <f t="shared" si="11"/>
        <v>0</v>
      </c>
      <c r="R50" s="3404">
        <f t="shared" si="11"/>
        <v>0</v>
      </c>
      <c r="S50" s="3405">
        <f t="shared" si="12"/>
        <v>0</v>
      </c>
      <c r="T50" s="3402">
        <f t="shared" si="13"/>
        <v>0</v>
      </c>
      <c r="U50" s="3399"/>
      <c r="V50" s="3400"/>
      <c r="W50" s="3400"/>
      <c r="X50" s="3400"/>
      <c r="Y50" s="3401"/>
      <c r="Z50" s="3402"/>
      <c r="AA50" s="3399"/>
      <c r="AB50" s="3400"/>
      <c r="AC50" s="3400"/>
      <c r="AD50" s="3400"/>
      <c r="AE50" s="3401"/>
      <c r="AF50" s="3402"/>
      <c r="AG50" s="3020"/>
    </row>
    <row r="51" spans="2:36" ht="13.5" hidden="1" customHeight="1">
      <c r="B51" s="3584"/>
      <c r="C51" s="3571">
        <v>5</v>
      </c>
      <c r="D51" s="3573" t="s">
        <v>5482</v>
      </c>
      <c r="E51" s="3019" t="s">
        <v>5481</v>
      </c>
      <c r="F51" s="3017"/>
      <c r="G51" s="3406"/>
      <c r="H51" s="3407"/>
      <c r="I51" s="3407"/>
      <c r="J51" s="3407"/>
      <c r="K51" s="3408"/>
      <c r="L51" s="3409"/>
      <c r="M51" s="3013"/>
      <c r="N51" s="3017"/>
      <c r="O51" s="3410">
        <f t="shared" si="9"/>
        <v>0</v>
      </c>
      <c r="P51" s="3411">
        <f t="shared" si="10"/>
        <v>0</v>
      </c>
      <c r="Q51" s="3411">
        <f t="shared" si="11"/>
        <v>0</v>
      </c>
      <c r="R51" s="3411">
        <f t="shared" si="11"/>
        <v>0</v>
      </c>
      <c r="S51" s="3412">
        <f t="shared" si="12"/>
        <v>0</v>
      </c>
      <c r="T51" s="3409">
        <f t="shared" si="13"/>
        <v>0</v>
      </c>
      <c r="U51" s="3406"/>
      <c r="V51" s="3407"/>
      <c r="W51" s="3407"/>
      <c r="X51" s="3407"/>
      <c r="Y51" s="3408"/>
      <c r="Z51" s="3409"/>
      <c r="AA51" s="3406"/>
      <c r="AB51" s="3407"/>
      <c r="AC51" s="3407"/>
      <c r="AD51" s="3407"/>
      <c r="AE51" s="3408"/>
      <c r="AF51" s="3409"/>
      <c r="AG51" s="3013"/>
    </row>
    <row r="52" spans="2:36" ht="13.5" hidden="1" customHeight="1">
      <c r="B52" s="3584"/>
      <c r="C52" s="3572"/>
      <c r="D52" s="3573"/>
      <c r="E52" s="3026"/>
      <c r="F52" s="3025"/>
      <c r="G52" s="3399"/>
      <c r="H52" s="3400"/>
      <c r="I52" s="3400"/>
      <c r="J52" s="3400"/>
      <c r="K52" s="3401"/>
      <c r="L52" s="3402"/>
      <c r="M52" s="3020"/>
      <c r="N52" s="3025"/>
      <c r="O52" s="3403">
        <f t="shared" si="9"/>
        <v>0</v>
      </c>
      <c r="P52" s="3404">
        <f t="shared" si="10"/>
        <v>0</v>
      </c>
      <c r="Q52" s="3404">
        <f t="shared" si="11"/>
        <v>0</v>
      </c>
      <c r="R52" s="3404">
        <f t="shared" si="11"/>
        <v>0</v>
      </c>
      <c r="S52" s="3405">
        <f t="shared" si="12"/>
        <v>0</v>
      </c>
      <c r="T52" s="3402">
        <f t="shared" si="13"/>
        <v>0</v>
      </c>
      <c r="U52" s="3399"/>
      <c r="V52" s="3400"/>
      <c r="W52" s="3400"/>
      <c r="X52" s="3400"/>
      <c r="Y52" s="3401"/>
      <c r="Z52" s="3402"/>
      <c r="AA52" s="3399"/>
      <c r="AB52" s="3400"/>
      <c r="AC52" s="3400"/>
      <c r="AD52" s="3400"/>
      <c r="AE52" s="3401"/>
      <c r="AF52" s="3402"/>
      <c r="AG52" s="3020"/>
    </row>
    <row r="53" spans="2:36" ht="13.5" hidden="1" customHeight="1">
      <c r="B53" s="3584"/>
      <c r="C53" s="3571">
        <v>6</v>
      </c>
      <c r="D53" s="3573" t="s">
        <v>5480</v>
      </c>
      <c r="E53" s="3019" t="s">
        <v>5456</v>
      </c>
      <c r="F53" s="3017"/>
      <c r="G53" s="3406"/>
      <c r="H53" s="3407"/>
      <c r="I53" s="3407"/>
      <c r="J53" s="3407"/>
      <c r="K53" s="3408"/>
      <c r="L53" s="3409"/>
      <c r="M53" s="3013"/>
      <c r="N53" s="3017"/>
      <c r="O53" s="3410">
        <f t="shared" si="9"/>
        <v>0</v>
      </c>
      <c r="P53" s="3411">
        <f t="shared" si="10"/>
        <v>0</v>
      </c>
      <c r="Q53" s="3411">
        <f t="shared" si="11"/>
        <v>0</v>
      </c>
      <c r="R53" s="3411">
        <f t="shared" si="11"/>
        <v>0</v>
      </c>
      <c r="S53" s="3412">
        <f t="shared" si="12"/>
        <v>0</v>
      </c>
      <c r="T53" s="3409">
        <f t="shared" si="13"/>
        <v>0</v>
      </c>
      <c r="U53" s="3406"/>
      <c r="V53" s="3407"/>
      <c r="W53" s="3407"/>
      <c r="X53" s="3407"/>
      <c r="Y53" s="3408"/>
      <c r="Z53" s="3409"/>
      <c r="AA53" s="3406"/>
      <c r="AB53" s="3407"/>
      <c r="AC53" s="3407"/>
      <c r="AD53" s="3407"/>
      <c r="AE53" s="3408"/>
      <c r="AF53" s="3409"/>
      <c r="AG53" s="3013"/>
    </row>
    <row r="54" spans="2:36" ht="13.5" hidden="1" customHeight="1">
      <c r="B54" s="3584"/>
      <c r="C54" s="3572"/>
      <c r="D54" s="3573"/>
      <c r="E54" s="3033"/>
      <c r="F54" s="3032"/>
      <c r="G54" s="3392"/>
      <c r="H54" s="3393"/>
      <c r="I54" s="3393"/>
      <c r="J54" s="3393"/>
      <c r="K54" s="3394"/>
      <c r="L54" s="3395"/>
      <c r="M54" s="3027"/>
      <c r="N54" s="3032"/>
      <c r="O54" s="3396">
        <f t="shared" si="9"/>
        <v>0</v>
      </c>
      <c r="P54" s="3397">
        <f t="shared" si="10"/>
        <v>0</v>
      </c>
      <c r="Q54" s="3397">
        <f t="shared" si="11"/>
        <v>0</v>
      </c>
      <c r="R54" s="3397">
        <f t="shared" si="11"/>
        <v>0</v>
      </c>
      <c r="S54" s="3398">
        <f t="shared" si="12"/>
        <v>0</v>
      </c>
      <c r="T54" s="3395">
        <f t="shared" si="13"/>
        <v>0</v>
      </c>
      <c r="U54" s="3392"/>
      <c r="V54" s="3393"/>
      <c r="W54" s="3393"/>
      <c r="X54" s="3393"/>
      <c r="Y54" s="3394"/>
      <c r="Z54" s="3395"/>
      <c r="AA54" s="3392"/>
      <c r="AB54" s="3393"/>
      <c r="AC54" s="3393"/>
      <c r="AD54" s="3393"/>
      <c r="AE54" s="3394"/>
      <c r="AF54" s="3395"/>
      <c r="AG54" s="3027"/>
    </row>
    <row r="55" spans="2:36" ht="13.5" customHeight="1">
      <c r="B55" s="3584"/>
      <c r="C55" s="3574">
        <v>7</v>
      </c>
      <c r="D55" s="3579" t="s">
        <v>5927</v>
      </c>
      <c r="E55" s="3012" t="s">
        <v>5478</v>
      </c>
      <c r="F55" s="3011"/>
      <c r="G55" s="3346">
        <f>+基礎数値!$D11</f>
        <v>0</v>
      </c>
      <c r="H55" s="3347">
        <f>+基礎数値!$E11</f>
        <v>1120996</v>
      </c>
      <c r="I55" s="3347">
        <f>+基礎数値!$F11</f>
        <v>25903142</v>
      </c>
      <c r="J55" s="3347">
        <f>+基礎数値!$G11</f>
        <v>500878</v>
      </c>
      <c r="K55" s="3348">
        <f>+基礎数値!$H11</f>
        <v>9106828850</v>
      </c>
      <c r="L55" s="3349">
        <f>+SUM(G55:K55)</f>
        <v>9134353866</v>
      </c>
      <c r="M55" s="2990"/>
      <c r="N55" s="3011"/>
      <c r="O55" s="3350">
        <f t="shared" si="9"/>
        <v>0</v>
      </c>
      <c r="P55" s="3351">
        <f t="shared" si="10"/>
        <v>1120996</v>
      </c>
      <c r="Q55" s="3351">
        <f t="shared" si="11"/>
        <v>25903142</v>
      </c>
      <c r="R55" s="3351">
        <f t="shared" si="11"/>
        <v>500878</v>
      </c>
      <c r="S55" s="3352">
        <f t="shared" si="12"/>
        <v>9106828850</v>
      </c>
      <c r="T55" s="3349">
        <f t="shared" si="13"/>
        <v>9134353866</v>
      </c>
      <c r="U55" s="3346">
        <f>+基礎数値!$D11</f>
        <v>0</v>
      </c>
      <c r="V55" s="3347">
        <f>+基礎数値!$E11</f>
        <v>1120996</v>
      </c>
      <c r="W55" s="3347">
        <f>+基礎数値!$F11</f>
        <v>25903142</v>
      </c>
      <c r="X55" s="3347">
        <f>+基礎数値!$G11</f>
        <v>500878</v>
      </c>
      <c r="Y55" s="3348">
        <f>+基礎数値!$H11</f>
        <v>9106828850</v>
      </c>
      <c r="Z55" s="3349">
        <f>+SUM(U55:Y55)</f>
        <v>9134353866</v>
      </c>
      <c r="AA55" s="3350"/>
      <c r="AB55" s="3351"/>
      <c r="AC55" s="3351"/>
      <c r="AD55" s="3351"/>
      <c r="AE55" s="3352"/>
      <c r="AF55" s="3349">
        <f>+SUM(AA55:AE55)</f>
        <v>0</v>
      </c>
      <c r="AG55" s="2990"/>
    </row>
    <row r="56" spans="2:36" ht="13.5" customHeight="1">
      <c r="B56" s="3584"/>
      <c r="C56" s="3574"/>
      <c r="D56" s="3579"/>
      <c r="E56" s="3010" t="s">
        <v>5477</v>
      </c>
      <c r="F56" s="2982"/>
      <c r="G56" s="3353">
        <f>+基礎数値!$D12</f>
        <v>0</v>
      </c>
      <c r="H56" s="3354">
        <f>+基礎数値!$E12</f>
        <v>0</v>
      </c>
      <c r="I56" s="3354">
        <f>+基礎数値!$F12</f>
        <v>125712</v>
      </c>
      <c r="J56" s="3354">
        <f>+基礎数値!$G12</f>
        <v>36840</v>
      </c>
      <c r="K56" s="3355">
        <f>+基礎数値!$H12</f>
        <v>16278736624</v>
      </c>
      <c r="L56" s="3356">
        <f>+SUM(G56:K56)</f>
        <v>16278899176</v>
      </c>
      <c r="M56" s="2995"/>
      <c r="N56" s="2982"/>
      <c r="O56" s="3359">
        <f t="shared" si="9"/>
        <v>0</v>
      </c>
      <c r="P56" s="3360">
        <f t="shared" si="10"/>
        <v>0</v>
      </c>
      <c r="Q56" s="3360">
        <f t="shared" si="11"/>
        <v>125712</v>
      </c>
      <c r="R56" s="3360">
        <f t="shared" si="11"/>
        <v>36840</v>
      </c>
      <c r="S56" s="3361">
        <f t="shared" si="12"/>
        <v>16278736624</v>
      </c>
      <c r="T56" s="3356">
        <f t="shared" si="13"/>
        <v>16278899176</v>
      </c>
      <c r="U56" s="3359"/>
      <c r="V56" s="3360"/>
      <c r="W56" s="3360"/>
      <c r="X56" s="3360"/>
      <c r="Y56" s="3361"/>
      <c r="Z56" s="3356">
        <f>+SUM(U56:Y56)</f>
        <v>0</v>
      </c>
      <c r="AA56" s="3353">
        <f>+基礎数値!$D12</f>
        <v>0</v>
      </c>
      <c r="AB56" s="3354">
        <f>+基礎数値!$E12</f>
        <v>0</v>
      </c>
      <c r="AC56" s="3354">
        <f>+基礎数値!$F12</f>
        <v>125712</v>
      </c>
      <c r="AD56" s="3354">
        <f>+基礎数値!$G12</f>
        <v>36840</v>
      </c>
      <c r="AE56" s="3355">
        <f>+基礎数値!$H12</f>
        <v>16278736624</v>
      </c>
      <c r="AF56" s="3356">
        <f>+SUM(AA56:AE56)</f>
        <v>16278899176</v>
      </c>
      <c r="AG56" s="2995"/>
    </row>
    <row r="57" spans="2:36" ht="13.5" customHeight="1">
      <c r="B57" s="3584"/>
      <c r="C57" s="3574"/>
      <c r="D57" s="3579"/>
      <c r="E57" s="3010" t="s">
        <v>5926</v>
      </c>
      <c r="F57" s="2982" t="s">
        <v>5925</v>
      </c>
      <c r="G57" s="3362">
        <f>SUM(G55:G56)</f>
        <v>0</v>
      </c>
      <c r="H57" s="3363">
        <f>SUM(H55:H56)</f>
        <v>1120996</v>
      </c>
      <c r="I57" s="3363">
        <f>SUM(I55:I56)</f>
        <v>26028854</v>
      </c>
      <c r="J57" s="3363">
        <f>SUM(J55:J56)</f>
        <v>537718</v>
      </c>
      <c r="K57" s="3364">
        <f>SUM(K55:K56)</f>
        <v>25385565474</v>
      </c>
      <c r="L57" s="3356">
        <f>+SUM(G57:K57)</f>
        <v>25413253042</v>
      </c>
      <c r="M57" s="2995"/>
      <c r="N57" s="2982" t="s">
        <v>5925</v>
      </c>
      <c r="O57" s="3359">
        <f t="shared" si="9"/>
        <v>0</v>
      </c>
      <c r="P57" s="3360">
        <f t="shared" si="10"/>
        <v>1120996</v>
      </c>
      <c r="Q57" s="3360">
        <f t="shared" si="11"/>
        <v>26028854</v>
      </c>
      <c r="R57" s="3360">
        <f t="shared" si="11"/>
        <v>537718</v>
      </c>
      <c r="S57" s="3361">
        <f t="shared" si="12"/>
        <v>25385565474</v>
      </c>
      <c r="T57" s="3356">
        <f t="shared" si="13"/>
        <v>25413253042</v>
      </c>
      <c r="U57" s="3362">
        <f>SUM(U55:U56)</f>
        <v>0</v>
      </c>
      <c r="V57" s="3363">
        <f>SUM(V55:V56)</f>
        <v>1120996</v>
      </c>
      <c r="W57" s="3363">
        <f>SUM(W55:W56)</f>
        <v>25903142</v>
      </c>
      <c r="X57" s="3363">
        <f>SUM(X55:X56)</f>
        <v>500878</v>
      </c>
      <c r="Y57" s="3364">
        <f>SUM(Y55:Y56)</f>
        <v>9106828850</v>
      </c>
      <c r="Z57" s="3356">
        <f>+SUM(U57:Y57)</f>
        <v>9134353866</v>
      </c>
      <c r="AA57" s="3362">
        <f>SUM(AA55:AA56)</f>
        <v>0</v>
      </c>
      <c r="AB57" s="3363">
        <f>SUM(AB55:AB56)</f>
        <v>0</v>
      </c>
      <c r="AC57" s="3363">
        <f>SUM(AC55:AC56)</f>
        <v>125712</v>
      </c>
      <c r="AD57" s="3363">
        <f>SUM(AD55:AD56)</f>
        <v>36840</v>
      </c>
      <c r="AE57" s="3364">
        <f>SUM(AE55:AE56)</f>
        <v>16278736624</v>
      </c>
      <c r="AF57" s="3356">
        <f>+SUM(AA57:AE57)</f>
        <v>16278899176</v>
      </c>
      <c r="AG57" s="2995"/>
    </row>
    <row r="58" spans="2:36" ht="13.5" customHeight="1">
      <c r="B58" s="3584"/>
      <c r="C58" s="3574"/>
      <c r="D58" s="3579"/>
      <c r="E58" s="3010" t="s">
        <v>5474</v>
      </c>
      <c r="F58" s="2982"/>
      <c r="G58" s="3362"/>
      <c r="H58" s="3363"/>
      <c r="I58" s="3363"/>
      <c r="J58" s="3363"/>
      <c r="K58" s="3364"/>
      <c r="L58" s="3356"/>
      <c r="M58" s="2995"/>
      <c r="N58" s="2982"/>
      <c r="O58" s="3359"/>
      <c r="P58" s="3360"/>
      <c r="Q58" s="3360"/>
      <c r="R58" s="3360"/>
      <c r="S58" s="3361"/>
      <c r="T58" s="3356"/>
      <c r="U58" s="3362"/>
      <c r="V58" s="3363"/>
      <c r="W58" s="3363"/>
      <c r="X58" s="3363"/>
      <c r="Y58" s="3364"/>
      <c r="Z58" s="3356"/>
      <c r="AA58" s="3362"/>
      <c r="AB58" s="3363"/>
      <c r="AC58" s="3363"/>
      <c r="AD58" s="3363"/>
      <c r="AE58" s="3364"/>
      <c r="AF58" s="3356"/>
      <c r="AG58" s="2995"/>
    </row>
    <row r="59" spans="2:36" s="3329" customFormat="1" ht="13.5" customHeight="1">
      <c r="B59" s="3584"/>
      <c r="C59" s="3574"/>
      <c r="D59" s="3579"/>
      <c r="E59" s="3330" t="s">
        <v>6241</v>
      </c>
      <c r="F59" s="3331"/>
      <c r="G59" s="3413"/>
      <c r="H59" s="3414"/>
      <c r="I59" s="3414"/>
      <c r="J59" s="3414"/>
      <c r="K59" s="3415">
        <f>基礎数値!H16</f>
        <v>34600</v>
      </c>
      <c r="L59" s="3416">
        <f t="shared" ref="L59" si="14">+SUM(G59:K59)</f>
        <v>34600</v>
      </c>
      <c r="M59" s="3332"/>
      <c r="N59" s="3331"/>
      <c r="O59" s="3413"/>
      <c r="P59" s="3414"/>
      <c r="Q59" s="3414"/>
      <c r="R59" s="3414"/>
      <c r="S59" s="3415">
        <f>+Y59+AE59</f>
        <v>34600</v>
      </c>
      <c r="T59" s="3416">
        <f t="shared" si="13"/>
        <v>34600</v>
      </c>
      <c r="U59" s="3413"/>
      <c r="V59" s="3414"/>
      <c r="W59" s="3414"/>
      <c r="X59" s="3414"/>
      <c r="Y59" s="3415">
        <f>基礎数値!H16</f>
        <v>34600</v>
      </c>
      <c r="Z59" s="3356">
        <f t="shared" ref="Z59" si="15">+SUM(U59:Y59)</f>
        <v>34600</v>
      </c>
      <c r="AA59" s="3413"/>
      <c r="AB59" s="3414"/>
      <c r="AC59" s="3414"/>
      <c r="AD59" s="3414"/>
      <c r="AE59" s="3415"/>
      <c r="AF59" s="3416">
        <f t="shared" ref="AF59:AF63" si="16">+SUM(AA59:AE59)</f>
        <v>0</v>
      </c>
      <c r="AG59" s="3332"/>
      <c r="AJ59" s="3333"/>
    </row>
    <row r="60" spans="2:36" s="3329" customFormat="1" ht="13.5" customHeight="1">
      <c r="B60" s="3584"/>
      <c r="C60" s="3574"/>
      <c r="D60" s="3579"/>
      <c r="E60" s="3330" t="s">
        <v>6242</v>
      </c>
      <c r="F60" s="3331"/>
      <c r="G60" s="3413"/>
      <c r="H60" s="3414"/>
      <c r="I60" s="3414"/>
      <c r="J60" s="3414"/>
      <c r="K60" s="3415">
        <f>ROUNDDOWN(K59*0.2*K$1/(1+K$7),0)</f>
        <v>490</v>
      </c>
      <c r="L60" s="3416">
        <f>+SUM(G60:K60)</f>
        <v>490</v>
      </c>
      <c r="M60" s="3332"/>
      <c r="N60" s="3331"/>
      <c r="O60" s="3413"/>
      <c r="P60" s="3414"/>
      <c r="Q60" s="3414"/>
      <c r="R60" s="3414"/>
      <c r="S60" s="3415">
        <f t="shared" ref="S60:S80" si="17">+Y60+AE60</f>
        <v>629</v>
      </c>
      <c r="T60" s="3416">
        <f t="shared" si="13"/>
        <v>629</v>
      </c>
      <c r="U60" s="3413"/>
      <c r="V60" s="3414"/>
      <c r="W60" s="3414"/>
      <c r="X60" s="3414"/>
      <c r="Y60" s="3415">
        <f>ROUNDDOWN(Y59*0.2*Y$7/(1+Y$7),0)</f>
        <v>629</v>
      </c>
      <c r="Z60" s="3356">
        <f t="shared" ref="Z60:Z63" si="18">+SUM(U60:Y60)</f>
        <v>629</v>
      </c>
      <c r="AA60" s="3413"/>
      <c r="AB60" s="3414"/>
      <c r="AC60" s="3414"/>
      <c r="AD60" s="3414"/>
      <c r="AE60" s="3415"/>
      <c r="AF60" s="3416">
        <f t="shared" si="16"/>
        <v>0</v>
      </c>
      <c r="AG60" s="3332"/>
      <c r="AJ60" s="3333"/>
    </row>
    <row r="61" spans="2:36" s="3329" customFormat="1" ht="13.5" customHeight="1">
      <c r="B61" s="3584"/>
      <c r="C61" s="3574"/>
      <c r="D61" s="3579"/>
      <c r="E61" s="3330" t="s">
        <v>6248</v>
      </c>
      <c r="F61" s="3331"/>
      <c r="G61" s="3413"/>
      <c r="H61" s="3414"/>
      <c r="I61" s="3414"/>
      <c r="J61" s="3414"/>
      <c r="K61" s="3415">
        <f>ROUNDDOWN(K59*K$1/(1+K$7),0)-K60</f>
        <v>1963</v>
      </c>
      <c r="L61" s="3416">
        <f t="shared" ref="L61:L63" si="19">+SUM(G61:K61)</f>
        <v>1963</v>
      </c>
      <c r="M61" s="3332"/>
      <c r="N61" s="3331"/>
      <c r="O61" s="3413"/>
      <c r="P61" s="3414"/>
      <c r="Q61" s="3414"/>
      <c r="R61" s="3414"/>
      <c r="S61" s="3415">
        <f t="shared" si="17"/>
        <v>2516</v>
      </c>
      <c r="T61" s="3416">
        <f t="shared" si="13"/>
        <v>2516</v>
      </c>
      <c r="U61" s="3413"/>
      <c r="V61" s="3414"/>
      <c r="W61" s="3414"/>
      <c r="X61" s="3414"/>
      <c r="Y61" s="3415">
        <f>ROUNDDOWN(Y59*Y$7/(1+Y$7),0)-Y60</f>
        <v>2516</v>
      </c>
      <c r="Z61" s="3356">
        <f t="shared" si="18"/>
        <v>2516</v>
      </c>
      <c r="AA61" s="3413"/>
      <c r="AB61" s="3414"/>
      <c r="AC61" s="3414"/>
      <c r="AD61" s="3414"/>
      <c r="AE61" s="3415"/>
      <c r="AF61" s="3416">
        <f t="shared" si="16"/>
        <v>0</v>
      </c>
      <c r="AG61" s="3332"/>
      <c r="AJ61" s="3333"/>
    </row>
    <row r="62" spans="2:36" s="3329" customFormat="1" ht="13.5" customHeight="1">
      <c r="B62" s="3584"/>
      <c r="C62" s="3574"/>
      <c r="D62" s="3579"/>
      <c r="E62" s="3330" t="s">
        <v>6249</v>
      </c>
      <c r="F62" s="3331"/>
      <c r="G62" s="3413"/>
      <c r="H62" s="3414"/>
      <c r="I62" s="3414"/>
      <c r="J62" s="3414"/>
      <c r="K62" s="3415">
        <f>K66-K59</f>
        <v>25374891131</v>
      </c>
      <c r="L62" s="3416">
        <f t="shared" si="19"/>
        <v>25374891131</v>
      </c>
      <c r="M62" s="3332"/>
      <c r="N62" s="3331"/>
      <c r="O62" s="3413"/>
      <c r="P62" s="3414"/>
      <c r="Q62" s="3414"/>
      <c r="R62" s="3414"/>
      <c r="S62" s="3415">
        <f t="shared" si="17"/>
        <v>25374891131</v>
      </c>
      <c r="T62" s="3416">
        <f t="shared" ref="T62:T63" si="20">+Z62+AF62</f>
        <v>25374891131</v>
      </c>
      <c r="U62" s="3413"/>
      <c r="V62" s="3414"/>
      <c r="W62" s="3414"/>
      <c r="X62" s="3414"/>
      <c r="Y62" s="3415">
        <f>Y66-Y59</f>
        <v>9096154507</v>
      </c>
      <c r="Z62" s="3356">
        <f t="shared" si="18"/>
        <v>9096154507</v>
      </c>
      <c r="AA62" s="3413"/>
      <c r="AB62" s="3414"/>
      <c r="AC62" s="3414"/>
      <c r="AD62" s="3414"/>
      <c r="AE62" s="3415">
        <f>AE66-AE59</f>
        <v>16278736624</v>
      </c>
      <c r="AF62" s="3416">
        <f t="shared" si="16"/>
        <v>16278736624</v>
      </c>
      <c r="AG62" s="3332"/>
      <c r="AJ62" s="3333"/>
    </row>
    <row r="63" spans="2:36" s="3329" customFormat="1" ht="13.5" customHeight="1">
      <c r="B63" s="3584"/>
      <c r="C63" s="3574"/>
      <c r="D63" s="3579"/>
      <c r="E63" s="3330" t="s">
        <v>6250</v>
      </c>
      <c r="F63" s="3331"/>
      <c r="G63" s="3413"/>
      <c r="H63" s="3414"/>
      <c r="I63" s="3414"/>
      <c r="J63" s="3414"/>
      <c r="K63" s="3415">
        <f>K67-K61</f>
        <v>1799310462</v>
      </c>
      <c r="L63" s="3416">
        <f t="shared" si="19"/>
        <v>1799310462</v>
      </c>
      <c r="M63" s="3332"/>
      <c r="N63" s="3331"/>
      <c r="O63" s="3413"/>
      <c r="P63" s="3414"/>
      <c r="Q63" s="3414"/>
      <c r="R63" s="3414"/>
      <c r="S63" s="3415">
        <f t="shared" si="17"/>
        <v>2306808284</v>
      </c>
      <c r="T63" s="3416">
        <f t="shared" si="20"/>
        <v>2306808284</v>
      </c>
      <c r="U63" s="3413"/>
      <c r="V63" s="3414"/>
      <c r="W63" s="3414"/>
      <c r="X63" s="3414"/>
      <c r="Y63" s="3415">
        <f>Y67-Y61</f>
        <v>826923137</v>
      </c>
      <c r="Z63" s="3356">
        <f t="shared" si="18"/>
        <v>826923137</v>
      </c>
      <c r="AA63" s="3413"/>
      <c r="AB63" s="3414"/>
      <c r="AC63" s="3414"/>
      <c r="AD63" s="3414"/>
      <c r="AE63" s="3415">
        <f>AE67-AE61</f>
        <v>1479885147</v>
      </c>
      <c r="AF63" s="3416">
        <f t="shared" si="16"/>
        <v>1479885147</v>
      </c>
      <c r="AG63" s="3332"/>
      <c r="AJ63" s="3333"/>
    </row>
    <row r="64" spans="2:36" ht="13.5" customHeight="1">
      <c r="B64" s="3584"/>
      <c r="C64" s="3574"/>
      <c r="D64" s="3579"/>
      <c r="E64" s="2996" t="s">
        <v>5924</v>
      </c>
      <c r="F64" s="2982" t="s">
        <v>5923</v>
      </c>
      <c r="G64" s="3353">
        <f>+基礎数値!$D14</f>
        <v>0</v>
      </c>
      <c r="H64" s="3354">
        <f>+基礎数値!$E14</f>
        <v>1120996</v>
      </c>
      <c r="I64" s="3354">
        <f>+基礎数値!$F14</f>
        <v>24706340</v>
      </c>
      <c r="J64" s="3354">
        <f>+基礎数値!$G14</f>
        <v>0</v>
      </c>
      <c r="K64" s="3355">
        <f>+基礎数値!$H14</f>
        <v>10639743</v>
      </c>
      <c r="L64" s="3356">
        <f>+SUM(G64:K64)</f>
        <v>36467079</v>
      </c>
      <c r="M64" s="2995"/>
      <c r="N64" s="2982" t="s">
        <v>5923</v>
      </c>
      <c r="O64" s="3359">
        <f t="shared" ref="O64:O84" si="21">+U64+AA64</f>
        <v>0</v>
      </c>
      <c r="P64" s="3360">
        <f t="shared" ref="P64:P84" si="22">+V64+AB64</f>
        <v>1120996</v>
      </c>
      <c r="Q64" s="3360">
        <f t="shared" ref="Q64:R84" si="23">+W64+AC64</f>
        <v>24706340</v>
      </c>
      <c r="R64" s="3360">
        <f t="shared" si="23"/>
        <v>0</v>
      </c>
      <c r="S64" s="3361">
        <f t="shared" si="17"/>
        <v>10639743</v>
      </c>
      <c r="T64" s="3356">
        <f t="shared" ref="T64:T80" si="24">+Z64+AF64</f>
        <v>36467079</v>
      </c>
      <c r="U64" s="3353">
        <f>+基礎数値!$D14</f>
        <v>0</v>
      </c>
      <c r="V64" s="3354">
        <f>+基礎数値!$E14</f>
        <v>1120996</v>
      </c>
      <c r="W64" s="3354">
        <f>+基礎数値!$F14</f>
        <v>24706340</v>
      </c>
      <c r="X64" s="3354">
        <f>+基礎数値!$G14</f>
        <v>0</v>
      </c>
      <c r="Y64" s="3355">
        <f>+基礎数値!$H14</f>
        <v>10639743</v>
      </c>
      <c r="Z64" s="3356">
        <f>+SUM(U64:Y64)</f>
        <v>36467079</v>
      </c>
      <c r="AA64" s="3359"/>
      <c r="AB64" s="3360"/>
      <c r="AC64" s="3360"/>
      <c r="AD64" s="3360"/>
      <c r="AE64" s="3361"/>
      <c r="AF64" s="3356">
        <f>+SUM(AA64:AE64)</f>
        <v>0</v>
      </c>
      <c r="AG64" s="2995"/>
    </row>
    <row r="65" spans="2:33" ht="13.5" customHeight="1">
      <c r="B65" s="3584"/>
      <c r="C65" s="3574"/>
      <c r="D65" s="3579"/>
      <c r="E65" s="2996" t="s">
        <v>5922</v>
      </c>
      <c r="F65" s="2982" t="s">
        <v>5921</v>
      </c>
      <c r="G65" s="3353">
        <f>+基礎数値!$D15</f>
        <v>0</v>
      </c>
      <c r="H65" s="3354">
        <f>+基礎数値!$E15</f>
        <v>0</v>
      </c>
      <c r="I65" s="3354">
        <f>+基礎数値!$F15</f>
        <v>0</v>
      </c>
      <c r="J65" s="3354">
        <f>+基礎数値!$G15</f>
        <v>0</v>
      </c>
      <c r="K65" s="3355">
        <f>+基礎数値!$H15</f>
        <v>0</v>
      </c>
      <c r="L65" s="3356">
        <f>+SUM(G65:K65)</f>
        <v>0</v>
      </c>
      <c r="M65" s="2995"/>
      <c r="N65" s="2982" t="s">
        <v>5921</v>
      </c>
      <c r="O65" s="3359">
        <f t="shared" si="21"/>
        <v>0</v>
      </c>
      <c r="P65" s="3360">
        <f t="shared" si="22"/>
        <v>0</v>
      </c>
      <c r="Q65" s="3360">
        <f t="shared" si="23"/>
        <v>0</v>
      </c>
      <c r="R65" s="3360">
        <f t="shared" si="23"/>
        <v>0</v>
      </c>
      <c r="S65" s="3361">
        <f t="shared" si="17"/>
        <v>0</v>
      </c>
      <c r="T65" s="3356">
        <f t="shared" si="24"/>
        <v>0</v>
      </c>
      <c r="U65" s="3353">
        <f>+基礎数値!$D15</f>
        <v>0</v>
      </c>
      <c r="V65" s="3354">
        <f>+基礎数値!$E15</f>
        <v>0</v>
      </c>
      <c r="W65" s="3354">
        <f>+基礎数値!$F15</f>
        <v>0</v>
      </c>
      <c r="X65" s="3354">
        <f>+基礎数値!$G15</f>
        <v>0</v>
      </c>
      <c r="Y65" s="3355">
        <f>+基礎数値!$H15</f>
        <v>0</v>
      </c>
      <c r="Z65" s="3356">
        <f>+SUM(U65:Y65)</f>
        <v>0</v>
      </c>
      <c r="AA65" s="3359"/>
      <c r="AB65" s="3360"/>
      <c r="AC65" s="3360"/>
      <c r="AD65" s="3360"/>
      <c r="AE65" s="3361"/>
      <c r="AF65" s="3356">
        <f>+SUM(AA65:AE65)</f>
        <v>0</v>
      </c>
      <c r="AG65" s="2995"/>
    </row>
    <row r="66" spans="2:33" ht="13.5" customHeight="1">
      <c r="B66" s="3584"/>
      <c r="C66" s="3574"/>
      <c r="D66" s="3579"/>
      <c r="E66" s="3010" t="s">
        <v>5468</v>
      </c>
      <c r="F66" s="3009" t="s">
        <v>5920</v>
      </c>
      <c r="G66" s="3362">
        <f>+G57-G64-G65</f>
        <v>0</v>
      </c>
      <c r="H66" s="3363">
        <f>+H57-H64-H65</f>
        <v>0</v>
      </c>
      <c r="I66" s="3363">
        <f>+I57-I64-I65</f>
        <v>1322514</v>
      </c>
      <c r="J66" s="3363">
        <f>+J57-J64-J65</f>
        <v>537718</v>
      </c>
      <c r="K66" s="3364">
        <f>+K57-K64-K65</f>
        <v>25374925731</v>
      </c>
      <c r="L66" s="3356">
        <f>+SUM(G66:K66)</f>
        <v>25376785963</v>
      </c>
      <c r="M66" s="2995" t="s">
        <v>5466</v>
      </c>
      <c r="N66" s="3009" t="s">
        <v>5920</v>
      </c>
      <c r="O66" s="3359">
        <f t="shared" si="21"/>
        <v>0</v>
      </c>
      <c r="P66" s="3360">
        <f t="shared" si="22"/>
        <v>0</v>
      </c>
      <c r="Q66" s="3360">
        <f t="shared" si="23"/>
        <v>1322514</v>
      </c>
      <c r="R66" s="3360">
        <f t="shared" si="23"/>
        <v>537718</v>
      </c>
      <c r="S66" s="3361">
        <f t="shared" si="17"/>
        <v>25374925731</v>
      </c>
      <c r="T66" s="3356">
        <f t="shared" si="24"/>
        <v>25376785963</v>
      </c>
      <c r="U66" s="3362">
        <f>+U57-U64-U65</f>
        <v>0</v>
      </c>
      <c r="V66" s="3363">
        <f>+V57-V64-V65</f>
        <v>0</v>
      </c>
      <c r="W66" s="3363">
        <f>+W57-W64-W65</f>
        <v>1196802</v>
      </c>
      <c r="X66" s="3363">
        <f>+X57-X64-X65</f>
        <v>500878</v>
      </c>
      <c r="Y66" s="3364">
        <f>+Y57-Y64-Y65</f>
        <v>9096189107</v>
      </c>
      <c r="Z66" s="3356">
        <f>+SUM(U66:Y66)</f>
        <v>9097886787</v>
      </c>
      <c r="AA66" s="3362">
        <f>+AA57-AA64-AA65</f>
        <v>0</v>
      </c>
      <c r="AB66" s="3363">
        <f>+AB57-AB64-AB65</f>
        <v>0</v>
      </c>
      <c r="AC66" s="3363">
        <f>+AC57-AC64-AC65</f>
        <v>125712</v>
      </c>
      <c r="AD66" s="3363">
        <f>+AD57-AD64-AD65</f>
        <v>36840</v>
      </c>
      <c r="AE66" s="3364">
        <f>+AE57-AE64-AE65</f>
        <v>16278736624</v>
      </c>
      <c r="AF66" s="3356">
        <f>+SUM(AA66:AE66)</f>
        <v>16278899176</v>
      </c>
      <c r="AG66" s="2995"/>
    </row>
    <row r="67" spans="2:33" ht="21" customHeight="1">
      <c r="B67" s="3584"/>
      <c r="C67" s="3574"/>
      <c r="D67" s="3579"/>
      <c r="E67" s="3035" t="s">
        <v>5465</v>
      </c>
      <c r="F67" s="2978" t="s">
        <v>5919</v>
      </c>
      <c r="G67" s="3365">
        <f>ROUNDDOWN((G57-G64)*G$1/(1+G$7),0)-ROUNDDOWN(G65*G$1/(1+G$7),0)</f>
        <v>0</v>
      </c>
      <c r="H67" s="3366">
        <f>ROUNDDOWN((H57-H64)*H$1/(1+H$7),0)-ROUNDDOWN(H65*H$1/(1+H$7),0)</f>
        <v>0</v>
      </c>
      <c r="I67" s="3366">
        <f>ROUNDDOWN((I57-I64)*I$1/(1+I$7),0)-ROUNDDOWN(I65*I$1/(1+I$7),0)</f>
        <v>77146</v>
      </c>
      <c r="J67" s="3366">
        <f>ROUNDDOWN((J57-J64)*J$1/(1+J$7),0)-ROUNDDOWN(J65*J$1/(1+J$7),0)</f>
        <v>31068</v>
      </c>
      <c r="K67" s="3367">
        <f>ROUNDDOWN((K57-K64)*K$1/(1+K$7),0)-ROUNDDOWN(K65*K$1/(1+K$7),0)-K60</f>
        <v>1799312425</v>
      </c>
      <c r="L67" s="3368">
        <f>+SUM(G67:K67)</f>
        <v>1799420639</v>
      </c>
      <c r="M67" s="2993" t="s">
        <v>5636</v>
      </c>
      <c r="N67" s="3034" t="s">
        <v>5918</v>
      </c>
      <c r="O67" s="3370">
        <f t="shared" si="21"/>
        <v>0</v>
      </c>
      <c r="P67" s="3371">
        <f t="shared" si="22"/>
        <v>0</v>
      </c>
      <c r="Q67" s="3371">
        <f t="shared" si="23"/>
        <v>97964</v>
      </c>
      <c r="R67" s="3371">
        <f t="shared" si="23"/>
        <v>39830</v>
      </c>
      <c r="S67" s="3372">
        <f t="shared" si="17"/>
        <v>2306810800</v>
      </c>
      <c r="T67" s="3417">
        <f t="shared" si="24"/>
        <v>2306948594</v>
      </c>
      <c r="U67" s="3365">
        <f t="shared" ref="U67:V67" si="25">ROUNDDOWN((U57-U64)*U$7/(1+U$7),0)-ROUNDDOWN(U65*U$7/(1+U$7),0)+U130</f>
        <v>0</v>
      </c>
      <c r="V67" s="3418">
        <f t="shared" si="25"/>
        <v>0</v>
      </c>
      <c r="W67" s="3418">
        <f>ROUNDDOWN((W57-W64)*W$7/(1+W$7),0)-ROUNDDOWN(W65*W$7/(1+W$7),0)+W130</f>
        <v>88652</v>
      </c>
      <c r="X67" s="3418">
        <f>ROUNDDOWN((X57-X64)*X$7/(1+X$7),0)-ROUNDDOWN(X65*X$7/(1+X$7),0)+X130</f>
        <v>37102</v>
      </c>
      <c r="Y67" s="3419">
        <f>ROUNDDOWN((Y57-Y64)*Y$7/(1+Y$7),0)-ROUNDDOWN(Y65*Y$7/(1+Y$7),0)+Y130-Y60</f>
        <v>826925653</v>
      </c>
      <c r="Z67" s="3368">
        <f>+SUM(U67:Y67)</f>
        <v>827051407</v>
      </c>
      <c r="AA67" s="3365">
        <f t="shared" ref="AA67:AE67" si="26">ROUNDDOWN((AA57-AA64)*AA$7/(1+AA$7),0)-ROUNDDOWN(AA65*AA$7/(1+AA$7),0)+AA130</f>
        <v>0</v>
      </c>
      <c r="AB67" s="3366">
        <f t="shared" si="26"/>
        <v>0</v>
      </c>
      <c r="AC67" s="3418">
        <f t="shared" si="26"/>
        <v>9312</v>
      </c>
      <c r="AD67" s="3418">
        <f t="shared" ref="AD67" si="27">ROUNDDOWN((AD57-AD64)*AD$7/(1+AD$7),0)-ROUNDDOWN(AD65*AD$7/(1+AD$7),0)+AD130</f>
        <v>2728</v>
      </c>
      <c r="AE67" s="3419">
        <f t="shared" si="26"/>
        <v>1479885147</v>
      </c>
      <c r="AF67" s="3368">
        <f>+SUM(AA67:AE67)</f>
        <v>1479897187</v>
      </c>
      <c r="AG67" s="2993"/>
    </row>
    <row r="68" spans="2:33" ht="13.5" hidden="1" customHeight="1">
      <c r="B68" s="3568" t="s">
        <v>5917</v>
      </c>
      <c r="C68" s="3571">
        <v>1</v>
      </c>
      <c r="D68" s="3573" t="s">
        <v>5461</v>
      </c>
      <c r="E68" s="3033" t="s">
        <v>5460</v>
      </c>
      <c r="F68" s="3032"/>
      <c r="G68" s="3392"/>
      <c r="H68" s="3393"/>
      <c r="I68" s="3393"/>
      <c r="J68" s="3393"/>
      <c r="K68" s="3394"/>
      <c r="L68" s="3395"/>
      <c r="M68" s="3027"/>
      <c r="N68" s="3032"/>
      <c r="O68" s="3396">
        <f t="shared" si="21"/>
        <v>0</v>
      </c>
      <c r="P68" s="3397">
        <f t="shared" si="22"/>
        <v>0</v>
      </c>
      <c r="Q68" s="3397">
        <f t="shared" si="23"/>
        <v>0</v>
      </c>
      <c r="R68" s="3397">
        <f t="shared" si="23"/>
        <v>0</v>
      </c>
      <c r="S68" s="3398">
        <f t="shared" si="17"/>
        <v>0</v>
      </c>
      <c r="T68" s="3395">
        <f t="shared" si="24"/>
        <v>0</v>
      </c>
      <c r="U68" s="3392"/>
      <c r="V68" s="3393"/>
      <c r="W68" s="3393"/>
      <c r="X68" s="3393"/>
      <c r="Y68" s="3394"/>
      <c r="Z68" s="3395"/>
      <c r="AA68" s="3392"/>
      <c r="AB68" s="3393"/>
      <c r="AC68" s="3393"/>
      <c r="AD68" s="3393"/>
      <c r="AE68" s="3394"/>
      <c r="AF68" s="3395"/>
      <c r="AG68" s="3027"/>
    </row>
    <row r="69" spans="2:33" ht="13.5" hidden="1" customHeight="1">
      <c r="B69" s="3569"/>
      <c r="C69" s="3572"/>
      <c r="D69" s="3573"/>
      <c r="E69" s="3026"/>
      <c r="F69" s="3025"/>
      <c r="G69" s="3399"/>
      <c r="H69" s="3400"/>
      <c r="I69" s="3400"/>
      <c r="J69" s="3400"/>
      <c r="K69" s="3401"/>
      <c r="L69" s="3402"/>
      <c r="M69" s="3020"/>
      <c r="N69" s="3025"/>
      <c r="O69" s="3403">
        <f t="shared" si="21"/>
        <v>0</v>
      </c>
      <c r="P69" s="3404">
        <f t="shared" si="22"/>
        <v>0</v>
      </c>
      <c r="Q69" s="3404">
        <f t="shared" si="23"/>
        <v>0</v>
      </c>
      <c r="R69" s="3404">
        <f t="shared" si="23"/>
        <v>0</v>
      </c>
      <c r="S69" s="3405">
        <f t="shared" si="17"/>
        <v>0</v>
      </c>
      <c r="T69" s="3402">
        <f t="shared" si="24"/>
        <v>0</v>
      </c>
      <c r="U69" s="3399"/>
      <c r="V69" s="3400"/>
      <c r="W69" s="3400"/>
      <c r="X69" s="3400"/>
      <c r="Y69" s="3401"/>
      <c r="Z69" s="3402"/>
      <c r="AA69" s="3399"/>
      <c r="AB69" s="3400"/>
      <c r="AC69" s="3400"/>
      <c r="AD69" s="3400"/>
      <c r="AE69" s="3401"/>
      <c r="AF69" s="3402"/>
      <c r="AG69" s="3020"/>
    </row>
    <row r="70" spans="2:33" ht="13.5" hidden="1" customHeight="1">
      <c r="B70" s="3569"/>
      <c r="C70" s="3571">
        <v>2</v>
      </c>
      <c r="D70" s="3573" t="s">
        <v>5459</v>
      </c>
      <c r="E70" s="3019" t="s">
        <v>5458</v>
      </c>
      <c r="F70" s="3017"/>
      <c r="G70" s="3406"/>
      <c r="H70" s="3407"/>
      <c r="I70" s="3407"/>
      <c r="J70" s="3407"/>
      <c r="K70" s="3408"/>
      <c r="L70" s="3409"/>
      <c r="M70" s="3013"/>
      <c r="N70" s="3017"/>
      <c r="O70" s="3410">
        <f t="shared" si="21"/>
        <v>0</v>
      </c>
      <c r="P70" s="3411">
        <f t="shared" si="22"/>
        <v>0</v>
      </c>
      <c r="Q70" s="3411">
        <f t="shared" si="23"/>
        <v>0</v>
      </c>
      <c r="R70" s="3411">
        <f t="shared" si="23"/>
        <v>0</v>
      </c>
      <c r="S70" s="3412">
        <f t="shared" si="17"/>
        <v>0</v>
      </c>
      <c r="T70" s="3409">
        <f t="shared" si="24"/>
        <v>0</v>
      </c>
      <c r="U70" s="3406"/>
      <c r="V70" s="3407"/>
      <c r="W70" s="3407"/>
      <c r="X70" s="3407"/>
      <c r="Y70" s="3408"/>
      <c r="Z70" s="3409"/>
      <c r="AA70" s="3406"/>
      <c r="AB70" s="3407"/>
      <c r="AC70" s="3407"/>
      <c r="AD70" s="3407"/>
      <c r="AE70" s="3408"/>
      <c r="AF70" s="3409"/>
      <c r="AG70" s="3013"/>
    </row>
    <row r="71" spans="2:33" ht="13.5" hidden="1" customHeight="1">
      <c r="B71" s="3569"/>
      <c r="C71" s="3574"/>
      <c r="D71" s="3573"/>
      <c r="E71" s="3033"/>
      <c r="F71" s="3032"/>
      <c r="G71" s="3392"/>
      <c r="H71" s="3393"/>
      <c r="I71" s="3393"/>
      <c r="J71" s="3393"/>
      <c r="K71" s="3394"/>
      <c r="L71" s="3395"/>
      <c r="M71" s="3027"/>
      <c r="N71" s="3032"/>
      <c r="O71" s="3396">
        <f t="shared" si="21"/>
        <v>0</v>
      </c>
      <c r="P71" s="3397">
        <f t="shared" si="22"/>
        <v>0</v>
      </c>
      <c r="Q71" s="3397">
        <f t="shared" si="23"/>
        <v>0</v>
      </c>
      <c r="R71" s="3397">
        <f t="shared" si="23"/>
        <v>0</v>
      </c>
      <c r="S71" s="3398">
        <f t="shared" si="17"/>
        <v>0</v>
      </c>
      <c r="T71" s="3395">
        <f t="shared" si="24"/>
        <v>0</v>
      </c>
      <c r="U71" s="3392"/>
      <c r="V71" s="3393"/>
      <c r="W71" s="3393"/>
      <c r="X71" s="3393"/>
      <c r="Y71" s="3394"/>
      <c r="Z71" s="3395"/>
      <c r="AA71" s="3392"/>
      <c r="AB71" s="3393"/>
      <c r="AC71" s="3393"/>
      <c r="AD71" s="3393"/>
      <c r="AE71" s="3394"/>
      <c r="AF71" s="3395"/>
      <c r="AG71" s="3027"/>
    </row>
    <row r="72" spans="2:33" ht="13.5" hidden="1" customHeight="1">
      <c r="B72" s="3569"/>
      <c r="C72" s="3572"/>
      <c r="D72" s="3573"/>
      <c r="E72" s="3026"/>
      <c r="F72" s="3025"/>
      <c r="G72" s="3399"/>
      <c r="H72" s="3400"/>
      <c r="I72" s="3400"/>
      <c r="J72" s="3400"/>
      <c r="K72" s="3401"/>
      <c r="L72" s="3402"/>
      <c r="M72" s="3020"/>
      <c r="N72" s="3025"/>
      <c r="O72" s="3403">
        <f t="shared" si="21"/>
        <v>0</v>
      </c>
      <c r="P72" s="3404">
        <f t="shared" si="22"/>
        <v>0</v>
      </c>
      <c r="Q72" s="3404">
        <f t="shared" si="23"/>
        <v>0</v>
      </c>
      <c r="R72" s="3404">
        <f t="shared" si="23"/>
        <v>0</v>
      </c>
      <c r="S72" s="3405">
        <f t="shared" si="17"/>
        <v>0</v>
      </c>
      <c r="T72" s="3402">
        <f t="shared" si="24"/>
        <v>0</v>
      </c>
      <c r="U72" s="3399"/>
      <c r="V72" s="3400"/>
      <c r="W72" s="3400"/>
      <c r="X72" s="3400"/>
      <c r="Y72" s="3401"/>
      <c r="Z72" s="3402"/>
      <c r="AA72" s="3399"/>
      <c r="AB72" s="3400"/>
      <c r="AC72" s="3400"/>
      <c r="AD72" s="3400"/>
      <c r="AE72" s="3401"/>
      <c r="AF72" s="3402"/>
      <c r="AG72" s="3020"/>
    </row>
    <row r="73" spans="2:33" ht="13.5" hidden="1" customHeight="1">
      <c r="B73" s="3569"/>
      <c r="C73" s="3571">
        <v>3</v>
      </c>
      <c r="D73" s="3573" t="s">
        <v>5457</v>
      </c>
      <c r="E73" s="3019" t="s">
        <v>5456</v>
      </c>
      <c r="F73" s="3017"/>
      <c r="G73" s="3406"/>
      <c r="H73" s="3407"/>
      <c r="I73" s="3407"/>
      <c r="J73" s="3407"/>
      <c r="K73" s="3408"/>
      <c r="L73" s="3409"/>
      <c r="M73" s="3013"/>
      <c r="N73" s="3017"/>
      <c r="O73" s="3410">
        <f t="shared" si="21"/>
        <v>0</v>
      </c>
      <c r="P73" s="3411">
        <f t="shared" si="22"/>
        <v>0</v>
      </c>
      <c r="Q73" s="3411">
        <f t="shared" si="23"/>
        <v>0</v>
      </c>
      <c r="R73" s="3411">
        <f t="shared" si="23"/>
        <v>0</v>
      </c>
      <c r="S73" s="3412">
        <f t="shared" si="17"/>
        <v>0</v>
      </c>
      <c r="T73" s="3409">
        <f t="shared" si="24"/>
        <v>0</v>
      </c>
      <c r="U73" s="3406"/>
      <c r="V73" s="3407"/>
      <c r="W73" s="3407"/>
      <c r="X73" s="3407"/>
      <c r="Y73" s="3408"/>
      <c r="Z73" s="3409"/>
      <c r="AA73" s="3406"/>
      <c r="AB73" s="3407"/>
      <c r="AC73" s="3407"/>
      <c r="AD73" s="3407"/>
      <c r="AE73" s="3408"/>
      <c r="AF73" s="3409"/>
      <c r="AG73" s="3013"/>
    </row>
    <row r="74" spans="2:33" ht="13.5" hidden="1" customHeight="1">
      <c r="B74" s="3569"/>
      <c r="C74" s="3574"/>
      <c r="D74" s="3573"/>
      <c r="E74" s="3033"/>
      <c r="F74" s="3032"/>
      <c r="G74" s="3392"/>
      <c r="H74" s="3393"/>
      <c r="I74" s="3393"/>
      <c r="J74" s="3393"/>
      <c r="K74" s="3394"/>
      <c r="L74" s="3395"/>
      <c r="M74" s="3027"/>
      <c r="N74" s="3032"/>
      <c r="O74" s="3396">
        <f t="shared" si="21"/>
        <v>0</v>
      </c>
      <c r="P74" s="3397">
        <f t="shared" si="22"/>
        <v>0</v>
      </c>
      <c r="Q74" s="3397">
        <f t="shared" si="23"/>
        <v>0</v>
      </c>
      <c r="R74" s="3397">
        <f t="shared" si="23"/>
        <v>0</v>
      </c>
      <c r="S74" s="3398">
        <f t="shared" si="17"/>
        <v>0</v>
      </c>
      <c r="T74" s="3395">
        <f t="shared" si="24"/>
        <v>0</v>
      </c>
      <c r="U74" s="3392"/>
      <c r="V74" s="3393"/>
      <c r="W74" s="3393"/>
      <c r="X74" s="3393"/>
      <c r="Y74" s="3394"/>
      <c r="Z74" s="3395"/>
      <c r="AA74" s="3392"/>
      <c r="AB74" s="3393"/>
      <c r="AC74" s="3393"/>
      <c r="AD74" s="3393"/>
      <c r="AE74" s="3394"/>
      <c r="AF74" s="3395"/>
      <c r="AG74" s="3027"/>
    </row>
    <row r="75" spans="2:33" ht="13.5" hidden="1" customHeight="1">
      <c r="B75" s="3569"/>
      <c r="C75" s="3574"/>
      <c r="D75" s="3573"/>
      <c r="E75" s="3033"/>
      <c r="F75" s="3032"/>
      <c r="G75" s="3392"/>
      <c r="H75" s="3393"/>
      <c r="I75" s="3393"/>
      <c r="J75" s="3393"/>
      <c r="K75" s="3394"/>
      <c r="L75" s="3395"/>
      <c r="M75" s="3027"/>
      <c r="N75" s="3032"/>
      <c r="O75" s="3396">
        <f t="shared" si="21"/>
        <v>0</v>
      </c>
      <c r="P75" s="3397">
        <f t="shared" si="22"/>
        <v>0</v>
      </c>
      <c r="Q75" s="3397">
        <f t="shared" si="23"/>
        <v>0</v>
      </c>
      <c r="R75" s="3397">
        <f t="shared" si="23"/>
        <v>0</v>
      </c>
      <c r="S75" s="3398">
        <f t="shared" si="17"/>
        <v>0</v>
      </c>
      <c r="T75" s="3395">
        <f t="shared" si="24"/>
        <v>0</v>
      </c>
      <c r="U75" s="3392"/>
      <c r="V75" s="3393"/>
      <c r="W75" s="3393"/>
      <c r="X75" s="3393"/>
      <c r="Y75" s="3394"/>
      <c r="Z75" s="3395"/>
      <c r="AA75" s="3392"/>
      <c r="AB75" s="3393"/>
      <c r="AC75" s="3393"/>
      <c r="AD75" s="3393"/>
      <c r="AE75" s="3394"/>
      <c r="AF75" s="3395"/>
      <c r="AG75" s="3027"/>
    </row>
    <row r="76" spans="2:33" ht="13.5" hidden="1" customHeight="1">
      <c r="B76" s="3569"/>
      <c r="C76" s="3572"/>
      <c r="D76" s="3573"/>
      <c r="E76" s="3026"/>
      <c r="F76" s="3025"/>
      <c r="G76" s="3399"/>
      <c r="H76" s="3400"/>
      <c r="I76" s="3400"/>
      <c r="J76" s="3400"/>
      <c r="K76" s="3401"/>
      <c r="L76" s="3402"/>
      <c r="M76" s="3020"/>
      <c r="N76" s="3025"/>
      <c r="O76" s="3403">
        <f t="shared" si="21"/>
        <v>0</v>
      </c>
      <c r="P76" s="3404">
        <f t="shared" si="22"/>
        <v>0</v>
      </c>
      <c r="Q76" s="3404">
        <f t="shared" si="23"/>
        <v>0</v>
      </c>
      <c r="R76" s="3404">
        <f t="shared" si="23"/>
        <v>0</v>
      </c>
      <c r="S76" s="3405">
        <f t="shared" si="17"/>
        <v>0</v>
      </c>
      <c r="T76" s="3402">
        <f t="shared" si="24"/>
        <v>0</v>
      </c>
      <c r="U76" s="3399"/>
      <c r="V76" s="3400"/>
      <c r="W76" s="3400"/>
      <c r="X76" s="3400"/>
      <c r="Y76" s="3401"/>
      <c r="Z76" s="3402"/>
      <c r="AA76" s="3399"/>
      <c r="AB76" s="3400"/>
      <c r="AC76" s="3400"/>
      <c r="AD76" s="3400"/>
      <c r="AE76" s="3401"/>
      <c r="AF76" s="3402"/>
      <c r="AG76" s="3020"/>
    </row>
    <row r="77" spans="2:33" ht="13.5" hidden="1" customHeight="1">
      <c r="B77" s="3569"/>
      <c r="C77" s="3571">
        <v>4</v>
      </c>
      <c r="D77" s="3573" t="s">
        <v>5455</v>
      </c>
      <c r="E77" s="3019" t="s">
        <v>5454</v>
      </c>
      <c r="F77" s="3017"/>
      <c r="G77" s="3406"/>
      <c r="H77" s="3407"/>
      <c r="I77" s="3407"/>
      <c r="J77" s="3407"/>
      <c r="K77" s="3408"/>
      <c r="L77" s="3409"/>
      <c r="M77" s="3013"/>
      <c r="N77" s="3017"/>
      <c r="O77" s="3410">
        <f t="shared" si="21"/>
        <v>0</v>
      </c>
      <c r="P77" s="3411">
        <f t="shared" si="22"/>
        <v>0</v>
      </c>
      <c r="Q77" s="3411">
        <f t="shared" si="23"/>
        <v>0</v>
      </c>
      <c r="R77" s="3411">
        <f t="shared" si="23"/>
        <v>0</v>
      </c>
      <c r="S77" s="3412">
        <f t="shared" si="17"/>
        <v>0</v>
      </c>
      <c r="T77" s="3409">
        <f t="shared" si="24"/>
        <v>0</v>
      </c>
      <c r="U77" s="3406"/>
      <c r="V77" s="3407"/>
      <c r="W77" s="3407"/>
      <c r="X77" s="3407"/>
      <c r="Y77" s="3408"/>
      <c r="Z77" s="3409"/>
      <c r="AA77" s="3406"/>
      <c r="AB77" s="3407"/>
      <c r="AC77" s="3407"/>
      <c r="AD77" s="3407"/>
      <c r="AE77" s="3408"/>
      <c r="AF77" s="3409"/>
      <c r="AG77" s="3013"/>
    </row>
    <row r="78" spans="2:33" ht="13.5" hidden="1" customHeight="1">
      <c r="B78" s="3569"/>
      <c r="C78" s="3574"/>
      <c r="D78" s="3573"/>
      <c r="E78" s="3033"/>
      <c r="F78" s="3032"/>
      <c r="G78" s="3392"/>
      <c r="H78" s="3393"/>
      <c r="I78" s="3393"/>
      <c r="J78" s="3393"/>
      <c r="K78" s="3394"/>
      <c r="L78" s="3395"/>
      <c r="M78" s="3027"/>
      <c r="N78" s="3032"/>
      <c r="O78" s="3396">
        <f t="shared" si="21"/>
        <v>0</v>
      </c>
      <c r="P78" s="3397">
        <f t="shared" si="22"/>
        <v>0</v>
      </c>
      <c r="Q78" s="3397">
        <f t="shared" si="23"/>
        <v>0</v>
      </c>
      <c r="R78" s="3397">
        <f t="shared" si="23"/>
        <v>0</v>
      </c>
      <c r="S78" s="3398">
        <f t="shared" si="17"/>
        <v>0</v>
      </c>
      <c r="T78" s="3395">
        <f t="shared" si="24"/>
        <v>0</v>
      </c>
      <c r="U78" s="3392"/>
      <c r="V78" s="3393"/>
      <c r="W78" s="3393"/>
      <c r="X78" s="3393"/>
      <c r="Y78" s="3394"/>
      <c r="Z78" s="3395"/>
      <c r="AA78" s="3392"/>
      <c r="AB78" s="3393"/>
      <c r="AC78" s="3393"/>
      <c r="AD78" s="3393"/>
      <c r="AE78" s="3394"/>
      <c r="AF78" s="3395"/>
      <c r="AG78" s="3027"/>
    </row>
    <row r="79" spans="2:33" ht="13.5" hidden="1" customHeight="1">
      <c r="B79" s="3569"/>
      <c r="C79" s="3572"/>
      <c r="D79" s="3573"/>
      <c r="E79" s="3026"/>
      <c r="F79" s="3025"/>
      <c r="G79" s="3399"/>
      <c r="H79" s="3400"/>
      <c r="I79" s="3400"/>
      <c r="J79" s="3400"/>
      <c r="K79" s="3401"/>
      <c r="L79" s="3402"/>
      <c r="M79" s="3020"/>
      <c r="N79" s="3025"/>
      <c r="O79" s="3403">
        <f t="shared" si="21"/>
        <v>0</v>
      </c>
      <c r="P79" s="3404">
        <f t="shared" si="22"/>
        <v>0</v>
      </c>
      <c r="Q79" s="3404">
        <f t="shared" si="23"/>
        <v>0</v>
      </c>
      <c r="R79" s="3404">
        <f t="shared" si="23"/>
        <v>0</v>
      </c>
      <c r="S79" s="3405">
        <f t="shared" si="17"/>
        <v>0</v>
      </c>
      <c r="T79" s="3402">
        <f t="shared" si="24"/>
        <v>0</v>
      </c>
      <c r="U79" s="3399"/>
      <c r="V79" s="3400"/>
      <c r="W79" s="3400"/>
      <c r="X79" s="3400"/>
      <c r="Y79" s="3401"/>
      <c r="Z79" s="3402"/>
      <c r="AA79" s="3399"/>
      <c r="AB79" s="3400"/>
      <c r="AC79" s="3400"/>
      <c r="AD79" s="3400"/>
      <c r="AE79" s="3401"/>
      <c r="AF79" s="3402"/>
      <c r="AG79" s="3020"/>
    </row>
    <row r="80" spans="2:33" ht="13.5" hidden="1" customHeight="1">
      <c r="B80" s="3570"/>
      <c r="C80" s="2976">
        <v>5</v>
      </c>
      <c r="D80" s="2975" t="s">
        <v>5453</v>
      </c>
      <c r="E80" s="3019"/>
      <c r="F80" s="3017"/>
      <c r="G80" s="3406"/>
      <c r="H80" s="3407"/>
      <c r="I80" s="3407"/>
      <c r="J80" s="3407"/>
      <c r="K80" s="3408"/>
      <c r="L80" s="3409"/>
      <c r="M80" s="3013"/>
      <c r="N80" s="3017"/>
      <c r="O80" s="3411">
        <f t="shared" si="21"/>
        <v>0</v>
      </c>
      <c r="P80" s="3411">
        <f t="shared" si="22"/>
        <v>0</v>
      </c>
      <c r="Q80" s="3411">
        <f t="shared" si="23"/>
        <v>0</v>
      </c>
      <c r="R80" s="3411">
        <f t="shared" si="23"/>
        <v>0</v>
      </c>
      <c r="S80" s="3412">
        <f t="shared" si="17"/>
        <v>0</v>
      </c>
      <c r="T80" s="3409">
        <f t="shared" si="24"/>
        <v>0</v>
      </c>
      <c r="U80" s="3407"/>
      <c r="V80" s="3407"/>
      <c r="W80" s="3407"/>
      <c r="X80" s="3407"/>
      <c r="Y80" s="3408"/>
      <c r="Z80" s="3409"/>
      <c r="AA80" s="3407"/>
      <c r="AB80" s="3407"/>
      <c r="AC80" s="3407"/>
      <c r="AD80" s="3407"/>
      <c r="AE80" s="3408"/>
      <c r="AF80" s="3409"/>
      <c r="AG80" s="3013"/>
    </row>
    <row r="81" spans="2:33" ht="13.5" customHeight="1">
      <c r="B81" s="3568" t="s">
        <v>5916</v>
      </c>
      <c r="C81" s="3581">
        <v>1</v>
      </c>
      <c r="D81" s="3578" t="s">
        <v>5915</v>
      </c>
      <c r="E81" s="3012" t="s">
        <v>5914</v>
      </c>
      <c r="F81" s="3011"/>
      <c r="G81" s="3346">
        <f>+基礎数値!$D18</f>
        <v>0</v>
      </c>
      <c r="H81" s="3347">
        <f>+基礎数値!$E18</f>
        <v>0</v>
      </c>
      <c r="I81" s="3347">
        <f>+基礎数値!$F18</f>
        <v>455392</v>
      </c>
      <c r="J81" s="3347">
        <f>+基礎数値!$G18</f>
        <v>130568</v>
      </c>
      <c r="K81" s="3348">
        <f>+基礎数値!$H18</f>
        <v>2312306920</v>
      </c>
      <c r="L81" s="3349">
        <f>+SUM(G81:K81)</f>
        <v>2312892880</v>
      </c>
      <c r="M81" s="2990"/>
      <c r="N81" s="3011"/>
      <c r="O81" s="3350">
        <f t="shared" si="21"/>
        <v>0</v>
      </c>
      <c r="P81" s="3351">
        <f t="shared" si="22"/>
        <v>0</v>
      </c>
      <c r="Q81" s="3351">
        <f t="shared" si="23"/>
        <v>455392</v>
      </c>
      <c r="R81" s="3351">
        <f t="shared" si="23"/>
        <v>130568</v>
      </c>
      <c r="S81" s="3352">
        <f>+Y81+AE81</f>
        <v>2312306920</v>
      </c>
      <c r="T81" s="3349">
        <f>+SUM(O81:S81)</f>
        <v>2312892880</v>
      </c>
      <c r="U81" s="3346">
        <f>+基礎数値!$D18</f>
        <v>0</v>
      </c>
      <c r="V81" s="3347">
        <f>+基礎数値!$E18</f>
        <v>0</v>
      </c>
      <c r="W81" s="3347">
        <f>+基礎数値!$F18</f>
        <v>455392</v>
      </c>
      <c r="X81" s="3347">
        <f>+基礎数値!$G18</f>
        <v>130568</v>
      </c>
      <c r="Y81" s="3348">
        <f>+基礎数値!$H18</f>
        <v>2312306920</v>
      </c>
      <c r="Z81" s="3349">
        <f>+SUM(U81:Y81)</f>
        <v>2312892880</v>
      </c>
      <c r="AA81" s="3350"/>
      <c r="AB81" s="3351"/>
      <c r="AC81" s="3351"/>
      <c r="AD81" s="3351"/>
      <c r="AE81" s="3352"/>
      <c r="AF81" s="3349">
        <f>+SUM(AA81:AE81)</f>
        <v>0</v>
      </c>
      <c r="AG81" s="2990" t="s">
        <v>5912</v>
      </c>
    </row>
    <row r="82" spans="2:33" ht="13.5" customHeight="1">
      <c r="B82" s="3569"/>
      <c r="C82" s="3582"/>
      <c r="D82" s="3579"/>
      <c r="E82" s="3010" t="s">
        <v>5913</v>
      </c>
      <c r="F82" s="2982"/>
      <c r="G82" s="3353">
        <f>+基礎数値!$D19</f>
        <v>0</v>
      </c>
      <c r="H82" s="3354">
        <f>+基礎数値!$E19</f>
        <v>131982078</v>
      </c>
      <c r="I82" s="3354">
        <f>+基礎数値!$F19</f>
        <v>1246904</v>
      </c>
      <c r="J82" s="3354">
        <f>+基礎数値!$G19</f>
        <v>99</v>
      </c>
      <c r="K82" s="3355">
        <f>+基礎数値!$H19</f>
        <v>5972404802</v>
      </c>
      <c r="L82" s="3356">
        <f>+SUM(G82:K82)</f>
        <v>6105633883</v>
      </c>
      <c r="M82" s="2995"/>
      <c r="N82" s="2982"/>
      <c r="O82" s="3359">
        <f t="shared" si="21"/>
        <v>0</v>
      </c>
      <c r="P82" s="3360">
        <f t="shared" si="22"/>
        <v>131982078</v>
      </c>
      <c r="Q82" s="3360">
        <f t="shared" si="23"/>
        <v>1246904</v>
      </c>
      <c r="R82" s="3360">
        <f t="shared" si="23"/>
        <v>99</v>
      </c>
      <c r="S82" s="3361">
        <f>+Y82+AE82</f>
        <v>5972404802</v>
      </c>
      <c r="T82" s="3356">
        <f>+SUM(O82:S82)</f>
        <v>6105633883</v>
      </c>
      <c r="U82" s="3359"/>
      <c r="V82" s="3360"/>
      <c r="W82" s="3360"/>
      <c r="X82" s="3360"/>
      <c r="Y82" s="3361"/>
      <c r="Z82" s="3356">
        <f>+SUM(U82:Y82)</f>
        <v>0</v>
      </c>
      <c r="AA82" s="3353">
        <f>+基礎数値!$D19</f>
        <v>0</v>
      </c>
      <c r="AB82" s="3354">
        <f>+基礎数値!$E19</f>
        <v>131982078</v>
      </c>
      <c r="AC82" s="3354">
        <f>+基礎数値!$F19</f>
        <v>1246904</v>
      </c>
      <c r="AD82" s="3354">
        <f>+基礎数値!$G19</f>
        <v>99</v>
      </c>
      <c r="AE82" s="3355">
        <f>+基礎数値!$H19</f>
        <v>5972404802</v>
      </c>
      <c r="AF82" s="3356">
        <f>+SUM(AA82:AE82)</f>
        <v>6105633883</v>
      </c>
      <c r="AG82" s="2995" t="s">
        <v>5912</v>
      </c>
    </row>
    <row r="83" spans="2:33" ht="13.5" customHeight="1">
      <c r="B83" s="3569"/>
      <c r="C83" s="3582"/>
      <c r="D83" s="3579"/>
      <c r="E83" s="3010" t="s">
        <v>5911</v>
      </c>
      <c r="F83" s="2982" t="s">
        <v>5910</v>
      </c>
      <c r="G83" s="3362">
        <f t="shared" ref="G83:L83" si="28">SUM(G81:G82)</f>
        <v>0</v>
      </c>
      <c r="H83" s="3363">
        <f t="shared" si="28"/>
        <v>131982078</v>
      </c>
      <c r="I83" s="3363">
        <f t="shared" si="28"/>
        <v>1702296</v>
      </c>
      <c r="J83" s="3363">
        <f t="shared" si="28"/>
        <v>130667</v>
      </c>
      <c r="K83" s="3364">
        <f t="shared" si="28"/>
        <v>8284711722</v>
      </c>
      <c r="L83" s="3357">
        <f t="shared" si="28"/>
        <v>8418526763</v>
      </c>
      <c r="M83" s="2995"/>
      <c r="N83" s="2982" t="s">
        <v>5910</v>
      </c>
      <c r="O83" s="3359">
        <f t="shared" si="21"/>
        <v>0</v>
      </c>
      <c r="P83" s="3360">
        <f t="shared" si="22"/>
        <v>131982078</v>
      </c>
      <c r="Q83" s="3360">
        <f t="shared" si="23"/>
        <v>1702296</v>
      </c>
      <c r="R83" s="3360">
        <f t="shared" si="23"/>
        <v>130667</v>
      </c>
      <c r="S83" s="3361">
        <f>+Y83+AE83</f>
        <v>8284711722</v>
      </c>
      <c r="T83" s="3357">
        <f t="shared" ref="T83:AF83" si="29">SUM(T81:T82)</f>
        <v>8418526763</v>
      </c>
      <c r="U83" s="3362">
        <f t="shared" si="29"/>
        <v>0</v>
      </c>
      <c r="V83" s="3363">
        <f t="shared" si="29"/>
        <v>0</v>
      </c>
      <c r="W83" s="3363">
        <f t="shared" si="29"/>
        <v>455392</v>
      </c>
      <c r="X83" s="3363">
        <f t="shared" ref="X83" si="30">SUM(X81:X82)</f>
        <v>130568</v>
      </c>
      <c r="Y83" s="3364">
        <f t="shared" si="29"/>
        <v>2312306920</v>
      </c>
      <c r="Z83" s="3357">
        <f t="shared" si="29"/>
        <v>2312892880</v>
      </c>
      <c r="AA83" s="3362">
        <f t="shared" si="29"/>
        <v>0</v>
      </c>
      <c r="AB83" s="3363">
        <f t="shared" si="29"/>
        <v>131982078</v>
      </c>
      <c r="AC83" s="3363">
        <f t="shared" si="29"/>
        <v>1246904</v>
      </c>
      <c r="AD83" s="3363">
        <f t="shared" ref="AD83" si="31">SUM(AD81:AD82)</f>
        <v>99</v>
      </c>
      <c r="AE83" s="3364">
        <f t="shared" si="29"/>
        <v>5972404802</v>
      </c>
      <c r="AF83" s="3357">
        <f t="shared" si="29"/>
        <v>6105633883</v>
      </c>
      <c r="AG83" s="2995"/>
    </row>
    <row r="84" spans="2:33" ht="13.5" customHeight="1">
      <c r="B84" s="3569"/>
      <c r="C84" s="3582"/>
      <c r="D84" s="3579"/>
      <c r="E84" s="2996" t="s">
        <v>5445</v>
      </c>
      <c r="F84" s="3009" t="s">
        <v>5909</v>
      </c>
      <c r="G84" s="3362">
        <f>ROUNDDOWN(G26*1/(1+G$7),0)</f>
        <v>0</v>
      </c>
      <c r="H84" s="3363">
        <f>ROUNDDOWN(H26*1/(1+H$7),0)</f>
        <v>0</v>
      </c>
      <c r="I84" s="3363">
        <f>ROUNDDOWN(I26*1/(1+I$7),0)</f>
        <v>43567</v>
      </c>
      <c r="J84" s="3363">
        <f>ROUNDDOWN(J26*1/(1+J$7),0)</f>
        <v>0</v>
      </c>
      <c r="K84" s="3364">
        <f>ROUNDDOWN(K26*1/(1+K$7),0)</f>
        <v>18881545399</v>
      </c>
      <c r="L84" s="3356">
        <f>+SUM(G84:K84)</f>
        <v>18881588966</v>
      </c>
      <c r="M84" s="2995"/>
      <c r="N84" s="3009" t="s">
        <v>5909</v>
      </c>
      <c r="O84" s="3359">
        <f t="shared" si="21"/>
        <v>0</v>
      </c>
      <c r="P84" s="3360">
        <f t="shared" si="22"/>
        <v>0</v>
      </c>
      <c r="Q84" s="3360">
        <f t="shared" si="23"/>
        <v>43567</v>
      </c>
      <c r="R84" s="3360">
        <f t="shared" si="23"/>
        <v>0</v>
      </c>
      <c r="S84" s="3361">
        <f>+Y84+AE84</f>
        <v>18881545399</v>
      </c>
      <c r="T84" s="3356">
        <f>+SUM(O84:S84)</f>
        <v>18881588966</v>
      </c>
      <c r="U84" s="3362">
        <f>ROUNDDOWN(U26*1/(1+U$7),0)</f>
        <v>0</v>
      </c>
      <c r="V84" s="3363">
        <f>ROUNDDOWN(V26*1/(1+V$7),0)</f>
        <v>0</v>
      </c>
      <c r="W84" s="3363">
        <f>ROUNDDOWN(W26*1/(1+W$7),0)</f>
        <v>43567</v>
      </c>
      <c r="X84" s="3363">
        <f>ROUNDDOWN(X26*1/(1+X$7),0)</f>
        <v>0</v>
      </c>
      <c r="Y84" s="3364">
        <f>ROUNDDOWN(Y26*1/(1+Y$7),0)</f>
        <v>18845462299</v>
      </c>
      <c r="Z84" s="3356">
        <f>+SUM(U84:Y84)</f>
        <v>18845505866</v>
      </c>
      <c r="AA84" s="3362">
        <f>ROUNDDOWN(AA26*1/(1+AA$7),0)</f>
        <v>0</v>
      </c>
      <c r="AB84" s="3363">
        <f>ROUNDDOWN(AB26*1/(1+AB$7),0)</f>
        <v>0</v>
      </c>
      <c r="AC84" s="3363">
        <f>ROUNDDOWN(AC26*1/(1+AC$7),0)</f>
        <v>0</v>
      </c>
      <c r="AD84" s="3363">
        <f>ROUNDDOWN(AD26*1/(1+AD$7),0)</f>
        <v>0</v>
      </c>
      <c r="AE84" s="3364">
        <f>ROUNDDOWN(AE26*1/(1+AE$7),0)</f>
        <v>36083100</v>
      </c>
      <c r="AF84" s="3356">
        <f>+SUM(AA84:AE84)</f>
        <v>36083100</v>
      </c>
      <c r="AG84" s="2995"/>
    </row>
    <row r="85" spans="2:33" ht="13.5" customHeight="1">
      <c r="B85" s="3569"/>
      <c r="C85" s="3582"/>
      <c r="D85" s="3579"/>
      <c r="E85" s="2996" t="s">
        <v>5908</v>
      </c>
      <c r="F85" s="2982" t="s">
        <v>5907</v>
      </c>
      <c r="G85" s="3362"/>
      <c r="H85" s="3363"/>
      <c r="I85" s="3363"/>
      <c r="J85" s="3363"/>
      <c r="K85" s="3364"/>
      <c r="L85" s="3356">
        <f>+L34</f>
        <v>86860</v>
      </c>
      <c r="M85" s="2995"/>
      <c r="N85" s="2982" t="s">
        <v>5907</v>
      </c>
      <c r="O85" s="3383"/>
      <c r="P85" s="3384"/>
      <c r="Q85" s="3384"/>
      <c r="R85" s="3384"/>
      <c r="S85" s="3385"/>
      <c r="T85" s="3356">
        <f>+T34</f>
        <v>86860</v>
      </c>
      <c r="U85" s="3383"/>
      <c r="V85" s="3384"/>
      <c r="W85" s="3384"/>
      <c r="X85" s="3384"/>
      <c r="Y85" s="3385"/>
      <c r="Z85" s="3386"/>
      <c r="AA85" s="3383"/>
      <c r="AB85" s="3384"/>
      <c r="AC85" s="3384"/>
      <c r="AD85" s="3384"/>
      <c r="AE85" s="3385"/>
      <c r="AF85" s="3386"/>
      <c r="AG85" s="2995"/>
    </row>
    <row r="86" spans="2:33" ht="13.5" customHeight="1">
      <c r="B86" s="3569"/>
      <c r="C86" s="3582"/>
      <c r="D86" s="3579"/>
      <c r="E86" s="2996" t="s">
        <v>5442</v>
      </c>
      <c r="F86" s="2982" t="s">
        <v>5906</v>
      </c>
      <c r="G86" s="3362"/>
      <c r="H86" s="3363"/>
      <c r="I86" s="3363"/>
      <c r="J86" s="3363"/>
      <c r="K86" s="3364"/>
      <c r="L86" s="3356">
        <f>+L38</f>
        <v>68592953</v>
      </c>
      <c r="M86" s="2995"/>
      <c r="N86" s="2982" t="s">
        <v>5906</v>
      </c>
      <c r="O86" s="3383"/>
      <c r="P86" s="3384"/>
      <c r="Q86" s="3384"/>
      <c r="R86" s="3384"/>
      <c r="S86" s="3385"/>
      <c r="T86" s="3356">
        <f>+T38</f>
        <v>68592953</v>
      </c>
      <c r="U86" s="3383"/>
      <c r="V86" s="3384"/>
      <c r="W86" s="3384"/>
      <c r="X86" s="3384"/>
      <c r="Y86" s="3385"/>
      <c r="Z86" s="3386"/>
      <c r="AA86" s="3383"/>
      <c r="AB86" s="3384"/>
      <c r="AC86" s="3384"/>
      <c r="AD86" s="3384"/>
      <c r="AE86" s="3385"/>
      <c r="AF86" s="3386"/>
      <c r="AG86" s="2995"/>
    </row>
    <row r="87" spans="2:33" ht="13.5" customHeight="1">
      <c r="B87" s="3569"/>
      <c r="C87" s="3582"/>
      <c r="D87" s="3579"/>
      <c r="E87" s="3008" t="s">
        <v>5905</v>
      </c>
      <c r="F87" s="2982"/>
      <c r="G87" s="3362"/>
      <c r="H87" s="3363"/>
      <c r="I87" s="3363"/>
      <c r="J87" s="3363"/>
      <c r="K87" s="3364"/>
      <c r="L87" s="3356">
        <f>SUM(L84:L86)</f>
        <v>18950268779</v>
      </c>
      <c r="M87" s="2995"/>
      <c r="N87" s="2982"/>
      <c r="O87" s="3383"/>
      <c r="P87" s="3384"/>
      <c r="Q87" s="3384"/>
      <c r="R87" s="3384"/>
      <c r="S87" s="3385"/>
      <c r="T87" s="3356">
        <f>SUM(T84:T86)</f>
        <v>18950268779</v>
      </c>
      <c r="U87" s="3383"/>
      <c r="V87" s="3384"/>
      <c r="W87" s="3384"/>
      <c r="X87" s="3384"/>
      <c r="Y87" s="3385"/>
      <c r="Z87" s="3386"/>
      <c r="AA87" s="3383"/>
      <c r="AB87" s="3384"/>
      <c r="AC87" s="3384"/>
      <c r="AD87" s="3384"/>
      <c r="AE87" s="3385"/>
      <c r="AF87" s="3386"/>
      <c r="AG87" s="2995"/>
    </row>
    <row r="88" spans="2:33" ht="13.5" customHeight="1">
      <c r="B88" s="3569"/>
      <c r="C88" s="3582"/>
      <c r="D88" s="3579"/>
      <c r="E88" s="2994" t="s">
        <v>5441</v>
      </c>
      <c r="F88" s="2978" t="s">
        <v>5904</v>
      </c>
      <c r="G88" s="3365"/>
      <c r="H88" s="3366"/>
      <c r="I88" s="3366"/>
      <c r="J88" s="3366"/>
      <c r="K88" s="3367"/>
      <c r="L88" s="3387">
        <f>+ROUNDUP(L83/SUM(L83,L87),3)</f>
        <v>0.308</v>
      </c>
      <c r="M88" s="2993"/>
      <c r="N88" s="2978" t="s">
        <v>5904</v>
      </c>
      <c r="O88" s="3388"/>
      <c r="P88" s="3389"/>
      <c r="Q88" s="3389"/>
      <c r="R88" s="3389"/>
      <c r="S88" s="3390"/>
      <c r="T88" s="3387">
        <f>+ROUNDUP(T83/SUM(T83,T87),3)</f>
        <v>0.308</v>
      </c>
      <c r="U88" s="3388"/>
      <c r="V88" s="3389"/>
      <c r="W88" s="3389"/>
      <c r="X88" s="3389"/>
      <c r="Y88" s="3390"/>
      <c r="Z88" s="3391"/>
      <c r="AA88" s="3388"/>
      <c r="AB88" s="3389"/>
      <c r="AC88" s="3389"/>
      <c r="AD88" s="3389"/>
      <c r="AE88" s="3390"/>
      <c r="AF88" s="3391"/>
      <c r="AG88" s="3007"/>
    </row>
    <row r="89" spans="2:33" ht="13.5" customHeight="1">
      <c r="B89" s="3569"/>
      <c r="C89" s="3571">
        <v>2</v>
      </c>
      <c r="D89" s="3578" t="s">
        <v>5440</v>
      </c>
      <c r="E89" s="2992" t="s">
        <v>5438</v>
      </c>
      <c r="F89" s="2997" t="s">
        <v>5903</v>
      </c>
      <c r="G89" s="3420">
        <f>ROUNDDOWN(G67*$L$35/$L$39,0)</f>
        <v>0</v>
      </c>
      <c r="H89" s="3421">
        <f>ROUNDDOWN(H67*$L$35/$L$39,0)</f>
        <v>0</v>
      </c>
      <c r="I89" s="3421">
        <f>ROUNDDOWN(I67*$L$35/$L$39,0)</f>
        <v>76866</v>
      </c>
      <c r="J89" s="3421">
        <f>ROUNDDOWN(J67*$L$35/$L$39,0)</f>
        <v>30955</v>
      </c>
      <c r="K89" s="3422">
        <f>ROUNDDOWN(K67*$L$35/$L$39,0)</f>
        <v>1792796242</v>
      </c>
      <c r="L89" s="3349">
        <f>+SUM(G89:K89)</f>
        <v>1792904063</v>
      </c>
      <c r="M89" s="2990"/>
      <c r="N89" s="2997" t="s">
        <v>5903</v>
      </c>
      <c r="O89" s="3350">
        <f t="shared" ref="O89:R96" si="32">+U89+AA89</f>
        <v>0</v>
      </c>
      <c r="P89" s="3351">
        <f t="shared" si="32"/>
        <v>0</v>
      </c>
      <c r="Q89" s="3351">
        <f t="shared" si="32"/>
        <v>97608</v>
      </c>
      <c r="R89" s="3351">
        <f t="shared" si="32"/>
        <v>39685</v>
      </c>
      <c r="S89" s="3352">
        <f t="shared" ref="S89:S96" si="33">+Y89+AE89</f>
        <v>2298456719</v>
      </c>
      <c r="T89" s="3349">
        <f>+SUM(O89:S89)</f>
        <v>2298594012</v>
      </c>
      <c r="U89" s="3420">
        <f t="shared" ref="U89:Y89" si="34">ROUNDDOWN(U67*$L$35/$L$39,0)+U145</f>
        <v>0</v>
      </c>
      <c r="V89" s="3421">
        <f t="shared" si="34"/>
        <v>0</v>
      </c>
      <c r="W89" s="3421">
        <f>ROUNDDOWN(W67*$L$35/$L$39,0)+W145</f>
        <v>88330</v>
      </c>
      <c r="X89" s="3421">
        <f t="shared" ref="X89" si="35">ROUNDDOWN(X67*$L$35/$L$39,0)+X145</f>
        <v>36967</v>
      </c>
      <c r="Y89" s="3422">
        <f t="shared" si="34"/>
        <v>823930954</v>
      </c>
      <c r="Z89" s="3349">
        <f>+SUM(U89:Y89)</f>
        <v>824056251</v>
      </c>
      <c r="AA89" s="3420">
        <f t="shared" ref="AA89:AB89" si="36">ROUNDDOWN(AA67*$L$35/$L$39,0)+AA145</f>
        <v>0</v>
      </c>
      <c r="AB89" s="3421">
        <f t="shared" si="36"/>
        <v>0</v>
      </c>
      <c r="AC89" s="3421">
        <f>ROUNDDOWN(AC67*$L$35/$L$39,0)+AC145</f>
        <v>9278</v>
      </c>
      <c r="AD89" s="3421">
        <f>ROUNDDOWN(AD67*$L$35/$L$39,0)+AD145</f>
        <v>2718</v>
      </c>
      <c r="AE89" s="3422">
        <f t="shared" ref="AE89" si="37">ROUNDDOWN(AE67*$L$35/$L$39,0)+AE145</f>
        <v>1474525765</v>
      </c>
      <c r="AF89" s="3349">
        <f>+SUM(AA89:AE89)</f>
        <v>1474537761</v>
      </c>
      <c r="AG89" s="2990"/>
    </row>
    <row r="90" spans="2:33" ht="13.5" customHeight="1">
      <c r="B90" s="3569"/>
      <c r="C90" s="3574"/>
      <c r="D90" s="3579"/>
      <c r="E90" s="2996" t="s">
        <v>5902</v>
      </c>
      <c r="F90" s="2982" t="s">
        <v>5901</v>
      </c>
      <c r="G90" s="3362">
        <f>+G83</f>
        <v>0</v>
      </c>
      <c r="H90" s="3363">
        <f>+H83</f>
        <v>131982078</v>
      </c>
      <c r="I90" s="3363">
        <f>+I83</f>
        <v>1702296</v>
      </c>
      <c r="J90" s="3363">
        <f>+J83</f>
        <v>130667</v>
      </c>
      <c r="K90" s="3364">
        <f>+K83</f>
        <v>8284711722</v>
      </c>
      <c r="L90" s="3356">
        <f>+SUM(G90:K90)</f>
        <v>8418526763</v>
      </c>
      <c r="M90" s="2995"/>
      <c r="N90" s="2982" t="s">
        <v>5901</v>
      </c>
      <c r="O90" s="3359">
        <f t="shared" si="32"/>
        <v>0</v>
      </c>
      <c r="P90" s="3360">
        <f t="shared" si="32"/>
        <v>131982078</v>
      </c>
      <c r="Q90" s="3360">
        <f t="shared" si="32"/>
        <v>1702296</v>
      </c>
      <c r="R90" s="3360">
        <f t="shared" si="32"/>
        <v>130667</v>
      </c>
      <c r="S90" s="3361">
        <f t="shared" si="33"/>
        <v>8284711722</v>
      </c>
      <c r="T90" s="3356">
        <f>+SUM(O90:S90)</f>
        <v>8418526763</v>
      </c>
      <c r="U90" s="3362">
        <f>+U83</f>
        <v>0</v>
      </c>
      <c r="V90" s="3363">
        <f>+V83</f>
        <v>0</v>
      </c>
      <c r="W90" s="3363">
        <f>+W83</f>
        <v>455392</v>
      </c>
      <c r="X90" s="3363">
        <f>+X83</f>
        <v>130568</v>
      </c>
      <c r="Y90" s="3364">
        <f>+Y83</f>
        <v>2312306920</v>
      </c>
      <c r="Z90" s="3356">
        <f>+SUM(U90:Y90)</f>
        <v>2312892880</v>
      </c>
      <c r="AA90" s="3362">
        <f>+AA83</f>
        <v>0</v>
      </c>
      <c r="AB90" s="3363">
        <f>+AB83</f>
        <v>131982078</v>
      </c>
      <c r="AC90" s="3363">
        <f>+AC83</f>
        <v>1246904</v>
      </c>
      <c r="AD90" s="3363">
        <f>+AD83</f>
        <v>99</v>
      </c>
      <c r="AE90" s="3364">
        <f>+AE83</f>
        <v>5972404802</v>
      </c>
      <c r="AF90" s="3356">
        <f>+SUM(AA90:AE90)</f>
        <v>6105633883</v>
      </c>
      <c r="AG90" s="2995"/>
    </row>
    <row r="91" spans="2:33" ht="21.75" customHeight="1">
      <c r="B91" s="3569"/>
      <c r="C91" s="3574"/>
      <c r="D91" s="3579"/>
      <c r="E91" s="2998" t="s">
        <v>5840</v>
      </c>
      <c r="F91" s="2982" t="s">
        <v>5900</v>
      </c>
      <c r="G91" s="3362">
        <f>ROUNDDOWN(G90*G$1/(1+G$7),0)</f>
        <v>0</v>
      </c>
      <c r="H91" s="3363">
        <f>ROUNDDOWN(H90*H$1/(1+H$7),0)</f>
        <v>5027888</v>
      </c>
      <c r="I91" s="3363">
        <f>ROUNDDOWN(I90*I$1/(1+I$7),0)</f>
        <v>99300</v>
      </c>
      <c r="J91" s="3363">
        <f>ROUNDDOWN(J90*J$1/(1+J$7),0)</f>
        <v>7549</v>
      </c>
      <c r="K91" s="3364">
        <f>ROUNDDOWN(K90*K$1/(1+K$7),0)</f>
        <v>587461376</v>
      </c>
      <c r="L91" s="3356">
        <f>+SUM(G91:K91)</f>
        <v>592596113</v>
      </c>
      <c r="M91" s="2995"/>
      <c r="N91" s="2999" t="s">
        <v>5899</v>
      </c>
      <c r="O91" s="3359">
        <f t="shared" si="32"/>
        <v>0</v>
      </c>
      <c r="P91" s="3360">
        <f t="shared" si="32"/>
        <v>6284860</v>
      </c>
      <c r="Q91" s="3360">
        <f t="shared" si="32"/>
        <v>126095</v>
      </c>
      <c r="R91" s="3360">
        <f t="shared" si="32"/>
        <v>9678</v>
      </c>
      <c r="S91" s="3361">
        <f t="shared" si="33"/>
        <v>753155611</v>
      </c>
      <c r="T91" s="3356">
        <f>+SUM(O91:S91)</f>
        <v>759576244</v>
      </c>
      <c r="U91" s="3362">
        <f t="shared" ref="U91:Y91" si="38">ROUNDDOWN(U90*U$7/(1+U$7),0)+U140</f>
        <v>0</v>
      </c>
      <c r="V91" s="3363">
        <f t="shared" si="38"/>
        <v>0</v>
      </c>
      <c r="W91" s="3363">
        <f t="shared" si="38"/>
        <v>33732</v>
      </c>
      <c r="X91" s="3363">
        <f t="shared" ref="X91" si="39">ROUNDDOWN(X90*X$7/(1+X$7),0)+X140</f>
        <v>9671</v>
      </c>
      <c r="Y91" s="3364">
        <f t="shared" si="38"/>
        <v>210209720</v>
      </c>
      <c r="Z91" s="3356">
        <f>+SUM(U91:Y91)</f>
        <v>210253123</v>
      </c>
      <c r="AA91" s="3362">
        <f t="shared" ref="AA91:AB91" si="40">ROUNDDOWN(AA90*AA$7/(1+AA$7),0)+AA140</f>
        <v>0</v>
      </c>
      <c r="AB91" s="3363">
        <f t="shared" si="40"/>
        <v>6284860</v>
      </c>
      <c r="AC91" s="3363">
        <f>ROUNDDOWN(AC90*AC$7/(1+AC$7),0)+AC140</f>
        <v>92363</v>
      </c>
      <c r="AD91" s="3363">
        <f>ROUNDDOWN(AD90*AD$7/(1+AD$7),0)+AD140</f>
        <v>7</v>
      </c>
      <c r="AE91" s="3364">
        <f t="shared" ref="AE91" si="41">ROUNDDOWN(AE90*AE$7/(1+AE$7),0)+AE140</f>
        <v>542945891</v>
      </c>
      <c r="AF91" s="3356">
        <f>+SUM(AA91:AE91)</f>
        <v>549323121</v>
      </c>
      <c r="AG91" s="2995"/>
    </row>
    <row r="92" spans="2:33" ht="13.5" customHeight="1">
      <c r="B92" s="3569"/>
      <c r="C92" s="3574"/>
      <c r="D92" s="3579"/>
      <c r="E92" s="3005" t="s">
        <v>5427</v>
      </c>
      <c r="F92" s="3003" t="s">
        <v>5897</v>
      </c>
      <c r="G92" s="3423"/>
      <c r="H92" s="3424"/>
      <c r="I92" s="3424"/>
      <c r="J92" s="3424"/>
      <c r="K92" s="3425"/>
      <c r="L92" s="3426">
        <f>+L35</f>
        <v>18871966907</v>
      </c>
      <c r="M92" s="3004" t="s">
        <v>5898</v>
      </c>
      <c r="N92" s="3003" t="s">
        <v>5897</v>
      </c>
      <c r="O92" s="3428">
        <f t="shared" si="32"/>
        <v>0</v>
      </c>
      <c r="P92" s="3429">
        <f t="shared" si="32"/>
        <v>0</v>
      </c>
      <c r="Q92" s="3429">
        <f t="shared" si="32"/>
        <v>0</v>
      </c>
      <c r="R92" s="3429">
        <f t="shared" si="32"/>
        <v>0</v>
      </c>
      <c r="S92" s="3430">
        <f t="shared" si="33"/>
        <v>0</v>
      </c>
      <c r="T92" s="3426">
        <f>+T35</f>
        <v>18871966907</v>
      </c>
      <c r="U92" s="3423"/>
      <c r="V92" s="3424"/>
      <c r="W92" s="3424"/>
      <c r="X92" s="3424"/>
      <c r="Y92" s="3425"/>
      <c r="Z92" s="3426">
        <f>+Z35</f>
        <v>0</v>
      </c>
      <c r="AA92" s="3423"/>
      <c r="AB92" s="3424"/>
      <c r="AC92" s="3424"/>
      <c r="AD92" s="3424"/>
      <c r="AE92" s="3425"/>
      <c r="AF92" s="3426">
        <f>+AF35</f>
        <v>0</v>
      </c>
      <c r="AG92" s="2995"/>
    </row>
    <row r="93" spans="2:33" ht="13.5" customHeight="1">
      <c r="B93" s="3569"/>
      <c r="C93" s="3574"/>
      <c r="D93" s="3579"/>
      <c r="E93" s="3006"/>
      <c r="F93" s="3000"/>
      <c r="G93" s="3373"/>
      <c r="H93" s="3374"/>
      <c r="I93" s="3374"/>
      <c r="J93" s="3374"/>
      <c r="K93" s="3375"/>
      <c r="L93" s="3356">
        <f>+L39</f>
        <v>18940559860</v>
      </c>
      <c r="M93" s="3001"/>
      <c r="N93" s="3000"/>
      <c r="O93" s="3431">
        <f t="shared" si="32"/>
        <v>0</v>
      </c>
      <c r="P93" s="3432">
        <f t="shared" si="32"/>
        <v>0</v>
      </c>
      <c r="Q93" s="3432">
        <f t="shared" si="32"/>
        <v>0</v>
      </c>
      <c r="R93" s="3432">
        <f t="shared" si="32"/>
        <v>0</v>
      </c>
      <c r="S93" s="3433">
        <f t="shared" si="33"/>
        <v>0</v>
      </c>
      <c r="T93" s="3356">
        <f>+T39</f>
        <v>18940559860</v>
      </c>
      <c r="U93" s="3373"/>
      <c r="V93" s="3374"/>
      <c r="W93" s="3374"/>
      <c r="X93" s="3374"/>
      <c r="Y93" s="3375"/>
      <c r="Z93" s="3356">
        <f>+Z39</f>
        <v>0</v>
      </c>
      <c r="AA93" s="3373"/>
      <c r="AB93" s="3374"/>
      <c r="AC93" s="3374"/>
      <c r="AD93" s="3374"/>
      <c r="AE93" s="3375"/>
      <c r="AF93" s="3356">
        <f>+AF39</f>
        <v>0</v>
      </c>
      <c r="AG93" s="2995"/>
    </row>
    <row r="94" spans="2:33" ht="13.5" customHeight="1">
      <c r="B94" s="3569"/>
      <c r="C94" s="3574"/>
      <c r="D94" s="3579"/>
      <c r="E94" s="2996" t="s">
        <v>5896</v>
      </c>
      <c r="F94" s="2982" t="s">
        <v>5895</v>
      </c>
      <c r="G94" s="3362">
        <f>ROUNDDOWN(G91*$L$92/$L$93,0)</f>
        <v>0</v>
      </c>
      <c r="H94" s="3363">
        <f>ROUNDDOWN(H91*$L$92/$L$93,0)</f>
        <v>5009679</v>
      </c>
      <c r="I94" s="3363">
        <f>ROUNDDOWN(I91*$L$92/$L$93,0)</f>
        <v>98940</v>
      </c>
      <c r="J94" s="3363">
        <f>ROUNDDOWN(J91*$L$92/$L$93,0)</f>
        <v>7521</v>
      </c>
      <c r="K94" s="3364">
        <f>ROUNDDOWN(K91*$L$92/$L$93,0)</f>
        <v>585333893</v>
      </c>
      <c r="L94" s="3356">
        <f>+SUM(G94:K94)</f>
        <v>590450033</v>
      </c>
      <c r="M94" s="2995"/>
      <c r="N94" s="2982" t="s">
        <v>5895</v>
      </c>
      <c r="O94" s="3359">
        <f t="shared" si="32"/>
        <v>0</v>
      </c>
      <c r="P94" s="3360">
        <f t="shared" si="32"/>
        <v>6262099</v>
      </c>
      <c r="Q94" s="3360">
        <f t="shared" si="32"/>
        <v>125637</v>
      </c>
      <c r="R94" s="3360">
        <f t="shared" si="32"/>
        <v>9641</v>
      </c>
      <c r="S94" s="3361">
        <f t="shared" si="33"/>
        <v>750428068</v>
      </c>
      <c r="T94" s="3356">
        <f>+SUM(O94:S94)</f>
        <v>756825445</v>
      </c>
      <c r="U94" s="3362">
        <f>ROUNDDOWN(U91*$L$92/$L$93,0)</f>
        <v>0</v>
      </c>
      <c r="V94" s="3363">
        <f>ROUNDDOWN(V91*$L$92/$L$93,0)</f>
        <v>0</v>
      </c>
      <c r="W94" s="3363">
        <f>ROUNDDOWN(W91*$L$92/$L$93,0)</f>
        <v>33609</v>
      </c>
      <c r="X94" s="3363">
        <f>ROUNDDOWN(X91*$L$92/$L$93,0)</f>
        <v>9635</v>
      </c>
      <c r="Y94" s="3364">
        <f>ROUNDDOWN(Y91*$L$92/$L$93,0)</f>
        <v>209448448</v>
      </c>
      <c r="Z94" s="3356">
        <f>+SUM(U94:Y94)</f>
        <v>209491692</v>
      </c>
      <c r="AA94" s="3362">
        <f>ROUNDDOWN(AA91*$L$92/$L$93,0)+AA150</f>
        <v>0</v>
      </c>
      <c r="AB94" s="3363">
        <f>ROUNDDOWN(AB91*$L$92/$L$93,0)+AB150</f>
        <v>6262099</v>
      </c>
      <c r="AC94" s="3363">
        <f>ROUNDDOWN(AC91*$L$92/$L$93,0)+AC150</f>
        <v>92028</v>
      </c>
      <c r="AD94" s="3363">
        <f>ROUNDDOWN(AD91*$L$92/$L$93,0)+AD150</f>
        <v>6</v>
      </c>
      <c r="AE94" s="3364">
        <f>ROUNDDOWN(AE91*$L$92/$L$93,0)+AE150</f>
        <v>540979620</v>
      </c>
      <c r="AF94" s="3356">
        <f>+SUM(AA94:AE94)</f>
        <v>547333753</v>
      </c>
      <c r="AG94" s="2995"/>
    </row>
    <row r="95" spans="2:33" ht="13.5" customHeight="1">
      <c r="B95" s="3569"/>
      <c r="C95" s="3574"/>
      <c r="D95" s="3579"/>
      <c r="E95" s="2996" t="s">
        <v>5894</v>
      </c>
      <c r="F95" s="2982"/>
      <c r="G95" s="3362"/>
      <c r="H95" s="3363"/>
      <c r="I95" s="3363"/>
      <c r="J95" s="3363"/>
      <c r="K95" s="3364"/>
      <c r="L95" s="3356"/>
      <c r="M95" s="2995"/>
      <c r="N95" s="2982"/>
      <c r="O95" s="3359">
        <f t="shared" si="32"/>
        <v>0</v>
      </c>
      <c r="P95" s="3360">
        <f t="shared" si="32"/>
        <v>0</v>
      </c>
      <c r="Q95" s="3360">
        <f t="shared" si="32"/>
        <v>0</v>
      </c>
      <c r="R95" s="3360">
        <f t="shared" si="32"/>
        <v>0</v>
      </c>
      <c r="S95" s="3361">
        <f t="shared" si="33"/>
        <v>0</v>
      </c>
      <c r="T95" s="3356"/>
      <c r="U95" s="3362"/>
      <c r="V95" s="3363"/>
      <c r="W95" s="3363"/>
      <c r="X95" s="3363"/>
      <c r="Y95" s="3364"/>
      <c r="Z95" s="3356"/>
      <c r="AA95" s="3362"/>
      <c r="AB95" s="3363"/>
      <c r="AC95" s="3363"/>
      <c r="AD95" s="3363"/>
      <c r="AE95" s="3364"/>
      <c r="AF95" s="3356"/>
      <c r="AG95" s="2995"/>
    </row>
    <row r="96" spans="2:33" ht="13.5" customHeight="1">
      <c r="B96" s="3569"/>
      <c r="C96" s="3574"/>
      <c r="D96" s="3579"/>
      <c r="E96" s="2996" t="s">
        <v>5893</v>
      </c>
      <c r="F96" s="2982" t="s">
        <v>5892</v>
      </c>
      <c r="G96" s="3362">
        <f>G89-G94</f>
        <v>0</v>
      </c>
      <c r="H96" s="3363">
        <f>H89-H94</f>
        <v>-5009679</v>
      </c>
      <c r="I96" s="3363">
        <f>I89-I94</f>
        <v>-22074</v>
      </c>
      <c r="J96" s="3363">
        <f>J89-J94</f>
        <v>23434</v>
      </c>
      <c r="K96" s="3364">
        <f>K89-K94</f>
        <v>1207462349</v>
      </c>
      <c r="L96" s="3356">
        <f>+SUM(G96:K96)</f>
        <v>1202454030</v>
      </c>
      <c r="M96" s="2995"/>
      <c r="N96" s="2982" t="s">
        <v>5892</v>
      </c>
      <c r="O96" s="3359">
        <f t="shared" si="32"/>
        <v>0</v>
      </c>
      <c r="P96" s="3360">
        <f t="shared" si="32"/>
        <v>-6262099</v>
      </c>
      <c r="Q96" s="3360">
        <f t="shared" si="32"/>
        <v>-28029</v>
      </c>
      <c r="R96" s="3360">
        <f t="shared" si="32"/>
        <v>30044</v>
      </c>
      <c r="S96" s="3361">
        <f t="shared" si="33"/>
        <v>1548028651</v>
      </c>
      <c r="T96" s="3356">
        <f>+SUM(O96:S96)</f>
        <v>1541768567</v>
      </c>
      <c r="U96" s="3362">
        <f>U89-U94</f>
        <v>0</v>
      </c>
      <c r="V96" s="3363">
        <f>V89-V94</f>
        <v>0</v>
      </c>
      <c r="W96" s="3363">
        <f>W89-W94</f>
        <v>54721</v>
      </c>
      <c r="X96" s="3363">
        <f>X89-X94</f>
        <v>27332</v>
      </c>
      <c r="Y96" s="3364">
        <f>Y89-Y94</f>
        <v>614482506</v>
      </c>
      <c r="Z96" s="3356">
        <f>+SUM(U96:Y96)</f>
        <v>614564559</v>
      </c>
      <c r="AA96" s="3362">
        <f>AA89-AA94</f>
        <v>0</v>
      </c>
      <c r="AB96" s="3363">
        <f>AB89-AB94</f>
        <v>-6262099</v>
      </c>
      <c r="AC96" s="3363">
        <f>AC89-AC94</f>
        <v>-82750</v>
      </c>
      <c r="AD96" s="3363">
        <f>AD89-AD94</f>
        <v>2712</v>
      </c>
      <c r="AE96" s="3364">
        <f>AE89-AE94</f>
        <v>933546145</v>
      </c>
      <c r="AF96" s="3356">
        <f>+SUM(AA96:AE96)</f>
        <v>927204008</v>
      </c>
      <c r="AG96" s="2995"/>
    </row>
    <row r="97" spans="2:33" ht="13.5" customHeight="1">
      <c r="B97" s="3569"/>
      <c r="C97" s="3574"/>
      <c r="D97" s="3579"/>
      <c r="E97" s="3005" t="s">
        <v>5891</v>
      </c>
      <c r="F97" s="3003" t="s">
        <v>5889</v>
      </c>
      <c r="G97" s="3423"/>
      <c r="H97" s="3424"/>
      <c r="I97" s="3424"/>
      <c r="J97" s="3424"/>
      <c r="K97" s="3425"/>
      <c r="L97" s="3434">
        <f>+基礎数値!$I20</f>
        <v>0</v>
      </c>
      <c r="M97" s="3004" t="s">
        <v>5890</v>
      </c>
      <c r="N97" s="3003" t="s">
        <v>5889</v>
      </c>
      <c r="O97" s="3428"/>
      <c r="P97" s="3429"/>
      <c r="Q97" s="3429"/>
      <c r="R97" s="3429"/>
      <c r="S97" s="3430"/>
      <c r="T97" s="3434">
        <f>+基礎数値!$I20</f>
        <v>0</v>
      </c>
      <c r="U97" s="3423"/>
      <c r="V97" s="3424"/>
      <c r="W97" s="3424"/>
      <c r="X97" s="3424"/>
      <c r="Y97" s="3425"/>
      <c r="Z97" s="3434">
        <f>+基礎数値!$I20</f>
        <v>0</v>
      </c>
      <c r="AA97" s="3423"/>
      <c r="AB97" s="3424"/>
      <c r="AC97" s="3424"/>
      <c r="AD97" s="3424"/>
      <c r="AE97" s="3425"/>
      <c r="AF97" s="3434">
        <f>+基礎数値!$I20</f>
        <v>0</v>
      </c>
      <c r="AG97" s="2995" t="s">
        <v>5888</v>
      </c>
    </row>
    <row r="98" spans="2:33" ht="13.5" customHeight="1">
      <c r="B98" s="3569"/>
      <c r="C98" s="3574"/>
      <c r="D98" s="3579"/>
      <c r="E98" s="3002" t="s">
        <v>5887</v>
      </c>
      <c r="F98" s="3000"/>
      <c r="G98" s="3373"/>
      <c r="H98" s="3374"/>
      <c r="I98" s="3374"/>
      <c r="J98" s="3374"/>
      <c r="K98" s="3375"/>
      <c r="L98" s="3356">
        <f>+L87</f>
        <v>18950268779</v>
      </c>
      <c r="M98" s="3001"/>
      <c r="N98" s="3000"/>
      <c r="O98" s="3431"/>
      <c r="P98" s="3432"/>
      <c r="Q98" s="3432"/>
      <c r="R98" s="3432"/>
      <c r="S98" s="3433"/>
      <c r="T98" s="3356">
        <f>+T87</f>
        <v>18950268779</v>
      </c>
      <c r="U98" s="3373"/>
      <c r="V98" s="3374"/>
      <c r="W98" s="3374"/>
      <c r="X98" s="3374"/>
      <c r="Y98" s="3375"/>
      <c r="Z98" s="3356">
        <f>+T87</f>
        <v>18950268779</v>
      </c>
      <c r="AA98" s="3373"/>
      <c r="AB98" s="3374"/>
      <c r="AC98" s="3374"/>
      <c r="AD98" s="3374"/>
      <c r="AE98" s="3375"/>
      <c r="AF98" s="3356">
        <f>+T87</f>
        <v>18950268779</v>
      </c>
      <c r="AG98" s="2995" t="s">
        <v>5886</v>
      </c>
    </row>
    <row r="99" spans="2:33" ht="13.5" customHeight="1">
      <c r="B99" s="3569"/>
      <c r="C99" s="3574"/>
      <c r="D99" s="3579"/>
      <c r="E99" s="2996" t="s">
        <v>5885</v>
      </c>
      <c r="F99" s="2982" t="s">
        <v>5884</v>
      </c>
      <c r="G99" s="3362">
        <f>ROUNDDOWN(G96*$L$97/$L$98,0)</f>
        <v>0</v>
      </c>
      <c r="H99" s="3363">
        <f>ROUNDDOWN(H96*$L$97/$L$98,0)</f>
        <v>0</v>
      </c>
      <c r="I99" s="3363">
        <f>ROUNDDOWN(I96*$L$97/$L$98,0)</f>
        <v>0</v>
      </c>
      <c r="J99" s="3363">
        <f>ROUNDDOWN(J96*$L$97/$L$98,0)</f>
        <v>0</v>
      </c>
      <c r="K99" s="3364">
        <f>ROUNDDOWN(K96*$L$97/$L$98,0)</f>
        <v>0</v>
      </c>
      <c r="L99" s="3356">
        <f>+SUM(G99:K99)</f>
        <v>0</v>
      </c>
      <c r="M99" s="2995"/>
      <c r="N99" s="2982" t="s">
        <v>5884</v>
      </c>
      <c r="O99" s="3359">
        <f t="shared" ref="O99:R101" si="42">+U99+AA99</f>
        <v>0</v>
      </c>
      <c r="P99" s="3360">
        <f t="shared" si="42"/>
        <v>0</v>
      </c>
      <c r="Q99" s="3360">
        <f t="shared" si="42"/>
        <v>0</v>
      </c>
      <c r="R99" s="3360">
        <f t="shared" si="42"/>
        <v>0</v>
      </c>
      <c r="S99" s="3361">
        <f>+Y99+AE99</f>
        <v>0</v>
      </c>
      <c r="T99" s="3356">
        <f>+SUM(O99:S99)</f>
        <v>0</v>
      </c>
      <c r="U99" s="3362">
        <f>ROUNDDOWN(U96*$Z$97/$Z$98,0)</f>
        <v>0</v>
      </c>
      <c r="V99" s="3363">
        <f>ROUNDDOWN(V96*$Z$97/$Z$98,0)</f>
        <v>0</v>
      </c>
      <c r="W99" s="3363">
        <f>ROUNDDOWN(W96*$Z$97/$Z$98,0)</f>
        <v>0</v>
      </c>
      <c r="X99" s="3363">
        <f>ROUNDDOWN(X96*$Z$97/$Z$98,0)</f>
        <v>0</v>
      </c>
      <c r="Y99" s="3364">
        <f>ROUNDDOWN(Y96*$Z$97/$Z$98,0)</f>
        <v>0</v>
      </c>
      <c r="Z99" s="3356">
        <f>+SUM(U99:Y99)</f>
        <v>0</v>
      </c>
      <c r="AA99" s="3362">
        <f>ROUNDDOWN(AA96*$AF$97/$AF$98,0)</f>
        <v>0</v>
      </c>
      <c r="AB99" s="3363">
        <f>ROUNDDOWN(AB96*$AF$97/$AF$98,0)</f>
        <v>0</v>
      </c>
      <c r="AC99" s="3363">
        <f>ROUNDDOWN(AC96*$AF$97/$AF$98,0)</f>
        <v>0</v>
      </c>
      <c r="AD99" s="3363">
        <f>ROUNDDOWN(AD96*$AF$97/$AF$98,0)</f>
        <v>0</v>
      </c>
      <c r="AE99" s="3364">
        <f>ROUNDDOWN(AE96*$AF$97/$AF$98,0)</f>
        <v>0</v>
      </c>
      <c r="AF99" s="3356">
        <f>+SUM(AA99:AE99)</f>
        <v>0</v>
      </c>
      <c r="AG99" s="2995"/>
    </row>
    <row r="100" spans="2:33" ht="13.5" customHeight="1">
      <c r="B100" s="3569"/>
      <c r="C100" s="3574"/>
      <c r="D100" s="3579"/>
      <c r="E100" s="2996" t="s">
        <v>5405</v>
      </c>
      <c r="F100" s="2982" t="s">
        <v>5883</v>
      </c>
      <c r="G100" s="3362">
        <f>G94+G99</f>
        <v>0</v>
      </c>
      <c r="H100" s="3363">
        <f>H94+H99</f>
        <v>5009679</v>
      </c>
      <c r="I100" s="3363">
        <f>I94+I99</f>
        <v>98940</v>
      </c>
      <c r="J100" s="3363">
        <f>J94+J99</f>
        <v>7521</v>
      </c>
      <c r="K100" s="3364">
        <f>K94+K99</f>
        <v>585333893</v>
      </c>
      <c r="L100" s="3356">
        <f>+SUM(G100:K100)</f>
        <v>590450033</v>
      </c>
      <c r="M100" s="2995"/>
      <c r="N100" s="2982" t="s">
        <v>5883</v>
      </c>
      <c r="O100" s="3359">
        <f t="shared" si="42"/>
        <v>0</v>
      </c>
      <c r="P100" s="3360">
        <f t="shared" si="42"/>
        <v>6262099</v>
      </c>
      <c r="Q100" s="3360">
        <f t="shared" si="42"/>
        <v>125637</v>
      </c>
      <c r="R100" s="3360">
        <f t="shared" si="42"/>
        <v>9641</v>
      </c>
      <c r="S100" s="3361">
        <f>+Y100+AE100</f>
        <v>750428068</v>
      </c>
      <c r="T100" s="3356">
        <f>+SUM(O100:S100)</f>
        <v>756825445</v>
      </c>
      <c r="U100" s="3362">
        <f>U94+U99</f>
        <v>0</v>
      </c>
      <c r="V100" s="3363">
        <f>V94+V99</f>
        <v>0</v>
      </c>
      <c r="W100" s="3363">
        <f>W94+W99</f>
        <v>33609</v>
      </c>
      <c r="X100" s="3363">
        <f>X94+X99</f>
        <v>9635</v>
      </c>
      <c r="Y100" s="3364">
        <f>Y94+Y99</f>
        <v>209448448</v>
      </c>
      <c r="Z100" s="3356">
        <f>+SUM(U100:Y100)</f>
        <v>209491692</v>
      </c>
      <c r="AA100" s="3362">
        <f>AA94+AA99</f>
        <v>0</v>
      </c>
      <c r="AB100" s="3363">
        <f>AB94+AB99</f>
        <v>6262099</v>
      </c>
      <c r="AC100" s="3363">
        <f>AC94+AC99</f>
        <v>92028</v>
      </c>
      <c r="AD100" s="3363">
        <f>AD94+AD99</f>
        <v>6</v>
      </c>
      <c r="AE100" s="3364">
        <f>AE94+AE99</f>
        <v>540979620</v>
      </c>
      <c r="AF100" s="3356">
        <f>+SUM(AA100:AE100)</f>
        <v>547333753</v>
      </c>
      <c r="AG100" s="2995"/>
    </row>
    <row r="101" spans="2:33" ht="13.5" customHeight="1">
      <c r="B101" s="3570"/>
      <c r="C101" s="3572"/>
      <c r="D101" s="3580"/>
      <c r="E101" s="2994" t="s">
        <v>5400</v>
      </c>
      <c r="F101" s="2978" t="s">
        <v>5882</v>
      </c>
      <c r="G101" s="3365">
        <f>G89-G100</f>
        <v>0</v>
      </c>
      <c r="H101" s="3366">
        <f>H89-H100</f>
        <v>-5009679</v>
      </c>
      <c r="I101" s="3366">
        <f>I89-I100</f>
        <v>-22074</v>
      </c>
      <c r="J101" s="3366">
        <f>J89-J100</f>
        <v>23434</v>
      </c>
      <c r="K101" s="3367">
        <f>K89-K100</f>
        <v>1207462349</v>
      </c>
      <c r="L101" s="3368">
        <f>+SUM(G101:K101)</f>
        <v>1202454030</v>
      </c>
      <c r="M101" s="2993"/>
      <c r="N101" s="2978" t="s">
        <v>5882</v>
      </c>
      <c r="O101" s="3370">
        <f t="shared" si="42"/>
        <v>0</v>
      </c>
      <c r="P101" s="3371">
        <f t="shared" si="42"/>
        <v>-6262099</v>
      </c>
      <c r="Q101" s="3371">
        <f t="shared" si="42"/>
        <v>-28029</v>
      </c>
      <c r="R101" s="3371">
        <f t="shared" si="42"/>
        <v>30044</v>
      </c>
      <c r="S101" s="3372">
        <f>+Y101+AE101</f>
        <v>1548028651</v>
      </c>
      <c r="T101" s="3368">
        <f>+SUM(O101:S101)</f>
        <v>1541768567</v>
      </c>
      <c r="U101" s="3365">
        <f>U89-U100</f>
        <v>0</v>
      </c>
      <c r="V101" s="3366">
        <f>V89-V100</f>
        <v>0</v>
      </c>
      <c r="W101" s="3366">
        <f>W89-W100</f>
        <v>54721</v>
      </c>
      <c r="X101" s="3366">
        <f>X89-X100</f>
        <v>27332</v>
      </c>
      <c r="Y101" s="3367">
        <f>Y89-Y100</f>
        <v>614482506</v>
      </c>
      <c r="Z101" s="3368">
        <f>+SUM(U101:Y101)</f>
        <v>614564559</v>
      </c>
      <c r="AA101" s="3365">
        <f>AA89-AA100</f>
        <v>0</v>
      </c>
      <c r="AB101" s="3366">
        <f>AB89-AB100</f>
        <v>-6262099</v>
      </c>
      <c r="AC101" s="3366">
        <f>AC89-AC100</f>
        <v>-82750</v>
      </c>
      <c r="AD101" s="3366">
        <f>AD89-AD100</f>
        <v>2712</v>
      </c>
      <c r="AE101" s="3367">
        <f>AE89-AE100</f>
        <v>933546145</v>
      </c>
      <c r="AF101" s="3368">
        <f>+SUM(AA101:AE101)</f>
        <v>927204008</v>
      </c>
      <c r="AG101" s="2993"/>
    </row>
    <row r="102" spans="2:33" ht="13.5" customHeight="1">
      <c r="B102" s="3568" t="s">
        <v>5881</v>
      </c>
      <c r="C102" s="3571">
        <v>1</v>
      </c>
      <c r="D102" s="3575" t="s">
        <v>5396</v>
      </c>
      <c r="E102" s="2992" t="s">
        <v>5375</v>
      </c>
      <c r="F102" s="2997"/>
      <c r="G102" s="3420"/>
      <c r="H102" s="3421"/>
      <c r="I102" s="3421"/>
      <c r="J102" s="3421"/>
      <c r="K102" s="3422"/>
      <c r="L102" s="3349"/>
      <c r="M102" s="2990"/>
      <c r="N102" s="2997"/>
      <c r="O102" s="3350"/>
      <c r="P102" s="3351"/>
      <c r="Q102" s="3351"/>
      <c r="R102" s="3351"/>
      <c r="S102" s="3352"/>
      <c r="T102" s="3349"/>
      <c r="U102" s="3420"/>
      <c r="V102" s="3421"/>
      <c r="W102" s="3421"/>
      <c r="X102" s="3421"/>
      <c r="Y102" s="3422"/>
      <c r="Z102" s="3349"/>
      <c r="AA102" s="3420"/>
      <c r="AB102" s="3421"/>
      <c r="AC102" s="3421"/>
      <c r="AD102" s="3421"/>
      <c r="AE102" s="3422"/>
      <c r="AF102" s="3349"/>
      <c r="AG102" s="2990"/>
    </row>
    <row r="103" spans="2:33" ht="13.5" customHeight="1">
      <c r="B103" s="3569"/>
      <c r="C103" s="3574"/>
      <c r="D103" s="3576"/>
      <c r="E103" s="2996" t="s">
        <v>5880</v>
      </c>
      <c r="F103" s="2982" t="s">
        <v>5879</v>
      </c>
      <c r="G103" s="3362">
        <f>+G101</f>
        <v>0</v>
      </c>
      <c r="H103" s="3363">
        <f>+H101</f>
        <v>-5009679</v>
      </c>
      <c r="I103" s="3363">
        <f>+I101</f>
        <v>-22074</v>
      </c>
      <c r="J103" s="3363">
        <f>+J101</f>
        <v>23434</v>
      </c>
      <c r="K103" s="3364">
        <f>+K101</f>
        <v>1207462349</v>
      </c>
      <c r="L103" s="3356">
        <f t="shared" ref="L103:L110" si="43">+SUM(G103:K103)</f>
        <v>1202454030</v>
      </c>
      <c r="M103" s="2995"/>
      <c r="N103" s="2982" t="s">
        <v>5879</v>
      </c>
      <c r="O103" s="3359">
        <f t="shared" ref="O103:R110" si="44">+U103+AA103</f>
        <v>0</v>
      </c>
      <c r="P103" s="3360">
        <f t="shared" si="44"/>
        <v>-6262099</v>
      </c>
      <c r="Q103" s="3360">
        <f t="shared" si="44"/>
        <v>-28029</v>
      </c>
      <c r="R103" s="3360">
        <f t="shared" si="44"/>
        <v>30044</v>
      </c>
      <c r="S103" s="3361">
        <f t="shared" ref="S103:T110" si="45">+Y103+AE103</f>
        <v>1548028651</v>
      </c>
      <c r="T103" s="3356">
        <f t="shared" si="45"/>
        <v>1541768567</v>
      </c>
      <c r="U103" s="3362">
        <f>+U101</f>
        <v>0</v>
      </c>
      <c r="V103" s="3363">
        <f>+V101</f>
        <v>0</v>
      </c>
      <c r="W103" s="3363">
        <f>+W101</f>
        <v>54721</v>
      </c>
      <c r="X103" s="3363">
        <f>+X101</f>
        <v>27332</v>
      </c>
      <c r="Y103" s="3364">
        <f>+Y101</f>
        <v>614482506</v>
      </c>
      <c r="Z103" s="3356">
        <f t="shared" ref="Z103:Z110" si="46">+SUM(U103:Y103)</f>
        <v>614564559</v>
      </c>
      <c r="AA103" s="3362">
        <f>+AA101</f>
        <v>0</v>
      </c>
      <c r="AB103" s="3363">
        <f>+AB101</f>
        <v>-6262099</v>
      </c>
      <c r="AC103" s="3363">
        <f>+AC101</f>
        <v>-82750</v>
      </c>
      <c r="AD103" s="3363">
        <f>+AD101</f>
        <v>2712</v>
      </c>
      <c r="AE103" s="3364">
        <f>+AE101</f>
        <v>933546145</v>
      </c>
      <c r="AF103" s="3356">
        <f t="shared" ref="AF103:AF110" si="47">+SUM(AA103:AE103)</f>
        <v>927204008</v>
      </c>
      <c r="AG103" s="2995"/>
    </row>
    <row r="104" spans="2:33" ht="21.75" customHeight="1">
      <c r="B104" s="3569"/>
      <c r="C104" s="3574"/>
      <c r="D104" s="3576"/>
      <c r="E104" s="2998" t="s">
        <v>5878</v>
      </c>
      <c r="F104" s="2982" t="s">
        <v>5877</v>
      </c>
      <c r="G104" s="3362">
        <f>ROUNDDOWN(G29*G$1/(1+G$7),0)</f>
        <v>0</v>
      </c>
      <c r="H104" s="3363">
        <f>ROUNDDOWN(H29*H$1/(1+H$7),0)</f>
        <v>0</v>
      </c>
      <c r="I104" s="3363">
        <f>ROUNDDOWN(I29*I$1/(1+I$7),0)</f>
        <v>2294</v>
      </c>
      <c r="J104" s="3363">
        <f>ROUNDDOWN(J29*J$1/(1+J$7),0)</f>
        <v>0</v>
      </c>
      <c r="K104" s="3364">
        <f>ROUNDDOWN(K29*K$1/(1+K$7),0)</f>
        <v>754454</v>
      </c>
      <c r="L104" s="3356">
        <f t="shared" si="43"/>
        <v>756748</v>
      </c>
      <c r="M104" s="2995" t="s">
        <v>5606</v>
      </c>
      <c r="N104" s="2999" t="s">
        <v>5876</v>
      </c>
      <c r="O104" s="3359">
        <f t="shared" si="44"/>
        <v>0</v>
      </c>
      <c r="P104" s="3360">
        <f t="shared" si="44"/>
        <v>0</v>
      </c>
      <c r="Q104" s="3360">
        <f t="shared" si="44"/>
        <v>2914</v>
      </c>
      <c r="R104" s="3360">
        <f t="shared" si="44"/>
        <v>0</v>
      </c>
      <c r="S104" s="3361">
        <f t="shared" si="45"/>
        <v>967249</v>
      </c>
      <c r="T104" s="3435">
        <f t="shared" si="45"/>
        <v>970163</v>
      </c>
      <c r="U104" s="3436">
        <f>ROUNDDOWN(U29*U$7/(1+U$7),0)</f>
        <v>0</v>
      </c>
      <c r="V104" s="3437">
        <f>ROUNDDOWN(V29*V$7/(1+V$7),0)</f>
        <v>0</v>
      </c>
      <c r="W104" s="3437">
        <f>ROUNDDOWN(W29*W$7/(1+W$7),0)</f>
        <v>2914</v>
      </c>
      <c r="X104" s="3437">
        <f>ROUNDDOWN(X29*X$7/(1+X$7),0)</f>
        <v>0</v>
      </c>
      <c r="Y104" s="3438">
        <f>ROUNDDOWN(Y29*Y$7/(1+Y$7),0)</f>
        <v>967249</v>
      </c>
      <c r="Z104" s="3356">
        <f t="shared" si="46"/>
        <v>970163</v>
      </c>
      <c r="AA104" s="3362">
        <f>ROUNDDOWN(AA29*AA$7/(1+AA$7),0)</f>
        <v>0</v>
      </c>
      <c r="AB104" s="3363">
        <f>ROUNDDOWN(AB29*AB$7/(1+AB$7),0)</f>
        <v>0</v>
      </c>
      <c r="AC104" s="3363">
        <f>ROUNDDOWN(AC29*AC$7/(1+AC$7),0)</f>
        <v>0</v>
      </c>
      <c r="AD104" s="3363">
        <f>ROUNDDOWN(AD29*AD$7/(1+AD$7),0)</f>
        <v>0</v>
      </c>
      <c r="AE104" s="3364">
        <f>ROUNDDOWN(AE29*AE$7/(1+AE$7),0)</f>
        <v>0</v>
      </c>
      <c r="AF104" s="3356">
        <f t="shared" si="47"/>
        <v>0</v>
      </c>
      <c r="AG104" s="2995"/>
    </row>
    <row r="105" spans="2:33" ht="13.5" customHeight="1">
      <c r="B105" s="3569"/>
      <c r="C105" s="3574"/>
      <c r="D105" s="3576"/>
      <c r="E105" s="2996" t="s">
        <v>5875</v>
      </c>
      <c r="F105" s="2982" t="s">
        <v>5874</v>
      </c>
      <c r="G105" s="3353">
        <f>+基礎数値!$D17</f>
        <v>0</v>
      </c>
      <c r="H105" s="3354">
        <f>+基礎数値!$E17</f>
        <v>1120996</v>
      </c>
      <c r="I105" s="3354">
        <f>+基礎数値!$F17</f>
        <v>24667001</v>
      </c>
      <c r="J105" s="3354">
        <f>+基礎数値!$G17</f>
        <v>0</v>
      </c>
      <c r="K105" s="3355">
        <f>+基礎数値!$H17</f>
        <v>0</v>
      </c>
      <c r="L105" s="3356">
        <f t="shared" si="43"/>
        <v>25787997</v>
      </c>
      <c r="M105" s="2995"/>
      <c r="N105" s="2982" t="s">
        <v>5874</v>
      </c>
      <c r="O105" s="3359">
        <f t="shared" si="44"/>
        <v>0</v>
      </c>
      <c r="P105" s="3360">
        <f t="shared" si="44"/>
        <v>1120996</v>
      </c>
      <c r="Q105" s="3360">
        <f t="shared" si="44"/>
        <v>24667001</v>
      </c>
      <c r="R105" s="3360">
        <f t="shared" si="44"/>
        <v>0</v>
      </c>
      <c r="S105" s="3361">
        <f t="shared" si="45"/>
        <v>0</v>
      </c>
      <c r="T105" s="3356">
        <f t="shared" si="45"/>
        <v>25787997</v>
      </c>
      <c r="U105" s="3353">
        <f>+基礎数値!$D17</f>
        <v>0</v>
      </c>
      <c r="V105" s="3354">
        <f>+基礎数値!$E17</f>
        <v>1120996</v>
      </c>
      <c r="W105" s="3354">
        <f>+基礎数値!$F17</f>
        <v>24667001</v>
      </c>
      <c r="X105" s="3354">
        <f>+基礎数値!$G17</f>
        <v>0</v>
      </c>
      <c r="Y105" s="3355">
        <f>+基礎数値!$H17</f>
        <v>0</v>
      </c>
      <c r="Z105" s="3356">
        <f t="shared" si="46"/>
        <v>25787997</v>
      </c>
      <c r="AA105" s="3359"/>
      <c r="AB105" s="3360"/>
      <c r="AC105" s="3360"/>
      <c r="AD105" s="3360"/>
      <c r="AE105" s="3361"/>
      <c r="AF105" s="3356">
        <f t="shared" si="47"/>
        <v>0</v>
      </c>
      <c r="AG105" s="2995"/>
    </row>
    <row r="106" spans="2:33" ht="21.75" customHeight="1">
      <c r="B106" s="3569"/>
      <c r="C106" s="3574"/>
      <c r="D106" s="3576"/>
      <c r="E106" s="2998" t="s">
        <v>5873</v>
      </c>
      <c r="F106" s="2982" t="s">
        <v>5872</v>
      </c>
      <c r="G106" s="3362">
        <f>ROUNDDOWN(G105*G$1/(1+G$7),0)</f>
        <v>0</v>
      </c>
      <c r="H106" s="3363">
        <f>ROUNDDOWN(H105*H$1/(1+H$7),0)</f>
        <v>42704</v>
      </c>
      <c r="I106" s="3363">
        <f>ROUNDDOWN(I105*I$1/(1+I$7),0)</f>
        <v>1438908</v>
      </c>
      <c r="J106" s="3363">
        <f>ROUNDDOWN(J105*J$1/(1+J$7),0)</f>
        <v>0</v>
      </c>
      <c r="K106" s="3364">
        <f>ROUNDDOWN(K105*K$1/(1+K$7),0)</f>
        <v>0</v>
      </c>
      <c r="L106" s="3356">
        <f t="shared" si="43"/>
        <v>1481612</v>
      </c>
      <c r="M106" s="2995" t="s">
        <v>5603</v>
      </c>
      <c r="N106" s="2999" t="s">
        <v>5871</v>
      </c>
      <c r="O106" s="3359">
        <f t="shared" si="44"/>
        <v>0</v>
      </c>
      <c r="P106" s="3360">
        <f t="shared" si="44"/>
        <v>53380</v>
      </c>
      <c r="Q106" s="3360">
        <f t="shared" si="44"/>
        <v>1827185</v>
      </c>
      <c r="R106" s="3360">
        <f t="shared" si="44"/>
        <v>0</v>
      </c>
      <c r="S106" s="3361">
        <f t="shared" si="45"/>
        <v>0</v>
      </c>
      <c r="T106" s="3435">
        <f t="shared" si="45"/>
        <v>1880565</v>
      </c>
      <c r="U106" s="3362">
        <f>ROUNDDOWN(U105*U$7/(1+U$7),0)</f>
        <v>0</v>
      </c>
      <c r="V106" s="3363">
        <f>ROUNDDOWN(V105*V$7/(1+V$7),0)</f>
        <v>53380</v>
      </c>
      <c r="W106" s="3363">
        <f>ROUNDDOWN(W105*W$7/(1+W$7),0)</f>
        <v>1827185</v>
      </c>
      <c r="X106" s="3363">
        <f>ROUNDDOWN(X105*X$7/(1+X$7),0)</f>
        <v>0</v>
      </c>
      <c r="Y106" s="3364">
        <f>ROUNDDOWN(Y105*Y$7/(1+Y$7),0)</f>
        <v>0</v>
      </c>
      <c r="Z106" s="3356">
        <f t="shared" si="46"/>
        <v>1880565</v>
      </c>
      <c r="AA106" s="3362">
        <f>ROUNDDOWN(AA105*AA$7/(1+AA$7),0)</f>
        <v>0</v>
      </c>
      <c r="AB106" s="3363">
        <f>ROUNDDOWN(AB105*AB$7/(1+AB$7),0)</f>
        <v>0</v>
      </c>
      <c r="AC106" s="3363">
        <f>ROUNDDOWN(AC105*AC$7/(1+AC$7),0)</f>
        <v>0</v>
      </c>
      <c r="AD106" s="3363">
        <f>ROUNDDOWN(AD105*AD$7/(1+AD$7),0)</f>
        <v>0</v>
      </c>
      <c r="AE106" s="3364">
        <f>ROUNDDOWN(AE105*AE$7/(1+AE$7),0)</f>
        <v>0</v>
      </c>
      <c r="AF106" s="3356">
        <f t="shared" si="47"/>
        <v>0</v>
      </c>
      <c r="AG106" s="2995"/>
    </row>
    <row r="107" spans="2:33" ht="13.5" customHeight="1">
      <c r="B107" s="3569"/>
      <c r="C107" s="3572"/>
      <c r="D107" s="3577"/>
      <c r="E107" s="2994" t="s">
        <v>5870</v>
      </c>
      <c r="F107" s="2978" t="s">
        <v>5868</v>
      </c>
      <c r="G107" s="3365">
        <f>G103+G104+G106</f>
        <v>0</v>
      </c>
      <c r="H107" s="3366">
        <f>H103+H104+H106</f>
        <v>-4966975</v>
      </c>
      <c r="I107" s="3366">
        <f>I103+I104+I106</f>
        <v>1419128</v>
      </c>
      <c r="J107" s="3366">
        <f>J103+J104+J106</f>
        <v>23434</v>
      </c>
      <c r="K107" s="3367">
        <f>K103+K104+K106</f>
        <v>1208216803</v>
      </c>
      <c r="L107" s="3368">
        <f t="shared" si="43"/>
        <v>1204692390</v>
      </c>
      <c r="M107" s="2993" t="s">
        <v>5869</v>
      </c>
      <c r="N107" s="2978" t="s">
        <v>5868</v>
      </c>
      <c r="O107" s="3370">
        <f t="shared" si="44"/>
        <v>0</v>
      </c>
      <c r="P107" s="3371">
        <f t="shared" si="44"/>
        <v>-6208719</v>
      </c>
      <c r="Q107" s="3371">
        <f t="shared" si="44"/>
        <v>1802070</v>
      </c>
      <c r="R107" s="3371">
        <f t="shared" si="44"/>
        <v>30044</v>
      </c>
      <c r="S107" s="3372">
        <f t="shared" si="45"/>
        <v>1548995900</v>
      </c>
      <c r="T107" s="3368">
        <f t="shared" si="45"/>
        <v>1544619295</v>
      </c>
      <c r="U107" s="3365">
        <f>U103+U104+U106</f>
        <v>0</v>
      </c>
      <c r="V107" s="3366">
        <f>V103+V104+V106</f>
        <v>53380</v>
      </c>
      <c r="W107" s="3366">
        <f>W103+W104+W106</f>
        <v>1884820</v>
      </c>
      <c r="X107" s="3366">
        <f>X103+X104+X106</f>
        <v>27332</v>
      </c>
      <c r="Y107" s="3367">
        <f>Y103+Y104+Y106</f>
        <v>615449755</v>
      </c>
      <c r="Z107" s="3368">
        <f t="shared" si="46"/>
        <v>617415287</v>
      </c>
      <c r="AA107" s="3365">
        <f>AA103+AA104+AA106</f>
        <v>0</v>
      </c>
      <c r="AB107" s="3366">
        <f>AB103+AB104+AB106</f>
        <v>-6262099</v>
      </c>
      <c r="AC107" s="3366">
        <f>AC103+AC104+AC106</f>
        <v>-82750</v>
      </c>
      <c r="AD107" s="3366">
        <f>AD103+AD104+AD106</f>
        <v>2712</v>
      </c>
      <c r="AE107" s="3367">
        <f>AE103+AE104+AE106</f>
        <v>933546145</v>
      </c>
      <c r="AF107" s="3368">
        <f t="shared" si="47"/>
        <v>927204008</v>
      </c>
      <c r="AG107" s="2993"/>
    </row>
    <row r="108" spans="2:33" ht="13.5" customHeight="1">
      <c r="B108" s="3569"/>
      <c r="C108" s="3571">
        <v>2</v>
      </c>
      <c r="D108" s="3578" t="s">
        <v>5378</v>
      </c>
      <c r="E108" s="2992" t="s">
        <v>5377</v>
      </c>
      <c r="F108" s="2997" t="s">
        <v>5867</v>
      </c>
      <c r="G108" s="3420">
        <f>G32</f>
        <v>0</v>
      </c>
      <c r="H108" s="3421">
        <f>H32</f>
        <v>0</v>
      </c>
      <c r="I108" s="3421">
        <f>I32</f>
        <v>2709</v>
      </c>
      <c r="J108" s="3421">
        <f>J32</f>
        <v>0</v>
      </c>
      <c r="K108" s="3422">
        <f>K32</f>
        <v>1472760510</v>
      </c>
      <c r="L108" s="3349">
        <f t="shared" si="43"/>
        <v>1472763219</v>
      </c>
      <c r="M108" s="2990"/>
      <c r="N108" s="2997" t="s">
        <v>5867</v>
      </c>
      <c r="O108" s="3350">
        <f t="shared" si="44"/>
        <v>0</v>
      </c>
      <c r="P108" s="3351">
        <f t="shared" si="44"/>
        <v>0</v>
      </c>
      <c r="Q108" s="3351">
        <f t="shared" si="44"/>
        <v>3485</v>
      </c>
      <c r="R108" s="3351">
        <f t="shared" si="44"/>
        <v>0</v>
      </c>
      <c r="S108" s="3352">
        <f t="shared" si="45"/>
        <v>1888154539</v>
      </c>
      <c r="T108" s="3349">
        <f t="shared" si="45"/>
        <v>1888158024</v>
      </c>
      <c r="U108" s="3420">
        <f>U32</f>
        <v>0</v>
      </c>
      <c r="V108" s="3421">
        <f>V32</f>
        <v>0</v>
      </c>
      <c r="W108" s="3421">
        <f>W32</f>
        <v>3485</v>
      </c>
      <c r="X108" s="3421">
        <f>X32</f>
        <v>0</v>
      </c>
      <c r="Y108" s="3422">
        <f>Y32</f>
        <v>1884546229</v>
      </c>
      <c r="Z108" s="3349">
        <f t="shared" si="46"/>
        <v>1884549714</v>
      </c>
      <c r="AA108" s="3420">
        <f>AA32</f>
        <v>0</v>
      </c>
      <c r="AB108" s="3421">
        <f>AB32</f>
        <v>0</v>
      </c>
      <c r="AC108" s="3421">
        <f>AC32</f>
        <v>0</v>
      </c>
      <c r="AD108" s="3421">
        <f>AD32</f>
        <v>0</v>
      </c>
      <c r="AE108" s="3422">
        <f>AE32</f>
        <v>3608310</v>
      </c>
      <c r="AF108" s="3349">
        <f t="shared" si="47"/>
        <v>3608310</v>
      </c>
      <c r="AG108" s="2990"/>
    </row>
    <row r="109" spans="2:33" ht="13.5" customHeight="1">
      <c r="B109" s="3569"/>
      <c r="C109" s="3574"/>
      <c r="D109" s="3579"/>
      <c r="E109" s="2996" t="s">
        <v>5375</v>
      </c>
      <c r="F109" s="2982" t="s">
        <v>5866</v>
      </c>
      <c r="G109" s="3362">
        <f>G107</f>
        <v>0</v>
      </c>
      <c r="H109" s="3363">
        <f>H107</f>
        <v>-4966975</v>
      </c>
      <c r="I109" s="3363">
        <f>I107</f>
        <v>1419128</v>
      </c>
      <c r="J109" s="3363">
        <f>J107</f>
        <v>23434</v>
      </c>
      <c r="K109" s="3364">
        <f>K107</f>
        <v>1208216803</v>
      </c>
      <c r="L109" s="3356">
        <f t="shared" si="43"/>
        <v>1204692390</v>
      </c>
      <c r="M109" s="2995"/>
      <c r="N109" s="2982" t="s">
        <v>5866</v>
      </c>
      <c r="O109" s="3359">
        <f t="shared" si="44"/>
        <v>0</v>
      </c>
      <c r="P109" s="3360">
        <f t="shared" si="44"/>
        <v>-6208719</v>
      </c>
      <c r="Q109" s="3360">
        <f t="shared" si="44"/>
        <v>1802070</v>
      </c>
      <c r="R109" s="3360">
        <f t="shared" si="44"/>
        <v>30044</v>
      </c>
      <c r="S109" s="3361">
        <f t="shared" si="45"/>
        <v>1548995900</v>
      </c>
      <c r="T109" s="3356">
        <f t="shared" si="45"/>
        <v>1544619295</v>
      </c>
      <c r="U109" s="3362">
        <f>U107</f>
        <v>0</v>
      </c>
      <c r="V109" s="3363">
        <f>V107</f>
        <v>53380</v>
      </c>
      <c r="W109" s="3363">
        <f>W107</f>
        <v>1884820</v>
      </c>
      <c r="X109" s="3363">
        <f>X107</f>
        <v>27332</v>
      </c>
      <c r="Y109" s="3364">
        <f>Y107</f>
        <v>615449755</v>
      </c>
      <c r="Z109" s="3356">
        <f t="shared" si="46"/>
        <v>617415287</v>
      </c>
      <c r="AA109" s="3362">
        <f>AA107</f>
        <v>0</v>
      </c>
      <c r="AB109" s="3363">
        <f>AB107</f>
        <v>-6262099</v>
      </c>
      <c r="AC109" s="3363">
        <f>AC107</f>
        <v>-82750</v>
      </c>
      <c r="AD109" s="3363">
        <f>AD107</f>
        <v>2712</v>
      </c>
      <c r="AE109" s="3364">
        <f>AE107</f>
        <v>933546145</v>
      </c>
      <c r="AF109" s="3356">
        <f t="shared" si="47"/>
        <v>927204008</v>
      </c>
      <c r="AG109" s="2995"/>
    </row>
    <row r="110" spans="2:33" ht="13.5" customHeight="1">
      <c r="B110" s="3569"/>
      <c r="C110" s="3574"/>
      <c r="D110" s="3579"/>
      <c r="E110" s="2998" t="s">
        <v>5373</v>
      </c>
      <c r="F110" s="2982" t="s">
        <v>5864</v>
      </c>
      <c r="G110" s="3362">
        <f>ROUNDDOWN(G108-G109,-2)</f>
        <v>0</v>
      </c>
      <c r="H110" s="3363">
        <f>ROUNDDOWN(H108-H109,-2)</f>
        <v>4966900</v>
      </c>
      <c r="I110" s="3363">
        <f>ROUNDDOWN(I108-I109,-2)</f>
        <v>-1416400</v>
      </c>
      <c r="J110" s="3363">
        <f>ROUNDDOWN(J108-J109,-2)</f>
        <v>-23400</v>
      </c>
      <c r="K110" s="3364">
        <f>ROUNDDOWN(K108-K109,-2)</f>
        <v>264543700</v>
      </c>
      <c r="L110" s="3356">
        <f t="shared" si="43"/>
        <v>268070800</v>
      </c>
      <c r="M110" s="2995" t="s">
        <v>5865</v>
      </c>
      <c r="N110" s="2982" t="s">
        <v>5864</v>
      </c>
      <c r="O110" s="3359">
        <f t="shared" si="44"/>
        <v>0</v>
      </c>
      <c r="P110" s="3360">
        <f t="shared" si="44"/>
        <v>6208719</v>
      </c>
      <c r="Q110" s="3360">
        <f t="shared" si="44"/>
        <v>-1798585</v>
      </c>
      <c r="R110" s="3360">
        <f t="shared" si="44"/>
        <v>-30044</v>
      </c>
      <c r="S110" s="3361">
        <f t="shared" si="45"/>
        <v>339158639</v>
      </c>
      <c r="T110" s="3356">
        <f t="shared" si="45"/>
        <v>343538729</v>
      </c>
      <c r="U110" s="3362">
        <f>ROUNDDOWN(U108-U109,0)</f>
        <v>0</v>
      </c>
      <c r="V110" s="3363">
        <f>ROUNDDOWN(V108-V109,0)</f>
        <v>-53380</v>
      </c>
      <c r="W110" s="3363">
        <f>ROUNDDOWN(W108-W109,0)</f>
        <v>-1881335</v>
      </c>
      <c r="X110" s="3363">
        <f>ROUNDDOWN(X108-X109,0)</f>
        <v>-27332</v>
      </c>
      <c r="Y110" s="3364">
        <f>ROUNDDOWN(Y108-Y109,0)</f>
        <v>1269096474</v>
      </c>
      <c r="Z110" s="3356">
        <f t="shared" si="46"/>
        <v>1267134427</v>
      </c>
      <c r="AA110" s="3362">
        <f>ROUNDDOWN(AA108-AA109,0)</f>
        <v>0</v>
      </c>
      <c r="AB110" s="3363">
        <f>ROUNDDOWN(AB108-AB109,0)</f>
        <v>6262099</v>
      </c>
      <c r="AC110" s="3363">
        <f>ROUNDDOWN(AC108-AC109,0)</f>
        <v>82750</v>
      </c>
      <c r="AD110" s="3363">
        <f>ROUNDDOWN(AD108-AD109,0)</f>
        <v>-2712</v>
      </c>
      <c r="AE110" s="3364">
        <f>ROUNDDOWN(AE108-AE109,0)</f>
        <v>-929937835</v>
      </c>
      <c r="AF110" s="3356">
        <f t="shared" si="47"/>
        <v>-923595698</v>
      </c>
      <c r="AG110" s="2995"/>
    </row>
    <row r="111" spans="2:33" ht="13.5" customHeight="1">
      <c r="B111" s="3569"/>
      <c r="C111" s="3574"/>
      <c r="D111" s="3579"/>
      <c r="E111" s="2998" t="s">
        <v>5588</v>
      </c>
      <c r="F111" s="2982" t="s">
        <v>5862</v>
      </c>
      <c r="G111" s="3362"/>
      <c r="H111" s="3363"/>
      <c r="I111" s="3363"/>
      <c r="J111" s="3363"/>
      <c r="K111" s="3364"/>
      <c r="L111" s="3382">
        <f>+基礎数値!$I22</f>
        <v>365767600</v>
      </c>
      <c r="M111" s="2995" t="s">
        <v>5863</v>
      </c>
      <c r="N111" s="2982" t="s">
        <v>5862</v>
      </c>
      <c r="O111" s="3359"/>
      <c r="P111" s="3360"/>
      <c r="Q111" s="3360"/>
      <c r="R111" s="3360"/>
      <c r="S111" s="3361"/>
      <c r="T111" s="3382">
        <f>+基礎数値!$I22+基礎数値!$I23</f>
        <v>468932200</v>
      </c>
      <c r="U111" s="3362"/>
      <c r="V111" s="3363"/>
      <c r="W111" s="3363"/>
      <c r="X111" s="3363"/>
      <c r="Y111" s="3364"/>
      <c r="Z111" s="3616">
        <f>T111</f>
        <v>468932200</v>
      </c>
      <c r="AA111" s="3362"/>
      <c r="AB111" s="3363"/>
      <c r="AC111" s="3363"/>
      <c r="AD111" s="3363"/>
      <c r="AE111" s="3364"/>
      <c r="AF111" s="3357"/>
      <c r="AG111" s="2995"/>
    </row>
    <row r="112" spans="2:33" ht="13.5" customHeight="1">
      <c r="B112" s="3569"/>
      <c r="C112" s="3572"/>
      <c r="D112" s="3580"/>
      <c r="E112" s="2994" t="s">
        <v>5861</v>
      </c>
      <c r="F112" s="2978" t="s">
        <v>5859</v>
      </c>
      <c r="G112" s="3365"/>
      <c r="H112" s="3366"/>
      <c r="I112" s="3366"/>
      <c r="J112" s="3366"/>
      <c r="K112" s="3367"/>
      <c r="L112" s="3368">
        <f>+L110-L111</f>
        <v>-97696800</v>
      </c>
      <c r="M112" s="2993" t="s">
        <v>5860</v>
      </c>
      <c r="N112" s="2978" t="s">
        <v>5859</v>
      </c>
      <c r="O112" s="3370"/>
      <c r="P112" s="3371"/>
      <c r="Q112" s="3371"/>
      <c r="R112" s="3371"/>
      <c r="S112" s="3372"/>
      <c r="T112" s="3368">
        <f>+Z112+AF112</f>
        <v>-125393471</v>
      </c>
      <c r="U112" s="3365"/>
      <c r="V112" s="3366"/>
      <c r="W112" s="3366"/>
      <c r="X112" s="3366"/>
      <c r="Y112" s="3367"/>
      <c r="Z112" s="3368">
        <f>+Z110-Z111</f>
        <v>798202227</v>
      </c>
      <c r="AA112" s="3365"/>
      <c r="AB112" s="3366"/>
      <c r="AC112" s="3366"/>
      <c r="AD112" s="3366"/>
      <c r="AE112" s="3367"/>
      <c r="AF112" s="3368">
        <f>+AF110-AF111</f>
        <v>-923595698</v>
      </c>
      <c r="AG112" s="2993"/>
    </row>
    <row r="113" spans="2:36" ht="13.5" customHeight="1">
      <c r="B113" s="3569"/>
      <c r="C113" s="3571">
        <v>3</v>
      </c>
      <c r="D113" s="3578" t="s">
        <v>5369</v>
      </c>
      <c r="E113" s="2992" t="s">
        <v>5368</v>
      </c>
      <c r="F113" s="2997" t="s">
        <v>5857</v>
      </c>
      <c r="G113" s="3420">
        <f>G110</f>
        <v>0</v>
      </c>
      <c r="H113" s="3421">
        <f>H110</f>
        <v>4966900</v>
      </c>
      <c r="I113" s="3421">
        <f>I110</f>
        <v>-1416400</v>
      </c>
      <c r="J113" s="3421">
        <f>J110</f>
        <v>-23400</v>
      </c>
      <c r="K113" s="3422">
        <f>K110</f>
        <v>264543700</v>
      </c>
      <c r="L113" s="3349">
        <f>+SUM(G113:K113)</f>
        <v>268070800</v>
      </c>
      <c r="M113" s="2990" t="s">
        <v>5858</v>
      </c>
      <c r="N113" s="2997" t="s">
        <v>5857</v>
      </c>
      <c r="O113" s="3439"/>
      <c r="P113" s="3440"/>
      <c r="Q113" s="3440"/>
      <c r="R113" s="3440"/>
      <c r="S113" s="3441"/>
      <c r="T113" s="3442">
        <f>+Z113+AF113</f>
        <v>0</v>
      </c>
      <c r="U113" s="3439"/>
      <c r="V113" s="3440"/>
      <c r="W113" s="3440"/>
      <c r="X113" s="3440"/>
      <c r="Y113" s="3441"/>
      <c r="Z113" s="3442">
        <f>+SUM(U113:Y113)</f>
        <v>0</v>
      </c>
      <c r="AA113" s="3439"/>
      <c r="AB113" s="3440"/>
      <c r="AC113" s="3440"/>
      <c r="AD113" s="3440"/>
      <c r="AE113" s="3441"/>
      <c r="AF113" s="3442">
        <f>+SUM(AA113:AE113)</f>
        <v>0</v>
      </c>
      <c r="AG113" s="2990"/>
    </row>
    <row r="114" spans="2:36" ht="13.5" customHeight="1">
      <c r="B114" s="3569"/>
      <c r="C114" s="3574"/>
      <c r="D114" s="3579"/>
      <c r="E114" s="2996" t="s">
        <v>5366</v>
      </c>
      <c r="F114" s="2982" t="s">
        <v>5855</v>
      </c>
      <c r="G114" s="3362">
        <f>ROUNDDOWN(G113*G$2/G$1,-2)</f>
        <v>0</v>
      </c>
      <c r="H114" s="3363">
        <f>ROUNDDOWN(H113*H$2/H$1,-2)</f>
        <v>1241700</v>
      </c>
      <c r="I114" s="3363">
        <f>ROUNDDOWN(I113*I$2/I$1,-2)</f>
        <v>-382200</v>
      </c>
      <c r="J114" s="3363">
        <f>ROUNDDOWN(J113*J$2/J$1,-2)</f>
        <v>-6600</v>
      </c>
      <c r="K114" s="3364">
        <f>ROUNDDOWN(K113*K$2/K$1,-2)</f>
        <v>74614800</v>
      </c>
      <c r="L114" s="3356">
        <f>+SUM(G114:K114)</f>
        <v>75467700</v>
      </c>
      <c r="M114" s="2995" t="s">
        <v>5856</v>
      </c>
      <c r="N114" s="2982" t="s">
        <v>5855</v>
      </c>
      <c r="O114" s="3383"/>
      <c r="P114" s="3384"/>
      <c r="Q114" s="3384"/>
      <c r="R114" s="3384"/>
      <c r="S114" s="3385"/>
      <c r="T114" s="3386">
        <f>+Z114+AF114</f>
        <v>0</v>
      </c>
      <c r="U114" s="3383"/>
      <c r="V114" s="3384"/>
      <c r="W114" s="3384"/>
      <c r="X114" s="3384"/>
      <c r="Y114" s="3385"/>
      <c r="Z114" s="3386">
        <f>+SUM(U114:Y114)</f>
        <v>0</v>
      </c>
      <c r="AA114" s="3383"/>
      <c r="AB114" s="3384"/>
      <c r="AC114" s="3384"/>
      <c r="AD114" s="3384"/>
      <c r="AE114" s="3385"/>
      <c r="AF114" s="3386">
        <f>+SUM(AA114:AE114)</f>
        <v>0</v>
      </c>
      <c r="AG114" s="2995"/>
    </row>
    <row r="115" spans="2:36" ht="13.5" customHeight="1">
      <c r="B115" s="3569"/>
      <c r="C115" s="3574"/>
      <c r="D115" s="3579"/>
      <c r="E115" s="2996" t="s">
        <v>5588</v>
      </c>
      <c r="F115" s="2982" t="s">
        <v>5853</v>
      </c>
      <c r="G115" s="3362"/>
      <c r="H115" s="3363"/>
      <c r="I115" s="3363"/>
      <c r="J115" s="3363"/>
      <c r="K115" s="3364"/>
      <c r="L115" s="3382">
        <f>+基礎数値!$I23</f>
        <v>103164600</v>
      </c>
      <c r="M115" s="2995" t="s">
        <v>5854</v>
      </c>
      <c r="N115" s="2982" t="s">
        <v>5853</v>
      </c>
      <c r="O115" s="3383"/>
      <c r="P115" s="3384"/>
      <c r="Q115" s="3384"/>
      <c r="R115" s="3384"/>
      <c r="S115" s="3385"/>
      <c r="T115" s="3386"/>
      <c r="U115" s="3383"/>
      <c r="V115" s="3384"/>
      <c r="W115" s="3384"/>
      <c r="X115" s="3384"/>
      <c r="Y115" s="3385"/>
      <c r="Z115" s="3386"/>
      <c r="AA115" s="3383"/>
      <c r="AB115" s="3384"/>
      <c r="AC115" s="3384"/>
      <c r="AD115" s="3384"/>
      <c r="AE115" s="3385"/>
      <c r="AF115" s="3386"/>
      <c r="AG115" s="2995"/>
    </row>
    <row r="116" spans="2:36" ht="13.5" customHeight="1">
      <c r="B116" s="3569"/>
      <c r="C116" s="3572"/>
      <c r="D116" s="3580"/>
      <c r="E116" s="2994" t="s">
        <v>5852</v>
      </c>
      <c r="F116" s="2978" t="s">
        <v>5850</v>
      </c>
      <c r="G116" s="3365"/>
      <c r="H116" s="3366"/>
      <c r="I116" s="3366"/>
      <c r="J116" s="3366"/>
      <c r="K116" s="3367"/>
      <c r="L116" s="3368">
        <f>+L114-L115</f>
        <v>-27696900</v>
      </c>
      <c r="M116" s="2993" t="s">
        <v>5851</v>
      </c>
      <c r="N116" s="2978" t="s">
        <v>5850</v>
      </c>
      <c r="O116" s="3388"/>
      <c r="P116" s="3389"/>
      <c r="Q116" s="3389"/>
      <c r="R116" s="3389"/>
      <c r="S116" s="3390"/>
      <c r="T116" s="3443">
        <f t="shared" ref="T116:T122" si="48">+Z116+AF116</f>
        <v>0</v>
      </c>
      <c r="U116" s="3388"/>
      <c r="V116" s="3389"/>
      <c r="W116" s="3389"/>
      <c r="X116" s="3389"/>
      <c r="Y116" s="3390"/>
      <c r="Z116" s="3443">
        <f>+Z114-Z115</f>
        <v>0</v>
      </c>
      <c r="AA116" s="3388"/>
      <c r="AB116" s="3389"/>
      <c r="AC116" s="3389"/>
      <c r="AD116" s="3389"/>
      <c r="AE116" s="3390"/>
      <c r="AF116" s="3443">
        <f>+AF114-AF115</f>
        <v>0</v>
      </c>
      <c r="AG116" s="2993"/>
    </row>
    <row r="117" spans="2:36" ht="24" customHeight="1">
      <c r="B117" s="3569"/>
      <c r="C117" s="2976">
        <v>4</v>
      </c>
      <c r="D117" s="2975" t="s">
        <v>5849</v>
      </c>
      <c r="E117" s="2974" t="s">
        <v>5848</v>
      </c>
      <c r="F117" s="2973" t="s">
        <v>5846</v>
      </c>
      <c r="G117" s="3444"/>
      <c r="H117" s="3445"/>
      <c r="I117" s="3445"/>
      <c r="J117" s="3445"/>
      <c r="K117" s="3446"/>
      <c r="L117" s="3447">
        <f>+L112+L116</f>
        <v>-125393700</v>
      </c>
      <c r="M117" s="2972" t="s">
        <v>5847</v>
      </c>
      <c r="N117" s="2973" t="s">
        <v>5846</v>
      </c>
      <c r="O117" s="3448"/>
      <c r="P117" s="3449"/>
      <c r="Q117" s="3449"/>
      <c r="R117" s="3449"/>
      <c r="S117" s="3450"/>
      <c r="T117" s="3447">
        <f t="shared" si="48"/>
        <v>-125393471</v>
      </c>
      <c r="U117" s="3444"/>
      <c r="V117" s="3445"/>
      <c r="W117" s="3445"/>
      <c r="X117" s="3445"/>
      <c r="Y117" s="3446"/>
      <c r="Z117" s="3447">
        <f>+Z112+Z116</f>
        <v>798202227</v>
      </c>
      <c r="AA117" s="3444"/>
      <c r="AB117" s="3445"/>
      <c r="AC117" s="3445"/>
      <c r="AD117" s="3445"/>
      <c r="AE117" s="3446"/>
      <c r="AF117" s="3447">
        <f>+AF112+AF116</f>
        <v>-923595698</v>
      </c>
      <c r="AG117" s="2972"/>
    </row>
    <row r="118" spans="2:36" ht="24" customHeight="1">
      <c r="B118" s="3570"/>
      <c r="C118" s="2976">
        <v>5</v>
      </c>
      <c r="D118" s="2975" t="s">
        <v>5845</v>
      </c>
      <c r="E118" s="2974" t="s">
        <v>5844</v>
      </c>
      <c r="F118" s="2973" t="s">
        <v>5843</v>
      </c>
      <c r="G118" s="3444"/>
      <c r="H118" s="3445"/>
      <c r="I118" s="3445"/>
      <c r="J118" s="3445"/>
      <c r="K118" s="3446"/>
      <c r="L118" s="3447">
        <f>+L110+L114</f>
        <v>343538500</v>
      </c>
      <c r="M118" s="2972"/>
      <c r="N118" s="2973" t="s">
        <v>5843</v>
      </c>
      <c r="O118" s="3448"/>
      <c r="P118" s="3449"/>
      <c r="Q118" s="3449"/>
      <c r="R118" s="3449"/>
      <c r="S118" s="3450"/>
      <c r="T118" s="3447">
        <f t="shared" si="48"/>
        <v>343538729</v>
      </c>
      <c r="U118" s="3444"/>
      <c r="V118" s="3445"/>
      <c r="W118" s="3445"/>
      <c r="X118" s="3445"/>
      <c r="Y118" s="3446"/>
      <c r="Z118" s="3447">
        <f>+Z110+Z114</f>
        <v>1267134427</v>
      </c>
      <c r="AA118" s="3444"/>
      <c r="AB118" s="3445"/>
      <c r="AC118" s="3445"/>
      <c r="AD118" s="3445"/>
      <c r="AE118" s="3446"/>
      <c r="AF118" s="3447">
        <f>+AF110+AF114</f>
        <v>-923595698</v>
      </c>
      <c r="AG118" s="2972"/>
    </row>
    <row r="119" spans="2:36" ht="13.5" customHeight="1">
      <c r="B119" s="3583" t="s">
        <v>5842</v>
      </c>
      <c r="C119" s="3586">
        <v>1</v>
      </c>
      <c r="D119" s="3578" t="s">
        <v>5841</v>
      </c>
      <c r="E119" s="2992" t="s">
        <v>5840</v>
      </c>
      <c r="F119" s="2991" t="s">
        <v>5839</v>
      </c>
      <c r="G119" s="3420"/>
      <c r="H119" s="3421"/>
      <c r="I119" s="3421"/>
      <c r="J119" s="3421"/>
      <c r="K119" s="3422"/>
      <c r="L119" s="3349"/>
      <c r="M119" s="2990"/>
      <c r="N119" s="2991" t="s">
        <v>5839</v>
      </c>
      <c r="O119" s="3350"/>
      <c r="P119" s="3351"/>
      <c r="Q119" s="3351"/>
      <c r="R119" s="3351"/>
      <c r="S119" s="3352"/>
      <c r="T119" s="3349">
        <f t="shared" si="48"/>
        <v>759576244</v>
      </c>
      <c r="U119" s="3420"/>
      <c r="V119" s="3421"/>
      <c r="W119" s="3421"/>
      <c r="X119" s="3421"/>
      <c r="Y119" s="3422"/>
      <c r="Z119" s="3349">
        <f>+Z91</f>
        <v>210253123</v>
      </c>
      <c r="AA119" s="3420"/>
      <c r="AB119" s="3421"/>
      <c r="AC119" s="3421"/>
      <c r="AD119" s="3421"/>
      <c r="AE119" s="3422"/>
      <c r="AF119" s="3349">
        <f>+AF91</f>
        <v>549323121</v>
      </c>
      <c r="AG119" s="2990"/>
    </row>
    <row r="120" spans="2:36" ht="24" customHeight="1">
      <c r="B120" s="3584"/>
      <c r="C120" s="3587"/>
      <c r="D120" s="3579"/>
      <c r="E120" s="2989" t="s">
        <v>6125</v>
      </c>
      <c r="F120" s="2988" t="s">
        <v>5838</v>
      </c>
      <c r="G120" s="3451"/>
      <c r="H120" s="3452"/>
      <c r="I120" s="3452"/>
      <c r="J120" s="3452"/>
      <c r="K120" s="3377"/>
      <c r="L120" s="3453"/>
      <c r="M120" s="2987"/>
      <c r="N120" s="2988" t="s">
        <v>5838</v>
      </c>
      <c r="O120" s="3454"/>
      <c r="P120" s="3455"/>
      <c r="Q120" s="3455"/>
      <c r="R120" s="3455"/>
      <c r="S120" s="3456"/>
      <c r="T120" s="3453">
        <f t="shared" si="48"/>
        <v>8354582</v>
      </c>
      <c r="U120" s="3457"/>
      <c r="V120" s="3452"/>
      <c r="W120" s="3452"/>
      <c r="X120" s="3452"/>
      <c r="Y120" s="3377"/>
      <c r="Z120" s="3453">
        <f>+Z67-Z89</f>
        <v>2995156</v>
      </c>
      <c r="AA120" s="3451"/>
      <c r="AB120" s="3452"/>
      <c r="AC120" s="3452"/>
      <c r="AD120" s="3452"/>
      <c r="AE120" s="3377"/>
      <c r="AF120" s="3453">
        <f>+AF67-AF89</f>
        <v>5359426</v>
      </c>
      <c r="AG120" s="2986"/>
    </row>
    <row r="121" spans="2:36" ht="21" customHeight="1">
      <c r="B121" s="3584"/>
      <c r="C121" s="3587"/>
      <c r="D121" s="3579"/>
      <c r="E121" s="2985" t="s">
        <v>5837</v>
      </c>
      <c r="F121" s="2982" t="s">
        <v>5836</v>
      </c>
      <c r="G121" s="3458"/>
      <c r="H121" s="3459"/>
      <c r="I121" s="3459"/>
      <c r="J121" s="3459"/>
      <c r="K121" s="3358"/>
      <c r="L121" s="3460"/>
      <c r="M121" s="2984"/>
      <c r="N121" s="2982" t="s">
        <v>5836</v>
      </c>
      <c r="O121" s="3461"/>
      <c r="P121" s="3462"/>
      <c r="Q121" s="3462"/>
      <c r="R121" s="3462"/>
      <c r="S121" s="3463"/>
      <c r="T121" s="3460">
        <f t="shared" si="48"/>
        <v>2750799</v>
      </c>
      <c r="U121" s="3458"/>
      <c r="V121" s="3459"/>
      <c r="W121" s="3459"/>
      <c r="X121" s="3459"/>
      <c r="Y121" s="3358"/>
      <c r="Z121" s="3460">
        <f>+Z91-Z100</f>
        <v>761431</v>
      </c>
      <c r="AA121" s="3458"/>
      <c r="AB121" s="3459"/>
      <c r="AC121" s="3459"/>
      <c r="AD121" s="3459"/>
      <c r="AE121" s="3358"/>
      <c r="AF121" s="3460">
        <f>+AF91-AF100</f>
        <v>1989368</v>
      </c>
      <c r="AG121" s="2981"/>
    </row>
    <row r="122" spans="2:36" ht="12.75" customHeight="1">
      <c r="B122" s="3584"/>
      <c r="C122" s="3587"/>
      <c r="D122" s="3579"/>
      <c r="E122" s="3249" t="s">
        <v>6126</v>
      </c>
      <c r="F122" s="3250" t="s">
        <v>5835</v>
      </c>
      <c r="G122" s="3464"/>
      <c r="H122" s="3465"/>
      <c r="I122" s="3465"/>
      <c r="J122" s="3465"/>
      <c r="K122" s="3427"/>
      <c r="L122" s="3466"/>
      <c r="M122" s="3252"/>
      <c r="N122" s="3250" t="s">
        <v>5834</v>
      </c>
      <c r="O122" s="3467"/>
      <c r="P122" s="3468"/>
      <c r="Q122" s="3468"/>
      <c r="R122" s="3468"/>
      <c r="S122" s="3469"/>
      <c r="T122" s="3466">
        <f t="shared" si="48"/>
        <v>5603783</v>
      </c>
      <c r="U122" s="3464"/>
      <c r="V122" s="3465"/>
      <c r="W122" s="3465"/>
      <c r="X122" s="3465"/>
      <c r="Y122" s="3427"/>
      <c r="Z122" s="3466">
        <f>+Z120-Z121</f>
        <v>2233725</v>
      </c>
      <c r="AA122" s="3464"/>
      <c r="AB122" s="3465"/>
      <c r="AC122" s="3465"/>
      <c r="AD122" s="3465"/>
      <c r="AE122" s="3427"/>
      <c r="AF122" s="3466">
        <f>+AF120-AF121</f>
        <v>3370058</v>
      </c>
      <c r="AG122" s="3253"/>
    </row>
    <row r="123" spans="2:36" s="3492" customFormat="1" ht="12.75" customHeight="1">
      <c r="B123" s="3584"/>
      <c r="C123" s="3587"/>
      <c r="D123" s="3579"/>
      <c r="E123" s="3485" t="s">
        <v>6553</v>
      </c>
      <c r="F123" s="3486"/>
      <c r="G123" s="3487"/>
      <c r="H123" s="3488"/>
      <c r="I123" s="3488"/>
      <c r="J123" s="3488"/>
      <c r="K123" s="3489"/>
      <c r="L123" s="3490"/>
      <c r="M123" s="3491"/>
      <c r="N123" s="3486"/>
      <c r="O123" s="3487"/>
      <c r="P123" s="3488"/>
      <c r="Q123" s="3488"/>
      <c r="R123" s="3488"/>
      <c r="S123" s="3489"/>
      <c r="T123" s="3490">
        <f>T60</f>
        <v>629</v>
      </c>
      <c r="U123" s="3487"/>
      <c r="V123" s="3488"/>
      <c r="W123" s="3488"/>
      <c r="X123" s="3488"/>
      <c r="Y123" s="3489"/>
      <c r="Z123" s="3490">
        <f>Z60</f>
        <v>629</v>
      </c>
      <c r="AA123" s="3487"/>
      <c r="AB123" s="3488"/>
      <c r="AC123" s="3488"/>
      <c r="AD123" s="3488"/>
      <c r="AE123" s="3489"/>
      <c r="AF123" s="3490">
        <f>AF60</f>
        <v>0</v>
      </c>
      <c r="AG123" s="3491"/>
      <c r="AJ123" s="3493"/>
    </row>
    <row r="124" spans="2:36" ht="12" customHeight="1">
      <c r="B124" s="3584"/>
      <c r="C124" s="3588"/>
      <c r="D124" s="3580"/>
      <c r="E124" s="2994" t="s">
        <v>5831</v>
      </c>
      <c r="F124" s="3036" t="s">
        <v>6128</v>
      </c>
      <c r="G124" s="3365"/>
      <c r="H124" s="3366"/>
      <c r="I124" s="3366"/>
      <c r="J124" s="3366"/>
      <c r="K124" s="3367"/>
      <c r="L124" s="3368"/>
      <c r="M124" s="2993"/>
      <c r="N124" s="3036" t="s">
        <v>6128</v>
      </c>
      <c r="O124" s="3370"/>
      <c r="P124" s="3371"/>
      <c r="Q124" s="3371"/>
      <c r="R124" s="3371"/>
      <c r="S124" s="3372"/>
      <c r="T124" s="3368">
        <f>+T119+T122+T123</f>
        <v>765180656</v>
      </c>
      <c r="U124" s="3365"/>
      <c r="V124" s="3366"/>
      <c r="W124" s="3366"/>
      <c r="X124" s="3366"/>
      <c r="Y124" s="3367"/>
      <c r="Z124" s="3368">
        <f>+Z119+Z122+Z123</f>
        <v>212487477</v>
      </c>
      <c r="AA124" s="3365"/>
      <c r="AB124" s="3366"/>
      <c r="AC124" s="3366"/>
      <c r="AD124" s="3366"/>
      <c r="AE124" s="3367"/>
      <c r="AF124" s="3368">
        <f>+AF119+AF122+AF123</f>
        <v>552693179</v>
      </c>
      <c r="AG124" s="2993"/>
    </row>
    <row r="125" spans="2:36" ht="12" customHeight="1">
      <c r="B125" s="3585"/>
      <c r="C125" s="3047">
        <v>2</v>
      </c>
      <c r="D125" s="3248" t="s">
        <v>6127</v>
      </c>
      <c r="E125" s="2980" t="s">
        <v>5833</v>
      </c>
      <c r="F125" s="2978" t="s">
        <v>5832</v>
      </c>
      <c r="G125" s="3470"/>
      <c r="H125" s="3471"/>
      <c r="I125" s="3471"/>
      <c r="J125" s="3471"/>
      <c r="K125" s="3369"/>
      <c r="L125" s="3472"/>
      <c r="M125" s="2979"/>
      <c r="N125" s="2978" t="s">
        <v>5832</v>
      </c>
      <c r="O125" s="3473"/>
      <c r="P125" s="3474"/>
      <c r="Q125" s="3474"/>
      <c r="R125" s="3474"/>
      <c r="S125" s="3475"/>
      <c r="T125" s="3472">
        <f>+Z125+AF125</f>
        <v>1880565</v>
      </c>
      <c r="U125" s="3470"/>
      <c r="V125" s="3471"/>
      <c r="W125" s="3471"/>
      <c r="X125" s="3471"/>
      <c r="Y125" s="3369"/>
      <c r="Z125" s="3472">
        <f>+Z106</f>
        <v>1880565</v>
      </c>
      <c r="AA125" s="3470"/>
      <c r="AB125" s="3471"/>
      <c r="AC125" s="3471"/>
      <c r="AD125" s="3471"/>
      <c r="AE125" s="3369"/>
      <c r="AF125" s="3472">
        <f>+AF106</f>
        <v>0</v>
      </c>
      <c r="AG125" s="2977"/>
    </row>
    <row r="126" spans="2:36" ht="24" customHeight="1">
      <c r="E126" s="2971"/>
      <c r="G126" s="2866"/>
      <c r="H126" s="2866"/>
      <c r="I126" s="2866"/>
      <c r="J126" s="2866"/>
      <c r="K126" s="2866"/>
      <c r="L126" s="3476"/>
      <c r="M126" s="2833"/>
      <c r="O126" s="2866"/>
      <c r="P126" s="2866"/>
      <c r="Q126" s="2866"/>
      <c r="R126" s="2866"/>
      <c r="S126" s="2866"/>
      <c r="T126" s="3476"/>
      <c r="U126" s="2866"/>
      <c r="V126" s="2866"/>
      <c r="W126" s="2866"/>
      <c r="X126" s="2866"/>
      <c r="Y126" s="2866"/>
      <c r="Z126" s="3476"/>
      <c r="AA126" s="2866"/>
      <c r="AB126" s="2866"/>
      <c r="AC126" s="2866"/>
      <c r="AD126" s="2866"/>
      <c r="AE126" s="2866"/>
      <c r="AF126" s="3476"/>
    </row>
    <row r="127" spans="2:36" ht="13.5" customHeight="1">
      <c r="D127" s="3256" t="s">
        <v>6135</v>
      </c>
      <c r="E127" s="3254" t="s">
        <v>6149</v>
      </c>
      <c r="F127" s="2983"/>
      <c r="G127" s="3459"/>
      <c r="H127" s="3459"/>
      <c r="I127" s="3459"/>
      <c r="J127" s="3459"/>
      <c r="K127" s="3459"/>
      <c r="L127" s="3477"/>
      <c r="M127" s="3261"/>
      <c r="N127" s="3261"/>
      <c r="O127" s="3459"/>
      <c r="P127" s="3477"/>
      <c r="Q127" s="3477"/>
      <c r="R127" s="3477"/>
      <c r="S127" s="3459"/>
      <c r="T127" s="3477"/>
      <c r="U127" s="3477">
        <f>+'3条支出'!N$41</f>
        <v>0</v>
      </c>
      <c r="V127" s="3477">
        <f>+'3条支出'!O$41</f>
        <v>0</v>
      </c>
      <c r="W127" s="3477">
        <f>+'3条支出'!P$41</f>
        <v>91566</v>
      </c>
      <c r="X127" s="3477">
        <f>+'3条支出'!Q$41</f>
        <v>37102</v>
      </c>
      <c r="Y127" s="3477">
        <f>+'3条支出'!R$41-Y60</f>
        <v>827892902</v>
      </c>
      <c r="Z127" s="3477">
        <f>+SUM(U127:Y127)</f>
        <v>828021570</v>
      </c>
      <c r="AA127" s="3477">
        <f>+'4条支出'!N41</f>
        <v>0</v>
      </c>
      <c r="AB127" s="3477">
        <f>+'4条支出'!O41</f>
        <v>0</v>
      </c>
      <c r="AC127" s="3477">
        <f>+'4条支出'!P41</f>
        <v>9312</v>
      </c>
      <c r="AD127" s="3477">
        <f>+'4条支出'!Q41</f>
        <v>2728</v>
      </c>
      <c r="AE127" s="3477">
        <f>+'4条支出'!R41</f>
        <v>1479885147</v>
      </c>
      <c r="AF127" s="3477">
        <f>+SUM(AA127:AE127)</f>
        <v>1479897187</v>
      </c>
      <c r="AG127" s="3254"/>
    </row>
    <row r="128" spans="2:36" ht="13.5" customHeight="1">
      <c r="D128" s="3256"/>
      <c r="E128" s="3254" t="s">
        <v>6136</v>
      </c>
      <c r="F128" s="2983"/>
      <c r="G128" s="3459"/>
      <c r="H128" s="3459"/>
      <c r="I128" s="3459"/>
      <c r="J128" s="3459"/>
      <c r="K128" s="3459"/>
      <c r="L128" s="3477"/>
      <c r="M128" s="3261"/>
      <c r="N128" s="3261"/>
      <c r="O128" s="3459"/>
      <c r="P128" s="3477"/>
      <c r="Q128" s="3477"/>
      <c r="R128" s="3477"/>
      <c r="S128" s="3459"/>
      <c r="T128" s="3477"/>
      <c r="U128" s="3477">
        <f t="shared" ref="U128" si="49">+U67+U104</f>
        <v>0</v>
      </c>
      <c r="V128" s="3477">
        <f>+V67+V104</f>
        <v>0</v>
      </c>
      <c r="W128" s="3477">
        <f>+W67+W104+ROUNDDOWN(W28*W$7/(1+W$7),0)</f>
        <v>91566</v>
      </c>
      <c r="X128" s="3477">
        <f>+X67+X104+ROUNDDOWN(X28*X$7/(1+X$7),0)</f>
        <v>37102</v>
      </c>
      <c r="Y128" s="3477">
        <f>+Y67+Y104</f>
        <v>827892902</v>
      </c>
      <c r="Z128" s="3477">
        <f t="shared" ref="Z128:Z129" si="50">+SUM(U128:Y128)</f>
        <v>828021570</v>
      </c>
      <c r="AA128" s="3477">
        <f t="shared" ref="AA128" si="51">+AA67+AA104</f>
        <v>0</v>
      </c>
      <c r="AB128" s="3477">
        <f>+AB67+AB104</f>
        <v>0</v>
      </c>
      <c r="AC128" s="3477">
        <f t="shared" ref="AC128:AE128" si="52">+AC67+AC104</f>
        <v>9312</v>
      </c>
      <c r="AD128" s="3477">
        <f t="shared" ref="AD128" si="53">+AD67+AD104</f>
        <v>2728</v>
      </c>
      <c r="AE128" s="3477">
        <f t="shared" si="52"/>
        <v>1479885147</v>
      </c>
      <c r="AF128" s="3477">
        <f t="shared" ref="AF128:AF129" si="54">+SUM(AA128:AE128)</f>
        <v>1479897187</v>
      </c>
      <c r="AG128" s="3254"/>
    </row>
    <row r="129" spans="4:33" ht="13.5" customHeight="1" thickBot="1">
      <c r="E129" s="3251" t="s">
        <v>6137</v>
      </c>
      <c r="F129" s="3251"/>
      <c r="G129" s="3465"/>
      <c r="H129" s="3465"/>
      <c r="I129" s="3465"/>
      <c r="J129" s="3465"/>
      <c r="K129" s="3465"/>
      <c r="L129" s="3478"/>
      <c r="M129" s="3264"/>
      <c r="N129" s="3262"/>
      <c r="O129" s="3478"/>
      <c r="P129" s="3478"/>
      <c r="Q129" s="3478"/>
      <c r="R129" s="3478"/>
      <c r="S129" s="3465"/>
      <c r="T129" s="3478"/>
      <c r="U129" s="3478">
        <f>+U127-U128</f>
        <v>0</v>
      </c>
      <c r="V129" s="3478">
        <f>+V127-V128</f>
        <v>0</v>
      </c>
      <c r="W129" s="3478">
        <f>+W127-W128</f>
        <v>0</v>
      </c>
      <c r="X129" s="3478">
        <f>+X127-X128</f>
        <v>0</v>
      </c>
      <c r="Y129" s="3478">
        <f>+Y127-Y128</f>
        <v>0</v>
      </c>
      <c r="Z129" s="3478">
        <f t="shared" si="50"/>
        <v>0</v>
      </c>
      <c r="AA129" s="3478">
        <f>+AA127-AA128</f>
        <v>0</v>
      </c>
      <c r="AB129" s="3478">
        <f>+AB127-AB128</f>
        <v>0</v>
      </c>
      <c r="AC129" s="3478">
        <f>+AC127-AC128</f>
        <v>0</v>
      </c>
      <c r="AD129" s="3478">
        <f>+AD127-AD128</f>
        <v>0</v>
      </c>
      <c r="AE129" s="3478">
        <f>+AE127-AE128</f>
        <v>0</v>
      </c>
      <c r="AF129" s="3478">
        <f t="shared" si="54"/>
        <v>0</v>
      </c>
      <c r="AG129" s="3255"/>
    </row>
    <row r="130" spans="4:33" ht="13.5" customHeight="1" thickBot="1">
      <c r="E130" s="3257" t="s">
        <v>6144</v>
      </c>
      <c r="F130" s="3258"/>
      <c r="G130" s="3479"/>
      <c r="H130" s="3479"/>
      <c r="I130" s="3479"/>
      <c r="J130" s="3479"/>
      <c r="K130" s="3479"/>
      <c r="L130" s="3480"/>
      <c r="M130" s="3268"/>
      <c r="N130" s="3267"/>
      <c r="O130" s="3479"/>
      <c r="P130" s="3480"/>
      <c r="Q130" s="3480"/>
      <c r="R130" s="3480"/>
      <c r="S130" s="3479"/>
      <c r="T130" s="3480"/>
      <c r="U130" s="3481"/>
      <c r="V130" s="3481"/>
      <c r="W130" s="3481"/>
      <c r="X130" s="3481"/>
      <c r="Y130" s="3481"/>
      <c r="Z130" s="3480"/>
      <c r="AA130" s="3481"/>
      <c r="AB130" s="3481"/>
      <c r="AC130" s="3481"/>
      <c r="AD130" s="3481"/>
      <c r="AE130" s="3481"/>
      <c r="AF130" s="3480"/>
      <c r="AG130" s="3259"/>
    </row>
    <row r="131" spans="4:33" ht="13.5" customHeight="1">
      <c r="G131" s="2866"/>
      <c r="H131" s="2866"/>
      <c r="I131" s="2866"/>
      <c r="J131" s="2866"/>
      <c r="K131" s="2866"/>
      <c r="L131" s="2866"/>
      <c r="O131" s="2866"/>
      <c r="P131" s="3476"/>
      <c r="Q131" s="3476"/>
      <c r="R131" s="3476"/>
      <c r="S131" s="2866"/>
      <c r="T131" s="3476"/>
      <c r="U131" s="3476"/>
      <c r="V131" s="3476"/>
      <c r="W131" s="3476"/>
      <c r="X131" s="3476"/>
      <c r="Y131" s="3476"/>
      <c r="Z131" s="3476"/>
      <c r="AA131" s="3476"/>
      <c r="AB131" s="3476"/>
      <c r="AC131" s="3476"/>
      <c r="AD131" s="3476"/>
      <c r="AE131" s="3476"/>
      <c r="AF131" s="3476"/>
    </row>
    <row r="132" spans="4:33" ht="13.5" customHeight="1">
      <c r="D132" s="3256" t="s">
        <v>6135</v>
      </c>
      <c r="E132" s="3254" t="s">
        <v>6142</v>
      </c>
      <c r="F132" s="2983"/>
      <c r="G132" s="3459"/>
      <c r="H132" s="3459"/>
      <c r="I132" s="3459"/>
      <c r="J132" s="3459"/>
      <c r="K132" s="3459"/>
      <c r="L132" s="3477"/>
      <c r="M132" s="3261"/>
      <c r="N132" s="3261"/>
      <c r="O132" s="3459"/>
      <c r="P132" s="3477"/>
      <c r="Q132" s="3477"/>
      <c r="R132" s="3477"/>
      <c r="S132" s="3459"/>
      <c r="T132" s="3477"/>
      <c r="U132" s="3482"/>
      <c r="V132" s="3482"/>
      <c r="W132" s="3482"/>
      <c r="X132" s="3482"/>
      <c r="Y132" s="3482"/>
      <c r="Z132" s="3482"/>
      <c r="AA132" s="3477">
        <f>+'4条収入'!W$91</f>
        <v>0</v>
      </c>
      <c r="AB132" s="3477">
        <f>+'4条収入'!X$91</f>
        <v>0</v>
      </c>
      <c r="AC132" s="3477">
        <f>+'4条収入'!Y$91</f>
        <v>0</v>
      </c>
      <c r="AD132" s="3477">
        <f>+'4条収入'!Z$91</f>
        <v>0</v>
      </c>
      <c r="AE132" s="3477">
        <f>+'4条収入'!AA$91</f>
        <v>3608310</v>
      </c>
      <c r="AF132" s="3477">
        <f>+SUM(AA132:AE132)</f>
        <v>3608310</v>
      </c>
      <c r="AG132" s="3254"/>
    </row>
    <row r="133" spans="4:33" ht="13.5" customHeight="1">
      <c r="D133" s="3256"/>
      <c r="E133" s="3254" t="s">
        <v>6139</v>
      </c>
      <c r="F133" s="2983"/>
      <c r="G133" s="3459"/>
      <c r="H133" s="3459"/>
      <c r="I133" s="3459"/>
      <c r="J133" s="3459"/>
      <c r="K133" s="3459"/>
      <c r="L133" s="3477"/>
      <c r="M133" s="3261"/>
      <c r="N133" s="3261"/>
      <c r="O133" s="3459"/>
      <c r="P133" s="3477"/>
      <c r="Q133" s="3477"/>
      <c r="R133" s="3477"/>
      <c r="S133" s="3459"/>
      <c r="T133" s="3477"/>
      <c r="U133" s="3482"/>
      <c r="V133" s="3482"/>
      <c r="W133" s="3482"/>
      <c r="X133" s="3482"/>
      <c r="Y133" s="3482"/>
      <c r="Z133" s="3482"/>
      <c r="AA133" s="3477">
        <f t="shared" ref="AA133:AE133" si="55">+AA32</f>
        <v>0</v>
      </c>
      <c r="AB133" s="3477">
        <f t="shared" si="55"/>
        <v>0</v>
      </c>
      <c r="AC133" s="3477">
        <f t="shared" si="55"/>
        <v>0</v>
      </c>
      <c r="AD133" s="3477">
        <f t="shared" ref="AD133" si="56">+AD32</f>
        <v>0</v>
      </c>
      <c r="AE133" s="3477">
        <f t="shared" si="55"/>
        <v>3608310</v>
      </c>
      <c r="AF133" s="3477">
        <f t="shared" ref="AF133:AF134" si="57">+SUM(AA133:AE133)</f>
        <v>3608310</v>
      </c>
      <c r="AG133" s="3254"/>
    </row>
    <row r="134" spans="4:33" ht="13.5" customHeight="1" thickBot="1">
      <c r="E134" s="3251" t="s">
        <v>6138</v>
      </c>
      <c r="F134" s="3251"/>
      <c r="G134" s="3465"/>
      <c r="H134" s="3465"/>
      <c r="I134" s="3465"/>
      <c r="J134" s="3465"/>
      <c r="K134" s="3465"/>
      <c r="L134" s="3478"/>
      <c r="M134" s="3264"/>
      <c r="N134" s="3262"/>
      <c r="O134" s="3478"/>
      <c r="P134" s="3478"/>
      <c r="Q134" s="3478"/>
      <c r="R134" s="3478"/>
      <c r="S134" s="3465"/>
      <c r="T134" s="3478"/>
      <c r="U134" s="3483"/>
      <c r="V134" s="3483"/>
      <c r="W134" s="3483"/>
      <c r="X134" s="3483"/>
      <c r="Y134" s="3483"/>
      <c r="Z134" s="3483"/>
      <c r="AA134" s="3478">
        <f>+AA132-AA133</f>
        <v>0</v>
      </c>
      <c r="AB134" s="3478">
        <f>+AB132-AB133</f>
        <v>0</v>
      </c>
      <c r="AC134" s="3478">
        <f>+AC132-AC133</f>
        <v>0</v>
      </c>
      <c r="AD134" s="3478">
        <f>+AD132-AD133</f>
        <v>0</v>
      </c>
      <c r="AE134" s="3478">
        <f>+AE132-AE133</f>
        <v>0</v>
      </c>
      <c r="AF134" s="3478">
        <f t="shared" si="57"/>
        <v>0</v>
      </c>
      <c r="AG134" s="3255"/>
    </row>
    <row r="135" spans="4:33" ht="13.5" customHeight="1" thickBot="1">
      <c r="E135" s="3257" t="s">
        <v>6146</v>
      </c>
      <c r="F135" s="3258"/>
      <c r="G135" s="3479"/>
      <c r="H135" s="3479"/>
      <c r="I135" s="3479"/>
      <c r="J135" s="3479"/>
      <c r="K135" s="3479"/>
      <c r="L135" s="3480"/>
      <c r="M135" s="3268"/>
      <c r="N135" s="3267"/>
      <c r="O135" s="3479"/>
      <c r="P135" s="3480"/>
      <c r="Q135" s="3480"/>
      <c r="R135" s="3480"/>
      <c r="S135" s="3479"/>
      <c r="T135" s="3480"/>
      <c r="U135" s="3481"/>
      <c r="V135" s="3481"/>
      <c r="W135" s="3481"/>
      <c r="X135" s="3481"/>
      <c r="Y135" s="3481"/>
      <c r="Z135" s="3480"/>
      <c r="AA135" s="3481"/>
      <c r="AB135" s="3481"/>
      <c r="AC135" s="3481"/>
      <c r="AD135" s="3481"/>
      <c r="AE135" s="3481"/>
      <c r="AF135" s="3480"/>
      <c r="AG135" s="3259"/>
    </row>
    <row r="136" spans="4:33" ht="13.5" customHeight="1">
      <c r="G136" s="2866"/>
      <c r="H136" s="2866"/>
      <c r="I136" s="2866"/>
      <c r="J136" s="2866"/>
      <c r="K136" s="2866"/>
      <c r="L136" s="2866"/>
      <c r="O136" s="2866"/>
      <c r="P136" s="2866"/>
      <c r="Q136" s="2866"/>
      <c r="R136" s="2866"/>
      <c r="S136" s="2866"/>
      <c r="T136" s="2866"/>
      <c r="U136" s="2866"/>
      <c r="V136" s="2866"/>
      <c r="W136" s="2866"/>
      <c r="X136" s="2866"/>
      <c r="Y136" s="2866"/>
      <c r="Z136" s="2866"/>
      <c r="AA136" s="2866"/>
      <c r="AB136" s="2866"/>
      <c r="AC136" s="2866"/>
      <c r="AD136" s="2866"/>
      <c r="AE136" s="2866"/>
      <c r="AF136" s="2866"/>
    </row>
    <row r="137" spans="4:33" ht="13.5" customHeight="1">
      <c r="D137" s="3256" t="s">
        <v>6135</v>
      </c>
      <c r="E137" s="3254" t="s">
        <v>6143</v>
      </c>
      <c r="F137" s="2983"/>
      <c r="G137" s="3459"/>
      <c r="H137" s="3459"/>
      <c r="I137" s="3459"/>
      <c r="J137" s="3459"/>
      <c r="K137" s="3459"/>
      <c r="L137" s="3477"/>
      <c r="M137" s="3261"/>
      <c r="N137" s="3261"/>
      <c r="O137" s="3459"/>
      <c r="P137" s="3477"/>
      <c r="Q137" s="3477"/>
      <c r="R137" s="3477"/>
      <c r="S137" s="3459"/>
      <c r="T137" s="3477"/>
      <c r="U137" s="3477">
        <f>+'3条収入'!AC$69</f>
        <v>0</v>
      </c>
      <c r="V137" s="3477">
        <f>+'3条収入'!AD$69</f>
        <v>0</v>
      </c>
      <c r="W137" s="3477">
        <f>+'3条収入'!AE$69</f>
        <v>33732</v>
      </c>
      <c r="X137" s="3477">
        <f>+'3条収入'!AF$69</f>
        <v>9671</v>
      </c>
      <c r="Y137" s="3477">
        <f>+'3条収入'!AG$69</f>
        <v>210209720</v>
      </c>
      <c r="Z137" s="3477">
        <f>+SUM(U137:Y137)</f>
        <v>210253123</v>
      </c>
      <c r="AA137" s="3477">
        <f>+'4条収入'!AC$91</f>
        <v>0</v>
      </c>
      <c r="AB137" s="3477">
        <f>+'4条収入'!AD$91</f>
        <v>6284860</v>
      </c>
      <c r="AC137" s="3477">
        <f>+'4条収入'!AE$91</f>
        <v>92363</v>
      </c>
      <c r="AD137" s="3477">
        <f>+'4条収入'!AF$91</f>
        <v>7</v>
      </c>
      <c r="AE137" s="3477">
        <f>+'4条収入'!AG$91</f>
        <v>542945891</v>
      </c>
      <c r="AF137" s="3477">
        <f>+SUM(AA137:AE137)</f>
        <v>549323121</v>
      </c>
      <c r="AG137" s="3254"/>
    </row>
    <row r="138" spans="4:33" ht="13.5" customHeight="1">
      <c r="D138" s="3256"/>
      <c r="E138" s="3254" t="s">
        <v>6140</v>
      </c>
      <c r="F138" s="2983"/>
      <c r="G138" s="3459"/>
      <c r="H138" s="3459"/>
      <c r="I138" s="3459"/>
      <c r="J138" s="3459"/>
      <c r="K138" s="3459"/>
      <c r="L138" s="3477"/>
      <c r="M138" s="3261"/>
      <c r="N138" s="3261"/>
      <c r="O138" s="3459"/>
      <c r="P138" s="3477"/>
      <c r="Q138" s="3477"/>
      <c r="R138" s="3477"/>
      <c r="S138" s="3459"/>
      <c r="T138" s="3477"/>
      <c r="U138" s="3477">
        <f>+U91</f>
        <v>0</v>
      </c>
      <c r="V138" s="3477">
        <f t="shared" ref="V138:Y138" si="58">+V91</f>
        <v>0</v>
      </c>
      <c r="W138" s="3477">
        <f t="shared" si="58"/>
        <v>33732</v>
      </c>
      <c r="X138" s="3477">
        <f t="shared" ref="X138" si="59">+X91</f>
        <v>9671</v>
      </c>
      <c r="Y138" s="3477">
        <f t="shared" si="58"/>
        <v>210209720</v>
      </c>
      <c r="Z138" s="3477">
        <f>+SUM(U138:Y138)</f>
        <v>210253123</v>
      </c>
      <c r="AA138" s="3477">
        <f t="shared" ref="AA138:AE138" si="60">+AA91</f>
        <v>0</v>
      </c>
      <c r="AB138" s="3477">
        <f t="shared" si="60"/>
        <v>6284860</v>
      </c>
      <c r="AC138" s="3477">
        <f t="shared" si="60"/>
        <v>92363</v>
      </c>
      <c r="AD138" s="3477">
        <f t="shared" ref="AD138" si="61">+AD91</f>
        <v>7</v>
      </c>
      <c r="AE138" s="3477">
        <f t="shared" si="60"/>
        <v>542945891</v>
      </c>
      <c r="AF138" s="3477">
        <f t="shared" ref="AF138:AF139" si="62">+SUM(AA138:AE138)</f>
        <v>549323121</v>
      </c>
      <c r="AG138" s="3254"/>
    </row>
    <row r="139" spans="4:33" ht="13.5" customHeight="1" thickBot="1">
      <c r="E139" s="3251" t="s">
        <v>6141</v>
      </c>
      <c r="F139" s="3251"/>
      <c r="G139" s="3465"/>
      <c r="H139" s="3465"/>
      <c r="I139" s="3465"/>
      <c r="J139" s="3465"/>
      <c r="K139" s="3465"/>
      <c r="L139" s="3478"/>
      <c r="M139" s="3264"/>
      <c r="N139" s="3262"/>
      <c r="O139" s="3478"/>
      <c r="P139" s="3478"/>
      <c r="Q139" s="3478"/>
      <c r="R139" s="3478"/>
      <c r="S139" s="3465"/>
      <c r="T139" s="3478"/>
      <c r="U139" s="3478">
        <f>+U137-U138</f>
        <v>0</v>
      </c>
      <c r="V139" s="3478">
        <f>+V137-V138</f>
        <v>0</v>
      </c>
      <c r="W139" s="3478">
        <f>+W137-W138</f>
        <v>0</v>
      </c>
      <c r="X139" s="3478">
        <f>+X137-X138</f>
        <v>0</v>
      </c>
      <c r="Y139" s="3478">
        <f>+Y137-Y138</f>
        <v>0</v>
      </c>
      <c r="Z139" s="3478">
        <f t="shared" ref="Z139" si="63">+SUM(U139:Y139)</f>
        <v>0</v>
      </c>
      <c r="AA139" s="3478">
        <f>+AA137-AA138</f>
        <v>0</v>
      </c>
      <c r="AB139" s="3478">
        <f>+AB137-AB138</f>
        <v>0</v>
      </c>
      <c r="AC139" s="3478">
        <f>+AC137-AC138</f>
        <v>0</v>
      </c>
      <c r="AD139" s="3478">
        <f>+AD137-AD138</f>
        <v>0</v>
      </c>
      <c r="AE139" s="3478">
        <f>+AE137-AE138</f>
        <v>0</v>
      </c>
      <c r="AF139" s="3478">
        <f t="shared" si="62"/>
        <v>0</v>
      </c>
      <c r="AG139" s="3255"/>
    </row>
    <row r="140" spans="4:33" ht="13.5" customHeight="1" thickBot="1">
      <c r="E140" s="3257" t="s">
        <v>6145</v>
      </c>
      <c r="F140" s="3258"/>
      <c r="G140" s="3479"/>
      <c r="H140" s="3479"/>
      <c r="I140" s="3479"/>
      <c r="J140" s="3479"/>
      <c r="K140" s="3479"/>
      <c r="L140" s="3480"/>
      <c r="M140" s="3268"/>
      <c r="N140" s="3267"/>
      <c r="O140" s="3479"/>
      <c r="P140" s="3480"/>
      <c r="Q140" s="3480"/>
      <c r="R140" s="3480"/>
      <c r="S140" s="3479"/>
      <c r="T140" s="3480"/>
      <c r="U140" s="3481"/>
      <c r="V140" s="3481"/>
      <c r="W140" s="3481"/>
      <c r="X140" s="3481"/>
      <c r="Y140" s="3481"/>
      <c r="Z140" s="3480"/>
      <c r="AA140" s="3481"/>
      <c r="AB140" s="3481"/>
      <c r="AC140" s="3481"/>
      <c r="AD140" s="3481"/>
      <c r="AE140" s="3481"/>
      <c r="AF140" s="3480"/>
      <c r="AG140" s="3259"/>
    </row>
    <row r="141" spans="4:33" ht="13.5" customHeight="1">
      <c r="G141" s="2866"/>
      <c r="H141" s="2866"/>
      <c r="I141" s="2866"/>
      <c r="J141" s="2866"/>
      <c r="K141" s="2866"/>
      <c r="L141" s="2866"/>
      <c r="O141" s="2866"/>
      <c r="P141" s="2866"/>
      <c r="Q141" s="2866"/>
      <c r="R141" s="2866"/>
      <c r="S141" s="2866"/>
      <c r="T141" s="2866"/>
      <c r="U141" s="2866"/>
      <c r="V141" s="2866"/>
      <c r="W141" s="2866"/>
      <c r="X141" s="2866"/>
      <c r="Y141" s="2866"/>
      <c r="Z141" s="2866"/>
      <c r="AA141" s="2866"/>
      <c r="AB141" s="2866"/>
      <c r="AC141" s="2866"/>
      <c r="AD141" s="2866"/>
      <c r="AE141" s="2866"/>
      <c r="AF141" s="2866"/>
    </row>
    <row r="142" spans="4:33" ht="13.5" customHeight="1">
      <c r="D142" s="3256" t="s">
        <v>6135</v>
      </c>
      <c r="E142" s="3254" t="s">
        <v>6150</v>
      </c>
      <c r="F142" s="2983"/>
      <c r="G142" s="3459"/>
      <c r="H142" s="3459"/>
      <c r="I142" s="3459"/>
      <c r="J142" s="3459"/>
      <c r="K142" s="3459"/>
      <c r="L142" s="3477"/>
      <c r="M142" s="3261"/>
      <c r="N142" s="3261"/>
      <c r="O142" s="3459"/>
      <c r="P142" s="3477"/>
      <c r="Q142" s="3477"/>
      <c r="R142" s="3477"/>
      <c r="S142" s="3459"/>
      <c r="T142" s="3477"/>
      <c r="U142" s="3477"/>
      <c r="V142" s="3477"/>
      <c r="W142" s="3477"/>
      <c r="X142" s="3477"/>
      <c r="Y142" s="3477"/>
      <c r="Z142" s="3477"/>
      <c r="AA142" s="3477"/>
      <c r="AB142" s="3477"/>
      <c r="AC142" s="3477"/>
      <c r="AD142" s="3477"/>
      <c r="AE142" s="3477"/>
      <c r="AF142" s="3477">
        <f>+'4条圧縮'!C23</f>
        <v>1474537761</v>
      </c>
      <c r="AG142" s="3254"/>
    </row>
    <row r="143" spans="4:33" ht="13.5" customHeight="1">
      <c r="D143" s="3256"/>
      <c r="E143" s="3254" t="s">
        <v>6151</v>
      </c>
      <c r="F143" s="2983"/>
      <c r="G143" s="3459"/>
      <c r="H143" s="3459"/>
      <c r="I143" s="3459"/>
      <c r="J143" s="3459"/>
      <c r="K143" s="3459"/>
      <c r="L143" s="3477"/>
      <c r="M143" s="3261"/>
      <c r="N143" s="3261"/>
      <c r="O143" s="3459"/>
      <c r="P143" s="3477"/>
      <c r="Q143" s="3477"/>
      <c r="R143" s="3477"/>
      <c r="S143" s="3459"/>
      <c r="T143" s="3477"/>
      <c r="U143" s="3477"/>
      <c r="V143" s="3477"/>
      <c r="W143" s="3477"/>
      <c r="X143" s="3477"/>
      <c r="Y143" s="3477"/>
      <c r="Z143" s="3477"/>
      <c r="AA143" s="3477"/>
      <c r="AB143" s="3477"/>
      <c r="AC143" s="3477"/>
      <c r="AD143" s="3477"/>
      <c r="AE143" s="3477"/>
      <c r="AF143" s="3477">
        <f>+AF89</f>
        <v>1474537761</v>
      </c>
      <c r="AG143" s="3254"/>
    </row>
    <row r="144" spans="4:33" ht="13.5" customHeight="1" thickBot="1">
      <c r="E144" s="3251" t="s">
        <v>6152</v>
      </c>
      <c r="F144" s="3251"/>
      <c r="G144" s="3465"/>
      <c r="H144" s="3465"/>
      <c r="I144" s="3465"/>
      <c r="J144" s="3465"/>
      <c r="K144" s="3465"/>
      <c r="L144" s="3478"/>
      <c r="M144" s="3264"/>
      <c r="N144" s="3262"/>
      <c r="O144" s="3478"/>
      <c r="P144" s="3478"/>
      <c r="Q144" s="3478"/>
      <c r="R144" s="3478"/>
      <c r="S144" s="3465"/>
      <c r="T144" s="3478"/>
      <c r="U144" s="3478">
        <f>+U142-U143</f>
        <v>0</v>
      </c>
      <c r="V144" s="3478">
        <f>+V142-V143</f>
        <v>0</v>
      </c>
      <c r="W144" s="3478">
        <f>+W142-W143</f>
        <v>0</v>
      </c>
      <c r="X144" s="3478">
        <f>+X142-X143</f>
        <v>0</v>
      </c>
      <c r="Y144" s="3478">
        <f>+Y142-Y143</f>
        <v>0</v>
      </c>
      <c r="Z144" s="3478">
        <f t="shared" ref="Z144" si="64">+SUM(U144:Y144)</f>
        <v>0</v>
      </c>
      <c r="AA144" s="3478">
        <f t="shared" ref="AA144:AF144" si="65">+AA142-AA143</f>
        <v>0</v>
      </c>
      <c r="AB144" s="3478">
        <f t="shared" si="65"/>
        <v>0</v>
      </c>
      <c r="AC144" s="3478">
        <f t="shared" si="65"/>
        <v>0</v>
      </c>
      <c r="AD144" s="3478">
        <f t="shared" si="65"/>
        <v>0</v>
      </c>
      <c r="AE144" s="3478">
        <f t="shared" si="65"/>
        <v>0</v>
      </c>
      <c r="AF144" s="3478">
        <f t="shared" si="65"/>
        <v>0</v>
      </c>
      <c r="AG144" s="3255"/>
    </row>
    <row r="145" spans="4:33" ht="13.5" customHeight="1" thickBot="1">
      <c r="E145" s="3257" t="s">
        <v>6153</v>
      </c>
      <c r="F145" s="3258"/>
      <c r="G145" s="3479"/>
      <c r="H145" s="3479"/>
      <c r="I145" s="3479"/>
      <c r="J145" s="3479"/>
      <c r="K145" s="3479"/>
      <c r="L145" s="3480"/>
      <c r="M145" s="3268"/>
      <c r="N145" s="3267"/>
      <c r="O145" s="3479"/>
      <c r="P145" s="3480"/>
      <c r="Q145" s="3480"/>
      <c r="R145" s="3480"/>
      <c r="S145" s="3479"/>
      <c r="T145" s="3480"/>
      <c r="U145" s="3481"/>
      <c r="V145" s="3481"/>
      <c r="W145" s="3481"/>
      <c r="X145" s="3481"/>
      <c r="Y145" s="3481"/>
      <c r="Z145" s="3480"/>
      <c r="AA145" s="3481"/>
      <c r="AB145" s="3481"/>
      <c r="AC145" s="3481"/>
      <c r="AD145" s="3481"/>
      <c r="AE145" s="3481"/>
      <c r="AF145" s="3480"/>
      <c r="AG145" s="3259"/>
    </row>
    <row r="146" spans="4:33" ht="13.5" customHeight="1">
      <c r="G146" s="2866"/>
      <c r="H146" s="2866"/>
      <c r="I146" s="2866"/>
      <c r="J146" s="2866"/>
      <c r="K146" s="2866"/>
      <c r="L146" s="2866"/>
      <c r="O146" s="2866"/>
      <c r="P146" s="2866"/>
      <c r="Q146" s="2866"/>
      <c r="R146" s="2866"/>
      <c r="S146" s="2866"/>
      <c r="T146" s="2866"/>
      <c r="U146" s="2866"/>
      <c r="V146" s="2866"/>
      <c r="W146" s="2866"/>
      <c r="X146" s="2866"/>
      <c r="Y146" s="2866"/>
      <c r="Z146" s="2866"/>
      <c r="AA146" s="2866"/>
      <c r="AB146" s="2866"/>
      <c r="AC146" s="2866"/>
      <c r="AD146" s="2866"/>
      <c r="AE146" s="2866"/>
      <c r="AF146" s="2866"/>
    </row>
    <row r="147" spans="4:33" ht="13.5" customHeight="1">
      <c r="D147" s="3265" t="s">
        <v>6135</v>
      </c>
      <c r="E147" s="3263" t="s">
        <v>6154</v>
      </c>
      <c r="F147" s="3261"/>
      <c r="G147" s="3459"/>
      <c r="H147" s="3459"/>
      <c r="I147" s="3459"/>
      <c r="J147" s="3459"/>
      <c r="K147" s="3459"/>
      <c r="L147" s="3477"/>
      <c r="M147" s="3261"/>
      <c r="N147" s="3261"/>
      <c r="O147" s="3459"/>
      <c r="P147" s="3477"/>
      <c r="Q147" s="3477"/>
      <c r="R147" s="3477"/>
      <c r="S147" s="3459"/>
      <c r="T147" s="3477"/>
      <c r="U147" s="3477"/>
      <c r="V147" s="3477"/>
      <c r="W147" s="3477"/>
      <c r="X147" s="3477"/>
      <c r="Y147" s="3477"/>
      <c r="Z147" s="3477"/>
      <c r="AA147" s="3477"/>
      <c r="AB147" s="3477"/>
      <c r="AC147" s="3477"/>
      <c r="AD147" s="3477"/>
      <c r="AE147" s="3477"/>
      <c r="AF147" s="3477">
        <f>+'4条圧縮'!E23</f>
        <v>547333753</v>
      </c>
      <c r="AG147" s="3263"/>
    </row>
    <row r="148" spans="4:33" ht="13.5" customHeight="1">
      <c r="D148" s="3265"/>
      <c r="E148" s="3263" t="s">
        <v>6155</v>
      </c>
      <c r="F148" s="3261"/>
      <c r="G148" s="3459"/>
      <c r="H148" s="3459"/>
      <c r="I148" s="3459"/>
      <c r="J148" s="3459"/>
      <c r="K148" s="3459"/>
      <c r="L148" s="3477"/>
      <c r="M148" s="3261"/>
      <c r="N148" s="3261"/>
      <c r="O148" s="3459"/>
      <c r="P148" s="3477"/>
      <c r="Q148" s="3477"/>
      <c r="R148" s="3477"/>
      <c r="S148" s="3459"/>
      <c r="T148" s="3477"/>
      <c r="U148" s="3477"/>
      <c r="V148" s="3477"/>
      <c r="W148" s="3477"/>
      <c r="X148" s="3477"/>
      <c r="Y148" s="3477"/>
      <c r="Z148" s="3477"/>
      <c r="AA148" s="3477"/>
      <c r="AB148" s="3477"/>
      <c r="AC148" s="3477"/>
      <c r="AD148" s="3477"/>
      <c r="AE148" s="3477"/>
      <c r="AF148" s="3477">
        <f>+AF94</f>
        <v>547333753</v>
      </c>
      <c r="AG148" s="3263"/>
    </row>
    <row r="149" spans="4:33" ht="13.5" customHeight="1" thickBot="1">
      <c r="D149" s="3260"/>
      <c r="E149" s="3262" t="s">
        <v>6156</v>
      </c>
      <c r="F149" s="3262"/>
      <c r="G149" s="3465"/>
      <c r="H149" s="3465"/>
      <c r="I149" s="3465"/>
      <c r="J149" s="3465"/>
      <c r="K149" s="3465"/>
      <c r="L149" s="3478"/>
      <c r="M149" s="3264"/>
      <c r="N149" s="3262"/>
      <c r="O149" s="3478"/>
      <c r="P149" s="3478"/>
      <c r="Q149" s="3478"/>
      <c r="R149" s="3478"/>
      <c r="S149" s="3465"/>
      <c r="T149" s="3478"/>
      <c r="U149" s="3478"/>
      <c r="V149" s="3478"/>
      <c r="W149" s="3478"/>
      <c r="X149" s="3478"/>
      <c r="Y149" s="3478"/>
      <c r="Z149" s="3478"/>
      <c r="AA149" s="3478">
        <f t="shared" ref="AA149:AF149" si="66">+AA147-AA148</f>
        <v>0</v>
      </c>
      <c r="AB149" s="3478">
        <f t="shared" si="66"/>
        <v>0</v>
      </c>
      <c r="AC149" s="3478">
        <f t="shared" si="66"/>
        <v>0</v>
      </c>
      <c r="AD149" s="3478">
        <f t="shared" si="66"/>
        <v>0</v>
      </c>
      <c r="AE149" s="3478">
        <f t="shared" si="66"/>
        <v>0</v>
      </c>
      <c r="AF149" s="3478">
        <f t="shared" si="66"/>
        <v>0</v>
      </c>
      <c r="AG149" s="3264"/>
    </row>
    <row r="150" spans="4:33" ht="13.5" customHeight="1" thickBot="1">
      <c r="D150" s="3260"/>
      <c r="E150" s="3266" t="s">
        <v>6157</v>
      </c>
      <c r="F150" s="3267"/>
      <c r="G150" s="3479"/>
      <c r="H150" s="3479"/>
      <c r="I150" s="3479"/>
      <c r="J150" s="3479"/>
      <c r="K150" s="3479"/>
      <c r="L150" s="3480"/>
      <c r="M150" s="3268"/>
      <c r="N150" s="3267"/>
      <c r="O150" s="3479"/>
      <c r="P150" s="3480"/>
      <c r="Q150" s="3480"/>
      <c r="R150" s="3480"/>
      <c r="S150" s="3479"/>
      <c r="T150" s="3480"/>
      <c r="U150" s="3481"/>
      <c r="V150" s="3481"/>
      <c r="W150" s="3481"/>
      <c r="X150" s="3481"/>
      <c r="Y150" s="3481"/>
      <c r="Z150" s="3480"/>
      <c r="AA150" s="3481"/>
      <c r="AB150" s="3481"/>
      <c r="AC150" s="3481"/>
      <c r="AD150" s="3481"/>
      <c r="AE150" s="3481"/>
      <c r="AF150" s="3480"/>
      <c r="AG150" s="3269"/>
    </row>
  </sheetData>
  <mergeCells count="60">
    <mergeCell ref="C16:C17"/>
    <mergeCell ref="D16:D17"/>
    <mergeCell ref="C18:C19"/>
    <mergeCell ref="D18:D19"/>
    <mergeCell ref="B4:D7"/>
    <mergeCell ref="B119:B125"/>
    <mergeCell ref="C119:C124"/>
    <mergeCell ref="D119:D124"/>
    <mergeCell ref="B8:B32"/>
    <mergeCell ref="C8:C9"/>
    <mergeCell ref="D8:D9"/>
    <mergeCell ref="C10:C12"/>
    <mergeCell ref="D10:D12"/>
    <mergeCell ref="C13:C15"/>
    <mergeCell ref="B33:B40"/>
    <mergeCell ref="C33:C40"/>
    <mergeCell ref="D33:D40"/>
    <mergeCell ref="C47:C48"/>
    <mergeCell ref="D47:D48"/>
    <mergeCell ref="D13:D15"/>
    <mergeCell ref="D20:D21"/>
    <mergeCell ref="C22:C23"/>
    <mergeCell ref="D22:D23"/>
    <mergeCell ref="C24:C32"/>
    <mergeCell ref="D24:D32"/>
    <mergeCell ref="C20:C21"/>
    <mergeCell ref="D77:D79"/>
    <mergeCell ref="C49:C50"/>
    <mergeCell ref="D49:D50"/>
    <mergeCell ref="C51:C52"/>
    <mergeCell ref="D51:D52"/>
    <mergeCell ref="C53:C54"/>
    <mergeCell ref="D53:D54"/>
    <mergeCell ref="C70:C72"/>
    <mergeCell ref="D70:D72"/>
    <mergeCell ref="C73:C76"/>
    <mergeCell ref="D73:D76"/>
    <mergeCell ref="B41:B67"/>
    <mergeCell ref="C41:C43"/>
    <mergeCell ref="D41:D43"/>
    <mergeCell ref="C44:C46"/>
    <mergeCell ref="D44:D46"/>
    <mergeCell ref="C55:C67"/>
    <mergeCell ref="D55:D67"/>
    <mergeCell ref="B68:B80"/>
    <mergeCell ref="C68:C69"/>
    <mergeCell ref="D68:D69"/>
    <mergeCell ref="B102:B118"/>
    <mergeCell ref="C102:C107"/>
    <mergeCell ref="D102:D107"/>
    <mergeCell ref="C108:C112"/>
    <mergeCell ref="D108:D112"/>
    <mergeCell ref="C113:C116"/>
    <mergeCell ref="D113:D116"/>
    <mergeCell ref="B81:B101"/>
    <mergeCell ref="C81:C88"/>
    <mergeCell ref="D81:D88"/>
    <mergeCell ref="C89:C101"/>
    <mergeCell ref="D89:D101"/>
    <mergeCell ref="C77:C79"/>
  </mergeCells>
  <phoneticPr fontId="4"/>
  <conditionalFormatting sqref="AA130:AE130">
    <cfRule type="notContainsBlanks" dxfId="530" priority="13" stopIfTrue="1">
      <formula>LEN(TRIM(AA130))&gt;0</formula>
    </cfRule>
  </conditionalFormatting>
  <conditionalFormatting sqref="U140:Y140">
    <cfRule type="notContainsBlanks" dxfId="529" priority="12" stopIfTrue="1">
      <formula>LEN(TRIM(U140))&gt;0</formula>
    </cfRule>
  </conditionalFormatting>
  <conditionalFormatting sqref="AA140:AE140">
    <cfRule type="notContainsBlanks" dxfId="528" priority="11" stopIfTrue="1">
      <formula>LEN(TRIM(AA140))&gt;0</formula>
    </cfRule>
  </conditionalFormatting>
  <conditionalFormatting sqref="U135:Y135">
    <cfRule type="notContainsBlanks" dxfId="527" priority="10" stopIfTrue="1">
      <formula>LEN(TRIM(U135))&gt;0</formula>
    </cfRule>
  </conditionalFormatting>
  <conditionalFormatting sqref="AA135:AE135">
    <cfRule type="notContainsBlanks" dxfId="526" priority="9" stopIfTrue="1">
      <formula>LEN(TRIM(AA135))&gt;0</formula>
    </cfRule>
  </conditionalFormatting>
  <conditionalFormatting sqref="AA129:AF129 AA134:AF134 U139:AF139">
    <cfRule type="cellIs" dxfId="525" priority="8" operator="notEqual">
      <formula>0</formula>
    </cfRule>
  </conditionalFormatting>
  <conditionalFormatting sqref="U130:Y130">
    <cfRule type="notContainsBlanks" dxfId="524" priority="7" stopIfTrue="1">
      <formula>LEN(TRIM(U130))&gt;0</formula>
    </cfRule>
  </conditionalFormatting>
  <conditionalFormatting sqref="U129:Z129">
    <cfRule type="cellIs" dxfId="523" priority="6" operator="notEqual">
      <formula>0</formula>
    </cfRule>
  </conditionalFormatting>
  <conditionalFormatting sqref="U145:Y145">
    <cfRule type="notContainsBlanks" dxfId="522" priority="5" stopIfTrue="1">
      <formula>LEN(TRIM(U145))&gt;0</formula>
    </cfRule>
  </conditionalFormatting>
  <conditionalFormatting sqref="AA145:AE145">
    <cfRule type="notContainsBlanks" dxfId="521" priority="4" stopIfTrue="1">
      <formula>LEN(TRIM(AA145))&gt;0</formula>
    </cfRule>
  </conditionalFormatting>
  <conditionalFormatting sqref="U144:AF144">
    <cfRule type="cellIs" dxfId="520" priority="3" operator="notEqual">
      <formula>0</formula>
    </cfRule>
  </conditionalFormatting>
  <conditionalFormatting sqref="AA150:AE150">
    <cfRule type="notContainsBlanks" dxfId="519" priority="2" stopIfTrue="1">
      <formula>LEN(TRIM(AA150))&gt;0</formula>
    </cfRule>
  </conditionalFormatting>
  <conditionalFormatting sqref="AA149:AF149">
    <cfRule type="cellIs" dxfId="518" priority="1" operator="notEqual">
      <formula>0</formula>
    </cfRule>
  </conditionalFormatting>
  <printOptions horizontalCentered="1"/>
  <pageMargins left="0.39370078740157483" right="0" top="0.47244094488188981" bottom="0" header="0.31496062992125984" footer="0.15748031496062992"/>
  <pageSetup paperSize="8" scale="71" orientation="landscape" blackAndWhite="1" cellComments="asDisplayed" r:id="rId1"/>
  <headerFooter>
    <oddFooter>&amp;C&amp;P/&amp;N&amp;R&amp;A</oddFooter>
  </headerFooter>
  <drawing r:id="rId2"/>
  <legacyDrawing r:id="rId3"/>
</worksheet>
</file>

<file path=xl/worksheets/w7_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H28"/>
  <sheetViews>
    <sheetView zoomScale="80" zoomScaleNormal="80" workbookViewId="0">
      <selection activeCell="R64" sqref="R64"/>
    </sheetView>
  </sheetViews>
  <sheetFormatPr defaultRowHeight="13.5"/>
  <cols>
    <col min="1" max="1" width="16.625" customWidth="1" style="2832"/>
    <col min="2" max="8" width="13.625" customWidth="1" style="2832"/>
  </cols>
  <sheetData>
    <row r="1" spans="1:8" ht="18" customHeight="1">
      <c r="A1" s="3102" t="str">
        <f>+CONCATENATE(LEFT('3条支出'!$D$1,8),"　資本的収支に関する特定収入に係る仕入控除できない消費税額の事業・収入科目別按分表")</f>
        <v>令和５年度決算　　資本的収支に関する特定収入に係る仕入控除できない消費税額の事業・収入科目別按分表</v>
      </c>
    </row>
    <row r="2" spans="1:8" s="3100" customFormat="1" ht="81" customHeight="1">
      <c r="A2" s="3101"/>
      <c r="B2" s="3101" t="s">
        <v>5990</v>
      </c>
      <c r="C2" s="3101" t="s">
        <v>5989</v>
      </c>
      <c r="D2" s="3101" t="s">
        <v>5988</v>
      </c>
      <c r="E2" s="3101" t="s">
        <v>5987</v>
      </c>
      <c r="F2" s="3101" t="s">
        <v>5986</v>
      </c>
      <c r="G2" s="3101" t="s">
        <v>5985</v>
      </c>
      <c r="H2" s="3101" t="s">
        <v>5984</v>
      </c>
    </row>
    <row r="3" spans="1:8" ht="18" customHeight="1">
      <c r="A3" s="3096" t="s">
        <v>5983</v>
      </c>
      <c r="B3" s="3096"/>
      <c r="C3" s="3096"/>
      <c r="D3" s="3099">
        <f>+'4条収入'!$AH25+'4条収入'!$AH27</f>
        <v>516208819</v>
      </c>
      <c r="E3" s="3096">
        <f>+E6-E4-E5</f>
        <v>514339374</v>
      </c>
      <c r="F3" s="3096"/>
      <c r="G3" s="3096">
        <f>+G6-G4-G5</f>
        <v>3018302</v>
      </c>
      <c r="H3" s="3096">
        <f>+D3+G3</f>
        <v>519227121</v>
      </c>
    </row>
    <row r="4" spans="1:8" ht="18" customHeight="1">
      <c r="A4" s="3095" t="s">
        <v>5982</v>
      </c>
      <c r="B4" s="3095"/>
      <c r="C4" s="3095"/>
      <c r="D4" s="3098">
        <f>+'4条収入'!AH43</f>
        <v>775000</v>
      </c>
      <c r="E4" s="3095">
        <f>+IFERROR(ROUND(D4/$D$24*$E$24,0),0)</f>
        <v>772193</v>
      </c>
      <c r="F4" s="3095"/>
      <c r="G4" s="3095">
        <f>+IFERROR(ROUND($G$6*D4/$D$6,0),0)</f>
        <v>4531</v>
      </c>
      <c r="H4" s="3095">
        <f>+D4+G4</f>
        <v>779531</v>
      </c>
    </row>
    <row r="5" spans="1:8" ht="18" customHeight="1">
      <c r="A5" s="3095" t="s">
        <v>5981</v>
      </c>
      <c r="B5" s="3095"/>
      <c r="C5" s="3095"/>
      <c r="D5" s="3098">
        <f>+'4条収入'!AH51</f>
        <v>26207717</v>
      </c>
      <c r="E5" s="3095">
        <f>+IFERROR(ROUND(D5/$D$24*$E$24,0),0)</f>
        <v>26112806</v>
      </c>
      <c r="F5" s="3095"/>
      <c r="G5" s="3095">
        <f>+IFERROR(ROUND($G$6*D5/$D$6,0),0)</f>
        <v>153238</v>
      </c>
      <c r="H5" s="3095">
        <f>+D5+G5</f>
        <v>26360955</v>
      </c>
    </row>
    <row r="6" spans="1:8" ht="18" customHeight="1">
      <c r="A6" s="3092" t="s">
        <v>5980</v>
      </c>
      <c r="B6" s="3097">
        <f>+'4条支出'!S6+'4条支出'!S7+'4条支出'!S8+'4条支出'!S10+諸公!S41</f>
        <v>1420200328</v>
      </c>
      <c r="C6" s="3092">
        <f>+C24-C10-C14-C18</f>
        <v>1415057094</v>
      </c>
      <c r="D6" s="3092">
        <f>+SUM(D3:D5)</f>
        <v>543191536</v>
      </c>
      <c r="E6" s="3092">
        <f>+E24-E10-E14-E18</f>
        <v>541224373</v>
      </c>
      <c r="F6" s="3092">
        <f>+C6-E6</f>
        <v>873832721</v>
      </c>
      <c r="G6" s="3092">
        <f>+B6-C6-(D6-E6)</f>
        <v>3176071</v>
      </c>
      <c r="H6" s="3092">
        <f>+SUM(H3:H5)</f>
        <v>546367607</v>
      </c>
    </row>
    <row r="7" spans="1:8" ht="18" customHeight="1">
      <c r="A7" s="3096" t="s">
        <v>5979</v>
      </c>
      <c r="B7" s="3096"/>
      <c r="C7" s="3096"/>
      <c r="D7" s="3099">
        <f>+'4条収入'!AH32+'4条収入'!AH28</f>
        <v>2772727</v>
      </c>
      <c r="E7" s="3096">
        <f>+E10-E8-E9</f>
        <v>2762685</v>
      </c>
      <c r="F7" s="3096"/>
      <c r="G7" s="3096">
        <f>+G10-G8-G9</f>
        <v>85655</v>
      </c>
      <c r="H7" s="3096">
        <f>+D7+G7</f>
        <v>2858382</v>
      </c>
    </row>
    <row r="8" spans="1:8" ht="18" customHeight="1">
      <c r="A8" s="3095" t="s">
        <v>5978</v>
      </c>
      <c r="B8" s="3095"/>
      <c r="C8" s="3095"/>
      <c r="D8" s="3098">
        <f>+'4条収入'!AH47</f>
        <v>1431014</v>
      </c>
      <c r="E8" s="3095">
        <f>+IFERROR(ROUND(D8/$D$24*$E$24,0),0)</f>
        <v>1425832</v>
      </c>
      <c r="F8" s="3095"/>
      <c r="G8" s="3095">
        <f>IFERROR(ROUND(G10*D8/D10,0),0)</f>
        <v>44207</v>
      </c>
      <c r="H8" s="3095">
        <f>+D8+G8</f>
        <v>1475221</v>
      </c>
    </row>
    <row r="9" spans="1:8" s="3260" customFormat="1" ht="18" customHeight="1">
      <c r="A9" s="3095" t="s">
        <v>6237</v>
      </c>
      <c r="B9" s="3095"/>
      <c r="C9" s="3095"/>
      <c r="D9" s="3098">
        <f>+'4条収入'!AH52</f>
        <v>0</v>
      </c>
      <c r="E9" s="3095">
        <f>+IFERROR(ROUND(D9/$D$24*$E$24,0),0)</f>
        <v>0</v>
      </c>
      <c r="F9" s="3095"/>
      <c r="G9" s="3095">
        <f>+IFERROR(ROUND($G$10*D9/$D$10,0),0)</f>
        <v>0</v>
      </c>
      <c r="H9" s="3095">
        <f>+D9+G9</f>
        <v>0</v>
      </c>
    </row>
    <row r="10" spans="1:8" ht="18" customHeight="1">
      <c r="A10" s="3092" t="s">
        <v>5977</v>
      </c>
      <c r="B10" s="3097">
        <f>+諸特!S41+特整!S41</f>
        <v>40062545</v>
      </c>
      <c r="C10" s="3092">
        <f>+IFERROR(ROUND(B10/$B$24*$C$24,0),0)</f>
        <v>39917459</v>
      </c>
      <c r="D10" s="3092">
        <f>+SUM(D7:D9)</f>
        <v>4203741</v>
      </c>
      <c r="E10" s="3092">
        <f>+IFERROR(ROUND(D10/$D$24*$E$24,0),0)</f>
        <v>4188517</v>
      </c>
      <c r="F10" s="3092">
        <f>+C10-E10</f>
        <v>35728942</v>
      </c>
      <c r="G10" s="3092">
        <f>+B10-C10-(D10-E10)</f>
        <v>129862</v>
      </c>
      <c r="H10" s="3092">
        <f>+SUM(H7:H9)</f>
        <v>4333603</v>
      </c>
    </row>
    <row r="11" spans="1:8" ht="18" customHeight="1">
      <c r="A11" s="3096" t="s">
        <v>5976</v>
      </c>
      <c r="B11" s="3096"/>
      <c r="C11" s="3096"/>
      <c r="D11" s="3099">
        <f>+'4条収入'!AH33+'4条収入'!AH29</f>
        <v>0</v>
      </c>
      <c r="E11" s="3096">
        <f>+E14-E12-E13</f>
        <v>0</v>
      </c>
      <c r="F11" s="3096"/>
      <c r="G11" s="3096">
        <f>+G14-G12-G13</f>
        <v>0</v>
      </c>
      <c r="H11" s="3096">
        <f>+D11+G11</f>
        <v>0</v>
      </c>
    </row>
    <row r="12" spans="1:8" ht="18" customHeight="1">
      <c r="A12" s="3095" t="s">
        <v>5975</v>
      </c>
      <c r="B12" s="3095"/>
      <c r="C12" s="3095"/>
      <c r="D12" s="3098">
        <f>+'4条収入'!AH48</f>
        <v>1253458</v>
      </c>
      <c r="E12" s="3095">
        <f>+IFERROR(ROUND(D12/$D$24*$E$24,0),0)</f>
        <v>1248919</v>
      </c>
      <c r="F12" s="3095"/>
      <c r="G12" s="3095">
        <f>IFERROR(ROUND(G14*D12/D14,0),0)</f>
        <v>40427</v>
      </c>
      <c r="H12" s="3095">
        <f>+D12+G12</f>
        <v>1293885</v>
      </c>
    </row>
    <row r="13" spans="1:8" s="3260" customFormat="1" ht="18" customHeight="1">
      <c r="A13" s="3095" t="s">
        <v>6238</v>
      </c>
      <c r="B13" s="3095"/>
      <c r="C13" s="3095"/>
      <c r="D13" s="3098">
        <f>+'4条収入'!AH53</f>
        <v>0</v>
      </c>
      <c r="E13" s="3095">
        <f>+IFERROR(ROUND(D13/$D$24*$E$24,0),0)</f>
        <v>0</v>
      </c>
      <c r="F13" s="3095"/>
      <c r="G13" s="3095">
        <f>+IFERROR(ROUND($G$14*D13/$D$14,0),0)</f>
        <v>0</v>
      </c>
      <c r="H13" s="3095">
        <f>+D13+G13</f>
        <v>0</v>
      </c>
    </row>
    <row r="14" spans="1:8" ht="18" customHeight="1">
      <c r="A14" s="3092" t="s">
        <v>5974</v>
      </c>
      <c r="B14" s="3097">
        <f>+諸農!S41+農整!S41</f>
        <v>12416364</v>
      </c>
      <c r="C14" s="3092">
        <f>+IFERROR(ROUND(B14/$B$24*$C$24,0),0)</f>
        <v>12371398</v>
      </c>
      <c r="D14" s="3092">
        <f>+SUM(D11:D13)</f>
        <v>1253458</v>
      </c>
      <c r="E14" s="3092">
        <f>+IFERROR(ROUND(D14/$D$24*$E$24,0),0)</f>
        <v>1248919</v>
      </c>
      <c r="F14" s="3092">
        <f>+C14-E14</f>
        <v>11122479</v>
      </c>
      <c r="G14" s="3092">
        <f>+B14-C14-(D14-E14)</f>
        <v>40427</v>
      </c>
      <c r="H14" s="3092">
        <f>+SUM(H11:H13)</f>
        <v>1293885</v>
      </c>
    </row>
    <row r="15" spans="1:8" ht="18" customHeight="1">
      <c r="A15" s="3096" t="s">
        <v>5973</v>
      </c>
      <c r="B15" s="3096"/>
      <c r="C15" s="3096"/>
      <c r="D15" s="3099">
        <f>+'4条収入'!AH34+'4条収入'!AH30</f>
        <v>317091</v>
      </c>
      <c r="E15" s="3096">
        <f>+E18-E16-E17</f>
        <v>315943</v>
      </c>
      <c r="F15" s="3096"/>
      <c r="G15" s="3096">
        <f>+G18-G16-G17</f>
        <v>11143</v>
      </c>
      <c r="H15" s="3096">
        <f>+D15+G15</f>
        <v>328234</v>
      </c>
    </row>
    <row r="16" spans="1:8" ht="18" customHeight="1">
      <c r="A16" s="3095" t="s">
        <v>5972</v>
      </c>
      <c r="B16" s="3095"/>
      <c r="C16" s="3095"/>
      <c r="D16" s="3098">
        <f>+'4条収入'!AH49</f>
        <v>357295</v>
      </c>
      <c r="E16" s="3095">
        <f>+IFERROR(ROUND(D16/$D$24*$E$24,0),0)</f>
        <v>356001</v>
      </c>
      <c r="F16" s="3095"/>
      <c r="G16" s="3095">
        <f>IFERROR(ROUND(G18*D16/D18,0),0)</f>
        <v>12555</v>
      </c>
      <c r="H16" s="3095">
        <f>+D16+G16</f>
        <v>369850</v>
      </c>
    </row>
    <row r="17" spans="1:8" s="3260" customFormat="1" ht="18" customHeight="1">
      <c r="A17" s="3095" t="s">
        <v>6239</v>
      </c>
      <c r="B17" s="3095"/>
      <c r="C17" s="3095"/>
      <c r="D17" s="3098">
        <f>+'4条収入'!AH54</f>
        <v>0</v>
      </c>
      <c r="E17" s="3095">
        <f>+IFERROR(ROUND(D17/$D$24*$E$24,0),0)</f>
        <v>0</v>
      </c>
      <c r="F17" s="3095"/>
      <c r="G17" s="3095">
        <f>+IFERROR(ROUND($G$18*D17/$D$18,0),0)</f>
        <v>0</v>
      </c>
      <c r="H17" s="3095">
        <f>+D17+G17</f>
        <v>0</v>
      </c>
    </row>
    <row r="18" spans="1:8" ht="18" customHeight="1">
      <c r="A18" s="3092" t="s">
        <v>5971</v>
      </c>
      <c r="B18" s="3097">
        <f>+浄整!S41</f>
        <v>7217950</v>
      </c>
      <c r="C18" s="3092">
        <f>+IFERROR(ROUND(B18/$B$24*$C$24,0),0)</f>
        <v>7191810</v>
      </c>
      <c r="D18" s="3092">
        <f>+SUM(D15:D17)</f>
        <v>674386</v>
      </c>
      <c r="E18" s="3092">
        <f>+IFERROR(ROUND(D18/$D$24*$E$24,0),0)</f>
        <v>671944</v>
      </c>
      <c r="F18" s="3092">
        <f>+C18-E18</f>
        <v>6519866</v>
      </c>
      <c r="G18" s="3092">
        <f>+B18-C18-(D18-E18)</f>
        <v>23698</v>
      </c>
      <c r="H18" s="3092">
        <f>+SUM(H15:H17)</f>
        <v>698084</v>
      </c>
    </row>
    <row r="19" spans="1:8" ht="18" customHeight="1">
      <c r="A19" s="3096" t="s">
        <v>5970</v>
      </c>
      <c r="B19" s="3096">
        <f t="shared" ref="B19:H19" si="0">+B3+B7+B11+B15</f>
        <v>0</v>
      </c>
      <c r="C19" s="3096">
        <f t="shared" si="0"/>
        <v>0</v>
      </c>
      <c r="D19" s="3096">
        <f t="shared" si="0"/>
        <v>519298637</v>
      </c>
      <c r="E19" s="3096">
        <f t="shared" si="0"/>
        <v>517418002</v>
      </c>
      <c r="F19" s="3096">
        <f t="shared" si="0"/>
        <v>0</v>
      </c>
      <c r="G19" s="3096">
        <f t="shared" si="0"/>
        <v>3115100</v>
      </c>
      <c r="H19" s="3096">
        <f t="shared" si="0"/>
        <v>522413737</v>
      </c>
    </row>
    <row r="20" spans="1:8" ht="18" customHeight="1">
      <c r="A20" s="3095" t="s">
        <v>5969</v>
      </c>
      <c r="B20" s="3095">
        <f t="shared" ref="B20:H20" si="1">+B4</f>
        <v>0</v>
      </c>
      <c r="C20" s="3095">
        <f t="shared" si="1"/>
        <v>0</v>
      </c>
      <c r="D20" s="3095">
        <f t="shared" si="1"/>
        <v>775000</v>
      </c>
      <c r="E20" s="3095">
        <f t="shared" si="1"/>
        <v>772193</v>
      </c>
      <c r="F20" s="3095">
        <f t="shared" si="1"/>
        <v>0</v>
      </c>
      <c r="G20" s="3095">
        <f t="shared" si="1"/>
        <v>4531</v>
      </c>
      <c r="H20" s="3095">
        <f t="shared" si="1"/>
        <v>779531</v>
      </c>
    </row>
    <row r="21" spans="1:8" ht="18" customHeight="1">
      <c r="A21" s="3095" t="s">
        <v>5968</v>
      </c>
      <c r="B21" s="3095">
        <f t="shared" ref="B21:H21" si="2">+B8+B12+B16</f>
        <v>0</v>
      </c>
      <c r="C21" s="3095">
        <f t="shared" si="2"/>
        <v>0</v>
      </c>
      <c r="D21" s="3095">
        <f t="shared" si="2"/>
        <v>3041767</v>
      </c>
      <c r="E21" s="3095">
        <f t="shared" si="2"/>
        <v>3030752</v>
      </c>
      <c r="F21" s="3095">
        <f t="shared" si="2"/>
        <v>0</v>
      </c>
      <c r="G21" s="3095">
        <f t="shared" si="2"/>
        <v>97189</v>
      </c>
      <c r="H21" s="3095">
        <f t="shared" si="2"/>
        <v>3138956</v>
      </c>
    </row>
    <row r="22" spans="1:8" ht="18" customHeight="1" thickBot="1">
      <c r="A22" s="3094" t="s">
        <v>5967</v>
      </c>
      <c r="B22" s="3094">
        <f t="shared" ref="B22:C22" si="3">+B5</f>
        <v>0</v>
      </c>
      <c r="C22" s="3094">
        <f t="shared" si="3"/>
        <v>0</v>
      </c>
      <c r="D22" s="3094">
        <f>+D5+D9+D13+D17</f>
        <v>26207717</v>
      </c>
      <c r="E22" s="3094">
        <f>+E5+E9+E13+E17</f>
        <v>26112806</v>
      </c>
      <c r="F22" s="3094">
        <f t="shared" ref="F22:H22" si="4">+F5+F9+F13+F17</f>
        <v>0</v>
      </c>
      <c r="G22" s="3094">
        <f t="shared" si="4"/>
        <v>153238</v>
      </c>
      <c r="H22" s="3094">
        <f t="shared" si="4"/>
        <v>26360955</v>
      </c>
    </row>
    <row r="23" spans="1:8" ht="18" customHeight="1" thickTop="1">
      <c r="A23" s="3093" t="s">
        <v>5966</v>
      </c>
      <c r="B23" s="3093">
        <f t="shared" ref="B23:H23" si="5">+SUM(B6,B10,B14,B18)</f>
        <v>1479897187</v>
      </c>
      <c r="C23" s="3093">
        <f t="shared" si="5"/>
        <v>1474537761</v>
      </c>
      <c r="D23" s="3093">
        <f>+SUM(D6,D10,D14,D18)</f>
        <v>549323121</v>
      </c>
      <c r="E23" s="3093">
        <f t="shared" si="5"/>
        <v>547333753</v>
      </c>
      <c r="F23" s="3093">
        <f t="shared" si="5"/>
        <v>927204008</v>
      </c>
      <c r="G23" s="3093">
        <f t="shared" si="5"/>
        <v>3370058</v>
      </c>
      <c r="H23" s="3093">
        <f t="shared" si="5"/>
        <v>552693179</v>
      </c>
    </row>
    <row r="24" spans="1:8" ht="18" customHeight="1">
      <c r="A24" s="3092" t="s">
        <v>5965</v>
      </c>
      <c r="B24" s="3091">
        <f>+消費税!AF67</f>
        <v>1479897187</v>
      </c>
      <c r="C24" s="3091">
        <f>+消費税!AF89</f>
        <v>1474537761</v>
      </c>
      <c r="D24" s="3091">
        <f>+消費税!AF91</f>
        <v>549323121</v>
      </c>
      <c r="E24" s="3091">
        <f>+消費税!AF94</f>
        <v>547333753</v>
      </c>
      <c r="F24" s="3091">
        <f>+消費税!AF101</f>
        <v>927204008</v>
      </c>
      <c r="G24" s="3091">
        <f>+消費税!AF122</f>
        <v>3370058</v>
      </c>
      <c r="H24" s="3091">
        <f>+消費税!AF124</f>
        <v>552693179</v>
      </c>
    </row>
    <row r="25" spans="1:8">
      <c r="B25" s="3090">
        <f t="shared" ref="B25:H25" si="6">+B23-B24</f>
        <v>0</v>
      </c>
      <c r="C25" s="3090">
        <f t="shared" si="6"/>
        <v>0</v>
      </c>
      <c r="D25" s="3090">
        <f t="shared" si="6"/>
        <v>0</v>
      </c>
      <c r="E25" s="3090">
        <f t="shared" si="6"/>
        <v>0</v>
      </c>
      <c r="F25" s="3090">
        <f t="shared" si="6"/>
        <v>0</v>
      </c>
      <c r="G25" s="3090">
        <f t="shared" si="6"/>
        <v>0</v>
      </c>
      <c r="H25" s="3090">
        <f t="shared" si="6"/>
        <v>0</v>
      </c>
    </row>
    <row r="26" spans="1:8">
      <c r="B26" s="3090"/>
      <c r="E26" s="3090"/>
      <c r="F26" s="3090"/>
    </row>
    <row r="27" spans="1:8">
      <c r="D27" s="3090"/>
    </row>
    <row r="28" spans="1:8">
      <c r="F28" s="3090"/>
    </row>
  </sheetData>
  <phoneticPr fontId="4"/>
  <pageMargins left="0.70866141732283472" right="0.70866141732283472" top="0.74803149606299213" bottom="0.74803149606299213" header="0.31496062992125984" footer="0.31496062992125984"/>
  <pageSetup paperSize="9" scale="79" orientation="portrait" r:id="rId1"/>
</worksheet>
</file>

<file path=xl/worksheets/w7_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98"/>
  <sheetViews>
    <sheetView zoomScale="80" zoomScaleNormal="80" zoomScaleSheetLayoutView="100" workbookViewId="0">
      <pane xSplit="3" ySplit="4" topLeftCell="D49" activePane="bottomRight" state="frozen"/>
      <selection activeCell="R64" sqref="R64"/>
      <selection pane="topRight" activeCell="R64" sqref="R64"/>
      <selection pane="bottomLeft" activeCell="R64" sqref="R64"/>
      <selection pane="bottomRight" activeCell="F88" sqref="F88"/>
    </sheetView>
  </sheetViews>
  <sheetFormatPr defaultRowHeight="13.5"/>
  <cols>
    <col min="1" max="2" width="3.125" style="3103" customWidth="1"/>
    <col min="3" max="3" width="32" style="3103" customWidth="1"/>
    <col min="4" max="6" width="16.375" style="3103" customWidth="1"/>
    <col min="7" max="9" width="15.625" style="3103" hidden="1" customWidth="1"/>
    <col min="10" max="10" width="13.75" style="3103" bestFit="1" customWidth="1"/>
    <col min="11" max="11" width="7.625" style="3103" customWidth="1"/>
    <col min="12" max="251" width="9" style="3103"/>
    <col min="252" max="253" width="3.125" style="3103" customWidth="1"/>
    <col min="254" max="254" width="32" style="3103" customWidth="1"/>
    <col min="255" max="257" width="16.375" style="3103" customWidth="1"/>
    <col min="258" max="260" width="0" style="3103" hidden="1" customWidth="1"/>
    <col min="261" max="261" width="13.75" style="3103" bestFit="1" customWidth="1"/>
    <col min="262" max="262" width="7.625" style="3103" customWidth="1"/>
    <col min="263" max="263" width="5.75" style="3103" bestFit="1" customWidth="1"/>
    <col min="264" max="265" width="20.875" style="3103" customWidth="1"/>
    <col min="266" max="266" width="14.875" style="3103" customWidth="1"/>
    <col min="267" max="507" width="9" style="3103"/>
    <col min="508" max="509" width="3.125" style="3103" customWidth="1"/>
    <col min="510" max="510" width="32" style="3103" customWidth="1"/>
    <col min="511" max="513" width="16.375" style="3103" customWidth="1"/>
    <col min="514" max="516" width="0" style="3103" hidden="1" customWidth="1"/>
    <col min="517" max="517" width="13.75" style="3103" bestFit="1" customWidth="1"/>
    <col min="518" max="518" width="7.625" style="3103" customWidth="1"/>
    <col min="519" max="519" width="5.75" style="3103" bestFit="1" customWidth="1"/>
    <col min="520" max="521" width="20.875" style="3103" customWidth="1"/>
    <col min="522" max="522" width="14.875" style="3103" customWidth="1"/>
    <col min="523" max="763" width="9" style="3103"/>
    <col min="764" max="765" width="3.125" style="3103" customWidth="1"/>
    <col min="766" max="766" width="32" style="3103" customWidth="1"/>
    <col min="767" max="769" width="16.375" style="3103" customWidth="1"/>
    <col min="770" max="772" width="0" style="3103" hidden="1" customWidth="1"/>
    <col min="773" max="773" width="13.75" style="3103" bestFit="1" customWidth="1"/>
    <col min="774" max="774" width="7.625" style="3103" customWidth="1"/>
    <col min="775" max="775" width="5.75" style="3103" bestFit="1" customWidth="1"/>
    <col min="776" max="777" width="20.875" style="3103" customWidth="1"/>
    <col min="778" max="778" width="14.875" style="3103" customWidth="1"/>
    <col min="779" max="1019" width="9" style="3103"/>
    <col min="1020" max="1021" width="3.125" style="3103" customWidth="1"/>
    <col min="1022" max="1022" width="32" style="3103" customWidth="1"/>
    <col min="1023" max="1025" width="16.375" style="3103" customWidth="1"/>
    <col min="1026" max="1028" width="0" style="3103" hidden="1" customWidth="1"/>
    <col min="1029" max="1029" width="13.75" style="3103" bestFit="1" customWidth="1"/>
    <col min="1030" max="1030" width="7.625" style="3103" customWidth="1"/>
    <col min="1031" max="1031" width="5.75" style="3103" bestFit="1" customWidth="1"/>
    <col min="1032" max="1033" width="20.875" style="3103" customWidth="1"/>
    <col min="1034" max="1034" width="14.875" style="3103" customWidth="1"/>
    <col min="1035" max="1275" width="9" style="3103"/>
    <col min="1276" max="1277" width="3.125" style="3103" customWidth="1"/>
    <col min="1278" max="1278" width="32" style="3103" customWidth="1"/>
    <col min="1279" max="1281" width="16.375" style="3103" customWidth="1"/>
    <col min="1282" max="1284" width="0" style="3103" hidden="1" customWidth="1"/>
    <col min="1285" max="1285" width="13.75" style="3103" bestFit="1" customWidth="1"/>
    <col min="1286" max="1286" width="7.625" style="3103" customWidth="1"/>
    <col min="1287" max="1287" width="5.75" style="3103" bestFit="1" customWidth="1"/>
    <col min="1288" max="1289" width="20.875" style="3103" customWidth="1"/>
    <col min="1290" max="1290" width="14.875" style="3103" customWidth="1"/>
    <col min="1291" max="1531" width="9" style="3103"/>
    <col min="1532" max="1533" width="3.125" style="3103" customWidth="1"/>
    <col min="1534" max="1534" width="32" style="3103" customWidth="1"/>
    <col min="1535" max="1537" width="16.375" style="3103" customWidth="1"/>
    <col min="1538" max="1540" width="0" style="3103" hidden="1" customWidth="1"/>
    <col min="1541" max="1541" width="13.75" style="3103" bestFit="1" customWidth="1"/>
    <col min="1542" max="1542" width="7.625" style="3103" customWidth="1"/>
    <col min="1543" max="1543" width="5.75" style="3103" bestFit="1" customWidth="1"/>
    <col min="1544" max="1545" width="20.875" style="3103" customWidth="1"/>
    <col min="1546" max="1546" width="14.875" style="3103" customWidth="1"/>
    <col min="1547" max="1787" width="9" style="3103"/>
    <col min="1788" max="1789" width="3.125" style="3103" customWidth="1"/>
    <col min="1790" max="1790" width="32" style="3103" customWidth="1"/>
    <col min="1791" max="1793" width="16.375" style="3103" customWidth="1"/>
    <col min="1794" max="1796" width="0" style="3103" hidden="1" customWidth="1"/>
    <col min="1797" max="1797" width="13.75" style="3103" bestFit="1" customWidth="1"/>
    <col min="1798" max="1798" width="7.625" style="3103" customWidth="1"/>
    <col min="1799" max="1799" width="5.75" style="3103" bestFit="1" customWidth="1"/>
    <col min="1800" max="1801" width="20.875" style="3103" customWidth="1"/>
    <col min="1802" max="1802" width="14.875" style="3103" customWidth="1"/>
    <col min="1803" max="2043" width="9" style="3103"/>
    <col min="2044" max="2045" width="3.125" style="3103" customWidth="1"/>
    <col min="2046" max="2046" width="32" style="3103" customWidth="1"/>
    <col min="2047" max="2049" width="16.375" style="3103" customWidth="1"/>
    <col min="2050" max="2052" width="0" style="3103" hidden="1" customWidth="1"/>
    <col min="2053" max="2053" width="13.75" style="3103" bestFit="1" customWidth="1"/>
    <col min="2054" max="2054" width="7.625" style="3103" customWidth="1"/>
    <col min="2055" max="2055" width="5.75" style="3103" bestFit="1" customWidth="1"/>
    <col min="2056" max="2057" width="20.875" style="3103" customWidth="1"/>
    <col min="2058" max="2058" width="14.875" style="3103" customWidth="1"/>
    <col min="2059" max="2299" width="9" style="3103"/>
    <col min="2300" max="2301" width="3.125" style="3103" customWidth="1"/>
    <col min="2302" max="2302" width="32" style="3103" customWidth="1"/>
    <col min="2303" max="2305" width="16.375" style="3103" customWidth="1"/>
    <col min="2306" max="2308" width="0" style="3103" hidden="1" customWidth="1"/>
    <col min="2309" max="2309" width="13.75" style="3103" bestFit="1" customWidth="1"/>
    <col min="2310" max="2310" width="7.625" style="3103" customWidth="1"/>
    <col min="2311" max="2311" width="5.75" style="3103" bestFit="1" customWidth="1"/>
    <col min="2312" max="2313" width="20.875" style="3103" customWidth="1"/>
    <col min="2314" max="2314" width="14.875" style="3103" customWidth="1"/>
    <col min="2315" max="2555" width="9" style="3103"/>
    <col min="2556" max="2557" width="3.125" style="3103" customWidth="1"/>
    <col min="2558" max="2558" width="32" style="3103" customWidth="1"/>
    <col min="2559" max="2561" width="16.375" style="3103" customWidth="1"/>
    <col min="2562" max="2564" width="0" style="3103" hidden="1" customWidth="1"/>
    <col min="2565" max="2565" width="13.75" style="3103" bestFit="1" customWidth="1"/>
    <col min="2566" max="2566" width="7.625" style="3103" customWidth="1"/>
    <col min="2567" max="2567" width="5.75" style="3103" bestFit="1" customWidth="1"/>
    <col min="2568" max="2569" width="20.875" style="3103" customWidth="1"/>
    <col min="2570" max="2570" width="14.875" style="3103" customWidth="1"/>
    <col min="2571" max="2811" width="9" style="3103"/>
    <col min="2812" max="2813" width="3.125" style="3103" customWidth="1"/>
    <col min="2814" max="2814" width="32" style="3103" customWidth="1"/>
    <col min="2815" max="2817" width="16.375" style="3103" customWidth="1"/>
    <col min="2818" max="2820" width="0" style="3103" hidden="1" customWidth="1"/>
    <col min="2821" max="2821" width="13.75" style="3103" bestFit="1" customWidth="1"/>
    <col min="2822" max="2822" width="7.625" style="3103" customWidth="1"/>
    <col min="2823" max="2823" width="5.75" style="3103" bestFit="1" customWidth="1"/>
    <col min="2824" max="2825" width="20.875" style="3103" customWidth="1"/>
    <col min="2826" max="2826" width="14.875" style="3103" customWidth="1"/>
    <col min="2827" max="3067" width="9" style="3103"/>
    <col min="3068" max="3069" width="3.125" style="3103" customWidth="1"/>
    <col min="3070" max="3070" width="32" style="3103" customWidth="1"/>
    <col min="3071" max="3073" width="16.375" style="3103" customWidth="1"/>
    <col min="3074" max="3076" width="0" style="3103" hidden="1" customWidth="1"/>
    <col min="3077" max="3077" width="13.75" style="3103" bestFit="1" customWidth="1"/>
    <col min="3078" max="3078" width="7.625" style="3103" customWidth="1"/>
    <col min="3079" max="3079" width="5.75" style="3103" bestFit="1" customWidth="1"/>
    <col min="3080" max="3081" width="20.875" style="3103" customWidth="1"/>
    <col min="3082" max="3082" width="14.875" style="3103" customWidth="1"/>
    <col min="3083" max="3323" width="9" style="3103"/>
    <col min="3324" max="3325" width="3.125" style="3103" customWidth="1"/>
    <col min="3326" max="3326" width="32" style="3103" customWidth="1"/>
    <col min="3327" max="3329" width="16.375" style="3103" customWidth="1"/>
    <col min="3330" max="3332" width="0" style="3103" hidden="1" customWidth="1"/>
    <col min="3333" max="3333" width="13.75" style="3103" bestFit="1" customWidth="1"/>
    <col min="3334" max="3334" width="7.625" style="3103" customWidth="1"/>
    <col min="3335" max="3335" width="5.75" style="3103" bestFit="1" customWidth="1"/>
    <col min="3336" max="3337" width="20.875" style="3103" customWidth="1"/>
    <col min="3338" max="3338" width="14.875" style="3103" customWidth="1"/>
    <col min="3339" max="3579" width="9" style="3103"/>
    <col min="3580" max="3581" width="3.125" style="3103" customWidth="1"/>
    <col min="3582" max="3582" width="32" style="3103" customWidth="1"/>
    <col min="3583" max="3585" width="16.375" style="3103" customWidth="1"/>
    <col min="3586" max="3588" width="0" style="3103" hidden="1" customWidth="1"/>
    <col min="3589" max="3589" width="13.75" style="3103" bestFit="1" customWidth="1"/>
    <col min="3590" max="3590" width="7.625" style="3103" customWidth="1"/>
    <col min="3591" max="3591" width="5.75" style="3103" bestFit="1" customWidth="1"/>
    <col min="3592" max="3593" width="20.875" style="3103" customWidth="1"/>
    <col min="3594" max="3594" width="14.875" style="3103" customWidth="1"/>
    <col min="3595" max="3835" width="9" style="3103"/>
    <col min="3836" max="3837" width="3.125" style="3103" customWidth="1"/>
    <col min="3838" max="3838" width="32" style="3103" customWidth="1"/>
    <col min="3839" max="3841" width="16.375" style="3103" customWidth="1"/>
    <col min="3842" max="3844" width="0" style="3103" hidden="1" customWidth="1"/>
    <col min="3845" max="3845" width="13.75" style="3103" bestFit="1" customWidth="1"/>
    <col min="3846" max="3846" width="7.625" style="3103" customWidth="1"/>
    <col min="3847" max="3847" width="5.75" style="3103" bestFit="1" customWidth="1"/>
    <col min="3848" max="3849" width="20.875" style="3103" customWidth="1"/>
    <col min="3850" max="3850" width="14.875" style="3103" customWidth="1"/>
    <col min="3851" max="4091" width="9" style="3103"/>
    <col min="4092" max="4093" width="3.125" style="3103" customWidth="1"/>
    <col min="4094" max="4094" width="32" style="3103" customWidth="1"/>
    <col min="4095" max="4097" width="16.375" style="3103" customWidth="1"/>
    <col min="4098" max="4100" width="0" style="3103" hidden="1" customWidth="1"/>
    <col min="4101" max="4101" width="13.75" style="3103" bestFit="1" customWidth="1"/>
    <col min="4102" max="4102" width="7.625" style="3103" customWidth="1"/>
    <col min="4103" max="4103" width="5.75" style="3103" bestFit="1" customWidth="1"/>
    <col min="4104" max="4105" width="20.875" style="3103" customWidth="1"/>
    <col min="4106" max="4106" width="14.875" style="3103" customWidth="1"/>
    <col min="4107" max="4347" width="9" style="3103"/>
    <col min="4348" max="4349" width="3.125" style="3103" customWidth="1"/>
    <col min="4350" max="4350" width="32" style="3103" customWidth="1"/>
    <col min="4351" max="4353" width="16.375" style="3103" customWidth="1"/>
    <col min="4354" max="4356" width="0" style="3103" hidden="1" customWidth="1"/>
    <col min="4357" max="4357" width="13.75" style="3103" bestFit="1" customWidth="1"/>
    <col min="4358" max="4358" width="7.625" style="3103" customWidth="1"/>
    <col min="4359" max="4359" width="5.75" style="3103" bestFit="1" customWidth="1"/>
    <col min="4360" max="4361" width="20.875" style="3103" customWidth="1"/>
    <col min="4362" max="4362" width="14.875" style="3103" customWidth="1"/>
    <col min="4363" max="4603" width="9" style="3103"/>
    <col min="4604" max="4605" width="3.125" style="3103" customWidth="1"/>
    <col min="4606" max="4606" width="32" style="3103" customWidth="1"/>
    <col min="4607" max="4609" width="16.375" style="3103" customWidth="1"/>
    <col min="4610" max="4612" width="0" style="3103" hidden="1" customWidth="1"/>
    <col min="4613" max="4613" width="13.75" style="3103" bestFit="1" customWidth="1"/>
    <col min="4614" max="4614" width="7.625" style="3103" customWidth="1"/>
    <col min="4615" max="4615" width="5.75" style="3103" bestFit="1" customWidth="1"/>
    <col min="4616" max="4617" width="20.875" style="3103" customWidth="1"/>
    <col min="4618" max="4618" width="14.875" style="3103" customWidth="1"/>
    <col min="4619" max="4859" width="9" style="3103"/>
    <col min="4860" max="4861" width="3.125" style="3103" customWidth="1"/>
    <col min="4862" max="4862" width="32" style="3103" customWidth="1"/>
    <col min="4863" max="4865" width="16.375" style="3103" customWidth="1"/>
    <col min="4866" max="4868" width="0" style="3103" hidden="1" customWidth="1"/>
    <col min="4869" max="4869" width="13.75" style="3103" bestFit="1" customWidth="1"/>
    <col min="4870" max="4870" width="7.625" style="3103" customWidth="1"/>
    <col min="4871" max="4871" width="5.75" style="3103" bestFit="1" customWidth="1"/>
    <col min="4872" max="4873" width="20.875" style="3103" customWidth="1"/>
    <col min="4874" max="4874" width="14.875" style="3103" customWidth="1"/>
    <col min="4875" max="5115" width="9" style="3103"/>
    <col min="5116" max="5117" width="3.125" style="3103" customWidth="1"/>
    <col min="5118" max="5118" width="32" style="3103" customWidth="1"/>
    <col min="5119" max="5121" width="16.375" style="3103" customWidth="1"/>
    <col min="5122" max="5124" width="0" style="3103" hidden="1" customWidth="1"/>
    <col min="5125" max="5125" width="13.75" style="3103" bestFit="1" customWidth="1"/>
    <col min="5126" max="5126" width="7.625" style="3103" customWidth="1"/>
    <col min="5127" max="5127" width="5.75" style="3103" bestFit="1" customWidth="1"/>
    <col min="5128" max="5129" width="20.875" style="3103" customWidth="1"/>
    <col min="5130" max="5130" width="14.875" style="3103" customWidth="1"/>
    <col min="5131" max="5371" width="9" style="3103"/>
    <col min="5372" max="5373" width="3.125" style="3103" customWidth="1"/>
    <col min="5374" max="5374" width="32" style="3103" customWidth="1"/>
    <col min="5375" max="5377" width="16.375" style="3103" customWidth="1"/>
    <col min="5378" max="5380" width="0" style="3103" hidden="1" customWidth="1"/>
    <col min="5381" max="5381" width="13.75" style="3103" bestFit="1" customWidth="1"/>
    <col min="5382" max="5382" width="7.625" style="3103" customWidth="1"/>
    <col min="5383" max="5383" width="5.75" style="3103" bestFit="1" customWidth="1"/>
    <col min="5384" max="5385" width="20.875" style="3103" customWidth="1"/>
    <col min="5386" max="5386" width="14.875" style="3103" customWidth="1"/>
    <col min="5387" max="5627" width="9" style="3103"/>
    <col min="5628" max="5629" width="3.125" style="3103" customWidth="1"/>
    <col min="5630" max="5630" width="32" style="3103" customWidth="1"/>
    <col min="5631" max="5633" width="16.375" style="3103" customWidth="1"/>
    <col min="5634" max="5636" width="0" style="3103" hidden="1" customWidth="1"/>
    <col min="5637" max="5637" width="13.75" style="3103" bestFit="1" customWidth="1"/>
    <col min="5638" max="5638" width="7.625" style="3103" customWidth="1"/>
    <col min="5639" max="5639" width="5.75" style="3103" bestFit="1" customWidth="1"/>
    <col min="5640" max="5641" width="20.875" style="3103" customWidth="1"/>
    <col min="5642" max="5642" width="14.875" style="3103" customWidth="1"/>
    <col min="5643" max="5883" width="9" style="3103"/>
    <col min="5884" max="5885" width="3.125" style="3103" customWidth="1"/>
    <col min="5886" max="5886" width="32" style="3103" customWidth="1"/>
    <col min="5887" max="5889" width="16.375" style="3103" customWidth="1"/>
    <col min="5890" max="5892" width="0" style="3103" hidden="1" customWidth="1"/>
    <col min="5893" max="5893" width="13.75" style="3103" bestFit="1" customWidth="1"/>
    <col min="5894" max="5894" width="7.625" style="3103" customWidth="1"/>
    <col min="5895" max="5895" width="5.75" style="3103" bestFit="1" customWidth="1"/>
    <col min="5896" max="5897" width="20.875" style="3103" customWidth="1"/>
    <col min="5898" max="5898" width="14.875" style="3103" customWidth="1"/>
    <col min="5899" max="6139" width="9" style="3103"/>
    <col min="6140" max="6141" width="3.125" style="3103" customWidth="1"/>
    <col min="6142" max="6142" width="32" style="3103" customWidth="1"/>
    <col min="6143" max="6145" width="16.375" style="3103" customWidth="1"/>
    <col min="6146" max="6148" width="0" style="3103" hidden="1" customWidth="1"/>
    <col min="6149" max="6149" width="13.75" style="3103" bestFit="1" customWidth="1"/>
    <col min="6150" max="6150" width="7.625" style="3103" customWidth="1"/>
    <col min="6151" max="6151" width="5.75" style="3103" bestFit="1" customWidth="1"/>
    <col min="6152" max="6153" width="20.875" style="3103" customWidth="1"/>
    <col min="6154" max="6154" width="14.875" style="3103" customWidth="1"/>
    <col min="6155" max="6395" width="9" style="3103"/>
    <col min="6396" max="6397" width="3.125" style="3103" customWidth="1"/>
    <col min="6398" max="6398" width="32" style="3103" customWidth="1"/>
    <col min="6399" max="6401" width="16.375" style="3103" customWidth="1"/>
    <col min="6402" max="6404" width="0" style="3103" hidden="1" customWidth="1"/>
    <col min="6405" max="6405" width="13.75" style="3103" bestFit="1" customWidth="1"/>
    <col min="6406" max="6406" width="7.625" style="3103" customWidth="1"/>
    <col min="6407" max="6407" width="5.75" style="3103" bestFit="1" customWidth="1"/>
    <col min="6408" max="6409" width="20.875" style="3103" customWidth="1"/>
    <col min="6410" max="6410" width="14.875" style="3103" customWidth="1"/>
    <col min="6411" max="6651" width="9" style="3103"/>
    <col min="6652" max="6653" width="3.125" style="3103" customWidth="1"/>
    <col min="6654" max="6654" width="32" style="3103" customWidth="1"/>
    <col min="6655" max="6657" width="16.375" style="3103" customWidth="1"/>
    <col min="6658" max="6660" width="0" style="3103" hidden="1" customWidth="1"/>
    <col min="6661" max="6661" width="13.75" style="3103" bestFit="1" customWidth="1"/>
    <col min="6662" max="6662" width="7.625" style="3103" customWidth="1"/>
    <col min="6663" max="6663" width="5.75" style="3103" bestFit="1" customWidth="1"/>
    <col min="6664" max="6665" width="20.875" style="3103" customWidth="1"/>
    <col min="6666" max="6666" width="14.875" style="3103" customWidth="1"/>
    <col min="6667" max="6907" width="9" style="3103"/>
    <col min="6908" max="6909" width="3.125" style="3103" customWidth="1"/>
    <col min="6910" max="6910" width="32" style="3103" customWidth="1"/>
    <col min="6911" max="6913" width="16.375" style="3103" customWidth="1"/>
    <col min="6914" max="6916" width="0" style="3103" hidden="1" customWidth="1"/>
    <col min="6917" max="6917" width="13.75" style="3103" bestFit="1" customWidth="1"/>
    <col min="6918" max="6918" width="7.625" style="3103" customWidth="1"/>
    <col min="6919" max="6919" width="5.75" style="3103" bestFit="1" customWidth="1"/>
    <col min="6920" max="6921" width="20.875" style="3103" customWidth="1"/>
    <col min="6922" max="6922" width="14.875" style="3103" customWidth="1"/>
    <col min="6923" max="7163" width="9" style="3103"/>
    <col min="7164" max="7165" width="3.125" style="3103" customWidth="1"/>
    <col min="7166" max="7166" width="32" style="3103" customWidth="1"/>
    <col min="7167" max="7169" width="16.375" style="3103" customWidth="1"/>
    <col min="7170" max="7172" width="0" style="3103" hidden="1" customWidth="1"/>
    <col min="7173" max="7173" width="13.75" style="3103" bestFit="1" customWidth="1"/>
    <col min="7174" max="7174" width="7.625" style="3103" customWidth="1"/>
    <col min="7175" max="7175" width="5.75" style="3103" bestFit="1" customWidth="1"/>
    <col min="7176" max="7177" width="20.875" style="3103" customWidth="1"/>
    <col min="7178" max="7178" width="14.875" style="3103" customWidth="1"/>
    <col min="7179" max="7419" width="9" style="3103"/>
    <col min="7420" max="7421" width="3.125" style="3103" customWidth="1"/>
    <col min="7422" max="7422" width="32" style="3103" customWidth="1"/>
    <col min="7423" max="7425" width="16.375" style="3103" customWidth="1"/>
    <col min="7426" max="7428" width="0" style="3103" hidden="1" customWidth="1"/>
    <col min="7429" max="7429" width="13.75" style="3103" bestFit="1" customWidth="1"/>
    <col min="7430" max="7430" width="7.625" style="3103" customWidth="1"/>
    <col min="7431" max="7431" width="5.75" style="3103" bestFit="1" customWidth="1"/>
    <col min="7432" max="7433" width="20.875" style="3103" customWidth="1"/>
    <col min="7434" max="7434" width="14.875" style="3103" customWidth="1"/>
    <col min="7435" max="7675" width="9" style="3103"/>
    <col min="7676" max="7677" width="3.125" style="3103" customWidth="1"/>
    <col min="7678" max="7678" width="32" style="3103" customWidth="1"/>
    <col min="7679" max="7681" width="16.375" style="3103" customWidth="1"/>
    <col min="7682" max="7684" width="0" style="3103" hidden="1" customWidth="1"/>
    <col min="7685" max="7685" width="13.75" style="3103" bestFit="1" customWidth="1"/>
    <col min="7686" max="7686" width="7.625" style="3103" customWidth="1"/>
    <col min="7687" max="7687" width="5.75" style="3103" bestFit="1" customWidth="1"/>
    <col min="7688" max="7689" width="20.875" style="3103" customWidth="1"/>
    <col min="7690" max="7690" width="14.875" style="3103" customWidth="1"/>
    <col min="7691" max="7931" width="9" style="3103"/>
    <col min="7932" max="7933" width="3.125" style="3103" customWidth="1"/>
    <col min="7934" max="7934" width="32" style="3103" customWidth="1"/>
    <col min="7935" max="7937" width="16.375" style="3103" customWidth="1"/>
    <col min="7938" max="7940" width="0" style="3103" hidden="1" customWidth="1"/>
    <col min="7941" max="7941" width="13.75" style="3103" bestFit="1" customWidth="1"/>
    <col min="7942" max="7942" width="7.625" style="3103" customWidth="1"/>
    <col min="7943" max="7943" width="5.75" style="3103" bestFit="1" customWidth="1"/>
    <col min="7944" max="7945" width="20.875" style="3103" customWidth="1"/>
    <col min="7946" max="7946" width="14.875" style="3103" customWidth="1"/>
    <col min="7947" max="8187" width="9" style="3103"/>
    <col min="8188" max="8189" width="3.125" style="3103" customWidth="1"/>
    <col min="8190" max="8190" width="32" style="3103" customWidth="1"/>
    <col min="8191" max="8193" width="16.375" style="3103" customWidth="1"/>
    <col min="8194" max="8196" width="0" style="3103" hidden="1" customWidth="1"/>
    <col min="8197" max="8197" width="13.75" style="3103" bestFit="1" customWidth="1"/>
    <col min="8198" max="8198" width="7.625" style="3103" customWidth="1"/>
    <col min="8199" max="8199" width="5.75" style="3103" bestFit="1" customWidth="1"/>
    <col min="8200" max="8201" width="20.875" style="3103" customWidth="1"/>
    <col min="8202" max="8202" width="14.875" style="3103" customWidth="1"/>
    <col min="8203" max="8443" width="9" style="3103"/>
    <col min="8444" max="8445" width="3.125" style="3103" customWidth="1"/>
    <col min="8446" max="8446" width="32" style="3103" customWidth="1"/>
    <col min="8447" max="8449" width="16.375" style="3103" customWidth="1"/>
    <col min="8450" max="8452" width="0" style="3103" hidden="1" customWidth="1"/>
    <col min="8453" max="8453" width="13.75" style="3103" bestFit="1" customWidth="1"/>
    <col min="8454" max="8454" width="7.625" style="3103" customWidth="1"/>
    <col min="8455" max="8455" width="5.75" style="3103" bestFit="1" customWidth="1"/>
    <col min="8456" max="8457" width="20.875" style="3103" customWidth="1"/>
    <col min="8458" max="8458" width="14.875" style="3103" customWidth="1"/>
    <col min="8459" max="8699" width="9" style="3103"/>
    <col min="8700" max="8701" width="3.125" style="3103" customWidth="1"/>
    <col min="8702" max="8702" width="32" style="3103" customWidth="1"/>
    <col min="8703" max="8705" width="16.375" style="3103" customWidth="1"/>
    <col min="8706" max="8708" width="0" style="3103" hidden="1" customWidth="1"/>
    <col min="8709" max="8709" width="13.75" style="3103" bestFit="1" customWidth="1"/>
    <col min="8710" max="8710" width="7.625" style="3103" customWidth="1"/>
    <col min="8711" max="8711" width="5.75" style="3103" bestFit="1" customWidth="1"/>
    <col min="8712" max="8713" width="20.875" style="3103" customWidth="1"/>
    <col min="8714" max="8714" width="14.875" style="3103" customWidth="1"/>
    <col min="8715" max="8955" width="9" style="3103"/>
    <col min="8956" max="8957" width="3.125" style="3103" customWidth="1"/>
    <col min="8958" max="8958" width="32" style="3103" customWidth="1"/>
    <col min="8959" max="8961" width="16.375" style="3103" customWidth="1"/>
    <col min="8962" max="8964" width="0" style="3103" hidden="1" customWidth="1"/>
    <col min="8965" max="8965" width="13.75" style="3103" bestFit="1" customWidth="1"/>
    <col min="8966" max="8966" width="7.625" style="3103" customWidth="1"/>
    <col min="8967" max="8967" width="5.75" style="3103" bestFit="1" customWidth="1"/>
    <col min="8968" max="8969" width="20.875" style="3103" customWidth="1"/>
    <col min="8970" max="8970" width="14.875" style="3103" customWidth="1"/>
    <col min="8971" max="9211" width="9" style="3103"/>
    <col min="9212" max="9213" width="3.125" style="3103" customWidth="1"/>
    <col min="9214" max="9214" width="32" style="3103" customWidth="1"/>
    <col min="9215" max="9217" width="16.375" style="3103" customWidth="1"/>
    <col min="9218" max="9220" width="0" style="3103" hidden="1" customWidth="1"/>
    <col min="9221" max="9221" width="13.75" style="3103" bestFit="1" customWidth="1"/>
    <col min="9222" max="9222" width="7.625" style="3103" customWidth="1"/>
    <col min="9223" max="9223" width="5.75" style="3103" bestFit="1" customWidth="1"/>
    <col min="9224" max="9225" width="20.875" style="3103" customWidth="1"/>
    <col min="9226" max="9226" width="14.875" style="3103" customWidth="1"/>
    <col min="9227" max="9467" width="9" style="3103"/>
    <col min="9468" max="9469" width="3.125" style="3103" customWidth="1"/>
    <col min="9470" max="9470" width="32" style="3103" customWidth="1"/>
    <col min="9471" max="9473" width="16.375" style="3103" customWidth="1"/>
    <col min="9474" max="9476" width="0" style="3103" hidden="1" customWidth="1"/>
    <col min="9477" max="9477" width="13.75" style="3103" bestFit="1" customWidth="1"/>
    <col min="9478" max="9478" width="7.625" style="3103" customWidth="1"/>
    <col min="9479" max="9479" width="5.75" style="3103" bestFit="1" customWidth="1"/>
    <col min="9480" max="9481" width="20.875" style="3103" customWidth="1"/>
    <col min="9482" max="9482" width="14.875" style="3103" customWidth="1"/>
    <col min="9483" max="9723" width="9" style="3103"/>
    <col min="9724" max="9725" width="3.125" style="3103" customWidth="1"/>
    <col min="9726" max="9726" width="32" style="3103" customWidth="1"/>
    <col min="9727" max="9729" width="16.375" style="3103" customWidth="1"/>
    <col min="9730" max="9732" width="0" style="3103" hidden="1" customWidth="1"/>
    <col min="9733" max="9733" width="13.75" style="3103" bestFit="1" customWidth="1"/>
    <col min="9734" max="9734" width="7.625" style="3103" customWidth="1"/>
    <col min="9735" max="9735" width="5.75" style="3103" bestFit="1" customWidth="1"/>
    <col min="9736" max="9737" width="20.875" style="3103" customWidth="1"/>
    <col min="9738" max="9738" width="14.875" style="3103" customWidth="1"/>
    <col min="9739" max="9979" width="9" style="3103"/>
    <col min="9980" max="9981" width="3.125" style="3103" customWidth="1"/>
    <col min="9982" max="9982" width="32" style="3103" customWidth="1"/>
    <col min="9983" max="9985" width="16.375" style="3103" customWidth="1"/>
    <col min="9986" max="9988" width="0" style="3103" hidden="1" customWidth="1"/>
    <col min="9989" max="9989" width="13.75" style="3103" bestFit="1" customWidth="1"/>
    <col min="9990" max="9990" width="7.625" style="3103" customWidth="1"/>
    <col min="9991" max="9991" width="5.75" style="3103" bestFit="1" customWidth="1"/>
    <col min="9992" max="9993" width="20.875" style="3103" customWidth="1"/>
    <col min="9994" max="9994" width="14.875" style="3103" customWidth="1"/>
    <col min="9995" max="10235" width="9" style="3103"/>
    <col min="10236" max="10237" width="3.125" style="3103" customWidth="1"/>
    <col min="10238" max="10238" width="32" style="3103" customWidth="1"/>
    <col min="10239" max="10241" width="16.375" style="3103" customWidth="1"/>
    <col min="10242" max="10244" width="0" style="3103" hidden="1" customWidth="1"/>
    <col min="10245" max="10245" width="13.75" style="3103" bestFit="1" customWidth="1"/>
    <col min="10246" max="10246" width="7.625" style="3103" customWidth="1"/>
    <col min="10247" max="10247" width="5.75" style="3103" bestFit="1" customWidth="1"/>
    <col min="10248" max="10249" width="20.875" style="3103" customWidth="1"/>
    <col min="10250" max="10250" width="14.875" style="3103" customWidth="1"/>
    <col min="10251" max="10491" width="9" style="3103"/>
    <col min="10492" max="10493" width="3.125" style="3103" customWidth="1"/>
    <col min="10494" max="10494" width="32" style="3103" customWidth="1"/>
    <col min="10495" max="10497" width="16.375" style="3103" customWidth="1"/>
    <col min="10498" max="10500" width="0" style="3103" hidden="1" customWidth="1"/>
    <col min="10501" max="10501" width="13.75" style="3103" bestFit="1" customWidth="1"/>
    <col min="10502" max="10502" width="7.625" style="3103" customWidth="1"/>
    <col min="10503" max="10503" width="5.75" style="3103" bestFit="1" customWidth="1"/>
    <col min="10504" max="10505" width="20.875" style="3103" customWidth="1"/>
    <col min="10506" max="10506" width="14.875" style="3103" customWidth="1"/>
    <col min="10507" max="10747" width="9" style="3103"/>
    <col min="10748" max="10749" width="3.125" style="3103" customWidth="1"/>
    <col min="10750" max="10750" width="32" style="3103" customWidth="1"/>
    <col min="10751" max="10753" width="16.375" style="3103" customWidth="1"/>
    <col min="10754" max="10756" width="0" style="3103" hidden="1" customWidth="1"/>
    <col min="10757" max="10757" width="13.75" style="3103" bestFit="1" customWidth="1"/>
    <col min="10758" max="10758" width="7.625" style="3103" customWidth="1"/>
    <col min="10759" max="10759" width="5.75" style="3103" bestFit="1" customWidth="1"/>
    <col min="10760" max="10761" width="20.875" style="3103" customWidth="1"/>
    <col min="10762" max="10762" width="14.875" style="3103" customWidth="1"/>
    <col min="10763" max="11003" width="9" style="3103"/>
    <col min="11004" max="11005" width="3.125" style="3103" customWidth="1"/>
    <col min="11006" max="11006" width="32" style="3103" customWidth="1"/>
    <col min="11007" max="11009" width="16.375" style="3103" customWidth="1"/>
    <col min="11010" max="11012" width="0" style="3103" hidden="1" customWidth="1"/>
    <col min="11013" max="11013" width="13.75" style="3103" bestFit="1" customWidth="1"/>
    <col min="11014" max="11014" width="7.625" style="3103" customWidth="1"/>
    <col min="11015" max="11015" width="5.75" style="3103" bestFit="1" customWidth="1"/>
    <col min="11016" max="11017" width="20.875" style="3103" customWidth="1"/>
    <col min="11018" max="11018" width="14.875" style="3103" customWidth="1"/>
    <col min="11019" max="11259" width="9" style="3103"/>
    <col min="11260" max="11261" width="3.125" style="3103" customWidth="1"/>
    <col min="11262" max="11262" width="32" style="3103" customWidth="1"/>
    <col min="11263" max="11265" width="16.375" style="3103" customWidth="1"/>
    <col min="11266" max="11268" width="0" style="3103" hidden="1" customWidth="1"/>
    <col min="11269" max="11269" width="13.75" style="3103" bestFit="1" customWidth="1"/>
    <col min="11270" max="11270" width="7.625" style="3103" customWidth="1"/>
    <col min="11271" max="11271" width="5.75" style="3103" bestFit="1" customWidth="1"/>
    <col min="11272" max="11273" width="20.875" style="3103" customWidth="1"/>
    <col min="11274" max="11274" width="14.875" style="3103" customWidth="1"/>
    <col min="11275" max="11515" width="9" style="3103"/>
    <col min="11516" max="11517" width="3.125" style="3103" customWidth="1"/>
    <col min="11518" max="11518" width="32" style="3103" customWidth="1"/>
    <col min="11519" max="11521" width="16.375" style="3103" customWidth="1"/>
    <col min="11522" max="11524" width="0" style="3103" hidden="1" customWidth="1"/>
    <col min="11525" max="11525" width="13.75" style="3103" bestFit="1" customWidth="1"/>
    <col min="11526" max="11526" width="7.625" style="3103" customWidth="1"/>
    <col min="11527" max="11527" width="5.75" style="3103" bestFit="1" customWidth="1"/>
    <col min="11528" max="11529" width="20.875" style="3103" customWidth="1"/>
    <col min="11530" max="11530" width="14.875" style="3103" customWidth="1"/>
    <col min="11531" max="11771" width="9" style="3103"/>
    <col min="11772" max="11773" width="3.125" style="3103" customWidth="1"/>
    <col min="11774" max="11774" width="32" style="3103" customWidth="1"/>
    <col min="11775" max="11777" width="16.375" style="3103" customWidth="1"/>
    <col min="11778" max="11780" width="0" style="3103" hidden="1" customWidth="1"/>
    <col min="11781" max="11781" width="13.75" style="3103" bestFit="1" customWidth="1"/>
    <col min="11782" max="11782" width="7.625" style="3103" customWidth="1"/>
    <col min="11783" max="11783" width="5.75" style="3103" bestFit="1" customWidth="1"/>
    <col min="11784" max="11785" width="20.875" style="3103" customWidth="1"/>
    <col min="11786" max="11786" width="14.875" style="3103" customWidth="1"/>
    <col min="11787" max="12027" width="9" style="3103"/>
    <col min="12028" max="12029" width="3.125" style="3103" customWidth="1"/>
    <col min="12030" max="12030" width="32" style="3103" customWidth="1"/>
    <col min="12031" max="12033" width="16.375" style="3103" customWidth="1"/>
    <col min="12034" max="12036" width="0" style="3103" hidden="1" customWidth="1"/>
    <col min="12037" max="12037" width="13.75" style="3103" bestFit="1" customWidth="1"/>
    <col min="12038" max="12038" width="7.625" style="3103" customWidth="1"/>
    <col min="12039" max="12039" width="5.75" style="3103" bestFit="1" customWidth="1"/>
    <col min="12040" max="12041" width="20.875" style="3103" customWidth="1"/>
    <col min="12042" max="12042" width="14.875" style="3103" customWidth="1"/>
    <col min="12043" max="12283" width="9" style="3103"/>
    <col min="12284" max="12285" width="3.125" style="3103" customWidth="1"/>
    <col min="12286" max="12286" width="32" style="3103" customWidth="1"/>
    <col min="12287" max="12289" width="16.375" style="3103" customWidth="1"/>
    <col min="12290" max="12292" width="0" style="3103" hidden="1" customWidth="1"/>
    <col min="12293" max="12293" width="13.75" style="3103" bestFit="1" customWidth="1"/>
    <col min="12294" max="12294" width="7.625" style="3103" customWidth="1"/>
    <col min="12295" max="12295" width="5.75" style="3103" bestFit="1" customWidth="1"/>
    <col min="12296" max="12297" width="20.875" style="3103" customWidth="1"/>
    <col min="12298" max="12298" width="14.875" style="3103" customWidth="1"/>
    <col min="12299" max="12539" width="9" style="3103"/>
    <col min="12540" max="12541" width="3.125" style="3103" customWidth="1"/>
    <col min="12542" max="12542" width="32" style="3103" customWidth="1"/>
    <col min="12543" max="12545" width="16.375" style="3103" customWidth="1"/>
    <col min="12546" max="12548" width="0" style="3103" hidden="1" customWidth="1"/>
    <col min="12549" max="12549" width="13.75" style="3103" bestFit="1" customWidth="1"/>
    <col min="12550" max="12550" width="7.625" style="3103" customWidth="1"/>
    <col min="12551" max="12551" width="5.75" style="3103" bestFit="1" customWidth="1"/>
    <col min="12552" max="12553" width="20.875" style="3103" customWidth="1"/>
    <col min="12554" max="12554" width="14.875" style="3103" customWidth="1"/>
    <col min="12555" max="12795" width="9" style="3103"/>
    <col min="12796" max="12797" width="3.125" style="3103" customWidth="1"/>
    <col min="12798" max="12798" width="32" style="3103" customWidth="1"/>
    <col min="12799" max="12801" width="16.375" style="3103" customWidth="1"/>
    <col min="12802" max="12804" width="0" style="3103" hidden="1" customWidth="1"/>
    <col min="12805" max="12805" width="13.75" style="3103" bestFit="1" customWidth="1"/>
    <col min="12806" max="12806" width="7.625" style="3103" customWidth="1"/>
    <col min="12807" max="12807" width="5.75" style="3103" bestFit="1" customWidth="1"/>
    <col min="12808" max="12809" width="20.875" style="3103" customWidth="1"/>
    <col min="12810" max="12810" width="14.875" style="3103" customWidth="1"/>
    <col min="12811" max="13051" width="9" style="3103"/>
    <col min="13052" max="13053" width="3.125" style="3103" customWidth="1"/>
    <col min="13054" max="13054" width="32" style="3103" customWidth="1"/>
    <col min="13055" max="13057" width="16.375" style="3103" customWidth="1"/>
    <col min="13058" max="13060" width="0" style="3103" hidden="1" customWidth="1"/>
    <col min="13061" max="13061" width="13.75" style="3103" bestFit="1" customWidth="1"/>
    <col min="13062" max="13062" width="7.625" style="3103" customWidth="1"/>
    <col min="13063" max="13063" width="5.75" style="3103" bestFit="1" customWidth="1"/>
    <col min="13064" max="13065" width="20.875" style="3103" customWidth="1"/>
    <col min="13066" max="13066" width="14.875" style="3103" customWidth="1"/>
    <col min="13067" max="13307" width="9" style="3103"/>
    <col min="13308" max="13309" width="3.125" style="3103" customWidth="1"/>
    <col min="13310" max="13310" width="32" style="3103" customWidth="1"/>
    <col min="13311" max="13313" width="16.375" style="3103" customWidth="1"/>
    <col min="13314" max="13316" width="0" style="3103" hidden="1" customWidth="1"/>
    <col min="13317" max="13317" width="13.75" style="3103" bestFit="1" customWidth="1"/>
    <col min="13318" max="13318" width="7.625" style="3103" customWidth="1"/>
    <col min="13319" max="13319" width="5.75" style="3103" bestFit="1" customWidth="1"/>
    <col min="13320" max="13321" width="20.875" style="3103" customWidth="1"/>
    <col min="13322" max="13322" width="14.875" style="3103" customWidth="1"/>
    <col min="13323" max="13563" width="9" style="3103"/>
    <col min="13564" max="13565" width="3.125" style="3103" customWidth="1"/>
    <col min="13566" max="13566" width="32" style="3103" customWidth="1"/>
    <col min="13567" max="13569" width="16.375" style="3103" customWidth="1"/>
    <col min="13570" max="13572" width="0" style="3103" hidden="1" customWidth="1"/>
    <col min="13573" max="13573" width="13.75" style="3103" bestFit="1" customWidth="1"/>
    <col min="13574" max="13574" width="7.625" style="3103" customWidth="1"/>
    <col min="13575" max="13575" width="5.75" style="3103" bestFit="1" customWidth="1"/>
    <col min="13576" max="13577" width="20.875" style="3103" customWidth="1"/>
    <col min="13578" max="13578" width="14.875" style="3103" customWidth="1"/>
    <col min="13579" max="13819" width="9" style="3103"/>
    <col min="13820" max="13821" width="3.125" style="3103" customWidth="1"/>
    <col min="13822" max="13822" width="32" style="3103" customWidth="1"/>
    <col min="13823" max="13825" width="16.375" style="3103" customWidth="1"/>
    <col min="13826" max="13828" width="0" style="3103" hidden="1" customWidth="1"/>
    <col min="13829" max="13829" width="13.75" style="3103" bestFit="1" customWidth="1"/>
    <col min="13830" max="13830" width="7.625" style="3103" customWidth="1"/>
    <col min="13831" max="13831" width="5.75" style="3103" bestFit="1" customWidth="1"/>
    <col min="13832" max="13833" width="20.875" style="3103" customWidth="1"/>
    <col min="13834" max="13834" width="14.875" style="3103" customWidth="1"/>
    <col min="13835" max="14075" width="9" style="3103"/>
    <col min="14076" max="14077" width="3.125" style="3103" customWidth="1"/>
    <col min="14078" max="14078" width="32" style="3103" customWidth="1"/>
    <col min="14079" max="14081" width="16.375" style="3103" customWidth="1"/>
    <col min="14082" max="14084" width="0" style="3103" hidden="1" customWidth="1"/>
    <col min="14085" max="14085" width="13.75" style="3103" bestFit="1" customWidth="1"/>
    <col min="14086" max="14086" width="7.625" style="3103" customWidth="1"/>
    <col min="14087" max="14087" width="5.75" style="3103" bestFit="1" customWidth="1"/>
    <col min="14088" max="14089" width="20.875" style="3103" customWidth="1"/>
    <col min="14090" max="14090" width="14.875" style="3103" customWidth="1"/>
    <col min="14091" max="14331" width="9" style="3103"/>
    <col min="14332" max="14333" width="3.125" style="3103" customWidth="1"/>
    <col min="14334" max="14334" width="32" style="3103" customWidth="1"/>
    <col min="14335" max="14337" width="16.375" style="3103" customWidth="1"/>
    <col min="14338" max="14340" width="0" style="3103" hidden="1" customWidth="1"/>
    <col min="14341" max="14341" width="13.75" style="3103" bestFit="1" customWidth="1"/>
    <col min="14342" max="14342" width="7.625" style="3103" customWidth="1"/>
    <col min="14343" max="14343" width="5.75" style="3103" bestFit="1" customWidth="1"/>
    <col min="14344" max="14345" width="20.875" style="3103" customWidth="1"/>
    <col min="14346" max="14346" width="14.875" style="3103" customWidth="1"/>
    <col min="14347" max="14587" width="9" style="3103"/>
    <col min="14588" max="14589" width="3.125" style="3103" customWidth="1"/>
    <col min="14590" max="14590" width="32" style="3103" customWidth="1"/>
    <col min="14591" max="14593" width="16.375" style="3103" customWidth="1"/>
    <col min="14594" max="14596" width="0" style="3103" hidden="1" customWidth="1"/>
    <col min="14597" max="14597" width="13.75" style="3103" bestFit="1" customWidth="1"/>
    <col min="14598" max="14598" width="7.625" style="3103" customWidth="1"/>
    <col min="14599" max="14599" width="5.75" style="3103" bestFit="1" customWidth="1"/>
    <col min="14600" max="14601" width="20.875" style="3103" customWidth="1"/>
    <col min="14602" max="14602" width="14.875" style="3103" customWidth="1"/>
    <col min="14603" max="14843" width="9" style="3103"/>
    <col min="14844" max="14845" width="3.125" style="3103" customWidth="1"/>
    <col min="14846" max="14846" width="32" style="3103" customWidth="1"/>
    <col min="14847" max="14849" width="16.375" style="3103" customWidth="1"/>
    <col min="14850" max="14852" width="0" style="3103" hidden="1" customWidth="1"/>
    <col min="14853" max="14853" width="13.75" style="3103" bestFit="1" customWidth="1"/>
    <col min="14854" max="14854" width="7.625" style="3103" customWidth="1"/>
    <col min="14855" max="14855" width="5.75" style="3103" bestFit="1" customWidth="1"/>
    <col min="14856" max="14857" width="20.875" style="3103" customWidth="1"/>
    <col min="14858" max="14858" width="14.875" style="3103" customWidth="1"/>
    <col min="14859" max="15099" width="9" style="3103"/>
    <col min="15100" max="15101" width="3.125" style="3103" customWidth="1"/>
    <col min="15102" max="15102" width="32" style="3103" customWidth="1"/>
    <col min="15103" max="15105" width="16.375" style="3103" customWidth="1"/>
    <col min="15106" max="15108" width="0" style="3103" hidden="1" customWidth="1"/>
    <col min="15109" max="15109" width="13.75" style="3103" bestFit="1" customWidth="1"/>
    <col min="15110" max="15110" width="7.625" style="3103" customWidth="1"/>
    <col min="15111" max="15111" width="5.75" style="3103" bestFit="1" customWidth="1"/>
    <col min="15112" max="15113" width="20.875" style="3103" customWidth="1"/>
    <col min="15114" max="15114" width="14.875" style="3103" customWidth="1"/>
    <col min="15115" max="15355" width="9" style="3103"/>
    <col min="15356" max="15357" width="3.125" style="3103" customWidth="1"/>
    <col min="15358" max="15358" width="32" style="3103" customWidth="1"/>
    <col min="15359" max="15361" width="16.375" style="3103" customWidth="1"/>
    <col min="15362" max="15364" width="0" style="3103" hidden="1" customWidth="1"/>
    <col min="15365" max="15365" width="13.75" style="3103" bestFit="1" customWidth="1"/>
    <col min="15366" max="15366" width="7.625" style="3103" customWidth="1"/>
    <col min="15367" max="15367" width="5.75" style="3103" bestFit="1" customWidth="1"/>
    <col min="15368" max="15369" width="20.875" style="3103" customWidth="1"/>
    <col min="15370" max="15370" width="14.875" style="3103" customWidth="1"/>
    <col min="15371" max="15611" width="9" style="3103"/>
    <col min="15612" max="15613" width="3.125" style="3103" customWidth="1"/>
    <col min="15614" max="15614" width="32" style="3103" customWidth="1"/>
    <col min="15615" max="15617" width="16.375" style="3103" customWidth="1"/>
    <col min="15618" max="15620" width="0" style="3103" hidden="1" customWidth="1"/>
    <col min="15621" max="15621" width="13.75" style="3103" bestFit="1" customWidth="1"/>
    <col min="15622" max="15622" width="7.625" style="3103" customWidth="1"/>
    <col min="15623" max="15623" width="5.75" style="3103" bestFit="1" customWidth="1"/>
    <col min="15624" max="15625" width="20.875" style="3103" customWidth="1"/>
    <col min="15626" max="15626" width="14.875" style="3103" customWidth="1"/>
    <col min="15627" max="15867" width="9" style="3103"/>
    <col min="15868" max="15869" width="3.125" style="3103" customWidth="1"/>
    <col min="15870" max="15870" width="32" style="3103" customWidth="1"/>
    <col min="15871" max="15873" width="16.375" style="3103" customWidth="1"/>
    <col min="15874" max="15876" width="0" style="3103" hidden="1" customWidth="1"/>
    <col min="15877" max="15877" width="13.75" style="3103" bestFit="1" customWidth="1"/>
    <col min="15878" max="15878" width="7.625" style="3103" customWidth="1"/>
    <col min="15879" max="15879" width="5.75" style="3103" bestFit="1" customWidth="1"/>
    <col min="15880" max="15881" width="20.875" style="3103" customWidth="1"/>
    <col min="15882" max="15882" width="14.875" style="3103" customWidth="1"/>
    <col min="15883" max="16123" width="9" style="3103"/>
    <col min="16124" max="16125" width="3.125" style="3103" customWidth="1"/>
    <col min="16126" max="16126" width="32" style="3103" customWidth="1"/>
    <col min="16127" max="16129" width="16.375" style="3103" customWidth="1"/>
    <col min="16130" max="16132" width="0" style="3103" hidden="1" customWidth="1"/>
    <col min="16133" max="16133" width="13.75" style="3103" bestFit="1" customWidth="1"/>
    <col min="16134" max="16134" width="7.625" style="3103" customWidth="1"/>
    <col min="16135" max="16135" width="5.75" style="3103" bestFit="1" customWidth="1"/>
    <col min="16136" max="16137" width="20.875" style="3103" customWidth="1"/>
    <col min="16138" max="16138" width="14.875" style="3103" customWidth="1"/>
    <col min="16139" max="16384" width="9" style="3103"/>
  </cols>
  <sheetData>
    <row r="1" spans="1:9">
      <c r="F1" s="3215" t="s">
        <v>6085</v>
      </c>
      <c r="I1" s="3214" t="s">
        <v>6084</v>
      </c>
    </row>
    <row r="2" spans="1:9">
      <c r="A2" s="3599" t="s">
        <v>6083</v>
      </c>
      <c r="B2" s="3600"/>
      <c r="C2" s="3601"/>
      <c r="D2" s="3599" t="str">
        <f>+LEFT('3条支出'!$D$1,6)</f>
        <v>令和５年度決</v>
      </c>
      <c r="E2" s="3600"/>
      <c r="F2" s="3601"/>
      <c r="G2" s="3600" t="s">
        <v>6082</v>
      </c>
      <c r="H2" s="3600"/>
      <c r="I2" s="3601"/>
    </row>
    <row r="3" spans="1:9">
      <c r="A3" s="3602"/>
      <c r="B3" s="3603"/>
      <c r="C3" s="3604"/>
      <c r="D3" s="3213" t="s">
        <v>6081</v>
      </c>
      <c r="E3" s="3211" t="s">
        <v>6080</v>
      </c>
      <c r="F3" s="3210" t="s">
        <v>6079</v>
      </c>
      <c r="G3" s="3212" t="s">
        <v>6081</v>
      </c>
      <c r="H3" s="3211" t="s">
        <v>6080</v>
      </c>
      <c r="I3" s="3210" t="s">
        <v>6079</v>
      </c>
    </row>
    <row r="4" spans="1:9">
      <c r="A4" s="3194" t="s">
        <v>6078</v>
      </c>
      <c r="B4" s="3193"/>
      <c r="C4" s="3192"/>
      <c r="D4" s="3191">
        <f t="shared" ref="D4:I4" si="0">D5+D10+D17</f>
        <v>0</v>
      </c>
      <c r="E4" s="3189">
        <f t="shared" si="0"/>
        <v>0</v>
      </c>
      <c r="F4" s="3140">
        <f t="shared" si="0"/>
        <v>1884549714</v>
      </c>
      <c r="G4" s="3190">
        <f t="shared" si="0"/>
        <v>0</v>
      </c>
      <c r="H4" s="3189">
        <f t="shared" si="0"/>
        <v>0</v>
      </c>
      <c r="I4" s="3140">
        <f t="shared" si="0"/>
        <v>0</v>
      </c>
    </row>
    <row r="5" spans="1:9">
      <c r="A5" s="3172"/>
      <c r="B5" s="3188" t="s">
        <v>6077</v>
      </c>
      <c r="C5" s="3187"/>
      <c r="D5" s="3186">
        <f t="shared" ref="D5:I5" si="1">SUM(D6:D9)</f>
        <v>0</v>
      </c>
      <c r="E5" s="3183">
        <f t="shared" si="1"/>
        <v>0</v>
      </c>
      <c r="F5" s="3182">
        <f t="shared" si="1"/>
        <v>1879828324</v>
      </c>
      <c r="G5" s="3184">
        <f t="shared" si="1"/>
        <v>0</v>
      </c>
      <c r="H5" s="3183">
        <f t="shared" si="1"/>
        <v>0</v>
      </c>
      <c r="I5" s="3182">
        <f t="shared" si="1"/>
        <v>0</v>
      </c>
    </row>
    <row r="6" spans="1:9">
      <c r="A6" s="3172"/>
      <c r="B6" s="3171"/>
      <c r="C6" s="3179" t="s">
        <v>6076</v>
      </c>
      <c r="D6" s="3206"/>
      <c r="E6" s="3204"/>
      <c r="F6" s="3209">
        <f>+'3条収入'!AB8</f>
        <v>1862625061</v>
      </c>
      <c r="G6" s="3205"/>
      <c r="H6" s="3204"/>
      <c r="I6" s="3131">
        <f>G6-H6</f>
        <v>0</v>
      </c>
    </row>
    <row r="7" spans="1:9">
      <c r="A7" s="3172"/>
      <c r="B7" s="3171"/>
      <c r="C7" s="3170" t="s">
        <v>6075</v>
      </c>
      <c r="D7" s="3169"/>
      <c r="E7" s="3167"/>
      <c r="F7" s="3201">
        <f>+'3条収入'!AB9</f>
        <v>0</v>
      </c>
      <c r="G7" s="3168"/>
      <c r="H7" s="3167"/>
      <c r="I7" s="3121">
        <f>G7-H7</f>
        <v>0</v>
      </c>
    </row>
    <row r="8" spans="1:9">
      <c r="A8" s="3172"/>
      <c r="B8" s="3171"/>
      <c r="C8" s="3170" t="s">
        <v>6074</v>
      </c>
      <c r="D8" s="3206"/>
      <c r="E8" s="3204"/>
      <c r="F8" s="3209">
        <f>+'3条収入'!AB17</f>
        <v>0</v>
      </c>
      <c r="G8" s="3205"/>
      <c r="H8" s="3204"/>
      <c r="I8" s="3131"/>
    </row>
    <row r="9" spans="1:9">
      <c r="A9" s="3172"/>
      <c r="B9" s="3171"/>
      <c r="C9" s="3208" t="s">
        <v>6073</v>
      </c>
      <c r="D9" s="3206"/>
      <c r="E9" s="3204"/>
      <c r="F9" s="3209">
        <f>+'3条収入'!AB19</f>
        <v>17203263</v>
      </c>
      <c r="G9" s="3205"/>
      <c r="H9" s="3204"/>
      <c r="I9" s="3131">
        <f>G9-H9</f>
        <v>0</v>
      </c>
    </row>
    <row r="10" spans="1:9">
      <c r="A10" s="3172"/>
      <c r="B10" s="3174" t="s">
        <v>6072</v>
      </c>
      <c r="C10" s="3173"/>
      <c r="D10" s="3169">
        <f t="shared" ref="D10:I10" si="2">SUM(D11:D16)</f>
        <v>0</v>
      </c>
      <c r="E10" s="3167">
        <f t="shared" si="2"/>
        <v>0</v>
      </c>
      <c r="F10" s="3127">
        <f t="shared" si="2"/>
        <v>4575502</v>
      </c>
      <c r="G10" s="3168">
        <f t="shared" si="2"/>
        <v>0</v>
      </c>
      <c r="H10" s="3167">
        <f t="shared" si="2"/>
        <v>0</v>
      </c>
      <c r="I10" s="3121">
        <f t="shared" si="2"/>
        <v>0</v>
      </c>
    </row>
    <row r="11" spans="1:9">
      <c r="A11" s="3172"/>
      <c r="B11" s="3171"/>
      <c r="C11" s="3179" t="s">
        <v>6071</v>
      </c>
      <c r="D11" s="3206"/>
      <c r="E11" s="3204"/>
      <c r="F11" s="3201">
        <f>+'3条収入'!AB28</f>
        <v>0</v>
      </c>
      <c r="G11" s="3205"/>
      <c r="H11" s="3204"/>
      <c r="I11" s="3131">
        <f t="shared" ref="I11:I16" si="3">G11-H11</f>
        <v>0</v>
      </c>
    </row>
    <row r="12" spans="1:9">
      <c r="A12" s="3172"/>
      <c r="B12" s="3171"/>
      <c r="C12" s="3170" t="s">
        <v>5996</v>
      </c>
      <c r="D12" s="3169"/>
      <c r="E12" s="3167"/>
      <c r="F12" s="3201">
        <f>+'3条収入'!AB32</f>
        <v>0</v>
      </c>
      <c r="G12" s="3168"/>
      <c r="H12" s="3167"/>
      <c r="I12" s="3121">
        <f t="shared" si="3"/>
        <v>0</v>
      </c>
    </row>
    <row r="13" spans="1:9">
      <c r="A13" s="3172"/>
      <c r="B13" s="3171"/>
      <c r="C13" s="3170" t="s">
        <v>6032</v>
      </c>
      <c r="D13" s="3169"/>
      <c r="E13" s="3167"/>
      <c r="F13" s="3201">
        <f>+'3条収入'!AB39</f>
        <v>3365145</v>
      </c>
      <c r="G13" s="3168"/>
      <c r="H13" s="3167"/>
      <c r="I13" s="3121">
        <f t="shared" si="3"/>
        <v>0</v>
      </c>
    </row>
    <row r="14" spans="1:9">
      <c r="A14" s="3172"/>
      <c r="B14" s="3171"/>
      <c r="C14" s="3170" t="s">
        <v>6070</v>
      </c>
      <c r="D14" s="3169"/>
      <c r="E14" s="3167"/>
      <c r="F14" s="3201">
        <f>+'3条収入'!AB42</f>
        <v>0</v>
      </c>
      <c r="G14" s="3168"/>
      <c r="H14" s="3167"/>
      <c r="I14" s="3121">
        <f t="shared" si="3"/>
        <v>0</v>
      </c>
    </row>
    <row r="15" spans="1:9">
      <c r="A15" s="3172"/>
      <c r="B15" s="3171"/>
      <c r="C15" s="3208" t="s">
        <v>6069</v>
      </c>
      <c r="D15" s="3207">
        <v>0</v>
      </c>
      <c r="E15" s="3204">
        <v>0</v>
      </c>
      <c r="F15" s="3201">
        <f>+'3条収入'!AB49</f>
        <v>0</v>
      </c>
      <c r="G15" s="3205"/>
      <c r="H15" s="3204"/>
      <c r="I15" s="3131">
        <f t="shared" si="3"/>
        <v>0</v>
      </c>
    </row>
    <row r="16" spans="1:9">
      <c r="A16" s="3172"/>
      <c r="B16" s="3171"/>
      <c r="C16" s="3170" t="s">
        <v>6068</v>
      </c>
      <c r="D16" s="3169"/>
      <c r="E16" s="3167"/>
      <c r="F16" s="3201">
        <f>+'3条収入'!AB51</f>
        <v>1210357</v>
      </c>
      <c r="G16" s="3168"/>
      <c r="H16" s="3167"/>
      <c r="I16" s="3121">
        <f t="shared" si="3"/>
        <v>0</v>
      </c>
    </row>
    <row r="17" spans="1:9">
      <c r="A17" s="3172"/>
      <c r="B17" s="3174" t="s">
        <v>6067</v>
      </c>
      <c r="C17" s="3173"/>
      <c r="D17" s="3169">
        <f t="shared" ref="D17:I17" si="4">SUM(D18:D20)</f>
        <v>0</v>
      </c>
      <c r="E17" s="3167">
        <f t="shared" si="4"/>
        <v>0</v>
      </c>
      <c r="F17" s="3127">
        <f t="shared" si="4"/>
        <v>145888</v>
      </c>
      <c r="G17" s="3168">
        <f t="shared" si="4"/>
        <v>0</v>
      </c>
      <c r="H17" s="3167">
        <f t="shared" si="4"/>
        <v>0</v>
      </c>
      <c r="I17" s="3121">
        <f t="shared" si="4"/>
        <v>0</v>
      </c>
    </row>
    <row r="18" spans="1:9">
      <c r="A18" s="3172"/>
      <c r="B18" s="3171"/>
      <c r="C18" s="3179" t="s">
        <v>6066</v>
      </c>
      <c r="D18" s="3206"/>
      <c r="E18" s="3204"/>
      <c r="F18" s="3201">
        <f>+'3条収入'!AB58</f>
        <v>0</v>
      </c>
      <c r="G18" s="3205"/>
      <c r="H18" s="3204"/>
      <c r="I18" s="3131">
        <f>G18-H18</f>
        <v>0</v>
      </c>
    </row>
    <row r="19" spans="1:9">
      <c r="A19" s="3172"/>
      <c r="B19" s="3171"/>
      <c r="C19" s="3170" t="s">
        <v>6065</v>
      </c>
      <c r="D19" s="3169"/>
      <c r="E19" s="3167"/>
      <c r="F19" s="3201">
        <f>+'3条収入'!AB60</f>
        <v>145888</v>
      </c>
      <c r="G19" s="3168"/>
      <c r="H19" s="3167"/>
      <c r="I19" s="3121">
        <f>G19-H19</f>
        <v>0</v>
      </c>
    </row>
    <row r="20" spans="1:9">
      <c r="A20" s="3166"/>
      <c r="B20" s="3196"/>
      <c r="C20" s="3203" t="s">
        <v>6064</v>
      </c>
      <c r="D20" s="3163"/>
      <c r="E20" s="3160"/>
      <c r="F20" s="3202">
        <f>+'3条収入'!AB62</f>
        <v>0</v>
      </c>
      <c r="G20" s="3161"/>
      <c r="H20" s="3160"/>
      <c r="I20" s="3159">
        <f>G20-H20</f>
        <v>0</v>
      </c>
    </row>
    <row r="21" spans="1:9">
      <c r="A21" s="3194" t="s">
        <v>6063</v>
      </c>
      <c r="B21" s="3193"/>
      <c r="C21" s="3192"/>
      <c r="D21" s="3191">
        <f t="shared" ref="D21:I21" si="5">D22+D38+D43+D46</f>
        <v>0</v>
      </c>
      <c r="E21" s="3189">
        <f t="shared" si="5"/>
        <v>0</v>
      </c>
      <c r="F21" s="3143">
        <f t="shared" si="5"/>
        <v>828022199</v>
      </c>
      <c r="G21" s="3190">
        <f t="shared" si="5"/>
        <v>0</v>
      </c>
      <c r="H21" s="3189">
        <f t="shared" si="5"/>
        <v>0</v>
      </c>
      <c r="I21" s="3140">
        <f t="shared" si="5"/>
        <v>0</v>
      </c>
    </row>
    <row r="22" spans="1:9">
      <c r="A22" s="3172"/>
      <c r="B22" s="3188" t="s">
        <v>6062</v>
      </c>
      <c r="C22" s="3187"/>
      <c r="D22" s="3186">
        <f t="shared" ref="D22:I22" si="6">SUM(D23:D37)</f>
        <v>0</v>
      </c>
      <c r="E22" s="3183">
        <f t="shared" si="6"/>
        <v>0</v>
      </c>
      <c r="F22" s="3185">
        <f t="shared" si="6"/>
        <v>820944501</v>
      </c>
      <c r="G22" s="3184">
        <f t="shared" si="6"/>
        <v>0</v>
      </c>
      <c r="H22" s="3183">
        <f t="shared" si="6"/>
        <v>0</v>
      </c>
      <c r="I22" s="3182">
        <f t="shared" si="6"/>
        <v>0</v>
      </c>
    </row>
    <row r="23" spans="1:9">
      <c r="A23" s="3172"/>
      <c r="B23" s="3171"/>
      <c r="C23" s="3170" t="s">
        <v>6061</v>
      </c>
      <c r="D23" s="3169"/>
      <c r="E23" s="3167"/>
      <c r="F23" s="3201">
        <f>+'3条支出'!S6</f>
        <v>47155349</v>
      </c>
      <c r="G23" s="3168"/>
      <c r="H23" s="3167"/>
      <c r="I23" s="3121">
        <f>G23-H23</f>
        <v>0</v>
      </c>
    </row>
    <row r="24" spans="1:9">
      <c r="A24" s="3172"/>
      <c r="B24" s="3171"/>
      <c r="C24" s="3170" t="s">
        <v>6060</v>
      </c>
      <c r="D24" s="3169"/>
      <c r="E24" s="3167"/>
      <c r="F24" s="3201">
        <f>+'3条支出'!S7</f>
        <v>1130574</v>
      </c>
      <c r="G24" s="3168"/>
      <c r="H24" s="3167"/>
      <c r="I24" s="3121">
        <f>G24-H24</f>
        <v>0</v>
      </c>
    </row>
    <row r="25" spans="1:9">
      <c r="A25" s="3172"/>
      <c r="B25" s="3171"/>
      <c r="C25" s="3170" t="s">
        <v>6059</v>
      </c>
      <c r="D25" s="3169"/>
      <c r="E25" s="3167"/>
      <c r="F25" s="3201">
        <f>+'3条支出'!S8</f>
        <v>104382258</v>
      </c>
      <c r="G25" s="3168"/>
      <c r="H25" s="3167"/>
      <c r="I25" s="3121">
        <f>G25-H25</f>
        <v>0</v>
      </c>
    </row>
    <row r="26" spans="1:9">
      <c r="A26" s="3172"/>
      <c r="B26" s="3171"/>
      <c r="C26" s="3170" t="s">
        <v>6058</v>
      </c>
      <c r="D26" s="3169"/>
      <c r="E26" s="3167"/>
      <c r="F26" s="3201">
        <f>+'3条支出'!S9</f>
        <v>519893786</v>
      </c>
      <c r="G26" s="3168"/>
      <c r="H26" s="3167"/>
      <c r="I26" s="3121">
        <f>G26-H26</f>
        <v>0</v>
      </c>
    </row>
    <row r="27" spans="1:9">
      <c r="A27" s="3172"/>
      <c r="B27" s="3171"/>
      <c r="C27" s="3103" t="s">
        <v>6057</v>
      </c>
      <c r="D27" s="3169"/>
      <c r="E27" s="3167"/>
      <c r="F27" s="3201">
        <f>+'3条支出'!S10</f>
        <v>0</v>
      </c>
      <c r="G27" s="3168"/>
      <c r="H27" s="3167"/>
      <c r="I27" s="3121">
        <f>G27-H27</f>
        <v>0</v>
      </c>
    </row>
    <row r="28" spans="1:9">
      <c r="A28" s="3172"/>
      <c r="B28" s="3171"/>
      <c r="C28" s="3170" t="s">
        <v>6056</v>
      </c>
      <c r="D28" s="3169"/>
      <c r="E28" s="3167"/>
      <c r="F28" s="3201">
        <f>+'3条支出'!S11</f>
        <v>1715497</v>
      </c>
      <c r="G28" s="3168"/>
      <c r="H28" s="3167"/>
      <c r="I28" s="3121"/>
    </row>
    <row r="29" spans="1:9">
      <c r="A29" s="3172"/>
      <c r="B29" s="3171"/>
      <c r="C29" s="3170" t="s">
        <v>6009</v>
      </c>
      <c r="D29" s="3169"/>
      <c r="E29" s="3167"/>
      <c r="F29" s="3201">
        <f>+'3条支出'!S12</f>
        <v>87589</v>
      </c>
      <c r="G29" s="3168"/>
      <c r="H29" s="3167"/>
      <c r="I29" s="3121">
        <f>G29-H29</f>
        <v>0</v>
      </c>
    </row>
    <row r="30" spans="1:9">
      <c r="A30" s="3172"/>
      <c r="B30" s="3171"/>
      <c r="C30" s="3170" t="s">
        <v>6055</v>
      </c>
      <c r="D30" s="3169"/>
      <c r="E30" s="3167"/>
      <c r="F30" s="3201">
        <f>+'3条支出'!S13</f>
        <v>90253429</v>
      </c>
      <c r="G30" s="3168"/>
      <c r="H30" s="3167"/>
      <c r="I30" s="3121">
        <f>G30-H30</f>
        <v>0</v>
      </c>
    </row>
    <row r="31" spans="1:9">
      <c r="A31" s="3172"/>
      <c r="B31" s="3171"/>
      <c r="C31" s="3170" t="s">
        <v>6054</v>
      </c>
      <c r="D31" s="3169"/>
      <c r="E31" s="3167"/>
      <c r="F31" s="3201">
        <f>+'3条支出'!S14</f>
        <v>17678805</v>
      </c>
      <c r="G31" s="3168"/>
      <c r="H31" s="3167"/>
      <c r="I31" s="3121">
        <f>G31-H31</f>
        <v>0</v>
      </c>
    </row>
    <row r="32" spans="1:9">
      <c r="A32" s="3172"/>
      <c r="B32" s="3171"/>
      <c r="C32" s="3170" t="s">
        <v>6053</v>
      </c>
      <c r="D32" s="3169"/>
      <c r="E32" s="3167"/>
      <c r="F32" s="3201">
        <f>+'3条支出'!S15</f>
        <v>9713984</v>
      </c>
      <c r="G32" s="3168"/>
      <c r="H32" s="3167"/>
      <c r="I32" s="3121"/>
    </row>
    <row r="33" spans="1:9">
      <c r="A33" s="3172"/>
      <c r="B33" s="3171"/>
      <c r="C33" s="3170" t="s">
        <v>6052</v>
      </c>
      <c r="D33" s="3169"/>
      <c r="E33" s="3167"/>
      <c r="F33" s="3201">
        <f>+'3条支出'!S16</f>
        <v>22486229</v>
      </c>
      <c r="G33" s="3168"/>
      <c r="H33" s="3167"/>
      <c r="I33" s="3121"/>
    </row>
    <row r="34" spans="1:9">
      <c r="A34" s="3172"/>
      <c r="B34" s="3171"/>
      <c r="C34" s="3170" t="s">
        <v>6051</v>
      </c>
      <c r="D34" s="3169"/>
      <c r="E34" s="3167"/>
      <c r="F34" s="3201">
        <f>+'3条支出'!S17</f>
        <v>6447001</v>
      </c>
      <c r="G34" s="3168"/>
      <c r="H34" s="3167"/>
      <c r="I34" s="3121"/>
    </row>
    <row r="35" spans="1:9">
      <c r="A35" s="3172"/>
      <c r="B35" s="3171"/>
      <c r="C35" s="3170" t="s">
        <v>6050</v>
      </c>
      <c r="D35" s="3169"/>
      <c r="E35" s="3167"/>
      <c r="F35" s="3201">
        <f>+'3条支出'!S18</f>
        <v>0</v>
      </c>
      <c r="G35" s="3168"/>
      <c r="H35" s="3167"/>
      <c r="I35" s="3121"/>
    </row>
    <row r="36" spans="1:9">
      <c r="A36" s="3172"/>
      <c r="B36" s="3171"/>
      <c r="C36" s="3170" t="s">
        <v>6049</v>
      </c>
      <c r="D36" s="3169"/>
      <c r="E36" s="3167"/>
      <c r="F36" s="3201">
        <f>+'3条支出'!S19</f>
        <v>0</v>
      </c>
      <c r="G36" s="3168"/>
      <c r="H36" s="3167"/>
      <c r="I36" s="3121">
        <f>G36-H36</f>
        <v>0</v>
      </c>
    </row>
    <row r="37" spans="1:9">
      <c r="A37" s="3172"/>
      <c r="B37" s="3171"/>
      <c r="C37" s="3179" t="s">
        <v>6048</v>
      </c>
      <c r="D37" s="3178"/>
      <c r="E37" s="3175"/>
      <c r="F37" s="3200">
        <f>+'3条支出'!S20</f>
        <v>0</v>
      </c>
      <c r="G37" s="3176"/>
      <c r="H37" s="3175"/>
      <c r="I37" s="3113">
        <f>G37-H37</f>
        <v>0</v>
      </c>
    </row>
    <row r="38" spans="1:9">
      <c r="A38" s="3172"/>
      <c r="B38" s="3174" t="s">
        <v>6047</v>
      </c>
      <c r="C38" s="3173"/>
      <c r="D38" s="3169">
        <f t="shared" ref="D38:I38" si="7">SUM(D39:D42)</f>
        <v>0</v>
      </c>
      <c r="E38" s="3167">
        <f t="shared" si="7"/>
        <v>0</v>
      </c>
      <c r="F38" s="3127">
        <f t="shared" si="7"/>
        <v>6109254</v>
      </c>
      <c r="G38" s="3168">
        <f t="shared" si="7"/>
        <v>0</v>
      </c>
      <c r="H38" s="3167">
        <f t="shared" si="7"/>
        <v>0</v>
      </c>
      <c r="I38" s="3121">
        <f t="shared" si="7"/>
        <v>0</v>
      </c>
    </row>
    <row r="39" spans="1:9">
      <c r="A39" s="3172"/>
      <c r="B39" s="3171"/>
      <c r="C39" s="3170" t="s">
        <v>6046</v>
      </c>
      <c r="D39" s="3169"/>
      <c r="E39" s="3167"/>
      <c r="F39" s="3200">
        <f>+'3条支出'!S23</f>
        <v>5619432</v>
      </c>
      <c r="G39" s="3168"/>
      <c r="H39" s="3167"/>
      <c r="I39" s="3121">
        <f>G39-H39</f>
        <v>0</v>
      </c>
    </row>
    <row r="40" spans="1:9">
      <c r="A40" s="3172"/>
      <c r="B40" s="3171"/>
      <c r="C40" s="3170" t="s">
        <v>6045</v>
      </c>
      <c r="D40" s="3169"/>
      <c r="E40" s="3167"/>
      <c r="F40" s="3127"/>
      <c r="G40" s="3168"/>
      <c r="H40" s="3167"/>
      <c r="I40" s="3121">
        <f>G40-H40</f>
        <v>0</v>
      </c>
    </row>
    <row r="41" spans="1:9">
      <c r="A41" s="3172"/>
      <c r="B41" s="3171"/>
      <c r="C41" s="3170" t="s">
        <v>6044</v>
      </c>
      <c r="D41" s="3169"/>
      <c r="E41" s="3167"/>
      <c r="F41" s="3201">
        <f>+'3条支出'!S25</f>
        <v>0</v>
      </c>
      <c r="G41" s="3168"/>
      <c r="H41" s="3167"/>
      <c r="I41" s="3121">
        <f>G41-H41</f>
        <v>0</v>
      </c>
    </row>
    <row r="42" spans="1:9">
      <c r="A42" s="3172"/>
      <c r="B42" s="3171"/>
      <c r="C42" s="3179" t="s">
        <v>6043</v>
      </c>
      <c r="D42" s="3178"/>
      <c r="E42" s="3175"/>
      <c r="F42" s="3200">
        <f>+'3条支出'!S24</f>
        <v>489822</v>
      </c>
      <c r="G42" s="3176"/>
      <c r="H42" s="3175"/>
      <c r="I42" s="3113">
        <f>G42-H42</f>
        <v>0</v>
      </c>
    </row>
    <row r="43" spans="1:9">
      <c r="A43" s="3172"/>
      <c r="B43" s="3174" t="s">
        <v>6042</v>
      </c>
      <c r="C43" s="3173"/>
      <c r="D43" s="3169">
        <f t="shared" ref="D43:I43" si="8">SUM(D44:D45)</f>
        <v>0</v>
      </c>
      <c r="E43" s="3167">
        <f t="shared" si="8"/>
        <v>0</v>
      </c>
      <c r="F43" s="3127">
        <f t="shared" si="8"/>
        <v>968444</v>
      </c>
      <c r="G43" s="3168">
        <f t="shared" si="8"/>
        <v>0</v>
      </c>
      <c r="H43" s="3167">
        <f t="shared" si="8"/>
        <v>0</v>
      </c>
      <c r="I43" s="3121">
        <f t="shared" si="8"/>
        <v>0</v>
      </c>
    </row>
    <row r="44" spans="1:9">
      <c r="A44" s="3172"/>
      <c r="B44" s="3171"/>
      <c r="C44" s="3170" t="s">
        <v>6041</v>
      </c>
      <c r="D44" s="3169"/>
      <c r="E44" s="3167"/>
      <c r="F44" s="3200">
        <f>+'3条支出'!S28</f>
        <v>968444</v>
      </c>
      <c r="G44" s="3168"/>
      <c r="H44" s="3167"/>
      <c r="I44" s="3121">
        <f>G44-H44</f>
        <v>0</v>
      </c>
    </row>
    <row r="45" spans="1:9">
      <c r="A45" s="3172"/>
      <c r="B45" s="3171"/>
      <c r="C45" s="3170" t="s">
        <v>6040</v>
      </c>
      <c r="D45" s="3169"/>
      <c r="E45" s="3167"/>
      <c r="F45" s="3200">
        <f>+'3条支出'!S29</f>
        <v>0</v>
      </c>
      <c r="G45" s="3168"/>
      <c r="H45" s="3167"/>
      <c r="I45" s="3121">
        <f>G45-H45</f>
        <v>0</v>
      </c>
    </row>
    <row r="46" spans="1:9">
      <c r="A46" s="3166"/>
      <c r="B46" s="3165" t="s">
        <v>6039</v>
      </c>
      <c r="C46" s="3164"/>
      <c r="D46" s="3163"/>
      <c r="E46" s="3160"/>
      <c r="F46" s="3199"/>
      <c r="G46" s="3161"/>
      <c r="H46" s="3160"/>
      <c r="I46" s="3159">
        <f>G46-H46</f>
        <v>0</v>
      </c>
    </row>
    <row r="47" spans="1:9">
      <c r="A47" s="3194" t="s">
        <v>6038</v>
      </c>
      <c r="B47" s="3193"/>
      <c r="C47" s="3192"/>
      <c r="D47" s="3190">
        <f t="shared" ref="D47:I47" si="9">D48+D51+D52+D53+D54+D59+D63+D65</f>
        <v>0</v>
      </c>
      <c r="E47" s="3189">
        <f t="shared" si="9"/>
        <v>0</v>
      </c>
      <c r="F47" s="3143">
        <f t="shared" si="9"/>
        <v>3608310</v>
      </c>
      <c r="G47" s="3190">
        <f t="shared" si="9"/>
        <v>0</v>
      </c>
      <c r="H47" s="3189">
        <f t="shared" si="9"/>
        <v>0</v>
      </c>
      <c r="I47" s="3140">
        <f t="shared" si="9"/>
        <v>0</v>
      </c>
    </row>
    <row r="48" spans="1:9">
      <c r="A48" s="3172"/>
      <c r="B48" s="3188" t="s">
        <v>6037</v>
      </c>
      <c r="C48" s="3187"/>
      <c r="D48" s="3186">
        <f t="shared" ref="D48:I48" si="10">SUM(D49:D50)</f>
        <v>0</v>
      </c>
      <c r="E48" s="3183">
        <f t="shared" si="10"/>
        <v>0</v>
      </c>
      <c r="F48" s="3185">
        <f t="shared" si="10"/>
        <v>0</v>
      </c>
      <c r="G48" s="3184">
        <f t="shared" si="10"/>
        <v>0</v>
      </c>
      <c r="H48" s="3183">
        <f t="shared" si="10"/>
        <v>0</v>
      </c>
      <c r="I48" s="3182">
        <f t="shared" si="10"/>
        <v>0</v>
      </c>
    </row>
    <row r="49" spans="1:9">
      <c r="A49" s="3172"/>
      <c r="B49" s="3171"/>
      <c r="C49" s="3170" t="s">
        <v>6036</v>
      </c>
      <c r="D49" s="3169"/>
      <c r="E49" s="3167"/>
      <c r="F49" s="3198">
        <f>+'4条収入'!AB8</f>
        <v>0</v>
      </c>
      <c r="G49" s="3168"/>
      <c r="H49" s="3167"/>
      <c r="I49" s="3121">
        <f>G49-H49</f>
        <v>0</v>
      </c>
    </row>
    <row r="50" spans="1:9">
      <c r="A50" s="3172"/>
      <c r="B50" s="3171"/>
      <c r="C50" s="3179" t="s">
        <v>6035</v>
      </c>
      <c r="D50" s="3178"/>
      <c r="E50" s="3175"/>
      <c r="F50" s="3197">
        <f>+'4条収入'!AB16</f>
        <v>0</v>
      </c>
      <c r="G50" s="3176"/>
      <c r="H50" s="3175"/>
      <c r="I50" s="3113">
        <f>G50-H50</f>
        <v>0</v>
      </c>
    </row>
    <row r="51" spans="1:9">
      <c r="A51" s="3172"/>
      <c r="B51" s="3174" t="s">
        <v>6034</v>
      </c>
      <c r="C51" s="3173"/>
      <c r="D51" s="3169"/>
      <c r="E51" s="3167"/>
      <c r="F51" s="3198">
        <f>+'4条収入'!AB22</f>
        <v>0</v>
      </c>
      <c r="G51" s="3168"/>
      <c r="H51" s="3167"/>
      <c r="I51" s="3121">
        <f>G51-H51</f>
        <v>0</v>
      </c>
    </row>
    <row r="52" spans="1:9">
      <c r="A52" s="3172"/>
      <c r="B52" s="3174" t="s">
        <v>5996</v>
      </c>
      <c r="C52" s="3173"/>
      <c r="D52" s="3169"/>
      <c r="E52" s="3167"/>
      <c r="F52" s="3198">
        <f>+'4条収入'!AB23</f>
        <v>0</v>
      </c>
      <c r="G52" s="3168"/>
      <c r="H52" s="3167"/>
      <c r="I52" s="3121">
        <f>G52-H52</f>
        <v>0</v>
      </c>
    </row>
    <row r="53" spans="1:9">
      <c r="A53" s="3172"/>
      <c r="B53" s="3174" t="s">
        <v>6033</v>
      </c>
      <c r="C53" s="3173"/>
      <c r="D53" s="3169"/>
      <c r="E53" s="3167"/>
      <c r="F53" s="3198">
        <f>+'4条収入'!AB37</f>
        <v>2215735</v>
      </c>
      <c r="G53" s="3168"/>
      <c r="H53" s="3167"/>
      <c r="I53" s="3121">
        <f>G53-H53</f>
        <v>0</v>
      </c>
    </row>
    <row r="54" spans="1:9">
      <c r="A54" s="3172"/>
      <c r="B54" s="3174" t="s">
        <v>6032</v>
      </c>
      <c r="C54" s="3173"/>
      <c r="D54" s="3169">
        <f t="shared" ref="D54:I54" si="11">SUM(D55:D58)</f>
        <v>0</v>
      </c>
      <c r="E54" s="3167">
        <f t="shared" si="11"/>
        <v>0</v>
      </c>
      <c r="F54" s="3127">
        <f t="shared" si="11"/>
        <v>1392575</v>
      </c>
      <c r="G54" s="3168">
        <f t="shared" si="11"/>
        <v>0</v>
      </c>
      <c r="H54" s="3167">
        <f t="shared" si="11"/>
        <v>0</v>
      </c>
      <c r="I54" s="3121">
        <f t="shared" si="11"/>
        <v>0</v>
      </c>
    </row>
    <row r="55" spans="1:9">
      <c r="A55" s="3172"/>
      <c r="B55" s="3171"/>
      <c r="C55" s="3170" t="s">
        <v>5994</v>
      </c>
      <c r="D55" s="3169"/>
      <c r="E55" s="3167"/>
      <c r="F55" s="3198">
        <f>+'4条収入'!AB43</f>
        <v>0</v>
      </c>
      <c r="G55" s="3168"/>
      <c r="H55" s="3167"/>
      <c r="I55" s="3121">
        <f>G55-H55</f>
        <v>0</v>
      </c>
    </row>
    <row r="56" spans="1:9">
      <c r="A56" s="3172"/>
      <c r="B56" s="3171"/>
      <c r="C56" s="3170" t="s">
        <v>6031</v>
      </c>
      <c r="D56" s="3169"/>
      <c r="E56" s="3167"/>
      <c r="F56" s="3198">
        <f>+'4条収入'!AB45</f>
        <v>0</v>
      </c>
      <c r="G56" s="3168"/>
      <c r="H56" s="3167"/>
      <c r="I56" s="3121"/>
    </row>
    <row r="57" spans="1:9">
      <c r="A57" s="3172"/>
      <c r="B57" s="3171"/>
      <c r="C57" s="3170" t="s">
        <v>5992</v>
      </c>
      <c r="D57" s="3169"/>
      <c r="E57" s="3167"/>
      <c r="F57" s="3198">
        <f>+'4条収入'!AB50</f>
        <v>1392575</v>
      </c>
      <c r="G57" s="3168"/>
      <c r="H57" s="3167"/>
      <c r="I57" s="3121">
        <f>G57-H57</f>
        <v>0</v>
      </c>
    </row>
    <row r="58" spans="1:9">
      <c r="A58" s="3172"/>
      <c r="B58" s="3171"/>
      <c r="C58" s="3179" t="s">
        <v>6030</v>
      </c>
      <c r="D58" s="3178"/>
      <c r="E58" s="3175"/>
      <c r="F58" s="3127"/>
      <c r="G58" s="3176"/>
      <c r="H58" s="3175"/>
      <c r="I58" s="3113">
        <f>G58-H58</f>
        <v>0</v>
      </c>
    </row>
    <row r="59" spans="1:9">
      <c r="A59" s="3172"/>
      <c r="B59" s="3174" t="s">
        <v>6029</v>
      </c>
      <c r="C59" s="3173"/>
      <c r="D59" s="3169">
        <f t="shared" ref="D59:I59" si="12">SUM(D60:D62)</f>
        <v>0</v>
      </c>
      <c r="E59" s="3167">
        <f t="shared" si="12"/>
        <v>0</v>
      </c>
      <c r="F59" s="3127">
        <f t="shared" si="12"/>
        <v>0</v>
      </c>
      <c r="G59" s="3168">
        <f t="shared" si="12"/>
        <v>0</v>
      </c>
      <c r="H59" s="3167">
        <f t="shared" si="12"/>
        <v>0</v>
      </c>
      <c r="I59" s="3121">
        <f t="shared" si="12"/>
        <v>0</v>
      </c>
    </row>
    <row r="60" spans="1:9">
      <c r="A60" s="3172"/>
      <c r="B60" s="3171"/>
      <c r="C60" s="3170" t="s">
        <v>6028</v>
      </c>
      <c r="D60" s="3169"/>
      <c r="E60" s="3167"/>
      <c r="F60" s="3198">
        <f>+'4条収入'!AB56</f>
        <v>0</v>
      </c>
      <c r="G60" s="3168"/>
      <c r="H60" s="3167"/>
      <c r="I60" s="3121">
        <f>G60-H60</f>
        <v>0</v>
      </c>
    </row>
    <row r="61" spans="1:9">
      <c r="A61" s="3172"/>
      <c r="B61" s="3171"/>
      <c r="C61" s="3170" t="s">
        <v>6027</v>
      </c>
      <c r="D61" s="3169"/>
      <c r="E61" s="3167"/>
      <c r="F61" s="3198">
        <f>+'4条収入'!AB58</f>
        <v>0</v>
      </c>
      <c r="G61" s="3168"/>
      <c r="H61" s="3167"/>
      <c r="I61" s="3121">
        <f>G61-H61</f>
        <v>0</v>
      </c>
    </row>
    <row r="62" spans="1:9">
      <c r="A62" s="3172"/>
      <c r="B62" s="3171"/>
      <c r="C62" s="3179" t="s">
        <v>6026</v>
      </c>
      <c r="D62" s="3178"/>
      <c r="E62" s="3175"/>
      <c r="F62" s="3198">
        <f>+'4条収入'!AB71</f>
        <v>0</v>
      </c>
      <c r="G62" s="3176"/>
      <c r="H62" s="3175"/>
      <c r="I62" s="3113">
        <f>G62-H62</f>
        <v>0</v>
      </c>
    </row>
    <row r="63" spans="1:9">
      <c r="A63" s="3172"/>
      <c r="B63" s="3174" t="s">
        <v>6025</v>
      </c>
      <c r="C63" s="3173"/>
      <c r="D63" s="3169">
        <f t="shared" ref="D63:I63" si="13">D64</f>
        <v>0</v>
      </c>
      <c r="E63" s="3167">
        <f t="shared" si="13"/>
        <v>0</v>
      </c>
      <c r="F63" s="3127">
        <f t="shared" si="13"/>
        <v>0</v>
      </c>
      <c r="G63" s="3168">
        <f t="shared" si="13"/>
        <v>0</v>
      </c>
      <c r="H63" s="3167">
        <f t="shared" si="13"/>
        <v>0</v>
      </c>
      <c r="I63" s="3121">
        <f t="shared" si="13"/>
        <v>0</v>
      </c>
    </row>
    <row r="64" spans="1:9">
      <c r="A64" s="3172"/>
      <c r="B64" s="3171"/>
      <c r="C64" s="3179" t="s">
        <v>6024</v>
      </c>
      <c r="D64" s="3178"/>
      <c r="E64" s="3175"/>
      <c r="F64" s="3197">
        <f>+'4条収入'!AB87</f>
        <v>0</v>
      </c>
      <c r="G64" s="3176">
        <v>0</v>
      </c>
      <c r="H64" s="3175">
        <v>0</v>
      </c>
      <c r="I64" s="3113">
        <f>G64-H64</f>
        <v>0</v>
      </c>
    </row>
    <row r="65" spans="1:9">
      <c r="A65" s="3172"/>
      <c r="B65" s="3174" t="s">
        <v>6023</v>
      </c>
      <c r="C65" s="3173"/>
      <c r="D65" s="3169">
        <f t="shared" ref="D65:I65" si="14">D66</f>
        <v>0</v>
      </c>
      <c r="E65" s="3167">
        <f t="shared" si="14"/>
        <v>0</v>
      </c>
      <c r="F65" s="3127">
        <f t="shared" si="14"/>
        <v>0</v>
      </c>
      <c r="G65" s="3168">
        <f t="shared" si="14"/>
        <v>0</v>
      </c>
      <c r="H65" s="3167">
        <f t="shared" si="14"/>
        <v>0</v>
      </c>
      <c r="I65" s="3121">
        <f t="shared" si="14"/>
        <v>0</v>
      </c>
    </row>
    <row r="66" spans="1:9" ht="13.5" customHeight="1">
      <c r="A66" s="3166"/>
      <c r="B66" s="3196"/>
      <c r="C66" s="3164" t="s">
        <v>6022</v>
      </c>
      <c r="D66" s="3163"/>
      <c r="E66" s="3160"/>
      <c r="F66" s="3195">
        <f>+'4条収入'!AB89</f>
        <v>0</v>
      </c>
      <c r="G66" s="3161">
        <v>0</v>
      </c>
      <c r="H66" s="3160">
        <v>0</v>
      </c>
      <c r="I66" s="3159">
        <f>G66-H66</f>
        <v>0</v>
      </c>
    </row>
    <row r="67" spans="1:9">
      <c r="A67" s="3194" t="s">
        <v>6021</v>
      </c>
      <c r="B67" s="3193"/>
      <c r="C67" s="3192"/>
      <c r="D67" s="3191">
        <f t="shared" ref="D67:I67" si="15">D68+D77+D79+D82</f>
        <v>0</v>
      </c>
      <c r="E67" s="3189">
        <f t="shared" si="15"/>
        <v>0</v>
      </c>
      <c r="F67" s="3143">
        <f t="shared" si="15"/>
        <v>1479897187</v>
      </c>
      <c r="G67" s="3190">
        <f t="shared" si="15"/>
        <v>0</v>
      </c>
      <c r="H67" s="3189">
        <f t="shared" si="15"/>
        <v>0</v>
      </c>
      <c r="I67" s="3140">
        <f t="shared" si="15"/>
        <v>0</v>
      </c>
    </row>
    <row r="68" spans="1:9">
      <c r="A68" s="3172"/>
      <c r="B68" s="3188" t="s">
        <v>6020</v>
      </c>
      <c r="C68" s="3187"/>
      <c r="D68" s="3186">
        <f>SUM(D69:D75)</f>
        <v>0</v>
      </c>
      <c r="E68" s="3183">
        <f>SUM(E69:E75)</f>
        <v>0</v>
      </c>
      <c r="F68" s="3185">
        <f>SUM(F69:F76)</f>
        <v>1479897187</v>
      </c>
      <c r="G68" s="3184">
        <f>SUM(G69:G75)</f>
        <v>0</v>
      </c>
      <c r="H68" s="3183">
        <f>SUM(H69:H75)</f>
        <v>0</v>
      </c>
      <c r="I68" s="3182">
        <f>SUM(I69:I75)</f>
        <v>0</v>
      </c>
    </row>
    <row r="69" spans="1:9">
      <c r="A69" s="3172"/>
      <c r="B69" s="3171"/>
      <c r="C69" s="3170" t="s">
        <v>6019</v>
      </c>
      <c r="D69" s="3169"/>
      <c r="E69" s="3167"/>
      <c r="F69" s="3180">
        <f>+'4条支出'!S6</f>
        <v>1356109400</v>
      </c>
      <c r="G69" s="3168"/>
      <c r="H69" s="3167"/>
      <c r="I69" s="3121">
        <f t="shared" ref="I69:I75" si="16">G69-H69</f>
        <v>0</v>
      </c>
    </row>
    <row r="70" spans="1:9" ht="13.5" customHeight="1">
      <c r="A70" s="3172"/>
      <c r="B70" s="3171"/>
      <c r="C70" s="3170" t="s">
        <v>6018</v>
      </c>
      <c r="D70" s="3169"/>
      <c r="E70" s="3167"/>
      <c r="F70" s="3180">
        <f>+'4条支出'!S7</f>
        <v>543071</v>
      </c>
      <c r="G70" s="3168"/>
      <c r="H70" s="3167"/>
      <c r="I70" s="3121">
        <f t="shared" si="16"/>
        <v>0</v>
      </c>
    </row>
    <row r="71" spans="1:9">
      <c r="A71" s="3172"/>
      <c r="B71" s="3171"/>
      <c r="C71" s="3170" t="s">
        <v>6017</v>
      </c>
      <c r="D71" s="3169"/>
      <c r="E71" s="3167"/>
      <c r="F71" s="3180">
        <f>+'4条支出'!S8</f>
        <v>47147259</v>
      </c>
      <c r="G71" s="3168"/>
      <c r="H71" s="3167"/>
      <c r="I71" s="3121">
        <f t="shared" si="16"/>
        <v>0</v>
      </c>
    </row>
    <row r="72" spans="1:9">
      <c r="A72" s="3172"/>
      <c r="B72" s="3171"/>
      <c r="C72" s="3170" t="s">
        <v>6016</v>
      </c>
      <c r="D72" s="3169"/>
      <c r="E72" s="3167"/>
      <c r="F72" s="3180">
        <f>+'4条支出'!S9</f>
        <v>0</v>
      </c>
      <c r="G72" s="3168"/>
      <c r="H72" s="3167"/>
      <c r="I72" s="3121">
        <f t="shared" si="16"/>
        <v>0</v>
      </c>
    </row>
    <row r="73" spans="1:9">
      <c r="A73" s="3172"/>
      <c r="B73" s="3171"/>
      <c r="C73" s="3170" t="s">
        <v>6015</v>
      </c>
      <c r="D73" s="3169"/>
      <c r="E73" s="3167"/>
      <c r="F73" s="3180">
        <f>+'4条支出'!S10</f>
        <v>11020779</v>
      </c>
      <c r="G73" s="3168"/>
      <c r="H73" s="3167"/>
      <c r="I73" s="3121">
        <f t="shared" si="16"/>
        <v>0</v>
      </c>
    </row>
    <row r="74" spans="1:9">
      <c r="A74" s="3172"/>
      <c r="B74" s="3171"/>
      <c r="C74" s="3170" t="s">
        <v>6014</v>
      </c>
      <c r="D74" s="3169"/>
      <c r="E74" s="3167"/>
      <c r="F74" s="3180">
        <f>+'4条支出'!S11</f>
        <v>5379819</v>
      </c>
      <c r="G74" s="3168"/>
      <c r="H74" s="3167"/>
      <c r="I74" s="3121">
        <f t="shared" si="16"/>
        <v>0</v>
      </c>
    </row>
    <row r="75" spans="1:9">
      <c r="A75" s="3172"/>
      <c r="B75" s="3171"/>
      <c r="C75" s="3179" t="s">
        <v>6013</v>
      </c>
      <c r="D75" s="3178"/>
      <c r="E75" s="3175"/>
      <c r="F75" s="3180">
        <f>+'4条支出'!S15</f>
        <v>0</v>
      </c>
      <c r="G75" s="3176"/>
      <c r="H75" s="3175"/>
      <c r="I75" s="3113">
        <f t="shared" si="16"/>
        <v>0</v>
      </c>
    </row>
    <row r="76" spans="1:9">
      <c r="A76" s="3172"/>
      <c r="B76" s="3171"/>
      <c r="C76" s="3181" t="s">
        <v>6012</v>
      </c>
      <c r="D76" s="3178"/>
      <c r="E76" s="3175"/>
      <c r="F76" s="3180">
        <f>+'4条支出'!S16</f>
        <v>59696859</v>
      </c>
      <c r="G76" s="3176"/>
      <c r="H76" s="3175"/>
      <c r="I76" s="3113"/>
    </row>
    <row r="77" spans="1:9" ht="13.5" customHeight="1">
      <c r="A77" s="3172"/>
      <c r="B77" s="3174" t="s">
        <v>6011</v>
      </c>
      <c r="C77" s="3173"/>
      <c r="D77" s="3169">
        <f t="shared" ref="D77:I77" si="17">D78</f>
        <v>0</v>
      </c>
      <c r="E77" s="3167">
        <f t="shared" si="17"/>
        <v>0</v>
      </c>
      <c r="F77" s="3127">
        <f t="shared" si="17"/>
        <v>0</v>
      </c>
      <c r="G77" s="3168">
        <f t="shared" si="17"/>
        <v>0</v>
      </c>
      <c r="H77" s="3167">
        <f t="shared" si="17"/>
        <v>0</v>
      </c>
      <c r="I77" s="3121">
        <f t="shared" si="17"/>
        <v>0</v>
      </c>
    </row>
    <row r="78" spans="1:9">
      <c r="A78" s="3172"/>
      <c r="B78" s="3171"/>
      <c r="C78" s="3179" t="s">
        <v>6010</v>
      </c>
      <c r="D78" s="3178"/>
      <c r="E78" s="3175"/>
      <c r="F78" s="3177">
        <v>0</v>
      </c>
      <c r="G78" s="3176"/>
      <c r="H78" s="3175"/>
      <c r="I78" s="3113">
        <f>G78-H78</f>
        <v>0</v>
      </c>
    </row>
    <row r="79" spans="1:9">
      <c r="A79" s="3172"/>
      <c r="B79" s="3174" t="s">
        <v>6009</v>
      </c>
      <c r="C79" s="3173"/>
      <c r="D79" s="3169">
        <f t="shared" ref="D79:I79" si="18">SUM(D80:D81)</f>
        <v>0</v>
      </c>
      <c r="E79" s="3167">
        <f t="shared" si="18"/>
        <v>0</v>
      </c>
      <c r="F79" s="3127">
        <f t="shared" si="18"/>
        <v>0</v>
      </c>
      <c r="G79" s="3168">
        <f t="shared" si="18"/>
        <v>0</v>
      </c>
      <c r="H79" s="3167">
        <f t="shared" si="18"/>
        <v>0</v>
      </c>
      <c r="I79" s="3121">
        <f t="shared" si="18"/>
        <v>0</v>
      </c>
    </row>
    <row r="80" spans="1:9">
      <c r="A80" s="3172"/>
      <c r="B80" s="3171"/>
      <c r="C80" s="3170" t="s">
        <v>6008</v>
      </c>
      <c r="D80" s="3169"/>
      <c r="E80" s="3167"/>
      <c r="F80" s="3127">
        <v>0</v>
      </c>
      <c r="G80" s="3168"/>
      <c r="H80" s="3167"/>
      <c r="I80" s="3121">
        <f>G80-H80</f>
        <v>0</v>
      </c>
    </row>
    <row r="81" spans="1:10">
      <c r="A81" s="3172"/>
      <c r="B81" s="3171"/>
      <c r="C81" s="3170" t="s">
        <v>6007</v>
      </c>
      <c r="D81" s="3169"/>
      <c r="E81" s="3167"/>
      <c r="F81" s="3127">
        <v>0</v>
      </c>
      <c r="G81" s="3168"/>
      <c r="H81" s="3167"/>
      <c r="I81" s="3121">
        <f>G81-H81</f>
        <v>0</v>
      </c>
    </row>
    <row r="82" spans="1:10">
      <c r="A82" s="3166"/>
      <c r="B82" s="3165" t="s">
        <v>6006</v>
      </c>
      <c r="C82" s="3164"/>
      <c r="D82" s="3163"/>
      <c r="E82" s="3160"/>
      <c r="F82" s="3162">
        <v>0</v>
      </c>
      <c r="G82" s="3161"/>
      <c r="H82" s="3160"/>
      <c r="I82" s="3159">
        <f>G82-H82</f>
        <v>0</v>
      </c>
    </row>
    <row r="83" spans="1:10">
      <c r="A83" s="3158" t="s">
        <v>6005</v>
      </c>
      <c r="B83" s="3157"/>
      <c r="C83" s="3156"/>
      <c r="D83" s="3154"/>
      <c r="E83" s="3153"/>
      <c r="F83" s="3155">
        <f>F4+F47</f>
        <v>1888158024</v>
      </c>
      <c r="G83" s="3154"/>
      <c r="H83" s="3153"/>
      <c r="I83" s="3152">
        <f>I4+I47</f>
        <v>0</v>
      </c>
    </row>
    <row r="84" spans="1:10">
      <c r="A84" s="3151" t="s">
        <v>6004</v>
      </c>
      <c r="B84" s="3150"/>
      <c r="C84" s="3149"/>
      <c r="D84" s="3109"/>
      <c r="E84" s="3106"/>
      <c r="F84" s="3148">
        <f>F21+F67</f>
        <v>2307919386</v>
      </c>
      <c r="G84" s="3109"/>
      <c r="H84" s="3106"/>
      <c r="I84" s="3105">
        <f>I21+I67</f>
        <v>0</v>
      </c>
    </row>
    <row r="85" spans="1:10">
      <c r="A85" s="3147" t="s">
        <v>6003</v>
      </c>
      <c r="B85" s="3146"/>
      <c r="C85" s="3145"/>
      <c r="D85" s="3144"/>
      <c r="E85" s="3141"/>
      <c r="F85" s="3143">
        <f>F86+F92</f>
        <v>763300091</v>
      </c>
      <c r="G85" s="3142"/>
      <c r="H85" s="3141"/>
      <c r="I85" s="3140">
        <f>I86+I92</f>
        <v>0</v>
      </c>
      <c r="J85" s="3139">
        <f>F85-F86-F92</f>
        <v>0</v>
      </c>
    </row>
    <row r="86" spans="1:10">
      <c r="A86" s="3120"/>
      <c r="B86" s="3129" t="s">
        <v>6002</v>
      </c>
      <c r="C86" s="3128"/>
      <c r="D86" s="3135"/>
      <c r="E86" s="3136"/>
      <c r="F86" s="3138">
        <f>SUM(F87:F91)</f>
        <v>210606912</v>
      </c>
      <c r="G86" s="3137"/>
      <c r="H86" s="3136"/>
      <c r="I86" s="3131"/>
    </row>
    <row r="87" spans="1:10">
      <c r="A87" s="3120"/>
      <c r="B87" s="3119"/>
      <c r="C87" s="3126" t="s">
        <v>6001</v>
      </c>
      <c r="D87" s="3135"/>
      <c r="E87" s="3132"/>
      <c r="F87" s="3134">
        <f>+消費税!Z119</f>
        <v>210253123</v>
      </c>
      <c r="G87" s="3133"/>
      <c r="H87" s="3132"/>
      <c r="I87" s="3131"/>
      <c r="J87" s="3130"/>
    </row>
    <row r="88" spans="1:10">
      <c r="A88" s="3120"/>
      <c r="B88" s="3119"/>
      <c r="C88" s="3126" t="s">
        <v>6000</v>
      </c>
      <c r="D88" s="3135"/>
      <c r="E88" s="3132"/>
      <c r="F88" s="3134">
        <f>+消費税!Z122</f>
        <v>2233725</v>
      </c>
      <c r="G88" s="3133"/>
      <c r="H88" s="3132"/>
      <c r="I88" s="3131"/>
      <c r="J88" s="3130"/>
    </row>
    <row r="89" spans="1:10">
      <c r="A89" s="3120"/>
      <c r="B89" s="3119"/>
      <c r="C89" s="3126" t="s">
        <v>5999</v>
      </c>
      <c r="D89" s="3135"/>
      <c r="E89" s="3132"/>
      <c r="F89" s="3134"/>
      <c r="G89" s="3133"/>
      <c r="H89" s="3132"/>
      <c r="I89" s="3131"/>
      <c r="J89" s="3130"/>
    </row>
    <row r="90" spans="1:10">
      <c r="A90" s="3120"/>
      <c r="B90" s="3119"/>
      <c r="C90" s="3126" t="s">
        <v>6554</v>
      </c>
      <c r="D90" s="3135"/>
      <c r="E90" s="3132"/>
      <c r="F90" s="3134">
        <f>消費税!Z123</f>
        <v>629</v>
      </c>
      <c r="G90" s="3133"/>
      <c r="H90" s="3132"/>
      <c r="I90" s="3131"/>
      <c r="J90" s="3130"/>
    </row>
    <row r="91" spans="1:10">
      <c r="A91" s="3120"/>
      <c r="B91" s="3119"/>
      <c r="C91" s="3126" t="s">
        <v>5998</v>
      </c>
      <c r="D91" s="3135"/>
      <c r="E91" s="3132"/>
      <c r="F91" s="3134">
        <f>-消費税!Z125</f>
        <v>-1880565</v>
      </c>
      <c r="G91" s="3133"/>
      <c r="H91" s="3132"/>
      <c r="I91" s="3131"/>
      <c r="J91" s="3130"/>
    </row>
    <row r="92" spans="1:10">
      <c r="A92" s="3120"/>
      <c r="B92" s="3129" t="s">
        <v>5997</v>
      </c>
      <c r="C92" s="3128"/>
      <c r="D92" s="3125"/>
      <c r="E92" s="3122"/>
      <c r="F92" s="3127">
        <f>SUM(F93:F97)</f>
        <v>552693179</v>
      </c>
      <c r="G92" s="3123"/>
      <c r="H92" s="3122"/>
      <c r="I92" s="3121">
        <f>SUM(I93:I97)</f>
        <v>0</v>
      </c>
    </row>
    <row r="93" spans="1:10">
      <c r="A93" s="3120"/>
      <c r="B93" s="3119"/>
      <c r="C93" s="3126" t="s">
        <v>5996</v>
      </c>
      <c r="D93" s="3125"/>
      <c r="E93" s="3122"/>
      <c r="F93" s="3124">
        <f>+'4条圧縮'!H19</f>
        <v>522413737</v>
      </c>
      <c r="G93" s="3123"/>
      <c r="H93" s="3122"/>
      <c r="I93" s="3121"/>
    </row>
    <row r="94" spans="1:10">
      <c r="A94" s="3120"/>
      <c r="B94" s="3119"/>
      <c r="C94" s="3126" t="s">
        <v>5995</v>
      </c>
      <c r="D94" s="3125"/>
      <c r="E94" s="3122"/>
      <c r="F94" s="3127">
        <v>0</v>
      </c>
      <c r="G94" s="3123"/>
      <c r="H94" s="3122"/>
      <c r="I94" s="3121"/>
    </row>
    <row r="95" spans="1:10">
      <c r="A95" s="3120"/>
      <c r="B95" s="3119"/>
      <c r="C95" s="3126" t="s">
        <v>5994</v>
      </c>
      <c r="D95" s="3125"/>
      <c r="E95" s="3122"/>
      <c r="F95" s="3124">
        <f>+'4条圧縮'!H20</f>
        <v>779531</v>
      </c>
      <c r="G95" s="3123"/>
      <c r="H95" s="3122"/>
      <c r="I95" s="3121"/>
    </row>
    <row r="96" spans="1:10">
      <c r="A96" s="3120"/>
      <c r="B96" s="3119"/>
      <c r="C96" s="3118" t="s">
        <v>5993</v>
      </c>
      <c r="D96" s="3117"/>
      <c r="E96" s="3114"/>
      <c r="F96" s="3116">
        <f>+'4条圧縮'!H21</f>
        <v>3138956</v>
      </c>
      <c r="G96" s="3115"/>
      <c r="H96" s="3114"/>
      <c r="I96" s="3113"/>
    </row>
    <row r="97" spans="1:9">
      <c r="A97" s="3112"/>
      <c r="B97" s="3111"/>
      <c r="C97" s="3110" t="s">
        <v>5992</v>
      </c>
      <c r="D97" s="3109"/>
      <c r="E97" s="3106"/>
      <c r="F97" s="3108">
        <f>+'4条圧縮'!H22</f>
        <v>26360955</v>
      </c>
      <c r="G97" s="3107"/>
      <c r="H97" s="3106"/>
      <c r="I97" s="3105"/>
    </row>
    <row r="98" spans="1:9">
      <c r="A98" s="3103" t="s">
        <v>5991</v>
      </c>
      <c r="F98" s="3104"/>
    </row>
  </sheetData>
  <mergeCells count="3">
    <mergeCell ref="A2:C3"/>
    <mergeCell ref="D2:F2"/>
    <mergeCell ref="G2:I2"/>
  </mergeCells>
  <phoneticPr fontId="4"/>
  <printOptions horizontalCentered="1"/>
  <pageMargins left="0.98425196850393704" right="0.59055118110236227" top="0.98425196850393704" bottom="0.78740157480314965" header="0.31496062992125984" footer="0.11811023622047245"/>
  <pageSetup paperSize="9" scale="95" orientation="portrait" verticalDpi="400" r:id="rId1"/>
  <headerFooter alignWithMargins="0">
    <oddHeader>&amp;C&amp;"ＭＳ Ｐゴシック,標準"&amp;14&amp;A</oddHeader>
    <oddFooter>&amp;L&amp;F　&amp;A&amp;R&amp;D　&amp;T</oddFooter>
  </headerFooter>
  <rowBreaks count="1" manualBreakCount="1">
    <brk id="46" max="8" man="1"/>
  </rowBreaks>
</worksheet>
</file>

<file path=xl/worksheets/w7_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L16"/>
  <sheetViews>
    <sheetView zoomScale="80" zoomScaleNormal="80" workbookViewId="0"/>
  </sheetViews>
  <sheetFormatPr defaultRowHeight="13.5"/>
  <cols>
    <col min="1" max="1" width="3.625" style="3103" customWidth="1"/>
    <col min="2" max="2" width="14.625" style="3103" customWidth="1"/>
    <col min="3" max="4" width="15.625" style="3103" customWidth="1"/>
    <col min="5" max="5" width="12.625" style="3103" bestFit="1" customWidth="1"/>
    <col min="6" max="8" width="9" style="3103"/>
    <col min="9" max="10" width="15" style="3103" customWidth="1"/>
    <col min="11" max="11" width="9" style="3103"/>
    <col min="12" max="12" width="13.75" style="3103" bestFit="1" customWidth="1"/>
    <col min="13" max="254" width="9" style="3103"/>
    <col min="255" max="255" width="3.625" style="3103" customWidth="1"/>
    <col min="256" max="256" width="14.625" style="3103" customWidth="1"/>
    <col min="257" max="258" width="15.625" style="3103" customWidth="1"/>
    <col min="259" max="260" width="0" style="3103" hidden="1" customWidth="1"/>
    <col min="261" max="261" width="12.625" style="3103" bestFit="1" customWidth="1"/>
    <col min="262" max="264" width="9" style="3103"/>
    <col min="265" max="266" width="15" style="3103" customWidth="1"/>
    <col min="267" max="510" width="9" style="3103"/>
    <col min="511" max="511" width="3.625" style="3103" customWidth="1"/>
    <col min="512" max="512" width="14.625" style="3103" customWidth="1"/>
    <col min="513" max="514" width="15.625" style="3103" customWidth="1"/>
    <col min="515" max="516" width="0" style="3103" hidden="1" customWidth="1"/>
    <col min="517" max="517" width="12.625" style="3103" bestFit="1" customWidth="1"/>
    <col min="518" max="520" width="9" style="3103"/>
    <col min="521" max="522" width="15" style="3103" customWidth="1"/>
    <col min="523" max="766" width="9" style="3103"/>
    <col min="767" max="767" width="3.625" style="3103" customWidth="1"/>
    <col min="768" max="768" width="14.625" style="3103" customWidth="1"/>
    <col min="769" max="770" width="15.625" style="3103" customWidth="1"/>
    <col min="771" max="772" width="0" style="3103" hidden="1" customWidth="1"/>
    <col min="773" max="773" width="12.625" style="3103" bestFit="1" customWidth="1"/>
    <col min="774" max="776" width="9" style="3103"/>
    <col min="777" max="778" width="15" style="3103" customWidth="1"/>
    <col min="779" max="1022" width="9" style="3103"/>
    <col min="1023" max="1023" width="3.625" style="3103" customWidth="1"/>
    <col min="1024" max="1024" width="14.625" style="3103" customWidth="1"/>
    <col min="1025" max="1026" width="15.625" style="3103" customWidth="1"/>
    <col min="1027" max="1028" width="0" style="3103" hidden="1" customWidth="1"/>
    <col min="1029" max="1029" width="12.625" style="3103" bestFit="1" customWidth="1"/>
    <col min="1030" max="1032" width="9" style="3103"/>
    <col min="1033" max="1034" width="15" style="3103" customWidth="1"/>
    <col min="1035" max="1278" width="9" style="3103"/>
    <col min="1279" max="1279" width="3.625" style="3103" customWidth="1"/>
    <col min="1280" max="1280" width="14.625" style="3103" customWidth="1"/>
    <col min="1281" max="1282" width="15.625" style="3103" customWidth="1"/>
    <col min="1283" max="1284" width="0" style="3103" hidden="1" customWidth="1"/>
    <col min="1285" max="1285" width="12.625" style="3103" bestFit="1" customWidth="1"/>
    <col min="1286" max="1288" width="9" style="3103"/>
    <col min="1289" max="1290" width="15" style="3103" customWidth="1"/>
    <col min="1291" max="1534" width="9" style="3103"/>
    <col min="1535" max="1535" width="3.625" style="3103" customWidth="1"/>
    <col min="1536" max="1536" width="14.625" style="3103" customWidth="1"/>
    <col min="1537" max="1538" width="15.625" style="3103" customWidth="1"/>
    <col min="1539" max="1540" width="0" style="3103" hidden="1" customWidth="1"/>
    <col min="1541" max="1541" width="12.625" style="3103" bestFit="1" customWidth="1"/>
    <col min="1542" max="1544" width="9" style="3103"/>
    <col min="1545" max="1546" width="15" style="3103" customWidth="1"/>
    <col min="1547" max="1790" width="9" style="3103"/>
    <col min="1791" max="1791" width="3.625" style="3103" customWidth="1"/>
    <col min="1792" max="1792" width="14.625" style="3103" customWidth="1"/>
    <col min="1793" max="1794" width="15.625" style="3103" customWidth="1"/>
    <col min="1795" max="1796" width="0" style="3103" hidden="1" customWidth="1"/>
    <col min="1797" max="1797" width="12.625" style="3103" bestFit="1" customWidth="1"/>
    <col min="1798" max="1800" width="9" style="3103"/>
    <col min="1801" max="1802" width="15" style="3103" customWidth="1"/>
    <col min="1803" max="2046" width="9" style="3103"/>
    <col min="2047" max="2047" width="3.625" style="3103" customWidth="1"/>
    <col min="2048" max="2048" width="14.625" style="3103" customWidth="1"/>
    <col min="2049" max="2050" width="15.625" style="3103" customWidth="1"/>
    <col min="2051" max="2052" width="0" style="3103" hidden="1" customWidth="1"/>
    <col min="2053" max="2053" width="12.625" style="3103" bestFit="1" customWidth="1"/>
    <col min="2054" max="2056" width="9" style="3103"/>
    <col min="2057" max="2058" width="15" style="3103" customWidth="1"/>
    <col min="2059" max="2302" width="9" style="3103"/>
    <col min="2303" max="2303" width="3.625" style="3103" customWidth="1"/>
    <col min="2304" max="2304" width="14.625" style="3103" customWidth="1"/>
    <col min="2305" max="2306" width="15.625" style="3103" customWidth="1"/>
    <col min="2307" max="2308" width="0" style="3103" hidden="1" customWidth="1"/>
    <col min="2309" max="2309" width="12.625" style="3103" bestFit="1" customWidth="1"/>
    <col min="2310" max="2312" width="9" style="3103"/>
    <col min="2313" max="2314" width="15" style="3103" customWidth="1"/>
    <col min="2315" max="2558" width="9" style="3103"/>
    <col min="2559" max="2559" width="3.625" style="3103" customWidth="1"/>
    <col min="2560" max="2560" width="14.625" style="3103" customWidth="1"/>
    <col min="2561" max="2562" width="15.625" style="3103" customWidth="1"/>
    <col min="2563" max="2564" width="0" style="3103" hidden="1" customWidth="1"/>
    <col min="2565" max="2565" width="12.625" style="3103" bestFit="1" customWidth="1"/>
    <col min="2566" max="2568" width="9" style="3103"/>
    <col min="2569" max="2570" width="15" style="3103" customWidth="1"/>
    <col min="2571" max="2814" width="9" style="3103"/>
    <col min="2815" max="2815" width="3.625" style="3103" customWidth="1"/>
    <col min="2816" max="2816" width="14.625" style="3103" customWidth="1"/>
    <col min="2817" max="2818" width="15.625" style="3103" customWidth="1"/>
    <col min="2819" max="2820" width="0" style="3103" hidden="1" customWidth="1"/>
    <col min="2821" max="2821" width="12.625" style="3103" bestFit="1" customWidth="1"/>
    <col min="2822" max="2824" width="9" style="3103"/>
    <col min="2825" max="2826" width="15" style="3103" customWidth="1"/>
    <col min="2827" max="3070" width="9" style="3103"/>
    <col min="3071" max="3071" width="3.625" style="3103" customWidth="1"/>
    <col min="3072" max="3072" width="14.625" style="3103" customWidth="1"/>
    <col min="3073" max="3074" width="15.625" style="3103" customWidth="1"/>
    <col min="3075" max="3076" width="0" style="3103" hidden="1" customWidth="1"/>
    <col min="3077" max="3077" width="12.625" style="3103" bestFit="1" customWidth="1"/>
    <col min="3078" max="3080" width="9" style="3103"/>
    <col min="3081" max="3082" width="15" style="3103" customWidth="1"/>
    <col min="3083" max="3326" width="9" style="3103"/>
    <col min="3327" max="3327" width="3.625" style="3103" customWidth="1"/>
    <col min="3328" max="3328" width="14.625" style="3103" customWidth="1"/>
    <col min="3329" max="3330" width="15.625" style="3103" customWidth="1"/>
    <col min="3331" max="3332" width="0" style="3103" hidden="1" customWidth="1"/>
    <col min="3333" max="3333" width="12.625" style="3103" bestFit="1" customWidth="1"/>
    <col min="3334" max="3336" width="9" style="3103"/>
    <col min="3337" max="3338" width="15" style="3103" customWidth="1"/>
    <col min="3339" max="3582" width="9" style="3103"/>
    <col min="3583" max="3583" width="3.625" style="3103" customWidth="1"/>
    <col min="3584" max="3584" width="14.625" style="3103" customWidth="1"/>
    <col min="3585" max="3586" width="15.625" style="3103" customWidth="1"/>
    <col min="3587" max="3588" width="0" style="3103" hidden="1" customWidth="1"/>
    <col min="3589" max="3589" width="12.625" style="3103" bestFit="1" customWidth="1"/>
    <col min="3590" max="3592" width="9" style="3103"/>
    <col min="3593" max="3594" width="15" style="3103" customWidth="1"/>
    <col min="3595" max="3838" width="9" style="3103"/>
    <col min="3839" max="3839" width="3.625" style="3103" customWidth="1"/>
    <col min="3840" max="3840" width="14.625" style="3103" customWidth="1"/>
    <col min="3841" max="3842" width="15.625" style="3103" customWidth="1"/>
    <col min="3843" max="3844" width="0" style="3103" hidden="1" customWidth="1"/>
    <col min="3845" max="3845" width="12.625" style="3103" bestFit="1" customWidth="1"/>
    <col min="3846" max="3848" width="9" style="3103"/>
    <col min="3849" max="3850" width="15" style="3103" customWidth="1"/>
    <col min="3851" max="4094" width="9" style="3103"/>
    <col min="4095" max="4095" width="3.625" style="3103" customWidth="1"/>
    <col min="4096" max="4096" width="14.625" style="3103" customWidth="1"/>
    <col min="4097" max="4098" width="15.625" style="3103" customWidth="1"/>
    <col min="4099" max="4100" width="0" style="3103" hidden="1" customWidth="1"/>
    <col min="4101" max="4101" width="12.625" style="3103" bestFit="1" customWidth="1"/>
    <col min="4102" max="4104" width="9" style="3103"/>
    <col min="4105" max="4106" width="15" style="3103" customWidth="1"/>
    <col min="4107" max="4350" width="9" style="3103"/>
    <col min="4351" max="4351" width="3.625" style="3103" customWidth="1"/>
    <col min="4352" max="4352" width="14.625" style="3103" customWidth="1"/>
    <col min="4353" max="4354" width="15.625" style="3103" customWidth="1"/>
    <col min="4355" max="4356" width="0" style="3103" hidden="1" customWidth="1"/>
    <col min="4357" max="4357" width="12.625" style="3103" bestFit="1" customWidth="1"/>
    <col min="4358" max="4360" width="9" style="3103"/>
    <col min="4361" max="4362" width="15" style="3103" customWidth="1"/>
    <col min="4363" max="4606" width="9" style="3103"/>
    <col min="4607" max="4607" width="3.625" style="3103" customWidth="1"/>
    <col min="4608" max="4608" width="14.625" style="3103" customWidth="1"/>
    <col min="4609" max="4610" width="15.625" style="3103" customWidth="1"/>
    <col min="4611" max="4612" width="0" style="3103" hidden="1" customWidth="1"/>
    <col min="4613" max="4613" width="12.625" style="3103" bestFit="1" customWidth="1"/>
    <col min="4614" max="4616" width="9" style="3103"/>
    <col min="4617" max="4618" width="15" style="3103" customWidth="1"/>
    <col min="4619" max="4862" width="9" style="3103"/>
    <col min="4863" max="4863" width="3.625" style="3103" customWidth="1"/>
    <col min="4864" max="4864" width="14.625" style="3103" customWidth="1"/>
    <col min="4865" max="4866" width="15.625" style="3103" customWidth="1"/>
    <col min="4867" max="4868" width="0" style="3103" hidden="1" customWidth="1"/>
    <col min="4869" max="4869" width="12.625" style="3103" bestFit="1" customWidth="1"/>
    <col min="4870" max="4872" width="9" style="3103"/>
    <col min="4873" max="4874" width="15" style="3103" customWidth="1"/>
    <col min="4875" max="5118" width="9" style="3103"/>
    <col min="5119" max="5119" width="3.625" style="3103" customWidth="1"/>
    <col min="5120" max="5120" width="14.625" style="3103" customWidth="1"/>
    <col min="5121" max="5122" width="15.625" style="3103" customWidth="1"/>
    <col min="5123" max="5124" width="0" style="3103" hidden="1" customWidth="1"/>
    <col min="5125" max="5125" width="12.625" style="3103" bestFit="1" customWidth="1"/>
    <col min="5126" max="5128" width="9" style="3103"/>
    <col min="5129" max="5130" width="15" style="3103" customWidth="1"/>
    <col min="5131" max="5374" width="9" style="3103"/>
    <col min="5375" max="5375" width="3.625" style="3103" customWidth="1"/>
    <col min="5376" max="5376" width="14.625" style="3103" customWidth="1"/>
    <col min="5377" max="5378" width="15.625" style="3103" customWidth="1"/>
    <col min="5379" max="5380" width="0" style="3103" hidden="1" customWidth="1"/>
    <col min="5381" max="5381" width="12.625" style="3103" bestFit="1" customWidth="1"/>
    <col min="5382" max="5384" width="9" style="3103"/>
    <col min="5385" max="5386" width="15" style="3103" customWidth="1"/>
    <col min="5387" max="5630" width="9" style="3103"/>
    <col min="5631" max="5631" width="3.625" style="3103" customWidth="1"/>
    <col min="5632" max="5632" width="14.625" style="3103" customWidth="1"/>
    <col min="5633" max="5634" width="15.625" style="3103" customWidth="1"/>
    <col min="5635" max="5636" width="0" style="3103" hidden="1" customWidth="1"/>
    <col min="5637" max="5637" width="12.625" style="3103" bestFit="1" customWidth="1"/>
    <col min="5638" max="5640" width="9" style="3103"/>
    <col min="5641" max="5642" width="15" style="3103" customWidth="1"/>
    <col min="5643" max="5886" width="9" style="3103"/>
    <col min="5887" max="5887" width="3.625" style="3103" customWidth="1"/>
    <col min="5888" max="5888" width="14.625" style="3103" customWidth="1"/>
    <col min="5889" max="5890" width="15.625" style="3103" customWidth="1"/>
    <col min="5891" max="5892" width="0" style="3103" hidden="1" customWidth="1"/>
    <col min="5893" max="5893" width="12.625" style="3103" bestFit="1" customWidth="1"/>
    <col min="5894" max="5896" width="9" style="3103"/>
    <col min="5897" max="5898" width="15" style="3103" customWidth="1"/>
    <col min="5899" max="6142" width="9" style="3103"/>
    <col min="6143" max="6143" width="3.625" style="3103" customWidth="1"/>
    <col min="6144" max="6144" width="14.625" style="3103" customWidth="1"/>
    <col min="6145" max="6146" width="15.625" style="3103" customWidth="1"/>
    <col min="6147" max="6148" width="0" style="3103" hidden="1" customWidth="1"/>
    <col min="6149" max="6149" width="12.625" style="3103" bestFit="1" customWidth="1"/>
    <col min="6150" max="6152" width="9" style="3103"/>
    <col min="6153" max="6154" width="15" style="3103" customWidth="1"/>
    <col min="6155" max="6398" width="9" style="3103"/>
    <col min="6399" max="6399" width="3.625" style="3103" customWidth="1"/>
    <col min="6400" max="6400" width="14.625" style="3103" customWidth="1"/>
    <col min="6401" max="6402" width="15.625" style="3103" customWidth="1"/>
    <col min="6403" max="6404" width="0" style="3103" hidden="1" customWidth="1"/>
    <col min="6405" max="6405" width="12.625" style="3103" bestFit="1" customWidth="1"/>
    <col min="6406" max="6408" width="9" style="3103"/>
    <col min="6409" max="6410" width="15" style="3103" customWidth="1"/>
    <col min="6411" max="6654" width="9" style="3103"/>
    <col min="6655" max="6655" width="3.625" style="3103" customWidth="1"/>
    <col min="6656" max="6656" width="14.625" style="3103" customWidth="1"/>
    <col min="6657" max="6658" width="15.625" style="3103" customWidth="1"/>
    <col min="6659" max="6660" width="0" style="3103" hidden="1" customWidth="1"/>
    <col min="6661" max="6661" width="12.625" style="3103" bestFit="1" customWidth="1"/>
    <col min="6662" max="6664" width="9" style="3103"/>
    <col min="6665" max="6666" width="15" style="3103" customWidth="1"/>
    <col min="6667" max="6910" width="9" style="3103"/>
    <col min="6911" max="6911" width="3.625" style="3103" customWidth="1"/>
    <col min="6912" max="6912" width="14.625" style="3103" customWidth="1"/>
    <col min="6913" max="6914" width="15.625" style="3103" customWidth="1"/>
    <col min="6915" max="6916" width="0" style="3103" hidden="1" customWidth="1"/>
    <col min="6917" max="6917" width="12.625" style="3103" bestFit="1" customWidth="1"/>
    <col min="6918" max="6920" width="9" style="3103"/>
    <col min="6921" max="6922" width="15" style="3103" customWidth="1"/>
    <col min="6923" max="7166" width="9" style="3103"/>
    <col min="7167" max="7167" width="3.625" style="3103" customWidth="1"/>
    <col min="7168" max="7168" width="14.625" style="3103" customWidth="1"/>
    <col min="7169" max="7170" width="15.625" style="3103" customWidth="1"/>
    <col min="7171" max="7172" width="0" style="3103" hidden="1" customWidth="1"/>
    <col min="7173" max="7173" width="12.625" style="3103" bestFit="1" customWidth="1"/>
    <col min="7174" max="7176" width="9" style="3103"/>
    <col min="7177" max="7178" width="15" style="3103" customWidth="1"/>
    <col min="7179" max="7422" width="9" style="3103"/>
    <col min="7423" max="7423" width="3.625" style="3103" customWidth="1"/>
    <col min="7424" max="7424" width="14.625" style="3103" customWidth="1"/>
    <col min="7425" max="7426" width="15.625" style="3103" customWidth="1"/>
    <col min="7427" max="7428" width="0" style="3103" hidden="1" customWidth="1"/>
    <col min="7429" max="7429" width="12.625" style="3103" bestFit="1" customWidth="1"/>
    <col min="7430" max="7432" width="9" style="3103"/>
    <col min="7433" max="7434" width="15" style="3103" customWidth="1"/>
    <col min="7435" max="7678" width="9" style="3103"/>
    <col min="7679" max="7679" width="3.625" style="3103" customWidth="1"/>
    <col min="7680" max="7680" width="14.625" style="3103" customWidth="1"/>
    <col min="7681" max="7682" width="15.625" style="3103" customWidth="1"/>
    <col min="7683" max="7684" width="0" style="3103" hidden="1" customWidth="1"/>
    <col min="7685" max="7685" width="12.625" style="3103" bestFit="1" customWidth="1"/>
    <col min="7686" max="7688" width="9" style="3103"/>
    <col min="7689" max="7690" width="15" style="3103" customWidth="1"/>
    <col min="7691" max="7934" width="9" style="3103"/>
    <col min="7935" max="7935" width="3.625" style="3103" customWidth="1"/>
    <col min="7936" max="7936" width="14.625" style="3103" customWidth="1"/>
    <col min="7937" max="7938" width="15.625" style="3103" customWidth="1"/>
    <col min="7939" max="7940" width="0" style="3103" hidden="1" customWidth="1"/>
    <col min="7941" max="7941" width="12.625" style="3103" bestFit="1" customWidth="1"/>
    <col min="7942" max="7944" width="9" style="3103"/>
    <col min="7945" max="7946" width="15" style="3103" customWidth="1"/>
    <col min="7947" max="8190" width="9" style="3103"/>
    <col min="8191" max="8191" width="3.625" style="3103" customWidth="1"/>
    <col min="8192" max="8192" width="14.625" style="3103" customWidth="1"/>
    <col min="8193" max="8194" width="15.625" style="3103" customWidth="1"/>
    <col min="8195" max="8196" width="0" style="3103" hidden="1" customWidth="1"/>
    <col min="8197" max="8197" width="12.625" style="3103" bestFit="1" customWidth="1"/>
    <col min="8198" max="8200" width="9" style="3103"/>
    <col min="8201" max="8202" width="15" style="3103" customWidth="1"/>
    <col min="8203" max="8446" width="9" style="3103"/>
    <col min="8447" max="8447" width="3.625" style="3103" customWidth="1"/>
    <col min="8448" max="8448" width="14.625" style="3103" customWidth="1"/>
    <col min="8449" max="8450" width="15.625" style="3103" customWidth="1"/>
    <col min="8451" max="8452" width="0" style="3103" hidden="1" customWidth="1"/>
    <col min="8453" max="8453" width="12.625" style="3103" bestFit="1" customWidth="1"/>
    <col min="8454" max="8456" width="9" style="3103"/>
    <col min="8457" max="8458" width="15" style="3103" customWidth="1"/>
    <col min="8459" max="8702" width="9" style="3103"/>
    <col min="8703" max="8703" width="3.625" style="3103" customWidth="1"/>
    <col min="8704" max="8704" width="14.625" style="3103" customWidth="1"/>
    <col min="8705" max="8706" width="15.625" style="3103" customWidth="1"/>
    <col min="8707" max="8708" width="0" style="3103" hidden="1" customWidth="1"/>
    <col min="8709" max="8709" width="12.625" style="3103" bestFit="1" customWidth="1"/>
    <col min="8710" max="8712" width="9" style="3103"/>
    <col min="8713" max="8714" width="15" style="3103" customWidth="1"/>
    <col min="8715" max="8958" width="9" style="3103"/>
    <col min="8959" max="8959" width="3.625" style="3103" customWidth="1"/>
    <col min="8960" max="8960" width="14.625" style="3103" customWidth="1"/>
    <col min="8961" max="8962" width="15.625" style="3103" customWidth="1"/>
    <col min="8963" max="8964" width="0" style="3103" hidden="1" customWidth="1"/>
    <col min="8965" max="8965" width="12.625" style="3103" bestFit="1" customWidth="1"/>
    <col min="8966" max="8968" width="9" style="3103"/>
    <col min="8969" max="8970" width="15" style="3103" customWidth="1"/>
    <col min="8971" max="9214" width="9" style="3103"/>
    <col min="9215" max="9215" width="3.625" style="3103" customWidth="1"/>
    <col min="9216" max="9216" width="14.625" style="3103" customWidth="1"/>
    <col min="9217" max="9218" width="15.625" style="3103" customWidth="1"/>
    <col min="9219" max="9220" width="0" style="3103" hidden="1" customWidth="1"/>
    <col min="9221" max="9221" width="12.625" style="3103" bestFit="1" customWidth="1"/>
    <col min="9222" max="9224" width="9" style="3103"/>
    <col min="9225" max="9226" width="15" style="3103" customWidth="1"/>
    <col min="9227" max="9470" width="9" style="3103"/>
    <col min="9471" max="9471" width="3.625" style="3103" customWidth="1"/>
    <col min="9472" max="9472" width="14.625" style="3103" customWidth="1"/>
    <col min="9473" max="9474" width="15.625" style="3103" customWidth="1"/>
    <col min="9475" max="9476" width="0" style="3103" hidden="1" customWidth="1"/>
    <col min="9477" max="9477" width="12.625" style="3103" bestFit="1" customWidth="1"/>
    <col min="9478" max="9480" width="9" style="3103"/>
    <col min="9481" max="9482" width="15" style="3103" customWidth="1"/>
    <col min="9483" max="9726" width="9" style="3103"/>
    <col min="9727" max="9727" width="3.625" style="3103" customWidth="1"/>
    <col min="9728" max="9728" width="14.625" style="3103" customWidth="1"/>
    <col min="9729" max="9730" width="15.625" style="3103" customWidth="1"/>
    <col min="9731" max="9732" width="0" style="3103" hidden="1" customWidth="1"/>
    <col min="9733" max="9733" width="12.625" style="3103" bestFit="1" customWidth="1"/>
    <col min="9734" max="9736" width="9" style="3103"/>
    <col min="9737" max="9738" width="15" style="3103" customWidth="1"/>
    <col min="9739" max="9982" width="9" style="3103"/>
    <col min="9983" max="9983" width="3.625" style="3103" customWidth="1"/>
    <col min="9984" max="9984" width="14.625" style="3103" customWidth="1"/>
    <col min="9985" max="9986" width="15.625" style="3103" customWidth="1"/>
    <col min="9987" max="9988" width="0" style="3103" hidden="1" customWidth="1"/>
    <col min="9989" max="9989" width="12.625" style="3103" bestFit="1" customWidth="1"/>
    <col min="9990" max="9992" width="9" style="3103"/>
    <col min="9993" max="9994" width="15" style="3103" customWidth="1"/>
    <col min="9995" max="10238" width="9" style="3103"/>
    <col min="10239" max="10239" width="3.625" style="3103" customWidth="1"/>
    <col min="10240" max="10240" width="14.625" style="3103" customWidth="1"/>
    <col min="10241" max="10242" width="15.625" style="3103" customWidth="1"/>
    <col min="10243" max="10244" width="0" style="3103" hidden="1" customWidth="1"/>
    <col min="10245" max="10245" width="12.625" style="3103" bestFit="1" customWidth="1"/>
    <col min="10246" max="10248" width="9" style="3103"/>
    <col min="10249" max="10250" width="15" style="3103" customWidth="1"/>
    <col min="10251" max="10494" width="9" style="3103"/>
    <col min="10495" max="10495" width="3.625" style="3103" customWidth="1"/>
    <col min="10496" max="10496" width="14.625" style="3103" customWidth="1"/>
    <col min="10497" max="10498" width="15.625" style="3103" customWidth="1"/>
    <col min="10499" max="10500" width="0" style="3103" hidden="1" customWidth="1"/>
    <col min="10501" max="10501" width="12.625" style="3103" bestFit="1" customWidth="1"/>
    <col min="10502" max="10504" width="9" style="3103"/>
    <col min="10505" max="10506" width="15" style="3103" customWidth="1"/>
    <col min="10507" max="10750" width="9" style="3103"/>
    <col min="10751" max="10751" width="3.625" style="3103" customWidth="1"/>
    <col min="10752" max="10752" width="14.625" style="3103" customWidth="1"/>
    <col min="10753" max="10754" width="15.625" style="3103" customWidth="1"/>
    <col min="10755" max="10756" width="0" style="3103" hidden="1" customWidth="1"/>
    <col min="10757" max="10757" width="12.625" style="3103" bestFit="1" customWidth="1"/>
    <col min="10758" max="10760" width="9" style="3103"/>
    <col min="10761" max="10762" width="15" style="3103" customWidth="1"/>
    <col min="10763" max="11006" width="9" style="3103"/>
    <col min="11007" max="11007" width="3.625" style="3103" customWidth="1"/>
    <col min="11008" max="11008" width="14.625" style="3103" customWidth="1"/>
    <col min="11009" max="11010" width="15.625" style="3103" customWidth="1"/>
    <col min="11011" max="11012" width="0" style="3103" hidden="1" customWidth="1"/>
    <col min="11013" max="11013" width="12.625" style="3103" bestFit="1" customWidth="1"/>
    <col min="11014" max="11016" width="9" style="3103"/>
    <col min="11017" max="11018" width="15" style="3103" customWidth="1"/>
    <col min="11019" max="11262" width="9" style="3103"/>
    <col min="11263" max="11263" width="3.625" style="3103" customWidth="1"/>
    <col min="11264" max="11264" width="14.625" style="3103" customWidth="1"/>
    <col min="11265" max="11266" width="15.625" style="3103" customWidth="1"/>
    <col min="11267" max="11268" width="0" style="3103" hidden="1" customWidth="1"/>
    <col min="11269" max="11269" width="12.625" style="3103" bestFit="1" customWidth="1"/>
    <col min="11270" max="11272" width="9" style="3103"/>
    <col min="11273" max="11274" width="15" style="3103" customWidth="1"/>
    <col min="11275" max="11518" width="9" style="3103"/>
    <col min="11519" max="11519" width="3.625" style="3103" customWidth="1"/>
    <col min="11520" max="11520" width="14.625" style="3103" customWidth="1"/>
    <col min="11521" max="11522" width="15.625" style="3103" customWidth="1"/>
    <col min="11523" max="11524" width="0" style="3103" hidden="1" customWidth="1"/>
    <col min="11525" max="11525" width="12.625" style="3103" bestFit="1" customWidth="1"/>
    <col min="11526" max="11528" width="9" style="3103"/>
    <col min="11529" max="11530" width="15" style="3103" customWidth="1"/>
    <col min="11531" max="11774" width="9" style="3103"/>
    <col min="11775" max="11775" width="3.625" style="3103" customWidth="1"/>
    <col min="11776" max="11776" width="14.625" style="3103" customWidth="1"/>
    <col min="11777" max="11778" width="15.625" style="3103" customWidth="1"/>
    <col min="11779" max="11780" width="0" style="3103" hidden="1" customWidth="1"/>
    <col min="11781" max="11781" width="12.625" style="3103" bestFit="1" customWidth="1"/>
    <col min="11782" max="11784" width="9" style="3103"/>
    <col min="11785" max="11786" width="15" style="3103" customWidth="1"/>
    <col min="11787" max="12030" width="9" style="3103"/>
    <col min="12031" max="12031" width="3.625" style="3103" customWidth="1"/>
    <col min="12032" max="12032" width="14.625" style="3103" customWidth="1"/>
    <col min="12033" max="12034" width="15.625" style="3103" customWidth="1"/>
    <col min="12035" max="12036" width="0" style="3103" hidden="1" customWidth="1"/>
    <col min="12037" max="12037" width="12.625" style="3103" bestFit="1" customWidth="1"/>
    <col min="12038" max="12040" width="9" style="3103"/>
    <col min="12041" max="12042" width="15" style="3103" customWidth="1"/>
    <col min="12043" max="12286" width="9" style="3103"/>
    <col min="12287" max="12287" width="3.625" style="3103" customWidth="1"/>
    <col min="12288" max="12288" width="14.625" style="3103" customWidth="1"/>
    <col min="12289" max="12290" width="15.625" style="3103" customWidth="1"/>
    <col min="12291" max="12292" width="0" style="3103" hidden="1" customWidth="1"/>
    <col min="12293" max="12293" width="12.625" style="3103" bestFit="1" customWidth="1"/>
    <col min="12294" max="12296" width="9" style="3103"/>
    <col min="12297" max="12298" width="15" style="3103" customWidth="1"/>
    <col min="12299" max="12542" width="9" style="3103"/>
    <col min="12543" max="12543" width="3.625" style="3103" customWidth="1"/>
    <col min="12544" max="12544" width="14.625" style="3103" customWidth="1"/>
    <col min="12545" max="12546" width="15.625" style="3103" customWidth="1"/>
    <col min="12547" max="12548" width="0" style="3103" hidden="1" customWidth="1"/>
    <col min="12549" max="12549" width="12.625" style="3103" bestFit="1" customWidth="1"/>
    <col min="12550" max="12552" width="9" style="3103"/>
    <col min="12553" max="12554" width="15" style="3103" customWidth="1"/>
    <col min="12555" max="12798" width="9" style="3103"/>
    <col min="12799" max="12799" width="3.625" style="3103" customWidth="1"/>
    <col min="12800" max="12800" width="14.625" style="3103" customWidth="1"/>
    <col min="12801" max="12802" width="15.625" style="3103" customWidth="1"/>
    <col min="12803" max="12804" width="0" style="3103" hidden="1" customWidth="1"/>
    <col min="12805" max="12805" width="12.625" style="3103" bestFit="1" customWidth="1"/>
    <col min="12806" max="12808" width="9" style="3103"/>
    <col min="12809" max="12810" width="15" style="3103" customWidth="1"/>
    <col min="12811" max="13054" width="9" style="3103"/>
    <col min="13055" max="13055" width="3.625" style="3103" customWidth="1"/>
    <col min="13056" max="13056" width="14.625" style="3103" customWidth="1"/>
    <col min="13057" max="13058" width="15.625" style="3103" customWidth="1"/>
    <col min="13059" max="13060" width="0" style="3103" hidden="1" customWidth="1"/>
    <col min="13061" max="13061" width="12.625" style="3103" bestFit="1" customWidth="1"/>
    <col min="13062" max="13064" width="9" style="3103"/>
    <col min="13065" max="13066" width="15" style="3103" customWidth="1"/>
    <col min="13067" max="13310" width="9" style="3103"/>
    <col min="13311" max="13311" width="3.625" style="3103" customWidth="1"/>
    <col min="13312" max="13312" width="14.625" style="3103" customWidth="1"/>
    <col min="13313" max="13314" width="15.625" style="3103" customWidth="1"/>
    <col min="13315" max="13316" width="0" style="3103" hidden="1" customWidth="1"/>
    <col min="13317" max="13317" width="12.625" style="3103" bestFit="1" customWidth="1"/>
    <col min="13318" max="13320" width="9" style="3103"/>
    <col min="13321" max="13322" width="15" style="3103" customWidth="1"/>
    <col min="13323" max="13566" width="9" style="3103"/>
    <col min="13567" max="13567" width="3.625" style="3103" customWidth="1"/>
    <col min="13568" max="13568" width="14.625" style="3103" customWidth="1"/>
    <col min="13569" max="13570" width="15.625" style="3103" customWidth="1"/>
    <col min="13571" max="13572" width="0" style="3103" hidden="1" customWidth="1"/>
    <col min="13573" max="13573" width="12.625" style="3103" bestFit="1" customWidth="1"/>
    <col min="13574" max="13576" width="9" style="3103"/>
    <col min="13577" max="13578" width="15" style="3103" customWidth="1"/>
    <col min="13579" max="13822" width="9" style="3103"/>
    <col min="13823" max="13823" width="3.625" style="3103" customWidth="1"/>
    <col min="13824" max="13824" width="14.625" style="3103" customWidth="1"/>
    <col min="13825" max="13826" width="15.625" style="3103" customWidth="1"/>
    <col min="13827" max="13828" width="0" style="3103" hidden="1" customWidth="1"/>
    <col min="13829" max="13829" width="12.625" style="3103" bestFit="1" customWidth="1"/>
    <col min="13830" max="13832" width="9" style="3103"/>
    <col min="13833" max="13834" width="15" style="3103" customWidth="1"/>
    <col min="13835" max="14078" width="9" style="3103"/>
    <col min="14079" max="14079" width="3.625" style="3103" customWidth="1"/>
    <col min="14080" max="14080" width="14.625" style="3103" customWidth="1"/>
    <col min="14081" max="14082" width="15.625" style="3103" customWidth="1"/>
    <col min="14083" max="14084" width="0" style="3103" hidden="1" customWidth="1"/>
    <col min="14085" max="14085" width="12.625" style="3103" bestFit="1" customWidth="1"/>
    <col min="14086" max="14088" width="9" style="3103"/>
    <col min="14089" max="14090" width="15" style="3103" customWidth="1"/>
    <col min="14091" max="14334" width="9" style="3103"/>
    <col min="14335" max="14335" width="3.625" style="3103" customWidth="1"/>
    <col min="14336" max="14336" width="14.625" style="3103" customWidth="1"/>
    <col min="14337" max="14338" width="15.625" style="3103" customWidth="1"/>
    <col min="14339" max="14340" width="0" style="3103" hidden="1" customWidth="1"/>
    <col min="14341" max="14341" width="12.625" style="3103" bestFit="1" customWidth="1"/>
    <col min="14342" max="14344" width="9" style="3103"/>
    <col min="14345" max="14346" width="15" style="3103" customWidth="1"/>
    <col min="14347" max="14590" width="9" style="3103"/>
    <col min="14591" max="14591" width="3.625" style="3103" customWidth="1"/>
    <col min="14592" max="14592" width="14.625" style="3103" customWidth="1"/>
    <col min="14593" max="14594" width="15.625" style="3103" customWidth="1"/>
    <col min="14595" max="14596" width="0" style="3103" hidden="1" customWidth="1"/>
    <col min="14597" max="14597" width="12.625" style="3103" bestFit="1" customWidth="1"/>
    <col min="14598" max="14600" width="9" style="3103"/>
    <col min="14601" max="14602" width="15" style="3103" customWidth="1"/>
    <col min="14603" max="14846" width="9" style="3103"/>
    <col min="14847" max="14847" width="3.625" style="3103" customWidth="1"/>
    <col min="14848" max="14848" width="14.625" style="3103" customWidth="1"/>
    <col min="14849" max="14850" width="15.625" style="3103" customWidth="1"/>
    <col min="14851" max="14852" width="0" style="3103" hidden="1" customWidth="1"/>
    <col min="14853" max="14853" width="12.625" style="3103" bestFit="1" customWidth="1"/>
    <col min="14854" max="14856" width="9" style="3103"/>
    <col min="14857" max="14858" width="15" style="3103" customWidth="1"/>
    <col min="14859" max="15102" width="9" style="3103"/>
    <col min="15103" max="15103" width="3.625" style="3103" customWidth="1"/>
    <col min="15104" max="15104" width="14.625" style="3103" customWidth="1"/>
    <col min="15105" max="15106" width="15.625" style="3103" customWidth="1"/>
    <col min="15107" max="15108" width="0" style="3103" hidden="1" customWidth="1"/>
    <col min="15109" max="15109" width="12.625" style="3103" bestFit="1" customWidth="1"/>
    <col min="15110" max="15112" width="9" style="3103"/>
    <col min="15113" max="15114" width="15" style="3103" customWidth="1"/>
    <col min="15115" max="15358" width="9" style="3103"/>
    <col min="15359" max="15359" width="3.625" style="3103" customWidth="1"/>
    <col min="15360" max="15360" width="14.625" style="3103" customWidth="1"/>
    <col min="15361" max="15362" width="15.625" style="3103" customWidth="1"/>
    <col min="15363" max="15364" width="0" style="3103" hidden="1" customWidth="1"/>
    <col min="15365" max="15365" width="12.625" style="3103" bestFit="1" customWidth="1"/>
    <col min="15366" max="15368" width="9" style="3103"/>
    <col min="15369" max="15370" width="15" style="3103" customWidth="1"/>
    <col min="15371" max="15614" width="9" style="3103"/>
    <col min="15615" max="15615" width="3.625" style="3103" customWidth="1"/>
    <col min="15616" max="15616" width="14.625" style="3103" customWidth="1"/>
    <col min="15617" max="15618" width="15.625" style="3103" customWidth="1"/>
    <col min="15619" max="15620" width="0" style="3103" hidden="1" customWidth="1"/>
    <col min="15621" max="15621" width="12.625" style="3103" bestFit="1" customWidth="1"/>
    <col min="15622" max="15624" width="9" style="3103"/>
    <col min="15625" max="15626" width="15" style="3103" customWidth="1"/>
    <col min="15627" max="15870" width="9" style="3103"/>
    <col min="15871" max="15871" width="3.625" style="3103" customWidth="1"/>
    <col min="15872" max="15872" width="14.625" style="3103" customWidth="1"/>
    <col min="15873" max="15874" width="15.625" style="3103" customWidth="1"/>
    <col min="15875" max="15876" width="0" style="3103" hidden="1" customWidth="1"/>
    <col min="15877" max="15877" width="12.625" style="3103" bestFit="1" customWidth="1"/>
    <col min="15878" max="15880" width="9" style="3103"/>
    <col min="15881" max="15882" width="15" style="3103" customWidth="1"/>
    <col min="15883" max="16126" width="9" style="3103"/>
    <col min="16127" max="16127" width="3.625" style="3103" customWidth="1"/>
    <col min="16128" max="16128" width="14.625" style="3103" customWidth="1"/>
    <col min="16129" max="16130" width="15.625" style="3103" customWidth="1"/>
    <col min="16131" max="16132" width="0" style="3103" hidden="1" customWidth="1"/>
    <col min="16133" max="16133" width="12.625" style="3103" bestFit="1" customWidth="1"/>
    <col min="16134" max="16136" width="9" style="3103"/>
    <col min="16137" max="16138" width="15" style="3103" customWidth="1"/>
    <col min="16139" max="16384" width="9" style="3103"/>
  </cols>
  <sheetData>
    <row r="1" spans="1:12">
      <c r="D1" s="3215" t="s">
        <v>6085</v>
      </c>
    </row>
    <row r="2" spans="1:12" ht="20.100000000000001" customHeight="1">
      <c r="A2" s="3605" t="s">
        <v>6094</v>
      </c>
      <c r="B2" s="3606"/>
      <c r="C2" s="3609" t="str">
        <f>(LEFT('3条支出'!$D$1,7))</f>
        <v>令和５年度決算</v>
      </c>
      <c r="D2" s="3610"/>
    </row>
    <row r="3" spans="1:12" ht="20.100000000000001" customHeight="1">
      <c r="A3" s="3607"/>
      <c r="B3" s="3608"/>
      <c r="C3" s="3230" t="s">
        <v>6093</v>
      </c>
      <c r="D3" s="3229" t="s">
        <v>6092</v>
      </c>
    </row>
    <row r="4" spans="1:12" ht="20.100000000000001" customHeight="1">
      <c r="A4" s="3172" t="s">
        <v>6091</v>
      </c>
      <c r="B4" s="3228"/>
      <c r="C4" s="3227">
        <f>仮受仮払!F83</f>
        <v>1888158024</v>
      </c>
      <c r="D4" s="3226"/>
      <c r="I4" s="3216"/>
      <c r="J4" s="3216"/>
    </row>
    <row r="5" spans="1:12" ht="20.100000000000001" customHeight="1">
      <c r="A5" s="3224" t="s">
        <v>6090</v>
      </c>
      <c r="B5" s="3173"/>
      <c r="C5" s="3223"/>
      <c r="D5" s="3225">
        <f>仮受仮払!F84</f>
        <v>2307919386</v>
      </c>
      <c r="I5" s="3216"/>
      <c r="J5" s="3216"/>
      <c r="L5" s="3231"/>
    </row>
    <row r="6" spans="1:12" ht="20.100000000000001" customHeight="1">
      <c r="A6" s="3224" t="s">
        <v>6089</v>
      </c>
      <c r="B6" s="3173"/>
      <c r="C6" s="3223"/>
      <c r="D6" s="3225">
        <f>+-仮受仮払!F91</f>
        <v>1880565</v>
      </c>
      <c r="I6" s="3216"/>
      <c r="J6" s="3216"/>
    </row>
    <row r="7" spans="1:12" ht="20.100000000000001" customHeight="1">
      <c r="A7" s="3224" t="s">
        <v>6043</v>
      </c>
      <c r="B7" s="3173"/>
      <c r="C7" s="3223">
        <f>+SUM(仮受仮払!F87:F90)</f>
        <v>212487477</v>
      </c>
      <c r="D7" s="3221"/>
      <c r="I7" s="3216"/>
      <c r="J7" s="3216"/>
    </row>
    <row r="8" spans="1:12" ht="20.100000000000001" customHeight="1">
      <c r="A8" s="3224" t="s">
        <v>6088</v>
      </c>
      <c r="B8" s="3173"/>
      <c r="C8" s="3223">
        <f>SUM(C9:C13)</f>
        <v>552693179</v>
      </c>
      <c r="D8" s="3221">
        <f>SUM(D9:D13)</f>
        <v>0</v>
      </c>
      <c r="E8" s="3139">
        <f>C8-仮受仮払!F92</f>
        <v>0</v>
      </c>
      <c r="I8" s="3216"/>
      <c r="J8" s="3216"/>
    </row>
    <row r="9" spans="1:12" ht="20.100000000000001" customHeight="1">
      <c r="A9" s="3172"/>
      <c r="B9" s="3170" t="s">
        <v>5996</v>
      </c>
      <c r="C9" s="3222">
        <f>仮受仮払!F93</f>
        <v>522413737</v>
      </c>
      <c r="D9" s="3221"/>
      <c r="I9" s="3216"/>
      <c r="J9" s="3216"/>
    </row>
    <row r="10" spans="1:12" ht="20.100000000000001" customHeight="1">
      <c r="A10" s="3172"/>
      <c r="B10" s="3170" t="s">
        <v>5995</v>
      </c>
      <c r="C10" s="3222">
        <f>仮受仮払!F94</f>
        <v>0</v>
      </c>
      <c r="D10" s="3221"/>
      <c r="I10" s="3216"/>
      <c r="J10" s="3216"/>
    </row>
    <row r="11" spans="1:12" ht="20.100000000000001" customHeight="1">
      <c r="A11" s="3172"/>
      <c r="B11" s="3170" t="s">
        <v>5994</v>
      </c>
      <c r="C11" s="3222">
        <f>仮受仮払!F95</f>
        <v>779531</v>
      </c>
      <c r="D11" s="3221"/>
      <c r="I11" s="3216"/>
      <c r="J11" s="3216"/>
    </row>
    <row r="12" spans="1:12" ht="20.100000000000001" customHeight="1">
      <c r="A12" s="3172"/>
      <c r="B12" s="3170" t="s">
        <v>5993</v>
      </c>
      <c r="C12" s="3222">
        <f>仮受仮払!F96</f>
        <v>3138956</v>
      </c>
      <c r="D12" s="3221"/>
      <c r="I12" s="3216"/>
      <c r="J12" s="3216"/>
    </row>
    <row r="13" spans="1:12" ht="20.100000000000001" customHeight="1">
      <c r="A13" s="3172"/>
      <c r="B13" s="3170" t="s">
        <v>5992</v>
      </c>
      <c r="C13" s="3222">
        <f>仮受仮払!F97</f>
        <v>26360955</v>
      </c>
      <c r="D13" s="3221"/>
      <c r="I13" s="3216"/>
      <c r="J13" s="3216"/>
    </row>
    <row r="14" spans="1:12" ht="20.100000000000001" customHeight="1">
      <c r="A14" s="3220" t="s">
        <v>6087</v>
      </c>
      <c r="B14" s="3164"/>
      <c r="C14" s="3219">
        <f>-(消費税!Z118+消費税!AF118)</f>
        <v>-343538729</v>
      </c>
      <c r="D14" s="3218"/>
      <c r="I14" s="3216"/>
      <c r="J14" s="3216"/>
    </row>
    <row r="15" spans="1:12" ht="20.100000000000001" customHeight="1">
      <c r="A15" s="3611" t="s">
        <v>6086</v>
      </c>
      <c r="B15" s="3612"/>
      <c r="C15" s="3190">
        <f>C4+C5+C6+C7+C8+C14</f>
        <v>2309799951</v>
      </c>
      <c r="D15" s="3217">
        <f>D4+D5+D6+D7+D8+D14</f>
        <v>2309799951</v>
      </c>
      <c r="I15" s="3216"/>
      <c r="J15" s="3216"/>
    </row>
    <row r="16" spans="1:12">
      <c r="C16" s="3139">
        <f>D15-C15</f>
        <v>0</v>
      </c>
    </row>
  </sheetData>
  <mergeCells count="3">
    <mergeCell ref="A2:B3"/>
    <mergeCell ref="C2:D2"/>
    <mergeCell ref="A15:B15"/>
  </mergeCells>
  <phoneticPr fontId="4"/>
  <printOptions horizontalCentered="1"/>
  <pageMargins left="0.78740157480314965" right="0.39370078740157483" top="0.98425196850393704" bottom="0.98425196850393704" header="0.51181102362204722" footer="0.51181102362204722"/>
  <pageSetup paperSize="9" scale="125" orientation="portrait" verticalDpi="400" r:id="rId1"/>
  <headerFooter alignWithMargins="0">
    <oddHeader>&amp;C&amp;"ＭＳ Ｐゴシック,標準"&amp;14&amp;A</oddHeader>
    <oddFooter>&amp;L&amp;8&amp;F　&amp;A&amp;R&amp;8&amp;D　&amp;T</oddFooter>
  </headerFooter>
  <legacyDrawing r:id="rId2"/>
</worksheet>
</file>

<file path=xl/worksheets/w7_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K81"/>
  <sheetViews>
    <sheetView zoomScale="80" zoomScaleNormal="80" workbookViewId="0">
      <pane xSplit="4" ySplit="2" topLeftCell="E3" activePane="bottomRight" state="frozen"/>
      <selection activeCell="R64" sqref="R64"/>
      <selection pane="topRight" activeCell="R64" sqref="R64"/>
      <selection pane="bottomLeft" activeCell="R64" sqref="R64"/>
      <selection pane="bottomRight" activeCell="E3" sqref="E3"/>
    </sheetView>
  </sheetViews>
  <sheetFormatPr defaultRowHeight="13.5"/>
  <cols>
    <col min="1" max="1" width="4.625" style="3103" customWidth="1"/>
    <col min="2" max="3" width="14.625" style="3103" customWidth="1"/>
    <col min="4" max="4" width="1.25" style="3103" customWidth="1"/>
    <col min="5" max="5" width="14.625" style="3103" customWidth="1"/>
    <col min="6" max="9" width="15.625" style="3103" customWidth="1"/>
    <col min="10" max="10" width="14.625" style="3103" customWidth="1"/>
    <col min="11" max="11" width="13.375" style="3103" customWidth="1"/>
    <col min="12" max="253" width="9" style="3103"/>
    <col min="254" max="254" width="4.625" style="3103" customWidth="1"/>
    <col min="255" max="256" width="14.625" style="3103" customWidth="1"/>
    <col min="257" max="257" width="1.25" style="3103" customWidth="1"/>
    <col min="258" max="258" width="14.625" style="3103" customWidth="1"/>
    <col min="259" max="262" width="15.625" style="3103" customWidth="1"/>
    <col min="263" max="263" width="14.625" style="3103" customWidth="1"/>
    <col min="264" max="264" width="7.625" style="3103" customWidth="1"/>
    <col min="265" max="266" width="16.375" style="3103" customWidth="1"/>
    <col min="267" max="267" width="13.375" style="3103" customWidth="1"/>
    <col min="268" max="509" width="9" style="3103"/>
    <col min="510" max="510" width="4.625" style="3103" customWidth="1"/>
    <col min="511" max="512" width="14.625" style="3103" customWidth="1"/>
    <col min="513" max="513" width="1.25" style="3103" customWidth="1"/>
    <col min="514" max="514" width="14.625" style="3103" customWidth="1"/>
    <col min="515" max="518" width="15.625" style="3103" customWidth="1"/>
    <col min="519" max="519" width="14.625" style="3103" customWidth="1"/>
    <col min="520" max="520" width="7.625" style="3103" customWidth="1"/>
    <col min="521" max="522" width="16.375" style="3103" customWidth="1"/>
    <col min="523" max="523" width="13.375" style="3103" customWidth="1"/>
    <col min="524" max="765" width="9" style="3103"/>
    <col min="766" max="766" width="4.625" style="3103" customWidth="1"/>
    <col min="767" max="768" width="14.625" style="3103" customWidth="1"/>
    <col min="769" max="769" width="1.25" style="3103" customWidth="1"/>
    <col min="770" max="770" width="14.625" style="3103" customWidth="1"/>
    <col min="771" max="774" width="15.625" style="3103" customWidth="1"/>
    <col min="775" max="775" width="14.625" style="3103" customWidth="1"/>
    <col min="776" max="776" width="7.625" style="3103" customWidth="1"/>
    <col min="777" max="778" width="16.375" style="3103" customWidth="1"/>
    <col min="779" max="779" width="13.375" style="3103" customWidth="1"/>
    <col min="780" max="1021" width="9" style="3103"/>
    <col min="1022" max="1022" width="4.625" style="3103" customWidth="1"/>
    <col min="1023" max="1024" width="14.625" style="3103" customWidth="1"/>
    <col min="1025" max="1025" width="1.25" style="3103" customWidth="1"/>
    <col min="1026" max="1026" width="14.625" style="3103" customWidth="1"/>
    <col min="1027" max="1030" width="15.625" style="3103" customWidth="1"/>
    <col min="1031" max="1031" width="14.625" style="3103" customWidth="1"/>
    <col min="1032" max="1032" width="7.625" style="3103" customWidth="1"/>
    <col min="1033" max="1034" width="16.375" style="3103" customWidth="1"/>
    <col min="1035" max="1035" width="13.375" style="3103" customWidth="1"/>
    <col min="1036" max="1277" width="9" style="3103"/>
    <col min="1278" max="1278" width="4.625" style="3103" customWidth="1"/>
    <col min="1279" max="1280" width="14.625" style="3103" customWidth="1"/>
    <col min="1281" max="1281" width="1.25" style="3103" customWidth="1"/>
    <col min="1282" max="1282" width="14.625" style="3103" customWidth="1"/>
    <col min="1283" max="1286" width="15.625" style="3103" customWidth="1"/>
    <col min="1287" max="1287" width="14.625" style="3103" customWidth="1"/>
    <col min="1288" max="1288" width="7.625" style="3103" customWidth="1"/>
    <col min="1289" max="1290" width="16.375" style="3103" customWidth="1"/>
    <col min="1291" max="1291" width="13.375" style="3103" customWidth="1"/>
    <col min="1292" max="1533" width="9" style="3103"/>
    <col min="1534" max="1534" width="4.625" style="3103" customWidth="1"/>
    <col min="1535" max="1536" width="14.625" style="3103" customWidth="1"/>
    <col min="1537" max="1537" width="1.25" style="3103" customWidth="1"/>
    <col min="1538" max="1538" width="14.625" style="3103" customWidth="1"/>
    <col min="1539" max="1542" width="15.625" style="3103" customWidth="1"/>
    <col min="1543" max="1543" width="14.625" style="3103" customWidth="1"/>
    <col min="1544" max="1544" width="7.625" style="3103" customWidth="1"/>
    <col min="1545" max="1546" width="16.375" style="3103" customWidth="1"/>
    <col min="1547" max="1547" width="13.375" style="3103" customWidth="1"/>
    <col min="1548" max="1789" width="9" style="3103"/>
    <col min="1790" max="1790" width="4.625" style="3103" customWidth="1"/>
    <col min="1791" max="1792" width="14.625" style="3103" customWidth="1"/>
    <col min="1793" max="1793" width="1.25" style="3103" customWidth="1"/>
    <col min="1794" max="1794" width="14.625" style="3103" customWidth="1"/>
    <col min="1795" max="1798" width="15.625" style="3103" customWidth="1"/>
    <col min="1799" max="1799" width="14.625" style="3103" customWidth="1"/>
    <col min="1800" max="1800" width="7.625" style="3103" customWidth="1"/>
    <col min="1801" max="1802" width="16.375" style="3103" customWidth="1"/>
    <col min="1803" max="1803" width="13.375" style="3103" customWidth="1"/>
    <col min="1804" max="2045" width="9" style="3103"/>
    <col min="2046" max="2046" width="4.625" style="3103" customWidth="1"/>
    <col min="2047" max="2048" width="14.625" style="3103" customWidth="1"/>
    <col min="2049" max="2049" width="1.25" style="3103" customWidth="1"/>
    <col min="2050" max="2050" width="14.625" style="3103" customWidth="1"/>
    <col min="2051" max="2054" width="15.625" style="3103" customWidth="1"/>
    <col min="2055" max="2055" width="14.625" style="3103" customWidth="1"/>
    <col min="2056" max="2056" width="7.625" style="3103" customWidth="1"/>
    <col min="2057" max="2058" width="16.375" style="3103" customWidth="1"/>
    <col min="2059" max="2059" width="13.375" style="3103" customWidth="1"/>
    <col min="2060" max="2301" width="9" style="3103"/>
    <col min="2302" max="2302" width="4.625" style="3103" customWidth="1"/>
    <col min="2303" max="2304" width="14.625" style="3103" customWidth="1"/>
    <col min="2305" max="2305" width="1.25" style="3103" customWidth="1"/>
    <col min="2306" max="2306" width="14.625" style="3103" customWidth="1"/>
    <col min="2307" max="2310" width="15.625" style="3103" customWidth="1"/>
    <col min="2311" max="2311" width="14.625" style="3103" customWidth="1"/>
    <col min="2312" max="2312" width="7.625" style="3103" customWidth="1"/>
    <col min="2313" max="2314" width="16.375" style="3103" customWidth="1"/>
    <col min="2315" max="2315" width="13.375" style="3103" customWidth="1"/>
    <col min="2316" max="2557" width="9" style="3103"/>
    <col min="2558" max="2558" width="4.625" style="3103" customWidth="1"/>
    <col min="2559" max="2560" width="14.625" style="3103" customWidth="1"/>
    <col min="2561" max="2561" width="1.25" style="3103" customWidth="1"/>
    <col min="2562" max="2562" width="14.625" style="3103" customWidth="1"/>
    <col min="2563" max="2566" width="15.625" style="3103" customWidth="1"/>
    <col min="2567" max="2567" width="14.625" style="3103" customWidth="1"/>
    <col min="2568" max="2568" width="7.625" style="3103" customWidth="1"/>
    <col min="2569" max="2570" width="16.375" style="3103" customWidth="1"/>
    <col min="2571" max="2571" width="13.375" style="3103" customWidth="1"/>
    <col min="2572" max="2813" width="9" style="3103"/>
    <col min="2814" max="2814" width="4.625" style="3103" customWidth="1"/>
    <col min="2815" max="2816" width="14.625" style="3103" customWidth="1"/>
    <col min="2817" max="2817" width="1.25" style="3103" customWidth="1"/>
    <col min="2818" max="2818" width="14.625" style="3103" customWidth="1"/>
    <col min="2819" max="2822" width="15.625" style="3103" customWidth="1"/>
    <col min="2823" max="2823" width="14.625" style="3103" customWidth="1"/>
    <col min="2824" max="2824" width="7.625" style="3103" customWidth="1"/>
    <col min="2825" max="2826" width="16.375" style="3103" customWidth="1"/>
    <col min="2827" max="2827" width="13.375" style="3103" customWidth="1"/>
    <col min="2828" max="3069" width="9" style="3103"/>
    <col min="3070" max="3070" width="4.625" style="3103" customWidth="1"/>
    <col min="3071" max="3072" width="14.625" style="3103" customWidth="1"/>
    <col min="3073" max="3073" width="1.25" style="3103" customWidth="1"/>
    <col min="3074" max="3074" width="14.625" style="3103" customWidth="1"/>
    <col min="3075" max="3078" width="15.625" style="3103" customWidth="1"/>
    <col min="3079" max="3079" width="14.625" style="3103" customWidth="1"/>
    <col min="3080" max="3080" width="7.625" style="3103" customWidth="1"/>
    <col min="3081" max="3082" width="16.375" style="3103" customWidth="1"/>
    <col min="3083" max="3083" width="13.375" style="3103" customWidth="1"/>
    <col min="3084" max="3325" width="9" style="3103"/>
    <col min="3326" max="3326" width="4.625" style="3103" customWidth="1"/>
    <col min="3327" max="3328" width="14.625" style="3103" customWidth="1"/>
    <col min="3329" max="3329" width="1.25" style="3103" customWidth="1"/>
    <col min="3330" max="3330" width="14.625" style="3103" customWidth="1"/>
    <col min="3331" max="3334" width="15.625" style="3103" customWidth="1"/>
    <col min="3335" max="3335" width="14.625" style="3103" customWidth="1"/>
    <col min="3336" max="3336" width="7.625" style="3103" customWidth="1"/>
    <col min="3337" max="3338" width="16.375" style="3103" customWidth="1"/>
    <col min="3339" max="3339" width="13.375" style="3103" customWidth="1"/>
    <col min="3340" max="3581" width="9" style="3103"/>
    <col min="3582" max="3582" width="4.625" style="3103" customWidth="1"/>
    <col min="3583" max="3584" width="14.625" style="3103" customWidth="1"/>
    <col min="3585" max="3585" width="1.25" style="3103" customWidth="1"/>
    <col min="3586" max="3586" width="14.625" style="3103" customWidth="1"/>
    <col min="3587" max="3590" width="15.625" style="3103" customWidth="1"/>
    <col min="3591" max="3591" width="14.625" style="3103" customWidth="1"/>
    <col min="3592" max="3592" width="7.625" style="3103" customWidth="1"/>
    <col min="3593" max="3594" width="16.375" style="3103" customWidth="1"/>
    <col min="3595" max="3595" width="13.375" style="3103" customWidth="1"/>
    <col min="3596" max="3837" width="9" style="3103"/>
    <col min="3838" max="3838" width="4.625" style="3103" customWidth="1"/>
    <col min="3839" max="3840" width="14.625" style="3103" customWidth="1"/>
    <col min="3841" max="3841" width="1.25" style="3103" customWidth="1"/>
    <col min="3842" max="3842" width="14.625" style="3103" customWidth="1"/>
    <col min="3843" max="3846" width="15.625" style="3103" customWidth="1"/>
    <col min="3847" max="3847" width="14.625" style="3103" customWidth="1"/>
    <col min="3848" max="3848" width="7.625" style="3103" customWidth="1"/>
    <col min="3849" max="3850" width="16.375" style="3103" customWidth="1"/>
    <col min="3851" max="3851" width="13.375" style="3103" customWidth="1"/>
    <col min="3852" max="4093" width="9" style="3103"/>
    <col min="4094" max="4094" width="4.625" style="3103" customWidth="1"/>
    <col min="4095" max="4096" width="14.625" style="3103" customWidth="1"/>
    <col min="4097" max="4097" width="1.25" style="3103" customWidth="1"/>
    <col min="4098" max="4098" width="14.625" style="3103" customWidth="1"/>
    <col min="4099" max="4102" width="15.625" style="3103" customWidth="1"/>
    <col min="4103" max="4103" width="14.625" style="3103" customWidth="1"/>
    <col min="4104" max="4104" width="7.625" style="3103" customWidth="1"/>
    <col min="4105" max="4106" width="16.375" style="3103" customWidth="1"/>
    <col min="4107" max="4107" width="13.375" style="3103" customWidth="1"/>
    <col min="4108" max="4349" width="9" style="3103"/>
    <col min="4350" max="4350" width="4.625" style="3103" customWidth="1"/>
    <col min="4351" max="4352" width="14.625" style="3103" customWidth="1"/>
    <col min="4353" max="4353" width="1.25" style="3103" customWidth="1"/>
    <col min="4354" max="4354" width="14.625" style="3103" customWidth="1"/>
    <col min="4355" max="4358" width="15.625" style="3103" customWidth="1"/>
    <col min="4359" max="4359" width="14.625" style="3103" customWidth="1"/>
    <col min="4360" max="4360" width="7.625" style="3103" customWidth="1"/>
    <col min="4361" max="4362" width="16.375" style="3103" customWidth="1"/>
    <col min="4363" max="4363" width="13.375" style="3103" customWidth="1"/>
    <col min="4364" max="4605" width="9" style="3103"/>
    <col min="4606" max="4606" width="4.625" style="3103" customWidth="1"/>
    <col min="4607" max="4608" width="14.625" style="3103" customWidth="1"/>
    <col min="4609" max="4609" width="1.25" style="3103" customWidth="1"/>
    <col min="4610" max="4610" width="14.625" style="3103" customWidth="1"/>
    <col min="4611" max="4614" width="15.625" style="3103" customWidth="1"/>
    <col min="4615" max="4615" width="14.625" style="3103" customWidth="1"/>
    <col min="4616" max="4616" width="7.625" style="3103" customWidth="1"/>
    <col min="4617" max="4618" width="16.375" style="3103" customWidth="1"/>
    <col min="4619" max="4619" width="13.375" style="3103" customWidth="1"/>
    <col min="4620" max="4861" width="9" style="3103"/>
    <col min="4862" max="4862" width="4.625" style="3103" customWidth="1"/>
    <col min="4863" max="4864" width="14.625" style="3103" customWidth="1"/>
    <col min="4865" max="4865" width="1.25" style="3103" customWidth="1"/>
    <col min="4866" max="4866" width="14.625" style="3103" customWidth="1"/>
    <col min="4867" max="4870" width="15.625" style="3103" customWidth="1"/>
    <col min="4871" max="4871" width="14.625" style="3103" customWidth="1"/>
    <col min="4872" max="4872" width="7.625" style="3103" customWidth="1"/>
    <col min="4873" max="4874" width="16.375" style="3103" customWidth="1"/>
    <col min="4875" max="4875" width="13.375" style="3103" customWidth="1"/>
    <col min="4876" max="5117" width="9" style="3103"/>
    <col min="5118" max="5118" width="4.625" style="3103" customWidth="1"/>
    <col min="5119" max="5120" width="14.625" style="3103" customWidth="1"/>
    <col min="5121" max="5121" width="1.25" style="3103" customWidth="1"/>
    <col min="5122" max="5122" width="14.625" style="3103" customWidth="1"/>
    <col min="5123" max="5126" width="15.625" style="3103" customWidth="1"/>
    <col min="5127" max="5127" width="14.625" style="3103" customWidth="1"/>
    <col min="5128" max="5128" width="7.625" style="3103" customWidth="1"/>
    <col min="5129" max="5130" width="16.375" style="3103" customWidth="1"/>
    <col min="5131" max="5131" width="13.375" style="3103" customWidth="1"/>
    <col min="5132" max="5373" width="9" style="3103"/>
    <col min="5374" max="5374" width="4.625" style="3103" customWidth="1"/>
    <col min="5375" max="5376" width="14.625" style="3103" customWidth="1"/>
    <col min="5377" max="5377" width="1.25" style="3103" customWidth="1"/>
    <col min="5378" max="5378" width="14.625" style="3103" customWidth="1"/>
    <col min="5379" max="5382" width="15.625" style="3103" customWidth="1"/>
    <col min="5383" max="5383" width="14.625" style="3103" customWidth="1"/>
    <col min="5384" max="5384" width="7.625" style="3103" customWidth="1"/>
    <col min="5385" max="5386" width="16.375" style="3103" customWidth="1"/>
    <col min="5387" max="5387" width="13.375" style="3103" customWidth="1"/>
    <col min="5388" max="5629" width="9" style="3103"/>
    <col min="5630" max="5630" width="4.625" style="3103" customWidth="1"/>
    <col min="5631" max="5632" width="14.625" style="3103" customWidth="1"/>
    <col min="5633" max="5633" width="1.25" style="3103" customWidth="1"/>
    <col min="5634" max="5634" width="14.625" style="3103" customWidth="1"/>
    <col min="5635" max="5638" width="15.625" style="3103" customWidth="1"/>
    <col min="5639" max="5639" width="14.625" style="3103" customWidth="1"/>
    <col min="5640" max="5640" width="7.625" style="3103" customWidth="1"/>
    <col min="5641" max="5642" width="16.375" style="3103" customWidth="1"/>
    <col min="5643" max="5643" width="13.375" style="3103" customWidth="1"/>
    <col min="5644" max="5885" width="9" style="3103"/>
    <col min="5886" max="5886" width="4.625" style="3103" customWidth="1"/>
    <col min="5887" max="5888" width="14.625" style="3103" customWidth="1"/>
    <col min="5889" max="5889" width="1.25" style="3103" customWidth="1"/>
    <col min="5890" max="5890" width="14.625" style="3103" customWidth="1"/>
    <col min="5891" max="5894" width="15.625" style="3103" customWidth="1"/>
    <col min="5895" max="5895" width="14.625" style="3103" customWidth="1"/>
    <col min="5896" max="5896" width="7.625" style="3103" customWidth="1"/>
    <col min="5897" max="5898" width="16.375" style="3103" customWidth="1"/>
    <col min="5899" max="5899" width="13.375" style="3103" customWidth="1"/>
    <col min="5900" max="6141" width="9" style="3103"/>
    <col min="6142" max="6142" width="4.625" style="3103" customWidth="1"/>
    <col min="6143" max="6144" width="14.625" style="3103" customWidth="1"/>
    <col min="6145" max="6145" width="1.25" style="3103" customWidth="1"/>
    <col min="6146" max="6146" width="14.625" style="3103" customWidth="1"/>
    <col min="6147" max="6150" width="15.625" style="3103" customWidth="1"/>
    <col min="6151" max="6151" width="14.625" style="3103" customWidth="1"/>
    <col min="6152" max="6152" width="7.625" style="3103" customWidth="1"/>
    <col min="6153" max="6154" width="16.375" style="3103" customWidth="1"/>
    <col min="6155" max="6155" width="13.375" style="3103" customWidth="1"/>
    <col min="6156" max="6397" width="9" style="3103"/>
    <col min="6398" max="6398" width="4.625" style="3103" customWidth="1"/>
    <col min="6399" max="6400" width="14.625" style="3103" customWidth="1"/>
    <col min="6401" max="6401" width="1.25" style="3103" customWidth="1"/>
    <col min="6402" max="6402" width="14.625" style="3103" customWidth="1"/>
    <col min="6403" max="6406" width="15.625" style="3103" customWidth="1"/>
    <col min="6407" max="6407" width="14.625" style="3103" customWidth="1"/>
    <col min="6408" max="6408" width="7.625" style="3103" customWidth="1"/>
    <col min="6409" max="6410" width="16.375" style="3103" customWidth="1"/>
    <col min="6411" max="6411" width="13.375" style="3103" customWidth="1"/>
    <col min="6412" max="6653" width="9" style="3103"/>
    <col min="6654" max="6654" width="4.625" style="3103" customWidth="1"/>
    <col min="6655" max="6656" width="14.625" style="3103" customWidth="1"/>
    <col min="6657" max="6657" width="1.25" style="3103" customWidth="1"/>
    <col min="6658" max="6658" width="14.625" style="3103" customWidth="1"/>
    <col min="6659" max="6662" width="15.625" style="3103" customWidth="1"/>
    <col min="6663" max="6663" width="14.625" style="3103" customWidth="1"/>
    <col min="6664" max="6664" width="7.625" style="3103" customWidth="1"/>
    <col min="6665" max="6666" width="16.375" style="3103" customWidth="1"/>
    <col min="6667" max="6667" width="13.375" style="3103" customWidth="1"/>
    <col min="6668" max="6909" width="9" style="3103"/>
    <col min="6910" max="6910" width="4.625" style="3103" customWidth="1"/>
    <col min="6911" max="6912" width="14.625" style="3103" customWidth="1"/>
    <col min="6913" max="6913" width="1.25" style="3103" customWidth="1"/>
    <col min="6914" max="6914" width="14.625" style="3103" customWidth="1"/>
    <col min="6915" max="6918" width="15.625" style="3103" customWidth="1"/>
    <col min="6919" max="6919" width="14.625" style="3103" customWidth="1"/>
    <col min="6920" max="6920" width="7.625" style="3103" customWidth="1"/>
    <col min="6921" max="6922" width="16.375" style="3103" customWidth="1"/>
    <col min="6923" max="6923" width="13.375" style="3103" customWidth="1"/>
    <col min="6924" max="7165" width="9" style="3103"/>
    <col min="7166" max="7166" width="4.625" style="3103" customWidth="1"/>
    <col min="7167" max="7168" width="14.625" style="3103" customWidth="1"/>
    <col min="7169" max="7169" width="1.25" style="3103" customWidth="1"/>
    <col min="7170" max="7170" width="14.625" style="3103" customWidth="1"/>
    <col min="7171" max="7174" width="15.625" style="3103" customWidth="1"/>
    <col min="7175" max="7175" width="14.625" style="3103" customWidth="1"/>
    <col min="7176" max="7176" width="7.625" style="3103" customWidth="1"/>
    <col min="7177" max="7178" width="16.375" style="3103" customWidth="1"/>
    <col min="7179" max="7179" width="13.375" style="3103" customWidth="1"/>
    <col min="7180" max="7421" width="9" style="3103"/>
    <col min="7422" max="7422" width="4.625" style="3103" customWidth="1"/>
    <col min="7423" max="7424" width="14.625" style="3103" customWidth="1"/>
    <col min="7425" max="7425" width="1.25" style="3103" customWidth="1"/>
    <col min="7426" max="7426" width="14.625" style="3103" customWidth="1"/>
    <col min="7427" max="7430" width="15.625" style="3103" customWidth="1"/>
    <col min="7431" max="7431" width="14.625" style="3103" customWidth="1"/>
    <col min="7432" max="7432" width="7.625" style="3103" customWidth="1"/>
    <col min="7433" max="7434" width="16.375" style="3103" customWidth="1"/>
    <col min="7435" max="7435" width="13.375" style="3103" customWidth="1"/>
    <col min="7436" max="7677" width="9" style="3103"/>
    <col min="7678" max="7678" width="4.625" style="3103" customWidth="1"/>
    <col min="7679" max="7680" width="14.625" style="3103" customWidth="1"/>
    <col min="7681" max="7681" width="1.25" style="3103" customWidth="1"/>
    <col min="7682" max="7682" width="14.625" style="3103" customWidth="1"/>
    <col min="7683" max="7686" width="15.625" style="3103" customWidth="1"/>
    <col min="7687" max="7687" width="14.625" style="3103" customWidth="1"/>
    <col min="7688" max="7688" width="7.625" style="3103" customWidth="1"/>
    <col min="7689" max="7690" width="16.375" style="3103" customWidth="1"/>
    <col min="7691" max="7691" width="13.375" style="3103" customWidth="1"/>
    <col min="7692" max="7933" width="9" style="3103"/>
    <col min="7934" max="7934" width="4.625" style="3103" customWidth="1"/>
    <col min="7935" max="7936" width="14.625" style="3103" customWidth="1"/>
    <col min="7937" max="7937" width="1.25" style="3103" customWidth="1"/>
    <col min="7938" max="7938" width="14.625" style="3103" customWidth="1"/>
    <col min="7939" max="7942" width="15.625" style="3103" customWidth="1"/>
    <col min="7943" max="7943" width="14.625" style="3103" customWidth="1"/>
    <col min="7944" max="7944" width="7.625" style="3103" customWidth="1"/>
    <col min="7945" max="7946" width="16.375" style="3103" customWidth="1"/>
    <col min="7947" max="7947" width="13.375" style="3103" customWidth="1"/>
    <col min="7948" max="8189" width="9" style="3103"/>
    <col min="8190" max="8190" width="4.625" style="3103" customWidth="1"/>
    <col min="8191" max="8192" width="14.625" style="3103" customWidth="1"/>
    <col min="8193" max="8193" width="1.25" style="3103" customWidth="1"/>
    <col min="8194" max="8194" width="14.625" style="3103" customWidth="1"/>
    <col min="8195" max="8198" width="15.625" style="3103" customWidth="1"/>
    <col min="8199" max="8199" width="14.625" style="3103" customWidth="1"/>
    <col min="8200" max="8200" width="7.625" style="3103" customWidth="1"/>
    <col min="8201" max="8202" width="16.375" style="3103" customWidth="1"/>
    <col min="8203" max="8203" width="13.375" style="3103" customWidth="1"/>
    <col min="8204" max="8445" width="9" style="3103"/>
    <col min="8446" max="8446" width="4.625" style="3103" customWidth="1"/>
    <col min="8447" max="8448" width="14.625" style="3103" customWidth="1"/>
    <col min="8449" max="8449" width="1.25" style="3103" customWidth="1"/>
    <col min="8450" max="8450" width="14.625" style="3103" customWidth="1"/>
    <col min="8451" max="8454" width="15.625" style="3103" customWidth="1"/>
    <col min="8455" max="8455" width="14.625" style="3103" customWidth="1"/>
    <col min="8456" max="8456" width="7.625" style="3103" customWidth="1"/>
    <col min="8457" max="8458" width="16.375" style="3103" customWidth="1"/>
    <col min="8459" max="8459" width="13.375" style="3103" customWidth="1"/>
    <col min="8460" max="8701" width="9" style="3103"/>
    <col min="8702" max="8702" width="4.625" style="3103" customWidth="1"/>
    <col min="8703" max="8704" width="14.625" style="3103" customWidth="1"/>
    <col min="8705" max="8705" width="1.25" style="3103" customWidth="1"/>
    <col min="8706" max="8706" width="14.625" style="3103" customWidth="1"/>
    <col min="8707" max="8710" width="15.625" style="3103" customWidth="1"/>
    <col min="8711" max="8711" width="14.625" style="3103" customWidth="1"/>
    <col min="8712" max="8712" width="7.625" style="3103" customWidth="1"/>
    <col min="8713" max="8714" width="16.375" style="3103" customWidth="1"/>
    <col min="8715" max="8715" width="13.375" style="3103" customWidth="1"/>
    <col min="8716" max="8957" width="9" style="3103"/>
    <col min="8958" max="8958" width="4.625" style="3103" customWidth="1"/>
    <col min="8959" max="8960" width="14.625" style="3103" customWidth="1"/>
    <col min="8961" max="8961" width="1.25" style="3103" customWidth="1"/>
    <col min="8962" max="8962" width="14.625" style="3103" customWidth="1"/>
    <col min="8963" max="8966" width="15.625" style="3103" customWidth="1"/>
    <col min="8967" max="8967" width="14.625" style="3103" customWidth="1"/>
    <col min="8968" max="8968" width="7.625" style="3103" customWidth="1"/>
    <col min="8969" max="8970" width="16.375" style="3103" customWidth="1"/>
    <col min="8971" max="8971" width="13.375" style="3103" customWidth="1"/>
    <col min="8972" max="9213" width="9" style="3103"/>
    <col min="9214" max="9214" width="4.625" style="3103" customWidth="1"/>
    <col min="9215" max="9216" width="14.625" style="3103" customWidth="1"/>
    <col min="9217" max="9217" width="1.25" style="3103" customWidth="1"/>
    <col min="9218" max="9218" width="14.625" style="3103" customWidth="1"/>
    <col min="9219" max="9222" width="15.625" style="3103" customWidth="1"/>
    <col min="9223" max="9223" width="14.625" style="3103" customWidth="1"/>
    <col min="9224" max="9224" width="7.625" style="3103" customWidth="1"/>
    <col min="9225" max="9226" width="16.375" style="3103" customWidth="1"/>
    <col min="9227" max="9227" width="13.375" style="3103" customWidth="1"/>
    <col min="9228" max="9469" width="9" style="3103"/>
    <col min="9470" max="9470" width="4.625" style="3103" customWidth="1"/>
    <col min="9471" max="9472" width="14.625" style="3103" customWidth="1"/>
    <col min="9473" max="9473" width="1.25" style="3103" customWidth="1"/>
    <col min="9474" max="9474" width="14.625" style="3103" customWidth="1"/>
    <col min="9475" max="9478" width="15.625" style="3103" customWidth="1"/>
    <col min="9479" max="9479" width="14.625" style="3103" customWidth="1"/>
    <col min="9480" max="9480" width="7.625" style="3103" customWidth="1"/>
    <col min="9481" max="9482" width="16.375" style="3103" customWidth="1"/>
    <col min="9483" max="9483" width="13.375" style="3103" customWidth="1"/>
    <col min="9484" max="9725" width="9" style="3103"/>
    <col min="9726" max="9726" width="4.625" style="3103" customWidth="1"/>
    <col min="9727" max="9728" width="14.625" style="3103" customWidth="1"/>
    <col min="9729" max="9729" width="1.25" style="3103" customWidth="1"/>
    <col min="9730" max="9730" width="14.625" style="3103" customWidth="1"/>
    <col min="9731" max="9734" width="15.625" style="3103" customWidth="1"/>
    <col min="9735" max="9735" width="14.625" style="3103" customWidth="1"/>
    <col min="9736" max="9736" width="7.625" style="3103" customWidth="1"/>
    <col min="9737" max="9738" width="16.375" style="3103" customWidth="1"/>
    <col min="9739" max="9739" width="13.375" style="3103" customWidth="1"/>
    <col min="9740" max="9981" width="9" style="3103"/>
    <col min="9982" max="9982" width="4.625" style="3103" customWidth="1"/>
    <col min="9983" max="9984" width="14.625" style="3103" customWidth="1"/>
    <col min="9985" max="9985" width="1.25" style="3103" customWidth="1"/>
    <col min="9986" max="9986" width="14.625" style="3103" customWidth="1"/>
    <col min="9987" max="9990" width="15.625" style="3103" customWidth="1"/>
    <col min="9991" max="9991" width="14.625" style="3103" customWidth="1"/>
    <col min="9992" max="9992" width="7.625" style="3103" customWidth="1"/>
    <col min="9993" max="9994" width="16.375" style="3103" customWidth="1"/>
    <col min="9995" max="9995" width="13.375" style="3103" customWidth="1"/>
    <col min="9996" max="10237" width="9" style="3103"/>
    <col min="10238" max="10238" width="4.625" style="3103" customWidth="1"/>
    <col min="10239" max="10240" width="14.625" style="3103" customWidth="1"/>
    <col min="10241" max="10241" width="1.25" style="3103" customWidth="1"/>
    <col min="10242" max="10242" width="14.625" style="3103" customWidth="1"/>
    <col min="10243" max="10246" width="15.625" style="3103" customWidth="1"/>
    <col min="10247" max="10247" width="14.625" style="3103" customWidth="1"/>
    <col min="10248" max="10248" width="7.625" style="3103" customWidth="1"/>
    <col min="10249" max="10250" width="16.375" style="3103" customWidth="1"/>
    <col min="10251" max="10251" width="13.375" style="3103" customWidth="1"/>
    <col min="10252" max="10493" width="9" style="3103"/>
    <col min="10494" max="10494" width="4.625" style="3103" customWidth="1"/>
    <col min="10495" max="10496" width="14.625" style="3103" customWidth="1"/>
    <col min="10497" max="10497" width="1.25" style="3103" customWidth="1"/>
    <col min="10498" max="10498" width="14.625" style="3103" customWidth="1"/>
    <col min="10499" max="10502" width="15.625" style="3103" customWidth="1"/>
    <col min="10503" max="10503" width="14.625" style="3103" customWidth="1"/>
    <col min="10504" max="10504" width="7.625" style="3103" customWidth="1"/>
    <col min="10505" max="10506" width="16.375" style="3103" customWidth="1"/>
    <col min="10507" max="10507" width="13.375" style="3103" customWidth="1"/>
    <col min="10508" max="10749" width="9" style="3103"/>
    <col min="10750" max="10750" width="4.625" style="3103" customWidth="1"/>
    <col min="10751" max="10752" width="14.625" style="3103" customWidth="1"/>
    <col min="10753" max="10753" width="1.25" style="3103" customWidth="1"/>
    <col min="10754" max="10754" width="14.625" style="3103" customWidth="1"/>
    <col min="10755" max="10758" width="15.625" style="3103" customWidth="1"/>
    <col min="10759" max="10759" width="14.625" style="3103" customWidth="1"/>
    <col min="10760" max="10760" width="7.625" style="3103" customWidth="1"/>
    <col min="10761" max="10762" width="16.375" style="3103" customWidth="1"/>
    <col min="10763" max="10763" width="13.375" style="3103" customWidth="1"/>
    <col min="10764" max="11005" width="9" style="3103"/>
    <col min="11006" max="11006" width="4.625" style="3103" customWidth="1"/>
    <col min="11007" max="11008" width="14.625" style="3103" customWidth="1"/>
    <col min="11009" max="11009" width="1.25" style="3103" customWidth="1"/>
    <col min="11010" max="11010" width="14.625" style="3103" customWidth="1"/>
    <col min="11011" max="11014" width="15.625" style="3103" customWidth="1"/>
    <col min="11015" max="11015" width="14.625" style="3103" customWidth="1"/>
    <col min="11016" max="11016" width="7.625" style="3103" customWidth="1"/>
    <col min="11017" max="11018" width="16.375" style="3103" customWidth="1"/>
    <col min="11019" max="11019" width="13.375" style="3103" customWidth="1"/>
    <col min="11020" max="11261" width="9" style="3103"/>
    <col min="11262" max="11262" width="4.625" style="3103" customWidth="1"/>
    <col min="11263" max="11264" width="14.625" style="3103" customWidth="1"/>
    <col min="11265" max="11265" width="1.25" style="3103" customWidth="1"/>
    <col min="11266" max="11266" width="14.625" style="3103" customWidth="1"/>
    <col min="11267" max="11270" width="15.625" style="3103" customWidth="1"/>
    <col min="11271" max="11271" width="14.625" style="3103" customWidth="1"/>
    <col min="11272" max="11272" width="7.625" style="3103" customWidth="1"/>
    <col min="11273" max="11274" width="16.375" style="3103" customWidth="1"/>
    <col min="11275" max="11275" width="13.375" style="3103" customWidth="1"/>
    <col min="11276" max="11517" width="9" style="3103"/>
    <col min="11518" max="11518" width="4.625" style="3103" customWidth="1"/>
    <col min="11519" max="11520" width="14.625" style="3103" customWidth="1"/>
    <col min="11521" max="11521" width="1.25" style="3103" customWidth="1"/>
    <col min="11522" max="11522" width="14.625" style="3103" customWidth="1"/>
    <col min="11523" max="11526" width="15.625" style="3103" customWidth="1"/>
    <col min="11527" max="11527" width="14.625" style="3103" customWidth="1"/>
    <col min="11528" max="11528" width="7.625" style="3103" customWidth="1"/>
    <col min="11529" max="11530" width="16.375" style="3103" customWidth="1"/>
    <col min="11531" max="11531" width="13.375" style="3103" customWidth="1"/>
    <col min="11532" max="11773" width="9" style="3103"/>
    <col min="11774" max="11774" width="4.625" style="3103" customWidth="1"/>
    <col min="11775" max="11776" width="14.625" style="3103" customWidth="1"/>
    <col min="11777" max="11777" width="1.25" style="3103" customWidth="1"/>
    <col min="11778" max="11778" width="14.625" style="3103" customWidth="1"/>
    <col min="11779" max="11782" width="15.625" style="3103" customWidth="1"/>
    <col min="11783" max="11783" width="14.625" style="3103" customWidth="1"/>
    <col min="11784" max="11784" width="7.625" style="3103" customWidth="1"/>
    <col min="11785" max="11786" width="16.375" style="3103" customWidth="1"/>
    <col min="11787" max="11787" width="13.375" style="3103" customWidth="1"/>
    <col min="11788" max="12029" width="9" style="3103"/>
    <col min="12030" max="12030" width="4.625" style="3103" customWidth="1"/>
    <col min="12031" max="12032" width="14.625" style="3103" customWidth="1"/>
    <col min="12033" max="12033" width="1.25" style="3103" customWidth="1"/>
    <col min="12034" max="12034" width="14.625" style="3103" customWidth="1"/>
    <col min="12035" max="12038" width="15.625" style="3103" customWidth="1"/>
    <col min="12039" max="12039" width="14.625" style="3103" customWidth="1"/>
    <col min="12040" max="12040" width="7.625" style="3103" customWidth="1"/>
    <col min="12041" max="12042" width="16.375" style="3103" customWidth="1"/>
    <col min="12043" max="12043" width="13.375" style="3103" customWidth="1"/>
    <col min="12044" max="12285" width="9" style="3103"/>
    <col min="12286" max="12286" width="4.625" style="3103" customWidth="1"/>
    <col min="12287" max="12288" width="14.625" style="3103" customWidth="1"/>
    <col min="12289" max="12289" width="1.25" style="3103" customWidth="1"/>
    <col min="12290" max="12290" width="14.625" style="3103" customWidth="1"/>
    <col min="12291" max="12294" width="15.625" style="3103" customWidth="1"/>
    <col min="12295" max="12295" width="14.625" style="3103" customWidth="1"/>
    <col min="12296" max="12296" width="7.625" style="3103" customWidth="1"/>
    <col min="12297" max="12298" width="16.375" style="3103" customWidth="1"/>
    <col min="12299" max="12299" width="13.375" style="3103" customWidth="1"/>
    <col min="12300" max="12541" width="9" style="3103"/>
    <col min="12542" max="12542" width="4.625" style="3103" customWidth="1"/>
    <col min="12543" max="12544" width="14.625" style="3103" customWidth="1"/>
    <col min="12545" max="12545" width="1.25" style="3103" customWidth="1"/>
    <col min="12546" max="12546" width="14.625" style="3103" customWidth="1"/>
    <col min="12547" max="12550" width="15.625" style="3103" customWidth="1"/>
    <col min="12551" max="12551" width="14.625" style="3103" customWidth="1"/>
    <col min="12552" max="12552" width="7.625" style="3103" customWidth="1"/>
    <col min="12553" max="12554" width="16.375" style="3103" customWidth="1"/>
    <col min="12555" max="12555" width="13.375" style="3103" customWidth="1"/>
    <col min="12556" max="12797" width="9" style="3103"/>
    <col min="12798" max="12798" width="4.625" style="3103" customWidth="1"/>
    <col min="12799" max="12800" width="14.625" style="3103" customWidth="1"/>
    <col min="12801" max="12801" width="1.25" style="3103" customWidth="1"/>
    <col min="12802" max="12802" width="14.625" style="3103" customWidth="1"/>
    <col min="12803" max="12806" width="15.625" style="3103" customWidth="1"/>
    <col min="12807" max="12807" width="14.625" style="3103" customWidth="1"/>
    <col min="12808" max="12808" width="7.625" style="3103" customWidth="1"/>
    <col min="12809" max="12810" width="16.375" style="3103" customWidth="1"/>
    <col min="12811" max="12811" width="13.375" style="3103" customWidth="1"/>
    <col min="12812" max="13053" width="9" style="3103"/>
    <col min="13054" max="13054" width="4.625" style="3103" customWidth="1"/>
    <col min="13055" max="13056" width="14.625" style="3103" customWidth="1"/>
    <col min="13057" max="13057" width="1.25" style="3103" customWidth="1"/>
    <col min="13058" max="13058" width="14.625" style="3103" customWidth="1"/>
    <col min="13059" max="13062" width="15.625" style="3103" customWidth="1"/>
    <col min="13063" max="13063" width="14.625" style="3103" customWidth="1"/>
    <col min="13064" max="13064" width="7.625" style="3103" customWidth="1"/>
    <col min="13065" max="13066" width="16.375" style="3103" customWidth="1"/>
    <col min="13067" max="13067" width="13.375" style="3103" customWidth="1"/>
    <col min="13068" max="13309" width="9" style="3103"/>
    <col min="13310" max="13310" width="4.625" style="3103" customWidth="1"/>
    <col min="13311" max="13312" width="14.625" style="3103" customWidth="1"/>
    <col min="13313" max="13313" width="1.25" style="3103" customWidth="1"/>
    <col min="13314" max="13314" width="14.625" style="3103" customWidth="1"/>
    <col min="13315" max="13318" width="15.625" style="3103" customWidth="1"/>
    <col min="13319" max="13319" width="14.625" style="3103" customWidth="1"/>
    <col min="13320" max="13320" width="7.625" style="3103" customWidth="1"/>
    <col min="13321" max="13322" width="16.375" style="3103" customWidth="1"/>
    <col min="13323" max="13323" width="13.375" style="3103" customWidth="1"/>
    <col min="13324" max="13565" width="9" style="3103"/>
    <col min="13566" max="13566" width="4.625" style="3103" customWidth="1"/>
    <col min="13567" max="13568" width="14.625" style="3103" customWidth="1"/>
    <col min="13569" max="13569" width="1.25" style="3103" customWidth="1"/>
    <col min="13570" max="13570" width="14.625" style="3103" customWidth="1"/>
    <col min="13571" max="13574" width="15.625" style="3103" customWidth="1"/>
    <col min="13575" max="13575" width="14.625" style="3103" customWidth="1"/>
    <col min="13576" max="13576" width="7.625" style="3103" customWidth="1"/>
    <col min="13577" max="13578" width="16.375" style="3103" customWidth="1"/>
    <col min="13579" max="13579" width="13.375" style="3103" customWidth="1"/>
    <col min="13580" max="13821" width="9" style="3103"/>
    <col min="13822" max="13822" width="4.625" style="3103" customWidth="1"/>
    <col min="13823" max="13824" width="14.625" style="3103" customWidth="1"/>
    <col min="13825" max="13825" width="1.25" style="3103" customWidth="1"/>
    <col min="13826" max="13826" width="14.625" style="3103" customWidth="1"/>
    <col min="13827" max="13830" width="15.625" style="3103" customWidth="1"/>
    <col min="13831" max="13831" width="14.625" style="3103" customWidth="1"/>
    <col min="13832" max="13832" width="7.625" style="3103" customWidth="1"/>
    <col min="13833" max="13834" width="16.375" style="3103" customWidth="1"/>
    <col min="13835" max="13835" width="13.375" style="3103" customWidth="1"/>
    <col min="13836" max="14077" width="9" style="3103"/>
    <col min="14078" max="14078" width="4.625" style="3103" customWidth="1"/>
    <col min="14079" max="14080" width="14.625" style="3103" customWidth="1"/>
    <col min="14081" max="14081" width="1.25" style="3103" customWidth="1"/>
    <col min="14082" max="14082" width="14.625" style="3103" customWidth="1"/>
    <col min="14083" max="14086" width="15.625" style="3103" customWidth="1"/>
    <col min="14087" max="14087" width="14.625" style="3103" customWidth="1"/>
    <col min="14088" max="14088" width="7.625" style="3103" customWidth="1"/>
    <col min="14089" max="14090" width="16.375" style="3103" customWidth="1"/>
    <col min="14091" max="14091" width="13.375" style="3103" customWidth="1"/>
    <col min="14092" max="14333" width="9" style="3103"/>
    <col min="14334" max="14334" width="4.625" style="3103" customWidth="1"/>
    <col min="14335" max="14336" width="14.625" style="3103" customWidth="1"/>
    <col min="14337" max="14337" width="1.25" style="3103" customWidth="1"/>
    <col min="14338" max="14338" width="14.625" style="3103" customWidth="1"/>
    <col min="14339" max="14342" width="15.625" style="3103" customWidth="1"/>
    <col min="14343" max="14343" width="14.625" style="3103" customWidth="1"/>
    <col min="14344" max="14344" width="7.625" style="3103" customWidth="1"/>
    <col min="14345" max="14346" width="16.375" style="3103" customWidth="1"/>
    <col min="14347" max="14347" width="13.375" style="3103" customWidth="1"/>
    <col min="14348" max="14589" width="9" style="3103"/>
    <col min="14590" max="14590" width="4.625" style="3103" customWidth="1"/>
    <col min="14591" max="14592" width="14.625" style="3103" customWidth="1"/>
    <col min="14593" max="14593" width="1.25" style="3103" customWidth="1"/>
    <col min="14594" max="14594" width="14.625" style="3103" customWidth="1"/>
    <col min="14595" max="14598" width="15.625" style="3103" customWidth="1"/>
    <col min="14599" max="14599" width="14.625" style="3103" customWidth="1"/>
    <col min="14600" max="14600" width="7.625" style="3103" customWidth="1"/>
    <col min="14601" max="14602" width="16.375" style="3103" customWidth="1"/>
    <col min="14603" max="14603" width="13.375" style="3103" customWidth="1"/>
    <col min="14604" max="14845" width="9" style="3103"/>
    <col min="14846" max="14846" width="4.625" style="3103" customWidth="1"/>
    <col min="14847" max="14848" width="14.625" style="3103" customWidth="1"/>
    <col min="14849" max="14849" width="1.25" style="3103" customWidth="1"/>
    <col min="14850" max="14850" width="14.625" style="3103" customWidth="1"/>
    <col min="14851" max="14854" width="15.625" style="3103" customWidth="1"/>
    <col min="14855" max="14855" width="14.625" style="3103" customWidth="1"/>
    <col min="14856" max="14856" width="7.625" style="3103" customWidth="1"/>
    <col min="14857" max="14858" width="16.375" style="3103" customWidth="1"/>
    <col min="14859" max="14859" width="13.375" style="3103" customWidth="1"/>
    <col min="14860" max="15101" width="9" style="3103"/>
    <col min="15102" max="15102" width="4.625" style="3103" customWidth="1"/>
    <col min="15103" max="15104" width="14.625" style="3103" customWidth="1"/>
    <col min="15105" max="15105" width="1.25" style="3103" customWidth="1"/>
    <col min="15106" max="15106" width="14.625" style="3103" customWidth="1"/>
    <col min="15107" max="15110" width="15.625" style="3103" customWidth="1"/>
    <col min="15111" max="15111" width="14.625" style="3103" customWidth="1"/>
    <col min="15112" max="15112" width="7.625" style="3103" customWidth="1"/>
    <col min="15113" max="15114" width="16.375" style="3103" customWidth="1"/>
    <col min="15115" max="15115" width="13.375" style="3103" customWidth="1"/>
    <col min="15116" max="15357" width="9" style="3103"/>
    <col min="15358" max="15358" width="4.625" style="3103" customWidth="1"/>
    <col min="15359" max="15360" width="14.625" style="3103" customWidth="1"/>
    <col min="15361" max="15361" width="1.25" style="3103" customWidth="1"/>
    <col min="15362" max="15362" width="14.625" style="3103" customWidth="1"/>
    <col min="15363" max="15366" width="15.625" style="3103" customWidth="1"/>
    <col min="15367" max="15367" width="14.625" style="3103" customWidth="1"/>
    <col min="15368" max="15368" width="7.625" style="3103" customWidth="1"/>
    <col min="15369" max="15370" width="16.375" style="3103" customWidth="1"/>
    <col min="15371" max="15371" width="13.375" style="3103" customWidth="1"/>
    <col min="15372" max="15613" width="9" style="3103"/>
    <col min="15614" max="15614" width="4.625" style="3103" customWidth="1"/>
    <col min="15615" max="15616" width="14.625" style="3103" customWidth="1"/>
    <col min="15617" max="15617" width="1.25" style="3103" customWidth="1"/>
    <col min="15618" max="15618" width="14.625" style="3103" customWidth="1"/>
    <col min="15619" max="15622" width="15.625" style="3103" customWidth="1"/>
    <col min="15623" max="15623" width="14.625" style="3103" customWidth="1"/>
    <col min="15624" max="15624" width="7.625" style="3103" customWidth="1"/>
    <col min="15625" max="15626" width="16.375" style="3103" customWidth="1"/>
    <col min="15627" max="15627" width="13.375" style="3103" customWidth="1"/>
    <col min="15628" max="15869" width="9" style="3103"/>
    <col min="15870" max="15870" width="4.625" style="3103" customWidth="1"/>
    <col min="15871" max="15872" width="14.625" style="3103" customWidth="1"/>
    <col min="15873" max="15873" width="1.25" style="3103" customWidth="1"/>
    <col min="15874" max="15874" width="14.625" style="3103" customWidth="1"/>
    <col min="15875" max="15878" width="15.625" style="3103" customWidth="1"/>
    <col min="15879" max="15879" width="14.625" style="3103" customWidth="1"/>
    <col min="15880" max="15880" width="7.625" style="3103" customWidth="1"/>
    <col min="15881" max="15882" width="16.375" style="3103" customWidth="1"/>
    <col min="15883" max="15883" width="13.375" style="3103" customWidth="1"/>
    <col min="15884" max="16125" width="9" style="3103"/>
    <col min="16126" max="16126" width="4.625" style="3103" customWidth="1"/>
    <col min="16127" max="16128" width="14.625" style="3103" customWidth="1"/>
    <col min="16129" max="16129" width="1.25" style="3103" customWidth="1"/>
    <col min="16130" max="16130" width="14.625" style="3103" customWidth="1"/>
    <col min="16131" max="16134" width="15.625" style="3103" customWidth="1"/>
    <col min="16135" max="16135" width="14.625" style="3103" customWidth="1"/>
    <col min="16136" max="16136" width="7.625" style="3103" customWidth="1"/>
    <col min="16137" max="16138" width="16.375" style="3103" customWidth="1"/>
    <col min="16139" max="16139" width="13.375" style="3103" customWidth="1"/>
    <col min="16140" max="16384" width="9" style="3103"/>
  </cols>
  <sheetData>
    <row r="1" spans="1:11" ht="15" customHeight="1">
      <c r="A1" s="3613" t="s">
        <v>6083</v>
      </c>
      <c r="B1" s="3614"/>
      <c r="C1" s="3615"/>
      <c r="D1" s="3234"/>
      <c r="E1" s="3613" t="s">
        <v>6124</v>
      </c>
      <c r="F1" s="3614"/>
      <c r="G1" s="3615"/>
      <c r="H1" s="3613" t="s">
        <v>6123</v>
      </c>
      <c r="I1" s="3614"/>
      <c r="J1" s="3615"/>
    </row>
    <row r="2" spans="1:11" ht="15" customHeight="1">
      <c r="A2" s="3234"/>
      <c r="B2" s="3234"/>
      <c r="C2" s="3234"/>
      <c r="D2" s="3234"/>
      <c r="E2" s="3247" t="s">
        <v>6120</v>
      </c>
      <c r="F2" s="3247" t="s">
        <v>6121</v>
      </c>
      <c r="G2" s="3247" t="s">
        <v>6122</v>
      </c>
      <c r="H2" s="3247" t="s">
        <v>6122</v>
      </c>
      <c r="I2" s="3247" t="s">
        <v>6121</v>
      </c>
      <c r="J2" s="3247" t="s">
        <v>6120</v>
      </c>
    </row>
    <row r="3" spans="1:11" ht="15" customHeight="1">
      <c r="A3" s="3234" t="s">
        <v>6119</v>
      </c>
      <c r="B3" s="3234"/>
      <c r="C3" s="3234"/>
      <c r="D3" s="3234"/>
      <c r="E3" s="3232">
        <f t="shared" ref="E3:E43" si="0">F3-I3</f>
        <v>0</v>
      </c>
      <c r="F3" s="3232">
        <f t="shared" ref="F3:F39" si="1">+I3</f>
        <v>1884549714</v>
      </c>
      <c r="G3" s="3233" t="s">
        <v>6110</v>
      </c>
      <c r="H3" s="3233" t="s">
        <v>6109</v>
      </c>
      <c r="I3" s="3245">
        <f>+仮受仮払!F4</f>
        <v>1884549714</v>
      </c>
      <c r="J3" s="3232">
        <f t="shared" ref="J3:J40" si="2">I3-F3</f>
        <v>0</v>
      </c>
      <c r="K3" s="3231"/>
    </row>
    <row r="4" spans="1:11" ht="15" customHeight="1">
      <c r="A4" s="3234" t="s">
        <v>6118</v>
      </c>
      <c r="B4" s="3234"/>
      <c r="C4" s="3234"/>
      <c r="D4" s="3234"/>
      <c r="E4" s="3232">
        <f t="shared" si="0"/>
        <v>0</v>
      </c>
      <c r="F4" s="3232">
        <f t="shared" si="1"/>
        <v>3608310</v>
      </c>
      <c r="G4" s="3233" t="s">
        <v>6108</v>
      </c>
      <c r="H4" s="3233" t="s">
        <v>6109</v>
      </c>
      <c r="I4" s="3245">
        <f>+仮受仮払!F47</f>
        <v>3608310</v>
      </c>
      <c r="J4" s="3232">
        <f t="shared" si="2"/>
        <v>0</v>
      </c>
      <c r="K4" s="3231"/>
    </row>
    <row r="5" spans="1:11" ht="15" customHeight="1">
      <c r="A5" s="3234" t="s">
        <v>6117</v>
      </c>
      <c r="B5" s="3234"/>
      <c r="C5" s="3234"/>
      <c r="D5" s="3234"/>
      <c r="E5" s="3232">
        <f t="shared" si="0"/>
        <v>0</v>
      </c>
      <c r="F5" s="3232">
        <f t="shared" si="1"/>
        <v>47155349</v>
      </c>
      <c r="G5" s="3233" t="s">
        <v>6107</v>
      </c>
      <c r="H5" s="3233" t="s">
        <v>6106</v>
      </c>
      <c r="I5" s="3245">
        <f>+仮受仮払!F23</f>
        <v>47155349</v>
      </c>
      <c r="J5" s="3232">
        <f t="shared" si="2"/>
        <v>0</v>
      </c>
      <c r="K5" s="3231"/>
    </row>
    <row r="6" spans="1:11" ht="15" customHeight="1">
      <c r="A6" s="3234"/>
      <c r="B6" s="3234"/>
      <c r="C6" s="3234"/>
      <c r="D6" s="3234"/>
      <c r="E6" s="3232">
        <f t="shared" si="0"/>
        <v>0</v>
      </c>
      <c r="F6" s="3232">
        <f t="shared" si="1"/>
        <v>1130574</v>
      </c>
      <c r="G6" s="3233" t="s">
        <v>6107</v>
      </c>
      <c r="H6" s="3233" t="s">
        <v>6060</v>
      </c>
      <c r="I6" s="3245">
        <f>+仮受仮払!F24</f>
        <v>1130574</v>
      </c>
      <c r="J6" s="3232">
        <f t="shared" si="2"/>
        <v>0</v>
      </c>
      <c r="K6" s="3231"/>
    </row>
    <row r="7" spans="1:11" ht="15" customHeight="1">
      <c r="A7" s="3234"/>
      <c r="B7" s="3234"/>
      <c r="C7" s="3234"/>
      <c r="D7" s="3234"/>
      <c r="E7" s="3232">
        <f t="shared" si="0"/>
        <v>0</v>
      </c>
      <c r="F7" s="3232">
        <f t="shared" si="1"/>
        <v>104382258</v>
      </c>
      <c r="G7" s="3233" t="s">
        <v>6107</v>
      </c>
      <c r="H7" s="3233" t="s">
        <v>6059</v>
      </c>
      <c r="I7" s="3245">
        <f>+仮受仮払!F25</f>
        <v>104382258</v>
      </c>
      <c r="J7" s="3232">
        <f t="shared" si="2"/>
        <v>0</v>
      </c>
      <c r="K7" s="3231"/>
    </row>
    <row r="8" spans="1:11" ht="15" customHeight="1">
      <c r="A8" s="3234"/>
      <c r="B8" s="3234"/>
      <c r="C8" s="3234"/>
      <c r="D8" s="3234"/>
      <c r="E8" s="3232">
        <f t="shared" si="0"/>
        <v>0</v>
      </c>
      <c r="F8" s="3232">
        <f t="shared" si="1"/>
        <v>519893786</v>
      </c>
      <c r="G8" s="3233" t="s">
        <v>6107</v>
      </c>
      <c r="H8" s="3233" t="s">
        <v>6058</v>
      </c>
      <c r="I8" s="3245">
        <f>+仮受仮払!F26</f>
        <v>519893786</v>
      </c>
      <c r="J8" s="3232">
        <f t="shared" si="2"/>
        <v>0</v>
      </c>
      <c r="K8" s="3231"/>
    </row>
    <row r="9" spans="1:11" ht="15" customHeight="1">
      <c r="A9" s="3234"/>
      <c r="B9" s="3234"/>
      <c r="C9" s="3234"/>
      <c r="D9" s="3234"/>
      <c r="E9" s="3232">
        <f t="shared" si="0"/>
        <v>0</v>
      </c>
      <c r="F9" s="3232">
        <f t="shared" si="1"/>
        <v>0</v>
      </c>
      <c r="G9" s="3233" t="s">
        <v>6107</v>
      </c>
      <c r="H9" s="3233" t="s">
        <v>6057</v>
      </c>
      <c r="I9" s="3245">
        <f>+仮受仮払!F27</f>
        <v>0</v>
      </c>
      <c r="J9" s="3232">
        <f t="shared" si="2"/>
        <v>0</v>
      </c>
      <c r="K9" s="3231"/>
    </row>
    <row r="10" spans="1:11" ht="15" customHeight="1">
      <c r="A10" s="3234"/>
      <c r="B10" s="3234"/>
      <c r="C10" s="3234"/>
      <c r="D10" s="3234"/>
      <c r="E10" s="3232">
        <f t="shared" si="0"/>
        <v>0</v>
      </c>
      <c r="F10" s="3232">
        <f t="shared" si="1"/>
        <v>1715497</v>
      </c>
      <c r="G10" s="3233" t="s">
        <v>6107</v>
      </c>
      <c r="H10" s="3233" t="s">
        <v>6056</v>
      </c>
      <c r="I10" s="3245">
        <f>+仮受仮払!F28</f>
        <v>1715497</v>
      </c>
      <c r="J10" s="3232">
        <f t="shared" si="2"/>
        <v>0</v>
      </c>
      <c r="K10" s="3231"/>
    </row>
    <row r="11" spans="1:11" ht="15" customHeight="1">
      <c r="A11" s="3234"/>
      <c r="B11" s="3234"/>
      <c r="C11" s="3234"/>
      <c r="D11" s="3234"/>
      <c r="E11" s="3232">
        <f t="shared" si="0"/>
        <v>0</v>
      </c>
      <c r="F11" s="3232">
        <f t="shared" si="1"/>
        <v>87589</v>
      </c>
      <c r="G11" s="3233" t="s">
        <v>6107</v>
      </c>
      <c r="H11" s="3238" t="s">
        <v>6009</v>
      </c>
      <c r="I11" s="3245">
        <f>+仮受仮払!F29</f>
        <v>87589</v>
      </c>
      <c r="J11" s="3232">
        <f t="shared" si="2"/>
        <v>0</v>
      </c>
      <c r="K11" s="3231"/>
    </row>
    <row r="12" spans="1:11" ht="15" customHeight="1">
      <c r="A12" s="3234"/>
      <c r="B12" s="3234"/>
      <c r="C12" s="3234"/>
      <c r="D12" s="3234"/>
      <c r="E12" s="3232">
        <f t="shared" si="0"/>
        <v>0</v>
      </c>
      <c r="F12" s="3232">
        <f t="shared" si="1"/>
        <v>90253429</v>
      </c>
      <c r="G12" s="3233" t="s">
        <v>6107</v>
      </c>
      <c r="H12" s="3233" t="s">
        <v>6055</v>
      </c>
      <c r="I12" s="3245">
        <f>+仮受仮払!F30</f>
        <v>90253429</v>
      </c>
      <c r="J12" s="3232">
        <f t="shared" si="2"/>
        <v>0</v>
      </c>
      <c r="K12" s="3231"/>
    </row>
    <row r="13" spans="1:11" ht="15" customHeight="1">
      <c r="A13" s="3234"/>
      <c r="B13" s="3234"/>
      <c r="C13" s="3234"/>
      <c r="D13" s="3234"/>
      <c r="E13" s="3232">
        <f t="shared" si="0"/>
        <v>0</v>
      </c>
      <c r="F13" s="3232">
        <f t="shared" si="1"/>
        <v>17678805</v>
      </c>
      <c r="G13" s="3233" t="s">
        <v>6107</v>
      </c>
      <c r="H13" s="3233" t="s">
        <v>6054</v>
      </c>
      <c r="I13" s="3245">
        <f>+仮受仮払!F31</f>
        <v>17678805</v>
      </c>
      <c r="J13" s="3232">
        <f t="shared" si="2"/>
        <v>0</v>
      </c>
      <c r="K13" s="3231"/>
    </row>
    <row r="14" spans="1:11" ht="15" customHeight="1">
      <c r="A14" s="3234"/>
      <c r="B14" s="3234"/>
      <c r="C14" s="3234"/>
      <c r="D14" s="3234"/>
      <c r="E14" s="3232">
        <f t="shared" si="0"/>
        <v>0</v>
      </c>
      <c r="F14" s="3232">
        <f t="shared" si="1"/>
        <v>9713984</v>
      </c>
      <c r="G14" s="3233" t="s">
        <v>6107</v>
      </c>
      <c r="H14" s="3238" t="s">
        <v>6105</v>
      </c>
      <c r="I14" s="3245">
        <f>+仮受仮払!F32</f>
        <v>9713984</v>
      </c>
      <c r="J14" s="3232">
        <f t="shared" si="2"/>
        <v>0</v>
      </c>
      <c r="K14" s="3231"/>
    </row>
    <row r="15" spans="1:11" ht="15" customHeight="1">
      <c r="A15" s="3234"/>
      <c r="B15" s="3234"/>
      <c r="C15" s="3234"/>
      <c r="D15" s="3234"/>
      <c r="E15" s="3232">
        <f t="shared" si="0"/>
        <v>0</v>
      </c>
      <c r="F15" s="3232">
        <f t="shared" si="1"/>
        <v>22486229</v>
      </c>
      <c r="G15" s="3233" t="s">
        <v>6107</v>
      </c>
      <c r="H15" s="3233" t="s">
        <v>6104</v>
      </c>
      <c r="I15" s="3245">
        <f>+仮受仮払!F33</f>
        <v>22486229</v>
      </c>
      <c r="J15" s="3232">
        <f t="shared" si="2"/>
        <v>0</v>
      </c>
      <c r="K15" s="3231"/>
    </row>
    <row r="16" spans="1:11" ht="15" customHeight="1">
      <c r="A16" s="3234"/>
      <c r="B16" s="3234"/>
      <c r="C16" s="3234"/>
      <c r="D16" s="3234"/>
      <c r="E16" s="3232">
        <f t="shared" si="0"/>
        <v>0</v>
      </c>
      <c r="F16" s="3232">
        <f t="shared" si="1"/>
        <v>6447001</v>
      </c>
      <c r="G16" s="3233" t="s">
        <v>6107</v>
      </c>
      <c r="H16" s="3233" t="s">
        <v>6051</v>
      </c>
      <c r="I16" s="3245">
        <f>+仮受仮払!F34</f>
        <v>6447001</v>
      </c>
      <c r="J16" s="3232">
        <f t="shared" si="2"/>
        <v>0</v>
      </c>
      <c r="K16" s="3231"/>
    </row>
    <row r="17" spans="1:11" ht="15" customHeight="1">
      <c r="A17" s="3234"/>
      <c r="B17" s="3234"/>
      <c r="C17" s="3234"/>
      <c r="D17" s="3234"/>
      <c r="E17" s="3232">
        <f t="shared" si="0"/>
        <v>0</v>
      </c>
      <c r="F17" s="3232">
        <f t="shared" si="1"/>
        <v>0</v>
      </c>
      <c r="G17" s="3233" t="s">
        <v>6107</v>
      </c>
      <c r="H17" s="3233" t="s">
        <v>6050</v>
      </c>
      <c r="I17" s="3245">
        <f>+仮受仮払!F35</f>
        <v>0</v>
      </c>
      <c r="J17" s="3232">
        <f t="shared" si="2"/>
        <v>0</v>
      </c>
      <c r="K17" s="3231"/>
    </row>
    <row r="18" spans="1:11" ht="15" customHeight="1">
      <c r="A18" s="3234"/>
      <c r="B18" s="3234"/>
      <c r="C18" s="3234"/>
      <c r="D18" s="3234"/>
      <c r="E18" s="3232">
        <f t="shared" si="0"/>
        <v>0</v>
      </c>
      <c r="F18" s="3232">
        <f t="shared" si="1"/>
        <v>0</v>
      </c>
      <c r="G18" s="3233" t="s">
        <v>6107</v>
      </c>
      <c r="H18" s="3233" t="s">
        <v>6103</v>
      </c>
      <c r="I18" s="3245">
        <f>+仮受仮払!F37</f>
        <v>0</v>
      </c>
      <c r="J18" s="3232">
        <f t="shared" si="2"/>
        <v>0</v>
      </c>
      <c r="K18" s="3231"/>
    </row>
    <row r="19" spans="1:11" ht="15" customHeight="1">
      <c r="A19" s="3234"/>
      <c r="B19" s="3234"/>
      <c r="C19" s="3234"/>
      <c r="D19" s="3234"/>
      <c r="E19" s="3232">
        <f t="shared" si="0"/>
        <v>0</v>
      </c>
      <c r="F19" s="3232">
        <f t="shared" si="1"/>
        <v>6109254</v>
      </c>
      <c r="G19" s="3233" t="s">
        <v>6107</v>
      </c>
      <c r="H19" s="3239" t="s">
        <v>6102</v>
      </c>
      <c r="I19" s="3245">
        <f>+仮受仮払!F38</f>
        <v>6109254</v>
      </c>
      <c r="J19" s="3232">
        <f t="shared" si="2"/>
        <v>0</v>
      </c>
      <c r="K19" s="3231"/>
    </row>
    <row r="20" spans="1:11" ht="15" customHeight="1">
      <c r="A20" s="3234"/>
      <c r="B20" s="3234"/>
      <c r="C20" s="3234"/>
      <c r="D20" s="3234"/>
      <c r="E20" s="3232">
        <f t="shared" si="0"/>
        <v>0</v>
      </c>
      <c r="F20" s="3232">
        <f t="shared" si="1"/>
        <v>968444</v>
      </c>
      <c r="G20" s="3233" t="s">
        <v>6107</v>
      </c>
      <c r="H20" s="3238" t="s">
        <v>6041</v>
      </c>
      <c r="I20" s="3245">
        <f>+仮受仮払!F44</f>
        <v>968444</v>
      </c>
      <c r="J20" s="3232">
        <f t="shared" si="2"/>
        <v>0</v>
      </c>
      <c r="K20" s="3231"/>
    </row>
    <row r="21" spans="1:11" ht="15" customHeight="1">
      <c r="A21" s="3234"/>
      <c r="B21" s="3234"/>
      <c r="C21" s="3234"/>
      <c r="D21" s="3234"/>
      <c r="E21" s="3232">
        <f t="shared" si="0"/>
        <v>0</v>
      </c>
      <c r="F21" s="3232">
        <f t="shared" si="1"/>
        <v>0</v>
      </c>
      <c r="G21" s="3233" t="s">
        <v>6107</v>
      </c>
      <c r="H21" s="3238" t="s">
        <v>6101</v>
      </c>
      <c r="I21" s="3245">
        <f>+仮受仮払!F45</f>
        <v>0</v>
      </c>
      <c r="J21" s="3232">
        <f t="shared" si="2"/>
        <v>0</v>
      </c>
      <c r="K21" s="3231"/>
    </row>
    <row r="22" spans="1:11" ht="15" customHeight="1">
      <c r="A22" s="3234" t="s">
        <v>6116</v>
      </c>
      <c r="B22" s="3234"/>
      <c r="C22" s="3234"/>
      <c r="D22" s="3234"/>
      <c r="E22" s="3232">
        <f t="shared" si="0"/>
        <v>0</v>
      </c>
      <c r="F22" s="3232">
        <f t="shared" si="1"/>
        <v>1356109400</v>
      </c>
      <c r="G22" s="3233" t="s">
        <v>6107</v>
      </c>
      <c r="H22" s="3238" t="s">
        <v>6019</v>
      </c>
      <c r="I22" s="3245">
        <f>+仮受仮払!F69</f>
        <v>1356109400</v>
      </c>
      <c r="J22" s="3232">
        <f t="shared" si="2"/>
        <v>0</v>
      </c>
      <c r="K22" s="3231"/>
    </row>
    <row r="23" spans="1:11" ht="15" customHeight="1">
      <c r="A23" s="3234"/>
      <c r="B23" s="3234"/>
      <c r="C23" s="3234"/>
      <c r="D23" s="3234"/>
      <c r="E23" s="3232">
        <f t="shared" si="0"/>
        <v>0</v>
      </c>
      <c r="F23" s="3232">
        <f t="shared" si="1"/>
        <v>543071</v>
      </c>
      <c r="G23" s="3233" t="s">
        <v>6107</v>
      </c>
      <c r="H23" s="3238" t="s">
        <v>6100</v>
      </c>
      <c r="I23" s="3245">
        <f>+仮受仮払!F70</f>
        <v>543071</v>
      </c>
      <c r="J23" s="3232">
        <f t="shared" si="2"/>
        <v>0</v>
      </c>
      <c r="K23" s="3231"/>
    </row>
    <row r="24" spans="1:11" ht="15" customHeight="1">
      <c r="A24" s="3234"/>
      <c r="B24" s="3234"/>
      <c r="C24" s="3234"/>
      <c r="D24" s="3234"/>
      <c r="E24" s="3232">
        <f t="shared" si="0"/>
        <v>0</v>
      </c>
      <c r="F24" s="3232">
        <f t="shared" si="1"/>
        <v>47147259</v>
      </c>
      <c r="G24" s="3233" t="s">
        <v>6107</v>
      </c>
      <c r="H24" s="3238" t="s">
        <v>6017</v>
      </c>
      <c r="I24" s="3245">
        <f>+仮受仮払!F71</f>
        <v>47147259</v>
      </c>
      <c r="J24" s="3232">
        <f t="shared" si="2"/>
        <v>0</v>
      </c>
      <c r="K24" s="3231"/>
    </row>
    <row r="25" spans="1:11" ht="15" customHeight="1">
      <c r="A25" s="3234"/>
      <c r="B25" s="3234"/>
      <c r="C25" s="3234"/>
      <c r="D25" s="3234"/>
      <c r="E25" s="3232">
        <f t="shared" si="0"/>
        <v>0</v>
      </c>
      <c r="F25" s="3232">
        <f t="shared" si="1"/>
        <v>0</v>
      </c>
      <c r="G25" s="3233" t="s">
        <v>6107</v>
      </c>
      <c r="H25" s="3238" t="s">
        <v>6099</v>
      </c>
      <c r="I25" s="3245">
        <f>+仮受仮払!F72</f>
        <v>0</v>
      </c>
      <c r="J25" s="3232">
        <f t="shared" si="2"/>
        <v>0</v>
      </c>
      <c r="K25" s="3231"/>
    </row>
    <row r="26" spans="1:11" ht="15" customHeight="1">
      <c r="A26" s="3234"/>
      <c r="B26" s="3234"/>
      <c r="C26" s="3234"/>
      <c r="D26" s="3234"/>
      <c r="E26" s="3232">
        <f t="shared" si="0"/>
        <v>0</v>
      </c>
      <c r="F26" s="3232">
        <f t="shared" si="1"/>
        <v>11020779</v>
      </c>
      <c r="G26" s="3233" t="s">
        <v>6107</v>
      </c>
      <c r="H26" s="3238" t="s">
        <v>6015</v>
      </c>
      <c r="I26" s="3245">
        <f>+仮受仮払!F73</f>
        <v>11020779</v>
      </c>
      <c r="J26" s="3232">
        <f t="shared" si="2"/>
        <v>0</v>
      </c>
      <c r="K26" s="3231"/>
    </row>
    <row r="27" spans="1:11" ht="15" customHeight="1">
      <c r="A27" s="3234"/>
      <c r="B27" s="3234"/>
      <c r="C27" s="3234"/>
      <c r="D27" s="3234"/>
      <c r="E27" s="3232">
        <f t="shared" si="0"/>
        <v>0</v>
      </c>
      <c r="F27" s="3232">
        <f t="shared" si="1"/>
        <v>5379819</v>
      </c>
      <c r="G27" s="3233" t="s">
        <v>6107</v>
      </c>
      <c r="H27" s="3238" t="s">
        <v>6014</v>
      </c>
      <c r="I27" s="3245">
        <f>+仮受仮払!F74</f>
        <v>5379819</v>
      </c>
      <c r="J27" s="3232">
        <f t="shared" si="2"/>
        <v>0</v>
      </c>
      <c r="K27" s="3231"/>
    </row>
    <row r="28" spans="1:11" ht="15" customHeight="1">
      <c r="A28" s="3234"/>
      <c r="B28" s="3234"/>
      <c r="C28" s="3234"/>
      <c r="D28" s="3234"/>
      <c r="E28" s="3232">
        <f t="shared" si="0"/>
        <v>0</v>
      </c>
      <c r="F28" s="3232">
        <f t="shared" si="1"/>
        <v>59696859</v>
      </c>
      <c r="G28" s="3233" t="s">
        <v>6107</v>
      </c>
      <c r="H28" s="3236" t="s">
        <v>6012</v>
      </c>
      <c r="I28" s="3245">
        <f>+仮受仮払!F76</f>
        <v>59696859</v>
      </c>
      <c r="J28" s="3232">
        <f t="shared" si="2"/>
        <v>0</v>
      </c>
      <c r="K28" s="3231"/>
    </row>
    <row r="29" spans="1:11" ht="15" customHeight="1">
      <c r="A29" s="3234" t="s">
        <v>6115</v>
      </c>
      <c r="B29" s="3234"/>
      <c r="C29" s="3234"/>
      <c r="D29" s="3234"/>
      <c r="E29" s="3232">
        <f t="shared" si="0"/>
        <v>0</v>
      </c>
      <c r="F29" s="3232">
        <f t="shared" si="1"/>
        <v>1886277459</v>
      </c>
      <c r="G29" s="3233" t="s">
        <v>6109</v>
      </c>
      <c r="H29" s="3233" t="s">
        <v>6107</v>
      </c>
      <c r="I29" s="3245">
        <f>F3+F4-F38</f>
        <v>1886277459</v>
      </c>
      <c r="J29" s="3232">
        <f t="shared" si="2"/>
        <v>0</v>
      </c>
      <c r="K29" s="3231"/>
    </row>
    <row r="30" spans="1:11" ht="15" customHeight="1">
      <c r="A30" s="3234"/>
      <c r="B30" s="3234"/>
      <c r="C30" s="3234"/>
      <c r="D30" s="3234"/>
      <c r="E30" s="3232">
        <f t="shared" si="0"/>
        <v>0</v>
      </c>
      <c r="F30" s="3237">
        <f t="shared" si="1"/>
        <v>-343538729</v>
      </c>
      <c r="G30" s="3233" t="s">
        <v>6069</v>
      </c>
      <c r="H30" s="3233" t="s">
        <v>6107</v>
      </c>
      <c r="I30" s="3246">
        <f>精算表!C14</f>
        <v>-343538729</v>
      </c>
      <c r="J30" s="3232">
        <f t="shared" si="2"/>
        <v>0</v>
      </c>
      <c r="K30" s="3231"/>
    </row>
    <row r="31" spans="1:11" ht="15" customHeight="1">
      <c r="A31" s="3241" t="s">
        <v>6114</v>
      </c>
      <c r="B31" s="3234"/>
      <c r="C31" s="3234"/>
      <c r="D31" s="3234"/>
      <c r="E31" s="3232">
        <f t="shared" si="0"/>
        <v>0</v>
      </c>
      <c r="F31" s="3232">
        <f t="shared" si="1"/>
        <v>552693179</v>
      </c>
      <c r="G31" s="3236" t="s">
        <v>6098</v>
      </c>
      <c r="H31" s="3233" t="s">
        <v>6107</v>
      </c>
      <c r="I31" s="3245">
        <f>+仮受仮払!F92</f>
        <v>552693179</v>
      </c>
      <c r="J31" s="3232">
        <f t="shared" si="2"/>
        <v>0</v>
      </c>
      <c r="K31" s="3231"/>
    </row>
    <row r="32" spans="1:11" ht="15" customHeight="1">
      <c r="A32" s="3241" t="s">
        <v>6113</v>
      </c>
      <c r="B32" s="3234"/>
      <c r="C32" s="3234"/>
      <c r="D32" s="3234"/>
      <c r="E32" s="3232">
        <f t="shared" si="0"/>
        <v>0</v>
      </c>
      <c r="F32" s="3232">
        <f t="shared" si="1"/>
        <v>522413737</v>
      </c>
      <c r="G32" s="3233" t="s">
        <v>5996</v>
      </c>
      <c r="H32" s="3236" t="s">
        <v>6098</v>
      </c>
      <c r="I32" s="3245">
        <f>+仮受仮払!F93</f>
        <v>522413737</v>
      </c>
      <c r="J32" s="3232">
        <f t="shared" si="2"/>
        <v>0</v>
      </c>
      <c r="K32" s="3231"/>
    </row>
    <row r="33" spans="1:11" ht="15" customHeight="1">
      <c r="A33" s="3241"/>
      <c r="B33" s="3234"/>
      <c r="C33" s="3234"/>
      <c r="D33" s="3234"/>
      <c r="E33" s="3232">
        <f t="shared" si="0"/>
        <v>0</v>
      </c>
      <c r="F33" s="3232">
        <f t="shared" si="1"/>
        <v>0</v>
      </c>
      <c r="G33" s="3233" t="s">
        <v>5995</v>
      </c>
      <c r="H33" s="3236" t="s">
        <v>6098</v>
      </c>
      <c r="I33" s="3245">
        <f>+仮受仮払!F94</f>
        <v>0</v>
      </c>
      <c r="J33" s="3232">
        <f t="shared" si="2"/>
        <v>0</v>
      </c>
      <c r="K33" s="3231"/>
    </row>
    <row r="34" spans="1:11" ht="15" customHeight="1">
      <c r="A34" s="3241"/>
      <c r="B34" s="3234"/>
      <c r="C34" s="3234"/>
      <c r="D34" s="3234"/>
      <c r="E34" s="3232">
        <f t="shared" si="0"/>
        <v>0</v>
      </c>
      <c r="F34" s="3232">
        <f t="shared" si="1"/>
        <v>0</v>
      </c>
      <c r="G34" s="3235" t="s">
        <v>6097</v>
      </c>
      <c r="H34" s="3236" t="s">
        <v>6098</v>
      </c>
      <c r="I34" s="3232"/>
      <c r="J34" s="3232">
        <f t="shared" si="2"/>
        <v>0</v>
      </c>
      <c r="K34" s="3231"/>
    </row>
    <row r="35" spans="1:11" ht="15" customHeight="1">
      <c r="A35" s="3234"/>
      <c r="B35" s="3234"/>
      <c r="C35" s="3234"/>
      <c r="D35" s="3234"/>
      <c r="E35" s="3232">
        <f t="shared" si="0"/>
        <v>0</v>
      </c>
      <c r="F35" s="3232">
        <f t="shared" si="1"/>
        <v>779531</v>
      </c>
      <c r="G35" s="3233" t="s">
        <v>5994</v>
      </c>
      <c r="H35" s="3236" t="s">
        <v>6098</v>
      </c>
      <c r="I35" s="3240">
        <f>+仮受仮払!F95</f>
        <v>779531</v>
      </c>
      <c r="J35" s="3232">
        <f t="shared" si="2"/>
        <v>0</v>
      </c>
      <c r="K35" s="3231"/>
    </row>
    <row r="36" spans="1:11" ht="15" customHeight="1">
      <c r="A36" s="3234"/>
      <c r="B36" s="3234"/>
      <c r="C36" s="3234"/>
      <c r="D36" s="3234"/>
      <c r="E36" s="3232">
        <f t="shared" si="0"/>
        <v>0</v>
      </c>
      <c r="F36" s="3232">
        <f t="shared" si="1"/>
        <v>3138956</v>
      </c>
      <c r="G36" s="3233" t="s">
        <v>5993</v>
      </c>
      <c r="H36" s="3236" t="s">
        <v>6098</v>
      </c>
      <c r="I36" s="3240">
        <f>+仮受仮払!F96</f>
        <v>3138956</v>
      </c>
      <c r="J36" s="3232">
        <f t="shared" si="2"/>
        <v>0</v>
      </c>
      <c r="K36" s="3231"/>
    </row>
    <row r="37" spans="1:11" ht="15" customHeight="1">
      <c r="A37" s="3234"/>
      <c r="B37" s="3234"/>
      <c r="C37" s="3234"/>
      <c r="D37" s="3234"/>
      <c r="E37" s="3232">
        <f t="shared" si="0"/>
        <v>0</v>
      </c>
      <c r="F37" s="3232">
        <f t="shared" si="1"/>
        <v>26360955</v>
      </c>
      <c r="G37" s="3233" t="s">
        <v>5992</v>
      </c>
      <c r="H37" s="3236" t="s">
        <v>6098</v>
      </c>
      <c r="I37" s="3240">
        <f>+仮受仮払!F97</f>
        <v>26360955</v>
      </c>
      <c r="J37" s="3232">
        <f t="shared" si="2"/>
        <v>0</v>
      </c>
      <c r="K37" s="3231"/>
    </row>
    <row r="38" spans="1:11" ht="15" customHeight="1">
      <c r="A38" s="3244" t="s">
        <v>6112</v>
      </c>
      <c r="B38" s="3243"/>
      <c r="C38" s="3243"/>
      <c r="D38" s="3234"/>
      <c r="E38" s="3232">
        <f t="shared" si="0"/>
        <v>0</v>
      </c>
      <c r="F38" s="3232">
        <f t="shared" si="1"/>
        <v>1880565</v>
      </c>
      <c r="G38" s="3242" t="s">
        <v>6109</v>
      </c>
      <c r="H38" s="3242" t="s">
        <v>6096</v>
      </c>
      <c r="I38" s="3240">
        <f>+-仮受仮払!F91</f>
        <v>1880565</v>
      </c>
      <c r="J38" s="3232">
        <f t="shared" si="2"/>
        <v>0</v>
      </c>
      <c r="K38" s="3231"/>
    </row>
    <row r="39" spans="1:11" ht="15" customHeight="1">
      <c r="A39" s="3241" t="s">
        <v>6111</v>
      </c>
      <c r="B39" s="3234"/>
      <c r="C39" s="3234"/>
      <c r="D39" s="3234"/>
      <c r="E39" s="3232">
        <f t="shared" si="0"/>
        <v>0</v>
      </c>
      <c r="F39" s="3232">
        <f t="shared" si="1"/>
        <v>212487477</v>
      </c>
      <c r="G39" s="3233" t="s">
        <v>6043</v>
      </c>
      <c r="H39" s="3233" t="s">
        <v>6107</v>
      </c>
      <c r="I39" s="3240">
        <f>+SUM(仮受仮払!F87:F90)</f>
        <v>212487477</v>
      </c>
      <c r="J39" s="3232">
        <f t="shared" si="2"/>
        <v>0</v>
      </c>
      <c r="K39" s="3231"/>
    </row>
    <row r="40" spans="1:11" ht="15" customHeight="1">
      <c r="A40" s="3234"/>
      <c r="B40" s="3234"/>
      <c r="C40" s="3234"/>
      <c r="D40" s="3234"/>
      <c r="E40" s="3232">
        <f t="shared" si="0"/>
        <v>0</v>
      </c>
      <c r="F40" s="3232">
        <f>SUM(F3:F39)</f>
        <v>7058570540</v>
      </c>
      <c r="G40" s="3233" t="s">
        <v>6095</v>
      </c>
      <c r="H40" s="3233" t="s">
        <v>6095</v>
      </c>
      <c r="I40" s="3232">
        <f>SUM(I3:I39)</f>
        <v>7058570540</v>
      </c>
      <c r="J40" s="3232">
        <f t="shared" si="2"/>
        <v>0</v>
      </c>
      <c r="K40" s="3231"/>
    </row>
    <row r="41" spans="1:11" ht="15" customHeight="1">
      <c r="A41" s="3234"/>
      <c r="B41" s="3234"/>
      <c r="C41" s="3234"/>
      <c r="D41" s="3234"/>
      <c r="E41" s="3232">
        <f t="shared" si="0"/>
        <v>1884549714</v>
      </c>
      <c r="F41" s="3232">
        <f t="shared" ref="F41:F78" si="3">SUMIF($G$3:$G$39,G41,$F$3:$F$39)</f>
        <v>1884549714</v>
      </c>
      <c r="G41" s="3233" t="s">
        <v>6110</v>
      </c>
      <c r="H41" s="3233" t="s">
        <v>6110</v>
      </c>
      <c r="I41" s="3232">
        <f t="shared" ref="I41:I78" si="4">SUMIF($H$3:$H$39,H41,$I$3:$I$39)</f>
        <v>0</v>
      </c>
      <c r="J41" s="3232"/>
      <c r="K41" s="3231"/>
    </row>
    <row r="42" spans="1:11" ht="15" customHeight="1">
      <c r="A42" s="3234"/>
      <c r="B42" s="3234"/>
      <c r="C42" s="3234"/>
      <c r="D42" s="3234"/>
      <c r="E42" s="3232">
        <f t="shared" si="0"/>
        <v>0</v>
      </c>
      <c r="F42" s="3232">
        <f t="shared" si="3"/>
        <v>1888158024</v>
      </c>
      <c r="G42" s="3233" t="s">
        <v>6109</v>
      </c>
      <c r="H42" s="3233" t="s">
        <v>6109</v>
      </c>
      <c r="I42" s="3232">
        <f t="shared" si="4"/>
        <v>1888158024</v>
      </c>
      <c r="J42" s="3232">
        <f>I42-F42</f>
        <v>0</v>
      </c>
      <c r="K42" s="3231"/>
    </row>
    <row r="43" spans="1:11" ht="15" customHeight="1">
      <c r="A43" s="3234"/>
      <c r="B43" s="3234"/>
      <c r="C43" s="3234"/>
      <c r="D43" s="3234"/>
      <c r="E43" s="3232">
        <f t="shared" si="0"/>
        <v>3608310</v>
      </c>
      <c r="F43" s="3232">
        <f t="shared" si="3"/>
        <v>3608310</v>
      </c>
      <c r="G43" s="3233" t="s">
        <v>6108</v>
      </c>
      <c r="H43" s="3233" t="s">
        <v>6108</v>
      </c>
      <c r="I43" s="3232">
        <f t="shared" si="4"/>
        <v>0</v>
      </c>
      <c r="J43" s="3232"/>
      <c r="K43" s="3231"/>
    </row>
    <row r="44" spans="1:11" ht="15" customHeight="1">
      <c r="A44" s="3234"/>
      <c r="B44" s="3234"/>
      <c r="C44" s="3234"/>
      <c r="D44" s="3234"/>
      <c r="E44" s="3232"/>
      <c r="F44" s="3232">
        <f t="shared" si="3"/>
        <v>2307919386</v>
      </c>
      <c r="G44" s="3233" t="s">
        <v>6107</v>
      </c>
      <c r="H44" s="3233" t="s">
        <v>6107</v>
      </c>
      <c r="I44" s="3232">
        <f t="shared" si="4"/>
        <v>2307919386</v>
      </c>
      <c r="J44" s="3232">
        <f t="shared" ref="J44:J68" si="5">I44-F44</f>
        <v>0</v>
      </c>
      <c r="K44" s="3231"/>
    </row>
    <row r="45" spans="1:11" ht="15" customHeight="1">
      <c r="A45" s="3234"/>
      <c r="B45" s="3234"/>
      <c r="C45" s="3234"/>
      <c r="D45" s="3234"/>
      <c r="E45" s="3232"/>
      <c r="F45" s="3232">
        <f t="shared" si="3"/>
        <v>0</v>
      </c>
      <c r="G45" s="3233" t="s">
        <v>6106</v>
      </c>
      <c r="H45" s="3233" t="s">
        <v>6106</v>
      </c>
      <c r="I45" s="3232">
        <f t="shared" si="4"/>
        <v>47155349</v>
      </c>
      <c r="J45" s="3232">
        <f t="shared" si="5"/>
        <v>47155349</v>
      </c>
      <c r="K45" s="3231"/>
    </row>
    <row r="46" spans="1:11" ht="15" customHeight="1">
      <c r="A46" s="3234"/>
      <c r="B46" s="3234"/>
      <c r="C46" s="3234"/>
      <c r="D46" s="3234"/>
      <c r="E46" s="3232"/>
      <c r="F46" s="3232">
        <f t="shared" si="3"/>
        <v>0</v>
      </c>
      <c r="G46" s="3233" t="s">
        <v>6060</v>
      </c>
      <c r="H46" s="3233" t="s">
        <v>6060</v>
      </c>
      <c r="I46" s="3232">
        <f t="shared" si="4"/>
        <v>1130574</v>
      </c>
      <c r="J46" s="3232">
        <f t="shared" si="5"/>
        <v>1130574</v>
      </c>
      <c r="K46" s="3231"/>
    </row>
    <row r="47" spans="1:11" ht="15" customHeight="1">
      <c r="A47" s="3234"/>
      <c r="B47" s="3234"/>
      <c r="C47" s="3234"/>
      <c r="D47" s="3234"/>
      <c r="E47" s="3232"/>
      <c r="F47" s="3232">
        <f t="shared" si="3"/>
        <v>0</v>
      </c>
      <c r="G47" s="3233" t="s">
        <v>6059</v>
      </c>
      <c r="H47" s="3233" t="s">
        <v>6059</v>
      </c>
      <c r="I47" s="3232">
        <f t="shared" si="4"/>
        <v>104382258</v>
      </c>
      <c r="J47" s="3232">
        <f t="shared" si="5"/>
        <v>104382258</v>
      </c>
      <c r="K47" s="3231"/>
    </row>
    <row r="48" spans="1:11" ht="15" customHeight="1">
      <c r="A48" s="3234"/>
      <c r="B48" s="3234"/>
      <c r="C48" s="3234"/>
      <c r="D48" s="3234"/>
      <c r="E48" s="3232"/>
      <c r="F48" s="3232">
        <f t="shared" si="3"/>
        <v>0</v>
      </c>
      <c r="G48" s="3233" t="s">
        <v>6058</v>
      </c>
      <c r="H48" s="3233" t="s">
        <v>6058</v>
      </c>
      <c r="I48" s="3232">
        <f t="shared" si="4"/>
        <v>519893786</v>
      </c>
      <c r="J48" s="3232">
        <f t="shared" si="5"/>
        <v>519893786</v>
      </c>
      <c r="K48" s="3231"/>
    </row>
    <row r="49" spans="1:11" ht="15" customHeight="1">
      <c r="A49" s="3234"/>
      <c r="B49" s="3234"/>
      <c r="C49" s="3234"/>
      <c r="D49" s="3234"/>
      <c r="E49" s="3232"/>
      <c r="F49" s="3232">
        <f t="shared" si="3"/>
        <v>0</v>
      </c>
      <c r="G49" s="3233" t="s">
        <v>6057</v>
      </c>
      <c r="H49" s="3233" t="s">
        <v>6057</v>
      </c>
      <c r="I49" s="3232">
        <f t="shared" si="4"/>
        <v>0</v>
      </c>
      <c r="J49" s="3232">
        <f t="shared" si="5"/>
        <v>0</v>
      </c>
      <c r="K49" s="3231"/>
    </row>
    <row r="50" spans="1:11" ht="15" customHeight="1">
      <c r="A50" s="3234"/>
      <c r="B50" s="3234"/>
      <c r="C50" s="3234"/>
      <c r="D50" s="3234"/>
      <c r="E50" s="3232"/>
      <c r="F50" s="3232">
        <f t="shared" si="3"/>
        <v>0</v>
      </c>
      <c r="G50" s="3233" t="s">
        <v>6056</v>
      </c>
      <c r="H50" s="3233" t="s">
        <v>6056</v>
      </c>
      <c r="I50" s="3232">
        <f t="shared" si="4"/>
        <v>1715497</v>
      </c>
      <c r="J50" s="3232">
        <f t="shared" si="5"/>
        <v>1715497</v>
      </c>
      <c r="K50" s="3231"/>
    </row>
    <row r="51" spans="1:11" ht="15" customHeight="1">
      <c r="A51" s="3234"/>
      <c r="B51" s="3234"/>
      <c r="C51" s="3234"/>
      <c r="D51" s="3234"/>
      <c r="E51" s="3232"/>
      <c r="F51" s="3232">
        <f t="shared" si="3"/>
        <v>0</v>
      </c>
      <c r="G51" s="3238" t="s">
        <v>6009</v>
      </c>
      <c r="H51" s="3238" t="s">
        <v>6009</v>
      </c>
      <c r="I51" s="3232">
        <f t="shared" si="4"/>
        <v>87589</v>
      </c>
      <c r="J51" s="3232">
        <f t="shared" si="5"/>
        <v>87589</v>
      </c>
      <c r="K51" s="3231"/>
    </row>
    <row r="52" spans="1:11" ht="15" customHeight="1">
      <c r="A52" s="3234"/>
      <c r="B52" s="3234"/>
      <c r="C52" s="3234"/>
      <c r="D52" s="3234"/>
      <c r="E52" s="3232"/>
      <c r="F52" s="3232">
        <f t="shared" si="3"/>
        <v>0</v>
      </c>
      <c r="G52" s="3233" t="s">
        <v>6055</v>
      </c>
      <c r="H52" s="3233" t="s">
        <v>6055</v>
      </c>
      <c r="I52" s="3232">
        <f t="shared" si="4"/>
        <v>90253429</v>
      </c>
      <c r="J52" s="3232">
        <f t="shared" si="5"/>
        <v>90253429</v>
      </c>
      <c r="K52" s="3231"/>
    </row>
    <row r="53" spans="1:11" ht="15" customHeight="1">
      <c r="A53" s="3234"/>
      <c r="B53" s="3234"/>
      <c r="C53" s="3234"/>
      <c r="D53" s="3234"/>
      <c r="E53" s="3232"/>
      <c r="F53" s="3232">
        <f t="shared" si="3"/>
        <v>0</v>
      </c>
      <c r="G53" s="3233" t="s">
        <v>6054</v>
      </c>
      <c r="H53" s="3233" t="s">
        <v>6054</v>
      </c>
      <c r="I53" s="3232">
        <f t="shared" si="4"/>
        <v>17678805</v>
      </c>
      <c r="J53" s="3232">
        <f t="shared" si="5"/>
        <v>17678805</v>
      </c>
      <c r="K53" s="3231"/>
    </row>
    <row r="54" spans="1:11" ht="15" customHeight="1">
      <c r="A54" s="3234"/>
      <c r="B54" s="3234"/>
      <c r="C54" s="3234"/>
      <c r="D54" s="3234"/>
      <c r="E54" s="3232"/>
      <c r="F54" s="3232">
        <f t="shared" si="3"/>
        <v>0</v>
      </c>
      <c r="G54" s="3238" t="s">
        <v>6105</v>
      </c>
      <c r="H54" s="3238" t="s">
        <v>6105</v>
      </c>
      <c r="I54" s="3232">
        <f t="shared" si="4"/>
        <v>9713984</v>
      </c>
      <c r="J54" s="3232">
        <f t="shared" si="5"/>
        <v>9713984</v>
      </c>
      <c r="K54" s="3231"/>
    </row>
    <row r="55" spans="1:11" ht="15" customHeight="1">
      <c r="A55" s="3234"/>
      <c r="B55" s="3234"/>
      <c r="C55" s="3234"/>
      <c r="D55" s="3234"/>
      <c r="E55" s="3232"/>
      <c r="F55" s="3232">
        <f t="shared" si="3"/>
        <v>0</v>
      </c>
      <c r="G55" s="3233" t="s">
        <v>6104</v>
      </c>
      <c r="H55" s="3233" t="s">
        <v>6104</v>
      </c>
      <c r="I55" s="3232">
        <f t="shared" si="4"/>
        <v>22486229</v>
      </c>
      <c r="J55" s="3232">
        <f t="shared" si="5"/>
        <v>22486229</v>
      </c>
      <c r="K55" s="3231"/>
    </row>
    <row r="56" spans="1:11" ht="15" customHeight="1">
      <c r="A56" s="3234"/>
      <c r="B56" s="3234"/>
      <c r="C56" s="3234"/>
      <c r="D56" s="3234"/>
      <c r="E56" s="3232"/>
      <c r="F56" s="3232">
        <f t="shared" si="3"/>
        <v>0</v>
      </c>
      <c r="G56" s="3233" t="s">
        <v>6051</v>
      </c>
      <c r="H56" s="3233" t="s">
        <v>6051</v>
      </c>
      <c r="I56" s="3232">
        <f t="shared" si="4"/>
        <v>6447001</v>
      </c>
      <c r="J56" s="3232">
        <f t="shared" si="5"/>
        <v>6447001</v>
      </c>
      <c r="K56" s="3231"/>
    </row>
    <row r="57" spans="1:11" ht="15" customHeight="1">
      <c r="A57" s="3234"/>
      <c r="B57" s="3234"/>
      <c r="C57" s="3234"/>
      <c r="D57" s="3234"/>
      <c r="E57" s="3232"/>
      <c r="F57" s="3232">
        <f t="shared" si="3"/>
        <v>0</v>
      </c>
      <c r="G57" s="3233" t="s">
        <v>6050</v>
      </c>
      <c r="H57" s="3233" t="s">
        <v>6050</v>
      </c>
      <c r="I57" s="3232">
        <f t="shared" si="4"/>
        <v>0</v>
      </c>
      <c r="J57" s="3232">
        <f t="shared" si="5"/>
        <v>0</v>
      </c>
      <c r="K57" s="3231"/>
    </row>
    <row r="58" spans="1:11" ht="15" customHeight="1">
      <c r="A58" s="3234"/>
      <c r="B58" s="3234"/>
      <c r="C58" s="3234"/>
      <c r="D58" s="3234"/>
      <c r="E58" s="3232"/>
      <c r="F58" s="3232">
        <f t="shared" si="3"/>
        <v>0</v>
      </c>
      <c r="G58" s="3233" t="s">
        <v>6103</v>
      </c>
      <c r="H58" s="3233" t="s">
        <v>6103</v>
      </c>
      <c r="I58" s="3232">
        <f t="shared" si="4"/>
        <v>0</v>
      </c>
      <c r="J58" s="3232">
        <f t="shared" si="5"/>
        <v>0</v>
      </c>
      <c r="K58" s="3231"/>
    </row>
    <row r="59" spans="1:11" ht="15" customHeight="1">
      <c r="A59" s="3234"/>
      <c r="B59" s="3234"/>
      <c r="C59" s="3234"/>
      <c r="D59" s="3234"/>
      <c r="E59" s="3232"/>
      <c r="F59" s="3232">
        <f t="shared" si="3"/>
        <v>0</v>
      </c>
      <c r="G59" s="3239" t="s">
        <v>6102</v>
      </c>
      <c r="H59" s="3239" t="s">
        <v>6102</v>
      </c>
      <c r="I59" s="3232">
        <f t="shared" si="4"/>
        <v>6109254</v>
      </c>
      <c r="J59" s="3232">
        <f t="shared" si="5"/>
        <v>6109254</v>
      </c>
      <c r="K59" s="3231"/>
    </row>
    <row r="60" spans="1:11" ht="15" customHeight="1">
      <c r="A60" s="3234"/>
      <c r="B60" s="3234"/>
      <c r="C60" s="3234"/>
      <c r="D60" s="3234"/>
      <c r="E60" s="3232"/>
      <c r="F60" s="3232">
        <f t="shared" si="3"/>
        <v>0</v>
      </c>
      <c r="G60" s="3238" t="s">
        <v>6041</v>
      </c>
      <c r="H60" s="3238" t="s">
        <v>6041</v>
      </c>
      <c r="I60" s="3232">
        <f t="shared" si="4"/>
        <v>968444</v>
      </c>
      <c r="J60" s="3232">
        <f t="shared" si="5"/>
        <v>968444</v>
      </c>
      <c r="K60" s="3231"/>
    </row>
    <row r="61" spans="1:11" ht="15" customHeight="1">
      <c r="A61" s="3234"/>
      <c r="B61" s="3234"/>
      <c r="C61" s="3234"/>
      <c r="D61" s="3234"/>
      <c r="E61" s="3232"/>
      <c r="F61" s="3232">
        <f t="shared" si="3"/>
        <v>0</v>
      </c>
      <c r="G61" s="3238" t="s">
        <v>6101</v>
      </c>
      <c r="H61" s="3238" t="s">
        <v>6101</v>
      </c>
      <c r="I61" s="3232">
        <f t="shared" si="4"/>
        <v>0</v>
      </c>
      <c r="J61" s="3232">
        <f t="shared" si="5"/>
        <v>0</v>
      </c>
      <c r="K61" s="3231"/>
    </row>
    <row r="62" spans="1:11" ht="15" customHeight="1">
      <c r="A62" s="3234"/>
      <c r="B62" s="3234"/>
      <c r="C62" s="3234"/>
      <c r="D62" s="3234"/>
      <c r="E62" s="3232"/>
      <c r="F62" s="3232">
        <f t="shared" si="3"/>
        <v>0</v>
      </c>
      <c r="G62" s="3238" t="s">
        <v>6019</v>
      </c>
      <c r="H62" s="3238" t="s">
        <v>6019</v>
      </c>
      <c r="I62" s="3232">
        <f t="shared" si="4"/>
        <v>1356109400</v>
      </c>
      <c r="J62" s="3232">
        <f t="shared" si="5"/>
        <v>1356109400</v>
      </c>
      <c r="K62" s="3231"/>
    </row>
    <row r="63" spans="1:11" ht="15" customHeight="1">
      <c r="A63" s="3234"/>
      <c r="B63" s="3234"/>
      <c r="C63" s="3234"/>
      <c r="D63" s="3234"/>
      <c r="E63" s="3232"/>
      <c r="F63" s="3232">
        <f t="shared" si="3"/>
        <v>0</v>
      </c>
      <c r="G63" s="3238" t="s">
        <v>6100</v>
      </c>
      <c r="H63" s="3238" t="s">
        <v>6100</v>
      </c>
      <c r="I63" s="3232">
        <f t="shared" si="4"/>
        <v>543071</v>
      </c>
      <c r="J63" s="3232">
        <f t="shared" si="5"/>
        <v>543071</v>
      </c>
      <c r="K63" s="3231"/>
    </row>
    <row r="64" spans="1:11" ht="15" customHeight="1">
      <c r="A64" s="3234"/>
      <c r="B64" s="3234"/>
      <c r="C64" s="3234"/>
      <c r="D64" s="3234"/>
      <c r="E64" s="3232"/>
      <c r="F64" s="3232">
        <f t="shared" si="3"/>
        <v>0</v>
      </c>
      <c r="G64" s="3238" t="s">
        <v>6017</v>
      </c>
      <c r="H64" s="3238" t="s">
        <v>6017</v>
      </c>
      <c r="I64" s="3232">
        <f t="shared" si="4"/>
        <v>47147259</v>
      </c>
      <c r="J64" s="3232">
        <f t="shared" si="5"/>
        <v>47147259</v>
      </c>
      <c r="K64" s="3231"/>
    </row>
    <row r="65" spans="1:11" ht="15" customHeight="1">
      <c r="A65" s="3234"/>
      <c r="B65" s="3234"/>
      <c r="C65" s="3234"/>
      <c r="D65" s="3234"/>
      <c r="E65" s="3232"/>
      <c r="F65" s="3232">
        <f t="shared" si="3"/>
        <v>0</v>
      </c>
      <c r="G65" s="3238" t="s">
        <v>6099</v>
      </c>
      <c r="H65" s="3238" t="s">
        <v>6099</v>
      </c>
      <c r="I65" s="3232">
        <f t="shared" si="4"/>
        <v>0</v>
      </c>
      <c r="J65" s="3232">
        <f t="shared" si="5"/>
        <v>0</v>
      </c>
      <c r="K65" s="3231"/>
    </row>
    <row r="66" spans="1:11" ht="15" customHeight="1">
      <c r="A66" s="3234"/>
      <c r="B66" s="3234"/>
      <c r="C66" s="3234"/>
      <c r="D66" s="3234"/>
      <c r="E66" s="3232"/>
      <c r="F66" s="3232">
        <f t="shared" si="3"/>
        <v>0</v>
      </c>
      <c r="G66" s="3238" t="s">
        <v>6015</v>
      </c>
      <c r="H66" s="3238" t="s">
        <v>6015</v>
      </c>
      <c r="I66" s="3232">
        <f t="shared" si="4"/>
        <v>11020779</v>
      </c>
      <c r="J66" s="3232">
        <f t="shared" si="5"/>
        <v>11020779</v>
      </c>
      <c r="K66" s="3231"/>
    </row>
    <row r="67" spans="1:11" ht="15" customHeight="1">
      <c r="A67" s="3234"/>
      <c r="B67" s="3234"/>
      <c r="C67" s="3234"/>
      <c r="D67" s="3234"/>
      <c r="E67" s="3232"/>
      <c r="F67" s="3232">
        <f t="shared" si="3"/>
        <v>0</v>
      </c>
      <c r="G67" s="3238" t="s">
        <v>6014</v>
      </c>
      <c r="H67" s="3238" t="s">
        <v>6014</v>
      </c>
      <c r="I67" s="3232">
        <f t="shared" si="4"/>
        <v>5379819</v>
      </c>
      <c r="J67" s="3232">
        <f t="shared" si="5"/>
        <v>5379819</v>
      </c>
      <c r="K67" s="3231"/>
    </row>
    <row r="68" spans="1:11" ht="15" customHeight="1">
      <c r="A68" s="3234"/>
      <c r="B68" s="3234"/>
      <c r="C68" s="3234"/>
      <c r="D68" s="3234"/>
      <c r="E68" s="3232"/>
      <c r="F68" s="3232">
        <f t="shared" si="3"/>
        <v>0</v>
      </c>
      <c r="G68" s="3236" t="s">
        <v>6012</v>
      </c>
      <c r="H68" s="3236" t="s">
        <v>6012</v>
      </c>
      <c r="I68" s="3232">
        <f t="shared" si="4"/>
        <v>59696859</v>
      </c>
      <c r="J68" s="3232">
        <f t="shared" si="5"/>
        <v>59696859</v>
      </c>
      <c r="K68" s="3231"/>
    </row>
    <row r="69" spans="1:11" ht="15" customHeight="1">
      <c r="A69" s="3234"/>
      <c r="B69" s="3234"/>
      <c r="C69" s="3234"/>
      <c r="D69" s="3234"/>
      <c r="E69" s="3237">
        <f t="shared" ref="E69:E76" si="6">F69-I69</f>
        <v>-343538729</v>
      </c>
      <c r="F69" s="3237">
        <f t="shared" si="3"/>
        <v>-343538729</v>
      </c>
      <c r="G69" s="3233" t="s">
        <v>6069</v>
      </c>
      <c r="H69" s="3233" t="s">
        <v>6069</v>
      </c>
      <c r="I69" s="3232">
        <f t="shared" si="4"/>
        <v>0</v>
      </c>
      <c r="J69" s="3232"/>
      <c r="K69" s="3231"/>
    </row>
    <row r="70" spans="1:11" ht="15" customHeight="1">
      <c r="A70" s="3234"/>
      <c r="B70" s="3234"/>
      <c r="C70" s="3234"/>
      <c r="D70" s="3234"/>
      <c r="E70" s="3232">
        <f t="shared" si="6"/>
        <v>0</v>
      </c>
      <c r="F70" s="3232">
        <f t="shared" si="3"/>
        <v>552693179</v>
      </c>
      <c r="G70" s="3236" t="s">
        <v>6098</v>
      </c>
      <c r="H70" s="3236" t="s">
        <v>6098</v>
      </c>
      <c r="I70" s="3232">
        <f t="shared" si="4"/>
        <v>552693179</v>
      </c>
      <c r="J70" s="3232"/>
      <c r="K70" s="3231"/>
    </row>
    <row r="71" spans="1:11" ht="15" customHeight="1">
      <c r="A71" s="3234"/>
      <c r="B71" s="3234"/>
      <c r="C71" s="3234"/>
      <c r="D71" s="3234"/>
      <c r="E71" s="3232">
        <f t="shared" si="6"/>
        <v>522413737</v>
      </c>
      <c r="F71" s="3232">
        <f t="shared" si="3"/>
        <v>522413737</v>
      </c>
      <c r="G71" s="3233" t="s">
        <v>5996</v>
      </c>
      <c r="H71" s="3233" t="s">
        <v>5996</v>
      </c>
      <c r="I71" s="3232">
        <f t="shared" si="4"/>
        <v>0</v>
      </c>
      <c r="J71" s="3232"/>
      <c r="K71" s="3231"/>
    </row>
    <row r="72" spans="1:11" ht="15" customHeight="1">
      <c r="A72" s="3234"/>
      <c r="B72" s="3234"/>
      <c r="C72" s="3234"/>
      <c r="D72" s="3234"/>
      <c r="E72" s="3232">
        <f t="shared" si="6"/>
        <v>0</v>
      </c>
      <c r="F72" s="3232">
        <f t="shared" si="3"/>
        <v>0</v>
      </c>
      <c r="G72" s="3233" t="s">
        <v>5995</v>
      </c>
      <c r="H72" s="3233" t="s">
        <v>5995</v>
      </c>
      <c r="I72" s="3232">
        <f t="shared" si="4"/>
        <v>0</v>
      </c>
      <c r="J72" s="3232"/>
      <c r="K72" s="3231"/>
    </row>
    <row r="73" spans="1:11" ht="15" customHeight="1">
      <c r="A73" s="3234"/>
      <c r="B73" s="3234"/>
      <c r="C73" s="3234"/>
      <c r="D73" s="3234"/>
      <c r="E73" s="3232">
        <f t="shared" si="6"/>
        <v>0</v>
      </c>
      <c r="F73" s="3232">
        <f t="shared" si="3"/>
        <v>0</v>
      </c>
      <c r="G73" s="3235" t="s">
        <v>6097</v>
      </c>
      <c r="H73" s="3235" t="s">
        <v>6097</v>
      </c>
      <c r="I73" s="3232">
        <f t="shared" si="4"/>
        <v>0</v>
      </c>
      <c r="J73" s="3232"/>
      <c r="K73" s="3231"/>
    </row>
    <row r="74" spans="1:11" ht="15" customHeight="1">
      <c r="A74" s="3234"/>
      <c r="B74" s="3234"/>
      <c r="C74" s="3234"/>
      <c r="D74" s="3234"/>
      <c r="E74" s="3232">
        <f t="shared" si="6"/>
        <v>779531</v>
      </c>
      <c r="F74" s="3232">
        <f t="shared" si="3"/>
        <v>779531</v>
      </c>
      <c r="G74" s="3233" t="s">
        <v>5994</v>
      </c>
      <c r="H74" s="3233" t="s">
        <v>5994</v>
      </c>
      <c r="I74" s="3232">
        <f t="shared" si="4"/>
        <v>0</v>
      </c>
      <c r="J74" s="3232"/>
      <c r="K74" s="3231"/>
    </row>
    <row r="75" spans="1:11" ht="15" customHeight="1">
      <c r="A75" s="3234"/>
      <c r="B75" s="3234"/>
      <c r="C75" s="3234"/>
      <c r="D75" s="3234"/>
      <c r="E75" s="3232">
        <f t="shared" si="6"/>
        <v>3138956</v>
      </c>
      <c r="F75" s="3232">
        <f t="shared" si="3"/>
        <v>3138956</v>
      </c>
      <c r="G75" s="3233" t="s">
        <v>5993</v>
      </c>
      <c r="H75" s="3233" t="s">
        <v>5993</v>
      </c>
      <c r="I75" s="3232">
        <f t="shared" si="4"/>
        <v>0</v>
      </c>
      <c r="J75" s="3232"/>
      <c r="K75" s="3231"/>
    </row>
    <row r="76" spans="1:11" ht="15" customHeight="1">
      <c r="A76" s="3234"/>
      <c r="B76" s="3234"/>
      <c r="C76" s="3234"/>
      <c r="D76" s="3234"/>
      <c r="E76" s="3232">
        <f t="shared" si="6"/>
        <v>26360955</v>
      </c>
      <c r="F76" s="3232">
        <f t="shared" si="3"/>
        <v>26360955</v>
      </c>
      <c r="G76" s="3233" t="s">
        <v>5992</v>
      </c>
      <c r="H76" s="3233" t="s">
        <v>5992</v>
      </c>
      <c r="I76" s="3232">
        <f t="shared" si="4"/>
        <v>0</v>
      </c>
      <c r="J76" s="3232"/>
      <c r="K76" s="3231"/>
    </row>
    <row r="77" spans="1:11" ht="15" customHeight="1">
      <c r="A77" s="3234"/>
      <c r="B77" s="3234"/>
      <c r="C77" s="3234"/>
      <c r="D77" s="3234"/>
      <c r="E77" s="3232"/>
      <c r="F77" s="3232">
        <f t="shared" si="3"/>
        <v>0</v>
      </c>
      <c r="G77" s="3233" t="s">
        <v>6096</v>
      </c>
      <c r="H77" s="3233" t="s">
        <v>6096</v>
      </c>
      <c r="I77" s="3232">
        <f t="shared" si="4"/>
        <v>1880565</v>
      </c>
      <c r="J77" s="3232">
        <f>I77-F77</f>
        <v>1880565</v>
      </c>
      <c r="K77" s="3231"/>
    </row>
    <row r="78" spans="1:11" ht="15" customHeight="1">
      <c r="A78" s="3234"/>
      <c r="B78" s="3234"/>
      <c r="C78" s="3234"/>
      <c r="D78" s="3234"/>
      <c r="E78" s="3232">
        <f>F78-I78</f>
        <v>212487477</v>
      </c>
      <c r="F78" s="3232">
        <f t="shared" si="3"/>
        <v>212487477</v>
      </c>
      <c r="G78" s="3233" t="s">
        <v>6043</v>
      </c>
      <c r="H78" s="3233" t="s">
        <v>6043</v>
      </c>
      <c r="I78" s="3232">
        <f t="shared" si="4"/>
        <v>0</v>
      </c>
      <c r="J78" s="3232"/>
      <c r="K78" s="3231"/>
    </row>
    <row r="79" spans="1:11" ht="15" customHeight="1">
      <c r="A79" s="3234"/>
      <c r="B79" s="3234"/>
      <c r="C79" s="3234"/>
      <c r="D79" s="3234"/>
      <c r="E79" s="3232">
        <f>SUM(E41:E78)</f>
        <v>2309799951</v>
      </c>
      <c r="F79" s="3232">
        <f>SUM(F41:F78)</f>
        <v>7058570540</v>
      </c>
      <c r="G79" s="3233" t="s">
        <v>6095</v>
      </c>
      <c r="H79" s="3233" t="s">
        <v>6095</v>
      </c>
      <c r="I79" s="3232">
        <f>SUM(I41:I78)</f>
        <v>7058570540</v>
      </c>
      <c r="J79" s="3232">
        <f>SUM(J41:J78)</f>
        <v>2309799951</v>
      </c>
      <c r="K79" s="3231"/>
    </row>
    <row r="80" spans="1:11">
      <c r="J80" s="3231"/>
    </row>
    <row r="81" spans="10:10">
      <c r="J81" s="3231"/>
    </row>
  </sheetData>
  <mergeCells count="3">
    <mergeCell ref="A1:C1"/>
    <mergeCell ref="E1:G1"/>
    <mergeCell ref="H1:J1"/>
  </mergeCells>
  <phoneticPr fontId="4"/>
  <printOptions horizontalCentered="1"/>
  <pageMargins left="0" right="0" top="0.59055118110236227" bottom="0.39370078740157483" header="0.31496062992125984" footer="0.11811023622047245"/>
  <pageSetup paperSize="9" scale="75" orientation="portrait" horizontalDpi="400" verticalDpi="400" r:id="rId1"/>
  <headerFooter alignWithMargins="0">
    <oddHeader>&amp;C&amp;"ＭＳ Ｐ明朝,太字 斜体"&amp;14　&amp;A</oddHeader>
    <oddFooter>&amp;L&amp;8&amp;F　&amp;A&amp;R&amp;8&amp;D　&amp;T</oddFooter>
  </headerFooter>
  <legacyDrawing r:id="rId2"/>
</worksheet>
</file>

<file path=xl/worksheets/w8_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6"/>
  <sheetViews>
    <sheetView view="pageBreakPreview" zoomScaleNormal="100" zoomScaleSheetLayoutView="100" workbookViewId="0">
      <selection activeCell="G12" sqref="G12"/>
    </sheetView>
  </sheetViews>
  <sheetFormatPr defaultRowHeight="13.5"/>
  <cols>
    <col min="1" max="2" width="2.625" style="3993" customWidth="1"/>
    <col min="3" max="3" width="38" style="3993" bestFit="1" customWidth="1"/>
    <col min="4" max="4" width="9.875" style="3993" bestFit="1" customWidth="1"/>
    <col min="5" max="5" width="17.625" style="3993" customWidth="1"/>
    <col min="6" max="6" width="2.75" style="3993" customWidth="1"/>
    <col min="7" max="7" width="17.625" style="3993" customWidth="1"/>
    <col min="8" max="8" width="59.375" style="3993" customWidth="1"/>
    <col min="9" max="10" width="9" style="3993"/>
    <col min="11" max="11" width="14" style="4011" bestFit="1" customWidth="1"/>
    <col min="12" max="16384" width="9" style="3993"/>
  </cols>
  <sheetData>
    <row r="1" spans="1:8" ht="18.75" customHeight="1">
      <c r="C1" s="3993" t="s">
        <v>7058</v>
      </c>
      <c r="E1" s="3994" t="s">
        <v>7021</v>
      </c>
      <c r="G1" s="3994" t="s">
        <v>7062</v>
      </c>
      <c r="H1" s="3994" t="s">
        <v>7055</v>
      </c>
    </row>
    <row r="2" spans="1:8" ht="20.25" customHeight="1">
      <c r="C2" s="3993" t="s">
        <v>7059</v>
      </c>
    </row>
    <row r="3" spans="1:8" ht="18.75" customHeight="1">
      <c r="A3" s="3993" t="s">
        <v>7022</v>
      </c>
      <c r="D3" s="3993" t="s">
        <v>7023</v>
      </c>
      <c r="E3" s="4008">
        <v>59709459299</v>
      </c>
      <c r="F3" s="3996"/>
      <c r="G3" s="3995">
        <f>'(繰)4条支出 '!G5</f>
        <v>61875977537</v>
      </c>
      <c r="H3" s="3997" t="s">
        <v>7051</v>
      </c>
    </row>
    <row r="4" spans="1:8" ht="18.75" customHeight="1">
      <c r="E4" s="3996"/>
      <c r="F4" s="3996"/>
      <c r="G4" s="4008">
        <v>2698946190.9999962</v>
      </c>
      <c r="H4" s="3997" t="s">
        <v>7056</v>
      </c>
    </row>
    <row r="5" spans="1:8" ht="18.75" customHeight="1">
      <c r="A5" s="3993" t="s">
        <v>7024</v>
      </c>
      <c r="D5" s="3993" t="s">
        <v>7025</v>
      </c>
      <c r="E5" s="4006">
        <v>39670381852</v>
      </c>
      <c r="F5" s="3996"/>
      <c r="G5" s="3998">
        <f>G4+'(繰)4条収入'!G35</f>
        <v>41438646781</v>
      </c>
      <c r="H5" s="3997" t="s">
        <v>7050</v>
      </c>
    </row>
    <row r="6" spans="1:8" ht="18.75" customHeight="1" thickBot="1">
      <c r="B6" s="3999" t="s">
        <v>7026</v>
      </c>
      <c r="C6" s="3999"/>
      <c r="D6" s="3993" t="s">
        <v>7027</v>
      </c>
      <c r="E6" s="4000">
        <f>E5+E7</f>
        <v>40554720469</v>
      </c>
      <c r="F6" s="3996"/>
      <c r="G6" s="4000">
        <f>G5+G7</f>
        <v>42025205141</v>
      </c>
      <c r="H6" s="3997"/>
    </row>
    <row r="7" spans="1:8" ht="18.75" customHeight="1" thickBot="1">
      <c r="B7" s="3993" t="s">
        <v>7028</v>
      </c>
      <c r="D7" s="3993" t="s">
        <v>7029</v>
      </c>
      <c r="E7" s="4010">
        <v>884338617</v>
      </c>
      <c r="F7" s="3996"/>
      <c r="G7" s="4001">
        <f>'(繰)4条支出 '!J5-'(繰)4条収入'!L5</f>
        <v>586558360</v>
      </c>
      <c r="H7" s="3997" t="s">
        <v>7054</v>
      </c>
    </row>
    <row r="8" spans="1:8" ht="18.75" customHeight="1">
      <c r="E8" s="3996"/>
      <c r="F8" s="3996"/>
      <c r="G8" s="3996"/>
      <c r="H8" s="3997"/>
    </row>
    <row r="9" spans="1:8" ht="18.75" customHeight="1">
      <c r="A9" s="3993" t="s">
        <v>7030</v>
      </c>
      <c r="D9" s="3993" t="s">
        <v>7031</v>
      </c>
      <c r="E9" s="4002">
        <f>E3-E5</f>
        <v>20039077447</v>
      </c>
      <c r="F9" s="3996"/>
      <c r="G9" s="4002">
        <f>G3-G5</f>
        <v>20437330756</v>
      </c>
      <c r="H9" s="3997"/>
    </row>
    <row r="10" spans="1:8" ht="18.75" customHeight="1">
      <c r="E10" s="3996"/>
      <c r="F10" s="3996"/>
      <c r="G10" s="3996"/>
      <c r="H10" s="3997"/>
    </row>
    <row r="11" spans="1:8" ht="18.75" customHeight="1">
      <c r="A11" s="3993" t="s">
        <v>7032</v>
      </c>
      <c r="D11" s="3993" t="s">
        <v>7033</v>
      </c>
      <c r="E11" s="4002">
        <f>SUM(E12:E13,E16:E17)</f>
        <v>20039077447</v>
      </c>
      <c r="F11" s="3996"/>
      <c r="G11" s="4002">
        <f>SUM(G12:G13,G16:G17)</f>
        <v>20437330756</v>
      </c>
      <c r="H11" s="3997"/>
    </row>
    <row r="12" spans="1:8" ht="18.75" customHeight="1" thickBot="1">
      <c r="B12" s="3993" t="s">
        <v>7034</v>
      </c>
      <c r="D12" s="3993" t="s">
        <v>7035</v>
      </c>
      <c r="E12" s="4008">
        <v>769659721</v>
      </c>
      <c r="F12" s="3996"/>
      <c r="G12" s="3995">
        <f>'(繰)案'!E33</f>
        <v>923595698</v>
      </c>
      <c r="H12" s="3997" t="s">
        <v>7057</v>
      </c>
    </row>
    <row r="13" spans="1:8" ht="18.75" customHeight="1" thickBot="1">
      <c r="B13" s="3993" t="s">
        <v>7036</v>
      </c>
      <c r="D13" s="3993" t="s">
        <v>7037</v>
      </c>
      <c r="E13" s="4003">
        <f>SUM(E14:E15)</f>
        <v>627253803</v>
      </c>
      <c r="F13" s="3996"/>
      <c r="G13" s="4003">
        <f>SUM(G14:G15)</f>
        <v>884338617</v>
      </c>
      <c r="H13" s="3997"/>
    </row>
    <row r="14" spans="1:8" ht="18.75" customHeight="1">
      <c r="C14" s="3993" t="s">
        <v>7038</v>
      </c>
      <c r="D14" s="3993" t="s">
        <v>7039</v>
      </c>
      <c r="E14" s="4008">
        <v>627111363</v>
      </c>
      <c r="F14" s="3996"/>
      <c r="G14" s="4004">
        <f>E7</f>
        <v>884338617</v>
      </c>
      <c r="H14" s="3997"/>
    </row>
    <row r="15" spans="1:8" ht="18.75" customHeight="1">
      <c r="C15" s="3993" t="s">
        <v>7040</v>
      </c>
      <c r="D15" s="3993" t="s">
        <v>7041</v>
      </c>
      <c r="E15" s="4008">
        <v>142440</v>
      </c>
      <c r="F15" s="3996"/>
      <c r="G15" s="4007"/>
      <c r="H15" s="3997" t="s">
        <v>7042</v>
      </c>
    </row>
    <row r="16" spans="1:8" ht="18.75" customHeight="1">
      <c r="B16" s="3993" t="s">
        <v>7043</v>
      </c>
      <c r="D16" s="3993" t="s">
        <v>7044</v>
      </c>
      <c r="E16" s="4008">
        <v>17443558426</v>
      </c>
      <c r="F16" s="3996"/>
      <c r="G16" s="3995">
        <f>'(繰)案'!E22</f>
        <v>17579830234</v>
      </c>
      <c r="H16" s="3997" t="s">
        <v>7052</v>
      </c>
    </row>
    <row r="17" spans="1:8" ht="18.75" customHeight="1">
      <c r="B17" s="3993" t="s">
        <v>7045</v>
      </c>
      <c r="D17" s="3993" t="s">
        <v>7046</v>
      </c>
      <c r="E17" s="4008">
        <v>1198605497</v>
      </c>
      <c r="F17" s="3996"/>
      <c r="G17" s="3995">
        <f>'(繰)案'!E34</f>
        <v>1049566207</v>
      </c>
      <c r="H17" s="3997" t="s">
        <v>7053</v>
      </c>
    </row>
    <row r="18" spans="1:8" ht="18.75" customHeight="1">
      <c r="E18" s="3996"/>
      <c r="F18" s="3996"/>
      <c r="G18" s="3996"/>
      <c r="H18" s="3997"/>
    </row>
    <row r="19" spans="1:8" ht="18.75" customHeight="1">
      <c r="A19" s="3993" t="s">
        <v>7047</v>
      </c>
      <c r="D19" s="3993" t="s">
        <v>7048</v>
      </c>
      <c r="E19" s="4005">
        <f>E9-E11</f>
        <v>0</v>
      </c>
      <c r="F19" s="3996"/>
      <c r="G19" s="4005">
        <f>G9-G11</f>
        <v>0</v>
      </c>
      <c r="H19" s="3997" t="s">
        <v>7049</v>
      </c>
    </row>
    <row r="20" spans="1:8" ht="18.75" customHeight="1">
      <c r="E20" s="3996"/>
      <c r="F20" s="3996"/>
      <c r="G20" s="3996"/>
    </row>
    <row r="21" spans="1:8" ht="18.75" customHeight="1">
      <c r="E21" s="3996"/>
      <c r="F21" s="3996"/>
      <c r="G21" s="3996"/>
    </row>
    <row r="22" spans="1:8" ht="18.75" customHeight="1"/>
    <row r="23" spans="1:8" ht="18.75" customHeight="1"/>
    <row r="24" spans="1:8" ht="18.75" customHeight="1">
      <c r="G24" s="4009"/>
    </row>
    <row r="25" spans="1:8" ht="18.75" customHeight="1"/>
    <row r="26" spans="1:8" ht="18.75" customHeight="1"/>
  </sheetData>
  <phoneticPr fontId="3"/>
  <pageMargins left="0.70866141732283472" right="0.70866141732283472" top="0.74803149606299213" bottom="0.74803149606299213" header="0.31496062992125984" footer="0.31496062992125984"/>
  <pageSetup paperSize="9" scale="88" orientation="landscape" r:id="rId1"/>
  <headerFooter>
    <oddHeader>&amp;C一般会計出資金の最終チェック</oddHeader>
  </headerFooter>
  <colBreaks count="1" manualBreakCount="1">
    <brk id="7" max="1048575" man="1"/>
  </colBreaks>
  <legacyDrawing r:id="rId2"/>
</worksheet>
</file>

<file path=xl/worksheets/w8_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K42"/>
  <sheetViews>
    <sheetView view="pageBreakPreview" zoomScaleNormal="115" zoomScaleSheetLayoutView="100" workbookViewId="0">
      <selection sqref="A1:G1"/>
    </sheetView>
  </sheetViews>
  <sheetFormatPr defaultRowHeight="13.5" outlineLevelRow="1"/>
  <cols>
    <col min="1" max="1" width="3.375" customWidth="1" style="3617"/>
    <col min="2" max="2" width="3.125" customWidth="1" style="3617"/>
    <col min="3" max="3" width="41.625" customWidth="1" style="3617"/>
    <col min="4" max="4" width="12.625" customWidth="1" style="3617"/>
    <col min="5" max="5" width="15.625" style="3618" bestFit="1" customWidth="1"/>
    <col min="6" max="6" width="4.375" customWidth="1" style="3617"/>
    <col min="7" max="7" width="5" customWidth="1" style="3617"/>
    <col min="8" max="8" width="24.25" customWidth="1" style="3617"/>
    <col min="10" max="10" width="14" style="3976" bestFit="1" customWidth="1"/>
  </cols>
  <sheetData>
    <row r="1" spans="1:11" ht="39" customHeight="1">
      <c r="A1" s="4841" t="s">
        <v>6609</v>
      </c>
      <c r="B1" s="4841"/>
      <c r="C1" s="4841"/>
      <c r="D1" s="4841"/>
      <c r="E1" s="4841"/>
      <c r="F1" s="4841"/>
      <c r="G1" s="4841"/>
    </row>
    <row r="2" spans="1:11" ht="23.1" customHeight="1">
      <c r="A2" t="s" s="3617">
        <v>6608</v>
      </c>
      <c r="E2" s="3631">
        <f>'(繰)対前年'!G46</f>
        <v>17495336000</v>
      </c>
      <c r="F2" t="s" s="3617">
        <v>6556</v>
      </c>
    </row>
    <row r="3" spans="1:11" ht="23.1" customHeight="1">
      <c r="A3" t="s" s="3617">
        <v>6607</v>
      </c>
      <c r="D3" s="3625" t="s">
        <v>6606</v>
      </c>
      <c r="E3" s="3622">
        <f>+E2</f>
        <v>17495336000</v>
      </c>
      <c r="F3" t="s" s="3617">
        <v>6556</v>
      </c>
    </row>
    <row r="4" spans="1:11" ht="23.1" hidden="1" customHeight="1">
      <c r="A4" s="3639" t="s">
        <v>6605</v>
      </c>
      <c r="C4" s="3633"/>
      <c r="D4" s="3625" t="s">
        <v>6604</v>
      </c>
      <c r="E4" s="3631">
        <f>+'(繰)対前年'!G36</f>
        <v>0</v>
      </c>
      <c r="F4" s="3639" t="s">
        <v>6556</v>
      </c>
      <c r="I4" s="3639"/>
    </row>
    <row r="5" spans="1:11" s="3639" customFormat="1" ht="23.1" customHeight="1">
      <c r="A5" t="s" s="3617">
        <v>6603</v>
      </c>
      <c r="C5" s="3640"/>
      <c r="D5" s="3625" t="s">
        <v>6602</v>
      </c>
      <c r="E5" s="3631">
        <f>+'(繰)対前年'!H39</f>
        <v>17481810139</v>
      </c>
      <c r="F5" s="3639" t="s">
        <v>6556</v>
      </c>
      <c r="H5" t="s" s="3617">
        <v>6562</v>
      </c>
      <c r="J5" s="3977"/>
    </row>
    <row r="6" spans="1:11" s="3639" customFormat="1" ht="23.1" hidden="1" customHeight="1">
      <c r="A6" t="s" s="3617">
        <v>6601</v>
      </c>
      <c r="C6" s="3640"/>
      <c r="D6" s="3625" t="s">
        <v>6600</v>
      </c>
      <c r="E6" s="3631">
        <f>+'(繰)対前年'!H38</f>
        <v>0</v>
      </c>
      <c r="F6" s="3639" t="s">
        <v>6556</v>
      </c>
      <c r="J6" s="3977"/>
    </row>
    <row r="7" spans="1:11" ht="23.1" customHeight="1" thickBot="1">
      <c r="A7" t="s" s="3617">
        <v>6599</v>
      </c>
      <c r="D7" s="3625" t="s">
        <v>6598</v>
      </c>
      <c r="E7" s="3638">
        <f>E3+E4-E5-E6</f>
        <v>13525861</v>
      </c>
      <c r="F7" s="3637" t="s">
        <v>6556</v>
      </c>
    </row>
    <row r="8" spans="1:11" ht="14.25" thickTop="1">
      <c r="D8" s="3625"/>
      <c r="E8" s="3636"/>
      <c r="F8" s="3635"/>
    </row>
    <row r="9" spans="1:11" ht="23.1" customHeight="1">
      <c r="A9" t="s" s="3617">
        <v>6597</v>
      </c>
      <c r="D9" s="3634"/>
      <c r="E9" s="3622"/>
    </row>
    <row r="10" spans="1:11" ht="23.1" customHeight="1">
      <c r="B10" t="s" s="3617">
        <v>6596</v>
      </c>
      <c r="E10" s="3622"/>
      <c r="H10" t="s" s="3617">
        <v>6595</v>
      </c>
    </row>
    <row r="11" spans="1:11" ht="23.1" customHeight="1">
      <c r="C11" t="s" s="3617">
        <v>6594</v>
      </c>
      <c r="D11" s="3625" t="s">
        <v>6593</v>
      </c>
      <c r="E11" s="3631">
        <f>'(繰)3条支出 '!I4</f>
        <v>42028134935</v>
      </c>
      <c r="F11" t="s" s="3617">
        <v>6556</v>
      </c>
      <c r="H11" s="3632">
        <f>+'3条支出'!T41</f>
        <v>42028134935</v>
      </c>
      <c r="K11" s="3975"/>
    </row>
    <row r="12" spans="1:11" ht="23.1" customHeight="1">
      <c r="C12" t="s" s="3617">
        <v>6592</v>
      </c>
      <c r="D12" s="3625" t="s">
        <v>6591</v>
      </c>
      <c r="E12" s="3631">
        <f>'(繰)3条収入'!H4-'(繰)3条収入'!H7-'(繰)3条収入'!H15</f>
        <v>28375736546</v>
      </c>
      <c r="F12" t="s" s="3617">
        <v>6556</v>
      </c>
      <c r="H12" s="3632">
        <f>+'3条収入'!AI69</f>
        <v>42572042134</v>
      </c>
      <c r="K12" s="3975"/>
    </row>
    <row r="13" spans="1:11" ht="23.1" customHeight="1">
      <c r="C13" t="s" s="3617">
        <v>6590</v>
      </c>
      <c r="D13" s="3625" t="s">
        <v>6589</v>
      </c>
      <c r="E13" s="3631">
        <f>+'(繰)3条収入'!H4-'(繰)3条支出 '!I4</f>
        <v>543907199</v>
      </c>
      <c r="F13" t="s" s="3617">
        <v>6556</v>
      </c>
      <c r="H13" s="3632">
        <f>+'3条収入'!AI74</f>
        <v>543907199</v>
      </c>
      <c r="K13" s="3975"/>
    </row>
    <row r="14" spans="1:11" ht="23.1" customHeight="1">
      <c r="C14" t="s" s="3617">
        <v>6588</v>
      </c>
      <c r="D14" s="3625" t="s">
        <v>6587</v>
      </c>
      <c r="E14" s="3627">
        <f>E11-E12+E13</f>
        <v>14196305588</v>
      </c>
      <c r="F14" t="s" s="3617">
        <v>6556</v>
      </c>
      <c r="G14" s="3625" t="s">
        <v>6586</v>
      </c>
      <c r="H14" s="3632">
        <f>+'3条収入'!AI9+'3条収入'!AI42</f>
        <v>14196305588</v>
      </c>
      <c r="K14" s="3975"/>
    </row>
    <row r="15" spans="1:11" ht="23.1" customHeight="1">
      <c r="E15" s="3622"/>
    </row>
    <row r="16" spans="1:11" ht="23.1" customHeight="1">
      <c r="B16" t="s" s="3617">
        <v>6585</v>
      </c>
      <c r="E16" s="3622"/>
    </row>
    <row r="17" spans="3:8" ht="23.1" customHeight="1">
      <c r="C17" t="s" s="3617">
        <v>6584</v>
      </c>
      <c r="D17" s="3625" t="s">
        <v>6583</v>
      </c>
      <c r="E17" s="3631">
        <f>'(繰)4条支出 '!K5</f>
        <v>61852897933</v>
      </c>
      <c r="F17" t="s" s="3617">
        <v>6556</v>
      </c>
    </row>
    <row r="18" spans="3:8" ht="23.1" customHeight="1">
      <c r="C18" t="s" s="3617">
        <v>6582</v>
      </c>
      <c r="D18" s="3625" t="s">
        <v>6581</v>
      </c>
      <c r="E18" s="3631">
        <f>SUM('(繰)4条収入'!M6,'(繰)4条収入'!M16,'(繰)4条収入'!M20,'(繰)4条収入'!M22,'(繰)4条収入'!M29,'(繰)4条収入'!M30)</f>
        <v>38957586329</v>
      </c>
      <c r="F18" t="s" s="3617">
        <v>6556</v>
      </c>
    </row>
    <row r="19" spans="3:8" ht="23.1" customHeight="1">
      <c r="C19" t="s" s="3617">
        <v>6580</v>
      </c>
      <c r="E19" s="3622"/>
    </row>
    <row r="20" spans="3:8" ht="23.1" customHeight="1">
      <c r="C20" t="s" s="3617">
        <v>6579</v>
      </c>
      <c r="D20" s="3625" t="s">
        <v>6578</v>
      </c>
      <c r="E20" s="3622">
        <f>E22+E31+E34+E35</f>
        <v>19609807053</v>
      </c>
      <c r="F20" t="s" s="3617">
        <v>6556</v>
      </c>
    </row>
    <row r="21" spans="3:8" ht="23.1" customHeight="1">
      <c r="C21" t="s" s="3617">
        <v>6577</v>
      </c>
      <c r="E21" s="3622" t="s">
        <v>6576</v>
      </c>
    </row>
    <row r="22" spans="3:8" ht="23.1" customHeight="1">
      <c r="C22" t="s" s="3617">
        <v>6575</v>
      </c>
      <c r="E22" s="3622">
        <f>SUM(E23:E30)</f>
        <v>17579830234</v>
      </c>
      <c r="F22" t="s" s="3617">
        <v>6556</v>
      </c>
      <c r="H22" s="3624" t="s">
        <v>6871</v>
      </c>
    </row>
    <row r="23" spans="3:8" ht="23.1" customHeight="1">
      <c r="C23" t="s" s="3617">
        <v>6574</v>
      </c>
      <c r="E23" s="3627">
        <f>'(繰)3条支出 '!I18-H23</f>
        <v>26551442230</v>
      </c>
      <c r="F23" t="s" s="3617">
        <v>6556</v>
      </c>
    </row>
    <row r="24" spans="3:8" ht="23.1" customHeight="1">
      <c r="C24" t="s" s="3617">
        <v>6573</v>
      </c>
      <c r="E24" s="3630">
        <f>+減耗!T5</f>
        <v>503761871</v>
      </c>
      <c r="F24" t="s" s="3617">
        <v>6556</v>
      </c>
      <c r="H24" t="s" s="3617">
        <v>6562</v>
      </c>
    </row>
    <row r="25" spans="3:8" ht="23.1" customHeight="1">
      <c r="C25" t="s" s="3617">
        <v>6572</v>
      </c>
      <c r="E25" s="3631">
        <f>'(繰)3条支出 '!G25</f>
        <v>10315355</v>
      </c>
      <c r="F25" t="s" s="3617">
        <v>6570</v>
      </c>
    </row>
    <row r="26" spans="3:8" ht="23.1" hidden="1" customHeight="1" outlineLevel="1">
      <c r="C26" t="s" s="3617">
        <v>6571</v>
      </c>
      <c r="E26" s="3631">
        <f>+'(繰)3条支出 '!I28</f>
        <v>0</v>
      </c>
      <c r="F26" t="s" s="3617">
        <v>6570</v>
      </c>
    </row>
    <row r="27" spans="3:8" ht="23.1" customHeight="1" collapsed="1">
      <c r="C27" t="s" s="3617">
        <v>6569</v>
      </c>
      <c r="E27" s="3631">
        <f>-'(繰)3条収入'!H18</f>
        <v>-9485355002</v>
      </c>
      <c r="F27" t="s" s="3617">
        <v>6570</v>
      </c>
      <c r="H27" s="3975"/>
    </row>
    <row r="28" spans="3:8" ht="23.1" hidden="1" customHeight="1" outlineLevel="1">
      <c r="C28" t="s" s="3617">
        <v>6568</v>
      </c>
      <c r="E28" s="3631">
        <f>-'(繰)3条収入'!H20</f>
        <v>0</v>
      </c>
      <c r="H28" s="3975"/>
    </row>
    <row r="29" spans="3:8" ht="23.1" customHeight="1" collapsed="1">
      <c r="C29" t="s" s="3617">
        <v>7070</v>
      </c>
      <c r="E29" s="3628">
        <v>-334220</v>
      </c>
      <c r="F29" t="s" s="3617">
        <v>6570</v>
      </c>
      <c r="H29" s="3975"/>
    </row>
    <row r="30" spans="3:8" ht="23.1" hidden="1" customHeight="1" outlineLevel="1">
      <c r="C30" t="s" s="3617">
        <v>6567</v>
      </c>
      <c r="E30" s="3630">
        <f>+営外!T12</f>
        <v>0</v>
      </c>
      <c r="F30" t="s" s="3617">
        <v>6556</v>
      </c>
    </row>
    <row r="31" spans="3:8" ht="23.1" customHeight="1" collapsed="1">
      <c r="C31" t="s" s="3617">
        <v>6566</v>
      </c>
      <c r="E31" s="3622">
        <f>E32+E33</f>
        <v>923595698</v>
      </c>
      <c r="F31" t="s" s="3617">
        <v>6556</v>
      </c>
    </row>
    <row r="32" spans="3:8" ht="23.1" hidden="1" customHeight="1">
      <c r="C32" t="s" s="3617">
        <v>6565</v>
      </c>
      <c r="E32" s="3628">
        <v>0</v>
      </c>
      <c r="F32" t="s" s="3617">
        <v>6556</v>
      </c>
    </row>
    <row r="33" spans="2:11" ht="23.1" customHeight="1">
      <c r="C33" t="s" s="3617">
        <v>6564</v>
      </c>
      <c r="E33" s="3629">
        <f>-消費税!AF118</f>
        <v>923595698</v>
      </c>
      <c r="F33" t="s" s="3617">
        <v>6556</v>
      </c>
    </row>
    <row r="34" spans="2:11" ht="23.1" customHeight="1">
      <c r="C34" t="s" s="3617">
        <v>6563</v>
      </c>
      <c r="E34" s="3628">
        <v>1049566207</v>
      </c>
      <c r="F34" t="s" s="3617">
        <v>6556</v>
      </c>
      <c r="H34" t="s" s="3617">
        <v>6562</v>
      </c>
    </row>
    <row r="35" spans="2:11" ht="23.1" customHeight="1">
      <c r="C35" t="s" s="3617">
        <v>6561</v>
      </c>
      <c r="E35" s="3628">
        <v>56814914</v>
      </c>
      <c r="F35" t="s" s="3617">
        <v>6556</v>
      </c>
    </row>
    <row r="36" spans="2:11">
      <c r="E36" s="3627"/>
    </row>
    <row r="37" spans="2:11" ht="23.1" customHeight="1">
      <c r="C37" t="s" s="3617">
        <v>6560</v>
      </c>
      <c r="D37" s="3626" t="s">
        <v>6559</v>
      </c>
      <c r="E37" s="3622">
        <f>E17-E18-E20</f>
        <v>3285504551</v>
      </c>
      <c r="F37" t="s" s="3617">
        <v>6556</v>
      </c>
      <c r="G37" s="3625" t="s">
        <v>6558</v>
      </c>
      <c r="J37" s="3976" t="s">
        <v>7096</v>
      </c>
    </row>
    <row r="38" spans="2:11" ht="23.1" customHeight="1" outlineLevel="1">
      <c r="D38" s="3623" t="s">
        <v>7133</v>
      </c>
      <c r="E38" s="3622">
        <f>'(繰)4条収入'!I28</f>
        <v>0</v>
      </c>
      <c r="J38" s="3976">
        <v>3640474000</v>
      </c>
    </row>
    <row r="39" spans="2:11" ht="23.1" customHeight="1">
      <c r="C39" s="3623"/>
      <c r="D39" s="3623" t="s">
        <v>6778</v>
      </c>
      <c r="E39" s="3622">
        <f>E37-E38</f>
        <v>3285504551</v>
      </c>
      <c r="H39" s="3624"/>
      <c r="J39" s="3976">
        <f>E37-J38</f>
        <v>-354969449</v>
      </c>
      <c r="K39" s="3975"/>
    </row>
    <row r="40" spans="2:11">
      <c r="C40" s="3623"/>
      <c r="E40" s="3622"/>
    </row>
    <row r="41" spans="2:11" ht="23.1" customHeight="1">
      <c r="B41" t="s" s="3617">
        <v>6557</v>
      </c>
      <c r="E41" s="3622"/>
    </row>
    <row r="42" spans="2:11" ht="23.25" customHeight="1">
      <c r="E42" s="3621">
        <f>E14+E37</f>
        <v>17481810139</v>
      </c>
      <c r="F42" s="3620" t="s">
        <v>6556</v>
      </c>
      <c r="G42" s="3619" t="s">
        <v>6555</v>
      </c>
      <c r="K42" s="3975"/>
    </row>
  </sheetData>
  <mergeCells count="1">
    <mergeCell ref="A1:G1"/>
  </mergeCells>
  <phoneticPr fontId="3"/>
  <conditionalFormatting sqref="H22">
    <cfRule type="expression" dxfId="531" priority="1">
      <formula>"if($E$36&lt;0)"</formula>
    </cfRule>
  </conditionalFormatting>
  <pageMargins left="0.86614173228346458" right="0.70866141732283472" top="0.6692913385826772" bottom="0.55118110236220474" header="0.51181102362204722" footer="0.51181102362204722"/>
  <pageSetup paperSize="9" orientation="portrait" blackAndWhite="1" r:id="rId1"/>
  <headerFooter alignWithMargins="0"/>
  <drawing r:id="rId2"/>
  <legacyDrawing r:id="rId3"/>
</worksheet>
</file>

<file path=xl/worksheets/w8_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7"/>
  </sheetPr>
  <dimension ref="A1:P62"/>
  <sheetViews>
    <sheetView view="pageBreakPreview" zoomScaleNormal="80" zoomScaleSheetLayoutView="100" workbookViewId="0"/>
  </sheetViews>
  <sheetFormatPr defaultColWidth="9" defaultRowHeight="13.5" outlineLevelRow="1"/>
  <cols>
    <col min="1" max="1" width="2.125" style="3641" customWidth="1"/>
    <col min="2" max="4" width="2.25" style="3641" customWidth="1"/>
    <col min="5" max="5" width="2.125" style="3641" customWidth="1"/>
    <col min="6" max="6" width="17.125" style="3641" customWidth="1"/>
    <col min="7" max="7" width="15.875" style="3642" customWidth="1"/>
    <col min="8" max="9" width="16" style="3642" customWidth="1"/>
    <col min="10" max="10" width="20.875" style="3641" customWidth="1"/>
    <col min="11" max="11" width="8.75" style="3641" customWidth="1"/>
    <col min="12" max="12" width="2.375" style="3641" customWidth="1"/>
    <col min="13" max="13" width="5.75" style="3641" customWidth="1"/>
    <col min="14" max="14" width="9" style="3641"/>
    <col min="15" max="15" width="12.875" style="3641" bestFit="1" customWidth="1"/>
    <col min="16" max="16" width="9.25" style="3641" bestFit="1" customWidth="1"/>
    <col min="17" max="16384" width="9" style="3641"/>
  </cols>
  <sheetData>
    <row r="1" spans="1:14" ht="36" customHeight="1">
      <c r="A1" s="3707"/>
      <c r="B1" s="3707"/>
      <c r="C1" s="3707"/>
      <c r="D1" s="3707"/>
      <c r="E1" s="3707"/>
      <c r="F1" s="3707"/>
      <c r="G1" s="3708"/>
      <c r="H1" s="3710" t="s">
        <v>6668</v>
      </c>
      <c r="I1" s="3708"/>
      <c r="J1" s="3709">
        <f>+DATE(MID(雨汚水!D1,3,1)+2019,3,31)</f>
        <v>45382</v>
      </c>
    </row>
    <row r="2" spans="1:14" ht="30" customHeight="1">
      <c r="A2" s="3707"/>
      <c r="B2" s="4845" t="s">
        <v>6667</v>
      </c>
      <c r="C2" s="4845"/>
      <c r="D2" s="4845"/>
      <c r="E2" s="4845"/>
      <c r="F2" s="4845"/>
      <c r="G2" s="3708"/>
      <c r="H2" s="3708"/>
      <c r="I2" s="3708"/>
      <c r="J2" s="3707"/>
    </row>
    <row r="3" spans="1:14" ht="30" customHeight="1">
      <c r="A3" s="3707"/>
      <c r="B3" s="3707"/>
      <c r="C3" s="3707"/>
      <c r="D3" s="3707"/>
      <c r="E3" s="3707"/>
      <c r="F3" s="3707"/>
      <c r="G3" s="3708"/>
      <c r="H3" s="3708"/>
      <c r="I3" s="3708"/>
      <c r="J3" s="3706" t="s">
        <v>6666</v>
      </c>
    </row>
    <row r="4" spans="1:14" ht="19.5" customHeight="1">
      <c r="A4" s="3707"/>
      <c r="B4" s="3707"/>
      <c r="C4" s="3707"/>
      <c r="D4" s="3707"/>
      <c r="E4" s="3707"/>
      <c r="F4" s="3707"/>
      <c r="G4" s="3708"/>
      <c r="H4" s="3708"/>
      <c r="I4" s="3708"/>
      <c r="J4" s="3706"/>
    </row>
    <row r="5" spans="1:14" ht="19.5" customHeight="1">
      <c r="A5" s="4858" t="str">
        <f>+CONCATENATE(LEFT('3条支出'!$D$1,7),"下水道事業会計に対する一般会計繰入金の精算について")</f>
        <v>令和５年度決算下水道事業会計に対する一般会計繰入金の精算について</v>
      </c>
      <c r="B5" s="4858"/>
      <c r="C5" s="4858"/>
      <c r="D5" s="4858"/>
      <c r="E5" s="4858"/>
      <c r="F5" s="4858"/>
      <c r="G5" s="4858"/>
      <c r="H5" s="4858"/>
      <c r="I5" s="4858"/>
      <c r="J5" s="4858"/>
    </row>
    <row r="6" spans="1:14" ht="19.5" customHeight="1">
      <c r="A6" s="4822"/>
      <c r="B6" s="4822"/>
      <c r="C6" s="4822"/>
      <c r="D6" s="4822"/>
      <c r="E6" s="4822"/>
      <c r="F6" s="4822"/>
      <c r="G6" s="4822"/>
      <c r="H6" s="4822"/>
      <c r="I6" s="4822"/>
      <c r="J6" s="4822"/>
    </row>
    <row r="7" spans="1:14" ht="19.5" customHeight="1">
      <c r="A7" s="3707"/>
      <c r="B7" s="3990" t="s">
        <v>7208</v>
      </c>
      <c r="C7" s="3990"/>
      <c r="D7" s="3990"/>
      <c r="E7" s="3990"/>
      <c r="F7" s="3990"/>
      <c r="G7" s="3990"/>
      <c r="H7" s="3990"/>
      <c r="I7" s="3990"/>
      <c r="J7" s="3706"/>
    </row>
    <row r="8" spans="1:14" ht="19.5" customHeight="1">
      <c r="A8" s="4858" t="s">
        <v>6665</v>
      </c>
      <c r="B8" s="4858"/>
      <c r="C8" s="4858"/>
      <c r="D8" s="4858"/>
      <c r="E8" s="4858"/>
      <c r="F8" s="4858"/>
      <c r="G8" s="4858"/>
      <c r="H8" s="4858"/>
      <c r="I8" s="4858"/>
      <c r="J8" s="4858"/>
    </row>
    <row r="9" spans="1:14" ht="24" customHeight="1" thickBot="1">
      <c r="B9" s="3705"/>
      <c r="C9" s="3705"/>
      <c r="D9" s="3705"/>
      <c r="E9" s="4859"/>
      <c r="F9" s="4859"/>
      <c r="G9" s="4859"/>
      <c r="H9" s="4859"/>
      <c r="J9" s="3704" t="s">
        <v>6664</v>
      </c>
    </row>
    <row r="10" spans="1:14" ht="21" customHeight="1" thickBot="1">
      <c r="A10" s="4860" t="s">
        <v>6663</v>
      </c>
      <c r="B10" s="4861"/>
      <c r="C10" s="4861"/>
      <c r="D10" s="4861"/>
      <c r="E10" s="4861"/>
      <c r="F10" s="4862"/>
      <c r="G10" s="3703" t="s">
        <v>6623</v>
      </c>
      <c r="H10" s="3703" t="s">
        <v>6622</v>
      </c>
      <c r="I10" s="3703" t="s">
        <v>6621</v>
      </c>
      <c r="J10" s="3702" t="s">
        <v>6620</v>
      </c>
      <c r="K10" s="3641" t="s">
        <v>7063</v>
      </c>
      <c r="L10" s="3641" t="s">
        <v>7064</v>
      </c>
      <c r="M10" s="3641" t="s">
        <v>7065</v>
      </c>
      <c r="N10" s="3641" t="s">
        <v>7066</v>
      </c>
    </row>
    <row r="11" spans="1:14" ht="21" customHeight="1">
      <c r="A11" s="3695" t="s">
        <v>6662</v>
      </c>
      <c r="B11" s="3694"/>
      <c r="C11" s="3694"/>
      <c r="D11" s="3694"/>
      <c r="E11" s="3694"/>
      <c r="F11" s="3694"/>
      <c r="G11" s="3693">
        <f>G12+G22</f>
        <v>13854862000</v>
      </c>
      <c r="H11" s="3693">
        <f>H12+H22</f>
        <v>14196305588</v>
      </c>
      <c r="I11" s="3693">
        <f t="shared" ref="I11:I40" si="0">G11-H11</f>
        <v>-341443588</v>
      </c>
      <c r="J11" s="3692"/>
      <c r="N11" s="3641" t="b">
        <f>OR(G11&gt;0,H11&gt;0,I11&gt;0)</f>
        <v>1</v>
      </c>
    </row>
    <row r="12" spans="1:14" ht="21" customHeight="1">
      <c r="A12" s="3691"/>
      <c r="B12" s="4849" t="s">
        <v>6661</v>
      </c>
      <c r="C12" s="4850"/>
      <c r="D12" s="4850"/>
      <c r="E12" s="4850"/>
      <c r="F12" s="4851"/>
      <c r="G12" s="3678">
        <f>G13</f>
        <v>13854862000</v>
      </c>
      <c r="H12" s="3678">
        <f>H13</f>
        <v>14187102335</v>
      </c>
      <c r="I12" s="3678">
        <f t="shared" si="0"/>
        <v>-332240335</v>
      </c>
      <c r="J12" s="3677"/>
      <c r="N12" s="3641" t="b">
        <f t="shared" ref="N12:N40" si="1">OR(G12&gt;0,H12&gt;0,I12&gt;0)</f>
        <v>1</v>
      </c>
    </row>
    <row r="13" spans="1:14" ht="21" customHeight="1">
      <c r="A13" s="3689"/>
      <c r="B13" s="3687"/>
      <c r="C13" s="3690" t="s">
        <v>6660</v>
      </c>
      <c r="D13" s="3690"/>
      <c r="E13" s="3690"/>
      <c r="F13" s="3690"/>
      <c r="G13" s="3678">
        <f>G14+G19+G20+G21+G18</f>
        <v>13854862000</v>
      </c>
      <c r="H13" s="3678">
        <f>H14+H19+H20+H21</f>
        <v>14187102335</v>
      </c>
      <c r="I13" s="3678">
        <f t="shared" si="0"/>
        <v>-332240335</v>
      </c>
      <c r="J13" s="3677"/>
      <c r="N13" s="3641" t="b">
        <f t="shared" si="1"/>
        <v>1</v>
      </c>
    </row>
    <row r="14" spans="1:14" ht="21" customHeight="1">
      <c r="A14" s="3689"/>
      <c r="B14" s="3688"/>
      <c r="C14" s="3687"/>
      <c r="D14" s="3690" t="s">
        <v>6659</v>
      </c>
      <c r="E14" s="3690"/>
      <c r="F14" s="3690"/>
      <c r="G14" s="3678">
        <f>SUM(G15:G17)</f>
        <v>13738282000</v>
      </c>
      <c r="H14" s="3678">
        <f>SUM(H15:H18)</f>
        <v>14079749832</v>
      </c>
      <c r="I14" s="3678">
        <f t="shared" si="0"/>
        <v>-341467832</v>
      </c>
      <c r="J14" s="3677"/>
      <c r="N14" s="3641" t="b">
        <f t="shared" si="1"/>
        <v>1</v>
      </c>
    </row>
    <row r="15" spans="1:14" ht="21" customHeight="1">
      <c r="A15" s="3689"/>
      <c r="B15" s="3688"/>
      <c r="C15" s="3688"/>
      <c r="D15" s="3687"/>
      <c r="E15" s="3690" t="s">
        <v>6648</v>
      </c>
      <c r="F15" s="3690"/>
      <c r="G15" s="3678">
        <f>+'(繰)対前年'!G9</f>
        <v>3686798000</v>
      </c>
      <c r="H15" s="3678">
        <f>'(繰)対前年'!H9-H18</f>
        <v>3591522898</v>
      </c>
      <c r="I15" s="3678">
        <f t="shared" si="0"/>
        <v>95275102</v>
      </c>
      <c r="J15" s="3677" t="s">
        <v>6655</v>
      </c>
      <c r="N15" s="3641" t="b">
        <f t="shared" si="1"/>
        <v>1</v>
      </c>
    </row>
    <row r="16" spans="1:14" ht="21" customHeight="1">
      <c r="A16" s="3689"/>
      <c r="B16" s="3688"/>
      <c r="C16" s="3688"/>
      <c r="D16" s="3688"/>
      <c r="E16" s="3690" t="s">
        <v>6647</v>
      </c>
      <c r="F16" s="3690"/>
      <c r="G16" s="3678">
        <f>+'(繰)対前年'!G10</f>
        <v>7912710000</v>
      </c>
      <c r="H16" s="3678">
        <f>'(繰)対前年'!H10</f>
        <v>8476549651</v>
      </c>
      <c r="I16" s="3678">
        <f t="shared" si="0"/>
        <v>-563839651</v>
      </c>
      <c r="J16" s="3677" t="s">
        <v>6644</v>
      </c>
      <c r="N16" s="3641" t="b">
        <f t="shared" si="1"/>
        <v>1</v>
      </c>
    </row>
    <row r="17" spans="1:14" ht="21" customHeight="1">
      <c r="A17" s="3689"/>
      <c r="B17" s="3688"/>
      <c r="C17" s="3688"/>
      <c r="D17" s="3688"/>
      <c r="E17" s="3690" t="s">
        <v>6646</v>
      </c>
      <c r="F17" s="3690"/>
      <c r="G17" s="3678">
        <f>+'(繰)対前年'!G11</f>
        <v>2138774000</v>
      </c>
      <c r="H17" s="3678">
        <f>'(繰)対前年'!H11</f>
        <v>2011677283</v>
      </c>
      <c r="I17" s="3678">
        <f t="shared" si="0"/>
        <v>127096717</v>
      </c>
      <c r="J17" s="3677" t="s">
        <v>6644</v>
      </c>
      <c r="N17" s="3641" t="b">
        <f t="shared" si="1"/>
        <v>1</v>
      </c>
    </row>
    <row r="18" spans="1:14" ht="21" hidden="1" customHeight="1">
      <c r="A18" s="3689"/>
      <c r="B18" s="3688"/>
      <c r="C18" s="3688"/>
      <c r="D18" s="3701"/>
      <c r="E18" s="3700" t="s">
        <v>6658</v>
      </c>
      <c r="F18" s="3700"/>
      <c r="G18" s="3678">
        <f>+'(繰)対前年'!G12</f>
        <v>0</v>
      </c>
      <c r="H18" s="3678">
        <f>'(繰)繰入金'!H11</f>
        <v>0</v>
      </c>
      <c r="I18" s="3678">
        <f t="shared" si="0"/>
        <v>0</v>
      </c>
      <c r="J18" s="3677" t="s">
        <v>6655</v>
      </c>
      <c r="N18" s="3641" t="b">
        <f t="shared" si="1"/>
        <v>0</v>
      </c>
    </row>
    <row r="19" spans="1:14" ht="21" customHeight="1">
      <c r="A19" s="3689"/>
      <c r="B19" s="3688"/>
      <c r="C19" s="3688"/>
      <c r="D19" s="3690" t="s">
        <v>6657</v>
      </c>
      <c r="E19" s="3690"/>
      <c r="F19" s="3690"/>
      <c r="G19" s="3678">
        <f>+'(繰)対前年'!G13</f>
        <v>61778000</v>
      </c>
      <c r="H19" s="3678">
        <f>'(繰)対前年'!H13</f>
        <v>52443869</v>
      </c>
      <c r="I19" s="3678">
        <f t="shared" si="0"/>
        <v>9334131</v>
      </c>
      <c r="J19" s="3677" t="s">
        <v>6655</v>
      </c>
      <c r="N19" s="3641" t="b">
        <f t="shared" si="1"/>
        <v>1</v>
      </c>
    </row>
    <row r="20" spans="1:14" ht="21" customHeight="1">
      <c r="A20" s="3689"/>
      <c r="B20" s="3688"/>
      <c r="C20" s="3688"/>
      <c r="D20" s="3690" t="s">
        <v>6656</v>
      </c>
      <c r="E20" s="3690"/>
      <c r="F20" s="3690"/>
      <c r="G20" s="3678">
        <f>+'(繰)対前年'!G14</f>
        <v>40039000</v>
      </c>
      <c r="H20" s="3678">
        <f>'(繰)対前年'!H14</f>
        <v>44424775</v>
      </c>
      <c r="I20" s="3678">
        <f t="shared" si="0"/>
        <v>-4385775</v>
      </c>
      <c r="J20" s="3677" t="s">
        <v>6655</v>
      </c>
      <c r="N20" s="3641" t="b">
        <f t="shared" si="1"/>
        <v>1</v>
      </c>
    </row>
    <row r="21" spans="1:14" ht="21" customHeight="1">
      <c r="A21" s="3689"/>
      <c r="B21" s="3694"/>
      <c r="C21" s="3694"/>
      <c r="D21" s="3690" t="s">
        <v>6654</v>
      </c>
      <c r="E21" s="3690"/>
      <c r="F21" s="3690"/>
      <c r="G21" s="3678">
        <f>+'(繰)対前年'!G15</f>
        <v>14763000</v>
      </c>
      <c r="H21" s="3678">
        <f>'(繰)対前年'!H15</f>
        <v>10483859</v>
      </c>
      <c r="I21" s="3678">
        <f t="shared" si="0"/>
        <v>4279141</v>
      </c>
      <c r="J21" s="3677" t="s">
        <v>6642</v>
      </c>
      <c r="K21" s="3699">
        <f>+'(繰)繰入金'!H11</f>
        <v>0</v>
      </c>
      <c r="L21" s="3641" t="s">
        <v>6653</v>
      </c>
      <c r="M21" s="3641" t="s">
        <v>6652</v>
      </c>
      <c r="N21" s="3641" t="b">
        <f t="shared" si="1"/>
        <v>1</v>
      </c>
    </row>
    <row r="22" spans="1:14" ht="21" customHeight="1">
      <c r="A22" s="3689"/>
      <c r="B22" s="4849" t="s">
        <v>6651</v>
      </c>
      <c r="C22" s="4850"/>
      <c r="D22" s="4850"/>
      <c r="E22" s="4850"/>
      <c r="F22" s="4851"/>
      <c r="G22" s="3678">
        <f>G23</f>
        <v>0</v>
      </c>
      <c r="H22" s="3678">
        <f>H23</f>
        <v>9203253</v>
      </c>
      <c r="I22" s="3678">
        <f t="shared" si="0"/>
        <v>-9203253</v>
      </c>
      <c r="J22" s="3677"/>
      <c r="N22" s="3641" t="b">
        <f t="shared" si="1"/>
        <v>1</v>
      </c>
    </row>
    <row r="23" spans="1:14" ht="21" customHeight="1">
      <c r="A23" s="3689"/>
      <c r="B23" s="3687"/>
      <c r="C23" s="3690" t="s">
        <v>6650</v>
      </c>
      <c r="D23" s="3690"/>
      <c r="E23" s="3690"/>
      <c r="F23" s="3690"/>
      <c r="G23" s="3678">
        <f>G24+G31</f>
        <v>0</v>
      </c>
      <c r="H23" s="3678">
        <f>H24+H31</f>
        <v>9203253</v>
      </c>
      <c r="I23" s="3678">
        <f t="shared" si="0"/>
        <v>-9203253</v>
      </c>
      <c r="J23" s="3677"/>
      <c r="N23" s="3641" t="b">
        <f t="shared" si="1"/>
        <v>1</v>
      </c>
    </row>
    <row r="24" spans="1:14" ht="21" customHeight="1">
      <c r="A24" s="3689"/>
      <c r="B24" s="3688"/>
      <c r="C24" s="3687"/>
      <c r="D24" s="3690" t="s">
        <v>6649</v>
      </c>
      <c r="E24" s="3690"/>
      <c r="F24" s="3690"/>
      <c r="G24" s="3678">
        <f>SUM(G25:G28)</f>
        <v>0</v>
      </c>
      <c r="H24" s="3678">
        <f>SUM(H25:H28)</f>
        <v>4980</v>
      </c>
      <c r="I24" s="3678">
        <f t="shared" si="0"/>
        <v>-4980</v>
      </c>
      <c r="J24" s="3677"/>
      <c r="N24" s="3641" t="b">
        <f t="shared" si="1"/>
        <v>1</v>
      </c>
    </row>
    <row r="25" spans="1:14" ht="21" hidden="1" customHeight="1">
      <c r="A25" s="3689"/>
      <c r="B25" s="3688"/>
      <c r="C25" s="3688"/>
      <c r="D25" s="3687"/>
      <c r="E25" s="3690" t="s">
        <v>6648</v>
      </c>
      <c r="F25" s="3690"/>
      <c r="G25" s="3678">
        <f>'(繰)対前年'!G19</f>
        <v>0</v>
      </c>
      <c r="H25" s="3678">
        <v>0</v>
      </c>
      <c r="I25" s="3678">
        <f t="shared" si="0"/>
        <v>0</v>
      </c>
      <c r="J25" s="3677"/>
      <c r="N25" s="3641" t="b">
        <f t="shared" si="1"/>
        <v>0</v>
      </c>
    </row>
    <row r="26" spans="1:14" ht="21" hidden="1" customHeight="1">
      <c r="A26" s="3689"/>
      <c r="B26" s="3688"/>
      <c r="C26" s="3688"/>
      <c r="D26" s="3688"/>
      <c r="E26" s="3690" t="s">
        <v>6647</v>
      </c>
      <c r="F26" s="3690"/>
      <c r="G26" s="3678">
        <f>'(繰)対前年'!G20</f>
        <v>0</v>
      </c>
      <c r="H26" s="3678">
        <f>'(繰)対前年'!H20</f>
        <v>0</v>
      </c>
      <c r="I26" s="3678">
        <f t="shared" si="0"/>
        <v>0</v>
      </c>
      <c r="J26" s="3677" t="s">
        <v>6644</v>
      </c>
      <c r="N26" s="3641" t="b">
        <f t="shared" si="1"/>
        <v>0</v>
      </c>
    </row>
    <row r="27" spans="1:14" ht="21" hidden="1" customHeight="1">
      <c r="A27" s="3689"/>
      <c r="B27" s="3688"/>
      <c r="C27" s="3688"/>
      <c r="D27" s="3688"/>
      <c r="E27" s="3690" t="s">
        <v>6646</v>
      </c>
      <c r="F27" s="3690"/>
      <c r="G27" s="3678">
        <f>'(繰)対前年'!G21</f>
        <v>0</v>
      </c>
      <c r="H27" s="3678">
        <f>'(繰)対前年'!H21</f>
        <v>0</v>
      </c>
      <c r="I27" s="3678">
        <f t="shared" si="0"/>
        <v>0</v>
      </c>
      <c r="J27" s="3677" t="s">
        <v>6644</v>
      </c>
      <c r="N27" s="3641" t="b">
        <f t="shared" si="1"/>
        <v>0</v>
      </c>
    </row>
    <row r="28" spans="1:14" ht="21" customHeight="1">
      <c r="A28" s="3689"/>
      <c r="B28" s="3688"/>
      <c r="C28" s="3688"/>
      <c r="D28" s="3688"/>
      <c r="E28" s="3687" t="s">
        <v>6645</v>
      </c>
      <c r="F28" s="3687"/>
      <c r="G28" s="3652">
        <f>+'(繰)対前年'!G22</f>
        <v>0</v>
      </c>
      <c r="H28" s="3652">
        <f>'(繰)対前年'!H22</f>
        <v>4980</v>
      </c>
      <c r="I28" s="3652">
        <f t="shared" si="0"/>
        <v>-4980</v>
      </c>
      <c r="J28" s="3686" t="s">
        <v>6644</v>
      </c>
      <c r="N28" s="3641" t="b">
        <f t="shared" si="1"/>
        <v>1</v>
      </c>
    </row>
    <row r="29" spans="1:14" ht="21" hidden="1" customHeight="1">
      <c r="A29" s="3689"/>
      <c r="B29" s="3688"/>
      <c r="C29" s="3688"/>
      <c r="D29" s="3688"/>
      <c r="E29" s="3687"/>
      <c r="F29" s="3690" t="s">
        <v>6872</v>
      </c>
      <c r="G29" s="3652">
        <f>+'(繰)対前年'!G23</f>
        <v>0</v>
      </c>
      <c r="H29" s="3652">
        <f>'(繰)対前年'!H23</f>
        <v>0</v>
      </c>
      <c r="I29" s="3652">
        <f t="shared" si="0"/>
        <v>0</v>
      </c>
      <c r="J29" s="3686"/>
      <c r="N29" s="3641" t="b">
        <f t="shared" si="1"/>
        <v>0</v>
      </c>
    </row>
    <row r="30" spans="1:14" ht="21" hidden="1" customHeight="1">
      <c r="A30" s="3689"/>
      <c r="B30" s="3688"/>
      <c r="C30" s="3688"/>
      <c r="D30" s="3688"/>
      <c r="E30" s="3694"/>
      <c r="F30" s="3688" t="s">
        <v>6873</v>
      </c>
      <c r="G30" s="3652">
        <f>+'(繰)対前年'!G24</f>
        <v>0</v>
      </c>
      <c r="H30" s="3652">
        <f>'(繰)対前年'!H24</f>
        <v>0</v>
      </c>
      <c r="I30" s="3652">
        <f t="shared" si="0"/>
        <v>0</v>
      </c>
      <c r="J30" s="3686"/>
      <c r="N30" s="3641" t="b">
        <f t="shared" si="1"/>
        <v>0</v>
      </c>
    </row>
    <row r="31" spans="1:14" ht="21" customHeight="1" thickBot="1">
      <c r="A31" s="3698"/>
      <c r="B31" s="3697"/>
      <c r="C31" s="3697"/>
      <c r="D31" s="3696" t="s">
        <v>6643</v>
      </c>
      <c r="E31" s="3696"/>
      <c r="F31" s="3696"/>
      <c r="G31" s="3672">
        <f>+'(繰)対前年'!G25</f>
        <v>0</v>
      </c>
      <c r="H31" s="3672">
        <f>'(繰)対前年'!H25</f>
        <v>9198273</v>
      </c>
      <c r="I31" s="3672">
        <f t="shared" si="0"/>
        <v>-9198273</v>
      </c>
      <c r="J31" s="3671" t="s">
        <v>6642</v>
      </c>
      <c r="N31" s="3641" t="b">
        <f t="shared" si="1"/>
        <v>1</v>
      </c>
    </row>
    <row r="32" spans="1:14" ht="21" customHeight="1" thickTop="1">
      <c r="A32" s="4846" t="s">
        <v>6641</v>
      </c>
      <c r="B32" s="4847"/>
      <c r="C32" s="4847"/>
      <c r="D32" s="4847"/>
      <c r="E32" s="4847"/>
      <c r="F32" s="4848"/>
      <c r="G32" s="3958">
        <f>G33+G36</f>
        <v>3640474000</v>
      </c>
      <c r="H32" s="3958">
        <f>H33+H36</f>
        <v>3285504551</v>
      </c>
      <c r="I32" s="3958">
        <f t="shared" si="0"/>
        <v>354969449</v>
      </c>
      <c r="J32" s="3959"/>
      <c r="N32" s="3641" t="b">
        <f t="shared" si="1"/>
        <v>1</v>
      </c>
    </row>
    <row r="33" spans="1:16" ht="21" customHeight="1">
      <c r="A33" s="3691"/>
      <c r="B33" s="3690" t="s">
        <v>6640</v>
      </c>
      <c r="C33" s="3690"/>
      <c r="D33" s="3690"/>
      <c r="E33" s="3690"/>
      <c r="F33" s="3690"/>
      <c r="G33" s="3678">
        <f>G34</f>
        <v>3640474000</v>
      </c>
      <c r="H33" s="3678">
        <f>H34</f>
        <v>3285504551</v>
      </c>
      <c r="I33" s="3678">
        <f t="shared" si="0"/>
        <v>354969449</v>
      </c>
      <c r="J33" s="3677"/>
      <c r="N33" s="3641" t="b">
        <f t="shared" si="1"/>
        <v>1</v>
      </c>
      <c r="O33" s="3872"/>
      <c r="P33" s="3873"/>
    </row>
    <row r="34" spans="1:16" ht="21" customHeight="1">
      <c r="A34" s="3689"/>
      <c r="B34" s="3687"/>
      <c r="C34" s="3690" t="s">
        <v>6639</v>
      </c>
      <c r="D34" s="3690"/>
      <c r="E34" s="3690"/>
      <c r="F34" s="3690"/>
      <c r="G34" s="3678">
        <f>SUM(G35:G35)</f>
        <v>3640474000</v>
      </c>
      <c r="H34" s="3678">
        <f>SUM(H35:H35)</f>
        <v>3285504551</v>
      </c>
      <c r="I34" s="3678">
        <f t="shared" si="0"/>
        <v>354969449</v>
      </c>
      <c r="J34" s="3677"/>
      <c r="N34" s="3641" t="b">
        <f t="shared" si="1"/>
        <v>1</v>
      </c>
    </row>
    <row r="35" spans="1:16" ht="21" customHeight="1" thickBot="1">
      <c r="A35" s="3689"/>
      <c r="B35" s="3688"/>
      <c r="C35" s="3683"/>
      <c r="D35" s="3687" t="s">
        <v>6639</v>
      </c>
      <c r="E35" s="3687"/>
      <c r="F35" s="3687"/>
      <c r="G35" s="3652">
        <f>+'(繰)対前年'!G29</f>
        <v>3640474000</v>
      </c>
      <c r="H35" s="3678">
        <f>'(繰)対前年'!H29</f>
        <v>3285504551</v>
      </c>
      <c r="I35" s="3652">
        <f t="shared" si="0"/>
        <v>354969449</v>
      </c>
      <c r="J35" s="3686" t="s">
        <v>6626</v>
      </c>
      <c r="N35" s="3641" t="b">
        <f t="shared" si="1"/>
        <v>1</v>
      </c>
    </row>
    <row r="36" spans="1:16" ht="21" hidden="1" customHeight="1">
      <c r="A36" s="3682"/>
      <c r="B36" s="3685" t="s">
        <v>6638</v>
      </c>
      <c r="C36" s="3684"/>
      <c r="D36" s="3684"/>
      <c r="E36" s="3679"/>
      <c r="F36" s="3679"/>
      <c r="G36" s="3678">
        <f>G37</f>
        <v>0</v>
      </c>
      <c r="H36" s="3678">
        <f>H37</f>
        <v>0</v>
      </c>
      <c r="I36" s="3678">
        <f t="shared" si="0"/>
        <v>0</v>
      </c>
      <c r="J36" s="3677"/>
      <c r="N36" s="3641" t="b">
        <f t="shared" si="1"/>
        <v>0</v>
      </c>
    </row>
    <row r="37" spans="1:16" ht="21" hidden="1" customHeight="1">
      <c r="A37" s="3682"/>
      <c r="B37" s="3683"/>
      <c r="C37" s="3685" t="s">
        <v>6637</v>
      </c>
      <c r="D37" s="3684"/>
      <c r="E37" s="3679"/>
      <c r="F37" s="3679"/>
      <c r="G37" s="3678">
        <f>SUM(G38:G40)</f>
        <v>0</v>
      </c>
      <c r="H37" s="3678">
        <f>SUM(H38:H40)</f>
        <v>0</v>
      </c>
      <c r="I37" s="3678">
        <f t="shared" si="0"/>
        <v>0</v>
      </c>
      <c r="J37" s="3677" t="s">
        <v>6636</v>
      </c>
      <c r="N37" s="3641" t="b">
        <f t="shared" si="1"/>
        <v>0</v>
      </c>
    </row>
    <row r="38" spans="1:16" ht="21" hidden="1" customHeight="1">
      <c r="A38" s="3682"/>
      <c r="B38" s="3681"/>
      <c r="C38" s="3683"/>
      <c r="D38" s="3680" t="s">
        <v>6635</v>
      </c>
      <c r="E38" s="3679"/>
      <c r="F38" s="3957"/>
      <c r="G38" s="3652">
        <f>+'(繰)対前年'!G32</f>
        <v>0</v>
      </c>
      <c r="H38" s="3678">
        <f>'(繰)対前年'!H32</f>
        <v>0</v>
      </c>
      <c r="I38" s="3678">
        <f t="shared" si="0"/>
        <v>0</v>
      </c>
      <c r="J38" s="3677"/>
      <c r="N38" s="3641" t="b">
        <f t="shared" si="1"/>
        <v>0</v>
      </c>
    </row>
    <row r="39" spans="1:16" ht="21" hidden="1" customHeight="1">
      <c r="A39" s="3682"/>
      <c r="B39" s="3681"/>
      <c r="C39" s="3681"/>
      <c r="D39" s="3680" t="s">
        <v>6634</v>
      </c>
      <c r="E39" s="3679"/>
      <c r="F39" s="3957"/>
      <c r="G39" s="3652">
        <f>+'(繰)対前年'!G33</f>
        <v>0</v>
      </c>
      <c r="H39" s="3678">
        <f>'(繰)対前年'!H33</f>
        <v>0</v>
      </c>
      <c r="I39" s="3678">
        <f t="shared" si="0"/>
        <v>0</v>
      </c>
      <c r="J39" s="3677"/>
      <c r="N39" s="3641" t="b">
        <f t="shared" si="1"/>
        <v>0</v>
      </c>
    </row>
    <row r="40" spans="1:16" ht="21" hidden="1" customHeight="1" thickBot="1">
      <c r="A40" s="3676"/>
      <c r="B40" s="3675"/>
      <c r="C40" s="3675"/>
      <c r="D40" s="3674" t="s">
        <v>6633</v>
      </c>
      <c r="E40" s="3673"/>
      <c r="F40" s="3673"/>
      <c r="G40" s="3672">
        <f>+'(繰)対前年'!G34</f>
        <v>0</v>
      </c>
      <c r="H40" s="3672">
        <f>'(繰)対前年'!H34</f>
        <v>0</v>
      </c>
      <c r="I40" s="3672">
        <f t="shared" si="0"/>
        <v>0</v>
      </c>
      <c r="J40" s="3671"/>
      <c r="N40" s="3641" t="b">
        <f t="shared" si="1"/>
        <v>0</v>
      </c>
    </row>
    <row r="41" spans="1:16" ht="12" hidden="1" customHeight="1" outlineLevel="1" thickTop="1">
      <c r="A41" s="4881" t="s">
        <v>6632</v>
      </c>
      <c r="B41" s="4882"/>
      <c r="C41" s="4882"/>
      <c r="D41" s="4882"/>
      <c r="E41" s="4882"/>
      <c r="F41" s="4883"/>
      <c r="G41" s="3664"/>
      <c r="H41" s="3664"/>
      <c r="I41" s="3664"/>
      <c r="J41" s="3663"/>
      <c r="N41" s="3641" t="b">
        <f>TRUE()</f>
        <v>1</v>
      </c>
    </row>
    <row r="42" spans="1:16" ht="12" hidden="1" customHeight="1" outlineLevel="1">
      <c r="A42" s="4869"/>
      <c r="B42" s="4858"/>
      <c r="C42" s="4858"/>
      <c r="D42" s="4858"/>
      <c r="E42" s="4858"/>
      <c r="F42" s="4884"/>
      <c r="G42" s="3660">
        <f>G11+G32</f>
        <v>17495336000</v>
      </c>
      <c r="H42" s="3660">
        <f>H11+H32</f>
        <v>17481810139</v>
      </c>
      <c r="I42" s="3660">
        <f>I11+I32</f>
        <v>13525861</v>
      </c>
      <c r="J42" s="3662"/>
      <c r="N42" s="3641" t="b">
        <f>TRUE()</f>
        <v>1</v>
      </c>
    </row>
    <row r="43" spans="1:16" ht="12" hidden="1" customHeight="1" outlineLevel="1" thickBot="1">
      <c r="A43" s="4885"/>
      <c r="B43" s="4886"/>
      <c r="C43" s="4886"/>
      <c r="D43" s="4886"/>
      <c r="E43" s="4886"/>
      <c r="F43" s="4887"/>
      <c r="G43" s="3667"/>
      <c r="H43" s="3667"/>
      <c r="I43" s="3667"/>
      <c r="J43" s="3665"/>
      <c r="N43" s="3641" t="b">
        <f>TRUE()</f>
        <v>1</v>
      </c>
    </row>
    <row r="44" spans="1:16" ht="10.5" hidden="1" customHeight="1" outlineLevel="1" thickTop="1">
      <c r="A44" s="4894" t="s">
        <v>6631</v>
      </c>
      <c r="B44" s="4895"/>
      <c r="C44" s="4895"/>
      <c r="D44" s="4895"/>
      <c r="E44" s="4895"/>
      <c r="F44" s="4896"/>
      <c r="G44" s="3664"/>
      <c r="H44" s="3670"/>
      <c r="I44" s="3670"/>
      <c r="J44" s="3663"/>
      <c r="N44" s="3641" t="b">
        <f>TRUE()</f>
        <v>1</v>
      </c>
    </row>
    <row r="45" spans="1:16" ht="15" hidden="1" customHeight="1" outlineLevel="1">
      <c r="A45" s="4897"/>
      <c r="B45" s="4898"/>
      <c r="C45" s="4898"/>
      <c r="D45" s="4898"/>
      <c r="E45" s="4898"/>
      <c r="F45" s="4899"/>
      <c r="G45" s="3669">
        <f>+'(繰)対前年'!G36</f>
        <v>0</v>
      </c>
      <c r="H45" s="3669">
        <v>0</v>
      </c>
      <c r="I45" s="3669">
        <f>G45-H45</f>
        <v>0</v>
      </c>
      <c r="J45" s="3668" t="s">
        <v>6630</v>
      </c>
      <c r="N45" s="3641" t="b">
        <f>TRUE()</f>
        <v>1</v>
      </c>
    </row>
    <row r="46" spans="1:16" ht="10.5" hidden="1" customHeight="1" outlineLevel="1" thickBot="1">
      <c r="A46" s="4900"/>
      <c r="B46" s="4901"/>
      <c r="C46" s="4901"/>
      <c r="D46" s="4901"/>
      <c r="E46" s="4901"/>
      <c r="F46" s="4902"/>
      <c r="G46" s="3667"/>
      <c r="H46" s="3666"/>
      <c r="I46" s="3666"/>
      <c r="J46" s="3665"/>
      <c r="N46" s="3641" t="b">
        <f>TRUE()</f>
        <v>1</v>
      </c>
    </row>
    <row r="47" spans="1:16" ht="10.5" hidden="1" customHeight="1" outlineLevel="1" thickTop="1">
      <c r="A47" s="4894" t="s">
        <v>6629</v>
      </c>
      <c r="B47" s="4895"/>
      <c r="C47" s="4895"/>
      <c r="D47" s="4895"/>
      <c r="E47" s="4895"/>
      <c r="F47" s="4896"/>
      <c r="G47" s="3664"/>
      <c r="H47" s="3664"/>
      <c r="I47" s="3664"/>
      <c r="J47" s="3663"/>
      <c r="N47" s="3641" t="b">
        <f>TRUE()</f>
        <v>1</v>
      </c>
    </row>
    <row r="48" spans="1:16" ht="15" hidden="1" customHeight="1" outlineLevel="1">
      <c r="A48" s="4897"/>
      <c r="B48" s="4898"/>
      <c r="C48" s="4898"/>
      <c r="D48" s="4898"/>
      <c r="E48" s="4898"/>
      <c r="F48" s="4899"/>
      <c r="G48" s="3660">
        <f>G42+G45</f>
        <v>17495336000</v>
      </c>
      <c r="H48" s="3660">
        <f>H42+H45</f>
        <v>17481810139</v>
      </c>
      <c r="I48" s="3660">
        <f>I42+I45</f>
        <v>13525861</v>
      </c>
      <c r="J48" s="3662"/>
      <c r="N48" s="3641" t="b">
        <f>TRUE()</f>
        <v>1</v>
      </c>
    </row>
    <row r="49" spans="1:14" ht="10.5" hidden="1" customHeight="1" outlineLevel="1" thickBot="1">
      <c r="A49" s="4900"/>
      <c r="B49" s="4901"/>
      <c r="C49" s="4901"/>
      <c r="D49" s="4901"/>
      <c r="E49" s="4901"/>
      <c r="F49" s="4902"/>
      <c r="G49" s="3661" t="s">
        <v>6628</v>
      </c>
      <c r="H49" s="3660"/>
      <c r="I49" s="3660"/>
      <c r="J49" s="3659"/>
      <c r="N49" s="3641" t="b">
        <f>TRUE()</f>
        <v>1</v>
      </c>
    </row>
    <row r="50" spans="1:14" ht="30.75" hidden="1" customHeight="1" outlineLevel="1" thickTop="1" thickBot="1">
      <c r="A50" s="4903" t="s">
        <v>6627</v>
      </c>
      <c r="B50" s="4904"/>
      <c r="C50" s="4904"/>
      <c r="D50" s="4904"/>
      <c r="E50" s="4904"/>
      <c r="F50" s="4905"/>
      <c r="G50" s="3658">
        <f>+'(繰)対前年'!G38</f>
        <v>0</v>
      </c>
      <c r="H50" s="3658">
        <f>'(繰)対前年'!H38</f>
        <v>0</v>
      </c>
      <c r="I50" s="3658">
        <f>G50-H50</f>
        <v>0</v>
      </c>
      <c r="J50" s="3657" t="s">
        <v>6626</v>
      </c>
      <c r="N50" s="3641" t="b">
        <f>TRUE()</f>
        <v>1</v>
      </c>
    </row>
    <row r="51" spans="1:14" ht="30.75" customHeight="1" collapsed="1" thickTop="1" thickBot="1">
      <c r="A51" s="4888" t="s">
        <v>6625</v>
      </c>
      <c r="B51" s="4889"/>
      <c r="C51" s="4889"/>
      <c r="D51" s="4889"/>
      <c r="E51" s="4889"/>
      <c r="F51" s="4890"/>
      <c r="G51" s="3656">
        <f>G48+G50</f>
        <v>17495336000</v>
      </c>
      <c r="H51" s="3656">
        <f>H48+H50</f>
        <v>17481810139</v>
      </c>
      <c r="I51" s="3656">
        <f>I48+I50</f>
        <v>13525861</v>
      </c>
      <c r="J51" s="3655"/>
      <c r="N51" s="3641" t="b">
        <f>TRUE()</f>
        <v>1</v>
      </c>
    </row>
    <row r="52" spans="1:14" ht="14.25" thickBot="1">
      <c r="N52" s="3641" t="b">
        <f>TRUE()</f>
        <v>1</v>
      </c>
    </row>
    <row r="53" spans="1:14" ht="20.100000000000001" customHeight="1">
      <c r="A53" s="4852" t="s">
        <v>6624</v>
      </c>
      <c r="B53" s="4853"/>
      <c r="C53" s="4853"/>
      <c r="D53" s="4853"/>
      <c r="E53" s="4853"/>
      <c r="F53" s="4854"/>
      <c r="G53" s="4865" t="s">
        <v>6623</v>
      </c>
      <c r="H53" s="4865" t="s">
        <v>6622</v>
      </c>
      <c r="I53" s="4872" t="s">
        <v>6621</v>
      </c>
      <c r="J53" s="4863" t="s">
        <v>6620</v>
      </c>
      <c r="N53" s="3641" t="b">
        <f>TRUE()</f>
        <v>1</v>
      </c>
    </row>
    <row r="54" spans="1:14" ht="20.100000000000001" customHeight="1" thickBot="1">
      <c r="A54" s="4855"/>
      <c r="B54" s="4856"/>
      <c r="C54" s="4856"/>
      <c r="D54" s="4856"/>
      <c r="E54" s="4856"/>
      <c r="F54" s="4857"/>
      <c r="G54" s="4866"/>
      <c r="H54" s="4866"/>
      <c r="I54" s="4873"/>
      <c r="J54" s="4864"/>
      <c r="N54" s="3641" t="b">
        <f>TRUE()</f>
        <v>1</v>
      </c>
    </row>
    <row r="55" spans="1:14" ht="23.25" customHeight="1">
      <c r="A55" s="4867" t="s">
        <v>6619</v>
      </c>
      <c r="B55" s="4868"/>
      <c r="C55" s="4868"/>
      <c r="D55" s="4875" t="s">
        <v>6618</v>
      </c>
      <c r="E55" s="4876"/>
      <c r="F55" s="4877"/>
      <c r="G55" s="3654">
        <f>+'(繰)対前年'!G43</f>
        <v>13691958000</v>
      </c>
      <c r="H55" s="3654">
        <f>'(繰)繰入金'!H41</f>
        <v>13773736465</v>
      </c>
      <c r="I55" s="3653">
        <f>G55-H55</f>
        <v>-81778465</v>
      </c>
      <c r="J55" s="4842"/>
      <c r="N55" s="3641" t="b">
        <f>TRUE()</f>
        <v>1</v>
      </c>
    </row>
    <row r="56" spans="1:14" ht="23.25" customHeight="1">
      <c r="A56" s="4869"/>
      <c r="B56" s="4858"/>
      <c r="C56" s="4858"/>
      <c r="D56" s="4878" t="s">
        <v>6617</v>
      </c>
      <c r="E56" s="4879"/>
      <c r="F56" s="4880"/>
      <c r="G56" s="3652">
        <f>+'(繰)対前年'!G44</f>
        <v>3803378000</v>
      </c>
      <c r="H56" s="3652">
        <f>'(繰)繰入金'!H42-G45</f>
        <v>3708073674</v>
      </c>
      <c r="I56" s="3651">
        <f>G56-H56</f>
        <v>95304326</v>
      </c>
      <c r="J56" s="4843"/>
      <c r="N56" s="3641" t="b">
        <f>TRUE()</f>
        <v>1</v>
      </c>
    </row>
    <row r="57" spans="1:14" ht="23.25" customHeight="1" thickBot="1">
      <c r="A57" s="4870"/>
      <c r="B57" s="4871"/>
      <c r="C57" s="4871"/>
      <c r="D57" s="4891" t="s">
        <v>6616</v>
      </c>
      <c r="E57" s="4892"/>
      <c r="F57" s="4893"/>
      <c r="G57" s="3650">
        <f>+'(繰)対前年'!G45</f>
        <v>0</v>
      </c>
      <c r="H57" s="3650">
        <f>'(繰)繰入金'!H43</f>
        <v>0</v>
      </c>
      <c r="I57" s="3649">
        <f>G57-H57</f>
        <v>0</v>
      </c>
      <c r="J57" s="4844"/>
      <c r="N57" s="3641" t="b">
        <f>TRUE()</f>
        <v>1</v>
      </c>
    </row>
    <row r="58" spans="1:14" ht="20.100000000000001" customHeight="1" thickBot="1">
      <c r="A58" s="4860" t="s">
        <v>6615</v>
      </c>
      <c r="B58" s="4861"/>
      <c r="C58" s="4861"/>
      <c r="D58" s="4861"/>
      <c r="E58" s="4861"/>
      <c r="F58" s="4862"/>
      <c r="G58" s="3648">
        <f>SUM(G55:G57)</f>
        <v>17495336000</v>
      </c>
      <c r="H58" s="3648">
        <f>SUM(H55:H57)</f>
        <v>17481810139</v>
      </c>
      <c r="I58" s="3647">
        <f>SUM(I55:I57)</f>
        <v>13525861</v>
      </c>
      <c r="J58" s="3646"/>
      <c r="N58" s="3641" t="b">
        <f>TRUE()</f>
        <v>1</v>
      </c>
    </row>
    <row r="59" spans="1:14">
      <c r="E59" s="3641" t="s">
        <v>6614</v>
      </c>
      <c r="G59" s="3642">
        <f>G16+G17+G26+G27+G28+G35</f>
        <v>13691958000</v>
      </c>
      <c r="H59" s="3642">
        <f>H16+H17+H26+H27+H28+H35+K21</f>
        <v>13773736465</v>
      </c>
      <c r="I59" s="3642" t="s">
        <v>6613</v>
      </c>
      <c r="J59" s="3645">
        <f>+I51-I58</f>
        <v>0</v>
      </c>
      <c r="N59" s="3641" t="b">
        <f>TRUE()</f>
        <v>1</v>
      </c>
    </row>
    <row r="60" spans="1:14" s="3643" customFormat="1">
      <c r="E60" s="4874" t="s">
        <v>6612</v>
      </c>
      <c r="F60" s="4874"/>
      <c r="G60" s="3644">
        <f>G55-G59</f>
        <v>0</v>
      </c>
      <c r="H60" s="3644">
        <f>H55-H59</f>
        <v>0</v>
      </c>
      <c r="I60" s="3644"/>
      <c r="N60" s="3643" t="b">
        <f>TRUE()</f>
        <v>1</v>
      </c>
    </row>
    <row r="61" spans="1:14">
      <c r="E61" s="3641" t="s">
        <v>6611</v>
      </c>
      <c r="G61" s="3642">
        <f>G15+G18+G19+G20+G21</f>
        <v>3803378000</v>
      </c>
      <c r="H61" s="3642">
        <f>H15+H18+H19+H20+H21-K21+H31</f>
        <v>3708073674</v>
      </c>
      <c r="N61" s="3641" t="b">
        <f>TRUE()</f>
        <v>1</v>
      </c>
    </row>
    <row r="62" spans="1:14" s="3643" customFormat="1">
      <c r="E62" s="4874" t="s">
        <v>6610</v>
      </c>
      <c r="F62" s="4874"/>
      <c r="G62" s="3644">
        <f>G56-G61</f>
        <v>0</v>
      </c>
      <c r="H62" s="3644">
        <f>H56-H61</f>
        <v>0</v>
      </c>
      <c r="I62" s="3644"/>
      <c r="N62" s="3643" t="b">
        <f>TRUE()</f>
        <v>1</v>
      </c>
    </row>
  </sheetData>
  <autoFilter ref="A10:N62">
    <filterColumn colId="0" showButton="0"/>
    <filterColumn colId="1" showButton="0"/>
    <filterColumn colId="2" showButton="0"/>
    <filterColumn colId="3" showButton="0"/>
    <filterColumn colId="4" showButton="0"/>
    <filterColumn colId="13">
      <filters>
        <filter val="TRUE"/>
      </filters>
    </filterColumn>
  </autoFilter>
  <mergeCells count="26">
    <mergeCell ref="E60:F60"/>
    <mergeCell ref="E62:F62"/>
    <mergeCell ref="D55:F55"/>
    <mergeCell ref="D56:F56"/>
    <mergeCell ref="A41:F43"/>
    <mergeCell ref="A51:F51"/>
    <mergeCell ref="D57:F57"/>
    <mergeCell ref="A58:F58"/>
    <mergeCell ref="A47:F49"/>
    <mergeCell ref="A44:F46"/>
    <mergeCell ref="A50:F50"/>
    <mergeCell ref="J55:J57"/>
    <mergeCell ref="B2:F2"/>
    <mergeCell ref="A32:F32"/>
    <mergeCell ref="B12:F12"/>
    <mergeCell ref="B22:F22"/>
    <mergeCell ref="A53:F54"/>
    <mergeCell ref="A5:J5"/>
    <mergeCell ref="A8:J8"/>
    <mergeCell ref="E9:H9"/>
    <mergeCell ref="A10:F10"/>
    <mergeCell ref="J53:J54"/>
    <mergeCell ref="H53:H54"/>
    <mergeCell ref="G53:G54"/>
    <mergeCell ref="A55:C57"/>
    <mergeCell ref="I53:I54"/>
  </mergeCells>
  <phoneticPr fontId="3"/>
  <printOptions horizontalCentered="1"/>
  <pageMargins left="0.59055118110236227" right="0.19685039370078741" top="0.47244094488188981" bottom="0.39370078740157483" header="0.51181102362204722" footer="0.51181102362204722"/>
  <pageSetup paperSize="9" fitToWidth="0" fitToHeight="0" orientation="portrait" blackAndWhite="1" r:id="rId1"/>
  <headerFooter alignWithMargins="0"/>
  <legacyDrawing r:id="rId2"/>
</worksheet>
</file>

<file path=xl/worksheets/w8_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7"/>
    <pageSetUpPr fitToPage="1"/>
  </sheetPr>
  <dimension ref="A1:K45"/>
  <sheetViews>
    <sheetView view="pageBreakPreview" zoomScale="85" zoomScaleNormal="90" zoomScaleSheetLayoutView="85" workbookViewId="0">
      <pane ySplit="3" topLeftCell="A4" activePane="bottomLeft" state="frozen"/>
      <selection activeCell="E7" sqref="E7"/>
      <selection pane="bottomLeft" activeCell="A4" sqref="A4"/>
    </sheetView>
  </sheetViews>
  <sheetFormatPr defaultColWidth="9" defaultRowHeight="29.25" customHeight="1" outlineLevelRow="1"/>
  <cols>
    <col min="1" max="1" width="1" style="3641" customWidth="1"/>
    <col min="2" max="3" width="2.25" style="3641" customWidth="1"/>
    <col min="4" max="4" width="1.875" style="3641" customWidth="1"/>
    <col min="5" max="5" width="2" style="3641" customWidth="1"/>
    <col min="6" max="6" width="18.75" style="3641" customWidth="1"/>
    <col min="7" max="7" width="15.875" style="3645" customWidth="1"/>
    <col min="8" max="9" width="16" style="3645" customWidth="1"/>
    <col min="10" max="10" width="20.375" style="3641" customWidth="1"/>
    <col min="11" max="16384" width="9" style="3641"/>
  </cols>
  <sheetData>
    <row r="1" spans="1:11" ht="29.25" customHeight="1">
      <c r="A1" s="4922" t="str">
        <f>+CONCATENATE(LEFT('3条支出'!$D$1,5),"一般会計繰入金の性質別等の区分")</f>
        <v>令和５年度一般会計繰入金の性質別等の区分</v>
      </c>
      <c r="B1" s="4922"/>
      <c r="C1" s="4922"/>
      <c r="D1" s="4922"/>
      <c r="E1" s="4922"/>
      <c r="F1" s="4922"/>
      <c r="G1" s="4922"/>
      <c r="H1" s="4922"/>
      <c r="I1" s="4922"/>
      <c r="J1" s="4922"/>
    </row>
    <row r="2" spans="1:11" ht="29.25" customHeight="1" thickBot="1">
      <c r="B2" s="3705"/>
      <c r="C2" s="3705"/>
      <c r="D2" s="3705"/>
      <c r="E2" s="4923"/>
      <c r="F2" s="4923"/>
      <c r="G2" s="4923"/>
      <c r="H2" s="4923"/>
      <c r="J2" s="3704" t="s">
        <v>6664</v>
      </c>
    </row>
    <row r="3" spans="1:11" ht="29.25" customHeight="1" thickBot="1">
      <c r="A3" s="4860" t="s">
        <v>6663</v>
      </c>
      <c r="B3" s="4861"/>
      <c r="C3" s="4861"/>
      <c r="D3" s="4861"/>
      <c r="E3" s="4861"/>
      <c r="F3" s="4862"/>
      <c r="G3" s="3726" t="s">
        <v>6676</v>
      </c>
      <c r="H3" s="3726" t="s">
        <v>6671</v>
      </c>
      <c r="I3" s="3726" t="s">
        <v>6675</v>
      </c>
      <c r="J3" s="3702" t="s">
        <v>6620</v>
      </c>
      <c r="K3" s="4423" t="s">
        <v>7134</v>
      </c>
    </row>
    <row r="4" spans="1:11" ht="29.25" customHeight="1">
      <c r="A4" s="3695" t="s">
        <v>6662</v>
      </c>
      <c r="B4" s="3694"/>
      <c r="C4" s="3694"/>
      <c r="D4" s="3694"/>
      <c r="E4" s="3694"/>
      <c r="F4" s="3694"/>
      <c r="G4" s="3693">
        <f>G5+G15</f>
        <v>13854862000</v>
      </c>
      <c r="H4" s="3693">
        <f>H5+H15</f>
        <v>14196305588</v>
      </c>
      <c r="I4" s="3693">
        <f t="shared" ref="I4:I33" si="0">G4-H4</f>
        <v>-341443588</v>
      </c>
      <c r="J4" s="3692"/>
      <c r="K4" s="3641" t="b">
        <f>OR(G4&gt;0,H4&gt;0,I4&gt;0)</f>
        <v>1</v>
      </c>
    </row>
    <row r="5" spans="1:11" ht="29.25" customHeight="1">
      <c r="A5" s="3691"/>
      <c r="B5" s="4849" t="s">
        <v>6661</v>
      </c>
      <c r="C5" s="4850"/>
      <c r="D5" s="4850"/>
      <c r="E5" s="4850"/>
      <c r="F5" s="4851"/>
      <c r="G5" s="3678">
        <f>G6</f>
        <v>13854862000</v>
      </c>
      <c r="H5" s="3678">
        <f>H6</f>
        <v>14187102335</v>
      </c>
      <c r="I5" s="3678">
        <f t="shared" si="0"/>
        <v>-332240335</v>
      </c>
      <c r="J5" s="3677"/>
      <c r="K5" s="3641" t="b">
        <f t="shared" ref="K5:K38" si="1">OR(G5&gt;0,H5&gt;0,I5&gt;0)</f>
        <v>1</v>
      </c>
    </row>
    <row r="6" spans="1:11" ht="29.25" customHeight="1">
      <c r="A6" s="3689"/>
      <c r="B6" s="3687"/>
      <c r="C6" s="3690" t="s">
        <v>6660</v>
      </c>
      <c r="D6" s="3690"/>
      <c r="E6" s="3690"/>
      <c r="F6" s="3690"/>
      <c r="G6" s="3678">
        <f>G7+G12+G13+G14+G11</f>
        <v>13854862000</v>
      </c>
      <c r="H6" s="3678">
        <f>H7+H12+H13+H14</f>
        <v>14187102335</v>
      </c>
      <c r="I6" s="3678">
        <f t="shared" si="0"/>
        <v>-332240335</v>
      </c>
      <c r="J6" s="3677"/>
      <c r="K6" s="3641" t="b">
        <f t="shared" si="1"/>
        <v>1</v>
      </c>
    </row>
    <row r="7" spans="1:11" ht="29.25" customHeight="1">
      <c r="A7" s="3689"/>
      <c r="B7" s="3688"/>
      <c r="C7" s="3687"/>
      <c r="D7" s="3690" t="s">
        <v>6659</v>
      </c>
      <c r="E7" s="3690"/>
      <c r="F7" s="3690"/>
      <c r="G7" s="3678">
        <f>SUM(G8:G10)</f>
        <v>13738282000</v>
      </c>
      <c r="H7" s="3678">
        <f>SUM(H8:H11)</f>
        <v>14079749832</v>
      </c>
      <c r="I7" s="3678">
        <f t="shared" si="0"/>
        <v>-341467832</v>
      </c>
      <c r="J7" s="3677"/>
      <c r="K7" s="3641" t="b">
        <f t="shared" si="1"/>
        <v>1</v>
      </c>
    </row>
    <row r="8" spans="1:11" ht="29.25" customHeight="1">
      <c r="A8" s="3689"/>
      <c r="B8" s="3688"/>
      <c r="C8" s="3688"/>
      <c r="D8" s="3687"/>
      <c r="E8" s="3690" t="s">
        <v>6648</v>
      </c>
      <c r="F8" s="3690"/>
      <c r="G8" s="3678">
        <f>'(繰)対前年'!G9</f>
        <v>3686798000</v>
      </c>
      <c r="H8" s="3678">
        <f>'(繰)対前年'!H9-H11</f>
        <v>3591522898</v>
      </c>
      <c r="I8" s="3678">
        <f t="shared" si="0"/>
        <v>95275102</v>
      </c>
      <c r="J8" s="3677" t="s">
        <v>6655</v>
      </c>
      <c r="K8" s="3641" t="b">
        <f t="shared" si="1"/>
        <v>1</v>
      </c>
    </row>
    <row r="9" spans="1:11" ht="29.25" customHeight="1">
      <c r="A9" s="3689"/>
      <c r="B9" s="3688"/>
      <c r="C9" s="3688"/>
      <c r="D9" s="3688"/>
      <c r="E9" s="3690" t="s">
        <v>6647</v>
      </c>
      <c r="F9" s="3690"/>
      <c r="G9" s="3678">
        <f>'(繰)対前年'!G10</f>
        <v>7912710000</v>
      </c>
      <c r="H9" s="3678">
        <f>'(繰)対前年'!H10</f>
        <v>8476549651</v>
      </c>
      <c r="I9" s="3678">
        <f t="shared" si="0"/>
        <v>-563839651</v>
      </c>
      <c r="J9" s="3677" t="s">
        <v>6644</v>
      </c>
      <c r="K9" s="3641" t="b">
        <f t="shared" si="1"/>
        <v>1</v>
      </c>
    </row>
    <row r="10" spans="1:11" ht="29.25" customHeight="1">
      <c r="A10" s="3689"/>
      <c r="B10" s="3688"/>
      <c r="C10" s="3688"/>
      <c r="D10" s="3688"/>
      <c r="E10" s="3690" t="s">
        <v>6646</v>
      </c>
      <c r="F10" s="3690"/>
      <c r="G10" s="3678">
        <f>'(繰)対前年'!G11</f>
        <v>2138774000</v>
      </c>
      <c r="H10" s="3678">
        <f>'(繰)対前年'!H11</f>
        <v>2011677283</v>
      </c>
      <c r="I10" s="3678">
        <f t="shared" si="0"/>
        <v>127096717</v>
      </c>
      <c r="J10" s="3677" t="s">
        <v>6644</v>
      </c>
      <c r="K10" s="3641" t="b">
        <f t="shared" si="1"/>
        <v>1</v>
      </c>
    </row>
    <row r="11" spans="1:11" ht="29.25" hidden="1" customHeight="1">
      <c r="A11" s="3689"/>
      <c r="B11" s="3688"/>
      <c r="C11" s="3688"/>
      <c r="D11" s="3701"/>
      <c r="E11" s="4415" t="s">
        <v>6658</v>
      </c>
      <c r="F11" s="3700"/>
      <c r="G11" s="3725">
        <v>0</v>
      </c>
      <c r="H11" s="3725">
        <v>0</v>
      </c>
      <c r="I11" s="3678">
        <f t="shared" si="0"/>
        <v>0</v>
      </c>
      <c r="J11" s="3677" t="s">
        <v>6655</v>
      </c>
      <c r="K11" s="3641" t="b">
        <f t="shared" si="1"/>
        <v>0</v>
      </c>
    </row>
    <row r="12" spans="1:11" ht="29.25" customHeight="1">
      <c r="A12" s="3689"/>
      <c r="B12" s="3688"/>
      <c r="C12" s="3688"/>
      <c r="D12" s="3690" t="s">
        <v>6657</v>
      </c>
      <c r="E12" s="3690"/>
      <c r="F12" s="3690"/>
      <c r="G12" s="3678">
        <f>'(繰)対前年'!G13</f>
        <v>61778000</v>
      </c>
      <c r="H12" s="3678">
        <f>'(繰)対前年'!H13</f>
        <v>52443869</v>
      </c>
      <c r="I12" s="3678">
        <f t="shared" si="0"/>
        <v>9334131</v>
      </c>
      <c r="J12" s="3677" t="s">
        <v>6655</v>
      </c>
      <c r="K12" s="3641" t="b">
        <f t="shared" si="1"/>
        <v>1</v>
      </c>
    </row>
    <row r="13" spans="1:11" ht="29.25" customHeight="1">
      <c r="A13" s="3689"/>
      <c r="B13" s="3688"/>
      <c r="C13" s="3688"/>
      <c r="D13" s="3690" t="s">
        <v>6656</v>
      </c>
      <c r="E13" s="3690"/>
      <c r="F13" s="3690"/>
      <c r="G13" s="3678">
        <f>'(繰)対前年'!G14</f>
        <v>40039000</v>
      </c>
      <c r="H13" s="3678">
        <f>'(繰)対前年'!H14</f>
        <v>44424775</v>
      </c>
      <c r="I13" s="3678">
        <f t="shared" si="0"/>
        <v>-4385775</v>
      </c>
      <c r="J13" s="3677" t="s">
        <v>6655</v>
      </c>
      <c r="K13" s="3641" t="b">
        <f t="shared" si="1"/>
        <v>1</v>
      </c>
    </row>
    <row r="14" spans="1:11" ht="29.25" customHeight="1">
      <c r="A14" s="3689"/>
      <c r="B14" s="3688"/>
      <c r="C14" s="3688"/>
      <c r="D14" s="3690" t="s">
        <v>6654</v>
      </c>
      <c r="E14" s="3690"/>
      <c r="F14" s="3690"/>
      <c r="G14" s="3678">
        <f>'(繰)対前年'!G15</f>
        <v>14763000</v>
      </c>
      <c r="H14" s="3678">
        <f>'(繰)対前年'!H15</f>
        <v>10483859</v>
      </c>
      <c r="I14" s="3678">
        <f t="shared" si="0"/>
        <v>4279141</v>
      </c>
      <c r="J14" s="3677" t="s">
        <v>6655</v>
      </c>
      <c r="K14" s="3641" t="b">
        <f t="shared" si="1"/>
        <v>1</v>
      </c>
    </row>
    <row r="15" spans="1:11" ht="29.25" customHeight="1">
      <c r="A15" s="3689"/>
      <c r="B15" s="3690" t="s">
        <v>6651</v>
      </c>
      <c r="C15" s="3690"/>
      <c r="D15" s="3690"/>
      <c r="E15" s="3690"/>
      <c r="F15" s="3690"/>
      <c r="G15" s="3678">
        <f>G16</f>
        <v>0</v>
      </c>
      <c r="H15" s="3678">
        <f>H16</f>
        <v>9203253</v>
      </c>
      <c r="I15" s="3678">
        <f t="shared" si="0"/>
        <v>-9203253</v>
      </c>
      <c r="J15" s="3677"/>
      <c r="K15" s="3641" t="b">
        <f t="shared" si="1"/>
        <v>1</v>
      </c>
    </row>
    <row r="16" spans="1:11" ht="29.25" customHeight="1">
      <c r="A16" s="3689"/>
      <c r="B16" s="3687"/>
      <c r="C16" s="3690" t="s">
        <v>6650</v>
      </c>
      <c r="D16" s="3690"/>
      <c r="E16" s="3690"/>
      <c r="F16" s="3690"/>
      <c r="G16" s="3678">
        <f>G17+G24</f>
        <v>0</v>
      </c>
      <c r="H16" s="3678">
        <f>H17+H24</f>
        <v>9203253</v>
      </c>
      <c r="I16" s="3678">
        <f t="shared" si="0"/>
        <v>-9203253</v>
      </c>
      <c r="J16" s="3677"/>
      <c r="K16" s="3641" t="b">
        <f t="shared" si="1"/>
        <v>1</v>
      </c>
    </row>
    <row r="17" spans="1:11" ht="29.25" customHeight="1">
      <c r="A17" s="3689"/>
      <c r="B17" s="3688"/>
      <c r="C17" s="3687"/>
      <c r="D17" s="3690" t="s">
        <v>6649</v>
      </c>
      <c r="E17" s="3690"/>
      <c r="F17" s="3690"/>
      <c r="G17" s="3678">
        <f>SUM(G18:G21)</f>
        <v>0</v>
      </c>
      <c r="H17" s="3678">
        <f>SUM(H18:H21)</f>
        <v>4980</v>
      </c>
      <c r="I17" s="3678">
        <f t="shared" si="0"/>
        <v>-4980</v>
      </c>
      <c r="J17" s="3677"/>
      <c r="K17" s="3641" t="b">
        <f t="shared" si="1"/>
        <v>1</v>
      </c>
    </row>
    <row r="18" spans="1:11" ht="29.25" hidden="1" customHeight="1">
      <c r="A18" s="3689"/>
      <c r="B18" s="3688"/>
      <c r="C18" s="3688"/>
      <c r="D18" s="3687"/>
      <c r="E18" s="3690" t="s">
        <v>6648</v>
      </c>
      <c r="F18" s="3690"/>
      <c r="G18" s="3678">
        <v>0</v>
      </c>
      <c r="H18" s="3678">
        <v>0</v>
      </c>
      <c r="I18" s="3678">
        <f t="shared" si="0"/>
        <v>0</v>
      </c>
      <c r="J18" s="3677"/>
      <c r="K18" s="3641" t="b">
        <f t="shared" si="1"/>
        <v>0</v>
      </c>
    </row>
    <row r="19" spans="1:11" ht="29.25" hidden="1" customHeight="1">
      <c r="A19" s="3689"/>
      <c r="B19" s="3688"/>
      <c r="C19" s="3688"/>
      <c r="D19" s="3688"/>
      <c r="E19" s="3690" t="s">
        <v>6647</v>
      </c>
      <c r="F19" s="3690"/>
      <c r="G19" s="3678">
        <f>'(繰)対前年'!G20</f>
        <v>0</v>
      </c>
      <c r="H19" s="3678">
        <f>'(繰)対前年'!H20</f>
        <v>0</v>
      </c>
      <c r="I19" s="3678">
        <f t="shared" si="0"/>
        <v>0</v>
      </c>
      <c r="J19" s="3677" t="s">
        <v>6644</v>
      </c>
      <c r="K19" s="3641" t="b">
        <f t="shared" si="1"/>
        <v>0</v>
      </c>
    </row>
    <row r="20" spans="1:11" ht="29.25" hidden="1" customHeight="1">
      <c r="A20" s="3689"/>
      <c r="B20" s="3688"/>
      <c r="C20" s="3688"/>
      <c r="D20" s="3688"/>
      <c r="E20" s="3690" t="s">
        <v>6646</v>
      </c>
      <c r="F20" s="3690"/>
      <c r="G20" s="3678">
        <f>'(繰)対前年'!G21</f>
        <v>0</v>
      </c>
      <c r="H20" s="3678">
        <f>'(繰)対前年'!H21</f>
        <v>0</v>
      </c>
      <c r="I20" s="3678">
        <f t="shared" si="0"/>
        <v>0</v>
      </c>
      <c r="J20" s="3677" t="s">
        <v>6644</v>
      </c>
      <c r="K20" s="3641" t="b">
        <f t="shared" si="1"/>
        <v>0</v>
      </c>
    </row>
    <row r="21" spans="1:11" ht="29.25" customHeight="1">
      <c r="A21" s="3689"/>
      <c r="B21" s="3688"/>
      <c r="C21" s="3688"/>
      <c r="D21" s="3688"/>
      <c r="E21" s="3687" t="s">
        <v>6645</v>
      </c>
      <c r="F21" s="3687"/>
      <c r="G21" s="3652">
        <f>'(繰)対前年'!G22</f>
        <v>0</v>
      </c>
      <c r="H21" s="3652">
        <f>'(繰)対前年'!H22</f>
        <v>4980</v>
      </c>
      <c r="I21" s="3652">
        <f t="shared" si="0"/>
        <v>-4980</v>
      </c>
      <c r="J21" s="3686" t="s">
        <v>6644</v>
      </c>
      <c r="K21" s="3641" t="b">
        <f t="shared" si="1"/>
        <v>1</v>
      </c>
    </row>
    <row r="22" spans="1:11" ht="29.25" hidden="1" customHeight="1">
      <c r="A22" s="3689"/>
      <c r="B22" s="3688"/>
      <c r="C22" s="3688"/>
      <c r="D22" s="3688"/>
      <c r="E22" s="4917"/>
      <c r="F22" s="3687" t="s">
        <v>6872</v>
      </c>
      <c r="G22" s="3652">
        <f>'(繰)対前年'!G23</f>
        <v>0</v>
      </c>
      <c r="H22" s="3652">
        <f>'(繰)対前年'!H23</f>
        <v>0</v>
      </c>
      <c r="I22" s="3652">
        <f t="shared" si="0"/>
        <v>0</v>
      </c>
      <c r="J22" s="3686"/>
      <c r="K22" s="3641" t="b">
        <f t="shared" si="1"/>
        <v>0</v>
      </c>
    </row>
    <row r="23" spans="1:11" ht="29.25" hidden="1" customHeight="1">
      <c r="A23" s="3689"/>
      <c r="B23" s="3688"/>
      <c r="C23" s="3688"/>
      <c r="D23" s="3688"/>
      <c r="E23" s="4918"/>
      <c r="F23" s="3687" t="s">
        <v>6873</v>
      </c>
      <c r="G23" s="3652">
        <f>'(繰)対前年'!G24</f>
        <v>0</v>
      </c>
      <c r="H23" s="3652">
        <f>'(繰)対前年'!H24</f>
        <v>0</v>
      </c>
      <c r="I23" s="3652">
        <f t="shared" si="0"/>
        <v>0</v>
      </c>
      <c r="J23" s="3686"/>
      <c r="K23" s="3641" t="b">
        <f t="shared" si="1"/>
        <v>0</v>
      </c>
    </row>
    <row r="24" spans="1:11" ht="29.25" customHeight="1" thickBot="1">
      <c r="A24" s="3698"/>
      <c r="B24" s="3697"/>
      <c r="C24" s="3697"/>
      <c r="D24" s="3696" t="s">
        <v>6643</v>
      </c>
      <c r="E24" s="3696"/>
      <c r="F24" s="3696"/>
      <c r="G24" s="3672">
        <f>'(繰)対前年'!G25</f>
        <v>0</v>
      </c>
      <c r="H24" s="3672">
        <f>'(繰)対前年'!H25</f>
        <v>9198273</v>
      </c>
      <c r="I24" s="3672">
        <f t="shared" si="0"/>
        <v>-9198273</v>
      </c>
      <c r="J24" s="3671" t="s">
        <v>6655</v>
      </c>
      <c r="K24" s="3641" t="b">
        <f t="shared" si="1"/>
        <v>1</v>
      </c>
    </row>
    <row r="25" spans="1:11" ht="29.25" customHeight="1" thickTop="1">
      <c r="A25" s="3961" t="s">
        <v>6641</v>
      </c>
      <c r="B25" s="3962"/>
      <c r="C25" s="3962"/>
      <c r="D25" s="3962"/>
      <c r="E25" s="4433"/>
      <c r="F25" s="4434"/>
      <c r="G25" s="3958">
        <f>G26+G29</f>
        <v>3640474000</v>
      </c>
      <c r="H25" s="3958">
        <f>H26+H29</f>
        <v>3285504551</v>
      </c>
      <c r="I25" s="3958">
        <f t="shared" si="0"/>
        <v>354969449</v>
      </c>
      <c r="J25" s="3959"/>
      <c r="K25" s="3641" t="b">
        <f t="shared" si="1"/>
        <v>1</v>
      </c>
    </row>
    <row r="26" spans="1:11" ht="29.25" customHeight="1">
      <c r="A26" s="3691"/>
      <c r="B26" s="3690" t="s">
        <v>6640</v>
      </c>
      <c r="C26" s="3690"/>
      <c r="D26" s="3690"/>
      <c r="E26" s="3690"/>
      <c r="F26" s="3690"/>
      <c r="G26" s="3678">
        <f>G27</f>
        <v>3640474000</v>
      </c>
      <c r="H26" s="3678">
        <f>H27</f>
        <v>3285504551</v>
      </c>
      <c r="I26" s="3678">
        <f t="shared" si="0"/>
        <v>354969449</v>
      </c>
      <c r="J26" s="3991"/>
      <c r="K26" s="3641" t="b">
        <f t="shared" si="1"/>
        <v>1</v>
      </c>
    </row>
    <row r="27" spans="1:11" ht="29.25" customHeight="1">
      <c r="A27" s="3689"/>
      <c r="B27" s="3687"/>
      <c r="C27" s="3690" t="s">
        <v>6639</v>
      </c>
      <c r="D27" s="3690"/>
      <c r="E27" s="3690"/>
      <c r="F27" s="3690"/>
      <c r="G27" s="3678">
        <f>SUM(G28:G28)</f>
        <v>3640474000</v>
      </c>
      <c r="H27" s="3678">
        <f>SUM(H28:H28)</f>
        <v>3285504551</v>
      </c>
      <c r="I27" s="3678">
        <f t="shared" si="0"/>
        <v>354969449</v>
      </c>
      <c r="J27" s="3677"/>
      <c r="K27" s="3641" t="b">
        <f t="shared" si="1"/>
        <v>1</v>
      </c>
    </row>
    <row r="28" spans="1:11" ht="29.25" customHeight="1" thickBot="1">
      <c r="A28" s="4427"/>
      <c r="B28" s="4428"/>
      <c r="C28" s="4429"/>
      <c r="D28" s="4430" t="s">
        <v>6639</v>
      </c>
      <c r="E28" s="4430"/>
      <c r="F28" s="4430"/>
      <c r="G28" s="3650">
        <f>'(繰)対前年'!G29</f>
        <v>3640474000</v>
      </c>
      <c r="H28" s="3650">
        <f>'(繰)対前年'!H29</f>
        <v>3285504551</v>
      </c>
      <c r="I28" s="3650">
        <f t="shared" si="0"/>
        <v>354969449</v>
      </c>
      <c r="J28" s="3721" t="s">
        <v>6626</v>
      </c>
      <c r="K28" s="3641" t="b">
        <f t="shared" si="1"/>
        <v>1</v>
      </c>
    </row>
    <row r="29" spans="1:11" ht="29.25" hidden="1" customHeight="1">
      <c r="A29" s="3682"/>
      <c r="B29" s="3857" t="s">
        <v>6638</v>
      </c>
      <c r="C29" s="3861"/>
      <c r="D29" s="3861"/>
      <c r="E29" s="3880"/>
      <c r="F29" s="3880"/>
      <c r="G29" s="3693">
        <f>G30</f>
        <v>0</v>
      </c>
      <c r="H29" s="3693">
        <f>H30</f>
        <v>0</v>
      </c>
      <c r="I29" s="3693">
        <f t="shared" si="0"/>
        <v>0</v>
      </c>
      <c r="J29" s="3692"/>
      <c r="K29" s="3641" t="b">
        <f t="shared" si="1"/>
        <v>0</v>
      </c>
    </row>
    <row r="30" spans="1:11" ht="29.25" hidden="1" customHeight="1">
      <c r="A30" s="3682"/>
      <c r="B30" s="3683"/>
      <c r="C30" s="3685" t="s">
        <v>6637</v>
      </c>
      <c r="D30" s="3684"/>
      <c r="E30" s="3679"/>
      <c r="F30" s="3679"/>
      <c r="G30" s="3678">
        <f>SUM(G31:G33)</f>
        <v>0</v>
      </c>
      <c r="H30" s="3678">
        <f>SUM(H31:H33)</f>
        <v>0</v>
      </c>
      <c r="I30" s="3678">
        <f t="shared" si="0"/>
        <v>0</v>
      </c>
      <c r="J30" s="3677" t="s">
        <v>6616</v>
      </c>
      <c r="K30" s="3641" t="b">
        <f t="shared" si="1"/>
        <v>0</v>
      </c>
    </row>
    <row r="31" spans="1:11" ht="29.25" hidden="1" customHeight="1">
      <c r="A31" s="3682"/>
      <c r="B31" s="3681"/>
      <c r="C31" s="3683"/>
      <c r="D31" s="3680" t="s">
        <v>6635</v>
      </c>
      <c r="E31" s="3679"/>
      <c r="F31" s="3679"/>
      <c r="G31" s="3678">
        <f>'(繰)対前年'!G32</f>
        <v>0</v>
      </c>
      <c r="H31" s="3678">
        <f>'(繰)対前年'!H32</f>
        <v>0</v>
      </c>
      <c r="I31" s="3678">
        <f t="shared" si="0"/>
        <v>0</v>
      </c>
      <c r="J31" s="3677"/>
      <c r="K31" s="3641" t="b">
        <f t="shared" si="1"/>
        <v>0</v>
      </c>
    </row>
    <row r="32" spans="1:11" ht="29.25" hidden="1" customHeight="1">
      <c r="A32" s="3682"/>
      <c r="B32" s="3681"/>
      <c r="C32" s="3681"/>
      <c r="D32" s="3680" t="s">
        <v>6634</v>
      </c>
      <c r="E32" s="3679"/>
      <c r="F32" s="3679"/>
      <c r="G32" s="3678">
        <f>'(繰)対前年'!G33</f>
        <v>0</v>
      </c>
      <c r="H32" s="3678">
        <f>'(繰)対前年'!H33</f>
        <v>0</v>
      </c>
      <c r="I32" s="3678">
        <f t="shared" si="0"/>
        <v>0</v>
      </c>
      <c r="J32" s="3677"/>
      <c r="K32" s="3641" t="b">
        <f t="shared" si="1"/>
        <v>0</v>
      </c>
    </row>
    <row r="33" spans="1:11" ht="29.25" hidden="1" customHeight="1" thickBot="1">
      <c r="A33" s="3682"/>
      <c r="B33" s="3724"/>
      <c r="C33" s="3724"/>
      <c r="D33" s="3723" t="s">
        <v>6674</v>
      </c>
      <c r="E33" s="3722"/>
      <c r="F33" s="3722"/>
      <c r="G33" s="3650">
        <f>'(繰)対前年'!G34</f>
        <v>0</v>
      </c>
      <c r="H33" s="3650">
        <f>'(繰)対前年'!H34</f>
        <v>0</v>
      </c>
      <c r="I33" s="3650">
        <f t="shared" si="0"/>
        <v>0</v>
      </c>
      <c r="J33" s="3721"/>
      <c r="K33" s="3641" t="b">
        <f t="shared" si="1"/>
        <v>0</v>
      </c>
    </row>
    <row r="34" spans="1:11" ht="29.25" customHeight="1" outlineLevel="1" thickBot="1">
      <c r="A34" s="4416" t="s">
        <v>6632</v>
      </c>
      <c r="B34" s="3990"/>
      <c r="C34" s="3990"/>
      <c r="D34" s="3990"/>
      <c r="E34" s="4417"/>
      <c r="F34" s="3955"/>
      <c r="G34" s="3660">
        <f>G4+G25</f>
        <v>17495336000</v>
      </c>
      <c r="H34" s="3660">
        <f>H4+H25</f>
        <v>17481810139</v>
      </c>
      <c r="I34" s="3660">
        <f>I4+I25</f>
        <v>13525861</v>
      </c>
      <c r="J34" s="3662"/>
      <c r="K34" s="3641" t="b">
        <f t="shared" si="1"/>
        <v>1</v>
      </c>
    </row>
    <row r="35" spans="1:11" ht="29.25" hidden="1" customHeight="1" thickTop="1" thickBot="1">
      <c r="A35" s="4420"/>
      <c r="B35" s="4426" t="s">
        <v>6631</v>
      </c>
      <c r="C35" s="4421"/>
      <c r="D35" s="4421"/>
      <c r="E35" s="4422"/>
      <c r="F35" s="4414"/>
      <c r="G35" s="3656">
        <f>'(繰)精算書'!G45</f>
        <v>0</v>
      </c>
      <c r="H35" s="3656">
        <f>'(繰)精算書'!H45</f>
        <v>0</v>
      </c>
      <c r="I35" s="3656">
        <f>G35-H35</f>
        <v>0</v>
      </c>
      <c r="J35" s="3720" t="s">
        <v>6655</v>
      </c>
      <c r="K35" s="3641" t="b">
        <f t="shared" si="1"/>
        <v>0</v>
      </c>
    </row>
    <row r="36" spans="1:11" ht="29.25" customHeight="1" outlineLevel="1" thickBot="1">
      <c r="A36" s="4919" t="s">
        <v>7135</v>
      </c>
      <c r="B36" s="4920"/>
      <c r="C36" s="4920"/>
      <c r="D36" s="4920"/>
      <c r="E36" s="4920"/>
      <c r="F36" s="4921"/>
      <c r="G36" s="4431">
        <f>G34+G35</f>
        <v>17495336000</v>
      </c>
      <c r="H36" s="4431">
        <f>H34+H35</f>
        <v>17481810139</v>
      </c>
      <c r="I36" s="4431">
        <f>G36-H36</f>
        <v>13525861</v>
      </c>
      <c r="J36" s="4432"/>
      <c r="K36" s="3641" t="b">
        <f t="shared" si="1"/>
        <v>1</v>
      </c>
    </row>
    <row r="37" spans="1:11" ht="29.25" hidden="1" customHeight="1" thickTop="1" thickBot="1">
      <c r="A37" s="4418" t="s">
        <v>6673</v>
      </c>
      <c r="B37" s="4419"/>
      <c r="C37" s="4419"/>
      <c r="D37" s="4419"/>
      <c r="E37" s="4419"/>
      <c r="F37" s="3956"/>
      <c r="G37" s="3658">
        <f>'(繰)対前年'!G38</f>
        <v>0</v>
      </c>
      <c r="H37" s="3658">
        <f>'(繰)対前年'!H38</f>
        <v>0</v>
      </c>
      <c r="I37" s="3658">
        <f>G37-H37</f>
        <v>0</v>
      </c>
      <c r="J37" s="3657" t="s">
        <v>6644</v>
      </c>
      <c r="K37" s="3641" t="b">
        <f t="shared" si="1"/>
        <v>0</v>
      </c>
    </row>
    <row r="38" spans="1:11" ht="29.25" customHeight="1" thickTop="1" thickBot="1">
      <c r="A38" s="4914" t="s">
        <v>6625</v>
      </c>
      <c r="B38" s="4915"/>
      <c r="C38" s="4915"/>
      <c r="D38" s="4915"/>
      <c r="E38" s="4915"/>
      <c r="F38" s="4916"/>
      <c r="G38" s="3656">
        <f>SUM(G36:G37)</f>
        <v>17495336000</v>
      </c>
      <c r="H38" s="3656">
        <f>SUM(H36:H37)</f>
        <v>17481810139</v>
      </c>
      <c r="I38" s="3656">
        <f>SUM(I36:I37)</f>
        <v>13525861</v>
      </c>
      <c r="J38" s="3720"/>
      <c r="K38" s="3641" t="b">
        <f t="shared" si="1"/>
        <v>1</v>
      </c>
    </row>
    <row r="39" spans="1:11" ht="29.25" customHeight="1" thickBot="1"/>
    <row r="40" spans="1:11" ht="29.25" customHeight="1" thickBot="1">
      <c r="E40" s="4912" t="s">
        <v>6624</v>
      </c>
      <c r="F40" s="4913"/>
      <c r="G40" s="4424" t="s">
        <v>6672</v>
      </c>
      <c r="H40" s="4424" t="s">
        <v>6671</v>
      </c>
      <c r="I40" s="4425" t="s">
        <v>6670</v>
      </c>
    </row>
    <row r="41" spans="1:11" ht="29.25" customHeight="1">
      <c r="E41" s="4906" t="s">
        <v>6626</v>
      </c>
      <c r="F41" s="4907"/>
      <c r="G41" s="3693">
        <f>+'(繰)対前年'!G43</f>
        <v>13691958000</v>
      </c>
      <c r="H41" s="3719">
        <f>SUMIF(J4:J33,E41,H4:H33)+H37</f>
        <v>13773736465</v>
      </c>
      <c r="I41" s="3718">
        <f>G41-H41</f>
        <v>-81778465</v>
      </c>
      <c r="J41" s="3992"/>
    </row>
    <row r="42" spans="1:11" ht="29.25" customHeight="1">
      <c r="E42" s="4908" t="s">
        <v>6617</v>
      </c>
      <c r="F42" s="4909"/>
      <c r="G42" s="3652">
        <f>+'(繰)対前年'!G44</f>
        <v>3803378000</v>
      </c>
      <c r="H42" s="3717">
        <f>SUMIF(J4:J35,E42,H4:H35)</f>
        <v>3708073674</v>
      </c>
      <c r="I42" s="3716">
        <f>G42-H42</f>
        <v>95304326</v>
      </c>
    </row>
    <row r="43" spans="1:11" ht="29.25" customHeight="1" thickBot="1">
      <c r="E43" s="4910" t="s">
        <v>6616</v>
      </c>
      <c r="F43" s="4911"/>
      <c r="G43" s="3650">
        <f>+'(繰)対前年'!G45</f>
        <v>0</v>
      </c>
      <c r="H43" s="3715">
        <f>SUMIF(J4:J33,E43,H4:H33)</f>
        <v>0</v>
      </c>
      <c r="I43" s="3714">
        <f>G43-H43</f>
        <v>0</v>
      </c>
    </row>
    <row r="44" spans="1:11" ht="29.25" customHeight="1" thickBot="1">
      <c r="E44" s="4860" t="s">
        <v>6669</v>
      </c>
      <c r="F44" s="4862"/>
      <c r="G44" s="3667">
        <f>SUM(G41:G43)</f>
        <v>17495336000</v>
      </c>
      <c r="H44" s="3667">
        <f>SUM(H41:H43)</f>
        <v>17481810139</v>
      </c>
      <c r="I44" s="3713">
        <f>SUM(I41:I43)</f>
        <v>13525861</v>
      </c>
    </row>
    <row r="45" spans="1:11" s="3699" customFormat="1" ht="29.25" customHeight="1">
      <c r="E45" s="3712"/>
      <c r="F45" s="3712"/>
      <c r="G45" s="3711"/>
      <c r="H45" s="3645"/>
      <c r="I45" s="3645"/>
    </row>
  </sheetData>
  <autoFilter ref="A3:K38">
    <filterColumn colId="0" showButton="0"/>
    <filterColumn colId="1" showButton="0"/>
    <filterColumn colId="2" showButton="0"/>
    <filterColumn colId="3" showButton="0"/>
    <filterColumn colId="4" showButton="0"/>
    <filterColumn colId="10">
      <filters>
        <filter val="TRUE"/>
      </filters>
    </filterColumn>
  </autoFilter>
  <mergeCells count="12">
    <mergeCell ref="A38:F38"/>
    <mergeCell ref="E22:E23"/>
    <mergeCell ref="A36:F36"/>
    <mergeCell ref="A1:J1"/>
    <mergeCell ref="E2:H2"/>
    <mergeCell ref="B5:F5"/>
    <mergeCell ref="A3:F3"/>
    <mergeCell ref="E41:F41"/>
    <mergeCell ref="E42:F42"/>
    <mergeCell ref="E43:F43"/>
    <mergeCell ref="E44:F44"/>
    <mergeCell ref="E40:F40"/>
  </mergeCells>
  <phoneticPr fontId="3"/>
  <printOptions horizontalCentered="1"/>
  <pageMargins left="0.94488188976377963" right="0.43307086614173229" top="0.74803149606299213" bottom="0.43307086614173229" header="0.51181102362204722" footer="0.39370078740157483"/>
  <pageSetup paperSize="9" scale="92" orientation="portrait" r:id="rId1"/>
  <headerFooter alignWithMargins="0"/>
</worksheet>
</file>

<file path=xl/worksheets/w8_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7"/>
    <pageSetUpPr fitToPage="1"/>
  </sheetPr>
  <dimension ref="A1:T47"/>
  <sheetViews>
    <sheetView view="pageBreakPreview" zoomScaleNormal="85" zoomScaleSheetLayoutView="100" workbookViewId="0">
      <pane ySplit="4" topLeftCell="A5" activePane="bottomLeft" state="frozen"/>
      <selection activeCell="E7" sqref="E7"/>
      <selection pane="bottomLeft" activeCell="A5" sqref="A5"/>
    </sheetView>
  </sheetViews>
  <sheetFormatPr defaultRowHeight="27.75" customHeight="1" outlineLevelRow="1" outlineLevelCol="1"/>
  <cols>
    <col min="1" max="5" width="1.75" customWidth="1" style="3617"/>
    <col min="6" max="6" width="13.375" customWidth="1" style="3617"/>
    <col min="7" max="8" width="15" style="3641" customWidth="1"/>
    <col min="9" max="9" width="15" style="3645" customWidth="1"/>
    <col min="10" max="10" width="6.375" style="4016" customWidth="1"/>
    <col min="11" max="11" width="15" style="3641" customWidth="1"/>
    <col min="12" max="12" width="15" style="3645" customWidth="1"/>
    <col min="13" max="13" width="8.875" style="3704" bestFit="1" customWidth="1"/>
    <col min="14" max="15" width="14.75" hidden="1" customWidth="1" outlineLevel="1" style="3617"/>
    <col min="16" max="16" width="8.375" hidden="1" customWidth="1" outlineLevel="1" style="3617"/>
    <col min="17" max="17" width="8.125" customWidth="1" collapsed="1" style="3617"/>
  </cols>
  <sheetData>
    <row r="1" spans="1:19" ht="27.75" customHeight="1">
      <c r="A1" s="4936" t="str">
        <f>+CONCATENATE(LEFT('3条支出'!$D$1,5),"一般会計繰入金の前年度比較表")</f>
        <v>令和５年度一般会計繰入金の前年度比較表</v>
      </c>
      <c r="B1" s="4936"/>
      <c r="C1" s="4936"/>
      <c r="D1" s="4936"/>
      <c r="E1" s="4936"/>
      <c r="F1" s="4936"/>
      <c r="G1" s="4936"/>
      <c r="H1" s="4936"/>
      <c r="I1" s="4936"/>
      <c r="J1" s="3854"/>
      <c r="K1" s="3853"/>
      <c r="L1" s="3852"/>
      <c r="M1" s="4012"/>
      <c r="N1" s="3851"/>
      <c r="O1" s="3851"/>
      <c r="P1" s="3851"/>
      <c r="Q1" s="3851"/>
    </row>
    <row r="2" spans="1:19" ht="27.75" customHeight="1" thickBot="1">
      <c r="B2" s="3850"/>
      <c r="C2" s="3850"/>
      <c r="D2" s="3850"/>
      <c r="E2" s="3849"/>
      <c r="F2" s="3849"/>
      <c r="G2" s="3848"/>
      <c r="H2" s="3848"/>
      <c r="I2" s="3847"/>
      <c r="J2" s="3846"/>
      <c r="K2" s="3845"/>
      <c r="L2" s="4935" t="s">
        <v>6664</v>
      </c>
      <c r="M2" s="4935"/>
      <c r="N2" s="3844"/>
      <c r="O2" s="3844"/>
    </row>
    <row r="3" spans="1:19" s="3835" customFormat="1" ht="27.75" customHeight="1">
      <c r="A3" s="4954" t="s">
        <v>6663</v>
      </c>
      <c r="B3" s="4955"/>
      <c r="C3" s="4955"/>
      <c r="D3" s="4955"/>
      <c r="E3" s="4955"/>
      <c r="F3" s="4956"/>
      <c r="G3" s="3843" t="s">
        <v>7215</v>
      </c>
      <c r="H3" s="3843" t="s">
        <v>7214</v>
      </c>
      <c r="I3" s="4937" t="s">
        <v>6685</v>
      </c>
      <c r="J3" s="4938"/>
      <c r="K3" s="3755" t="s">
        <v>6684</v>
      </c>
      <c r="L3" s="4937" t="s">
        <v>6683</v>
      </c>
      <c r="M3" s="4939"/>
      <c r="N3" s="3842" t="s">
        <v>6697</v>
      </c>
      <c r="O3" s="4948" t="s">
        <v>6696</v>
      </c>
      <c r="P3" s="4949"/>
      <c r="Q3" s="3841" t="s">
        <v>6620</v>
      </c>
    </row>
    <row r="4" spans="1:19" s="3835" customFormat="1" ht="27.75" customHeight="1" thickBot="1">
      <c r="A4" s="4946"/>
      <c r="B4" s="4947"/>
      <c r="C4" s="4947"/>
      <c r="D4" s="4947"/>
      <c r="E4" s="4947"/>
      <c r="F4" s="3960"/>
      <c r="G4" s="3840" t="s">
        <v>7212</v>
      </c>
      <c r="H4" s="3840" t="s">
        <v>7213</v>
      </c>
      <c r="I4" s="3751" t="s">
        <v>7211</v>
      </c>
      <c r="J4" s="3967" t="s">
        <v>6875</v>
      </c>
      <c r="K4" s="3752" t="s">
        <v>7210</v>
      </c>
      <c r="L4" s="3751" t="s">
        <v>7218</v>
      </c>
      <c r="M4" s="3966" t="s">
        <v>6874</v>
      </c>
      <c r="N4" s="3839" t="s">
        <v>6695</v>
      </c>
      <c r="O4" s="3838" t="s">
        <v>6694</v>
      </c>
      <c r="P4" s="3837" t="s">
        <v>6693</v>
      </c>
      <c r="Q4" s="3836"/>
      <c r="R4" s="3835" t="s">
        <v>7209</v>
      </c>
    </row>
    <row r="5" spans="1:19" ht="27.75" customHeight="1">
      <c r="A5" s="3814" t="s">
        <v>6662</v>
      </c>
      <c r="B5" s="3813"/>
      <c r="C5" s="3813"/>
      <c r="D5" s="3813"/>
      <c r="E5" s="3813"/>
      <c r="F5" s="3813"/>
      <c r="G5" s="3748">
        <f>G6+G16</f>
        <v>13854862000</v>
      </c>
      <c r="H5" s="3748">
        <f>H6+H16</f>
        <v>14196305588</v>
      </c>
      <c r="I5" s="3693">
        <f t="shared" ref="I5:I27" si="0">G5-H5</f>
        <v>-341443588</v>
      </c>
      <c r="J5" s="3812">
        <f t="shared" ref="J5:J35" si="1">IF(AND(G5=0,H5&gt;0),"皆増",IF(AND(G5&gt;0,H5=0),"皆減",IF(AND(G5=0,H5=0),"-",H5/G5)))</f>
        <v>1.0246443153313256</v>
      </c>
      <c r="K5" s="3811">
        <f>K6+K16</f>
        <v>13993380952</v>
      </c>
      <c r="L5" s="3693">
        <f>L6+L16</f>
        <v>202924636</v>
      </c>
      <c r="M5" s="3963">
        <f t="shared" ref="M5:M35" si="2">IF(AND(K5=0,H5&gt;0),"皆増",IF(AND(K5&gt;0,H5=0),"皆減",IF(AND(K5=0,H5=0),"-",H5/K5)))</f>
        <v>1.0145014729961308</v>
      </c>
      <c r="N5" s="3810">
        <f>N6+N16</f>
        <v>0</v>
      </c>
      <c r="O5" s="3809">
        <f t="shared" ref="O5:O18" si="3">N5-H5</f>
        <v>-14196305588</v>
      </c>
      <c r="P5" s="3808" t="e">
        <f t="shared" ref="P5:P18" si="4">H5/N5</f>
        <v>#DIV/0!</v>
      </c>
      <c r="Q5" s="3807"/>
      <c r="R5" t="str" s="3617">
        <f t="shared" ref="R5:R39" si="5">IF(OR(G5&gt;0,H5&gt;0,K5&gt;0),"表示（自動）","非表示（自動）")</f>
        <v>表示（自動）</v>
      </c>
    </row>
    <row r="6" spans="1:19" ht="27.75" customHeight="1">
      <c r="A6" s="3806"/>
      <c r="B6" s="3804" t="s">
        <v>6661</v>
      </c>
      <c r="C6" s="3804"/>
      <c r="D6" s="3804"/>
      <c r="E6" s="3804"/>
      <c r="F6" s="3804"/>
      <c r="G6" s="3792">
        <f>G7</f>
        <v>13854862000</v>
      </c>
      <c r="H6" s="3792">
        <f>H7</f>
        <v>14187102335</v>
      </c>
      <c r="I6" s="3678">
        <f t="shared" si="0"/>
        <v>-332240335</v>
      </c>
      <c r="J6" s="3803">
        <f t="shared" si="1"/>
        <v>1.0239800537168828</v>
      </c>
      <c r="K6" s="3791">
        <f>K7</f>
        <v>13993349494</v>
      </c>
      <c r="L6" s="3678">
        <f>SUM(L7)</f>
        <v>193752841</v>
      </c>
      <c r="M6" s="3830">
        <f t="shared" si="2"/>
        <v>1.0138460660246553</v>
      </c>
      <c r="N6" s="3790">
        <f>N7</f>
        <v>0</v>
      </c>
      <c r="O6" s="3789">
        <f t="shared" si="3"/>
        <v>-14187102335</v>
      </c>
      <c r="P6" s="3788" t="e">
        <f t="shared" si="4"/>
        <v>#DIV/0!</v>
      </c>
      <c r="Q6" s="3775"/>
      <c r="R6" t="str" s="3617">
        <f t="shared" si="5"/>
        <v>表示（自動）</v>
      </c>
    </row>
    <row r="7" spans="1:19" ht="27.75" customHeight="1">
      <c r="A7" s="3802"/>
      <c r="B7" s="3805"/>
      <c r="C7" s="3804" t="s">
        <v>6660</v>
      </c>
      <c r="D7" s="3804"/>
      <c r="E7" s="3804"/>
      <c r="F7" s="3804"/>
      <c r="G7" s="3792">
        <f>G8+G13+G14+G15+G12</f>
        <v>13854862000</v>
      </c>
      <c r="H7" s="3792">
        <f>H8+H13+H14+H15+H12</f>
        <v>14187102335</v>
      </c>
      <c r="I7" s="3678">
        <f t="shared" si="0"/>
        <v>-332240335</v>
      </c>
      <c r="J7" s="3803">
        <f t="shared" si="1"/>
        <v>1.0239800537168828</v>
      </c>
      <c r="K7" s="3791">
        <f>K8+K13+K14+K15+K12</f>
        <v>13993349494</v>
      </c>
      <c r="L7" s="3678">
        <f>L8+L13+L14+L15+L12</f>
        <v>193752841</v>
      </c>
      <c r="M7" s="3830">
        <f t="shared" si="2"/>
        <v>1.0138460660246553</v>
      </c>
      <c r="N7" s="3790">
        <f>N8+N13+N14+N15+N12</f>
        <v>0</v>
      </c>
      <c r="O7" s="3789">
        <f t="shared" si="3"/>
        <v>-14187102335</v>
      </c>
      <c r="P7" s="3788" t="e">
        <f t="shared" si="4"/>
        <v>#DIV/0!</v>
      </c>
      <c r="Q7" s="3775"/>
      <c r="R7" t="str" s="3617">
        <f t="shared" si="5"/>
        <v>表示（自動）</v>
      </c>
    </row>
    <row r="8" spans="1:19" ht="27.75" customHeight="1">
      <c r="A8" s="3802"/>
      <c r="B8" s="3801"/>
      <c r="C8" s="3805"/>
      <c r="D8" s="3804" t="s">
        <v>6659</v>
      </c>
      <c r="E8" s="3804"/>
      <c r="F8" s="3804"/>
      <c r="G8" s="3792">
        <f>SUM(G9:G11)</f>
        <v>13738282000</v>
      </c>
      <c r="H8" s="3792">
        <f>SUM(H9:H11)</f>
        <v>14079749832</v>
      </c>
      <c r="I8" s="3678">
        <f t="shared" si="0"/>
        <v>-341467832</v>
      </c>
      <c r="J8" s="3803">
        <f t="shared" si="1"/>
        <v>1.0248552062040945</v>
      </c>
      <c r="K8" s="3791">
        <f>SUM(K9:K11)</f>
        <v>13893559179</v>
      </c>
      <c r="L8" s="3678">
        <f>SUM(L9:L11)</f>
        <v>186190653</v>
      </c>
      <c r="M8" s="3830">
        <f t="shared" si="2"/>
        <v>1.0134012207096239</v>
      </c>
      <c r="N8" s="3790">
        <f>SUM(N9:N11)</f>
        <v>0</v>
      </c>
      <c r="O8" s="3789">
        <f t="shared" si="3"/>
        <v>-14079749832</v>
      </c>
      <c r="P8" s="3788" t="e">
        <f t="shared" si="4"/>
        <v>#DIV/0!</v>
      </c>
      <c r="Q8" s="3775"/>
      <c r="R8" t="str" s="3617">
        <f t="shared" si="5"/>
        <v>表示（自動）</v>
      </c>
    </row>
    <row r="9" spans="1:19" ht="27.75" customHeight="1">
      <c r="A9" s="3802"/>
      <c r="B9" s="3801"/>
      <c r="C9" s="3801"/>
      <c r="D9" s="3805"/>
      <c r="E9" s="3804" t="s">
        <v>6648</v>
      </c>
      <c r="F9" s="3804"/>
      <c r="G9" s="3783">
        <f>3629553000+4934000+52311000</f>
        <v>3686798000</v>
      </c>
      <c r="H9" s="3833">
        <f>+'3条収入'!AI11</f>
        <v>3591522898</v>
      </c>
      <c r="I9" s="3678">
        <f t="shared" si="0"/>
        <v>95275102</v>
      </c>
      <c r="J9" s="3803">
        <f t="shared" si="1"/>
        <v>0.97415776454256509</v>
      </c>
      <c r="K9" s="3786">
        <v>3319461162</v>
      </c>
      <c r="L9" s="3678">
        <f t="shared" ref="L9:L15" si="6">H9-K9</f>
        <v>272061736</v>
      </c>
      <c r="M9" s="3830">
        <f t="shared" si="2"/>
        <v>1.0819596081178671</v>
      </c>
      <c r="N9" s="3778"/>
      <c r="O9" s="3777">
        <f t="shared" si="3"/>
        <v>-3591522898</v>
      </c>
      <c r="P9" s="3776" t="e">
        <f t="shared" si="4"/>
        <v>#DIV/0!</v>
      </c>
      <c r="Q9" s="3775" t="s">
        <v>6655</v>
      </c>
      <c r="R9" t="str" s="3617">
        <f t="shared" si="5"/>
        <v>表示（自動）</v>
      </c>
    </row>
    <row r="10" spans="1:19" ht="27.75" customHeight="1">
      <c r="A10" s="3802"/>
      <c r="B10" s="3801"/>
      <c r="C10" s="3801"/>
      <c r="D10" s="3801"/>
      <c r="E10" s="3804" t="s">
        <v>6647</v>
      </c>
      <c r="F10" s="3804"/>
      <c r="G10" s="3989">
        <v>7912710000</v>
      </c>
      <c r="H10" s="3833">
        <f>+'3条収入'!AI12</f>
        <v>8476549651</v>
      </c>
      <c r="I10" s="3678">
        <f t="shared" si="0"/>
        <v>-563839651</v>
      </c>
      <c r="J10" s="3803">
        <f t="shared" si="1"/>
        <v>1.0712574643832518</v>
      </c>
      <c r="K10" s="3786">
        <v>8333522738</v>
      </c>
      <c r="L10" s="3678">
        <f t="shared" si="6"/>
        <v>143026913</v>
      </c>
      <c r="M10" s="3830">
        <f t="shared" si="2"/>
        <v>1.0171628394733732</v>
      </c>
      <c r="N10" s="3778"/>
      <c r="O10" s="3777">
        <f t="shared" si="3"/>
        <v>-8476549651</v>
      </c>
      <c r="P10" s="3776" t="e">
        <f t="shared" si="4"/>
        <v>#DIV/0!</v>
      </c>
      <c r="Q10" s="3775" t="s">
        <v>6644</v>
      </c>
      <c r="R10" t="str" s="3617">
        <f t="shared" si="5"/>
        <v>表示（自動）</v>
      </c>
    </row>
    <row r="11" spans="1:19" ht="27.75" customHeight="1">
      <c r="A11" s="3802"/>
      <c r="B11" s="3801"/>
      <c r="C11" s="3801"/>
      <c r="D11" s="3813"/>
      <c r="E11" s="3804" t="s">
        <v>6646</v>
      </c>
      <c r="F11" s="3804"/>
      <c r="G11" s="3783">
        <v>2138774000</v>
      </c>
      <c r="H11" s="3833">
        <f>+'3条収入'!AI13</f>
        <v>2011677283</v>
      </c>
      <c r="I11" s="3834">
        <f t="shared" si="0"/>
        <v>127096717</v>
      </c>
      <c r="J11" s="3803">
        <f t="shared" si="1"/>
        <v>0.94057496631247617</v>
      </c>
      <c r="K11" s="3786">
        <v>2240575279</v>
      </c>
      <c r="L11" s="3834">
        <f t="shared" si="6"/>
        <v>-228897996</v>
      </c>
      <c r="M11" s="3830">
        <f t="shared" si="2"/>
        <v>0.8978396315690137</v>
      </c>
      <c r="N11" s="3778"/>
      <c r="O11" s="3777">
        <f t="shared" si="3"/>
        <v>-2011677283</v>
      </c>
      <c r="P11" s="3776" t="e">
        <f t="shared" si="4"/>
        <v>#DIV/0!</v>
      </c>
      <c r="Q11" s="3775" t="s">
        <v>6644</v>
      </c>
      <c r="R11" t="str" s="3617">
        <f t="shared" si="5"/>
        <v>表示（自動）</v>
      </c>
      <c r="S11" t="s" s="3617">
        <v>7068</v>
      </c>
    </row>
    <row r="12" spans="1:19" ht="27.75" hidden="1" customHeight="1">
      <c r="A12" s="3802"/>
      <c r="B12" s="3801"/>
      <c r="C12" s="3801"/>
      <c r="D12" s="4940" t="s">
        <v>6692</v>
      </c>
      <c r="E12" s="4941"/>
      <c r="F12" s="4942"/>
      <c r="G12" s="3783">
        <v>0</v>
      </c>
      <c r="H12" s="3792">
        <v>0</v>
      </c>
      <c r="I12" s="3834">
        <f t="shared" si="0"/>
        <v>0</v>
      </c>
      <c r="J12" s="3803" t="str">
        <f t="shared" si="1"/>
        <v>-</v>
      </c>
      <c r="K12" s="3786">
        <v>0</v>
      </c>
      <c r="L12" s="3834">
        <f t="shared" si="6"/>
        <v>0</v>
      </c>
      <c r="M12" s="3830" t="str">
        <f t="shared" si="2"/>
        <v>-</v>
      </c>
      <c r="N12" s="3778"/>
      <c r="O12" s="3777">
        <f t="shared" si="3"/>
        <v>0</v>
      </c>
      <c r="P12" s="3776" t="e">
        <f t="shared" si="4"/>
        <v>#DIV/0!</v>
      </c>
      <c r="Q12" s="3775" t="s">
        <v>6644</v>
      </c>
      <c r="R12" t="str" s="3617">
        <f t="shared" si="5"/>
        <v>非表示（自動）</v>
      </c>
      <c r="S12" t="s" s="3617">
        <v>7067</v>
      </c>
    </row>
    <row r="13" spans="1:19" ht="27.75" customHeight="1">
      <c r="A13" s="3802"/>
      <c r="B13" s="3801"/>
      <c r="C13" s="3801"/>
      <c r="D13" s="3804" t="s">
        <v>6657</v>
      </c>
      <c r="E13" s="3804"/>
      <c r="F13" s="3804"/>
      <c r="G13" s="3783">
        <v>61778000</v>
      </c>
      <c r="H13" s="3833">
        <f>+'3条収入'!AI14</f>
        <v>52443869</v>
      </c>
      <c r="I13" s="3678">
        <f t="shared" si="0"/>
        <v>9334131</v>
      </c>
      <c r="J13" s="3803">
        <f t="shared" si="1"/>
        <v>0.84890849493347142</v>
      </c>
      <c r="K13" s="3786">
        <v>51549179</v>
      </c>
      <c r="L13" s="3678">
        <f t="shared" si="6"/>
        <v>894690</v>
      </c>
      <c r="M13" s="3830">
        <f t="shared" si="2"/>
        <v>1.0173560475133852</v>
      </c>
      <c r="N13" s="3778"/>
      <c r="O13" s="3777">
        <f t="shared" si="3"/>
        <v>-52443869</v>
      </c>
      <c r="P13" s="3776" t="e">
        <f t="shared" si="4"/>
        <v>#DIV/0!</v>
      </c>
      <c r="Q13" s="3775" t="s">
        <v>6655</v>
      </c>
      <c r="R13" t="str" s="3617">
        <f t="shared" si="5"/>
        <v>表示（自動）</v>
      </c>
    </row>
    <row r="14" spans="1:19" ht="27.75" customHeight="1">
      <c r="A14" s="3802"/>
      <c r="B14" s="3801"/>
      <c r="C14" s="3801"/>
      <c r="D14" s="3804" t="s">
        <v>6656</v>
      </c>
      <c r="E14" s="3804"/>
      <c r="F14" s="3804"/>
      <c r="G14" s="3783">
        <v>40039000</v>
      </c>
      <c r="H14" s="3833">
        <f>+'3条収入'!AI15</f>
        <v>44424775</v>
      </c>
      <c r="I14" s="3678">
        <f t="shared" si="0"/>
        <v>-4385775</v>
      </c>
      <c r="J14" s="3803">
        <f t="shared" si="1"/>
        <v>1.1095375758635331</v>
      </c>
      <c r="K14" s="3786">
        <v>37494710</v>
      </c>
      <c r="L14" s="3678">
        <f t="shared" si="6"/>
        <v>6930065</v>
      </c>
      <c r="M14" s="3830">
        <f t="shared" si="2"/>
        <v>1.1848278063758861</v>
      </c>
      <c r="N14" s="3778"/>
      <c r="O14" s="3777">
        <f t="shared" si="3"/>
        <v>-44424775</v>
      </c>
      <c r="P14" s="3776" t="e">
        <f t="shared" si="4"/>
        <v>#DIV/0!</v>
      </c>
      <c r="Q14" s="3775" t="s">
        <v>6655</v>
      </c>
      <c r="R14" t="str" s="3617">
        <f t="shared" si="5"/>
        <v>表示（自動）</v>
      </c>
    </row>
    <row r="15" spans="1:19" ht="27.75" customHeight="1">
      <c r="A15" s="3802"/>
      <c r="B15" s="3801"/>
      <c r="C15" s="3801"/>
      <c r="D15" s="3804" t="s">
        <v>6654</v>
      </c>
      <c r="E15" s="3804"/>
      <c r="F15" s="3804"/>
      <c r="G15" s="3783">
        <v>14763000</v>
      </c>
      <c r="H15" s="3833">
        <f>+'3条収入'!AI16</f>
        <v>10483859</v>
      </c>
      <c r="I15" s="3678">
        <f t="shared" si="0"/>
        <v>4279141</v>
      </c>
      <c r="J15" s="3803">
        <f t="shared" si="1"/>
        <v>0.71014421188105403</v>
      </c>
      <c r="K15" s="3831">
        <v>10746426</v>
      </c>
      <c r="L15" s="3678">
        <f t="shared" si="6"/>
        <v>-262567</v>
      </c>
      <c r="M15" s="3830">
        <f t="shared" si="2"/>
        <v>0.97556703968370506</v>
      </c>
      <c r="N15" s="3790"/>
      <c r="O15" s="3789">
        <f t="shared" si="3"/>
        <v>-10483859</v>
      </c>
      <c r="P15" s="3788" t="e">
        <f t="shared" si="4"/>
        <v>#DIV/0!</v>
      </c>
      <c r="Q15" s="3775" t="s">
        <v>6655</v>
      </c>
      <c r="R15" t="str" s="3617">
        <f t="shared" si="5"/>
        <v>表示（自動）</v>
      </c>
    </row>
    <row r="16" spans="1:19" ht="27.75" customHeight="1">
      <c r="A16" s="3802"/>
      <c r="B16" s="3804" t="s">
        <v>6651</v>
      </c>
      <c r="C16" s="3804"/>
      <c r="D16" s="3804"/>
      <c r="E16" s="3804"/>
      <c r="F16" s="3804"/>
      <c r="G16" s="3792">
        <f>G17</f>
        <v>0</v>
      </c>
      <c r="H16" s="3792">
        <f>H17</f>
        <v>9203253</v>
      </c>
      <c r="I16" s="3678">
        <f t="shared" si="0"/>
        <v>-9203253</v>
      </c>
      <c r="J16" s="3803" t="str">
        <f t="shared" si="1"/>
        <v>皆増</v>
      </c>
      <c r="K16" s="3791">
        <f>K17</f>
        <v>31458</v>
      </c>
      <c r="L16" s="3678">
        <f>SUM(L17)</f>
        <v>9171795</v>
      </c>
      <c r="M16" s="3830">
        <f t="shared" si="2"/>
        <v>292.55683768834638</v>
      </c>
      <c r="N16" s="3790">
        <f>N17</f>
        <v>0</v>
      </c>
      <c r="O16" s="3789">
        <f t="shared" si="3"/>
        <v>-9203253</v>
      </c>
      <c r="P16" s="3788" t="e">
        <f t="shared" si="4"/>
        <v>#DIV/0!</v>
      </c>
      <c r="Q16" s="3775"/>
      <c r="R16" t="str" s="3617">
        <f t="shared" si="5"/>
        <v>表示（自動）</v>
      </c>
    </row>
    <row r="17" spans="1:20" ht="27.75" customHeight="1">
      <c r="A17" s="3802"/>
      <c r="B17" s="3805"/>
      <c r="C17" s="3804" t="s">
        <v>6650</v>
      </c>
      <c r="D17" s="3804"/>
      <c r="E17" s="3804"/>
      <c r="F17" s="3804"/>
      <c r="G17" s="3792">
        <f>G18+G25</f>
        <v>0</v>
      </c>
      <c r="H17" s="3792">
        <f>H18+H25</f>
        <v>9203253</v>
      </c>
      <c r="I17" s="3678">
        <f t="shared" si="0"/>
        <v>-9203253</v>
      </c>
      <c r="J17" s="3803" t="str">
        <f t="shared" si="1"/>
        <v>皆増</v>
      </c>
      <c r="K17" s="3791">
        <f>K18+K25</f>
        <v>31458</v>
      </c>
      <c r="L17" s="3678">
        <f>SUM(L18,L25)</f>
        <v>9171795</v>
      </c>
      <c r="M17" s="3830">
        <f t="shared" si="2"/>
        <v>292.55683768834638</v>
      </c>
      <c r="N17" s="3790">
        <f>N18</f>
        <v>0</v>
      </c>
      <c r="O17" s="3789">
        <f t="shared" si="3"/>
        <v>-9203253</v>
      </c>
      <c r="P17" s="3788" t="e">
        <f t="shared" si="4"/>
        <v>#DIV/0!</v>
      </c>
      <c r="Q17" s="3775"/>
      <c r="R17" t="str" s="3617">
        <f t="shared" si="5"/>
        <v>表示（自動）</v>
      </c>
    </row>
    <row r="18" spans="1:20" ht="27.75" customHeight="1">
      <c r="A18" s="3802"/>
      <c r="B18" s="3801"/>
      <c r="C18" s="3805"/>
      <c r="D18" s="3804" t="s">
        <v>6649</v>
      </c>
      <c r="E18" s="3804"/>
      <c r="F18" s="3804"/>
      <c r="G18" s="3792">
        <f>SUM(G19:G22)</f>
        <v>0</v>
      </c>
      <c r="H18" s="3792">
        <f>SUM(H19:H22)</f>
        <v>4980</v>
      </c>
      <c r="I18" s="3678">
        <f t="shared" si="0"/>
        <v>-4980</v>
      </c>
      <c r="J18" s="3803" t="str">
        <f t="shared" si="1"/>
        <v>皆増</v>
      </c>
      <c r="K18" s="3791">
        <f>SUM(K19:K22)</f>
        <v>31458</v>
      </c>
      <c r="L18" s="3678">
        <f>SUM(L19:L22)</f>
        <v>-26478</v>
      </c>
      <c r="M18" s="3830">
        <f t="shared" si="2"/>
        <v>0.15830631317947741</v>
      </c>
      <c r="N18" s="3790">
        <f>SUM(N19:N22)</f>
        <v>0</v>
      </c>
      <c r="O18" s="3789">
        <f t="shared" si="3"/>
        <v>-4980</v>
      </c>
      <c r="P18" s="3788" t="e">
        <f t="shared" si="4"/>
        <v>#DIV/0!</v>
      </c>
      <c r="Q18" s="3775"/>
      <c r="R18" t="str" s="3617">
        <f t="shared" si="5"/>
        <v>表示（自動）</v>
      </c>
    </row>
    <row r="19" spans="1:20" ht="27.75" hidden="1" customHeight="1">
      <c r="A19" s="3802"/>
      <c r="B19" s="3801"/>
      <c r="C19" s="3801"/>
      <c r="D19" s="3801"/>
      <c r="E19" s="3804" t="s">
        <v>6648</v>
      </c>
      <c r="F19" s="3804"/>
      <c r="G19" s="3783">
        <v>0</v>
      </c>
      <c r="H19" s="3828">
        <f>+'3条収入'!AI44</f>
        <v>0</v>
      </c>
      <c r="I19" s="3678">
        <f t="shared" si="0"/>
        <v>0</v>
      </c>
      <c r="J19" s="3803" t="str">
        <f t="shared" si="1"/>
        <v>-</v>
      </c>
      <c r="K19" s="3831"/>
      <c r="L19" s="3678">
        <v>0</v>
      </c>
      <c r="M19" s="3830" t="str">
        <f t="shared" si="2"/>
        <v>-</v>
      </c>
      <c r="N19" s="3778">
        <v>0</v>
      </c>
      <c r="O19" s="3777">
        <v>0</v>
      </c>
      <c r="P19" s="3832" t="s">
        <v>6691</v>
      </c>
      <c r="Q19" s="3775"/>
      <c r="R19" t="str" s="3617">
        <f t="shared" si="5"/>
        <v>非表示（自動）</v>
      </c>
    </row>
    <row r="20" spans="1:20" ht="27.75" hidden="1" customHeight="1">
      <c r="A20" s="3802"/>
      <c r="B20" s="3801"/>
      <c r="C20" s="3801"/>
      <c r="D20" s="3801"/>
      <c r="E20" s="3804" t="s">
        <v>6647</v>
      </c>
      <c r="F20" s="3804"/>
      <c r="G20" s="3783">
        <v>0</v>
      </c>
      <c r="H20" s="3828">
        <f>+'3条収入'!AI45</f>
        <v>0</v>
      </c>
      <c r="I20" s="3678">
        <f t="shared" si="0"/>
        <v>0</v>
      </c>
      <c r="J20" s="3803" t="str">
        <f t="shared" si="1"/>
        <v>-</v>
      </c>
      <c r="K20" s="3831">
        <v>0</v>
      </c>
      <c r="L20" s="3678">
        <f t="shared" ref="L20:L34" si="7">H20-K20</f>
        <v>0</v>
      </c>
      <c r="M20" s="3830" t="str">
        <f t="shared" si="2"/>
        <v>-</v>
      </c>
      <c r="N20" s="3778"/>
      <c r="O20" s="3777">
        <f>N20-H20</f>
        <v>0</v>
      </c>
      <c r="P20" s="3776" t="e">
        <f>H20/N20</f>
        <v>#DIV/0!</v>
      </c>
      <c r="Q20" s="3775" t="s">
        <v>6644</v>
      </c>
      <c r="R20" t="str" s="3617">
        <f t="shared" si="5"/>
        <v>非表示（自動）</v>
      </c>
    </row>
    <row r="21" spans="1:20" ht="27.75" hidden="1" customHeight="1">
      <c r="A21" s="3802"/>
      <c r="B21" s="3801"/>
      <c r="C21" s="3801"/>
      <c r="D21" s="3801"/>
      <c r="E21" s="3804" t="s">
        <v>6646</v>
      </c>
      <c r="F21" s="3804"/>
      <c r="G21" s="3783">
        <v>0</v>
      </c>
      <c r="H21" s="3828">
        <f>+'3条収入'!AI46</f>
        <v>0</v>
      </c>
      <c r="I21" s="3678">
        <f t="shared" si="0"/>
        <v>0</v>
      </c>
      <c r="J21" s="3803" t="str">
        <f t="shared" si="1"/>
        <v>-</v>
      </c>
      <c r="K21" s="3831">
        <v>0</v>
      </c>
      <c r="L21" s="3678">
        <f t="shared" si="7"/>
        <v>0</v>
      </c>
      <c r="M21" s="3830" t="str">
        <f t="shared" si="2"/>
        <v>-</v>
      </c>
      <c r="N21" s="3778"/>
      <c r="O21" s="3777">
        <f>N21-H21</f>
        <v>0</v>
      </c>
      <c r="P21" s="3776" t="e">
        <f>H21/N21</f>
        <v>#DIV/0!</v>
      </c>
      <c r="Q21" s="3775" t="s">
        <v>6644</v>
      </c>
      <c r="R21" t="str" s="3617">
        <f t="shared" si="5"/>
        <v>非表示（自動）</v>
      </c>
    </row>
    <row r="22" spans="1:20" ht="27.75" customHeight="1">
      <c r="A22" s="3802"/>
      <c r="B22" s="3801"/>
      <c r="C22" s="3801"/>
      <c r="D22" s="3801"/>
      <c r="E22" s="4965" t="s">
        <v>6645</v>
      </c>
      <c r="F22" s="4966"/>
      <c r="G22" s="3783">
        <v>0</v>
      </c>
      <c r="H22" s="3833">
        <f>+'3条収入'!AI47</f>
        <v>4980</v>
      </c>
      <c r="I22" s="3678">
        <f t="shared" si="0"/>
        <v>-4980</v>
      </c>
      <c r="J22" s="3803" t="str">
        <f t="shared" si="1"/>
        <v>皆増</v>
      </c>
      <c r="K22" s="3786">
        <v>31458</v>
      </c>
      <c r="L22" s="3678">
        <f t="shared" si="7"/>
        <v>-26478</v>
      </c>
      <c r="M22" s="3830">
        <f t="shared" si="2"/>
        <v>0.15830631317947741</v>
      </c>
      <c r="N22" s="3778"/>
      <c r="O22" s="3777">
        <f>N22-H22</f>
        <v>-4980</v>
      </c>
      <c r="P22" s="3776" t="e">
        <f>H22/N22</f>
        <v>#DIV/0!</v>
      </c>
      <c r="Q22" s="3775" t="s">
        <v>6644</v>
      </c>
      <c r="R22" t="str" s="3617">
        <f t="shared" si="5"/>
        <v>表示（自動）</v>
      </c>
    </row>
    <row r="23" spans="1:20" ht="27.75" hidden="1" customHeight="1">
      <c r="A23" s="3802"/>
      <c r="B23" s="3801"/>
      <c r="C23" s="3801"/>
      <c r="D23" s="3801"/>
      <c r="E23" s="4957"/>
      <c r="F23" s="3981" t="s">
        <v>6872</v>
      </c>
      <c r="G23" s="3982"/>
      <c r="H23" s="3983"/>
      <c r="I23" s="3660">
        <f t="shared" ref="I23:I24" si="8">G23-H23</f>
        <v>0</v>
      </c>
      <c r="J23" s="3764" t="str">
        <f t="shared" si="1"/>
        <v>-</v>
      </c>
      <c r="K23" s="3984"/>
      <c r="L23" s="3660">
        <f t="shared" ref="L23:L24" si="9">H23-K23</f>
        <v>0</v>
      </c>
      <c r="M23" s="3760" t="str">
        <f t="shared" si="2"/>
        <v>-</v>
      </c>
      <c r="N23" s="3985"/>
      <c r="O23" s="3986"/>
      <c r="P23" s="3987"/>
      <c r="Q23" s="3763"/>
      <c r="R23" t="str" s="3617">
        <f t="shared" si="5"/>
        <v>非表示（自動）</v>
      </c>
    </row>
    <row r="24" spans="1:20" ht="27.75" hidden="1" customHeight="1">
      <c r="A24" s="3802"/>
      <c r="B24" s="3801"/>
      <c r="C24" s="3801"/>
      <c r="D24" s="3801"/>
      <c r="E24" s="4958"/>
      <c r="F24" s="3829" t="s">
        <v>6873</v>
      </c>
      <c r="G24" s="3800">
        <v>0</v>
      </c>
      <c r="H24" s="3828"/>
      <c r="I24" s="3652">
        <f t="shared" si="8"/>
        <v>0</v>
      </c>
      <c r="J24" s="3781" t="str">
        <f t="shared" si="1"/>
        <v>-</v>
      </c>
      <c r="K24" s="3780">
        <v>0</v>
      </c>
      <c r="L24" s="3652">
        <f t="shared" si="9"/>
        <v>0</v>
      </c>
      <c r="M24" s="3779" t="str">
        <f t="shared" si="2"/>
        <v>-</v>
      </c>
      <c r="N24" s="3798"/>
      <c r="O24" s="3797"/>
      <c r="P24" s="3796"/>
      <c r="Q24" s="3795"/>
      <c r="R24" t="str" s="3617">
        <f t="shared" si="5"/>
        <v>非表示（自動）</v>
      </c>
      <c r="T24" t="str" s="3617">
        <f>IF(ISERROR(H24/G24),IF(AND(G24=0,H24=0),"-",IF(G24=0,"皆増",H24/G24)),H24/G24)</f>
        <v>-</v>
      </c>
    </row>
    <row r="25" spans="1:20" ht="27.75" customHeight="1" thickBot="1">
      <c r="A25" s="3827"/>
      <c r="B25" s="3826"/>
      <c r="C25" s="3826"/>
      <c r="D25" s="3825" t="s">
        <v>6643</v>
      </c>
      <c r="E25" s="3824"/>
      <c r="F25" s="3824"/>
      <c r="G25" s="3823">
        <v>0</v>
      </c>
      <c r="H25" s="3822">
        <f>+'3条収入'!AI48</f>
        <v>9198273</v>
      </c>
      <c r="I25" s="3672">
        <f t="shared" si="0"/>
        <v>-9198273</v>
      </c>
      <c r="J25" s="3821" t="str">
        <f t="shared" si="1"/>
        <v>皆増</v>
      </c>
      <c r="K25" s="3820">
        <v>0</v>
      </c>
      <c r="L25" s="3672">
        <f t="shared" si="7"/>
        <v>9198273</v>
      </c>
      <c r="M25" s="3819" t="str">
        <f t="shared" si="2"/>
        <v>皆増</v>
      </c>
      <c r="N25" s="3818"/>
      <c r="O25" s="3817"/>
      <c r="P25" s="3816"/>
      <c r="Q25" s="3815" t="s">
        <v>6617</v>
      </c>
      <c r="R25" t="str" s="3617">
        <f t="shared" si="5"/>
        <v>表示（自動）</v>
      </c>
    </row>
    <row r="26" spans="1:20" ht="27.75" customHeight="1" thickTop="1">
      <c r="A26" s="3814" t="s">
        <v>6641</v>
      </c>
      <c r="B26" s="3813"/>
      <c r="C26" s="3813"/>
      <c r="D26" s="3813"/>
      <c r="E26" s="3813"/>
      <c r="F26" s="3813"/>
      <c r="G26" s="3748">
        <f>G27+G30</f>
        <v>3640474000</v>
      </c>
      <c r="H26" s="3748">
        <f>H27+H30</f>
        <v>3285504551</v>
      </c>
      <c r="I26" s="3693">
        <f t="shared" si="0"/>
        <v>354969449</v>
      </c>
      <c r="J26" s="3812">
        <f t="shared" si="1"/>
        <v>0.90249361786404736</v>
      </c>
      <c r="K26" s="3811">
        <f>K27+K30</f>
        <v>4465118734</v>
      </c>
      <c r="L26" s="3693">
        <f t="shared" si="7"/>
        <v>-1179614183</v>
      </c>
      <c r="M26" s="3963">
        <f t="shared" si="2"/>
        <v>0.73581571884802655</v>
      </c>
      <c r="N26" s="3810">
        <f>N27+N30</f>
        <v>0</v>
      </c>
      <c r="O26" s="3809">
        <f t="shared" ref="O26:O34" si="10">N26-H26</f>
        <v>-3285504551</v>
      </c>
      <c r="P26" s="3808" t="e">
        <f t="shared" ref="P26:P34" si="11">H26/N26</f>
        <v>#DIV/0!</v>
      </c>
      <c r="Q26" s="3807"/>
      <c r="R26" t="str" s="3617">
        <f t="shared" si="5"/>
        <v>表示（自動）</v>
      </c>
    </row>
    <row r="27" spans="1:20" ht="27.75" customHeight="1">
      <c r="A27" s="3806"/>
      <c r="B27" s="3804" t="s">
        <v>6640</v>
      </c>
      <c r="C27" s="3804"/>
      <c r="D27" s="3804"/>
      <c r="E27" s="3804"/>
      <c r="F27" s="3804"/>
      <c r="G27" s="3792">
        <f>G28</f>
        <v>3640474000</v>
      </c>
      <c r="H27" s="3792">
        <f>H28</f>
        <v>3285504551</v>
      </c>
      <c r="I27" s="3678">
        <f t="shared" si="0"/>
        <v>354969449</v>
      </c>
      <c r="J27" s="3803">
        <f t="shared" si="1"/>
        <v>0.90249361786404736</v>
      </c>
      <c r="K27" s="3791">
        <f>K28</f>
        <v>4465118734</v>
      </c>
      <c r="L27" s="3678">
        <f t="shared" si="7"/>
        <v>-1179614183</v>
      </c>
      <c r="M27" s="3830">
        <f t="shared" si="2"/>
        <v>0.73581571884802655</v>
      </c>
      <c r="N27" s="3790">
        <f>N28</f>
        <v>0</v>
      </c>
      <c r="O27" s="3789">
        <f t="shared" si="10"/>
        <v>-3285504551</v>
      </c>
      <c r="P27" s="3788" t="e">
        <f t="shared" si="11"/>
        <v>#DIV/0!</v>
      </c>
      <c r="Q27" s="3775"/>
      <c r="R27" t="str" s="3617">
        <f t="shared" si="5"/>
        <v>表示（自動）</v>
      </c>
    </row>
    <row r="28" spans="1:20" ht="27.75" customHeight="1">
      <c r="A28" s="3802"/>
      <c r="B28" s="3805"/>
      <c r="C28" s="3804" t="s">
        <v>6639</v>
      </c>
      <c r="D28" s="3804"/>
      <c r="E28" s="3804"/>
      <c r="F28" s="3804"/>
      <c r="G28" s="3792">
        <f>SUM(G29:G29)</f>
        <v>3640474000</v>
      </c>
      <c r="H28" s="3792">
        <f>SUM(H29:H29)</f>
        <v>3285504551</v>
      </c>
      <c r="I28" s="3678">
        <f>SUM(I29:I29)</f>
        <v>354969449</v>
      </c>
      <c r="J28" s="3803">
        <f t="shared" si="1"/>
        <v>0.90249361786404736</v>
      </c>
      <c r="K28" s="3791">
        <f>SUM(K29:K29)</f>
        <v>4465118734</v>
      </c>
      <c r="L28" s="3678">
        <f t="shared" si="7"/>
        <v>-1179614183</v>
      </c>
      <c r="M28" s="3830">
        <f t="shared" si="2"/>
        <v>0.73581571884802655</v>
      </c>
      <c r="N28" s="3790">
        <f>N29</f>
        <v>0</v>
      </c>
      <c r="O28" s="3789">
        <f t="shared" si="10"/>
        <v>-3285504551</v>
      </c>
      <c r="P28" s="3788" t="e">
        <f t="shared" si="11"/>
        <v>#DIV/0!</v>
      </c>
      <c r="Q28" s="3775"/>
      <c r="R28" t="str" s="3617">
        <f t="shared" si="5"/>
        <v>表示（自動）</v>
      </c>
    </row>
    <row r="29" spans="1:20" ht="27.75" customHeight="1" thickBot="1">
      <c r="A29" s="3802"/>
      <c r="B29" s="3801"/>
      <c r="C29" s="3787"/>
      <c r="D29" s="4967" t="s">
        <v>6639</v>
      </c>
      <c r="E29" s="4968"/>
      <c r="F29" s="4969"/>
      <c r="G29" s="3800">
        <v>3640474000</v>
      </c>
      <c r="H29" s="3799">
        <f>+'4条収入'!E22</f>
        <v>3285504551</v>
      </c>
      <c r="I29" s="3652">
        <f t="shared" ref="I29:I34" si="12">G29-H29</f>
        <v>354969449</v>
      </c>
      <c r="J29" s="3781">
        <f t="shared" si="1"/>
        <v>0.90249361786404736</v>
      </c>
      <c r="K29" s="3780">
        <v>4465118734</v>
      </c>
      <c r="L29" s="3652">
        <f t="shared" si="7"/>
        <v>-1179614183</v>
      </c>
      <c r="M29" s="3779">
        <f t="shared" si="2"/>
        <v>0.73581571884802655</v>
      </c>
      <c r="N29" s="3798"/>
      <c r="O29" s="3797">
        <f t="shared" si="10"/>
        <v>-3285504551</v>
      </c>
      <c r="P29" s="3796" t="e">
        <f t="shared" si="11"/>
        <v>#DIV/0!</v>
      </c>
      <c r="Q29" s="3795" t="s">
        <v>6626</v>
      </c>
      <c r="R29" t="str" s="3617">
        <f t="shared" si="5"/>
        <v>表示（自動）</v>
      </c>
    </row>
    <row r="30" spans="1:20" ht="27.75" hidden="1" customHeight="1">
      <c r="A30" s="3774"/>
      <c r="B30" s="3794" t="s">
        <v>6638</v>
      </c>
      <c r="C30" s="3793"/>
      <c r="D30" s="3793"/>
      <c r="E30" s="3784"/>
      <c r="F30" s="3784"/>
      <c r="G30" s="3792">
        <f>G31</f>
        <v>0</v>
      </c>
      <c r="H30" s="3792">
        <f>H31</f>
        <v>0</v>
      </c>
      <c r="I30" s="3678">
        <f t="shared" si="12"/>
        <v>0</v>
      </c>
      <c r="J30" s="3781" t="str">
        <f t="shared" si="1"/>
        <v>-</v>
      </c>
      <c r="K30" s="3791">
        <f>K31</f>
        <v>0</v>
      </c>
      <c r="L30" s="3678">
        <f t="shared" si="7"/>
        <v>0</v>
      </c>
      <c r="M30" s="3779" t="str">
        <f t="shared" si="2"/>
        <v>-</v>
      </c>
      <c r="N30" s="3790">
        <f>N31</f>
        <v>0</v>
      </c>
      <c r="O30" s="3789">
        <f t="shared" si="10"/>
        <v>0</v>
      </c>
      <c r="P30" s="3788" t="e">
        <f t="shared" si="11"/>
        <v>#DIV/0!</v>
      </c>
      <c r="Q30" s="3775"/>
      <c r="R30" t="str" s="3617">
        <f t="shared" si="5"/>
        <v>非表示（自動）</v>
      </c>
    </row>
    <row r="31" spans="1:20" ht="27.75" hidden="1" customHeight="1">
      <c r="A31" s="3774"/>
      <c r="B31" s="3787"/>
      <c r="C31" s="3794" t="s">
        <v>6637</v>
      </c>
      <c r="D31" s="3793"/>
      <c r="E31" s="3784"/>
      <c r="F31" s="3784"/>
      <c r="G31" s="3792">
        <f>SUM(G32:G34)</f>
        <v>0</v>
      </c>
      <c r="H31" s="3792">
        <f>SUM(H32:H34)</f>
        <v>0</v>
      </c>
      <c r="I31" s="3678">
        <f t="shared" si="12"/>
        <v>0</v>
      </c>
      <c r="J31" s="3781" t="str">
        <f t="shared" si="1"/>
        <v>-</v>
      </c>
      <c r="K31" s="3791">
        <f>SUM(K32:K34)</f>
        <v>0</v>
      </c>
      <c r="L31" s="3678">
        <f t="shared" si="7"/>
        <v>0</v>
      </c>
      <c r="M31" s="3779" t="str">
        <f t="shared" si="2"/>
        <v>-</v>
      </c>
      <c r="N31" s="3790">
        <f>SUM(N32:N34)</f>
        <v>0</v>
      </c>
      <c r="O31" s="3789">
        <f t="shared" si="10"/>
        <v>0</v>
      </c>
      <c r="P31" s="3788" t="e">
        <f t="shared" si="11"/>
        <v>#DIV/0!</v>
      </c>
      <c r="Q31" s="3775" t="s">
        <v>6616</v>
      </c>
      <c r="R31" t="str" s="3617">
        <f t="shared" si="5"/>
        <v>非表示（自動）</v>
      </c>
    </row>
    <row r="32" spans="1:20" ht="27.75" hidden="1" customHeight="1">
      <c r="A32" s="3774"/>
      <c r="B32" s="3785"/>
      <c r="C32" s="3787"/>
      <c r="D32" s="4959" t="s">
        <v>6876</v>
      </c>
      <c r="E32" s="4960"/>
      <c r="F32" s="4961"/>
      <c r="G32" s="3783">
        <v>0</v>
      </c>
      <c r="H32" s="3782">
        <f>+'4条収入'!E59</f>
        <v>0</v>
      </c>
      <c r="I32" s="3678">
        <f t="shared" si="12"/>
        <v>0</v>
      </c>
      <c r="J32" s="3781" t="str">
        <f t="shared" si="1"/>
        <v>-</v>
      </c>
      <c r="K32" s="3786">
        <v>0</v>
      </c>
      <c r="L32" s="3678">
        <f t="shared" si="7"/>
        <v>0</v>
      </c>
      <c r="M32" s="3779" t="str">
        <f t="shared" si="2"/>
        <v>-</v>
      </c>
      <c r="N32" s="3778"/>
      <c r="O32" s="3777">
        <f t="shared" si="10"/>
        <v>0</v>
      </c>
      <c r="P32" s="3776" t="e">
        <f t="shared" si="11"/>
        <v>#DIV/0!</v>
      </c>
      <c r="Q32" s="3775"/>
      <c r="R32" t="str" s="3617">
        <f t="shared" si="5"/>
        <v>非表示（自動）</v>
      </c>
    </row>
    <row r="33" spans="1:18" ht="27.75" hidden="1" customHeight="1">
      <c r="A33" s="3774"/>
      <c r="B33" s="3785"/>
      <c r="C33" s="3785"/>
      <c r="D33" s="4959" t="s">
        <v>6877</v>
      </c>
      <c r="E33" s="4960"/>
      <c r="F33" s="4961"/>
      <c r="G33" s="3783">
        <v>0</v>
      </c>
      <c r="H33" s="3782">
        <f>+'4条収入'!E63</f>
        <v>0</v>
      </c>
      <c r="I33" s="3678">
        <f t="shared" si="12"/>
        <v>0</v>
      </c>
      <c r="J33" s="3781" t="str">
        <f t="shared" si="1"/>
        <v>-</v>
      </c>
      <c r="K33" s="3780">
        <v>0</v>
      </c>
      <c r="L33" s="3678">
        <f t="shared" si="7"/>
        <v>0</v>
      </c>
      <c r="M33" s="3779" t="str">
        <f t="shared" si="2"/>
        <v>-</v>
      </c>
      <c r="N33" s="3778"/>
      <c r="O33" s="3777">
        <f t="shared" si="10"/>
        <v>0</v>
      </c>
      <c r="P33" s="3776" t="e">
        <f t="shared" si="11"/>
        <v>#DIV/0!</v>
      </c>
      <c r="Q33" s="3775"/>
      <c r="R33" t="str" s="3617">
        <f t="shared" si="5"/>
        <v>非表示（自動）</v>
      </c>
    </row>
    <row r="34" spans="1:18" ht="27.75" hidden="1" customHeight="1" thickBot="1">
      <c r="A34" s="3774"/>
      <c r="B34" s="3773"/>
      <c r="C34" s="3773"/>
      <c r="D34" s="4962" t="s">
        <v>6878</v>
      </c>
      <c r="E34" s="4963"/>
      <c r="F34" s="4964"/>
      <c r="G34" s="3772">
        <v>0</v>
      </c>
      <c r="H34" s="3771">
        <f>+'4条収入'!E67</f>
        <v>0</v>
      </c>
      <c r="I34" s="3650">
        <f t="shared" si="12"/>
        <v>0</v>
      </c>
      <c r="J34" s="3770" t="str">
        <f t="shared" si="1"/>
        <v>-</v>
      </c>
      <c r="K34" s="3769">
        <v>0</v>
      </c>
      <c r="L34" s="3650">
        <f t="shared" si="7"/>
        <v>0</v>
      </c>
      <c r="M34" s="3740" t="str">
        <f t="shared" si="2"/>
        <v>-</v>
      </c>
      <c r="N34" s="3768"/>
      <c r="O34" s="3767">
        <f t="shared" si="10"/>
        <v>0</v>
      </c>
      <c r="P34" s="3766" t="e">
        <f t="shared" si="11"/>
        <v>#DIV/0!</v>
      </c>
      <c r="Q34" s="3765"/>
      <c r="R34" t="str" s="3617">
        <f t="shared" si="5"/>
        <v>非表示（自動）</v>
      </c>
    </row>
    <row r="35" spans="1:18" ht="27.75" customHeight="1" thickBot="1">
      <c r="A35" s="4018" t="s">
        <v>6690</v>
      </c>
      <c r="B35" s="4019"/>
      <c r="C35" s="4019"/>
      <c r="D35" s="4019"/>
      <c r="E35" s="4019"/>
      <c r="F35" s="4020"/>
      <c r="G35" s="4021">
        <f>G5+G26</f>
        <v>17495336000</v>
      </c>
      <c r="H35" s="4021">
        <f>H5+H26</f>
        <v>17481810139</v>
      </c>
      <c r="I35" s="3648">
        <f>G35-H35</f>
        <v>13525861</v>
      </c>
      <c r="J35" s="4022">
        <f t="shared" si="1"/>
        <v>0.99922688761164691</v>
      </c>
      <c r="K35" s="4023">
        <f>K5+K26</f>
        <v>18458499686</v>
      </c>
      <c r="L35" s="3648">
        <f>H35-K35</f>
        <v>-976689547</v>
      </c>
      <c r="M35" s="4024">
        <f t="shared" si="2"/>
        <v>0.9470872734179594</v>
      </c>
      <c r="N35" s="4025">
        <f>N5+N26</f>
        <v>0</v>
      </c>
      <c r="O35" s="4026">
        <f>N35-H35</f>
        <v>-17481810139</v>
      </c>
      <c r="P35" s="4027" t="e">
        <f>H35/N35</f>
        <v>#DIV/0!</v>
      </c>
      <c r="Q35" s="4028"/>
      <c r="R35" t="str" s="3617">
        <f t="shared" si="5"/>
        <v>表示（自動）</v>
      </c>
    </row>
    <row r="36" spans="1:18" ht="27.75" hidden="1" customHeight="1" thickBot="1">
      <c r="A36" s="4973" t="s">
        <v>7069</v>
      </c>
      <c r="B36" s="4974"/>
      <c r="C36" s="4974"/>
      <c r="D36" s="4974"/>
      <c r="E36" s="4974"/>
      <c r="F36" s="4975"/>
      <c r="G36" s="4021">
        <v>0</v>
      </c>
      <c r="H36" s="4021">
        <f>'(繰)繰入金'!H35</f>
        <v>0</v>
      </c>
      <c r="I36" s="4029">
        <f>G36-H36</f>
        <v>0</v>
      </c>
      <c r="J36" s="4030" t="s">
        <v>6678</v>
      </c>
      <c r="K36" s="4023">
        <v>0</v>
      </c>
      <c r="L36" s="3648">
        <f>H36-K36</f>
        <v>0</v>
      </c>
      <c r="M36" s="4024" t="str">
        <f>IF(AND(K36=0,H36&gt;0),"皆増",IF(AND(K36&gt;0,H36=0),"皆減",IF(AND(K36=0,H36=0),"-",H36/K36)))</f>
        <v>-</v>
      </c>
      <c r="N36" s="4025">
        <f>N8+N29</f>
        <v>0</v>
      </c>
      <c r="O36" s="4026">
        <f>N36-H36</f>
        <v>0</v>
      </c>
      <c r="P36" s="4027" t="e">
        <f>H36/N36</f>
        <v>#DIV/0!</v>
      </c>
      <c r="Q36" s="4028" t="s">
        <v>6655</v>
      </c>
      <c r="R36" t="str" s="3617">
        <f t="shared" si="5"/>
        <v>非表示（自動）</v>
      </c>
    </row>
    <row r="37" spans="1:18" ht="27.75" customHeight="1" thickBot="1">
      <c r="A37" s="4943" t="s">
        <v>6689</v>
      </c>
      <c r="B37" s="4944"/>
      <c r="C37" s="4944"/>
      <c r="D37" s="4944"/>
      <c r="E37" s="4944"/>
      <c r="F37" s="4945"/>
      <c r="G37" s="4021">
        <f>G35+G36</f>
        <v>17495336000</v>
      </c>
      <c r="H37" s="4021">
        <f>H35+H36</f>
        <v>17481810139</v>
      </c>
      <c r="I37" s="3648">
        <f>G37-H37</f>
        <v>13525861</v>
      </c>
      <c r="J37" s="4022">
        <f>IF(AND(G37=0,H37&gt;0),"皆増",IF(AND(G37&gt;0,H37=0),"皆減",IF(AND(G37=0,H37=0),"-",H37/G37)))</f>
        <v>0.99922688761164691</v>
      </c>
      <c r="K37" s="4023">
        <f>K35+K36</f>
        <v>18458499686</v>
      </c>
      <c r="L37" s="3648">
        <f>H37-K37</f>
        <v>-976689547</v>
      </c>
      <c r="M37" s="4024">
        <f>IF(AND(K37=0,H37&gt;0),"皆増",IF(AND(K37&gt;0,H37=0),"皆減",IF(AND(K37=0,H37=0),"-",H37/K37)))</f>
        <v>0.9470872734179594</v>
      </c>
      <c r="N37" s="4025">
        <f>N11+N32</f>
        <v>0</v>
      </c>
      <c r="O37" s="4026">
        <f>N37-H37</f>
        <v>-17481810139</v>
      </c>
      <c r="P37" s="4027" t="e">
        <f>H37/N37</f>
        <v>#DIV/0!</v>
      </c>
      <c r="Q37" s="4028"/>
      <c r="R37" t="str" s="3617">
        <f t="shared" si="5"/>
        <v>表示（自動）</v>
      </c>
    </row>
    <row r="38" spans="1:18" ht="27.75" hidden="1" customHeight="1" thickBot="1">
      <c r="A38" s="4970" t="s">
        <v>6673</v>
      </c>
      <c r="B38" s="4971"/>
      <c r="C38" s="4971"/>
      <c r="D38" s="4971"/>
      <c r="E38" s="4971"/>
      <c r="F38" s="4972"/>
      <c r="G38" s="3762">
        <v>0</v>
      </c>
      <c r="H38" s="3759">
        <v>0</v>
      </c>
      <c r="I38" s="3757">
        <f>G38-H38</f>
        <v>0</v>
      </c>
      <c r="J38" s="4030" t="s">
        <v>6688</v>
      </c>
      <c r="K38" s="3761">
        <v>0</v>
      </c>
      <c r="L38" s="3757">
        <f>H38-K38</f>
        <v>0</v>
      </c>
      <c r="M38" s="4024" t="str">
        <f>IF(AND(K38=0,H38&gt;0),"皆増",IF(AND(K38&gt;0,H38=0),"皆減",IF(AND(K38=0,H38=0),"-",H38/K38)))</f>
        <v>-</v>
      </c>
      <c r="N38" s="4031"/>
      <c r="O38" s="4031"/>
      <c r="P38" s="4031"/>
      <c r="Q38" s="4032"/>
      <c r="R38" t="str" s="3617">
        <f t="shared" si="5"/>
        <v>非表示（自動）</v>
      </c>
    </row>
    <row r="39" spans="1:18" ht="27.75" customHeight="1" thickBot="1">
      <c r="A39" s="4932" t="s">
        <v>6687</v>
      </c>
      <c r="B39" s="4933"/>
      <c r="C39" s="4933"/>
      <c r="D39" s="4933"/>
      <c r="E39" s="4933"/>
      <c r="F39" s="4934"/>
      <c r="G39" s="3759">
        <f>G37+G38</f>
        <v>17495336000</v>
      </c>
      <c r="H39" s="3648">
        <f>H37+H38</f>
        <v>17481810139</v>
      </c>
      <c r="I39" s="3757">
        <f>I37+I38</f>
        <v>13525861</v>
      </c>
      <c r="J39" s="4015">
        <f>IF(AND(G39=0,H39&gt;0),"皆増",IF(AND(G39&gt;0,H39=0),"皆減",IF(AND(G39=0,H39=0),"-",H39/G39)))</f>
        <v>0.99922688761164691</v>
      </c>
      <c r="K39" s="3758">
        <f>K37+K38</f>
        <v>18458499686</v>
      </c>
      <c r="L39" s="3757">
        <f>H39-K39</f>
        <v>-976689547</v>
      </c>
      <c r="M39" s="4013">
        <f>IF(AND(K39=0,H39&gt;0),"皆増",IF(AND(K39&gt;0,H39=0),"皆減",IF(AND(K39=0,H39=0),"-",H39/K39)))</f>
        <v>0.9470872734179594</v>
      </c>
      <c r="N39" s="4031"/>
      <c r="O39" s="4031"/>
      <c r="P39" s="4031"/>
      <c r="Q39" s="4032"/>
      <c r="R39" t="str" s="3617">
        <f t="shared" si="5"/>
        <v>表示（自動）</v>
      </c>
    </row>
    <row r="40" spans="1:18" ht="27.75" customHeight="1" thickBot="1">
      <c r="E40" s="4824"/>
      <c r="F40" s="4824"/>
      <c r="G40" s="4825"/>
      <c r="H40" s="4825"/>
      <c r="I40" s="4826"/>
      <c r="J40" s="4827"/>
      <c r="K40" s="4825"/>
      <c r="L40" s="4826"/>
      <c r="M40" s="4828"/>
      <c r="Q40" s="4837"/>
      <c r="R40" t="s" s="3617">
        <v>7216</v>
      </c>
    </row>
    <row r="41" spans="1:18" ht="27.75" hidden="1" customHeight="1" outlineLevel="1">
      <c r="E41" s="4950" t="s">
        <v>6624</v>
      </c>
      <c r="F41" s="4951"/>
      <c r="G41" s="3756" t="s">
        <v>6672</v>
      </c>
      <c r="H41" s="3756" t="s">
        <v>6686</v>
      </c>
      <c r="I41" s="4937" t="s">
        <v>6685</v>
      </c>
      <c r="J41" s="4938"/>
      <c r="K41" s="3755" t="s">
        <v>6684</v>
      </c>
      <c r="L41" s="4937" t="s">
        <v>6683</v>
      </c>
      <c r="M41" s="4939"/>
      <c r="N41" s="3968"/>
      <c r="O41" s="3754"/>
      <c r="P41" s="3754"/>
      <c r="Q41" s="4836"/>
      <c r="R41" t="s" s="3617">
        <v>7217</v>
      </c>
    </row>
    <row r="42" spans="1:18" ht="27.75" hidden="1" customHeight="1" outlineLevel="1" thickBot="1">
      <c r="E42" s="4952"/>
      <c r="F42" s="4953"/>
      <c r="G42" s="3753" t="s">
        <v>6682</v>
      </c>
      <c r="H42" s="3753"/>
      <c r="I42" s="3751" t="s">
        <v>6681</v>
      </c>
      <c r="J42" s="3967" t="s">
        <v>6875</v>
      </c>
      <c r="K42" s="3752" t="s">
        <v>6680</v>
      </c>
      <c r="L42" s="3751" t="s">
        <v>6679</v>
      </c>
      <c r="M42" s="3966" t="s">
        <v>6874</v>
      </c>
      <c r="N42" s="3969"/>
      <c r="O42" s="3750"/>
      <c r="P42" s="3750"/>
      <c r="Q42" s="4833"/>
      <c r="R42" t="s" s="3617">
        <v>7217</v>
      </c>
    </row>
    <row r="43" spans="1:18" ht="27.75" customHeight="1" collapsed="1">
      <c r="E43" s="4924" t="s">
        <v>6626</v>
      </c>
      <c r="F43" s="4925"/>
      <c r="G43" s="3749">
        <f>SUMIF($Q$5:$Q$34,$E$43,G5:G34)</f>
        <v>13691958000</v>
      </c>
      <c r="H43" s="3748">
        <f>SUMIF($Q$5:$Q$34,$E$43,H5:H34)</f>
        <v>13773736465</v>
      </c>
      <c r="I43" s="3693">
        <f>G43-H43</f>
        <v>-81778465</v>
      </c>
      <c r="J43" s="3812">
        <f>IF(AND(G43=0,H43&gt;0),"皆増",IF(AND(G43&gt;0,H43=0),"皆減",IF(AND(G43=0,H43=0),"-",H43/G43)))</f>
        <v>1.0059727370621498</v>
      </c>
      <c r="K43" s="3970">
        <v>15039248209</v>
      </c>
      <c r="L43" s="3693">
        <f>H43-K43</f>
        <v>-1265511744</v>
      </c>
      <c r="M43" s="3963">
        <f>IF(AND(K43=0,H43&gt;0),"皆増",IF(AND(K43&gt;0,H43=0),"皆減",IF(AND(K43=0,H43=0),"-",H43/K43)))</f>
        <v>0.91585272572051346</v>
      </c>
      <c r="N43" s="3747"/>
      <c r="O43" s="3746"/>
      <c r="P43" s="4829"/>
      <c r="Q43" s="4834"/>
      <c r="R43" t="s" s="3617">
        <v>7216</v>
      </c>
    </row>
    <row r="44" spans="1:18" ht="27.75" customHeight="1">
      <c r="E44" s="4926" t="s">
        <v>6617</v>
      </c>
      <c r="F44" s="4927"/>
      <c r="G44" s="3745">
        <f>SUMIF($Q$5:$Q$31,$E$44,G5:G31)</f>
        <v>3803378000</v>
      </c>
      <c r="H44" s="3745">
        <f>SUMIF($Q$5:$Q$36,$E$44,H5:H36)</f>
        <v>3708073674</v>
      </c>
      <c r="I44" s="3652">
        <f>G44-H44</f>
        <v>95304326</v>
      </c>
      <c r="J44" s="3781">
        <f>IF(AND(G44=0,H44&gt;0),"皆増",IF(AND(G44&gt;0,H44=0),"皆減",IF(AND(G44=0,H44=0),"-",H44/G44)))</f>
        <v>0.97494218928541942</v>
      </c>
      <c r="K44" s="3780">
        <v>3419251477</v>
      </c>
      <c r="L44" s="3652">
        <f>H44-K44</f>
        <v>288822197</v>
      </c>
      <c r="M44" s="3779">
        <f>IF(AND(K44=0,H44&gt;0),"皆増",IF(AND(K44&gt;0,H44=0),"皆減",IF(AND(K44=0,H44=0),"-",H44/K44)))</f>
        <v>1.0844694223115197</v>
      </c>
      <c r="N44" s="3744"/>
      <c r="O44" s="3743"/>
      <c r="P44" s="4830"/>
      <c r="Q44" s="4834"/>
      <c r="R44" t="s" s="3617">
        <v>7216</v>
      </c>
    </row>
    <row r="45" spans="1:18" ht="27.75" customHeight="1" thickBot="1">
      <c r="E45" s="4928" t="s">
        <v>6616</v>
      </c>
      <c r="F45" s="4929"/>
      <c r="G45" s="3742">
        <f>G31</f>
        <v>0</v>
      </c>
      <c r="H45" s="3742">
        <f>H31</f>
        <v>0</v>
      </c>
      <c r="I45" s="3650">
        <f>G45-H45</f>
        <v>0</v>
      </c>
      <c r="J45" s="3741" t="str">
        <f>IF(AND(G45=0,H45&gt;0),"皆増",IF(AND(G45&gt;0,H45=0),"皆減",IF(AND(G45=0,H45=0),"-",H45/G45)))</f>
        <v>-</v>
      </c>
      <c r="K45" s="3769">
        <v>0</v>
      </c>
      <c r="L45" s="3650">
        <f>H45-K45</f>
        <v>0</v>
      </c>
      <c r="M45" s="3740" t="str">
        <f>IF(AND(K45=0,H45&gt;0),"皆増",IF(AND(K45&gt;0,H45=0),"皆減",IF(AND(K45=0,H45=0),"-",H45/K45)))</f>
        <v>-</v>
      </c>
      <c r="N45" s="3739"/>
      <c r="O45" s="3738"/>
      <c r="P45" s="4831"/>
      <c r="Q45" s="4834"/>
      <c r="R45" t="s" s="3617">
        <v>7216</v>
      </c>
    </row>
    <row r="46" spans="1:18" ht="27.75" customHeight="1" thickBot="1">
      <c r="E46" s="4930" t="s">
        <v>6669</v>
      </c>
      <c r="F46" s="4931"/>
      <c r="G46" s="3737">
        <f>SUM(G43:G45)</f>
        <v>17495336000</v>
      </c>
      <c r="H46" s="3737">
        <f>SUM(H43:H45)</f>
        <v>17481810139</v>
      </c>
      <c r="I46" s="3667">
        <f>G46-H46</f>
        <v>13525861</v>
      </c>
      <c r="J46" s="3964">
        <f>IF(AND(G46=0,H46&gt;0),"皆増",IF(AND(G46&gt;0,H46=0),"皆減",IF(AND(G46=0,H46=0),"-",H46/G46)))</f>
        <v>0.99922688761164691</v>
      </c>
      <c r="K46" s="3736">
        <f>SUM(K43:K45)</f>
        <v>18458499686</v>
      </c>
      <c r="L46" s="3667">
        <f>H46-K46</f>
        <v>-976689547</v>
      </c>
      <c r="M46" s="3965">
        <f>IF(AND(K46=0,H46&gt;0),"皆増",IF(AND(K46&gt;0,H46=0),"皆減",IF(AND(K46=0,H46=0),"-",H46/K46)))</f>
        <v>0.9470872734179594</v>
      </c>
      <c r="N46" s="3735"/>
      <c r="O46" s="3734"/>
      <c r="P46" s="4832"/>
      <c r="Q46" s="4835"/>
      <c r="R46" t="s" s="3617">
        <v>7216</v>
      </c>
    </row>
    <row r="47" spans="1:18" s="3727" customFormat="1" ht="27.75" customHeight="1">
      <c r="E47" s="3733" t="s">
        <v>6677</v>
      </c>
      <c r="F47" s="3733"/>
      <c r="G47" s="3732">
        <f>G35-G46</f>
        <v>0</v>
      </c>
      <c r="H47" s="3731">
        <f>H37-H46</f>
        <v>0</v>
      </c>
      <c r="I47" s="3730"/>
      <c r="J47" s="4017"/>
      <c r="K47" s="3731">
        <f>K37-K46</f>
        <v>0</v>
      </c>
      <c r="L47" s="3730"/>
      <c r="M47" s="4014"/>
      <c r="N47" s="3729"/>
      <c r="O47" s="3729"/>
      <c r="P47" s="3729"/>
      <c r="Q47" s="3728"/>
    </row>
  </sheetData>
  <autoFilter ref="A4:R47">
    <filterColumn colId="0" showButton="0"/>
    <filterColumn colId="1" showButton="0"/>
    <filterColumn colId="2" showButton="0"/>
    <filterColumn colId="3" showButton="0"/>
    <filterColumn colId="17">
      <filters blank="1">
        <filter val="表示（強制）"/>
        <filter val="表示（自動）"/>
      </filters>
    </filterColumn>
  </autoFilter>
  <mergeCells count="25">
    <mergeCell ref="A37:F37"/>
    <mergeCell ref="L41:M41"/>
    <mergeCell ref="I41:J41"/>
    <mergeCell ref="A4:E4"/>
    <mergeCell ref="O3:P3"/>
    <mergeCell ref="E41:F42"/>
    <mergeCell ref="A3:F3"/>
    <mergeCell ref="E23:E24"/>
    <mergeCell ref="D32:F32"/>
    <mergeCell ref="D33:F33"/>
    <mergeCell ref="D34:F34"/>
    <mergeCell ref="E22:F22"/>
    <mergeCell ref="D29:F29"/>
    <mergeCell ref="A38:F38"/>
    <mergeCell ref="A36:F36"/>
    <mergeCell ref="L2:M2"/>
    <mergeCell ref="A1:I1"/>
    <mergeCell ref="I3:J3"/>
    <mergeCell ref="L3:M3"/>
    <mergeCell ref="D12:F12"/>
    <mergeCell ref="E43:F43"/>
    <mergeCell ref="E44:F44"/>
    <mergeCell ref="E45:F45"/>
    <mergeCell ref="E46:F46"/>
    <mergeCell ref="A39:F39"/>
  </mergeCells>
  <phoneticPr fontId="3"/>
  <printOptions horizontalCentered="1"/>
  <pageMargins left="0.78740157480314965" right="0.35433070866141736" top="0.59055118110236227" bottom="0.51181102362204722" header="0.51181102362204722" footer="0.51181102362204722"/>
  <pageSetup paperSize="9" scale="77" orientation="portrait" blackAndWhite="1" r:id="rId1"/>
  <headerFooter alignWithMargins="0"/>
  <drawing r:id="rId2"/>
  <legacyDrawing r:id="rId3"/>
</worksheet>
</file>

<file path=xl/worksheets/w8_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J33"/>
  <sheetViews>
    <sheetView view="pageBreakPreview" zoomScaleNormal="85" zoomScaleSheetLayoutView="100" workbookViewId="0">
      <pane xSplit="3" ySplit="4" topLeftCell="D5" activePane="bottomRight" state="frozen"/>
      <selection activeCell="A7" sqref="A7:XFD7"/>
      <selection pane="topRight" activeCell="A7" sqref="A7:XFD7"/>
      <selection pane="bottomLeft" activeCell="A7" sqref="A7:XFD7"/>
      <selection pane="bottomRight" activeCell="D5" sqref="D5"/>
    </sheetView>
  </sheetViews>
  <sheetFormatPr defaultColWidth="9" defaultRowHeight="24" customHeight="1" outlineLevelRow="1"/>
  <cols>
    <col min="1" max="2" width="1.625" style="3641" customWidth="1"/>
    <col min="3" max="3" width="15.625" style="3641" customWidth="1"/>
    <col min="4" max="8" width="14.625" style="3641" customWidth="1"/>
    <col min="9" max="9" width="9.25" style="3641" bestFit="1" customWidth="1"/>
    <col min="10" max="16384" width="9" style="3641"/>
  </cols>
  <sheetData>
    <row r="1" spans="1:8" s="3705" customFormat="1" ht="24" customHeight="1">
      <c r="A1" s="3882"/>
      <c r="B1" s="3882"/>
      <c r="C1" s="4980" t="str">
        <f>+CONCATENATE(LEFT('3条支出'!$D$1,5),"   収益的収入（決算）")</f>
        <v>令和５年度   収益的収入（決算）</v>
      </c>
      <c r="D1" s="4980"/>
      <c r="E1" s="4980"/>
      <c r="G1" s="3871"/>
      <c r="H1" s="3870" t="s">
        <v>6664</v>
      </c>
    </row>
    <row r="2" spans="1:8" ht="24" customHeight="1">
      <c r="A2" s="4977" t="s">
        <v>6757</v>
      </c>
      <c r="B2" s="4978"/>
      <c r="C2" s="4979"/>
      <c r="D2" s="3868" t="s">
        <v>6732</v>
      </c>
      <c r="E2" s="3867" t="s">
        <v>6731</v>
      </c>
      <c r="F2" s="3866" t="s">
        <v>6730</v>
      </c>
      <c r="G2" s="3865" t="s">
        <v>6729</v>
      </c>
      <c r="H2" s="3865" t="s">
        <v>6728</v>
      </c>
    </row>
    <row r="3" spans="1:8" ht="24" customHeight="1">
      <c r="A3" s="4976"/>
      <c r="B3" s="4976"/>
      <c r="C3" s="4976"/>
      <c r="D3" s="3863" t="s">
        <v>6756</v>
      </c>
      <c r="E3" s="3864" t="s">
        <v>6726</v>
      </c>
      <c r="F3" s="3863" t="s">
        <v>6755</v>
      </c>
      <c r="G3" s="3863" t="s">
        <v>6754</v>
      </c>
      <c r="H3" s="4838" t="s">
        <v>6753</v>
      </c>
    </row>
    <row r="4" spans="1:8" ht="24" customHeight="1">
      <c r="A4" s="3857" t="s">
        <v>6662</v>
      </c>
      <c r="B4" s="3861"/>
      <c r="C4" s="3880"/>
      <c r="D4" s="3879">
        <f>D5+D10+D19</f>
        <v>44975817000</v>
      </c>
      <c r="E4" s="3878">
        <f>E5+E10+E19</f>
        <v>0</v>
      </c>
      <c r="F4" s="3856">
        <f>D4+E4</f>
        <v>44975817000</v>
      </c>
      <c r="G4" s="3856">
        <f>G5+G10+G19</f>
        <v>44454711283</v>
      </c>
      <c r="H4" s="3881">
        <f>H5+H10+H19</f>
        <v>42572042134</v>
      </c>
    </row>
    <row r="5" spans="1:8" ht="24" customHeight="1">
      <c r="A5" s="3688"/>
      <c r="B5" s="3857" t="s">
        <v>6661</v>
      </c>
      <c r="C5" s="3880"/>
      <c r="D5" s="3879">
        <f>+SUM(D6:D9)</f>
        <v>35444153000</v>
      </c>
      <c r="E5" s="3878">
        <f>+SUM(E6:E9)</f>
        <v>0</v>
      </c>
      <c r="F5" s="3856">
        <f>+SUM(F6:F9)</f>
        <v>35444153000</v>
      </c>
      <c r="G5" s="3856">
        <f>+SUM(G6:G9)</f>
        <v>34865911732</v>
      </c>
      <c r="H5" s="3856">
        <f>+SUM(H6:H9)</f>
        <v>32986083408</v>
      </c>
    </row>
    <row r="6" spans="1:8" ht="24" customHeight="1">
      <c r="A6" s="3688"/>
      <c r="B6" s="3688"/>
      <c r="C6" s="3694" t="s">
        <v>6752</v>
      </c>
      <c r="D6" s="3876">
        <v>21384728000</v>
      </c>
      <c r="E6" s="3875"/>
      <c r="F6" s="3856">
        <f>D6+E6</f>
        <v>21384728000</v>
      </c>
      <c r="G6" s="3874">
        <f>+'3条収入'!$E$8</f>
        <v>20488962528</v>
      </c>
      <c r="H6" s="3874">
        <f>+'3条収入'!$AI$8</f>
        <v>18626337467</v>
      </c>
    </row>
    <row r="7" spans="1:8" ht="24" customHeight="1">
      <c r="A7" s="3688"/>
      <c r="B7" s="3688"/>
      <c r="C7" s="3694" t="s">
        <v>6751</v>
      </c>
      <c r="D7" s="3876">
        <v>13854862000</v>
      </c>
      <c r="E7" s="3875"/>
      <c r="F7" s="3856">
        <f>D7+E7</f>
        <v>13854862000</v>
      </c>
      <c r="G7" s="3874">
        <f>+'3条収入'!$E$9</f>
        <v>14187102335</v>
      </c>
      <c r="H7" s="3874">
        <f>+'3条収入'!$AI$9</f>
        <v>14187102335</v>
      </c>
    </row>
    <row r="8" spans="1:8" ht="24" customHeight="1">
      <c r="A8" s="3688"/>
      <c r="B8" s="3688"/>
      <c r="C8" s="3694" t="s">
        <v>6750</v>
      </c>
      <c r="D8" s="3876"/>
      <c r="E8" s="3875"/>
      <c r="F8" s="3856">
        <f>D8+E8</f>
        <v>0</v>
      </c>
      <c r="G8" s="3874">
        <f>+'3条収入'!$E$18</f>
        <v>0</v>
      </c>
      <c r="H8" s="3874">
        <f>+'3条収入'!$AI$18</f>
        <v>0</v>
      </c>
    </row>
    <row r="9" spans="1:8" ht="24" customHeight="1">
      <c r="A9" s="3688"/>
      <c r="B9" s="3694"/>
      <c r="C9" s="3694" t="s">
        <v>6749</v>
      </c>
      <c r="D9" s="3876">
        <v>204563000</v>
      </c>
      <c r="E9" s="3875"/>
      <c r="F9" s="3856">
        <f>D9+E9</f>
        <v>204563000</v>
      </c>
      <c r="G9" s="3874">
        <f>+'3条収入'!$E$19</f>
        <v>189846869</v>
      </c>
      <c r="H9" s="3874">
        <f>+'3条収入'!$AI$19</f>
        <v>172643606</v>
      </c>
    </row>
    <row r="10" spans="1:8" ht="24" customHeight="1">
      <c r="A10" s="3688"/>
      <c r="B10" s="3857" t="s">
        <v>6651</v>
      </c>
      <c r="C10" s="3880"/>
      <c r="D10" s="3879">
        <f>+SUM(D11:D18)</f>
        <v>9528788000</v>
      </c>
      <c r="E10" s="3878">
        <f>+SUM(E11:E18)</f>
        <v>0</v>
      </c>
      <c r="F10" s="3856">
        <f>+SUM(F11:F18)</f>
        <v>9528788000</v>
      </c>
      <c r="G10" s="3856">
        <f>+SUM(G11:G18)</f>
        <v>9584600552</v>
      </c>
      <c r="H10" s="3856">
        <f>+SUM(H11:H18)</f>
        <v>9581905615</v>
      </c>
    </row>
    <row r="11" spans="1:8" ht="24" customHeight="1">
      <c r="A11" s="3688"/>
      <c r="B11" s="3688"/>
      <c r="C11" s="3694" t="s">
        <v>6748</v>
      </c>
      <c r="D11" s="3876">
        <v>70000</v>
      </c>
      <c r="E11" s="3875"/>
      <c r="F11" s="3856">
        <f t="shared" ref="F11:F18" si="0">D11+E11</f>
        <v>70000</v>
      </c>
      <c r="G11" s="3874">
        <f>+'3条収入'!$E$28</f>
        <v>88770</v>
      </c>
      <c r="H11" s="3874">
        <f>+'3条収入'!$AI$28</f>
        <v>88770</v>
      </c>
    </row>
    <row r="12" spans="1:8" ht="24" hidden="1" customHeight="1" outlineLevel="1">
      <c r="A12" s="3688"/>
      <c r="B12" s="3688"/>
      <c r="C12" s="3694" t="s">
        <v>6747</v>
      </c>
      <c r="D12" s="3876"/>
      <c r="E12" s="3875"/>
      <c r="F12" s="3856">
        <f t="shared" si="0"/>
        <v>0</v>
      </c>
      <c r="G12" s="3874">
        <f>+'3条収入'!$E$32</f>
        <v>0</v>
      </c>
      <c r="H12" s="3874">
        <f>+'3条収入'!$AI$32</f>
        <v>0</v>
      </c>
    </row>
    <row r="13" spans="1:8" ht="24" hidden="1" customHeight="1" outlineLevel="1">
      <c r="A13" s="3688"/>
      <c r="B13" s="3688"/>
      <c r="C13" s="3694" t="s">
        <v>6746</v>
      </c>
      <c r="D13" s="3876"/>
      <c r="E13" s="3875"/>
      <c r="F13" s="3856">
        <f t="shared" si="0"/>
        <v>0</v>
      </c>
      <c r="G13" s="3855"/>
      <c r="H13" s="3855"/>
    </row>
    <row r="14" spans="1:8" ht="24" customHeight="1" collapsed="1">
      <c r="A14" s="3688"/>
      <c r="B14" s="3688"/>
      <c r="C14" s="3694" t="s">
        <v>6745</v>
      </c>
      <c r="D14" s="3876">
        <v>49683000</v>
      </c>
      <c r="E14" s="3875"/>
      <c r="F14" s="3856">
        <f t="shared" si="0"/>
        <v>49683000</v>
      </c>
      <c r="G14" s="3874">
        <f>+'3条収入'!$E$39</f>
        <v>53493193</v>
      </c>
      <c r="H14" s="3874">
        <f>+'3条収入'!$AI$39</f>
        <v>50128048</v>
      </c>
    </row>
    <row r="15" spans="1:8" ht="24" customHeight="1">
      <c r="A15" s="3688"/>
      <c r="B15" s="3688"/>
      <c r="C15" s="3694" t="s">
        <v>6744</v>
      </c>
      <c r="D15" s="3876"/>
      <c r="E15" s="3875"/>
      <c r="F15" s="3856">
        <f t="shared" si="0"/>
        <v>0</v>
      </c>
      <c r="G15" s="3874">
        <f>+'3条収入'!$E$42</f>
        <v>9203253</v>
      </c>
      <c r="H15" s="3874">
        <f>+'3条収入'!$AI$42</f>
        <v>9203253</v>
      </c>
    </row>
    <row r="16" spans="1:8" ht="24" hidden="1" customHeight="1" outlineLevel="1">
      <c r="A16" s="3688"/>
      <c r="B16" s="3688"/>
      <c r="C16" s="3694" t="s">
        <v>6743</v>
      </c>
      <c r="D16" s="3879">
        <v>0</v>
      </c>
      <c r="E16" s="3878">
        <v>0</v>
      </c>
      <c r="F16" s="3856">
        <f t="shared" si="0"/>
        <v>0</v>
      </c>
      <c r="G16" s="3874">
        <f>+'3条収入'!$E$49</f>
        <v>0</v>
      </c>
      <c r="H16" s="3874">
        <f>+'3条収入'!$AI$49</f>
        <v>0</v>
      </c>
    </row>
    <row r="17" spans="1:10" ht="24" customHeight="1" collapsed="1">
      <c r="A17" s="3688"/>
      <c r="B17" s="3688"/>
      <c r="C17" s="3694" t="s">
        <v>6742</v>
      </c>
      <c r="D17" s="3876">
        <v>23945000</v>
      </c>
      <c r="E17" s="3875"/>
      <c r="F17" s="3856">
        <f t="shared" si="0"/>
        <v>23945000</v>
      </c>
      <c r="G17" s="3874">
        <f>+'3条収入'!$E$51</f>
        <v>36460334</v>
      </c>
      <c r="H17" s="3874">
        <f>+'3条収入'!$AI$51</f>
        <v>37130542</v>
      </c>
      <c r="J17" s="3645"/>
    </row>
    <row r="18" spans="1:10" ht="24" customHeight="1">
      <c r="A18" s="3688"/>
      <c r="B18" s="3688"/>
      <c r="C18" s="3877" t="s">
        <v>6741</v>
      </c>
      <c r="D18" s="3876">
        <v>9455090000</v>
      </c>
      <c r="E18" s="3875"/>
      <c r="F18" s="3856">
        <f t="shared" si="0"/>
        <v>9455090000</v>
      </c>
      <c r="G18" s="3874">
        <f>+'3条収入'!$E$55</f>
        <v>9485355002</v>
      </c>
      <c r="H18" s="3874">
        <f>+'3条収入'!$AI$55</f>
        <v>9485355002</v>
      </c>
    </row>
    <row r="19" spans="1:10" ht="24" customHeight="1">
      <c r="A19" s="3688"/>
      <c r="B19" s="4823" t="s">
        <v>6740</v>
      </c>
      <c r="C19" s="3880"/>
      <c r="D19" s="3879">
        <f>+SUM(D20:D23)</f>
        <v>2876000</v>
      </c>
      <c r="E19" s="3878">
        <f>+SUM(E20:E23)</f>
        <v>0</v>
      </c>
      <c r="F19" s="3856">
        <f>+SUM(F20:F23)</f>
        <v>2876000</v>
      </c>
      <c r="G19" s="3856">
        <f>+SUM(G20:G23)</f>
        <v>4198999</v>
      </c>
      <c r="H19" s="3856">
        <f>+SUM(H20:H23)</f>
        <v>4053111</v>
      </c>
    </row>
    <row r="20" spans="1:10" ht="24" hidden="1" customHeight="1" outlineLevel="1">
      <c r="A20" s="3688"/>
      <c r="B20" s="3688"/>
      <c r="C20" s="3877" t="s">
        <v>6739</v>
      </c>
      <c r="D20" s="3876">
        <v>0</v>
      </c>
      <c r="E20" s="3875"/>
      <c r="F20" s="3856">
        <f>D20+E20</f>
        <v>0</v>
      </c>
      <c r="G20" s="3874">
        <f>+'3条収入'!$E$66</f>
        <v>0</v>
      </c>
      <c r="H20" s="3874">
        <f>+'3条収入'!$AI$66</f>
        <v>0</v>
      </c>
    </row>
    <row r="21" spans="1:10" ht="24" customHeight="1" collapsed="1">
      <c r="A21" s="3688"/>
      <c r="B21" s="3688"/>
      <c r="C21" s="3694" t="s">
        <v>6738</v>
      </c>
      <c r="D21" s="3876">
        <v>0</v>
      </c>
      <c r="E21" s="3875"/>
      <c r="F21" s="3856">
        <f>D21+E21</f>
        <v>0</v>
      </c>
      <c r="G21" s="3874">
        <f>+'3条収入'!$E$58</f>
        <v>0</v>
      </c>
      <c r="H21" s="3874">
        <f>+'3条収入'!$AI$58</f>
        <v>0</v>
      </c>
    </row>
    <row r="22" spans="1:10" ht="24" customHeight="1">
      <c r="A22" s="3688"/>
      <c r="B22" s="3688"/>
      <c r="C22" s="3877" t="s">
        <v>6737</v>
      </c>
      <c r="D22" s="3876">
        <v>2876000</v>
      </c>
      <c r="E22" s="3875"/>
      <c r="F22" s="3856">
        <f>D22+E22</f>
        <v>2876000</v>
      </c>
      <c r="G22" s="3874">
        <f>+'3条収入'!$E$60</f>
        <v>2769570</v>
      </c>
      <c r="H22" s="3874">
        <f>+'3条収入'!$AI$60</f>
        <v>2623682</v>
      </c>
    </row>
    <row r="23" spans="1:10" ht="24" customHeight="1">
      <c r="A23" s="3694"/>
      <c r="B23" s="3694"/>
      <c r="C23" s="3694" t="s">
        <v>6736</v>
      </c>
      <c r="D23" s="3876">
        <v>0</v>
      </c>
      <c r="E23" s="3875"/>
      <c r="F23" s="3856">
        <f>D23+E23</f>
        <v>0</v>
      </c>
      <c r="G23" s="3874">
        <f>+'3条収入'!$E$62</f>
        <v>1429429</v>
      </c>
      <c r="H23" s="3874">
        <f>+'3条収入'!$AI$62</f>
        <v>1429429</v>
      </c>
    </row>
    <row r="26" spans="1:10" ht="24" customHeight="1">
      <c r="F26" s="3870" t="s">
        <v>6735</v>
      </c>
      <c r="G26" s="3873">
        <f>+G4-'(繰)3条支出 '!G4+消費税!AF113</f>
        <v>1811041626</v>
      </c>
      <c r="H26" s="3873">
        <f>+H4-'(繰)3条支出 '!I4</f>
        <v>543907199</v>
      </c>
      <c r="I26" s="3873"/>
    </row>
    <row r="27" spans="1:10" ht="24" customHeight="1">
      <c r="F27" s="3870" t="s">
        <v>6734</v>
      </c>
      <c r="G27" s="3873">
        <f>G4-G7-G15</f>
        <v>30258405695</v>
      </c>
      <c r="H27" s="3873">
        <f>H4-H7-H15</f>
        <v>28375736546</v>
      </c>
    </row>
    <row r="29" spans="1:10" ht="24" customHeight="1">
      <c r="H29" s="3873">
        <f>+'3条収入'!AI74</f>
        <v>543907199</v>
      </c>
    </row>
    <row r="30" spans="1:10" ht="24" customHeight="1">
      <c r="H30" s="3873">
        <f>+H26-H29</f>
        <v>0</v>
      </c>
    </row>
    <row r="32" spans="1:10" ht="24" customHeight="1">
      <c r="G32" s="3645"/>
    </row>
    <row r="33" spans="7:7" ht="24" customHeight="1">
      <c r="G33" s="3872"/>
    </row>
  </sheetData>
  <mergeCells count="3">
    <mergeCell ref="A3:C3"/>
    <mergeCell ref="A2:C2"/>
    <mergeCell ref="C1:E1"/>
  </mergeCells>
  <phoneticPr fontId="3"/>
  <pageMargins left="0.78740157480314965" right="0.39370078740157483" top="0.98425196850393704" bottom="0.98425196850393704" header="0.51181102362204722" footer="0.51181102362204722"/>
  <pageSetup paperSize="9" orientation="landscape" blackAndWhite="1" r:id="rId1"/>
  <headerFooter alignWithMargins="0"/>
  <drawing r:id="rId2"/>
  <legacyDrawing r:id="rId3"/>
</worksheet>
</file>

<file path=xl/worksheets/w8_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U50"/>
  <sheetViews>
    <sheetView view="pageBreakPreview" zoomScale="75" zoomScaleNormal="89" zoomScaleSheetLayoutView="75" workbookViewId="0">
      <pane xSplit="3" ySplit="4" topLeftCell="D5" activePane="bottomRight" state="frozen"/>
      <selection activeCell="H3" sqref="H3"/>
      <selection pane="topRight" activeCell="H3" sqref="H3"/>
      <selection pane="bottomLeft" activeCell="H3" sqref="H3"/>
      <selection pane="bottomRight" activeCell="D5" sqref="D5"/>
    </sheetView>
  </sheetViews>
  <sheetFormatPr defaultColWidth="9" defaultRowHeight="13.5" outlineLevelRow="1"/>
  <cols>
    <col min="1" max="2" width="1.625" style="3641" customWidth="1"/>
    <col min="3" max="3" width="15.625" style="3641" customWidth="1"/>
    <col min="4" max="7" width="14.625" style="3641" customWidth="1"/>
    <col min="8" max="8" width="14.625" style="3641" hidden="1" customWidth="1"/>
    <col min="9" max="10" width="14.625" style="3641" customWidth="1"/>
    <col min="11" max="15" width="9" style="3641"/>
    <col min="16" max="16" width="11.375" style="3641" bestFit="1" customWidth="1"/>
    <col min="17" max="19" width="9" style="3641"/>
    <col min="20" max="20" width="17.25" style="3641" bestFit="1" customWidth="1"/>
    <col min="21" max="21" width="13.125" style="3641" customWidth="1"/>
    <col min="22" max="16384" width="9" style="3641"/>
  </cols>
  <sheetData>
    <row r="1" spans="1:21" s="3705" customFormat="1" ht="27" customHeight="1">
      <c r="C1" s="4980" t="str">
        <f>+CONCATENATE(LEFT('3条支出'!$D$1,5),"   収益的支出（決算）")</f>
        <v>令和５年度   収益的支出（決算）</v>
      </c>
      <c r="D1" s="4980"/>
      <c r="E1" s="4980"/>
      <c r="G1" s="3871"/>
      <c r="H1" s="3870"/>
      <c r="I1" s="3870" t="s">
        <v>6664</v>
      </c>
      <c r="J1" s="3869"/>
    </row>
    <row r="2" spans="1:21" ht="15" customHeight="1">
      <c r="A2" s="4983" t="s">
        <v>6733</v>
      </c>
      <c r="B2" s="4983"/>
      <c r="C2" s="4983"/>
      <c r="D2" s="3868" t="s">
        <v>6732</v>
      </c>
      <c r="E2" s="3867" t="s">
        <v>6731</v>
      </c>
      <c r="F2" s="3866" t="s">
        <v>6730</v>
      </c>
      <c r="G2" s="3865" t="s">
        <v>6729</v>
      </c>
      <c r="H2" s="3865" t="s">
        <v>6728</v>
      </c>
      <c r="I2" s="3865" t="s">
        <v>6728</v>
      </c>
    </row>
    <row r="3" spans="1:21" ht="15" customHeight="1">
      <c r="A3" s="4976"/>
      <c r="B3" s="4976"/>
      <c r="C3" s="4976"/>
      <c r="D3" s="3971" t="s">
        <v>6727</v>
      </c>
      <c r="E3" s="3864" t="s">
        <v>6726</v>
      </c>
      <c r="F3" s="3863" t="s">
        <v>6725</v>
      </c>
      <c r="G3" s="3863" t="s">
        <v>6724</v>
      </c>
      <c r="H3" s="3862" t="s">
        <v>7015</v>
      </c>
      <c r="I3" s="3862" t="s">
        <v>7016</v>
      </c>
    </row>
    <row r="4" spans="1:21" ht="18.75" customHeight="1">
      <c r="A4" s="3857" t="s">
        <v>6723</v>
      </c>
      <c r="B4" s="3861"/>
      <c r="C4" s="3690"/>
      <c r="D4" s="3856">
        <f>D5+D20+D24+D29</f>
        <v>43953299000</v>
      </c>
      <c r="E4" s="3856">
        <f t="shared" ref="E4:I4" si="0">E5+E20+E24+E29</f>
        <v>0</v>
      </c>
      <c r="F4" s="3856">
        <f t="shared" si="0"/>
        <v>43953299000</v>
      </c>
      <c r="G4" s="3856">
        <f t="shared" si="0"/>
        <v>42643669657</v>
      </c>
      <c r="H4" s="3856">
        <f t="shared" si="0"/>
        <v>41815647458</v>
      </c>
      <c r="I4" s="3856">
        <f t="shared" si="0"/>
        <v>42028134935</v>
      </c>
    </row>
    <row r="5" spans="1:21" ht="18.75" customHeight="1">
      <c r="A5" s="3688"/>
      <c r="B5" s="3857" t="s">
        <v>6722</v>
      </c>
      <c r="C5" s="3690"/>
      <c r="D5" s="3856">
        <f>+SUM(D6:D19)</f>
        <v>39325285000</v>
      </c>
      <c r="E5" s="3856">
        <f t="shared" ref="E5:I5" si="1">+SUM(E6:E19)</f>
        <v>0</v>
      </c>
      <c r="F5" s="3856">
        <f t="shared" si="1"/>
        <v>39325285000</v>
      </c>
      <c r="G5" s="3856">
        <f t="shared" si="1"/>
        <v>38667489041</v>
      </c>
      <c r="H5" s="3856">
        <f t="shared" si="1"/>
        <v>37846544540</v>
      </c>
      <c r="I5" s="3856">
        <f t="shared" si="1"/>
        <v>37846544540</v>
      </c>
      <c r="U5" s="3645"/>
    </row>
    <row r="6" spans="1:21" ht="18.75" customHeight="1">
      <c r="A6" s="3688"/>
      <c r="B6" s="3681"/>
      <c r="C6" s="3972" t="s">
        <v>6721</v>
      </c>
      <c r="D6" s="3855">
        <v>649416000</v>
      </c>
      <c r="E6" s="3855">
        <v>0</v>
      </c>
      <c r="F6" s="3856">
        <f t="shared" ref="F6:F19" si="2">D6+E6</f>
        <v>649416000</v>
      </c>
      <c r="G6" s="3858">
        <f>+'3条支出'!$E$6</f>
        <v>611819957</v>
      </c>
      <c r="H6" s="3858">
        <f>+'3条支出'!$T$6</f>
        <v>564664608</v>
      </c>
      <c r="I6" s="3858">
        <f>+'3条支出'!$T$6</f>
        <v>564664608</v>
      </c>
      <c r="U6" s="3645"/>
    </row>
    <row r="7" spans="1:21" ht="18.75" customHeight="1">
      <c r="A7" s="3688"/>
      <c r="B7" s="3681"/>
      <c r="C7" s="3972" t="s">
        <v>6720</v>
      </c>
      <c r="D7" s="3855">
        <v>61778000</v>
      </c>
      <c r="E7" s="3855">
        <v>0</v>
      </c>
      <c r="F7" s="3856">
        <f t="shared" si="2"/>
        <v>61778000</v>
      </c>
      <c r="G7" s="3858">
        <f>+'3条支出'!$E$7</f>
        <v>52443869</v>
      </c>
      <c r="H7" s="3858">
        <f>+'3条支出'!$T$7</f>
        <v>51313295</v>
      </c>
      <c r="I7" s="3858">
        <f>+'3条支出'!$T$7</f>
        <v>51313295</v>
      </c>
      <c r="U7" s="3645"/>
    </row>
    <row r="8" spans="1:21" ht="18.75" customHeight="1">
      <c r="A8" s="3688"/>
      <c r="B8" s="3681"/>
      <c r="C8" s="3972" t="s">
        <v>6719</v>
      </c>
      <c r="D8" s="3855">
        <v>2446053000</v>
      </c>
      <c r="E8" s="3855">
        <v>-14060287</v>
      </c>
      <c r="F8" s="3856">
        <f t="shared" si="2"/>
        <v>2431992713</v>
      </c>
      <c r="G8" s="3858">
        <f>+'3条支出'!$E$8</f>
        <v>2356040225</v>
      </c>
      <c r="H8" s="3858">
        <f>+'3条支出'!$T$8</f>
        <v>2251657967</v>
      </c>
      <c r="I8" s="3858">
        <f>+'3条支出'!$T$8</f>
        <v>2251657967</v>
      </c>
      <c r="P8" s="3645"/>
      <c r="U8" s="3645"/>
    </row>
    <row r="9" spans="1:21" ht="18.75" customHeight="1">
      <c r="A9" s="3688"/>
      <c r="B9" s="3681"/>
      <c r="C9" s="3972" t="s">
        <v>6718</v>
      </c>
      <c r="D9" s="3855">
        <v>7107004000</v>
      </c>
      <c r="E9" s="3855">
        <v>1992633</v>
      </c>
      <c r="F9" s="3856">
        <f t="shared" si="2"/>
        <v>7108996633</v>
      </c>
      <c r="G9" s="3858">
        <f>+'3条支出'!$E$9</f>
        <v>6557703864</v>
      </c>
      <c r="H9" s="3858">
        <f>+'3条支出'!$T$9</f>
        <v>6037810078</v>
      </c>
      <c r="I9" s="3858">
        <f>+'3条支出'!$T$9</f>
        <v>6037810078</v>
      </c>
      <c r="U9" s="3645"/>
    </row>
    <row r="10" spans="1:21" ht="18.75" customHeight="1">
      <c r="A10" s="3688"/>
      <c r="B10" s="3681"/>
      <c r="C10" s="3972" t="s">
        <v>6717</v>
      </c>
      <c r="D10" s="3855">
        <v>80070000</v>
      </c>
      <c r="E10" s="3855">
        <v>12067654</v>
      </c>
      <c r="F10" s="3856">
        <f t="shared" si="2"/>
        <v>92137654</v>
      </c>
      <c r="G10" s="3858">
        <f>+'3条支出'!$E$11</f>
        <v>88849549</v>
      </c>
      <c r="H10" s="3858">
        <f>+'3条支出'!$T$11</f>
        <v>87134052</v>
      </c>
      <c r="I10" s="3858">
        <f>+'3条支出'!$T$11</f>
        <v>87134052</v>
      </c>
      <c r="U10" s="3645"/>
    </row>
    <row r="11" spans="1:21" ht="18.75" customHeight="1">
      <c r="A11" s="3688"/>
      <c r="B11" s="3681"/>
      <c r="C11" s="3972" t="s">
        <v>6716</v>
      </c>
      <c r="D11" s="3855">
        <v>14763000</v>
      </c>
      <c r="E11" s="3855">
        <v>0</v>
      </c>
      <c r="F11" s="3856">
        <f t="shared" si="2"/>
        <v>14763000</v>
      </c>
      <c r="G11" s="3858">
        <f>+'3条支出'!$E$12</f>
        <v>10483859</v>
      </c>
      <c r="H11" s="3858">
        <f>+'3条支出'!$T$12</f>
        <v>10396270</v>
      </c>
      <c r="I11" s="3858">
        <f>+'3条支出'!$T$12</f>
        <v>10396270</v>
      </c>
      <c r="U11" s="3645"/>
    </row>
    <row r="12" spans="1:21" ht="18.75" customHeight="1">
      <c r="A12" s="3688"/>
      <c r="B12" s="3681"/>
      <c r="C12" s="3972" t="s">
        <v>6715</v>
      </c>
      <c r="D12" s="3855">
        <v>1032244000</v>
      </c>
      <c r="E12" s="3855">
        <v>0</v>
      </c>
      <c r="F12" s="3856">
        <f t="shared" si="2"/>
        <v>1032244000</v>
      </c>
      <c r="G12" s="3858">
        <f>+'3条支出'!$E$13</f>
        <v>1019945143</v>
      </c>
      <c r="H12" s="3858">
        <f>+'3条支出'!$T$13</f>
        <v>929691714</v>
      </c>
      <c r="I12" s="3858">
        <f>+'3条支出'!$T$13</f>
        <v>929691714</v>
      </c>
      <c r="U12" s="3645"/>
    </row>
    <row r="13" spans="1:21" ht="18.75" customHeight="1">
      <c r="A13" s="3688"/>
      <c r="B13" s="3681"/>
      <c r="C13" s="3972" t="s">
        <v>6714</v>
      </c>
      <c r="D13" s="3855">
        <v>552278000</v>
      </c>
      <c r="E13" s="3855">
        <v>0</v>
      </c>
      <c r="F13" s="3856">
        <f t="shared" si="2"/>
        <v>552278000</v>
      </c>
      <c r="G13" s="3858">
        <f>+'3条支出'!$E$14</f>
        <v>483965214</v>
      </c>
      <c r="H13" s="3858">
        <f>+'3条支出'!$T$14</f>
        <v>466286409</v>
      </c>
      <c r="I13" s="3858">
        <f>+'3条支出'!$T$14</f>
        <v>466286409</v>
      </c>
      <c r="U13" s="3645"/>
    </row>
    <row r="14" spans="1:21" ht="18.75" customHeight="1">
      <c r="A14" s="3688"/>
      <c r="B14" s="3681"/>
      <c r="C14" s="3972" t="s">
        <v>6713</v>
      </c>
      <c r="D14" s="3855">
        <f>108656000+623000</f>
        <v>109279000</v>
      </c>
      <c r="E14" s="3855">
        <v>1800000</v>
      </c>
      <c r="F14" s="3856">
        <f t="shared" si="2"/>
        <v>111079000</v>
      </c>
      <c r="G14" s="3858">
        <f>+'3条支出'!$E$15</f>
        <v>106990906</v>
      </c>
      <c r="H14" s="3858">
        <f>+'3条支出'!$T$15</f>
        <v>97276922</v>
      </c>
      <c r="I14" s="3858">
        <f>+'3条支出'!$T$15</f>
        <v>97276922</v>
      </c>
      <c r="U14" s="3645"/>
    </row>
    <row r="15" spans="1:21" ht="18.75" customHeight="1">
      <c r="A15" s="3688"/>
      <c r="B15" s="3681"/>
      <c r="C15" s="3972" t="s">
        <v>6712</v>
      </c>
      <c r="D15" s="3855">
        <f>257093000+4311000</f>
        <v>261404000</v>
      </c>
      <c r="E15" s="3855">
        <v>-1800000</v>
      </c>
      <c r="F15" s="3856">
        <f t="shared" si="2"/>
        <v>259604000</v>
      </c>
      <c r="G15" s="3858">
        <f>+'3条支出'!$E$16</f>
        <v>247654024</v>
      </c>
      <c r="H15" s="3858">
        <f>+'3条支出'!$T$16</f>
        <v>225167795</v>
      </c>
      <c r="I15" s="3858">
        <f>+'3条支出'!$T$16</f>
        <v>225167795</v>
      </c>
      <c r="U15" s="3645"/>
    </row>
    <row r="16" spans="1:21" ht="18.75" customHeight="1">
      <c r="A16" s="3688"/>
      <c r="B16" s="3681"/>
      <c r="C16" s="3972" t="s">
        <v>6711</v>
      </c>
      <c r="D16" s="3855">
        <v>78829000</v>
      </c>
      <c r="E16" s="3855">
        <v>0</v>
      </c>
      <c r="F16" s="3856">
        <f t="shared" si="2"/>
        <v>78829000</v>
      </c>
      <c r="G16" s="3858">
        <f>+'3条支出'!$E$17</f>
        <v>76388330</v>
      </c>
      <c r="H16" s="3858">
        <f>+'3条支出'!$T$17</f>
        <v>69941329</v>
      </c>
      <c r="I16" s="3858">
        <f>+'3条支出'!$T$17</f>
        <v>69941329</v>
      </c>
      <c r="U16" s="3645"/>
    </row>
    <row r="17" spans="1:21" ht="18.75" hidden="1" customHeight="1" outlineLevel="1">
      <c r="A17" s="3688"/>
      <c r="B17" s="3681"/>
      <c r="C17" s="3972" t="s">
        <v>6710</v>
      </c>
      <c r="D17" s="3856">
        <v>0</v>
      </c>
      <c r="E17" s="3856">
        <v>0</v>
      </c>
      <c r="F17" s="3856">
        <f t="shared" si="2"/>
        <v>0</v>
      </c>
      <c r="G17" s="3858">
        <f>+'3条支出'!$E$18</f>
        <v>0</v>
      </c>
      <c r="H17" s="3858">
        <f>+'3条支出'!$T$18</f>
        <v>0</v>
      </c>
      <c r="I17" s="3858">
        <f>+'3条支出'!$T$18</f>
        <v>0</v>
      </c>
      <c r="U17" s="3645"/>
    </row>
    <row r="18" spans="1:21" ht="18.75" customHeight="1" collapsed="1">
      <c r="A18" s="3688"/>
      <c r="B18" s="3681"/>
      <c r="C18" s="3972" t="s">
        <v>6709</v>
      </c>
      <c r="D18" s="3855">
        <v>26580629000</v>
      </c>
      <c r="E18" s="3855">
        <v>0</v>
      </c>
      <c r="F18" s="3856">
        <f t="shared" si="2"/>
        <v>26580629000</v>
      </c>
      <c r="G18" s="3858">
        <f>+'3条支出'!$E$19</f>
        <v>26551442230</v>
      </c>
      <c r="H18" s="3858">
        <f>+'3条支出'!$T$19</f>
        <v>26551442230</v>
      </c>
      <c r="I18" s="3858">
        <f>+'3条支出'!$T$19</f>
        <v>26551442230</v>
      </c>
      <c r="U18" s="3645"/>
    </row>
    <row r="19" spans="1:21" ht="18.75" customHeight="1">
      <c r="A19" s="3688"/>
      <c r="B19" s="3857"/>
      <c r="C19" s="3972" t="s">
        <v>6708</v>
      </c>
      <c r="D19" s="3855">
        <v>351538000</v>
      </c>
      <c r="E19" s="3855">
        <v>0</v>
      </c>
      <c r="F19" s="3856">
        <f t="shared" si="2"/>
        <v>351538000</v>
      </c>
      <c r="G19" s="3858">
        <f>+'3条支出'!$E$20</f>
        <v>503761871</v>
      </c>
      <c r="H19" s="3858">
        <f>+'3条支出'!$T$20</f>
        <v>503761871</v>
      </c>
      <c r="I19" s="3858">
        <f>+'3条支出'!$T$20</f>
        <v>503761871</v>
      </c>
      <c r="U19" s="3645"/>
    </row>
    <row r="20" spans="1:21" ht="18.75" customHeight="1">
      <c r="A20" s="3688"/>
      <c r="B20" s="3857" t="s">
        <v>6707</v>
      </c>
      <c r="C20" s="3690"/>
      <c r="D20" s="3856">
        <f t="shared" ref="D20:I20" si="3">+SUM(D21:D23)</f>
        <v>4599725000</v>
      </c>
      <c r="E20" s="3856">
        <f t="shared" si="3"/>
        <v>9198273</v>
      </c>
      <c r="F20" s="3856">
        <f t="shared" si="3"/>
        <v>4608923273</v>
      </c>
      <c r="G20" s="3856">
        <f t="shared" si="3"/>
        <v>3955185318</v>
      </c>
      <c r="H20" s="3856">
        <f t="shared" si="3"/>
        <v>3949076064</v>
      </c>
      <c r="I20" s="3856">
        <f t="shared" si="3"/>
        <v>4161563541</v>
      </c>
    </row>
    <row r="21" spans="1:21" ht="18.75" customHeight="1">
      <c r="A21" s="3688"/>
      <c r="B21" s="3681"/>
      <c r="C21" s="3973" t="s">
        <v>7017</v>
      </c>
      <c r="D21" s="3855">
        <v>4207550000</v>
      </c>
      <c r="E21" s="3855">
        <v>-25896</v>
      </c>
      <c r="F21" s="3856">
        <f>D21+E21</f>
        <v>4207524104</v>
      </c>
      <c r="G21" s="3858">
        <f>+'3条支出'!$E$23</f>
        <v>3945961149</v>
      </c>
      <c r="H21" s="3858">
        <f>+'3条支出'!$T$23</f>
        <v>3940341717</v>
      </c>
      <c r="I21" s="3858">
        <f>+'3条支出'!$T$23</f>
        <v>3940341717</v>
      </c>
      <c r="L21" s="4981"/>
      <c r="M21" s="4982"/>
      <c r="N21" s="4982"/>
      <c r="O21" s="4982"/>
      <c r="U21" s="3645"/>
    </row>
    <row r="22" spans="1:21" ht="18.75" customHeight="1">
      <c r="A22" s="3688"/>
      <c r="B22" s="3681"/>
      <c r="C22" s="3972" t="s">
        <v>6706</v>
      </c>
      <c r="D22" s="3855">
        <v>392158000</v>
      </c>
      <c r="E22" s="3855">
        <v>0</v>
      </c>
      <c r="F22" s="3856">
        <f>D22+E22</f>
        <v>392158000</v>
      </c>
      <c r="G22" s="3860">
        <f>+消費税!Z113+消費税!AF113</f>
        <v>0</v>
      </c>
      <c r="H22" s="3856"/>
      <c r="I22" s="3856"/>
      <c r="L22" s="4982"/>
      <c r="M22" s="4982"/>
      <c r="N22" s="4982"/>
      <c r="O22" s="4982"/>
      <c r="U22" s="3645"/>
    </row>
    <row r="23" spans="1:21" ht="18.75" customHeight="1">
      <c r="A23" s="3688"/>
      <c r="B23" s="3857"/>
      <c r="C23" s="3972" t="s">
        <v>6705</v>
      </c>
      <c r="D23" s="3855">
        <v>17000</v>
      </c>
      <c r="E23" s="3855">
        <v>9224169</v>
      </c>
      <c r="F23" s="3856">
        <f>D23+E23</f>
        <v>9241169</v>
      </c>
      <c r="G23" s="3858">
        <f>+'3条支出'!$E$24</f>
        <v>9224169</v>
      </c>
      <c r="H23" s="3859">
        <f>+'3条支出'!$T$24</f>
        <v>8734347</v>
      </c>
      <c r="I23" s="3858">
        <f>+'3条支出'!$T$24++'3条支出'!$T$25</f>
        <v>221221824</v>
      </c>
      <c r="U23" s="3645"/>
    </row>
    <row r="24" spans="1:21" ht="18.75" customHeight="1">
      <c r="A24" s="3688"/>
      <c r="B24" s="3857" t="s">
        <v>6704</v>
      </c>
      <c r="C24" s="3690"/>
      <c r="D24" s="3856">
        <f t="shared" ref="D24:I24" si="4">+SUM(D25:D28)</f>
        <v>8289000</v>
      </c>
      <c r="E24" s="3856">
        <f t="shared" si="4"/>
        <v>0</v>
      </c>
      <c r="F24" s="3856">
        <f t="shared" si="4"/>
        <v>8289000</v>
      </c>
      <c r="G24" s="3856">
        <f t="shared" si="4"/>
        <v>20995298</v>
      </c>
      <c r="H24" s="3856">
        <f t="shared" si="4"/>
        <v>20026854</v>
      </c>
      <c r="I24" s="3856">
        <f t="shared" si="4"/>
        <v>20026854</v>
      </c>
    </row>
    <row r="25" spans="1:21" ht="18.75" customHeight="1">
      <c r="A25" s="3688"/>
      <c r="B25" s="3681"/>
      <c r="C25" s="3972" t="s">
        <v>6703</v>
      </c>
      <c r="D25" s="3855">
        <v>0</v>
      </c>
      <c r="E25" s="3855">
        <v>0</v>
      </c>
      <c r="F25" s="3856">
        <f>D25+E25</f>
        <v>0</v>
      </c>
      <c r="G25" s="3858">
        <f>+'3条支出'!$E$30</f>
        <v>10315355</v>
      </c>
      <c r="H25" s="3858">
        <f>+'3条支出'!$T$30</f>
        <v>10315355</v>
      </c>
      <c r="I25" s="3858">
        <f>+'3条支出'!$T$30</f>
        <v>10315355</v>
      </c>
      <c r="U25" s="3645"/>
    </row>
    <row r="26" spans="1:21" ht="18.75" customHeight="1">
      <c r="A26" s="3688"/>
      <c r="B26" s="3681"/>
      <c r="C26" s="3972" t="s">
        <v>6702</v>
      </c>
      <c r="D26" s="3855">
        <v>8248000</v>
      </c>
      <c r="E26" s="3855">
        <v>0</v>
      </c>
      <c r="F26" s="3856">
        <f>D26+E26</f>
        <v>8248000</v>
      </c>
      <c r="G26" s="3858">
        <f>+'3条支出'!$E$28</f>
        <v>10679943</v>
      </c>
      <c r="H26" s="3858">
        <f>+'3条支出'!$T$28</f>
        <v>9711499</v>
      </c>
      <c r="I26" s="3858">
        <f>+'3条支出'!$T$28</f>
        <v>9711499</v>
      </c>
      <c r="U26" s="3645"/>
    </row>
    <row r="27" spans="1:21" ht="18.75" customHeight="1">
      <c r="A27" s="3688"/>
      <c r="B27" s="3681"/>
      <c r="C27" s="3972" t="s">
        <v>6701</v>
      </c>
      <c r="D27" s="3855">
        <v>41000</v>
      </c>
      <c r="E27" s="3855">
        <v>0</v>
      </c>
      <c r="F27" s="3856">
        <f>D27+E27</f>
        <v>41000</v>
      </c>
      <c r="G27" s="3858">
        <f>+'3条支出'!$E$29</f>
        <v>0</v>
      </c>
      <c r="H27" s="3858">
        <f>+'3条支出'!$T$29</f>
        <v>0</v>
      </c>
      <c r="I27" s="3858">
        <f>+'3条支出'!$T$29</f>
        <v>0</v>
      </c>
      <c r="U27" s="3645"/>
    </row>
    <row r="28" spans="1:21" ht="18.75" customHeight="1">
      <c r="A28" s="3688"/>
      <c r="B28" s="3857"/>
      <c r="C28" s="3972" t="s">
        <v>6700</v>
      </c>
      <c r="D28" s="3855">
        <v>0</v>
      </c>
      <c r="E28" s="3855">
        <v>0</v>
      </c>
      <c r="F28" s="3856">
        <f>D28+E28</f>
        <v>0</v>
      </c>
      <c r="G28" s="3858">
        <f>+'3条支出'!$E$31</f>
        <v>0</v>
      </c>
      <c r="H28" s="3858">
        <f>+'3条支出'!$T$31</f>
        <v>0</v>
      </c>
      <c r="I28" s="3858">
        <f>+'3条支出'!$T$31</f>
        <v>0</v>
      </c>
      <c r="U28" s="3645"/>
    </row>
    <row r="29" spans="1:21" ht="18.75" customHeight="1">
      <c r="A29" s="3688"/>
      <c r="B29" s="3857" t="s">
        <v>6699</v>
      </c>
      <c r="C29" s="3690"/>
      <c r="D29" s="3856">
        <f t="shared" ref="D29:I29" si="5">D30</f>
        <v>20000000</v>
      </c>
      <c r="E29" s="3856">
        <f t="shared" si="5"/>
        <v>-9198273</v>
      </c>
      <c r="F29" s="3856">
        <f t="shared" si="5"/>
        <v>10801727</v>
      </c>
      <c r="G29" s="3856">
        <f t="shared" si="5"/>
        <v>0</v>
      </c>
      <c r="H29" s="3856">
        <f t="shared" si="5"/>
        <v>0</v>
      </c>
      <c r="I29" s="3856">
        <f t="shared" si="5"/>
        <v>0</v>
      </c>
    </row>
    <row r="30" spans="1:21" ht="18.75" customHeight="1">
      <c r="A30" s="3694"/>
      <c r="B30" s="3857"/>
      <c r="C30" s="3972" t="s">
        <v>6699</v>
      </c>
      <c r="D30" s="3855">
        <v>20000000</v>
      </c>
      <c r="E30" s="3855">
        <v>-9198273</v>
      </c>
      <c r="F30" s="3856">
        <f>D30+E30</f>
        <v>10801727</v>
      </c>
      <c r="G30" s="3855">
        <v>0</v>
      </c>
      <c r="H30" s="3855">
        <v>0</v>
      </c>
      <c r="I30" s="3855">
        <v>0</v>
      </c>
      <c r="U30" s="3645"/>
    </row>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50" spans="5:5">
      <c r="E50" s="3641" t="s">
        <v>6698</v>
      </c>
    </row>
  </sheetData>
  <mergeCells count="4">
    <mergeCell ref="L21:O22"/>
    <mergeCell ref="A3:C3"/>
    <mergeCell ref="A2:C2"/>
    <mergeCell ref="C1:E1"/>
  </mergeCells>
  <phoneticPr fontId="3"/>
  <pageMargins left="0.78740157480314965" right="0.39370078740157483" top="0.59055118110236227" bottom="0.39370078740157483" header="0.51181102362204722" footer="0.11811023622047245"/>
  <pageSetup paperSize="9" orientation="landscape" blackAndWhite="1" r:id="rId1"/>
  <headerFooter alignWithMargins="0"/>
  <drawing r:id="rId2"/>
  <legacyDrawing r:id="rId3"/>
</worksheet>
</file>

<file path=xl/worksheets/w8_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Q43"/>
  <sheetViews>
    <sheetView view="pageBreakPreview" zoomScale="85" zoomScaleNormal="85" zoomScaleSheetLayoutView="85" workbookViewId="0">
      <pane xSplit="3" ySplit="4" topLeftCell="D5" activePane="bottomRight" state="frozen"/>
      <selection activeCell="H3" sqref="H3"/>
      <selection pane="topRight" activeCell="H3" sqref="H3"/>
      <selection pane="bottomLeft" activeCell="H3" sqref="H3"/>
      <selection pane="bottomRight" activeCell="D5" sqref="D5"/>
    </sheetView>
  </sheetViews>
  <sheetFormatPr defaultColWidth="9" defaultRowHeight="13.5" outlineLevelRow="1"/>
  <cols>
    <col min="1" max="2" width="1.375" style="3883" customWidth="1"/>
    <col min="3" max="3" width="22.375" style="3883" customWidth="1"/>
    <col min="4" max="6" width="14.625" style="3883" customWidth="1"/>
    <col min="7" max="7" width="14.625" style="3885" customWidth="1"/>
    <col min="8" max="8" width="14" style="3883" hidden="1" customWidth="1"/>
    <col min="9" max="10" width="14.625" style="3883" customWidth="1"/>
    <col min="11" max="11" width="14" style="3883" hidden="1" customWidth="1"/>
    <col min="12" max="12" width="14.625" style="3883" customWidth="1"/>
    <col min="13" max="13" width="14.625" style="3885" customWidth="1"/>
    <col min="14" max="14" width="14.375" style="3883" customWidth="1"/>
    <col min="15" max="15" width="14.375" style="3884" customWidth="1"/>
    <col min="16" max="16384" width="9" style="3883"/>
  </cols>
  <sheetData>
    <row r="1" spans="1:17">
      <c r="C1" s="4984" t="str">
        <f>+CONCATENATE(LEFT('3条支出'!$D$1,5),"   資本的収入（決算）")</f>
        <v>令和５年度   資本的収入（決算）</v>
      </c>
      <c r="D1" s="4984"/>
      <c r="E1" s="4984"/>
      <c r="L1" s="3939"/>
    </row>
    <row r="2" spans="1:17" ht="14.25" thickBot="1">
      <c r="A2" s="3938" t="str">
        <f>+CONCATENATE("（",MID(雨汚水!D1,3,1),"年度現年度分みなしベース）")</f>
        <v>（５年度現年度分みなしベース）</v>
      </c>
      <c r="B2" s="3937"/>
      <c r="C2" s="3937"/>
      <c r="M2" s="3936" t="s">
        <v>6664</v>
      </c>
      <c r="O2" s="3884" t="s">
        <v>6664</v>
      </c>
    </row>
    <row r="3" spans="1:17" s="3885" customFormat="1" ht="28.5">
      <c r="A3" s="4985" t="s">
        <v>6757</v>
      </c>
      <c r="B3" s="4986"/>
      <c r="C3" s="4987"/>
      <c r="D3" s="3935" t="s">
        <v>6806</v>
      </c>
      <c r="E3" s="3934" t="s">
        <v>6805</v>
      </c>
      <c r="F3" s="3933" t="s">
        <v>6730</v>
      </c>
      <c r="G3" s="3932" t="s">
        <v>6804</v>
      </c>
      <c r="H3" s="3931" t="s">
        <v>6803</v>
      </c>
      <c r="I3" s="3930" t="s">
        <v>6802</v>
      </c>
      <c r="J3" s="3928" t="s">
        <v>6801</v>
      </c>
      <c r="K3" s="3929" t="s">
        <v>6800</v>
      </c>
      <c r="L3" s="3928" t="s">
        <v>6799</v>
      </c>
      <c r="M3" s="3926" t="s">
        <v>6798</v>
      </c>
      <c r="N3" s="3927" t="s">
        <v>6797</v>
      </c>
      <c r="O3" s="3926" t="s">
        <v>6796</v>
      </c>
      <c r="Q3" s="3980"/>
    </row>
    <row r="4" spans="1:17" s="3885" customFormat="1">
      <c r="A4" s="4988"/>
      <c r="B4" s="4989"/>
      <c r="C4" s="4990"/>
      <c r="D4" s="3923" t="s">
        <v>6795</v>
      </c>
      <c r="E4" s="3922" t="s">
        <v>6794</v>
      </c>
      <c r="F4" s="3925" t="s">
        <v>6793</v>
      </c>
      <c r="G4" s="3920" t="s">
        <v>6792</v>
      </c>
      <c r="H4" s="3924" t="s">
        <v>6791</v>
      </c>
      <c r="I4" s="3923" t="s">
        <v>6790</v>
      </c>
      <c r="J4" s="3923" t="s">
        <v>6789</v>
      </c>
      <c r="K4" s="3923" t="s">
        <v>6788</v>
      </c>
      <c r="L4" s="3922" t="s">
        <v>6787</v>
      </c>
      <c r="M4" s="3920" t="s">
        <v>6786</v>
      </c>
      <c r="N4" s="3921" t="s">
        <v>6785</v>
      </c>
      <c r="O4" s="3920" t="s">
        <v>6784</v>
      </c>
    </row>
    <row r="5" spans="1:17" s="3891" customFormat="1" ht="21" customHeight="1">
      <c r="A5" s="3906" t="s">
        <v>6641</v>
      </c>
      <c r="B5" s="3919"/>
      <c r="C5" s="3905"/>
      <c r="D5" s="3896">
        <f t="shared" ref="D5:N5" si="0">SUM(D6,D13,D16,D20,D22,D26,D30,D32)</f>
        <v>42627050000</v>
      </c>
      <c r="E5" s="3901">
        <f t="shared" si="0"/>
        <v>0</v>
      </c>
      <c r="F5" s="3900">
        <f t="shared" si="0"/>
        <v>42627050000</v>
      </c>
      <c r="G5" s="3904">
        <f>SUM(G6,G13,G16,G20,G22,G26,G30,G32)</f>
        <v>42025205141</v>
      </c>
      <c r="H5" s="3898">
        <f t="shared" si="0"/>
        <v>0</v>
      </c>
      <c r="I5" s="3693">
        <f t="shared" si="0"/>
        <v>42025205141</v>
      </c>
      <c r="J5" s="3693">
        <f t="shared" si="0"/>
        <v>8421400000</v>
      </c>
      <c r="K5" s="3693">
        <f t="shared" si="0"/>
        <v>0</v>
      </c>
      <c r="L5" s="3914">
        <f t="shared" si="0"/>
        <v>8639285739</v>
      </c>
      <c r="M5" s="3904">
        <f>SUM(M6,M13,M16,M20,M22,M26,M30,M32)</f>
        <v>42243090880</v>
      </c>
      <c r="N5" s="3893">
        <f t="shared" si="0"/>
        <v>8639285739</v>
      </c>
      <c r="O5" s="3903">
        <f>SUM(O6,O13,O16,O20,O22,O26,O30,O32)</f>
        <v>-411506598</v>
      </c>
    </row>
    <row r="6" spans="1:17" s="3891" customFormat="1" ht="21" customHeight="1">
      <c r="A6" s="3907"/>
      <c r="B6" s="3906" t="s">
        <v>6783</v>
      </c>
      <c r="C6" s="3905"/>
      <c r="D6" s="3896">
        <f t="shared" ref="D6:O6" si="1">SUM(D7:D12)</f>
        <v>32505200000</v>
      </c>
      <c r="E6" s="3901">
        <f t="shared" si="1"/>
        <v>0</v>
      </c>
      <c r="F6" s="3900">
        <f t="shared" si="1"/>
        <v>32505200000</v>
      </c>
      <c r="G6" s="3904">
        <f t="shared" si="1"/>
        <v>32373300000</v>
      </c>
      <c r="H6" s="3898">
        <f t="shared" si="1"/>
        <v>0</v>
      </c>
      <c r="I6" s="3896">
        <f t="shared" si="1"/>
        <v>32373300000</v>
      </c>
      <c r="J6" s="3693">
        <f t="shared" si="1"/>
        <v>5247400000</v>
      </c>
      <c r="K6" s="3896">
        <f t="shared" si="1"/>
        <v>0</v>
      </c>
      <c r="L6" s="3901">
        <f t="shared" si="1"/>
        <v>5226800000</v>
      </c>
      <c r="M6" s="3904">
        <f t="shared" si="1"/>
        <v>32352700000</v>
      </c>
      <c r="N6" s="3893">
        <f t="shared" si="1"/>
        <v>5226800000</v>
      </c>
      <c r="O6" s="3903">
        <f t="shared" si="1"/>
        <v>-152500000</v>
      </c>
    </row>
    <row r="7" spans="1:17" s="3891" customFormat="1" ht="21" customHeight="1">
      <c r="A7" s="3907"/>
      <c r="B7" s="3907"/>
      <c r="C7" s="3902" t="s">
        <v>6782</v>
      </c>
      <c r="D7" s="3897">
        <f>8330600000+654200000</f>
        <v>8984800000</v>
      </c>
      <c r="E7" s="3901">
        <v>0</v>
      </c>
      <c r="F7" s="3900">
        <f t="shared" ref="F7:F12" si="2">D7+E7</f>
        <v>8984800000</v>
      </c>
      <c r="G7" s="3978">
        <f>+'4条収入'!$E$9</f>
        <v>8822500000</v>
      </c>
      <c r="H7" s="3913">
        <v>0</v>
      </c>
      <c r="I7" s="3693">
        <f t="shared" ref="I7:I12" si="3">G7-H7</f>
        <v>8822500000</v>
      </c>
      <c r="J7" s="3897">
        <v>4973100000</v>
      </c>
      <c r="K7" s="3693"/>
      <c r="L7" s="3895">
        <v>5135400000</v>
      </c>
      <c r="M7" s="3904">
        <f t="shared" ref="M7:M12" si="4">I7-J7+K7+L7</f>
        <v>8984800000</v>
      </c>
      <c r="N7" s="3893">
        <f t="shared" ref="N7:N12" si="5">L7</f>
        <v>5135400000</v>
      </c>
      <c r="O7" s="3903">
        <f>M7-F7</f>
        <v>0</v>
      </c>
    </row>
    <row r="8" spans="1:17" s="3891" customFormat="1" ht="21" customHeight="1">
      <c r="A8" s="3907"/>
      <c r="B8" s="3907"/>
      <c r="C8" s="3974" t="s">
        <v>7095</v>
      </c>
      <c r="D8" s="3897">
        <v>310500000</v>
      </c>
      <c r="E8" s="3901">
        <v>0</v>
      </c>
      <c r="F8" s="3900">
        <f t="shared" si="2"/>
        <v>310500000</v>
      </c>
      <c r="G8" s="3978">
        <f>+'4条収入'!$E$12</f>
        <v>493400000</v>
      </c>
      <c r="H8" s="3913">
        <v>0</v>
      </c>
      <c r="I8" s="3693">
        <f t="shared" si="3"/>
        <v>493400000</v>
      </c>
      <c r="J8" s="3895">
        <v>274300000</v>
      </c>
      <c r="K8" s="3693"/>
      <c r="L8" s="3895">
        <v>91400000</v>
      </c>
      <c r="M8" s="3904">
        <f>I8-J8+K8+L8</f>
        <v>310500000</v>
      </c>
      <c r="N8" s="3893">
        <f t="shared" si="5"/>
        <v>91400000</v>
      </c>
      <c r="O8" s="3903">
        <f>F8-M8</f>
        <v>0</v>
      </c>
    </row>
    <row r="9" spans="1:17" s="3891" customFormat="1" ht="21" customHeight="1">
      <c r="A9" s="3907"/>
      <c r="B9" s="3907"/>
      <c r="C9" s="3902" t="s">
        <v>6781</v>
      </c>
      <c r="D9" s="3897">
        <v>160100000</v>
      </c>
      <c r="E9" s="3901">
        <v>0</v>
      </c>
      <c r="F9" s="3900">
        <f t="shared" si="2"/>
        <v>160100000</v>
      </c>
      <c r="G9" s="3978">
        <f>+'4条収入'!$E$13</f>
        <v>120200000</v>
      </c>
      <c r="H9" s="3913">
        <v>0</v>
      </c>
      <c r="I9" s="3693">
        <f t="shared" si="3"/>
        <v>120200000</v>
      </c>
      <c r="J9" s="3897"/>
      <c r="K9" s="3693"/>
      <c r="L9" s="3895"/>
      <c r="M9" s="3904">
        <f t="shared" si="4"/>
        <v>120200000</v>
      </c>
      <c r="N9" s="3893">
        <f t="shared" si="5"/>
        <v>0</v>
      </c>
      <c r="O9" s="3903">
        <f>M9-F9</f>
        <v>-39900000</v>
      </c>
    </row>
    <row r="10" spans="1:17" s="3891" customFormat="1" ht="21" customHeight="1">
      <c r="A10" s="3907"/>
      <c r="B10" s="3907"/>
      <c r="C10" s="3902" t="s">
        <v>6780</v>
      </c>
      <c r="D10" s="3897">
        <v>6039000000</v>
      </c>
      <c r="E10" s="3901">
        <v>0</v>
      </c>
      <c r="F10" s="3900">
        <f t="shared" si="2"/>
        <v>6039000000</v>
      </c>
      <c r="G10" s="3978">
        <f>+'4条収入'!$E$14</f>
        <v>5929500000</v>
      </c>
      <c r="H10" s="3913">
        <v>0</v>
      </c>
      <c r="I10" s="3693">
        <f t="shared" si="3"/>
        <v>5929500000</v>
      </c>
      <c r="J10" s="3897"/>
      <c r="K10" s="3693"/>
      <c r="L10" s="3895"/>
      <c r="M10" s="3904">
        <f t="shared" si="4"/>
        <v>5929500000</v>
      </c>
      <c r="N10" s="3893">
        <f t="shared" si="5"/>
        <v>0</v>
      </c>
      <c r="O10" s="3903">
        <f>M10-F10</f>
        <v>-109500000</v>
      </c>
    </row>
    <row r="11" spans="1:17" s="3891" customFormat="1" ht="21" hidden="1" customHeight="1" outlineLevel="1">
      <c r="A11" s="3907"/>
      <c r="B11" s="3907"/>
      <c r="C11" s="3902" t="s">
        <v>7019</v>
      </c>
      <c r="D11" s="3897">
        <v>0</v>
      </c>
      <c r="E11" s="3901">
        <v>0</v>
      </c>
      <c r="F11" s="3900">
        <f t="shared" si="2"/>
        <v>0</v>
      </c>
      <c r="G11" s="3978">
        <f>+'4条収入'!$E$15</f>
        <v>0</v>
      </c>
      <c r="H11" s="3913">
        <v>0</v>
      </c>
      <c r="I11" s="3693">
        <f t="shared" si="3"/>
        <v>0</v>
      </c>
      <c r="J11" s="3897"/>
      <c r="K11" s="3693"/>
      <c r="L11" s="3895"/>
      <c r="M11" s="3904">
        <f t="shared" si="4"/>
        <v>0</v>
      </c>
      <c r="N11" s="3893">
        <f t="shared" si="5"/>
        <v>0</v>
      </c>
      <c r="O11" s="3903">
        <f>M11-F11</f>
        <v>0</v>
      </c>
    </row>
    <row r="12" spans="1:17" s="3891" customFormat="1" ht="21" customHeight="1" collapsed="1">
      <c r="A12" s="3907"/>
      <c r="B12" s="3902"/>
      <c r="C12" s="3902" t="s">
        <v>6779</v>
      </c>
      <c r="D12" s="3897">
        <f>17007700000+3100000</f>
        <v>17010800000</v>
      </c>
      <c r="E12" s="3901">
        <v>0</v>
      </c>
      <c r="F12" s="3900">
        <f t="shared" si="2"/>
        <v>17010800000</v>
      </c>
      <c r="G12" s="3978">
        <f>+'4条収入'!$E$16</f>
        <v>17007700000</v>
      </c>
      <c r="H12" s="3913">
        <v>0</v>
      </c>
      <c r="I12" s="3693">
        <f t="shared" si="3"/>
        <v>17007700000</v>
      </c>
      <c r="J12" s="3897"/>
      <c r="K12" s="3693"/>
      <c r="L12" s="3895"/>
      <c r="M12" s="3904">
        <f t="shared" si="4"/>
        <v>17007700000</v>
      </c>
      <c r="N12" s="3893">
        <f t="shared" si="5"/>
        <v>0</v>
      </c>
      <c r="O12" s="3903">
        <f>M12-F12</f>
        <v>-3100000</v>
      </c>
    </row>
    <row r="13" spans="1:17" s="3891" customFormat="1" ht="21" customHeight="1">
      <c r="A13" s="3907"/>
      <c r="B13" s="3906" t="s">
        <v>6778</v>
      </c>
      <c r="C13" s="3905"/>
      <c r="D13" s="3693">
        <f t="shared" ref="D13:O13" si="6">SUM(D14:D15)</f>
        <v>3640474000</v>
      </c>
      <c r="E13" s="3901">
        <f t="shared" si="6"/>
        <v>0</v>
      </c>
      <c r="F13" s="3900">
        <f t="shared" si="6"/>
        <v>3640474000</v>
      </c>
      <c r="G13" s="3904">
        <f t="shared" si="6"/>
        <v>3285504551</v>
      </c>
      <c r="H13" s="3898">
        <f t="shared" si="6"/>
        <v>0</v>
      </c>
      <c r="I13" s="3896">
        <f t="shared" si="6"/>
        <v>3285504551</v>
      </c>
      <c r="J13" s="3693">
        <f t="shared" si="6"/>
        <v>0</v>
      </c>
      <c r="K13" s="3896">
        <f t="shared" si="6"/>
        <v>0</v>
      </c>
      <c r="L13" s="3901">
        <f t="shared" si="6"/>
        <v>0</v>
      </c>
      <c r="M13" s="3904">
        <f t="shared" si="6"/>
        <v>3285504551</v>
      </c>
      <c r="N13" s="3893">
        <f t="shared" si="6"/>
        <v>0</v>
      </c>
      <c r="O13" s="3903">
        <f t="shared" si="6"/>
        <v>-354969449</v>
      </c>
    </row>
    <row r="14" spans="1:17" s="3891" customFormat="1" ht="21" customHeight="1">
      <c r="A14" s="3907"/>
      <c r="B14" s="3907"/>
      <c r="C14" s="3915" t="s">
        <v>6639</v>
      </c>
      <c r="D14" s="3897">
        <v>3640474000</v>
      </c>
      <c r="E14" s="3901"/>
      <c r="F14" s="3900">
        <f>D14+E14</f>
        <v>3640474000</v>
      </c>
      <c r="G14" s="3978">
        <f>+'4条収入'!E22</f>
        <v>3285504551</v>
      </c>
      <c r="H14" s="3898">
        <v>0</v>
      </c>
      <c r="I14" s="3693">
        <f>G14-H14</f>
        <v>3285504551</v>
      </c>
      <c r="J14" s="3897">
        <v>0</v>
      </c>
      <c r="K14" s="3896"/>
      <c r="L14" s="3895"/>
      <c r="M14" s="3904">
        <f>I14-J14+K14+L14</f>
        <v>3285504551</v>
      </c>
      <c r="N14" s="3893">
        <f>L14</f>
        <v>0</v>
      </c>
      <c r="O14" s="3903">
        <f>M14-F14</f>
        <v>-354969449</v>
      </c>
    </row>
    <row r="15" spans="1:17" s="3891" customFormat="1" ht="24" hidden="1" customHeight="1">
      <c r="A15" s="3907"/>
      <c r="B15" s="3902"/>
      <c r="C15" s="3902" t="s">
        <v>6777</v>
      </c>
      <c r="D15" s="3897">
        <v>0</v>
      </c>
      <c r="E15" s="3901">
        <v>0</v>
      </c>
      <c r="F15" s="3900">
        <f>D15+E15</f>
        <v>0</v>
      </c>
      <c r="G15" s="3918">
        <v>0</v>
      </c>
      <c r="H15" s="3898">
        <v>0</v>
      </c>
      <c r="I15" s="3896">
        <f>G15-H15</f>
        <v>0</v>
      </c>
      <c r="J15" s="3897">
        <v>0</v>
      </c>
      <c r="K15" s="3896"/>
      <c r="L15" s="3895"/>
      <c r="M15" s="3904">
        <f>I15-J15+K15+L15</f>
        <v>0</v>
      </c>
      <c r="N15" s="3893">
        <f>L15</f>
        <v>0</v>
      </c>
      <c r="O15" s="3903">
        <f>F15-M15</f>
        <v>0</v>
      </c>
    </row>
    <row r="16" spans="1:17" s="3891" customFormat="1" ht="21" customHeight="1">
      <c r="A16" s="3907"/>
      <c r="B16" s="3917" t="s">
        <v>6776</v>
      </c>
      <c r="C16" s="3905"/>
      <c r="D16" s="3693">
        <f t="shared" ref="D16:O16" si="7">SUM(D17:D19)</f>
        <v>5769500000</v>
      </c>
      <c r="E16" s="3901">
        <f t="shared" si="7"/>
        <v>0</v>
      </c>
      <c r="F16" s="3900">
        <f t="shared" si="7"/>
        <v>5769500000</v>
      </c>
      <c r="G16" s="3904">
        <f t="shared" si="7"/>
        <v>5717788000</v>
      </c>
      <c r="H16" s="3898">
        <f t="shared" si="7"/>
        <v>0</v>
      </c>
      <c r="I16" s="3693">
        <f t="shared" si="7"/>
        <v>5717788000</v>
      </c>
      <c r="J16" s="3693">
        <f t="shared" si="7"/>
        <v>3174000000</v>
      </c>
      <c r="K16" s="3896">
        <f t="shared" si="7"/>
        <v>0</v>
      </c>
      <c r="L16" s="3901">
        <f t="shared" si="7"/>
        <v>3222485739</v>
      </c>
      <c r="M16" s="3904">
        <f t="shared" si="7"/>
        <v>5766273739</v>
      </c>
      <c r="N16" s="3893">
        <f t="shared" si="7"/>
        <v>3222485739</v>
      </c>
      <c r="O16" s="3903">
        <f t="shared" si="7"/>
        <v>-30773739</v>
      </c>
    </row>
    <row r="17" spans="1:15" s="3891" customFormat="1" ht="21" customHeight="1">
      <c r="A17" s="3907"/>
      <c r="B17" s="3912"/>
      <c r="C17" s="3916" t="s">
        <v>6775</v>
      </c>
      <c r="D17" s="3897">
        <f>5097000000+665800000</f>
        <v>5762800000</v>
      </c>
      <c r="E17" s="3901">
        <v>0</v>
      </c>
      <c r="F17" s="3900">
        <f>D17+E17</f>
        <v>5762800000</v>
      </c>
      <c r="G17" s="3978">
        <f>+'4条収入'!$E$25</f>
        <v>5683800000</v>
      </c>
      <c r="H17" s="3913">
        <v>0</v>
      </c>
      <c r="I17" s="3693">
        <f>G17-H17</f>
        <v>5683800000</v>
      </c>
      <c r="J17" s="3897">
        <v>3156100000</v>
      </c>
      <c r="K17" s="3693"/>
      <c r="L17" s="3895">
        <v>3218100000</v>
      </c>
      <c r="M17" s="3904">
        <f>I17-J17+K17+L17</f>
        <v>5745800000</v>
      </c>
      <c r="N17" s="3893">
        <f>L17</f>
        <v>3218100000</v>
      </c>
      <c r="O17" s="3903">
        <f>M17-F17</f>
        <v>-17000000</v>
      </c>
    </row>
    <row r="18" spans="1:15" s="3891" customFormat="1" ht="24" customHeight="1">
      <c r="A18" s="3907"/>
      <c r="B18" s="3907"/>
      <c r="C18" s="3902" t="s">
        <v>7020</v>
      </c>
      <c r="D18" s="3897">
        <v>2000000</v>
      </c>
      <c r="E18" s="3901">
        <v>0</v>
      </c>
      <c r="F18" s="3900">
        <f>D18+E18</f>
        <v>2000000</v>
      </c>
      <c r="G18" s="3911">
        <f>+'4条収入'!$E$26</f>
        <v>0</v>
      </c>
      <c r="H18" s="3913">
        <v>0</v>
      </c>
      <c r="I18" s="3693">
        <f>G18-H18</f>
        <v>0</v>
      </c>
      <c r="J18" s="3897"/>
      <c r="K18" s="3693"/>
      <c r="L18" s="3895"/>
      <c r="M18" s="3904">
        <f>I18-J18+K18+L18</f>
        <v>0</v>
      </c>
      <c r="N18" s="3893">
        <f>L18</f>
        <v>0</v>
      </c>
      <c r="O18" s="3903">
        <f>F18-M18</f>
        <v>2000000</v>
      </c>
    </row>
    <row r="19" spans="1:15" s="3891" customFormat="1" ht="21" customHeight="1">
      <c r="A19" s="3907"/>
      <c r="B19" s="3902"/>
      <c r="C19" s="3916" t="s">
        <v>6774</v>
      </c>
      <c r="D19" s="3897">
        <v>4700000</v>
      </c>
      <c r="E19" s="3901">
        <v>0</v>
      </c>
      <c r="F19" s="3900">
        <f>D19+E19</f>
        <v>4700000</v>
      </c>
      <c r="G19" s="3978">
        <f>+'4条収入'!$E$31</f>
        <v>33988000</v>
      </c>
      <c r="H19" s="3913">
        <v>0</v>
      </c>
      <c r="I19" s="3693">
        <f>G19-H19</f>
        <v>33988000</v>
      </c>
      <c r="J19" s="3897">
        <v>17900000</v>
      </c>
      <c r="K19" s="3693"/>
      <c r="L19" s="3895">
        <f>2400000+1985739</f>
        <v>4385739</v>
      </c>
      <c r="M19" s="3904">
        <f>I19-J19+K19+L19</f>
        <v>20473739</v>
      </c>
      <c r="N19" s="3893">
        <f>L19</f>
        <v>4385739</v>
      </c>
      <c r="O19" s="3903">
        <f>F19-M19</f>
        <v>-15773739</v>
      </c>
    </row>
    <row r="20" spans="1:15" s="3891" customFormat="1" ht="21" customHeight="1">
      <c r="A20" s="3907"/>
      <c r="B20" s="3906" t="s">
        <v>6773</v>
      </c>
      <c r="C20" s="3905"/>
      <c r="D20" s="3693">
        <f t="shared" ref="D20:O20" si="8">D21</f>
        <v>54236000</v>
      </c>
      <c r="E20" s="3901">
        <f t="shared" si="8"/>
        <v>0</v>
      </c>
      <c r="F20" s="3900">
        <f t="shared" si="8"/>
        <v>54236000</v>
      </c>
      <c r="G20" s="3904">
        <f t="shared" si="8"/>
        <v>24373083</v>
      </c>
      <c r="H20" s="3913">
        <f t="shared" si="8"/>
        <v>0</v>
      </c>
      <c r="I20" s="3693">
        <f t="shared" si="8"/>
        <v>24373083</v>
      </c>
      <c r="J20" s="3693">
        <f t="shared" si="8"/>
        <v>0</v>
      </c>
      <c r="K20" s="3693">
        <f t="shared" si="8"/>
        <v>0</v>
      </c>
      <c r="L20" s="3914">
        <f t="shared" si="8"/>
        <v>0</v>
      </c>
      <c r="M20" s="3904">
        <f t="shared" si="8"/>
        <v>24373083</v>
      </c>
      <c r="N20" s="3893">
        <f t="shared" si="8"/>
        <v>0</v>
      </c>
      <c r="O20" s="3903">
        <f t="shared" si="8"/>
        <v>-29862917</v>
      </c>
    </row>
    <row r="21" spans="1:15" s="3891" customFormat="1" ht="21" customHeight="1">
      <c r="A21" s="3907"/>
      <c r="B21" s="3906"/>
      <c r="C21" s="3915" t="s">
        <v>6772</v>
      </c>
      <c r="D21" s="3897">
        <v>54236000</v>
      </c>
      <c r="E21" s="3901">
        <v>0</v>
      </c>
      <c r="F21" s="3900">
        <f>D21+E21</f>
        <v>54236000</v>
      </c>
      <c r="G21" s="3978">
        <f>+'4条収入'!$E$37</f>
        <v>24373083</v>
      </c>
      <c r="H21" s="3913">
        <v>0</v>
      </c>
      <c r="I21" s="3693">
        <f>G21-H21</f>
        <v>24373083</v>
      </c>
      <c r="J21" s="3897"/>
      <c r="K21" s="3693">
        <v>0</v>
      </c>
      <c r="L21" s="3895">
        <v>0</v>
      </c>
      <c r="M21" s="3904">
        <f>I21-J21+K21+L21</f>
        <v>24373083</v>
      </c>
      <c r="N21" s="3893">
        <f>L21</f>
        <v>0</v>
      </c>
      <c r="O21" s="3903">
        <f>M21-F21</f>
        <v>-29862917</v>
      </c>
    </row>
    <row r="22" spans="1:15" s="3891" customFormat="1" ht="21" customHeight="1">
      <c r="A22" s="3907"/>
      <c r="B22" s="3906" t="s">
        <v>6745</v>
      </c>
      <c r="C22" s="3905"/>
      <c r="D22" s="3693">
        <f t="shared" ref="D22:O22" si="9">SUM(D23:D25)</f>
        <v>632996000</v>
      </c>
      <c r="E22" s="3901">
        <f t="shared" si="9"/>
        <v>0</v>
      </c>
      <c r="F22" s="3900">
        <f t="shared" si="9"/>
        <v>632996000</v>
      </c>
      <c r="G22" s="3904">
        <f t="shared" si="9"/>
        <v>574304394</v>
      </c>
      <c r="H22" s="3913">
        <f t="shared" si="9"/>
        <v>0</v>
      </c>
      <c r="I22" s="3693">
        <f t="shared" si="9"/>
        <v>574304394</v>
      </c>
      <c r="J22" s="3693">
        <f t="shared" si="9"/>
        <v>0</v>
      </c>
      <c r="K22" s="3693">
        <f t="shared" si="9"/>
        <v>0</v>
      </c>
      <c r="L22" s="3914">
        <f t="shared" si="9"/>
        <v>190000000</v>
      </c>
      <c r="M22" s="3904">
        <f t="shared" si="9"/>
        <v>764304394</v>
      </c>
      <c r="N22" s="3893">
        <f t="shared" si="9"/>
        <v>190000000</v>
      </c>
      <c r="O22" s="3903">
        <f t="shared" si="9"/>
        <v>131308394</v>
      </c>
    </row>
    <row r="23" spans="1:15" s="3891" customFormat="1" ht="21" customHeight="1">
      <c r="A23" s="3907"/>
      <c r="B23" s="3912"/>
      <c r="C23" s="3902" t="s">
        <v>6771</v>
      </c>
      <c r="D23" s="3897">
        <v>14208000</v>
      </c>
      <c r="E23" s="3901">
        <v>0</v>
      </c>
      <c r="F23" s="3900">
        <f>D23+E23</f>
        <v>14208000</v>
      </c>
      <c r="G23" s="3978">
        <f>+'4条収入'!$E$43</f>
        <v>8799605</v>
      </c>
      <c r="H23" s="3913">
        <v>0</v>
      </c>
      <c r="I23" s="3693">
        <f>G23-H23</f>
        <v>8799605</v>
      </c>
      <c r="J23" s="3897"/>
      <c r="K23" s="3693">
        <v>0</v>
      </c>
      <c r="L23" s="3895">
        <v>0</v>
      </c>
      <c r="M23" s="3904">
        <f>I23-J23+K23+L23</f>
        <v>8799605</v>
      </c>
      <c r="N23" s="3893">
        <f>L23</f>
        <v>0</v>
      </c>
      <c r="O23" s="3903">
        <f>M23-F23</f>
        <v>-5408395</v>
      </c>
    </row>
    <row r="24" spans="1:15" s="3891" customFormat="1" ht="21" customHeight="1">
      <c r="A24" s="3907"/>
      <c r="B24" s="3912"/>
      <c r="C24" s="3902" t="s">
        <v>6770</v>
      </c>
      <c r="D24" s="3897">
        <v>40980000</v>
      </c>
      <c r="E24" s="3901">
        <v>0</v>
      </c>
      <c r="F24" s="3900">
        <f>D24+E24</f>
        <v>40980000</v>
      </c>
      <c r="G24" s="3978">
        <f>+'4条収入'!$E$45</f>
        <v>35218280</v>
      </c>
      <c r="H24" s="3913">
        <v>0</v>
      </c>
      <c r="I24" s="3693">
        <f>G24-H24</f>
        <v>35218280</v>
      </c>
      <c r="J24" s="3897"/>
      <c r="K24" s="3693">
        <v>0</v>
      </c>
      <c r="L24" s="3895"/>
      <c r="M24" s="3904">
        <f>I24-J24+K24+L24</f>
        <v>35218280</v>
      </c>
      <c r="N24" s="3893">
        <f>L24</f>
        <v>0</v>
      </c>
      <c r="O24" s="3903">
        <f>M24-F24</f>
        <v>-5761720</v>
      </c>
    </row>
    <row r="25" spans="1:15" s="3891" customFormat="1" ht="21" customHeight="1">
      <c r="A25" s="3907"/>
      <c r="B25" s="3902"/>
      <c r="C25" s="3902" t="s">
        <v>6769</v>
      </c>
      <c r="D25" s="3897">
        <v>577808000</v>
      </c>
      <c r="E25" s="3901">
        <v>0</v>
      </c>
      <c r="F25" s="3900">
        <f>D25+E25</f>
        <v>577808000</v>
      </c>
      <c r="G25" s="3978">
        <f>+'4条収入'!$E$50</f>
        <v>530286509</v>
      </c>
      <c r="H25" s="3913">
        <v>0</v>
      </c>
      <c r="I25" s="3693">
        <f>G25-H25</f>
        <v>530286509</v>
      </c>
      <c r="J25" s="3897"/>
      <c r="K25" s="3693"/>
      <c r="L25" s="3988">
        <f>60000000+130000000</f>
        <v>190000000</v>
      </c>
      <c r="M25" s="3904">
        <f>I25-J25+K25+L25</f>
        <v>720286509</v>
      </c>
      <c r="N25" s="3893">
        <f>L25</f>
        <v>190000000</v>
      </c>
      <c r="O25" s="3903">
        <f>M25-F25</f>
        <v>142478509</v>
      </c>
    </row>
    <row r="26" spans="1:15" s="3891" customFormat="1" ht="21" customHeight="1">
      <c r="A26" s="3907"/>
      <c r="B26" s="3906" t="s">
        <v>6768</v>
      </c>
      <c r="C26" s="3905"/>
      <c r="D26" s="3693">
        <f t="shared" ref="D26:O26" si="10">SUM(D27:D29)</f>
        <v>9913000</v>
      </c>
      <c r="E26" s="3901">
        <f t="shared" si="10"/>
        <v>0</v>
      </c>
      <c r="F26" s="3900">
        <f t="shared" si="10"/>
        <v>9913000</v>
      </c>
      <c r="G26" s="3904">
        <f t="shared" si="10"/>
        <v>3987000</v>
      </c>
      <c r="H26" s="3898">
        <f t="shared" si="10"/>
        <v>0</v>
      </c>
      <c r="I26" s="3896">
        <f t="shared" si="10"/>
        <v>3987000</v>
      </c>
      <c r="J26" s="3693">
        <f t="shared" si="10"/>
        <v>0</v>
      </c>
      <c r="K26" s="3896">
        <f t="shared" si="10"/>
        <v>0</v>
      </c>
      <c r="L26" s="3901"/>
      <c r="M26" s="3904">
        <f t="shared" si="10"/>
        <v>3987000</v>
      </c>
      <c r="N26" s="3893">
        <f t="shared" si="10"/>
        <v>0</v>
      </c>
      <c r="O26" s="3903">
        <f t="shared" si="10"/>
        <v>-5926000</v>
      </c>
    </row>
    <row r="27" spans="1:15" s="3891" customFormat="1" ht="24" hidden="1" customHeight="1">
      <c r="A27" s="3907"/>
      <c r="B27" s="3912"/>
      <c r="C27" s="3902" t="s">
        <v>6767</v>
      </c>
      <c r="D27" s="3897">
        <v>0</v>
      </c>
      <c r="E27" s="3901">
        <v>0</v>
      </c>
      <c r="F27" s="3900">
        <f>D27+E27</f>
        <v>0</v>
      </c>
      <c r="G27" s="3911">
        <f>+'4条収入'!$E$56</f>
        <v>0</v>
      </c>
      <c r="H27" s="3898">
        <v>0</v>
      </c>
      <c r="I27" s="3896">
        <f>G27-H27</f>
        <v>0</v>
      </c>
      <c r="J27" s="3897"/>
      <c r="K27" s="3896">
        <v>0</v>
      </c>
      <c r="L27" s="3895">
        <v>0</v>
      </c>
      <c r="M27" s="3904">
        <f>I27-J27+K27+L27</f>
        <v>0</v>
      </c>
      <c r="N27" s="3893">
        <f>L27</f>
        <v>0</v>
      </c>
      <c r="O27" s="3903">
        <f>M27-F27</f>
        <v>0</v>
      </c>
    </row>
    <row r="28" spans="1:15" s="3891" customFormat="1" ht="21" hidden="1" customHeight="1" outlineLevel="1">
      <c r="A28" s="3907"/>
      <c r="B28" s="3912"/>
      <c r="C28" s="3902" t="s">
        <v>6766</v>
      </c>
      <c r="D28" s="3897">
        <v>0</v>
      </c>
      <c r="E28" s="3901">
        <v>0</v>
      </c>
      <c r="F28" s="3900">
        <f>D28+E28</f>
        <v>0</v>
      </c>
      <c r="G28" s="3978">
        <f>+'4条収入'!$E$58</f>
        <v>0</v>
      </c>
      <c r="H28" s="3898">
        <v>0</v>
      </c>
      <c r="I28" s="3693">
        <f>G28-H28</f>
        <v>0</v>
      </c>
      <c r="J28" s="3897"/>
      <c r="K28" s="3896">
        <v>0</v>
      </c>
      <c r="L28" s="3895">
        <v>0</v>
      </c>
      <c r="M28" s="3904">
        <f>I28-J28-K28-L28</f>
        <v>0</v>
      </c>
      <c r="N28" s="3893">
        <f>L28</f>
        <v>0</v>
      </c>
      <c r="O28" s="3903">
        <f>F28-M28</f>
        <v>0</v>
      </c>
    </row>
    <row r="29" spans="1:15" s="3891" customFormat="1" ht="21" customHeight="1" collapsed="1">
      <c r="A29" s="3907"/>
      <c r="B29" s="3902"/>
      <c r="C29" s="3902" t="s">
        <v>6765</v>
      </c>
      <c r="D29" s="3897">
        <v>9913000</v>
      </c>
      <c r="E29" s="3901">
        <v>0</v>
      </c>
      <c r="F29" s="3900">
        <f>D29+E29</f>
        <v>9913000</v>
      </c>
      <c r="G29" s="3978">
        <f>+'4条収入'!$E$71</f>
        <v>3987000</v>
      </c>
      <c r="H29" s="3898">
        <v>0</v>
      </c>
      <c r="I29" s="3896">
        <f>G29-H29</f>
        <v>3987000</v>
      </c>
      <c r="J29" s="3897"/>
      <c r="K29" s="3896">
        <v>0</v>
      </c>
      <c r="L29" s="3895">
        <v>0</v>
      </c>
      <c r="M29" s="3904">
        <f>I29-J29+K29+L29</f>
        <v>3987000</v>
      </c>
      <c r="N29" s="3893">
        <f>L29</f>
        <v>0</v>
      </c>
      <c r="O29" s="3903">
        <f>M29-F29</f>
        <v>-5926000</v>
      </c>
    </row>
    <row r="30" spans="1:15" s="3891" customFormat="1" ht="21" customHeight="1">
      <c r="A30" s="3907"/>
      <c r="B30" s="3906" t="s">
        <v>6764</v>
      </c>
      <c r="C30" s="3905"/>
      <c r="D30" s="3693">
        <f t="shared" ref="D30:O30" si="11">D31</f>
        <v>14731000</v>
      </c>
      <c r="E30" s="3901">
        <f t="shared" si="11"/>
        <v>0</v>
      </c>
      <c r="F30" s="3900">
        <f t="shared" si="11"/>
        <v>14731000</v>
      </c>
      <c r="G30" s="3904">
        <f t="shared" si="11"/>
        <v>45948113</v>
      </c>
      <c r="H30" s="3898">
        <f t="shared" si="11"/>
        <v>0</v>
      </c>
      <c r="I30" s="3896">
        <f t="shared" si="11"/>
        <v>45948113</v>
      </c>
      <c r="J30" s="3693">
        <f t="shared" si="11"/>
        <v>0</v>
      </c>
      <c r="K30" s="3896">
        <f t="shared" si="11"/>
        <v>0</v>
      </c>
      <c r="L30" s="3901">
        <f t="shared" si="11"/>
        <v>0</v>
      </c>
      <c r="M30" s="3904">
        <f t="shared" si="11"/>
        <v>45948113</v>
      </c>
      <c r="N30" s="3893">
        <f t="shared" si="11"/>
        <v>0</v>
      </c>
      <c r="O30" s="3903">
        <f t="shared" si="11"/>
        <v>31217113</v>
      </c>
    </row>
    <row r="31" spans="1:15" s="3891" customFormat="1" ht="21" customHeight="1" thickBot="1">
      <c r="A31" s="3902"/>
      <c r="B31" s="3910"/>
      <c r="C31" s="3910" t="s">
        <v>6763</v>
      </c>
      <c r="D31" s="3897">
        <v>14731000</v>
      </c>
      <c r="E31" s="3901">
        <v>0</v>
      </c>
      <c r="F31" s="3900">
        <f>D31+E31</f>
        <v>14731000</v>
      </c>
      <c r="G31" s="3979">
        <f>+'4条収入'!$E$87</f>
        <v>45948113</v>
      </c>
      <c r="H31" s="3898">
        <v>0</v>
      </c>
      <c r="I31" s="3896">
        <f>G31-H31</f>
        <v>45948113</v>
      </c>
      <c r="J31" s="3897">
        <v>0</v>
      </c>
      <c r="K31" s="3896">
        <v>0</v>
      </c>
      <c r="L31" s="3895">
        <v>0</v>
      </c>
      <c r="M31" s="3909">
        <f>I31-J31+K31+L31</f>
        <v>45948113</v>
      </c>
      <c r="N31" s="3893">
        <f>L31</f>
        <v>0</v>
      </c>
      <c r="O31" s="3908">
        <f>M31-F31</f>
        <v>31217113</v>
      </c>
    </row>
    <row r="32" spans="1:15" s="3891" customFormat="1" ht="24" hidden="1" customHeight="1">
      <c r="A32" s="3907"/>
      <c r="B32" s="3906" t="s">
        <v>6762</v>
      </c>
      <c r="C32" s="3905"/>
      <c r="D32" s="3693">
        <f t="shared" ref="D32:O32" si="12">D33</f>
        <v>0</v>
      </c>
      <c r="E32" s="3901">
        <f t="shared" si="12"/>
        <v>0</v>
      </c>
      <c r="F32" s="3900">
        <f t="shared" si="12"/>
        <v>0</v>
      </c>
      <c r="G32" s="3904">
        <f t="shared" si="12"/>
        <v>0</v>
      </c>
      <c r="H32" s="3898">
        <f t="shared" si="12"/>
        <v>0</v>
      </c>
      <c r="I32" s="3896">
        <f t="shared" si="12"/>
        <v>0</v>
      </c>
      <c r="J32" s="3693">
        <f t="shared" si="12"/>
        <v>0</v>
      </c>
      <c r="K32" s="3896">
        <f t="shared" si="12"/>
        <v>0</v>
      </c>
      <c r="L32" s="3901">
        <f t="shared" si="12"/>
        <v>0</v>
      </c>
      <c r="M32" s="3904">
        <f t="shared" si="12"/>
        <v>0</v>
      </c>
      <c r="N32" s="3893">
        <f t="shared" si="12"/>
        <v>0</v>
      </c>
      <c r="O32" s="3903">
        <f t="shared" si="12"/>
        <v>0</v>
      </c>
    </row>
    <row r="33" spans="1:15" s="3891" customFormat="1" ht="24" hidden="1" customHeight="1" thickBot="1">
      <c r="A33" s="3902"/>
      <c r="B33" s="3902"/>
      <c r="C33" s="3902" t="s">
        <v>6762</v>
      </c>
      <c r="D33" s="3897">
        <v>0</v>
      </c>
      <c r="E33" s="3901">
        <v>0</v>
      </c>
      <c r="F33" s="3900">
        <f>D33+E33</f>
        <v>0</v>
      </c>
      <c r="G33" s="3899">
        <f>+'4条収入'!$E$89</f>
        <v>0</v>
      </c>
      <c r="H33" s="3898">
        <v>0</v>
      </c>
      <c r="I33" s="3896">
        <f>G33-H33</f>
        <v>0</v>
      </c>
      <c r="J33" s="3897">
        <v>0</v>
      </c>
      <c r="K33" s="3896">
        <v>0</v>
      </c>
      <c r="L33" s="3895">
        <v>0</v>
      </c>
      <c r="M33" s="3894">
        <f>I33-J33+K33+L33</f>
        <v>0</v>
      </c>
      <c r="N33" s="3893">
        <f>L33</f>
        <v>0</v>
      </c>
      <c r="O33" s="3892">
        <f>M33-F33</f>
        <v>0</v>
      </c>
    </row>
    <row r="34" spans="1:15">
      <c r="J34" s="3885"/>
    </row>
    <row r="35" spans="1:15">
      <c r="B35" s="3883" t="s">
        <v>6761</v>
      </c>
      <c r="C35" s="3891" t="s">
        <v>6760</v>
      </c>
      <c r="D35" s="3890"/>
      <c r="E35" s="3891"/>
      <c r="F35" s="3890" t="s">
        <v>6759</v>
      </c>
      <c r="G35" s="3889">
        <f>G5-G13</f>
        <v>38739700590</v>
      </c>
      <c r="H35" s="3888"/>
      <c r="I35" s="3888"/>
      <c r="J35" s="3888"/>
      <c r="K35" s="3886" t="s">
        <v>6758</v>
      </c>
      <c r="L35" s="3886"/>
      <c r="M35" s="3887"/>
      <c r="N35" s="3886"/>
    </row>
    <row r="43" spans="1:15">
      <c r="M43" s="3885">
        <f>M5-M13</f>
        <v>38957586329</v>
      </c>
    </row>
  </sheetData>
  <mergeCells count="2">
    <mergeCell ref="C1:E1"/>
    <mergeCell ref="A3:C4"/>
  </mergeCells>
  <phoneticPr fontId="3"/>
  <pageMargins left="0.39370078740157483" right="0.19685039370078741" top="0.78740157480314965" bottom="0.39370078740157483" header="0.19685039370078741" footer="0.19685039370078741"/>
  <pageSetup paperSize="9" fitToWidth="0" fitToHeight="0" orientation="landscape" blackAndWhite="1" r:id="rId1"/>
  <headerFooter alignWithMargins="0"/>
  <rowBreaks count="1" manualBreakCount="1">
    <brk id="31" max="12" man="1"/>
  </rowBreaks>
  <drawing r:id="rId2"/>
  <legacyDrawing r:id="rId3"/>
</worksheet>
</file>

<file path=xl/worksheets/w8_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L30"/>
  <sheetViews>
    <sheetView view="pageBreakPreview" zoomScale="85" zoomScaleNormal="85" zoomScaleSheetLayoutView="85" workbookViewId="0"/>
  </sheetViews>
  <sheetFormatPr defaultColWidth="9" defaultRowHeight="13.5"/>
  <cols>
    <col min="1" max="2" width="1.375" style="3705" customWidth="1"/>
    <col min="3" max="3" width="21.625" style="3705" customWidth="1"/>
    <col min="4" max="11" width="14.625" style="3705" customWidth="1"/>
    <col min="12" max="13" width="14" style="3705" customWidth="1"/>
    <col min="14" max="16384" width="9" style="3705"/>
  </cols>
  <sheetData>
    <row r="1" spans="1:12" s="3869" customFormat="1" ht="18" customHeight="1">
      <c r="C1" s="4993" t="str">
        <f>+CONCATENATE(LEFT('3条支出'!$D$1,5),"   資本的支出（決算）")</f>
        <v>令和５年度   資本的支出（決算）</v>
      </c>
      <c r="D1" s="4993"/>
      <c r="E1" s="4993"/>
    </row>
    <row r="2" spans="1:12" s="3869" customFormat="1" ht="18" customHeight="1" thickBot="1">
      <c r="A2" s="3938" t="str">
        <f>+CONCATENATE("（",MID(雨汚水!D1,3,1),"年度現年度分みなしベース）")</f>
        <v>（５年度現年度分みなしベース）</v>
      </c>
      <c r="G2" s="3870"/>
      <c r="H2" s="3871"/>
      <c r="J2" s="3871"/>
      <c r="K2" s="3870" t="s">
        <v>6836</v>
      </c>
      <c r="L2" s="3870"/>
    </row>
    <row r="3" spans="1:12" ht="27" customHeight="1">
      <c r="A3" s="4992" t="s">
        <v>6733</v>
      </c>
      <c r="B3" s="4992"/>
      <c r="C3" s="4992"/>
      <c r="D3" s="3952" t="s">
        <v>6835</v>
      </c>
      <c r="E3" s="3934" t="s">
        <v>6805</v>
      </c>
      <c r="F3" s="3954" t="s">
        <v>6730</v>
      </c>
      <c r="G3" s="3953" t="s">
        <v>6834</v>
      </c>
      <c r="H3" s="3951" t="s">
        <v>7061</v>
      </c>
      <c r="I3" s="3952" t="s">
        <v>7060</v>
      </c>
      <c r="J3" s="3951" t="s">
        <v>6833</v>
      </c>
      <c r="K3" s="3950" t="s">
        <v>6798</v>
      </c>
      <c r="L3" s="3935" t="s">
        <v>6832</v>
      </c>
    </row>
    <row r="4" spans="1:12" ht="18" customHeight="1">
      <c r="A4" s="4991"/>
      <c r="B4" s="4991"/>
      <c r="C4" s="4991"/>
      <c r="D4" s="3863" t="s">
        <v>6831</v>
      </c>
      <c r="E4" s="3864" t="s">
        <v>6830</v>
      </c>
      <c r="F4" s="3949" t="s">
        <v>6829</v>
      </c>
      <c r="G4" s="3947" t="s">
        <v>6828</v>
      </c>
      <c r="H4" s="3948" t="s">
        <v>6827</v>
      </c>
      <c r="I4" s="3863" t="s">
        <v>6826</v>
      </c>
      <c r="J4" s="3948" t="s">
        <v>6825</v>
      </c>
      <c r="K4" s="3947" t="s">
        <v>6824</v>
      </c>
      <c r="L4" s="3863" t="s">
        <v>6823</v>
      </c>
    </row>
    <row r="5" spans="1:12" ht="24" customHeight="1">
      <c r="A5" s="3857" t="s">
        <v>6822</v>
      </c>
      <c r="B5" s="3861"/>
      <c r="C5" s="3880"/>
      <c r="D5" s="3693">
        <f t="shared" ref="D5:L5" si="0">SUM(D6,D15,D17,D21)</f>
        <v>62055911000</v>
      </c>
      <c r="E5" s="3914">
        <f t="shared" si="0"/>
        <v>0</v>
      </c>
      <c r="F5" s="3942">
        <f t="shared" si="0"/>
        <v>62055911000</v>
      </c>
      <c r="G5" s="3904">
        <f t="shared" si="0"/>
        <v>61875977537</v>
      </c>
      <c r="H5" s="3943">
        <f t="shared" si="0"/>
        <v>9248923703</v>
      </c>
      <c r="I5" s="3693">
        <f t="shared" si="0"/>
        <v>52627053834</v>
      </c>
      <c r="J5" s="3943">
        <f t="shared" si="0"/>
        <v>9225844099</v>
      </c>
      <c r="K5" s="3904">
        <f t="shared" si="0"/>
        <v>61852897933</v>
      </c>
      <c r="L5" s="3693">
        <f t="shared" si="0"/>
        <v>203013067</v>
      </c>
    </row>
    <row r="6" spans="1:12" ht="24" customHeight="1">
      <c r="A6" s="3688"/>
      <c r="B6" s="3857" t="s">
        <v>6821</v>
      </c>
      <c r="C6" s="3880"/>
      <c r="D6" s="3693">
        <f t="shared" ref="D6:L6" si="1">SUM(D7:D14)</f>
        <v>17424201000</v>
      </c>
      <c r="E6" s="3914">
        <f t="shared" si="1"/>
        <v>0</v>
      </c>
      <c r="F6" s="3942">
        <f t="shared" si="1"/>
        <v>17424201000</v>
      </c>
      <c r="G6" s="3904">
        <f t="shared" si="1"/>
        <v>17250555070</v>
      </c>
      <c r="H6" s="3943">
        <f t="shared" si="1"/>
        <v>9248923703</v>
      </c>
      <c r="I6" s="3693">
        <f t="shared" si="1"/>
        <v>8001631367</v>
      </c>
      <c r="J6" s="3943">
        <f t="shared" si="1"/>
        <v>9225844099</v>
      </c>
      <c r="K6" s="3904">
        <f t="shared" si="1"/>
        <v>17227475466</v>
      </c>
      <c r="L6" s="3693">
        <f t="shared" si="1"/>
        <v>196725534</v>
      </c>
    </row>
    <row r="7" spans="1:12" ht="24" customHeight="1">
      <c r="A7" s="3688"/>
      <c r="B7" s="3688"/>
      <c r="C7" s="3694" t="s">
        <v>6820</v>
      </c>
      <c r="D7" s="3897">
        <f>14573171000+1320000000</f>
        <v>15893171000</v>
      </c>
      <c r="E7" s="3895">
        <v>0</v>
      </c>
      <c r="F7" s="3942">
        <f t="shared" ref="F7:F14" si="2">D7+E7</f>
        <v>15893171000</v>
      </c>
      <c r="G7" s="3945">
        <f>+'4条支出'!E6</f>
        <v>15677649564</v>
      </c>
      <c r="H7" s="3940">
        <v>8377952802</v>
      </c>
      <c r="I7" s="3693">
        <f t="shared" ref="I7:I14" si="3">G7-H7</f>
        <v>7299696762</v>
      </c>
      <c r="J7" s="3940">
        <v>8532522419</v>
      </c>
      <c r="K7" s="3904">
        <f t="shared" ref="K7:K14" si="4">G7+J7-H7</f>
        <v>15832219181</v>
      </c>
      <c r="L7" s="3693">
        <f t="shared" ref="L7:L16" si="5">F7-K7</f>
        <v>60951819</v>
      </c>
    </row>
    <row r="8" spans="1:12" ht="24" customHeight="1">
      <c r="A8" s="3688"/>
      <c r="B8" s="3688"/>
      <c r="C8" s="3694" t="s">
        <v>6819</v>
      </c>
      <c r="D8" s="3897">
        <v>18558000</v>
      </c>
      <c r="E8" s="3895">
        <v>0</v>
      </c>
      <c r="F8" s="3942">
        <f t="shared" si="2"/>
        <v>18558000</v>
      </c>
      <c r="G8" s="3945">
        <f>+'4条支出'!E7</f>
        <v>15860357</v>
      </c>
      <c r="H8" s="3940"/>
      <c r="I8" s="3693">
        <f t="shared" si="3"/>
        <v>15860357</v>
      </c>
      <c r="J8" s="3940"/>
      <c r="K8" s="3904">
        <f t="shared" si="4"/>
        <v>15860357</v>
      </c>
      <c r="L8" s="3693">
        <f t="shared" si="5"/>
        <v>2697643</v>
      </c>
    </row>
    <row r="9" spans="1:12" ht="24" customHeight="1">
      <c r="A9" s="3688"/>
      <c r="B9" s="3688"/>
      <c r="C9" s="3694" t="s">
        <v>6818</v>
      </c>
      <c r="D9" s="3897">
        <v>779527000</v>
      </c>
      <c r="E9" s="3895">
        <v>0</v>
      </c>
      <c r="F9" s="3942">
        <f t="shared" si="2"/>
        <v>779527000</v>
      </c>
      <c r="G9" s="3945">
        <f>+'4条支出'!E8</f>
        <v>665100151</v>
      </c>
      <c r="H9" s="3940">
        <v>454024301</v>
      </c>
      <c r="I9" s="3693">
        <f t="shared" si="3"/>
        <v>211075850</v>
      </c>
      <c r="J9" s="3940">
        <v>520900202</v>
      </c>
      <c r="K9" s="3904">
        <f t="shared" si="4"/>
        <v>731976052</v>
      </c>
      <c r="L9" s="3693">
        <f t="shared" si="5"/>
        <v>47550948</v>
      </c>
    </row>
    <row r="10" spans="1:12" ht="24" customHeight="1">
      <c r="A10" s="3688"/>
      <c r="B10" s="3688"/>
      <c r="C10" s="3694" t="s">
        <v>6817</v>
      </c>
      <c r="D10" s="3897">
        <v>0</v>
      </c>
      <c r="E10" s="3895">
        <v>0</v>
      </c>
      <c r="F10" s="3942">
        <f t="shared" si="2"/>
        <v>0</v>
      </c>
      <c r="G10" s="3945">
        <f>+'4条支出'!E9</f>
        <v>0</v>
      </c>
      <c r="H10" s="3940"/>
      <c r="I10" s="3693">
        <f t="shared" si="3"/>
        <v>0</v>
      </c>
      <c r="J10" s="3940"/>
      <c r="K10" s="3904">
        <f t="shared" si="4"/>
        <v>0</v>
      </c>
      <c r="L10" s="3693">
        <f t="shared" si="5"/>
        <v>0</v>
      </c>
    </row>
    <row r="11" spans="1:12" ht="24" customHeight="1">
      <c r="A11" s="3688"/>
      <c r="B11" s="3688"/>
      <c r="C11" s="3694" t="s">
        <v>6816</v>
      </c>
      <c r="D11" s="3897">
        <v>172142000</v>
      </c>
      <c r="E11" s="3895">
        <v>0</v>
      </c>
      <c r="F11" s="3942">
        <f t="shared" si="2"/>
        <v>172142000</v>
      </c>
      <c r="G11" s="3945">
        <f>+'4条支出'!E10</f>
        <v>131921564</v>
      </c>
      <c r="H11" s="3940"/>
      <c r="I11" s="3693">
        <f t="shared" si="3"/>
        <v>131921564</v>
      </c>
      <c r="J11" s="3940"/>
      <c r="K11" s="3904">
        <f t="shared" si="4"/>
        <v>131921564</v>
      </c>
      <c r="L11" s="3693">
        <f t="shared" si="5"/>
        <v>40220436</v>
      </c>
    </row>
    <row r="12" spans="1:12" ht="24" customHeight="1">
      <c r="A12" s="3688"/>
      <c r="B12" s="3688"/>
      <c r="C12" s="3694" t="s">
        <v>6815</v>
      </c>
      <c r="D12" s="3897">
        <v>90944000</v>
      </c>
      <c r="E12" s="3895"/>
      <c r="F12" s="3942">
        <f t="shared" si="2"/>
        <v>90944000</v>
      </c>
      <c r="G12" s="3945">
        <f>+'4条支出'!E11</f>
        <v>59178010</v>
      </c>
      <c r="H12" s="3940">
        <v>21253100</v>
      </c>
      <c r="I12" s="3693">
        <f t="shared" si="3"/>
        <v>37924910</v>
      </c>
      <c r="J12" s="3940">
        <v>46750000</v>
      </c>
      <c r="K12" s="3904">
        <f t="shared" si="4"/>
        <v>84674910</v>
      </c>
      <c r="L12" s="3693">
        <f t="shared" si="5"/>
        <v>6269090</v>
      </c>
    </row>
    <row r="13" spans="1:12" ht="24" customHeight="1">
      <c r="A13" s="3688"/>
      <c r="B13" s="3688"/>
      <c r="C13" s="3694" t="s">
        <v>6814</v>
      </c>
      <c r="D13" s="3897">
        <v>12600000</v>
      </c>
      <c r="E13" s="3895">
        <v>0</v>
      </c>
      <c r="F13" s="3942">
        <f t="shared" si="2"/>
        <v>12600000</v>
      </c>
      <c r="G13" s="3945">
        <f>+'4条支出'!E15</f>
        <v>12600000</v>
      </c>
      <c r="H13" s="3940"/>
      <c r="I13" s="3693">
        <f t="shared" si="3"/>
        <v>12600000</v>
      </c>
      <c r="J13" s="3940"/>
      <c r="K13" s="3904">
        <f t="shared" si="4"/>
        <v>12600000</v>
      </c>
      <c r="L13" s="3693">
        <f t="shared" si="5"/>
        <v>0</v>
      </c>
    </row>
    <row r="14" spans="1:12" ht="24" customHeight="1">
      <c r="A14" s="3688"/>
      <c r="B14" s="3694"/>
      <c r="C14" s="3694" t="s">
        <v>6813</v>
      </c>
      <c r="D14" s="3897">
        <v>457259000</v>
      </c>
      <c r="E14" s="3895"/>
      <c r="F14" s="3942">
        <f t="shared" si="2"/>
        <v>457259000</v>
      </c>
      <c r="G14" s="3945">
        <f>+'4条支出'!E16</f>
        <v>688245424</v>
      </c>
      <c r="H14" s="3940">
        <v>395693500</v>
      </c>
      <c r="I14" s="3693">
        <f t="shared" si="3"/>
        <v>292551924</v>
      </c>
      <c r="J14" s="3940">
        <v>125671478</v>
      </c>
      <c r="K14" s="3904">
        <f t="shared" si="4"/>
        <v>418223402</v>
      </c>
      <c r="L14" s="3693">
        <f t="shared" si="5"/>
        <v>39035598</v>
      </c>
    </row>
    <row r="15" spans="1:12" ht="24" customHeight="1">
      <c r="A15" s="3688"/>
      <c r="B15" s="3857" t="s">
        <v>6812</v>
      </c>
      <c r="C15" s="3880"/>
      <c r="D15" s="3693">
        <f t="shared" ref="D15:K15" si="6">D16</f>
        <v>44621423000</v>
      </c>
      <c r="E15" s="3914">
        <f t="shared" si="6"/>
        <v>0</v>
      </c>
      <c r="F15" s="3942">
        <f t="shared" si="6"/>
        <v>44621423000</v>
      </c>
      <c r="G15" s="3904">
        <f t="shared" si="6"/>
        <v>44621240467</v>
      </c>
      <c r="H15" s="3943">
        <f t="shared" si="6"/>
        <v>0</v>
      </c>
      <c r="I15" s="3693">
        <f t="shared" si="6"/>
        <v>44621240467</v>
      </c>
      <c r="J15" s="3946">
        <f t="shared" si="6"/>
        <v>0</v>
      </c>
      <c r="K15" s="3904">
        <f t="shared" si="6"/>
        <v>44621240467</v>
      </c>
      <c r="L15" s="3693">
        <f t="shared" si="5"/>
        <v>182533</v>
      </c>
    </row>
    <row r="16" spans="1:12" ht="24" customHeight="1">
      <c r="A16" s="3688"/>
      <c r="B16" s="3694"/>
      <c r="C16" s="3694" t="s">
        <v>6811</v>
      </c>
      <c r="D16" s="3897">
        <v>44621423000</v>
      </c>
      <c r="E16" s="3895">
        <v>0</v>
      </c>
      <c r="F16" s="3942">
        <f>D16+E16</f>
        <v>44621423000</v>
      </c>
      <c r="G16" s="3945">
        <f>+'4条支出'!E21</f>
        <v>44621240467</v>
      </c>
      <c r="H16" s="3940">
        <v>0</v>
      </c>
      <c r="I16" s="3693">
        <f>G16-H16</f>
        <v>44621240467</v>
      </c>
      <c r="J16" s="3940">
        <v>0</v>
      </c>
      <c r="K16" s="3904">
        <f>G16+J16-H16</f>
        <v>44621240467</v>
      </c>
      <c r="L16" s="3693">
        <f t="shared" si="5"/>
        <v>182533</v>
      </c>
    </row>
    <row r="17" spans="1:12" ht="24" customHeight="1">
      <c r="A17" s="3688"/>
      <c r="B17" s="3857" t="s">
        <v>6716</v>
      </c>
      <c r="C17" s="3880"/>
      <c r="D17" s="3693">
        <f t="shared" ref="D17:L17" si="7">SUM(D18:D20)</f>
        <v>10287000</v>
      </c>
      <c r="E17" s="3914">
        <f t="shared" si="7"/>
        <v>0</v>
      </c>
      <c r="F17" s="3942">
        <f t="shared" si="7"/>
        <v>10287000</v>
      </c>
      <c r="G17" s="3904">
        <f t="shared" si="7"/>
        <v>4182000</v>
      </c>
      <c r="H17" s="3943">
        <f t="shared" si="7"/>
        <v>0</v>
      </c>
      <c r="I17" s="3693">
        <f t="shared" si="7"/>
        <v>4182000</v>
      </c>
      <c r="J17" s="3943">
        <f t="shared" si="7"/>
        <v>0</v>
      </c>
      <c r="K17" s="3904">
        <f t="shared" si="7"/>
        <v>4182000</v>
      </c>
      <c r="L17" s="3693">
        <f t="shared" si="7"/>
        <v>6105000</v>
      </c>
    </row>
    <row r="18" spans="1:12" ht="24" customHeight="1">
      <c r="A18" s="3688"/>
      <c r="B18" s="3688"/>
      <c r="C18" s="3694" t="s">
        <v>6636</v>
      </c>
      <c r="D18" s="3897">
        <v>8096000</v>
      </c>
      <c r="E18" s="3895">
        <v>0</v>
      </c>
      <c r="F18" s="3942">
        <f>D18+E18</f>
        <v>8096000</v>
      </c>
      <c r="G18" s="3945">
        <f>+'4条支出'!E24</f>
        <v>3759000</v>
      </c>
      <c r="H18" s="3940">
        <v>0</v>
      </c>
      <c r="I18" s="3693">
        <f>G18-H18</f>
        <v>3759000</v>
      </c>
      <c r="J18" s="3940">
        <v>0</v>
      </c>
      <c r="K18" s="3904">
        <f>G18+J18-H18</f>
        <v>3759000</v>
      </c>
      <c r="L18" s="3693">
        <f>F18-K18</f>
        <v>4337000</v>
      </c>
    </row>
    <row r="19" spans="1:12" ht="24" customHeight="1">
      <c r="A19" s="3688"/>
      <c r="B19" s="3688"/>
      <c r="C19" s="3694" t="s">
        <v>6810</v>
      </c>
      <c r="D19" s="3897">
        <v>0</v>
      </c>
      <c r="E19" s="3895">
        <v>0</v>
      </c>
      <c r="F19" s="3942">
        <f>D19+E19</f>
        <v>0</v>
      </c>
      <c r="G19" s="3945">
        <f>+'4条支出'!E25</f>
        <v>0</v>
      </c>
      <c r="H19" s="3940"/>
      <c r="I19" s="3693">
        <f>G19-H19</f>
        <v>0</v>
      </c>
      <c r="J19" s="3940"/>
      <c r="K19" s="3904">
        <f>G19+J19-H19</f>
        <v>0</v>
      </c>
      <c r="L19" s="3693">
        <f>F19-K19</f>
        <v>0</v>
      </c>
    </row>
    <row r="20" spans="1:12" ht="24" customHeight="1" thickBot="1">
      <c r="A20" s="3694"/>
      <c r="B20" s="3694"/>
      <c r="C20" s="3694" t="s">
        <v>6809</v>
      </c>
      <c r="D20" s="3897">
        <v>2191000</v>
      </c>
      <c r="E20" s="3895">
        <v>0</v>
      </c>
      <c r="F20" s="3942">
        <f>D20+E20</f>
        <v>2191000</v>
      </c>
      <c r="G20" s="3944">
        <f>+'4条支出'!E26</f>
        <v>423000</v>
      </c>
      <c r="H20" s="3940">
        <v>0</v>
      </c>
      <c r="I20" s="3693">
        <f>G20-H20</f>
        <v>423000</v>
      </c>
      <c r="J20" s="3940">
        <v>0</v>
      </c>
      <c r="K20" s="3909">
        <f>G20+J20-H20</f>
        <v>423000</v>
      </c>
      <c r="L20" s="3693">
        <f>F20-K20</f>
        <v>1768000</v>
      </c>
    </row>
    <row r="21" spans="1:12" ht="24" hidden="1" customHeight="1">
      <c r="A21" s="3688"/>
      <c r="B21" s="3857" t="s">
        <v>6808</v>
      </c>
      <c r="C21" s="3880"/>
      <c r="D21" s="3693">
        <f t="shared" ref="D21:K21" si="8">D22</f>
        <v>0</v>
      </c>
      <c r="E21" s="3914">
        <f t="shared" si="8"/>
        <v>0</v>
      </c>
      <c r="F21" s="3942">
        <f t="shared" si="8"/>
        <v>0</v>
      </c>
      <c r="G21" s="3904">
        <f t="shared" si="8"/>
        <v>0</v>
      </c>
      <c r="H21" s="3943">
        <f t="shared" si="8"/>
        <v>0</v>
      </c>
      <c r="I21" s="3693">
        <f t="shared" si="8"/>
        <v>0</v>
      </c>
      <c r="J21" s="3943">
        <f t="shared" si="8"/>
        <v>0</v>
      </c>
      <c r="K21" s="3904">
        <f t="shared" si="8"/>
        <v>0</v>
      </c>
      <c r="L21" s="3693">
        <f>F21-K21</f>
        <v>0</v>
      </c>
    </row>
    <row r="22" spans="1:12" ht="24" hidden="1" customHeight="1" thickBot="1">
      <c r="A22" s="3694"/>
      <c r="B22" s="3694"/>
      <c r="C22" s="3694" t="s">
        <v>6807</v>
      </c>
      <c r="D22" s="3897">
        <v>0</v>
      </c>
      <c r="E22" s="3895">
        <v>0</v>
      </c>
      <c r="F22" s="3942">
        <f>D22+E22</f>
        <v>0</v>
      </c>
      <c r="G22" s="3941">
        <f>+'4条支出'!E28</f>
        <v>0</v>
      </c>
      <c r="H22" s="3940">
        <v>0</v>
      </c>
      <c r="I22" s="3693">
        <f>G22-H22</f>
        <v>0</v>
      </c>
      <c r="J22" s="3940">
        <v>0</v>
      </c>
      <c r="K22" s="3894">
        <f>G22+J22-H22</f>
        <v>0</v>
      </c>
      <c r="L22" s="3693">
        <f>F22-K22</f>
        <v>0</v>
      </c>
    </row>
    <row r="23" spans="1:12" ht="24" customHeight="1"/>
    <row r="24" spans="1:12" ht="24" customHeight="1"/>
    <row r="25" spans="1:12" ht="24" customHeight="1"/>
    <row r="26" spans="1:12" ht="24" customHeight="1">
      <c r="J26" s="4994"/>
    </row>
    <row r="27" spans="1:12" ht="24" customHeight="1">
      <c r="J27" s="4995"/>
    </row>
    <row r="28" spans="1:12" ht="24" customHeight="1"/>
    <row r="29" spans="1:12" ht="24" customHeight="1"/>
    <row r="30" spans="1:12" ht="24" customHeight="1"/>
  </sheetData>
  <mergeCells count="4">
    <mergeCell ref="A4:C4"/>
    <mergeCell ref="A3:C3"/>
    <mergeCell ref="C1:E1"/>
    <mergeCell ref="J26:J27"/>
  </mergeCells>
  <phoneticPr fontId="3"/>
  <pageMargins left="0.39370078740157483" right="0.39370078740157483" top="0.78740157480314965" bottom="0.19685039370078741" header="0.19685039370078741" footer="0.19685039370078741"/>
  <pageSetup paperSize="9" orientation="landscape" blackAndWhite="1" r:id="rId1"/>
  <headerFooter alignWithMargins="0"/>
  <drawing r:id="rId2"/>
  <legacyDrawing r:id="rId3"/>
</worksheet>
</file>

<file path=xl/worksheets/w8_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U52"/>
  <sheetViews>
    <sheetView view="pageBreakPreview" zoomScale="75" zoomScaleNormal="90" zoomScaleSheetLayoutView="75" workbookViewId="0">
      <pane ySplit="4" topLeftCell="A5" activePane="bottomLeft" state="frozen"/>
      <selection activeCell="E7" sqref="E7"/>
      <selection pane="bottomLeft" activeCell="A5" sqref="A5"/>
    </sheetView>
  </sheetViews>
  <sheetFormatPr defaultColWidth="9" defaultRowHeight="13.5"/>
  <cols>
    <col min="1" max="1" width="3.875" style="5202" customWidth="1"/>
    <col min="2" max="2" width="7.25" style="5204" customWidth="1"/>
    <col min="3" max="3" width="11.125" style="5204" customWidth="1"/>
    <col min="4" max="4" width="11" style="5202" customWidth="1"/>
    <col min="5" max="5" width="4.375" style="5202" customWidth="1"/>
    <col min="6" max="6" width="4.5" style="5204" customWidth="1"/>
    <col min="7" max="7" width="18.375" style="5204" bestFit="1" customWidth="1"/>
    <col min="8" max="8" width="7.25" style="5202" customWidth="1"/>
    <col min="9" max="9" width="4" style="5202" customWidth="1"/>
    <col min="10" max="10" width="4.375" style="5202" customWidth="1"/>
    <col min="11" max="11" width="2.75" style="5202" customWidth="1"/>
    <col min="12" max="12" width="2.25" style="5204" customWidth="1"/>
    <col min="13" max="13" width="21" style="5205" customWidth="1"/>
    <col min="14" max="14" width="13.25" style="5202" customWidth="1"/>
    <col min="15" max="15" width="4" style="5202" customWidth="1"/>
    <col min="16" max="16" width="2.625" style="5204" customWidth="1"/>
    <col min="17" max="17" width="22.25" style="5204" customWidth="1"/>
    <col min="18" max="18" width="3" style="5202" bestFit="1" customWidth="1"/>
    <col min="19" max="16384" width="9" style="5202"/>
  </cols>
  <sheetData>
    <row r="1" spans="1:18" ht="30.75" customHeight="1">
      <c r="B1" s="5203" t="str">
        <f>+CONCATENATE(LEFT('3条支出'!$D$1,5),"決算における一般会計出資金のしくみ")</f>
        <v>令和５年度決算における一般会計出資金のしくみ</v>
      </c>
      <c r="C1" s="5203"/>
      <c r="D1" s="5203"/>
      <c r="E1" s="5203"/>
      <c r="F1" s="5203"/>
      <c r="G1" s="5203"/>
      <c r="H1" s="5203"/>
      <c r="I1" s="5203"/>
      <c r="J1" s="5203"/>
      <c r="K1" s="5203"/>
      <c r="L1" s="5203"/>
      <c r="M1" s="5203"/>
      <c r="N1" s="5203"/>
      <c r="O1" s="5203"/>
      <c r="P1" s="5203"/>
      <c r="Q1" s="5203"/>
    </row>
    <row r="2" spans="1:18" ht="18.75" customHeight="1">
      <c r="B2" s="5202"/>
      <c r="Q2" s="5206" t="s">
        <v>6870</v>
      </c>
      <c r="R2" s="5206"/>
    </row>
    <row r="3" spans="1:18" ht="14.25">
      <c r="B3" s="5207" t="s">
        <v>6869</v>
      </c>
      <c r="L3" s="5207" t="s">
        <v>6868</v>
      </c>
    </row>
    <row r="4" spans="1:18">
      <c r="B4" s="5204" t="s">
        <v>6867</v>
      </c>
      <c r="F4" s="5204" t="s">
        <v>6866</v>
      </c>
      <c r="L4" s="5204" t="s">
        <v>6867</v>
      </c>
      <c r="P4" s="5204" t="s">
        <v>6866</v>
      </c>
    </row>
    <row r="5" spans="1:18">
      <c r="A5" s="5208"/>
      <c r="B5" s="5209"/>
      <c r="C5" s="5209"/>
      <c r="D5" s="5210"/>
      <c r="E5" s="5211"/>
      <c r="F5" s="5209"/>
      <c r="G5" s="5209"/>
      <c r="H5" s="5210"/>
      <c r="K5" s="5208"/>
      <c r="L5" s="5209"/>
      <c r="M5" s="5212"/>
      <c r="N5" s="5210"/>
      <c r="O5" s="5211"/>
      <c r="P5" s="5209"/>
      <c r="Q5" s="5209"/>
      <c r="R5" s="5210"/>
    </row>
    <row r="6" spans="1:18">
      <c r="A6" s="5213"/>
      <c r="D6" s="5214"/>
      <c r="H6" s="5214"/>
      <c r="K6" s="5213"/>
      <c r="L6" s="5204" t="s">
        <v>6865</v>
      </c>
      <c r="N6" s="5214"/>
      <c r="R6" s="5214"/>
    </row>
    <row r="7" spans="1:18">
      <c r="A7" s="5213"/>
      <c r="D7" s="5214"/>
      <c r="F7" s="5204" t="s">
        <v>6864</v>
      </c>
      <c r="H7" s="5214"/>
      <c r="K7" s="5213"/>
      <c r="L7" s="5215">
        <f>+'(繰)4条収入'!M6</f>
        <v>32352700000</v>
      </c>
      <c r="M7" s="5215"/>
      <c r="N7" s="5214"/>
      <c r="R7" s="5214"/>
    </row>
    <row r="8" spans="1:18">
      <c r="A8" s="5213"/>
      <c r="D8" s="5214"/>
      <c r="F8" s="5216">
        <f>+雨汚水!AD47</f>
        <v>11030037961</v>
      </c>
      <c r="G8" s="5216"/>
      <c r="H8" s="5214"/>
      <c r="K8" s="5213"/>
      <c r="M8" s="5205" t="s">
        <v>6861</v>
      </c>
      <c r="N8" s="5214"/>
      <c r="R8" s="5214"/>
    </row>
    <row r="9" spans="1:18">
      <c r="A9" s="5213"/>
      <c r="B9" s="5204" t="s">
        <v>6752</v>
      </c>
      <c r="D9" s="5214"/>
      <c r="F9" s="5202"/>
      <c r="G9" s="5202"/>
      <c r="H9" s="5214"/>
      <c r="K9" s="5213"/>
      <c r="M9" s="5217">
        <f>+L7-M11</f>
        <v>27125900000</v>
      </c>
      <c r="N9" s="5214"/>
      <c r="R9" s="5214"/>
    </row>
    <row r="10" spans="1:18">
      <c r="A10" s="5213"/>
      <c r="B10" s="5218">
        <f>+'3条収入'!AI8</f>
        <v>18626337467</v>
      </c>
      <c r="C10" s="5218"/>
      <c r="D10" s="5214"/>
      <c r="E10" s="5219"/>
      <c r="F10" s="5220"/>
      <c r="G10" s="5220"/>
      <c r="H10" s="5221"/>
      <c r="K10" s="5213"/>
      <c r="M10" s="5205" t="s">
        <v>6860</v>
      </c>
      <c r="N10" s="5214"/>
      <c r="R10" s="5214"/>
    </row>
    <row r="11" spans="1:18">
      <c r="A11" s="5213"/>
      <c r="D11" s="5214"/>
      <c r="H11" s="5214"/>
      <c r="K11" s="5213"/>
      <c r="M11" s="5222">
        <f>+'(繰)4条収入'!L6</f>
        <v>5226800000</v>
      </c>
      <c r="N11" s="5214"/>
      <c r="R11" s="5214"/>
    </row>
    <row r="12" spans="1:18">
      <c r="A12" s="5213"/>
      <c r="D12" s="5214"/>
      <c r="H12" s="5214"/>
      <c r="K12" s="5213"/>
      <c r="N12" s="5214"/>
      <c r="R12" s="5214"/>
    </row>
    <row r="13" spans="1:18">
      <c r="A13" s="5213"/>
      <c r="D13" s="5214"/>
      <c r="F13" s="5204" t="s">
        <v>6863</v>
      </c>
      <c r="H13" s="5214"/>
      <c r="K13" s="5223"/>
      <c r="L13" s="5224" t="s">
        <v>6776</v>
      </c>
      <c r="M13" s="5225"/>
      <c r="N13" s="5226"/>
      <c r="P13" s="5204" t="s">
        <v>6821</v>
      </c>
      <c r="R13" s="5214"/>
    </row>
    <row r="14" spans="1:18">
      <c r="A14" s="5219"/>
      <c r="B14" s="5227"/>
      <c r="C14" s="5227"/>
      <c r="D14" s="5221"/>
      <c r="F14" s="5216">
        <f>+雨汚水!AD48</f>
        <v>30998096974</v>
      </c>
      <c r="G14" s="5216"/>
      <c r="H14" s="5214"/>
      <c r="K14" s="5213"/>
      <c r="L14" s="5215">
        <f>+'(繰)4条収入'!M16</f>
        <v>5766273739</v>
      </c>
      <c r="M14" s="5215"/>
      <c r="N14" s="5214"/>
      <c r="P14" s="5215">
        <f>+'(繰)4条支出 '!K6</f>
        <v>17227475466</v>
      </c>
      <c r="Q14" s="5215"/>
      <c r="R14" s="5214"/>
    </row>
    <row r="15" spans="1:18">
      <c r="A15" s="5213"/>
      <c r="B15" s="5204" t="s">
        <v>6862</v>
      </c>
      <c r="D15" s="5214"/>
      <c r="H15" s="5214"/>
      <c r="K15" s="5213"/>
      <c r="M15" s="5205" t="s">
        <v>6861</v>
      </c>
      <c r="N15" s="5214"/>
      <c r="Q15" s="5204" t="s">
        <v>6861</v>
      </c>
      <c r="R15" s="5214"/>
    </row>
    <row r="16" spans="1:18">
      <c r="A16" s="5213"/>
      <c r="B16" s="5218">
        <f>+'3条収入'!AI32</f>
        <v>0</v>
      </c>
      <c r="C16" s="5218"/>
      <c r="D16" s="5214"/>
      <c r="E16" s="5219"/>
      <c r="F16" s="5227"/>
      <c r="G16" s="5227"/>
      <c r="H16" s="5221"/>
      <c r="K16" s="5213"/>
      <c r="M16" s="5204">
        <f>+L14-M18</f>
        <v>2543788000</v>
      </c>
      <c r="N16" s="5214"/>
      <c r="Q16" s="5204">
        <f>P14-Q18</f>
        <v>8001631367</v>
      </c>
      <c r="R16" s="5214"/>
    </row>
    <row r="17" spans="1:18">
      <c r="A17" s="5219"/>
      <c r="B17" s="5227"/>
      <c r="C17" s="5227"/>
      <c r="D17" s="5221"/>
      <c r="H17" s="5214"/>
      <c r="K17" s="5213"/>
      <c r="M17" s="5205" t="s">
        <v>6860</v>
      </c>
      <c r="N17" s="5214"/>
      <c r="Q17" s="5204" t="s">
        <v>6860</v>
      </c>
      <c r="R17" s="5214"/>
    </row>
    <row r="18" spans="1:18">
      <c r="A18" s="5213"/>
      <c r="D18" s="5214"/>
      <c r="H18" s="5214"/>
      <c r="K18" s="5219"/>
      <c r="L18" s="5227"/>
      <c r="M18" s="5228">
        <f>+'(繰)4条収入'!L16</f>
        <v>3222485739</v>
      </c>
      <c r="N18" s="5221"/>
      <c r="Q18" s="5229">
        <f>+'(繰)4条支出 '!J6</f>
        <v>9225844099</v>
      </c>
      <c r="R18" s="5214"/>
    </row>
    <row r="19" spans="1:18">
      <c r="A19" s="5213"/>
      <c r="B19" s="5204" t="s">
        <v>6745</v>
      </c>
      <c r="D19" s="5214"/>
      <c r="H19" s="5214"/>
      <c r="K19" s="5213"/>
      <c r="L19" s="5204" t="s">
        <v>6842</v>
      </c>
      <c r="N19" s="5214"/>
      <c r="R19" s="5214"/>
    </row>
    <row r="20" spans="1:18">
      <c r="A20" s="5213"/>
      <c r="B20" s="5218">
        <f>+'3条収入'!AI39</f>
        <v>50128048</v>
      </c>
      <c r="C20" s="5218"/>
      <c r="D20" s="5214"/>
      <c r="F20" s="5202"/>
      <c r="G20" s="5202"/>
      <c r="H20" s="5214"/>
      <c r="K20" s="5213"/>
      <c r="L20" s="5206">
        <f>M22+M24</f>
        <v>838612590</v>
      </c>
      <c r="M20" s="5206"/>
      <c r="N20" s="5214"/>
      <c r="R20" s="5214"/>
    </row>
    <row r="21" spans="1:18">
      <c r="A21" s="5219"/>
      <c r="B21" s="5227"/>
      <c r="C21" s="5227"/>
      <c r="D21" s="5221"/>
      <c r="F21" s="5202"/>
      <c r="G21" s="5202"/>
      <c r="H21" s="5214"/>
      <c r="K21" s="5213"/>
      <c r="M21" s="5205" t="s">
        <v>6861</v>
      </c>
      <c r="N21" s="5214"/>
      <c r="R21" s="5214"/>
    </row>
    <row r="22" spans="1:18">
      <c r="A22" s="5213"/>
      <c r="D22" s="5214"/>
      <c r="H22" s="5214"/>
      <c r="K22" s="5213"/>
      <c r="M22" s="5229">
        <f>(+SUM('(繰)4条収入'!M20,'(繰)4条収入'!M22,'(繰)4条収入'!M29,'(繰)4条収入'!M30))-M24</f>
        <v>648612590</v>
      </c>
      <c r="N22" s="5214"/>
      <c r="O22" s="5213"/>
      <c r="R22" s="5214"/>
    </row>
    <row r="23" spans="1:18">
      <c r="A23" s="5213"/>
      <c r="D23" s="5214"/>
      <c r="H23" s="5214"/>
      <c r="K23" s="5213"/>
      <c r="M23" s="5205" t="s">
        <v>6860</v>
      </c>
      <c r="N23" s="5214"/>
      <c r="O23" s="5213"/>
      <c r="R23" s="5214"/>
    </row>
    <row r="24" spans="1:18">
      <c r="A24" s="5213"/>
      <c r="D24" s="5214"/>
      <c r="H24" s="5214"/>
      <c r="K24" s="5213"/>
      <c r="M24" s="5229">
        <f>+SUM('(繰)4条収入'!L20,'(繰)4条収入'!L22,'(繰)4条収入'!L29,'(繰)4条収入'!L30)</f>
        <v>190000000</v>
      </c>
      <c r="N24" s="5214"/>
      <c r="R24" s="5214"/>
    </row>
    <row r="25" spans="1:18">
      <c r="A25" s="5213"/>
      <c r="D25" s="5214"/>
      <c r="H25" s="5214"/>
      <c r="K25" s="5213"/>
      <c r="N25" s="5214"/>
      <c r="R25" s="5214"/>
    </row>
    <row r="26" spans="1:18">
      <c r="A26" s="5213"/>
      <c r="D26" s="5214"/>
      <c r="H26" s="5214"/>
      <c r="K26" s="5213"/>
      <c r="N26" s="5214"/>
      <c r="R26" s="5214"/>
    </row>
    <row r="27" spans="1:18">
      <c r="A27" s="5213"/>
      <c r="D27" s="5214"/>
      <c r="F27" s="5230" t="s">
        <v>6859</v>
      </c>
      <c r="G27" s="5224"/>
      <c r="H27" s="5226"/>
      <c r="K27" s="5223"/>
      <c r="L27" s="5224" t="s">
        <v>6859</v>
      </c>
      <c r="M27" s="5225"/>
      <c r="N27" s="5226"/>
      <c r="R27" s="5214"/>
    </row>
    <row r="28" spans="1:18">
      <c r="A28" s="5213"/>
      <c r="D28" s="5214"/>
      <c r="F28" s="5231" t="s">
        <v>6858</v>
      </c>
      <c r="H28" s="5214"/>
      <c r="K28" s="5213"/>
      <c r="L28" s="5206">
        <f>M30+M32+M34+M36+M38+M40</f>
        <v>19609807053</v>
      </c>
      <c r="M28" s="5206"/>
      <c r="N28" s="5214"/>
      <c r="O28" s="5223"/>
      <c r="P28" s="5224"/>
      <c r="Q28" s="5224"/>
      <c r="R28" s="5226"/>
    </row>
    <row r="29" spans="1:18">
      <c r="A29" s="5213"/>
      <c r="D29" s="5214"/>
      <c r="E29" s="5232"/>
      <c r="F29" s="5233">
        <f>G34+G36+G38+G40</f>
        <v>17579830234</v>
      </c>
      <c r="G29" s="5206"/>
      <c r="H29" s="5214"/>
      <c r="K29" s="5213"/>
      <c r="M29" s="5205" t="s">
        <v>6857</v>
      </c>
      <c r="N29" s="5214"/>
      <c r="R29" s="5214"/>
    </row>
    <row r="30" spans="1:18">
      <c r="A30" s="5213"/>
      <c r="B30" s="5204" t="s">
        <v>6856</v>
      </c>
      <c r="D30" s="5214"/>
      <c r="F30" s="5234" t="s">
        <v>6855</v>
      </c>
      <c r="H30" s="5214"/>
      <c r="K30" s="5213"/>
      <c r="M30" s="5204">
        <f>+G42</f>
        <v>0</v>
      </c>
      <c r="N30" s="5214"/>
      <c r="O30" s="5213"/>
      <c r="R30" s="5214"/>
    </row>
    <row r="31" spans="1:18">
      <c r="A31" s="5213"/>
      <c r="B31" s="5218">
        <f>+'3条収入'!AI9</f>
        <v>14187102335</v>
      </c>
      <c r="C31" s="5218"/>
      <c r="D31" s="5214"/>
      <c r="F31" s="5231"/>
      <c r="G31" s="5235">
        <f>-F29-G42</f>
        <v>-17579830234</v>
      </c>
      <c r="H31" s="5214"/>
      <c r="K31" s="5213"/>
      <c r="M31" s="5205" t="s">
        <v>6854</v>
      </c>
      <c r="N31" s="5214"/>
      <c r="O31" s="5213"/>
      <c r="R31" s="5214"/>
    </row>
    <row r="32" spans="1:18">
      <c r="A32" s="5213"/>
      <c r="D32" s="5214"/>
      <c r="F32" s="5231"/>
      <c r="G32" s="5202"/>
      <c r="H32" s="5214"/>
      <c r="K32" s="5213"/>
      <c r="M32" s="5204">
        <f>+-G31</f>
        <v>17579830234</v>
      </c>
      <c r="N32" s="5214"/>
      <c r="R32" s="5214"/>
    </row>
    <row r="33" spans="1:21">
      <c r="A33" s="5213"/>
      <c r="D33" s="5214"/>
      <c r="F33" s="5231"/>
      <c r="G33" s="5204" t="s">
        <v>6709</v>
      </c>
      <c r="H33" s="5214"/>
      <c r="K33" s="5213"/>
      <c r="N33" s="5214"/>
      <c r="P33" s="5204" t="s">
        <v>6853</v>
      </c>
      <c r="R33" s="5214"/>
    </row>
    <row r="34" spans="1:21">
      <c r="A34" s="5213"/>
      <c r="D34" s="5214"/>
      <c r="F34" s="5231"/>
      <c r="G34" s="5236">
        <f>+雨汚水!E34</f>
        <v>26551442230</v>
      </c>
      <c r="H34" s="5214"/>
      <c r="K34" s="5213"/>
      <c r="M34" s="5204"/>
      <c r="N34" s="5214"/>
      <c r="P34" s="5215">
        <f>+'(繰)4条支出 '!K15</f>
        <v>44621240467</v>
      </c>
      <c r="Q34" s="5215"/>
      <c r="R34" s="5214"/>
    </row>
    <row r="35" spans="1:21">
      <c r="A35" s="5213"/>
      <c r="D35" s="5214"/>
      <c r="F35" s="5231"/>
      <c r="G35" s="5204" t="s">
        <v>6852</v>
      </c>
      <c r="H35" s="5214"/>
      <c r="K35" s="5213"/>
      <c r="M35" s="5205" t="s">
        <v>6851</v>
      </c>
      <c r="N35" s="5214"/>
      <c r="R35" s="5214"/>
    </row>
    <row r="36" spans="1:21">
      <c r="A36" s="5213"/>
      <c r="B36" s="5204" t="s">
        <v>6650</v>
      </c>
      <c r="D36" s="5214"/>
      <c r="F36" s="5231"/>
      <c r="G36" s="5236">
        <f>+雨汚水!E35+雨汚水!E42+雨汚水!E44+雨汚水!$E$28</f>
        <v>514077226</v>
      </c>
      <c r="H36" s="5214"/>
      <c r="K36" s="5213"/>
      <c r="M36" s="5237">
        <f>+-消費税!AF118</f>
        <v>923595698</v>
      </c>
      <c r="N36" s="5214"/>
      <c r="R36" s="5214"/>
    </row>
    <row r="37" spans="1:21">
      <c r="A37" s="5213"/>
      <c r="B37" s="5218">
        <f>+'3条収入'!AI42</f>
        <v>9203253</v>
      </c>
      <c r="C37" s="5218"/>
      <c r="D37" s="5214"/>
      <c r="F37" s="5231"/>
      <c r="G37" s="5204" t="s">
        <v>6850</v>
      </c>
      <c r="H37" s="5214"/>
      <c r="K37" s="5213"/>
      <c r="M37" s="5205" t="s">
        <v>6849</v>
      </c>
      <c r="N37" s="5214"/>
      <c r="R37" s="5214"/>
    </row>
    <row r="38" spans="1:21">
      <c r="A38" s="5213"/>
      <c r="D38" s="5214"/>
      <c r="F38" s="5231"/>
      <c r="G38" s="5238">
        <f>-(雨汚水!E85+雨汚水!E86+雨汚水!E93+雨汚水!E95)</f>
        <v>-9485689222</v>
      </c>
      <c r="H38" s="5214"/>
      <c r="K38" s="5213"/>
      <c r="M38" s="5204">
        <f>+'(繰)案'!E34</f>
        <v>1049566207</v>
      </c>
      <c r="N38" s="5214"/>
      <c r="R38" s="5214"/>
      <c r="U38" s="5204"/>
    </row>
    <row r="39" spans="1:21">
      <c r="A39" s="5213"/>
      <c r="D39" s="5214"/>
      <c r="F39" s="5231"/>
      <c r="G39" s="5204" t="s">
        <v>6848</v>
      </c>
      <c r="H39" s="5214"/>
      <c r="K39" s="5213"/>
      <c r="M39" s="5205" t="s">
        <v>6847</v>
      </c>
      <c r="N39" s="5214"/>
      <c r="R39" s="5214"/>
    </row>
    <row r="40" spans="1:21">
      <c r="A40" s="5213"/>
      <c r="D40" s="5214"/>
      <c r="F40" s="5231"/>
      <c r="G40" s="5239">
        <v>0</v>
      </c>
      <c r="H40" s="5214"/>
      <c r="K40" s="5219"/>
      <c r="L40" s="5227"/>
      <c r="M40" s="5227">
        <f>+'(繰)案'!E35</f>
        <v>56814914</v>
      </c>
      <c r="N40" s="5221"/>
      <c r="O40" s="5223"/>
      <c r="P40" s="5240"/>
      <c r="Q40" s="5240"/>
      <c r="R40" s="5226"/>
    </row>
    <row r="41" spans="1:21">
      <c r="A41" s="5213"/>
      <c r="D41" s="5214"/>
      <c r="F41" s="5231"/>
      <c r="G41" s="5241" t="s">
        <v>6846</v>
      </c>
      <c r="H41" s="5214"/>
      <c r="K41" s="5223"/>
      <c r="L41" s="5224"/>
      <c r="M41" s="5225"/>
      <c r="N41" s="5226"/>
      <c r="P41" s="5204" t="s">
        <v>6845</v>
      </c>
      <c r="R41" s="5214"/>
    </row>
    <row r="42" spans="1:21">
      <c r="A42" s="5213"/>
      <c r="D42" s="5214"/>
      <c r="F42" s="5231"/>
      <c r="G42" s="5242">
        <v>0</v>
      </c>
      <c r="H42" s="5214"/>
      <c r="K42" s="5213"/>
      <c r="L42" s="5204" t="s">
        <v>6844</v>
      </c>
      <c r="N42" s="5214"/>
      <c r="P42" s="5215">
        <f>+'(繰)4条支出 '!K17</f>
        <v>4182000</v>
      </c>
      <c r="Q42" s="5215"/>
      <c r="R42" s="5214"/>
    </row>
    <row r="43" spans="1:21">
      <c r="A43" s="5213"/>
      <c r="D43" s="5214"/>
      <c r="F43" s="5243"/>
      <c r="G43" s="5202"/>
      <c r="H43" s="5214"/>
      <c r="K43" s="5213"/>
      <c r="L43" s="5215">
        <f>+'(繰)4条収入'!M14</f>
        <v>3285504551</v>
      </c>
      <c r="M43" s="5215"/>
      <c r="N43" s="5214"/>
      <c r="O43" s="5219"/>
      <c r="P43" s="5244"/>
      <c r="Q43" s="5244"/>
      <c r="R43" s="5221"/>
    </row>
    <row r="44" spans="1:21">
      <c r="A44" s="5213"/>
      <c r="D44" s="5214"/>
      <c r="E44" s="5208"/>
      <c r="F44" s="5209" t="s">
        <v>6840</v>
      </c>
      <c r="G44" s="5209"/>
      <c r="H44" s="5210"/>
      <c r="K44" s="5213"/>
      <c r="N44" s="5214"/>
      <c r="O44" s="5223"/>
      <c r="P44" s="5240"/>
      <c r="Q44" s="5240"/>
      <c r="R44" s="5226"/>
    </row>
    <row r="45" spans="1:21" ht="14.25" thickBot="1">
      <c r="A45" s="5213"/>
      <c r="D45" s="5214"/>
      <c r="E45" s="5213"/>
      <c r="F45" s="5206">
        <f>F8+F14</f>
        <v>42028134935</v>
      </c>
      <c r="G45" s="5206"/>
      <c r="H45" s="5214"/>
      <c r="K45" s="5213"/>
      <c r="L45" s="5204" t="s">
        <v>6637</v>
      </c>
      <c r="N45" s="5214"/>
      <c r="P45" s="5204" t="s">
        <v>6843</v>
      </c>
      <c r="R45" s="5214"/>
    </row>
    <row r="46" spans="1:21" ht="14.25" thickTop="1">
      <c r="A46" s="5223"/>
      <c r="B46" s="5224" t="s">
        <v>6842</v>
      </c>
      <c r="C46" s="5224"/>
      <c r="D46" s="5245"/>
      <c r="E46" s="5246"/>
      <c r="F46" s="5247"/>
      <c r="G46" s="5247"/>
      <c r="H46" s="5248"/>
      <c r="K46" s="5213"/>
      <c r="M46" s="5229">
        <f>+'(繰)4条収入'!M28</f>
        <v>0</v>
      </c>
      <c r="N46" s="5214"/>
      <c r="P46" s="5215">
        <f>+'(繰)4条支出 '!K22</f>
        <v>0</v>
      </c>
      <c r="Q46" s="5215"/>
      <c r="R46" s="5214"/>
    </row>
    <row r="47" spans="1:21">
      <c r="A47" s="5213"/>
      <c r="B47" s="5218">
        <f>+'3条収入'!AI69-B10-B16-B20-B31-B37</f>
        <v>9699271031</v>
      </c>
      <c r="C47" s="5218"/>
      <c r="E47" s="5249"/>
      <c r="F47" s="5204" t="s">
        <v>6841</v>
      </c>
      <c r="H47" s="5250"/>
      <c r="K47" s="5213"/>
      <c r="N47" s="5214"/>
      <c r="R47" s="5214"/>
    </row>
    <row r="48" spans="1:21">
      <c r="A48" s="5208"/>
      <c r="B48" s="5209" t="s">
        <v>6840</v>
      </c>
      <c r="C48" s="5209"/>
      <c r="D48" s="5211"/>
      <c r="E48" s="5249"/>
      <c r="G48" s="5204">
        <f>B49-F45</f>
        <v>543907199</v>
      </c>
      <c r="H48" s="5250"/>
      <c r="K48" s="5208"/>
      <c r="L48" s="5209" t="s">
        <v>6840</v>
      </c>
      <c r="M48" s="5212"/>
      <c r="N48" s="5210"/>
      <c r="O48" s="5211"/>
      <c r="P48" s="5209" t="s">
        <v>6840</v>
      </c>
      <c r="Q48" s="5212"/>
      <c r="R48" s="5210"/>
    </row>
    <row r="49" spans="1:19" ht="14.25" thickBot="1">
      <c r="A49" s="5251"/>
      <c r="B49" s="5252">
        <f>B10+B16+B20+B31+B37+B47</f>
        <v>42572042134</v>
      </c>
      <c r="C49" s="5252"/>
      <c r="D49" s="5253"/>
      <c r="E49" s="5254"/>
      <c r="F49" s="5255"/>
      <c r="G49" s="5255"/>
      <c r="H49" s="5256"/>
      <c r="K49" s="5251"/>
      <c r="L49" s="5252">
        <f>L43+L28+L20+L14+L7+M46</f>
        <v>61852897933</v>
      </c>
      <c r="M49" s="5252"/>
      <c r="N49" s="5257"/>
      <c r="O49" s="5253"/>
      <c r="P49" s="5252">
        <f>P14+P34+P42+P46</f>
        <v>61852897933</v>
      </c>
      <c r="Q49" s="5252"/>
      <c r="R49" s="5257"/>
    </row>
    <row r="50" spans="1:19" ht="14.25" thickTop="1">
      <c r="K50" s="5202" t="s">
        <v>6839</v>
      </c>
    </row>
    <row r="51" spans="1:19" ht="21" customHeight="1">
      <c r="F51" s="5258" t="s">
        <v>6838</v>
      </c>
      <c r="G51" s="5259">
        <f>+'3条収入'!AI74</f>
        <v>543907199</v>
      </c>
      <c r="Q51" s="5258" t="s">
        <v>6837</v>
      </c>
      <c r="R51" s="5260">
        <f>L49-P49</f>
        <v>0</v>
      </c>
      <c r="S51" s="5261"/>
    </row>
    <row r="52" spans="1:19">
      <c r="G52" s="5262">
        <f>+G48-G51</f>
        <v>0</v>
      </c>
    </row>
  </sheetData>
  <mergeCells count="27">
    <mergeCell ref="B1:Q1"/>
    <mergeCell ref="B10:C10"/>
    <mergeCell ref="F8:G8"/>
    <mergeCell ref="F14:G14"/>
    <mergeCell ref="Q2:R2"/>
    <mergeCell ref="L7:M7"/>
    <mergeCell ref="L14:M14"/>
    <mergeCell ref="P14:Q14"/>
    <mergeCell ref="P42:Q42"/>
    <mergeCell ref="B37:C37"/>
    <mergeCell ref="L49:M49"/>
    <mergeCell ref="B31:C31"/>
    <mergeCell ref="B20:C20"/>
    <mergeCell ref="P46:Q46"/>
    <mergeCell ref="P49:Q49"/>
    <mergeCell ref="P40:Q40"/>
    <mergeCell ref="B49:C49"/>
    <mergeCell ref="F45:G45"/>
    <mergeCell ref="B47:C47"/>
    <mergeCell ref="P44:Q44"/>
    <mergeCell ref="L43:M43"/>
    <mergeCell ref="P43:Q43"/>
    <mergeCell ref="B16:C16"/>
    <mergeCell ref="L20:M20"/>
    <mergeCell ref="L28:M28"/>
    <mergeCell ref="F29:G29"/>
    <mergeCell ref="P34:Q34"/>
  </mergeCells>
  <phoneticPr fontId="3"/>
  <printOptions horizontalCentered="1"/>
  <pageMargins left="0.78740157480314965" right="0.78740157480314965" top="0.70866141732283472" bottom="0.39370078740157483" header="0.59055118110236227" footer="0.31496062992125984"/>
  <pageSetup paperSize="9" scale="80" orientation="landscape" blackAndWhite="1" r:id="rId1"/>
  <headerFooter alignWithMargins="0"/>
  <drawing r:id="rId2"/>
  <legacyDrawing r:id="rId3"/>
</worksheet>
</file>

<file path=xl/worksheets/w8_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52"/>
  <sheetViews>
    <sheetView showGridLines="0" view="pageBreakPreview" zoomScaleNormal="100" zoomScaleSheetLayoutView="100" workbookViewId="0"/>
  </sheetViews>
  <sheetFormatPr defaultColWidth="7.75" defaultRowHeight="12"/>
  <cols>
    <col min="1" max="3" width="1.5" style="4435" customWidth="1"/>
    <col min="4" max="4" width="17.25" style="4435" customWidth="1"/>
    <col min="5" max="7" width="12.5" style="4435" customWidth="1"/>
    <col min="8" max="8" width="12.75" style="4435" bestFit="1" customWidth="1" collapsed="1"/>
    <col min="9" max="9" width="7.625" style="4436" customWidth="1"/>
    <col min="10" max="10" width="12.75" style="4435" bestFit="1" customWidth="1"/>
    <col min="11" max="11" width="7.625" style="4436" customWidth="1"/>
    <col min="12" max="12" width="12.75" style="4436" bestFit="1" customWidth="1"/>
    <col min="13" max="14" width="7.625" style="4435" customWidth="1"/>
    <col min="15" max="15" width="2.375" style="4437" customWidth="1"/>
    <col min="16" max="16" width="14" style="4438" bestFit="1" customWidth="1"/>
    <col min="17" max="17" width="8.75" style="4438" bestFit="1" customWidth="1"/>
    <col min="18" max="18" width="11.375" style="4438" bestFit="1" customWidth="1"/>
    <col min="19" max="19" width="33.875" style="4439" customWidth="1"/>
    <col min="20" max="20" width="36.5" style="4435" bestFit="1" customWidth="1"/>
    <col min="21" max="21" width="2.125" style="4440" customWidth="1"/>
    <col min="22" max="22" width="17.625" style="4435" bestFit="1" customWidth="1"/>
    <col min="23" max="23" width="6.25" style="4435" customWidth="1"/>
    <col min="24" max="24" width="12" style="4435" customWidth="1"/>
    <col min="25" max="25" width="7.625" style="4435" bestFit="1" customWidth="1"/>
    <col min="26" max="16384" width="7.75" style="4435"/>
  </cols>
  <sheetData>
    <row r="1" spans="1:24">
      <c r="K1" s="4572" t="s">
        <v>7219</v>
      </c>
      <c r="L1" s="4572"/>
    </row>
    <row r="2" spans="1:24">
      <c r="K2" s="4572" t="s">
        <v>7186</v>
      </c>
      <c r="L2" s="4572"/>
    </row>
    <row r="3" spans="1:24" ht="24" customHeight="1" thickBot="1">
      <c r="A3" s="4565" t="str">
        <f>DBCS(TEXT(DATE($T$4,12,31),"[$-ja-JP]ggge年度下水道事業会計決算【速報】"))</f>
        <v>令和５年度下水道事業会計決算【速報】</v>
      </c>
      <c r="B3" s="4441"/>
      <c r="C3" s="4441"/>
      <c r="D3" s="4441"/>
      <c r="E3" s="4441"/>
      <c r="F3" s="4441"/>
      <c r="G3" s="4441"/>
      <c r="H3" s="4441"/>
      <c r="I3" s="4441"/>
      <c r="J3" s="4442"/>
      <c r="K3" s="4442"/>
      <c r="L3" s="4442"/>
    </row>
    <row r="4" spans="1:24" s="4443" customFormat="1" ht="18" customHeight="1" thickTop="1">
      <c r="A4" s="4566" t="s">
        <v>7220</v>
      </c>
      <c r="G4" s="4444"/>
      <c r="I4" s="4445"/>
      <c r="J4" s="4446"/>
      <c r="K4" s="4446"/>
      <c r="L4" s="4446"/>
      <c r="O4" s="4447"/>
      <c r="P4" s="4448"/>
      <c r="Q4" s="4448"/>
      <c r="R4" s="4448"/>
      <c r="S4" s="4449"/>
      <c r="T4" s="5061">
        <v>2023</v>
      </c>
      <c r="U4" s="4450"/>
    </row>
    <row r="5" spans="1:24" s="4443" customFormat="1" ht="18" customHeight="1" thickBot="1">
      <c r="A5" s="4566" t="s">
        <v>7137</v>
      </c>
      <c r="G5" s="4444"/>
      <c r="I5" s="4451"/>
      <c r="J5" s="4452"/>
      <c r="K5" s="4840" t="s">
        <v>7138</v>
      </c>
      <c r="L5" s="4840"/>
      <c r="O5" s="4447"/>
      <c r="P5" s="4448"/>
      <c r="Q5" s="4448"/>
      <c r="R5" s="4448"/>
      <c r="S5" s="4449"/>
      <c r="T5" s="5062"/>
      <c r="U5" s="4450"/>
    </row>
    <row r="6" spans="1:24" ht="16.5" customHeight="1" thickTop="1" thickBot="1">
      <c r="A6" s="5063" t="s">
        <v>6881</v>
      </c>
      <c r="B6" s="5064"/>
      <c r="C6" s="5064"/>
      <c r="D6" s="5065"/>
      <c r="E6" s="4454" t="str">
        <f>TEXT(DATE(T4,12,31),"[$-ja-JP]ggge年度")</f>
        <v>令和5年度</v>
      </c>
      <c r="F6" s="4455"/>
      <c r="G6" s="4456"/>
      <c r="H6" s="4457" t="s">
        <v>7139</v>
      </c>
      <c r="I6" s="4458"/>
      <c r="J6" s="4457"/>
      <c r="K6" s="4458"/>
      <c r="L6" s="4584"/>
      <c r="M6" s="4459"/>
      <c r="N6" s="4459"/>
    </row>
    <row r="7" spans="1:24" ht="16.5" customHeight="1" thickTop="1">
      <c r="A7" s="5066"/>
      <c r="B7" s="5067"/>
      <c r="C7" s="5067"/>
      <c r="D7" s="5068"/>
      <c r="E7" s="5072" t="s">
        <v>7176</v>
      </c>
      <c r="F7" s="5006" t="s">
        <v>7175</v>
      </c>
      <c r="G7" s="5008" t="s">
        <v>7189</v>
      </c>
      <c r="H7" s="5010" t="s">
        <v>7184</v>
      </c>
      <c r="I7" s="4460"/>
      <c r="J7" s="5010" t="s">
        <v>7185</v>
      </c>
      <c r="K7" s="4460"/>
      <c r="L7" s="4581"/>
      <c r="X7" s="5053" t="s">
        <v>7140</v>
      </c>
    </row>
    <row r="8" spans="1:24" ht="22.5" customHeight="1">
      <c r="A8" s="5069"/>
      <c r="B8" s="5070"/>
      <c r="C8" s="5070"/>
      <c r="D8" s="5071"/>
      <c r="E8" s="5073"/>
      <c r="F8" s="5007"/>
      <c r="G8" s="5009"/>
      <c r="H8" s="5011"/>
      <c r="I8" s="4461" t="s">
        <v>6885</v>
      </c>
      <c r="J8" s="5011"/>
      <c r="K8" s="4461" t="s">
        <v>6885</v>
      </c>
      <c r="L8" s="4581"/>
      <c r="P8" s="4438" t="s">
        <v>7177</v>
      </c>
      <c r="Q8" s="4438" t="s">
        <v>7178</v>
      </c>
      <c r="R8" s="4438" t="s">
        <v>7179</v>
      </c>
      <c r="S8" s="4439" t="s">
        <v>7180</v>
      </c>
      <c r="X8" s="5054"/>
    </row>
    <row r="9" spans="1:24" ht="21" customHeight="1">
      <c r="A9" s="5017" t="s">
        <v>6886</v>
      </c>
      <c r="B9" s="5018"/>
      <c r="C9" s="5018"/>
      <c r="D9" s="5019"/>
      <c r="E9" s="4462">
        <f>E10+E12+E13</f>
        <v>44975817</v>
      </c>
      <c r="F9" s="4462">
        <f>F10+F12+F13</f>
        <v>44165221</v>
      </c>
      <c r="G9" s="4463">
        <f>G10+G12+G13</f>
        <v>44454711</v>
      </c>
      <c r="H9" s="4464">
        <f t="shared" ref="H9:H18" si="0">G9-E9</f>
        <v>-521106</v>
      </c>
      <c r="I9" s="4465">
        <f t="shared" ref="I9:I18" si="1">IF(AND(E9=0,G9=0),"－ ",IF(E9=0,"皆増 ",IF(G9=0,"皆減 ",H9/E9)))</f>
        <v>-1.1586359843113023E-2</v>
      </c>
      <c r="J9" s="4464">
        <f t="shared" ref="J9:J18" si="2">G9-F9</f>
        <v>289490</v>
      </c>
      <c r="K9" s="4466">
        <f t="shared" ref="K9:K18" si="3">IF(AND(F9=0,G9=0),"－ ",IF(F9=0,"皆増 ",IF(G9=0,"皆減 ",J9/F9)))</f>
        <v>6.5547051151402594E-3</v>
      </c>
      <c r="L9" s="4582"/>
      <c r="M9" s="4467"/>
      <c r="N9" s="4467"/>
      <c r="O9" s="4567"/>
      <c r="P9" s="4468">
        <f t="shared" ref="P9:R9" si="4">P10+P12+P13</f>
        <v>44454711283</v>
      </c>
      <c r="Q9" s="4468">
        <f t="shared" si="4"/>
        <v>-1</v>
      </c>
      <c r="R9" s="4468">
        <f t="shared" si="4"/>
        <v>44454711</v>
      </c>
      <c r="X9" s="4839" t="s">
        <v>7141</v>
      </c>
    </row>
    <row r="10" spans="1:24" ht="21" customHeight="1">
      <c r="A10" s="4470"/>
      <c r="B10" s="5036" t="s">
        <v>6887</v>
      </c>
      <c r="C10" s="5037"/>
      <c r="D10" s="5038"/>
      <c r="E10" s="4471">
        <v>35444153</v>
      </c>
      <c r="F10" s="4471">
        <v>34582538</v>
      </c>
      <c r="G10" s="4472">
        <f t="shared" ref="G10:G18" si="5">R10</f>
        <v>34865912</v>
      </c>
      <c r="H10" s="4473">
        <f t="shared" si="0"/>
        <v>-578241</v>
      </c>
      <c r="I10" s="4474">
        <f t="shared" si="1"/>
        <v>-1.6314143548584726E-2</v>
      </c>
      <c r="J10" s="4473">
        <f t="shared" si="2"/>
        <v>283374</v>
      </c>
      <c r="K10" s="4474">
        <f t="shared" si="3"/>
        <v>8.1941354333218697E-3</v>
      </c>
      <c r="L10" s="4582"/>
      <c r="M10" s="4467"/>
      <c r="N10" s="4467"/>
      <c r="O10" s="4567"/>
      <c r="P10" s="4468">
        <f>'3条収入'!$E$27</f>
        <v>34865911732</v>
      </c>
      <c r="Q10" s="4475"/>
      <c r="R10" s="4468">
        <f t="shared" ref="R10:R13" si="6">ROUND(P10/1000,0)+Q10</f>
        <v>34865912</v>
      </c>
      <c r="X10" s="4476" t="s">
        <v>7142</v>
      </c>
    </row>
    <row r="11" spans="1:24" ht="21" customHeight="1">
      <c r="A11" s="4470"/>
      <c r="B11" s="4477"/>
      <c r="C11" s="5040" t="s">
        <v>7143</v>
      </c>
      <c r="D11" s="5041"/>
      <c r="E11" s="4478">
        <v>21384728</v>
      </c>
      <c r="F11" s="4478">
        <v>20441757</v>
      </c>
      <c r="G11" s="4479">
        <f t="shared" si="5"/>
        <v>20488963</v>
      </c>
      <c r="H11" s="4480">
        <f t="shared" si="0"/>
        <v>-895765</v>
      </c>
      <c r="I11" s="4481">
        <f t="shared" si="1"/>
        <v>-4.1888070776490587E-2</v>
      </c>
      <c r="J11" s="4480">
        <f t="shared" si="2"/>
        <v>47206</v>
      </c>
      <c r="K11" s="4481">
        <f t="shared" si="3"/>
        <v>2.3092926894689139E-3</v>
      </c>
      <c r="L11" s="4582"/>
      <c r="M11" s="4467"/>
      <c r="N11" s="4467"/>
      <c r="O11" s="4567"/>
      <c r="P11" s="4468">
        <f>'3条収入'!$E$7</f>
        <v>20488962528</v>
      </c>
      <c r="Q11" s="4475"/>
      <c r="R11" s="4468">
        <f t="shared" si="6"/>
        <v>20488963</v>
      </c>
      <c r="X11" s="4476" t="s">
        <v>7168</v>
      </c>
    </row>
    <row r="12" spans="1:24" ht="21" customHeight="1">
      <c r="A12" s="4470"/>
      <c r="B12" s="5039" t="s">
        <v>6896</v>
      </c>
      <c r="C12" s="5040"/>
      <c r="D12" s="5041"/>
      <c r="E12" s="4478">
        <v>9528788</v>
      </c>
      <c r="F12" s="4478">
        <v>9579686</v>
      </c>
      <c r="G12" s="4479">
        <f t="shared" si="5"/>
        <v>9584600</v>
      </c>
      <c r="H12" s="4480">
        <f t="shared" si="0"/>
        <v>55812</v>
      </c>
      <c r="I12" s="4481">
        <f t="shared" si="1"/>
        <v>5.8571982082086414E-3</v>
      </c>
      <c r="J12" s="4480">
        <f t="shared" si="2"/>
        <v>4914</v>
      </c>
      <c r="K12" s="4481">
        <f t="shared" si="3"/>
        <v>5.1296044567640314E-4</v>
      </c>
      <c r="L12" s="4582"/>
      <c r="M12" s="4467"/>
      <c r="N12" s="4467"/>
      <c r="O12" s="4567"/>
      <c r="P12" s="4468">
        <f>'3条収入'!$E$57</f>
        <v>9584600552</v>
      </c>
      <c r="Q12" s="4475">
        <v>-1</v>
      </c>
      <c r="R12" s="4468">
        <f t="shared" si="6"/>
        <v>9584600</v>
      </c>
      <c r="X12" s="4482" t="s">
        <v>7144</v>
      </c>
    </row>
    <row r="13" spans="1:24" ht="21" customHeight="1">
      <c r="A13" s="4483"/>
      <c r="B13" s="5044" t="s">
        <v>6903</v>
      </c>
      <c r="C13" s="5045"/>
      <c r="D13" s="5046"/>
      <c r="E13" s="4484">
        <v>2876</v>
      </c>
      <c r="F13" s="4484">
        <v>2997</v>
      </c>
      <c r="G13" s="4485">
        <f t="shared" si="5"/>
        <v>4199</v>
      </c>
      <c r="H13" s="4486">
        <f t="shared" si="0"/>
        <v>1323</v>
      </c>
      <c r="I13" s="4487">
        <f t="shared" si="1"/>
        <v>0.46001390820584143</v>
      </c>
      <c r="J13" s="4486">
        <f t="shared" si="2"/>
        <v>1202</v>
      </c>
      <c r="K13" s="4487">
        <f t="shared" si="3"/>
        <v>0.40106773440106774</v>
      </c>
      <c r="L13" s="4582"/>
      <c r="M13" s="4467"/>
      <c r="N13" s="4467"/>
      <c r="O13" s="4567"/>
      <c r="P13" s="4468">
        <f>'3条収入'!$E$68</f>
        <v>4198999</v>
      </c>
      <c r="Q13" s="4475"/>
      <c r="R13" s="4468">
        <f t="shared" si="6"/>
        <v>4199</v>
      </c>
    </row>
    <row r="14" spans="1:24" ht="21" customHeight="1">
      <c r="A14" s="5055" t="s">
        <v>6910</v>
      </c>
      <c r="B14" s="5056"/>
      <c r="C14" s="5056"/>
      <c r="D14" s="5057"/>
      <c r="E14" s="4462">
        <f>SUM(E15,E16,E17,E18)</f>
        <v>43953299</v>
      </c>
      <c r="F14" s="4462">
        <f>SUM(F15,F16,F17,F18)</f>
        <v>43109924</v>
      </c>
      <c r="G14" s="4463">
        <f>SUM(G15,G16,G17,G18)</f>
        <v>42987208</v>
      </c>
      <c r="H14" s="4488">
        <f t="shared" si="0"/>
        <v>-966091</v>
      </c>
      <c r="I14" s="4466">
        <f t="shared" si="1"/>
        <v>-2.1979942847975983E-2</v>
      </c>
      <c r="J14" s="4489">
        <f t="shared" si="2"/>
        <v>-122716</v>
      </c>
      <c r="K14" s="4466">
        <f t="shared" si="3"/>
        <v>-2.8465835383982585E-3</v>
      </c>
      <c r="L14" s="4582"/>
      <c r="M14" s="4467"/>
      <c r="N14" s="4467"/>
      <c r="O14" s="4568"/>
      <c r="P14" s="4468">
        <f t="shared" ref="P14:R14" si="7">SUM(P15:P18)</f>
        <v>42987208386</v>
      </c>
      <c r="Q14" s="4468">
        <f t="shared" si="7"/>
        <v>0</v>
      </c>
      <c r="R14" s="4468">
        <f t="shared" si="7"/>
        <v>42987208</v>
      </c>
      <c r="S14" s="4490"/>
      <c r="U14" s="4436"/>
    </row>
    <row r="15" spans="1:24" ht="21" customHeight="1">
      <c r="A15" s="4470"/>
      <c r="B15" s="5036" t="s">
        <v>6911</v>
      </c>
      <c r="C15" s="5037"/>
      <c r="D15" s="5058"/>
      <c r="E15" s="4471">
        <v>39325285</v>
      </c>
      <c r="F15" s="4471">
        <v>38869045</v>
      </c>
      <c r="G15" s="4472">
        <f t="shared" si="5"/>
        <v>38667489</v>
      </c>
      <c r="H15" s="4491">
        <f t="shared" si="0"/>
        <v>-657796</v>
      </c>
      <c r="I15" s="4474">
        <f t="shared" si="1"/>
        <v>-1.6727049784890306E-2</v>
      </c>
      <c r="J15" s="4492">
        <f t="shared" si="2"/>
        <v>-201556</v>
      </c>
      <c r="K15" s="4474">
        <f t="shared" si="3"/>
        <v>-5.1855145913669862E-3</v>
      </c>
      <c r="L15" s="4582"/>
      <c r="M15" s="4467"/>
      <c r="N15" s="4467"/>
      <c r="O15" s="4567"/>
      <c r="P15" s="4468">
        <f>'3条支出'!$E$5</f>
        <v>38667489041</v>
      </c>
      <c r="Q15" s="4475"/>
      <c r="R15" s="4468">
        <f t="shared" ref="R15:R18" si="8">ROUND(P15/1000,0)+Q15</f>
        <v>38667489</v>
      </c>
    </row>
    <row r="16" spans="1:24" ht="21" customHeight="1">
      <c r="A16" s="4470"/>
      <c r="B16" s="5039" t="s">
        <v>6925</v>
      </c>
      <c r="C16" s="5040"/>
      <c r="D16" s="5059"/>
      <c r="E16" s="4478">
        <v>4599725</v>
      </c>
      <c r="F16" s="4478">
        <f>4210270+8000</f>
        <v>4218270</v>
      </c>
      <c r="G16" s="4479">
        <f t="shared" si="5"/>
        <v>4298724</v>
      </c>
      <c r="H16" s="4493">
        <f t="shared" si="0"/>
        <v>-301001</v>
      </c>
      <c r="I16" s="4481">
        <f t="shared" si="1"/>
        <v>-6.5438912108876077E-2</v>
      </c>
      <c r="J16" s="4494">
        <f t="shared" si="2"/>
        <v>80454</v>
      </c>
      <c r="K16" s="4481">
        <f t="shared" si="3"/>
        <v>1.9072747832642293E-2</v>
      </c>
      <c r="L16" s="4582"/>
      <c r="M16" s="4467"/>
      <c r="N16" s="4467"/>
      <c r="O16" s="4567"/>
      <c r="P16" s="4468">
        <f>'3条支出'!$E$22+営外!$E$22</f>
        <v>4298724047</v>
      </c>
      <c r="Q16" s="4475"/>
      <c r="R16" s="4468">
        <f t="shared" si="8"/>
        <v>4298724</v>
      </c>
      <c r="S16" s="4495" t="s">
        <v>7182</v>
      </c>
    </row>
    <row r="17" spans="1:23" ht="21" customHeight="1">
      <c r="A17" s="4470"/>
      <c r="B17" s="5039" t="s">
        <v>6929</v>
      </c>
      <c r="C17" s="5040"/>
      <c r="D17" s="5059"/>
      <c r="E17" s="4478">
        <v>8289</v>
      </c>
      <c r="F17" s="4478">
        <f>22609</f>
        <v>22609</v>
      </c>
      <c r="G17" s="4479">
        <f t="shared" si="5"/>
        <v>20995</v>
      </c>
      <c r="H17" s="4493">
        <f t="shared" si="0"/>
        <v>12706</v>
      </c>
      <c r="I17" s="4481">
        <f t="shared" si="1"/>
        <v>1.5328748944384123</v>
      </c>
      <c r="J17" s="4494">
        <f t="shared" si="2"/>
        <v>-1614</v>
      </c>
      <c r="K17" s="4481">
        <f t="shared" si="3"/>
        <v>-7.1387500552877167E-2</v>
      </c>
      <c r="L17" s="4582"/>
      <c r="M17" s="4467"/>
      <c r="N17" s="4467"/>
      <c r="O17" s="4567"/>
      <c r="P17" s="4468">
        <f>'3条支出'!$E$27</f>
        <v>20995298</v>
      </c>
      <c r="Q17" s="4475"/>
      <c r="R17" s="4468">
        <f t="shared" si="8"/>
        <v>20995</v>
      </c>
    </row>
    <row r="18" spans="1:23" ht="21" customHeight="1">
      <c r="A18" s="4483"/>
      <c r="B18" s="5044" t="s">
        <v>6934</v>
      </c>
      <c r="C18" s="5045"/>
      <c r="D18" s="5060"/>
      <c r="E18" s="4484">
        <v>20000</v>
      </c>
      <c r="F18" s="4484">
        <v>0</v>
      </c>
      <c r="G18" s="4485">
        <f t="shared" si="5"/>
        <v>0</v>
      </c>
      <c r="H18" s="4496">
        <f t="shared" si="0"/>
        <v>-20000</v>
      </c>
      <c r="I18" s="4487" t="str">
        <f t="shared" si="1"/>
        <v xml:space="preserve">皆減 </v>
      </c>
      <c r="J18" s="4497">
        <f t="shared" si="2"/>
        <v>0</v>
      </c>
      <c r="K18" s="4487" t="str">
        <f t="shared" si="3"/>
        <v xml:space="preserve">－ </v>
      </c>
      <c r="L18" s="4582"/>
      <c r="M18" s="4467"/>
      <c r="N18" s="4467"/>
      <c r="O18" s="4567"/>
      <c r="P18" s="4475">
        <v>0</v>
      </c>
      <c r="Q18" s="4475"/>
      <c r="R18" s="4468">
        <f t="shared" si="8"/>
        <v>0</v>
      </c>
    </row>
    <row r="19" spans="1:23" ht="10.15" customHeight="1">
      <c r="A19" s="4467"/>
      <c r="B19" s="4467"/>
      <c r="C19" s="4467"/>
      <c r="D19" s="4498"/>
      <c r="E19" s="4499"/>
      <c r="F19" s="4499"/>
      <c r="G19" s="4500"/>
      <c r="H19" s="4501"/>
      <c r="I19" s="4502"/>
      <c r="J19" s="4503"/>
      <c r="K19" s="4504"/>
      <c r="L19" s="4504"/>
      <c r="M19" s="4467"/>
      <c r="N19" s="4467"/>
      <c r="O19" s="4567"/>
    </row>
    <row r="20" spans="1:23" ht="21" customHeight="1">
      <c r="A20" s="5050" t="s">
        <v>7145</v>
      </c>
      <c r="B20" s="5051"/>
      <c r="C20" s="5051"/>
      <c r="D20" s="5052"/>
      <c r="E20" s="4505">
        <f>E9-E14</f>
        <v>1022518</v>
      </c>
      <c r="F20" s="4505">
        <f>F9-F14</f>
        <v>1055297</v>
      </c>
      <c r="G20" s="4506">
        <f>G9-G14</f>
        <v>1467503</v>
      </c>
      <c r="H20" s="4507">
        <f>G20-E20</f>
        <v>444985</v>
      </c>
      <c r="I20" s="4508">
        <f>IF(AND(E20=0,G20=0),"－ ",IF(E20=0,"皆増 ",IF(G20=0,"皆減 ",H20/E20)))</f>
        <v>0.43518549306711474</v>
      </c>
      <c r="J20" s="4509">
        <f>G20-F20</f>
        <v>412206</v>
      </c>
      <c r="K20" s="4508">
        <f>IF(AND(F20=0,G20=0),"－ ",IF(F20=0,"皆増 ",IF(G20=0,"皆減 ",J20/F20)))</f>
        <v>0.39060662543340879</v>
      </c>
      <c r="L20" s="4582"/>
      <c r="M20" s="4467"/>
      <c r="N20" s="4467"/>
      <c r="O20" s="4567"/>
      <c r="P20" s="4475">
        <f t="shared" ref="P20:R20" si="9">P9-P14</f>
        <v>1467502897</v>
      </c>
      <c r="Q20" s="4475">
        <f t="shared" si="9"/>
        <v>-1</v>
      </c>
      <c r="R20" s="4468">
        <f t="shared" si="9"/>
        <v>1467503</v>
      </c>
    </row>
    <row r="21" spans="1:23">
      <c r="D21" s="4459"/>
      <c r="E21" s="4510"/>
      <c r="F21" s="4510"/>
      <c r="G21" s="4511"/>
      <c r="H21" s="4512"/>
      <c r="I21" s="4513"/>
      <c r="J21" s="4510"/>
      <c r="K21" s="4513"/>
      <c r="L21" s="4513"/>
      <c r="O21" s="4567"/>
      <c r="P21" s="4468">
        <f>消費税!$AF$118</f>
        <v>-923595698</v>
      </c>
      <c r="Q21" s="4475"/>
      <c r="R21" s="4468">
        <f t="shared" ref="R21:R22" si="10">ROUND(P21/1000,0)+Q21</f>
        <v>-923596</v>
      </c>
      <c r="S21" s="4439" t="s">
        <v>7181</v>
      </c>
      <c r="V21" s="4435" t="s">
        <v>7183</v>
      </c>
    </row>
    <row r="22" spans="1:23" ht="21" customHeight="1" thickBot="1">
      <c r="A22" s="5047" t="s">
        <v>7146</v>
      </c>
      <c r="B22" s="5048"/>
      <c r="C22" s="5048"/>
      <c r="D22" s="5049"/>
      <c r="E22" s="4505">
        <v>120300</v>
      </c>
      <c r="F22" s="4505">
        <v>87814</v>
      </c>
      <c r="G22" s="4514">
        <f>R22</f>
        <v>543907</v>
      </c>
      <c r="H22" s="4507">
        <f>G22-E22</f>
        <v>423607</v>
      </c>
      <c r="I22" s="4508">
        <f>IF(AND(E22=0,G22=0),"－ ",IF(E22=0,"皆増 ",IF(G22=0,"皆減 ",H22/E22)))</f>
        <v>3.5212551953449709</v>
      </c>
      <c r="J22" s="4509">
        <f>G22-F22</f>
        <v>456093</v>
      </c>
      <c r="K22" s="4508">
        <f>IF(AND(F22=0,G22=0),"－ ",IF(F22=0,"皆増 ",IF(G22=0,"皆減 ",J22/F22)))</f>
        <v>5.1938529163914637</v>
      </c>
      <c r="L22" s="4582"/>
      <c r="M22" s="4467"/>
      <c r="N22" s="4467"/>
      <c r="O22" s="4567"/>
      <c r="P22" s="4475">
        <f>SUM(P20:P21)</f>
        <v>543907199</v>
      </c>
      <c r="Q22" s="4475"/>
      <c r="R22" s="4468">
        <f t="shared" si="10"/>
        <v>543907</v>
      </c>
      <c r="T22" s="4435">
        <f>'(繰)案'!E13</f>
        <v>543907199</v>
      </c>
      <c r="V22" s="4435">
        <f>P22-T22</f>
        <v>0</v>
      </c>
    </row>
    <row r="23" spans="1:23" ht="12" customHeight="1" thickTop="1">
      <c r="D23" s="4459"/>
      <c r="H23" s="4440"/>
      <c r="O23" s="4567"/>
    </row>
    <row r="24" spans="1:23" s="4443" customFormat="1" ht="18" customHeight="1">
      <c r="A24" s="4566" t="s">
        <v>7147</v>
      </c>
      <c r="G24" s="4444"/>
      <c r="K24" s="4451"/>
      <c r="L24" s="4452"/>
      <c r="M24" s="4840" t="s">
        <v>7138</v>
      </c>
      <c r="N24" s="4840"/>
      <c r="O24" s="4569"/>
      <c r="P24" s="4515"/>
      <c r="Q24" s="4515"/>
      <c r="R24" s="4515"/>
      <c r="S24" s="4490"/>
      <c r="T24" s="4516"/>
      <c r="U24" s="4450"/>
    </row>
    <row r="25" spans="1:23" s="4517" customFormat="1" ht="16.5" customHeight="1" thickBot="1">
      <c r="A25" s="5027" t="s">
        <v>6881</v>
      </c>
      <c r="B25" s="5028"/>
      <c r="C25" s="5028"/>
      <c r="D25" s="5028"/>
      <c r="E25" s="4455" t="str">
        <f>E6</f>
        <v>令和5年度</v>
      </c>
      <c r="F25" s="4455"/>
      <c r="G25" s="4456"/>
      <c r="H25" s="4456"/>
      <c r="I25" s="4457" t="s">
        <v>7139</v>
      </c>
      <c r="J25" s="4457"/>
      <c r="K25" s="4458"/>
      <c r="L25" s="4457"/>
      <c r="M25" s="4458"/>
      <c r="N25" s="4583"/>
      <c r="O25" s="4569"/>
      <c r="P25" s="4515"/>
      <c r="Q25" s="4515"/>
      <c r="R25" s="4515"/>
      <c r="S25" s="4490"/>
    </row>
    <row r="26" spans="1:23" s="4517" customFormat="1" ht="16.5" customHeight="1" thickTop="1">
      <c r="A26" s="5029"/>
      <c r="B26" s="5030"/>
      <c r="C26" s="5030"/>
      <c r="D26" s="5030"/>
      <c r="E26" s="5015" t="s">
        <v>7192</v>
      </c>
      <c r="F26" s="5006" t="s">
        <v>7193</v>
      </c>
      <c r="G26" s="5008" t="str">
        <f>G$7</f>
        <v>決算
(c)</v>
      </c>
      <c r="H26" s="5042" t="s">
        <v>7205</v>
      </c>
      <c r="I26" s="4585" t="s">
        <v>7206</v>
      </c>
      <c r="J26" s="4585"/>
      <c r="K26" s="4586"/>
      <c r="L26" s="4601" t="s">
        <v>7207</v>
      </c>
      <c r="M26" s="4586"/>
      <c r="N26" s="4584"/>
      <c r="O26" s="4569"/>
      <c r="P26" s="4515"/>
      <c r="Q26" s="4515"/>
      <c r="R26" s="4515"/>
      <c r="S26" s="4490"/>
    </row>
    <row r="27" spans="1:23" s="4517" customFormat="1" ht="18.75" customHeight="1">
      <c r="A27" s="5031"/>
      <c r="B27" s="5032"/>
      <c r="C27" s="5032"/>
      <c r="D27" s="5032"/>
      <c r="E27" s="5016"/>
      <c r="F27" s="5007"/>
      <c r="G27" s="5009"/>
      <c r="H27" s="5043"/>
      <c r="I27" s="4589" t="s">
        <v>7191</v>
      </c>
      <c r="J27" s="4587"/>
      <c r="K27" s="4461" t="s">
        <v>6885</v>
      </c>
      <c r="L27" s="4588" t="s">
        <v>7190</v>
      </c>
      <c r="M27" s="4461" t="s">
        <v>6885</v>
      </c>
      <c r="N27" s="4581"/>
      <c r="O27" s="4567"/>
      <c r="P27" s="4438"/>
      <c r="Q27" s="4438"/>
      <c r="R27" s="4438"/>
      <c r="S27" s="4518"/>
      <c r="T27" s="4446" t="s">
        <v>7148</v>
      </c>
      <c r="U27" s="4446" t="s">
        <v>7149</v>
      </c>
      <c r="V27" s="4519"/>
      <c r="W27" s="5033" t="str">
        <f>IF(G9=ROUND((V27+V28)/1000,0),"OK","エラー")</f>
        <v>エラー</v>
      </c>
    </row>
    <row r="28" spans="1:23" s="4467" customFormat="1" ht="21" customHeight="1">
      <c r="A28" s="5017" t="s">
        <v>6944</v>
      </c>
      <c r="B28" s="5034"/>
      <c r="C28" s="5034"/>
      <c r="D28" s="5035"/>
      <c r="E28" s="4520">
        <f>SUM(E29:E31)</f>
        <v>51048450</v>
      </c>
      <c r="F28" s="4521">
        <f>SUM(F29:F31)</f>
        <v>50593733</v>
      </c>
      <c r="G28" s="4522">
        <f t="shared" ref="G28:H28" si="11">SUM(G29:G31)</f>
        <v>42025205</v>
      </c>
      <c r="H28" s="4595">
        <f t="shared" si="11"/>
        <v>8639286</v>
      </c>
      <c r="I28" s="4590"/>
      <c r="J28" s="4507">
        <f t="shared" ref="J28:J35" si="12">G28+H28-E28</f>
        <v>-383959</v>
      </c>
      <c r="K28" s="4508">
        <f t="shared" ref="K28:K35" si="13">IF(AND(E28=0,SUM(G28:H28)=0),"－ ",IF(E28=0,"皆増 ",IF(SUM(G28:H28)=0,"皆減 ",J28/E28)))</f>
        <v>-7.521462453806139E-3</v>
      </c>
      <c r="L28" s="4509">
        <f t="shared" ref="L28:L35" si="14">G28+H28-F28</f>
        <v>70758</v>
      </c>
      <c r="M28" s="4508">
        <f t="shared" ref="M28:M35" si="15">IF(AND(F28=0,SUM(G28:H28)=0),"－ ",IF(F28=0,"皆増 ",IF(SUM(G28:H28)=0,"皆減 ",L28/F28)))</f>
        <v>1.3985526626390664E-3</v>
      </c>
      <c r="N28" s="4582"/>
      <c r="O28" s="4570"/>
      <c r="P28" s="4468">
        <f t="shared" ref="P28" si="16">P29+P30+P31</f>
        <v>42025205141</v>
      </c>
      <c r="Q28" s="4468">
        <f>Q29+Q30+Q31</f>
        <v>0</v>
      </c>
      <c r="R28" s="4468">
        <f t="shared" ref="R28" si="17">R29+R30+R31</f>
        <v>42025205</v>
      </c>
      <c r="S28" s="4439"/>
      <c r="T28" s="4446" t="s">
        <v>7150</v>
      </c>
      <c r="U28" s="4443" t="s">
        <v>7169</v>
      </c>
      <c r="V28" s="4519"/>
      <c r="W28" s="5033"/>
    </row>
    <row r="29" spans="1:23" s="4467" customFormat="1" ht="21" customHeight="1">
      <c r="A29" s="4524"/>
      <c r="B29" s="5036" t="s">
        <v>6945</v>
      </c>
      <c r="C29" s="5037"/>
      <c r="D29" s="5038"/>
      <c r="E29" s="4525">
        <f>32505200+5247400</f>
        <v>37752600</v>
      </c>
      <c r="F29" s="4526">
        <f>32352700+5247400</f>
        <v>37600100</v>
      </c>
      <c r="G29" s="4527">
        <f t="shared" ref="G29:G35" si="18">R29</f>
        <v>32373300</v>
      </c>
      <c r="H29" s="4596">
        <v>5226800</v>
      </c>
      <c r="I29" s="4591"/>
      <c r="J29" s="4473">
        <f t="shared" si="12"/>
        <v>-152500</v>
      </c>
      <c r="K29" s="4474">
        <f t="shared" si="13"/>
        <v>-4.0394568850887092E-3</v>
      </c>
      <c r="L29" s="4528">
        <f t="shared" si="14"/>
        <v>0</v>
      </c>
      <c r="M29" s="4474">
        <f t="shared" si="15"/>
        <v>0</v>
      </c>
      <c r="N29" s="4582"/>
      <c r="O29" s="4570"/>
      <c r="P29" s="4468">
        <f>'4条収入'!$E$7</f>
        <v>32373300000</v>
      </c>
      <c r="Q29" s="4475"/>
      <c r="R29" s="4468">
        <f t="shared" ref="R29:R31" si="19">ROUND(P29/1000,0)+Q29</f>
        <v>32373300</v>
      </c>
      <c r="S29" s="4439"/>
      <c r="T29" s="4446" t="s">
        <v>7151</v>
      </c>
      <c r="U29" s="4443" t="s">
        <v>7170</v>
      </c>
      <c r="V29" s="4529"/>
      <c r="W29" s="5033" t="str">
        <f>IF(G14=ROUND((V29+V30)/1000,0),"OK","エラー")</f>
        <v>エラー</v>
      </c>
    </row>
    <row r="30" spans="1:23" s="4467" customFormat="1" ht="21" customHeight="1">
      <c r="A30" s="4524"/>
      <c r="B30" s="5039" t="s">
        <v>6955</v>
      </c>
      <c r="C30" s="5040"/>
      <c r="D30" s="5041"/>
      <c r="E30" s="4530">
        <f>5769500+3174000</f>
        <v>8943500</v>
      </c>
      <c r="F30" s="4478">
        <f>5766211+3174000</f>
        <v>8940211</v>
      </c>
      <c r="G30" s="4479">
        <f t="shared" si="18"/>
        <v>5717788</v>
      </c>
      <c r="H30" s="4597">
        <v>3222486</v>
      </c>
      <c r="I30" s="4592"/>
      <c r="J30" s="4480">
        <f t="shared" si="12"/>
        <v>-3226</v>
      </c>
      <c r="K30" s="4481">
        <f t="shared" si="13"/>
        <v>-3.6070889472801477E-4</v>
      </c>
      <c r="L30" s="4531">
        <f t="shared" si="14"/>
        <v>63</v>
      </c>
      <c r="M30" s="4481">
        <f t="shared" si="15"/>
        <v>7.046813548360324E-6</v>
      </c>
      <c r="N30" s="4582"/>
      <c r="O30" s="4570"/>
      <c r="P30" s="4468">
        <f>'4条収入'!$E$23</f>
        <v>5717788000</v>
      </c>
      <c r="Q30" s="4475"/>
      <c r="R30" s="4468">
        <f t="shared" si="19"/>
        <v>5717788</v>
      </c>
      <c r="S30" s="4439"/>
      <c r="T30" s="4443" t="s">
        <v>7152</v>
      </c>
      <c r="U30" s="4443" t="s">
        <v>7171</v>
      </c>
      <c r="V30" s="4529"/>
      <c r="W30" s="5033"/>
    </row>
    <row r="31" spans="1:23" s="4467" customFormat="1" ht="21" customHeight="1">
      <c r="A31" s="4532"/>
      <c r="B31" s="5044" t="s">
        <v>6970</v>
      </c>
      <c r="C31" s="5045"/>
      <c r="D31" s="5046"/>
      <c r="E31" s="4530">
        <v>4352350</v>
      </c>
      <c r="F31" s="4478">
        <v>4053422</v>
      </c>
      <c r="G31" s="4485">
        <f t="shared" si="18"/>
        <v>3934117</v>
      </c>
      <c r="H31" s="4598">
        <f>130000+60000</f>
        <v>190000</v>
      </c>
      <c r="I31" s="4593"/>
      <c r="J31" s="4486">
        <f t="shared" si="12"/>
        <v>-228233</v>
      </c>
      <c r="K31" s="4487">
        <f t="shared" si="13"/>
        <v>-5.2439027192206507E-2</v>
      </c>
      <c r="L31" s="4531">
        <f t="shared" si="14"/>
        <v>70695</v>
      </c>
      <c r="M31" s="4481">
        <f t="shared" si="15"/>
        <v>1.7440819139976051E-2</v>
      </c>
      <c r="N31" s="4582"/>
      <c r="O31" s="4570"/>
      <c r="P31" s="4468">
        <f>'4条収入'!$E$91-SUM(P29:P30)</f>
        <v>3934117141</v>
      </c>
      <c r="Q31" s="4475"/>
      <c r="R31" s="4468">
        <f t="shared" si="19"/>
        <v>3934117</v>
      </c>
      <c r="S31" s="4439"/>
      <c r="T31" s="4443" t="s">
        <v>7153</v>
      </c>
      <c r="U31" s="4443" t="s">
        <v>7172</v>
      </c>
      <c r="V31" s="4529"/>
      <c r="W31" s="4533"/>
    </row>
    <row r="32" spans="1:23" s="4467" customFormat="1" ht="21" customHeight="1">
      <c r="A32" s="5017" t="s">
        <v>6972</v>
      </c>
      <c r="B32" s="5018"/>
      <c r="C32" s="5018"/>
      <c r="D32" s="5019"/>
      <c r="E32" s="4534">
        <f>E33+E34+E35</f>
        <v>71361650</v>
      </c>
      <c r="F32" s="4535">
        <f>F33+F34+F35</f>
        <v>71076971</v>
      </c>
      <c r="G32" s="4463">
        <f t="shared" ref="G32:H32" si="20">G33+G34+G35</f>
        <v>61875977</v>
      </c>
      <c r="H32" s="4599">
        <f t="shared" si="20"/>
        <v>9225844</v>
      </c>
      <c r="I32" s="4594"/>
      <c r="J32" s="4507">
        <f t="shared" si="12"/>
        <v>-259829</v>
      </c>
      <c r="K32" s="4508">
        <f t="shared" si="13"/>
        <v>-3.6410172690794006E-3</v>
      </c>
      <c r="L32" s="4509">
        <f t="shared" si="14"/>
        <v>24850</v>
      </c>
      <c r="M32" s="4536">
        <f t="shared" si="15"/>
        <v>3.4962097639191744E-4</v>
      </c>
      <c r="N32" s="4582"/>
      <c r="O32" s="4570"/>
      <c r="P32" s="4468">
        <f t="shared" ref="P32" si="21">P33+P34+P35</f>
        <v>61875977537</v>
      </c>
      <c r="Q32" s="4468">
        <f>Q33+Q34+Q35</f>
        <v>0</v>
      </c>
      <c r="R32" s="4468">
        <f t="shared" ref="R32" si="22">R33+R34+R35</f>
        <v>61875977</v>
      </c>
      <c r="S32" s="4439"/>
      <c r="T32" s="4537" t="s">
        <v>7154</v>
      </c>
      <c r="U32" s="4537" t="s">
        <v>7173</v>
      </c>
      <c r="V32" s="4538"/>
      <c r="W32" s="4533"/>
    </row>
    <row r="33" spans="1:23" s="4467" customFormat="1" ht="21" customHeight="1">
      <c r="A33" s="4470"/>
      <c r="B33" s="5020" t="s">
        <v>6973</v>
      </c>
      <c r="C33" s="5021"/>
      <c r="D33" s="5022"/>
      <c r="E33" s="4539">
        <f>17424201+9305739</f>
        <v>26729940</v>
      </c>
      <c r="F33" s="4471">
        <f>17145810+9305739</f>
        <v>26451549</v>
      </c>
      <c r="G33" s="4472">
        <f t="shared" si="18"/>
        <v>17250555</v>
      </c>
      <c r="H33" s="4600">
        <v>9225844</v>
      </c>
      <c r="I33" s="4591"/>
      <c r="J33" s="4473">
        <f t="shared" si="12"/>
        <v>-253541</v>
      </c>
      <c r="K33" s="4474">
        <f t="shared" si="13"/>
        <v>-9.485281298798276E-3</v>
      </c>
      <c r="L33" s="4528">
        <f t="shared" si="14"/>
        <v>24850</v>
      </c>
      <c r="M33" s="4540">
        <f t="shared" si="15"/>
        <v>9.3945348909434373E-4</v>
      </c>
      <c r="N33" s="4582"/>
      <c r="O33" s="4570"/>
      <c r="P33" s="4468">
        <f>'4条支出'!$E$5</f>
        <v>17250555070</v>
      </c>
      <c r="Q33" s="4475"/>
      <c r="R33" s="4468">
        <f t="shared" ref="R33:R35" si="23">ROUND(P33/1000,0)+Q33</f>
        <v>17250555</v>
      </c>
      <c r="S33" s="4439"/>
      <c r="T33" s="4446" t="s">
        <v>7155</v>
      </c>
      <c r="U33" s="4443" t="s">
        <v>7174</v>
      </c>
      <c r="V33" s="4529"/>
      <c r="W33" s="4533"/>
    </row>
    <row r="34" spans="1:23" s="4467" customFormat="1" ht="21" customHeight="1">
      <c r="A34" s="4470"/>
      <c r="B34" s="5023" t="s">
        <v>6990</v>
      </c>
      <c r="C34" s="5023"/>
      <c r="D34" s="5024"/>
      <c r="E34" s="4530">
        <v>44621423</v>
      </c>
      <c r="F34" s="4478">
        <v>44621240</v>
      </c>
      <c r="G34" s="4479">
        <f t="shared" si="18"/>
        <v>44621240</v>
      </c>
      <c r="H34" s="4597">
        <v>0</v>
      </c>
      <c r="I34" s="4592"/>
      <c r="J34" s="4480">
        <f t="shared" si="12"/>
        <v>-183</v>
      </c>
      <c r="K34" s="4481">
        <f t="shared" si="13"/>
        <v>-4.1011690729809313E-6</v>
      </c>
      <c r="L34" s="4531">
        <f t="shared" si="14"/>
        <v>0</v>
      </c>
      <c r="M34" s="4541">
        <f t="shared" si="15"/>
        <v>0</v>
      </c>
      <c r="N34" s="4582"/>
      <c r="O34" s="4570"/>
      <c r="P34" s="4468">
        <f>'4条支出'!$E$21</f>
        <v>44621240467</v>
      </c>
      <c r="Q34" s="4475"/>
      <c r="R34" s="4468">
        <f t="shared" si="23"/>
        <v>44621240</v>
      </c>
      <c r="S34" s="4439"/>
      <c r="T34" s="4446" t="s">
        <v>7156</v>
      </c>
      <c r="U34" s="4443" t="s">
        <v>7157</v>
      </c>
      <c r="V34" s="4529"/>
      <c r="W34" s="4533"/>
    </row>
    <row r="35" spans="1:23" s="4467" customFormat="1" ht="21" customHeight="1" thickBot="1">
      <c r="A35" s="4483"/>
      <c r="B35" s="5025" t="s">
        <v>6991</v>
      </c>
      <c r="C35" s="5025"/>
      <c r="D35" s="5026"/>
      <c r="E35" s="4542">
        <v>10287</v>
      </c>
      <c r="F35" s="4484">
        <v>4182</v>
      </c>
      <c r="G35" s="4543">
        <f t="shared" si="18"/>
        <v>4182</v>
      </c>
      <c r="H35" s="4598">
        <v>0</v>
      </c>
      <c r="I35" s="4593"/>
      <c r="J35" s="4486">
        <f t="shared" si="12"/>
        <v>-6105</v>
      </c>
      <c r="K35" s="4487">
        <f t="shared" si="13"/>
        <v>-0.59346748323126275</v>
      </c>
      <c r="L35" s="4497">
        <f t="shared" si="14"/>
        <v>0</v>
      </c>
      <c r="M35" s="4544">
        <f t="shared" si="15"/>
        <v>0</v>
      </c>
      <c r="N35" s="4582"/>
      <c r="O35" s="4570"/>
      <c r="P35" s="4468">
        <f>'4条支出'!$E$41-SUM(P33:P34)</f>
        <v>4182000</v>
      </c>
      <c r="Q35" s="4475"/>
      <c r="R35" s="4468">
        <f t="shared" si="23"/>
        <v>4182</v>
      </c>
      <c r="S35" s="4439"/>
      <c r="T35" s="4443" t="s">
        <v>7158</v>
      </c>
      <c r="U35" s="4443" t="s">
        <v>7159</v>
      </c>
      <c r="V35" s="4529"/>
      <c r="W35" s="4533"/>
    </row>
    <row r="36" spans="1:23" ht="12" customHeight="1" thickTop="1">
      <c r="A36" s="4545"/>
      <c r="B36" s="4584" t="s">
        <v>7194</v>
      </c>
      <c r="C36" s="4546"/>
      <c r="D36" s="4546"/>
      <c r="E36" s="4547"/>
      <c r="F36" s="4547"/>
      <c r="G36" s="4547"/>
      <c r="H36" s="4548"/>
      <c r="I36" s="4549"/>
      <c r="J36" s="4548"/>
      <c r="K36" s="4550"/>
      <c r="L36" s="4550"/>
      <c r="O36" s="4567"/>
      <c r="T36" s="4537" t="s">
        <v>7160</v>
      </c>
      <c r="U36" s="4537"/>
      <c r="V36" s="4538"/>
      <c r="W36" s="4533"/>
    </row>
    <row r="37" spans="1:23" ht="12" customHeight="1">
      <c r="A37" s="4545"/>
      <c r="B37" s="4584"/>
      <c r="C37" s="4546"/>
      <c r="D37" s="4546"/>
      <c r="E37" s="4547"/>
      <c r="F37" s="4547"/>
      <c r="G37" s="4547"/>
      <c r="H37" s="4548"/>
      <c r="I37" s="4549"/>
      <c r="J37" s="4548"/>
      <c r="K37" s="4550"/>
      <c r="L37" s="4550"/>
      <c r="O37" s="4567"/>
      <c r="T37" s="4537"/>
      <c r="U37" s="4537"/>
      <c r="V37" s="4538"/>
      <c r="W37" s="4533"/>
    </row>
    <row r="38" spans="1:23" s="4443" customFormat="1" ht="18" customHeight="1">
      <c r="A38" s="4566" t="s">
        <v>7161</v>
      </c>
      <c r="G38" s="4444"/>
      <c r="I38" s="4451"/>
      <c r="J38" s="4452"/>
      <c r="K38" s="4840" t="s">
        <v>7138</v>
      </c>
      <c r="L38" s="4840"/>
      <c r="O38" s="4571"/>
      <c r="P38" s="4448"/>
      <c r="Q38" s="4448"/>
      <c r="R38" s="4448"/>
      <c r="S38" s="4449"/>
      <c r="V38" s="4551"/>
    </row>
    <row r="39" spans="1:23" s="4517" customFormat="1" ht="16.5" customHeight="1" thickBot="1">
      <c r="A39" s="5027" t="s">
        <v>6881</v>
      </c>
      <c r="B39" s="5028"/>
      <c r="C39" s="5028"/>
      <c r="D39" s="5028"/>
      <c r="E39" s="4552" t="str">
        <f>E6</f>
        <v>令和5年度</v>
      </c>
      <c r="F39" s="4455"/>
      <c r="G39" s="4456"/>
      <c r="H39" s="4457" t="s">
        <v>7139</v>
      </c>
      <c r="I39" s="4458"/>
      <c r="J39" s="4457"/>
      <c r="K39" s="4458"/>
      <c r="L39" s="4584"/>
      <c r="O39" s="4567"/>
      <c r="P39" s="4438"/>
      <c r="Q39" s="4438"/>
      <c r="R39" s="4438"/>
      <c r="S39" s="4518"/>
    </row>
    <row r="40" spans="1:23" s="4517" customFormat="1" ht="16.5" customHeight="1" thickTop="1">
      <c r="A40" s="5029"/>
      <c r="B40" s="5030"/>
      <c r="C40" s="5030"/>
      <c r="D40" s="5030"/>
      <c r="E40" s="5015" t="str">
        <f t="shared" ref="E40:G40" si="24">E$7</f>
        <v>議決予算
（a）</v>
      </c>
      <c r="F40" s="5006" t="str">
        <f t="shared" si="24"/>
        <v>4月決見
（b）</v>
      </c>
      <c r="G40" s="5008" t="str">
        <f t="shared" si="24"/>
        <v>決算
(c)</v>
      </c>
      <c r="H40" s="5010" t="str">
        <f>H7</f>
        <v>決算(c)
-議決予算(a)</v>
      </c>
      <c r="I40" s="4460"/>
      <c r="J40" s="5010" t="str">
        <f>J7</f>
        <v>決算(c)
-4月決見(b)</v>
      </c>
      <c r="K40" s="4460"/>
      <c r="L40" s="4581"/>
      <c r="O40" s="4567"/>
      <c r="P40" s="4438"/>
      <c r="Q40" s="4438"/>
      <c r="R40" s="4438"/>
      <c r="S40" s="4518"/>
    </row>
    <row r="41" spans="1:23" s="4517" customFormat="1" ht="18.75" customHeight="1">
      <c r="A41" s="5031"/>
      <c r="B41" s="5032"/>
      <c r="C41" s="5032"/>
      <c r="D41" s="5032"/>
      <c r="E41" s="5016"/>
      <c r="F41" s="5007"/>
      <c r="G41" s="5009"/>
      <c r="H41" s="5011"/>
      <c r="I41" s="4461" t="s">
        <v>6885</v>
      </c>
      <c r="J41" s="5011"/>
      <c r="K41" s="4461" t="s">
        <v>6885</v>
      </c>
      <c r="L41" s="4581"/>
      <c r="O41" s="4567"/>
      <c r="P41" s="4438"/>
      <c r="Q41" s="4438"/>
      <c r="R41" s="4438"/>
      <c r="S41" s="4518"/>
    </row>
    <row r="42" spans="1:23" s="4467" customFormat="1" ht="21" customHeight="1">
      <c r="A42" s="5012" t="s">
        <v>6889</v>
      </c>
      <c r="B42" s="5013"/>
      <c r="C42" s="5013"/>
      <c r="D42" s="5014"/>
      <c r="E42" s="4471">
        <v>13854862</v>
      </c>
      <c r="F42" s="4471">
        <v>13951285</v>
      </c>
      <c r="G42" s="4472">
        <f t="shared" ref="G42:G44" si="25">R42</f>
        <v>14187102</v>
      </c>
      <c r="H42" s="4464">
        <f>G42-E42</f>
        <v>332240</v>
      </c>
      <c r="I42" s="4465">
        <f t="shared" ref="I42:I46" si="26">IF(AND(E42=0,G42=0),"－ ",IF(E42=0,"皆増 ",IF(G42=0,"皆減 ",H42/E42)))</f>
        <v>2.3980029537645341E-2</v>
      </c>
      <c r="J42" s="4464">
        <f>G42-F42</f>
        <v>235817</v>
      </c>
      <c r="K42" s="4465">
        <f t="shared" ref="K42:K46" si="27">IF(AND(F42=0,G42=0),"－ ",IF(F42=0,"皆増 ",IF(G42=0,"皆減 ",J42/F42)))</f>
        <v>1.6902887440117524E-2</v>
      </c>
      <c r="L42" s="4582"/>
      <c r="O42" s="4570"/>
      <c r="P42" s="4468">
        <f>'3条収入'!$E$9</f>
        <v>14187102335</v>
      </c>
      <c r="Q42" s="4475"/>
      <c r="R42" s="4468">
        <f t="shared" ref="R42:R45" si="28">ROUND(P42/1000,0)+Q42</f>
        <v>14187102</v>
      </c>
      <c r="S42" s="4439"/>
    </row>
    <row r="43" spans="1:23" s="4467" customFormat="1" ht="21" customHeight="1">
      <c r="A43" s="4996" t="s">
        <v>6899</v>
      </c>
      <c r="B43" s="4997"/>
      <c r="C43" s="4997"/>
      <c r="D43" s="4998"/>
      <c r="E43" s="4553">
        <v>0</v>
      </c>
      <c r="F43" s="4553">
        <v>8000</v>
      </c>
      <c r="G43" s="4554">
        <f t="shared" si="25"/>
        <v>9203</v>
      </c>
      <c r="H43" s="4480">
        <f>G43-E43</f>
        <v>9203</v>
      </c>
      <c r="I43" s="4481" t="str">
        <f t="shared" si="26"/>
        <v xml:space="preserve">皆増 </v>
      </c>
      <c r="J43" s="4480">
        <f>G43-F43</f>
        <v>1203</v>
      </c>
      <c r="K43" s="4481">
        <f t="shared" si="27"/>
        <v>0.15037500000000001</v>
      </c>
      <c r="L43" s="4582"/>
      <c r="O43" s="4570"/>
      <c r="P43" s="4468">
        <f>'3条収入'!$E$42</f>
        <v>9203253</v>
      </c>
      <c r="Q43" s="4475"/>
      <c r="R43" s="4468">
        <f t="shared" si="28"/>
        <v>9203</v>
      </c>
      <c r="S43" s="4439"/>
    </row>
    <row r="44" spans="1:23" s="4467" customFormat="1" ht="21" customHeight="1">
      <c r="A44" s="4996" t="s">
        <v>6954</v>
      </c>
      <c r="B44" s="4997"/>
      <c r="C44" s="4997"/>
      <c r="D44" s="4998"/>
      <c r="E44" s="4478">
        <v>3640474</v>
      </c>
      <c r="F44" s="4478">
        <v>3379653</v>
      </c>
      <c r="G44" s="4479">
        <f t="shared" si="25"/>
        <v>3285505</v>
      </c>
      <c r="H44" s="4480">
        <f>G44-E44</f>
        <v>-354969</v>
      </c>
      <c r="I44" s="4481">
        <f t="shared" si="26"/>
        <v>-9.7506258800365009E-2</v>
      </c>
      <c r="J44" s="4480">
        <f>G44-F44</f>
        <v>-94148</v>
      </c>
      <c r="K44" s="4481">
        <f t="shared" si="27"/>
        <v>-2.7857297775836749E-2</v>
      </c>
      <c r="L44" s="4582"/>
      <c r="O44" s="4570"/>
      <c r="P44" s="4468">
        <f>'4条収入'!$E$21</f>
        <v>3285504551</v>
      </c>
      <c r="Q44" s="4475"/>
      <c r="R44" s="4468">
        <f t="shared" si="28"/>
        <v>3285505</v>
      </c>
      <c r="S44" s="4439"/>
    </row>
    <row r="45" spans="1:23" s="4467" customFormat="1" ht="21" customHeight="1" thickBot="1">
      <c r="A45" s="4999" t="s">
        <v>7162</v>
      </c>
      <c r="B45" s="5000"/>
      <c r="C45" s="5000"/>
      <c r="D45" s="5001"/>
      <c r="E45" s="4555">
        <v>0</v>
      </c>
      <c r="F45" s="4555">
        <v>0</v>
      </c>
      <c r="G45" s="4556">
        <v>0</v>
      </c>
      <c r="H45" s="4557">
        <f>G45-E45</f>
        <v>0</v>
      </c>
      <c r="I45" s="4558" t="str">
        <f t="shared" si="26"/>
        <v xml:space="preserve">－ </v>
      </c>
      <c r="J45" s="4557">
        <f>G45-F45</f>
        <v>0</v>
      </c>
      <c r="K45" s="4558" t="str">
        <f t="shared" si="27"/>
        <v xml:space="preserve">－ </v>
      </c>
      <c r="L45" s="4582"/>
      <c r="O45" s="4570"/>
      <c r="P45" s="4468"/>
      <c r="Q45" s="4475"/>
      <c r="R45" s="4468">
        <f t="shared" si="28"/>
        <v>0</v>
      </c>
      <c r="S45" s="4439"/>
    </row>
    <row r="46" spans="1:23" s="4467" customFormat="1" ht="21" customHeight="1" thickTop="1" thickBot="1">
      <c r="A46" s="5002" t="s">
        <v>7163</v>
      </c>
      <c r="B46" s="5003"/>
      <c r="C46" s="5003"/>
      <c r="D46" s="5004"/>
      <c r="E46" s="4559">
        <f>SUM(E42:E45)</f>
        <v>17495336</v>
      </c>
      <c r="F46" s="4559">
        <f>SUM(F42:F45)</f>
        <v>17338938</v>
      </c>
      <c r="G46" s="4560">
        <f>SUM(G42:G45)</f>
        <v>17481810</v>
      </c>
      <c r="H46" s="4496">
        <f>G46-E46</f>
        <v>-13526</v>
      </c>
      <c r="I46" s="4561">
        <f t="shared" si="26"/>
        <v>-7.7312033332769376E-4</v>
      </c>
      <c r="J46" s="4496">
        <f>G46-F46</f>
        <v>142872</v>
      </c>
      <c r="K46" s="4561">
        <f t="shared" si="27"/>
        <v>8.2399510281425548E-3</v>
      </c>
      <c r="L46" s="4582"/>
      <c r="O46" s="4570"/>
      <c r="P46" s="4562"/>
      <c r="Q46" s="4562"/>
      <c r="R46" s="4562"/>
      <c r="S46" s="4439"/>
    </row>
    <row r="47" spans="1:23" ht="12.75" thickTop="1"/>
    <row r="48" spans="1:23" s="4443" customFormat="1" ht="21" hidden="1" customHeight="1">
      <c r="B48" s="4443" t="s">
        <v>7164</v>
      </c>
      <c r="G48" s="4444"/>
      <c r="I48" s="4451"/>
      <c r="J48" s="5005"/>
      <c r="K48" s="5005"/>
      <c r="L48" s="4840"/>
      <c r="O48" s="4447"/>
      <c r="P48" s="4448"/>
      <c r="Q48" s="4448"/>
      <c r="R48" s="4448"/>
      <c r="S48" s="4449"/>
      <c r="U48" s="4450"/>
    </row>
    <row r="49" spans="2:21" s="4443" customFormat="1" ht="21" hidden="1" customHeight="1">
      <c r="B49" s="4443" t="s">
        <v>7165</v>
      </c>
      <c r="G49" s="4444"/>
      <c r="I49" s="4451"/>
      <c r="J49" s="4840"/>
      <c r="K49" s="4840"/>
      <c r="L49" s="4840"/>
      <c r="O49" s="4447"/>
      <c r="P49" s="4448"/>
      <c r="Q49" s="4448"/>
      <c r="R49" s="4448"/>
      <c r="S49" s="4449"/>
      <c r="U49" s="4450"/>
    </row>
    <row r="50" spans="2:21" s="4443" customFormat="1" ht="21" hidden="1" customHeight="1">
      <c r="B50" s="4443" t="s">
        <v>7166</v>
      </c>
      <c r="G50" s="4444"/>
      <c r="I50" s="4451"/>
      <c r="J50" s="5005"/>
      <c r="K50" s="5005"/>
      <c r="L50" s="4840"/>
      <c r="O50" s="4447"/>
      <c r="P50" s="4448"/>
      <c r="Q50" s="4448"/>
      <c r="R50" s="4448"/>
      <c r="S50" s="4449"/>
      <c r="U50" s="4450"/>
    </row>
    <row r="51" spans="2:21" s="4467" customFormat="1" ht="21" hidden="1" customHeight="1">
      <c r="B51" s="4443" t="s">
        <v>7167</v>
      </c>
      <c r="I51" s="4563"/>
      <c r="K51" s="4563"/>
      <c r="L51" s="4563"/>
      <c r="O51" s="4523"/>
      <c r="P51" s="4562"/>
      <c r="Q51" s="4562"/>
      <c r="R51" s="4562"/>
      <c r="S51" s="4439"/>
      <c r="U51" s="4564"/>
    </row>
    <row r="52" spans="2:21" s="4467" customFormat="1" ht="13.5">
      <c r="I52" s="4563"/>
      <c r="K52" s="4563"/>
      <c r="L52" s="4563"/>
      <c r="O52" s="4523"/>
      <c r="P52" s="4562"/>
      <c r="Q52" s="4562"/>
      <c r="R52" s="4562"/>
      <c r="S52" s="4439"/>
      <c r="U52" s="4564"/>
    </row>
  </sheetData>
  <mergeCells count="48">
    <mergeCell ref="T4:T5"/>
    <mergeCell ref="A6:D8"/>
    <mergeCell ref="E7:E8"/>
    <mergeCell ref="F7:F8"/>
    <mergeCell ref="G7:G8"/>
    <mergeCell ref="H7:H8"/>
    <mergeCell ref="J7:J8"/>
    <mergeCell ref="A20:D20"/>
    <mergeCell ref="X7:X8"/>
    <mergeCell ref="A9:D9"/>
    <mergeCell ref="B10:D10"/>
    <mergeCell ref="C11:D11"/>
    <mergeCell ref="B12:D12"/>
    <mergeCell ref="B13:D13"/>
    <mergeCell ref="A14:D14"/>
    <mergeCell ref="B15:D15"/>
    <mergeCell ref="B16:D16"/>
    <mergeCell ref="B17:D17"/>
    <mergeCell ref="B18:D18"/>
    <mergeCell ref="B31:D31"/>
    <mergeCell ref="A22:D22"/>
    <mergeCell ref="A25:D27"/>
    <mergeCell ref="E26:E27"/>
    <mergeCell ref="F26:F27"/>
    <mergeCell ref="W27:W28"/>
    <mergeCell ref="A28:D28"/>
    <mergeCell ref="B29:D29"/>
    <mergeCell ref="W29:W30"/>
    <mergeCell ref="B30:D30"/>
    <mergeCell ref="G26:G27"/>
    <mergeCell ref="H26:H27"/>
    <mergeCell ref="A43:D43"/>
    <mergeCell ref="A32:D32"/>
    <mergeCell ref="B33:D33"/>
    <mergeCell ref="B34:D34"/>
    <mergeCell ref="B35:D35"/>
    <mergeCell ref="A39:D41"/>
    <mergeCell ref="F40:F41"/>
    <mergeCell ref="G40:G41"/>
    <mergeCell ref="H40:H41"/>
    <mergeCell ref="J40:J41"/>
    <mergeCell ref="A42:D42"/>
    <mergeCell ref="E40:E41"/>
    <mergeCell ref="A44:D44"/>
    <mergeCell ref="A45:D45"/>
    <mergeCell ref="A46:D46"/>
    <mergeCell ref="J48:K48"/>
    <mergeCell ref="J50:K50"/>
  </mergeCells>
  <phoneticPr fontId="3"/>
  <pageMargins left="0.74803149606299213" right="0.51181102362204722" top="0.74803149606299213" bottom="0.74803149606299213" header="0.31496062992125984" footer="0.31496062992125984"/>
  <pageSetup paperSize="9" scale="75" orientation="portrait" blackAndWhite="1" r:id="rId1"/>
  <drawing r:id="rId2"/>
  <legacyDrawing r:id="rId3"/>
</worksheet>
</file>

<file path=xl/worksheets/w8_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52"/>
  <sheetViews>
    <sheetView showGridLines="0" view="pageBreakPreview" zoomScaleNormal="100" zoomScaleSheetLayoutView="100" workbookViewId="0"/>
  </sheetViews>
  <sheetFormatPr defaultColWidth="7.75" defaultRowHeight="12"/>
  <cols>
    <col min="1" max="3" width="1.5" style="4435" customWidth="1"/>
    <col min="4" max="4" width="17.25" style="4435" customWidth="1"/>
    <col min="5" max="7" width="12.5" style="4435" customWidth="1"/>
    <col min="8" max="8" width="12.75" style="4435" bestFit="1" customWidth="1" collapsed="1"/>
    <col min="9" max="9" width="7.625" style="4436" customWidth="1"/>
    <col min="10" max="10" width="12.75" style="4435" bestFit="1" customWidth="1"/>
    <col min="11" max="11" width="7.625" style="4436" customWidth="1"/>
    <col min="12" max="12" width="12.75" style="4436" bestFit="1" customWidth="1"/>
    <col min="13" max="14" width="7.625" style="4435" customWidth="1"/>
    <col min="15" max="15" width="2.375" style="4437" customWidth="1"/>
    <col min="16" max="16" width="14" style="4438" bestFit="1" customWidth="1"/>
    <col min="17" max="17" width="8.75" style="4438" bestFit="1" customWidth="1"/>
    <col min="18" max="18" width="11.375" style="4438" bestFit="1" customWidth="1"/>
    <col min="19" max="19" width="33.875" style="4439" customWidth="1"/>
    <col min="20" max="20" width="36.5" style="4435" bestFit="1" customWidth="1"/>
    <col min="21" max="21" width="2.125" style="4440" customWidth="1"/>
    <col min="22" max="22" width="17.625" style="4435" bestFit="1" customWidth="1"/>
    <col min="23" max="23" width="6.25" style="4435" customWidth="1"/>
    <col min="24" max="24" width="12" style="4435" customWidth="1"/>
    <col min="25" max="25" width="7.625" style="4435" bestFit="1" customWidth="1"/>
    <col min="26" max="16384" width="7.75" style="4435"/>
  </cols>
  <sheetData>
    <row r="1" spans="1:24">
      <c r="K1" s="4572" t="s">
        <v>7219</v>
      </c>
      <c r="L1" s="4572"/>
    </row>
    <row r="2" spans="1:24">
      <c r="K2" s="4572" t="s">
        <v>7186</v>
      </c>
      <c r="L2" s="4572"/>
    </row>
    <row r="3" spans="1:24" ht="24" customHeight="1" thickBot="1">
      <c r="A3" s="4565" t="str">
        <f>DBCS(TEXT(DATE($T$4,12,31),"[$-ja-JP]ggge年度下水道事業会計決算【速報】"))</f>
        <v>令和５年度下水道事業会計決算【速報】</v>
      </c>
      <c r="B3" s="4441"/>
      <c r="C3" s="4441"/>
      <c r="D3" s="4441"/>
      <c r="E3" s="4441"/>
      <c r="F3" s="4441"/>
      <c r="G3" s="4441"/>
      <c r="H3" s="4441"/>
      <c r="I3" s="4441"/>
      <c r="J3" s="4442"/>
      <c r="K3" s="4442"/>
      <c r="L3" s="4442"/>
    </row>
    <row r="4" spans="1:24" s="4443" customFormat="1" ht="18" customHeight="1" thickTop="1">
      <c r="A4" s="4566" t="s">
        <v>7220</v>
      </c>
      <c r="G4" s="4444"/>
      <c r="I4" s="4445"/>
      <c r="J4" s="4446"/>
      <c r="K4" s="4446"/>
      <c r="L4" s="4446"/>
      <c r="O4" s="4447"/>
      <c r="P4" s="4448"/>
      <c r="Q4" s="4448"/>
      <c r="R4" s="4448"/>
      <c r="S4" s="4449"/>
      <c r="T4" s="5061">
        <v>2023</v>
      </c>
      <c r="U4" s="4450"/>
    </row>
    <row r="5" spans="1:24" s="4443" customFormat="1" ht="18" customHeight="1" thickBot="1">
      <c r="A5" s="4566" t="s">
        <v>7137</v>
      </c>
      <c r="G5" s="4444"/>
      <c r="I5" s="4451"/>
      <c r="J5" s="4452"/>
      <c r="K5" s="4453" t="s">
        <v>7138</v>
      </c>
      <c r="L5" s="4574"/>
      <c r="O5" s="4447"/>
      <c r="P5" s="4448"/>
      <c r="Q5" s="4448"/>
      <c r="R5" s="4448"/>
      <c r="S5" s="4449"/>
      <c r="T5" s="5062"/>
      <c r="U5" s="4450"/>
    </row>
    <row r="6" spans="1:24" ht="16.5" customHeight="1" thickTop="1" thickBot="1">
      <c r="A6" s="5063" t="s">
        <v>6881</v>
      </c>
      <c r="B6" s="5064"/>
      <c r="C6" s="5064"/>
      <c r="D6" s="5065"/>
      <c r="E6" s="4454" t="str">
        <f>TEXT(DATE(T4,12,31),"[$-ja-JP]ggge年度")</f>
        <v>令和5年度</v>
      </c>
      <c r="F6" s="4455"/>
      <c r="G6" s="4456"/>
      <c r="H6" s="4457" t="s">
        <v>7139</v>
      </c>
      <c r="I6" s="4458"/>
      <c r="J6" s="4457"/>
      <c r="K6" s="4458"/>
      <c r="L6" s="4584"/>
      <c r="M6" s="4459"/>
      <c r="N6" s="4459"/>
    </row>
    <row r="7" spans="1:24" ht="16.5" customHeight="1" thickTop="1">
      <c r="A7" s="5066"/>
      <c r="B7" s="5067"/>
      <c r="C7" s="5067"/>
      <c r="D7" s="5068"/>
      <c r="E7" s="5072" t="s">
        <v>7176</v>
      </c>
      <c r="F7" s="5006" t="s">
        <v>7175</v>
      </c>
      <c r="G7" s="5008" t="s">
        <v>7189</v>
      </c>
      <c r="H7" s="5010" t="s">
        <v>7184</v>
      </c>
      <c r="I7" s="4460"/>
      <c r="J7" s="5010" t="s">
        <v>7185</v>
      </c>
      <c r="K7" s="4460"/>
      <c r="L7" s="4581"/>
      <c r="X7" s="5053" t="s">
        <v>7140</v>
      </c>
    </row>
    <row r="8" spans="1:24" ht="22.5" customHeight="1">
      <c r="A8" s="5069"/>
      <c r="B8" s="5070"/>
      <c r="C8" s="5070"/>
      <c r="D8" s="5071"/>
      <c r="E8" s="5073"/>
      <c r="F8" s="5007"/>
      <c r="G8" s="5009"/>
      <c r="H8" s="5011"/>
      <c r="I8" s="4461" t="s">
        <v>6885</v>
      </c>
      <c r="J8" s="5011"/>
      <c r="K8" s="4461" t="s">
        <v>6885</v>
      </c>
      <c r="L8" s="4581"/>
      <c r="P8" s="4438" t="s">
        <v>7177</v>
      </c>
      <c r="Q8" s="4438" t="s">
        <v>7178</v>
      </c>
      <c r="R8" s="4438" t="s">
        <v>7179</v>
      </c>
      <c r="S8" s="4439" t="s">
        <v>7180</v>
      </c>
      <c r="X8" s="5054"/>
    </row>
    <row r="9" spans="1:24" ht="21" customHeight="1">
      <c r="A9" s="5017" t="s">
        <v>6886</v>
      </c>
      <c r="B9" s="5018"/>
      <c r="C9" s="5018"/>
      <c r="D9" s="5019"/>
      <c r="E9" s="4462">
        <f>E10+E12+E13</f>
        <v>44975817</v>
      </c>
      <c r="F9" s="4462">
        <f>F10+F12+F13</f>
        <v>44165221</v>
      </c>
      <c r="G9" s="4463">
        <f>G10+G12+G13</f>
        <v>44454711</v>
      </c>
      <c r="H9" s="4464">
        <f t="shared" ref="H9:H18" si="0">G9-E9</f>
        <v>-521106</v>
      </c>
      <c r="I9" s="4465">
        <f t="shared" ref="I9:I18" si="1">IF(AND(E9=0,G9=0),"－ ",IF(E9=0,"皆増 ",IF(G9=0,"皆減 ",H9/E9)))</f>
        <v>-1.1586359843113023E-2</v>
      </c>
      <c r="J9" s="4464">
        <f t="shared" ref="J9:J18" si="2">G9-F9</f>
        <v>289490</v>
      </c>
      <c r="K9" s="4466">
        <f t="shared" ref="K9:K18" si="3">IF(AND(F9=0,G9=0),"－ ",IF(F9=0,"皆増 ",IF(G9=0,"皆減 ",J9/F9)))</f>
        <v>6.5547051151402594E-3</v>
      </c>
      <c r="L9" s="4582"/>
      <c r="M9" s="4467"/>
      <c r="N9" s="4467"/>
      <c r="O9" s="4567"/>
      <c r="P9" s="4468">
        <f t="shared" ref="P9:R9" si="4">P10+P12+P13</f>
        <v>44454711283</v>
      </c>
      <c r="Q9" s="4468">
        <f t="shared" si="4"/>
        <v>-1</v>
      </c>
      <c r="R9" s="4468">
        <f t="shared" si="4"/>
        <v>44454711</v>
      </c>
      <c r="X9" s="4469" t="s">
        <v>7141</v>
      </c>
    </row>
    <row r="10" spans="1:24" ht="21" customHeight="1">
      <c r="A10" s="4470"/>
      <c r="B10" s="5036" t="s">
        <v>6887</v>
      </c>
      <c r="C10" s="5037"/>
      <c r="D10" s="5038"/>
      <c r="E10" s="4471">
        <v>35444153</v>
      </c>
      <c r="F10" s="4471">
        <v>34582538</v>
      </c>
      <c r="G10" s="4472">
        <f t="shared" ref="G10:G18" si="5">R10</f>
        <v>34865912</v>
      </c>
      <c r="H10" s="4473">
        <f t="shared" si="0"/>
        <v>-578241</v>
      </c>
      <c r="I10" s="4474">
        <f t="shared" si="1"/>
        <v>-1.6314143548584726E-2</v>
      </c>
      <c r="J10" s="4473">
        <f t="shared" si="2"/>
        <v>283374</v>
      </c>
      <c r="K10" s="4474">
        <f t="shared" si="3"/>
        <v>8.1941354333218697E-3</v>
      </c>
      <c r="L10" s="4582"/>
      <c r="M10" s="4467"/>
      <c r="N10" s="4467"/>
      <c r="O10" s="4567"/>
      <c r="P10" s="4468">
        <f>'3条収入'!$E$27</f>
        <v>34865911732</v>
      </c>
      <c r="Q10" s="4475"/>
      <c r="R10" s="4468">
        <f t="shared" ref="R10:R11" si="6">ROUND(P10/1000,0)+Q10</f>
        <v>34865912</v>
      </c>
      <c r="X10" s="4476" t="s">
        <v>7142</v>
      </c>
    </row>
    <row r="11" spans="1:24" ht="21" customHeight="1">
      <c r="A11" s="4470"/>
      <c r="B11" s="4477"/>
      <c r="C11" s="5040" t="s">
        <v>7143</v>
      </c>
      <c r="D11" s="5041"/>
      <c r="E11" s="4478">
        <v>21384728</v>
      </c>
      <c r="F11" s="4478">
        <v>20441757</v>
      </c>
      <c r="G11" s="4479">
        <f t="shared" si="5"/>
        <v>20488963</v>
      </c>
      <c r="H11" s="4480">
        <f t="shared" si="0"/>
        <v>-895765</v>
      </c>
      <c r="I11" s="4481">
        <f t="shared" si="1"/>
        <v>-4.1888070776490587E-2</v>
      </c>
      <c r="J11" s="4480">
        <f t="shared" si="2"/>
        <v>47206</v>
      </c>
      <c r="K11" s="4481">
        <f t="shared" si="3"/>
        <v>2.3092926894689139E-3</v>
      </c>
      <c r="L11" s="4582"/>
      <c r="M11" s="4467"/>
      <c r="N11" s="4467"/>
      <c r="O11" s="4567"/>
      <c r="P11" s="4468">
        <f>'3条収入'!$E$7</f>
        <v>20488962528</v>
      </c>
      <c r="Q11" s="4475"/>
      <c r="R11" s="4468">
        <f t="shared" si="6"/>
        <v>20488963</v>
      </c>
      <c r="X11" s="4476" t="s">
        <v>7168</v>
      </c>
    </row>
    <row r="12" spans="1:24" ht="21" customHeight="1">
      <c r="A12" s="4470"/>
      <c r="B12" s="5039" t="s">
        <v>6896</v>
      </c>
      <c r="C12" s="5040"/>
      <c r="D12" s="5041"/>
      <c r="E12" s="4478">
        <v>9528788</v>
      </c>
      <c r="F12" s="4478">
        <v>9579686</v>
      </c>
      <c r="G12" s="4479">
        <f t="shared" si="5"/>
        <v>9584600</v>
      </c>
      <c r="H12" s="4480">
        <f t="shared" si="0"/>
        <v>55812</v>
      </c>
      <c r="I12" s="4481">
        <f t="shared" si="1"/>
        <v>5.8571982082086414E-3</v>
      </c>
      <c r="J12" s="4480">
        <f t="shared" si="2"/>
        <v>4914</v>
      </c>
      <c r="K12" s="4481">
        <f t="shared" si="3"/>
        <v>5.1296044567640314E-4</v>
      </c>
      <c r="L12" s="4582"/>
      <c r="M12" s="4467"/>
      <c r="N12" s="4467"/>
      <c r="O12" s="4567"/>
      <c r="P12" s="4468">
        <f>'3条収入'!$E$57</f>
        <v>9584600552</v>
      </c>
      <c r="Q12" s="4475">
        <v>-1</v>
      </c>
      <c r="R12" s="4468">
        <f t="shared" ref="R12:R13" si="7">ROUND(P12/1000,0)+Q12</f>
        <v>9584600</v>
      </c>
      <c r="X12" s="4482" t="s">
        <v>7144</v>
      </c>
    </row>
    <row r="13" spans="1:24" ht="21" customHeight="1">
      <c r="A13" s="4483"/>
      <c r="B13" s="5044" t="s">
        <v>6903</v>
      </c>
      <c r="C13" s="5045"/>
      <c r="D13" s="5046"/>
      <c r="E13" s="4484">
        <v>2876</v>
      </c>
      <c r="F13" s="4484">
        <v>2997</v>
      </c>
      <c r="G13" s="4485">
        <f t="shared" si="5"/>
        <v>4199</v>
      </c>
      <c r="H13" s="4486">
        <f t="shared" si="0"/>
        <v>1323</v>
      </c>
      <c r="I13" s="4487">
        <f t="shared" si="1"/>
        <v>0.46001390820584143</v>
      </c>
      <c r="J13" s="4486">
        <f t="shared" si="2"/>
        <v>1202</v>
      </c>
      <c r="K13" s="4487">
        <f t="shared" si="3"/>
        <v>0.40106773440106774</v>
      </c>
      <c r="L13" s="4582"/>
      <c r="M13" s="4467"/>
      <c r="N13" s="4467"/>
      <c r="O13" s="4567"/>
      <c r="P13" s="4468">
        <f>'3条収入'!$E$68</f>
        <v>4198999</v>
      </c>
      <c r="Q13" s="4475"/>
      <c r="R13" s="4468">
        <f t="shared" si="7"/>
        <v>4199</v>
      </c>
    </row>
    <row r="14" spans="1:24" ht="21" customHeight="1">
      <c r="A14" s="5055" t="s">
        <v>6910</v>
      </c>
      <c r="B14" s="5056"/>
      <c r="C14" s="5056"/>
      <c r="D14" s="5057"/>
      <c r="E14" s="4462">
        <f>SUM(E15,E16,E17,E18)</f>
        <v>43953299</v>
      </c>
      <c r="F14" s="4462">
        <f>SUM(F15,F16,F17,F18)</f>
        <v>43109924</v>
      </c>
      <c r="G14" s="4463">
        <f>SUM(G15,G16,G17,G18)</f>
        <v>42987208</v>
      </c>
      <c r="H14" s="4488">
        <f t="shared" si="0"/>
        <v>-966091</v>
      </c>
      <c r="I14" s="4466">
        <f t="shared" si="1"/>
        <v>-2.1979942847975983E-2</v>
      </c>
      <c r="J14" s="4489">
        <f t="shared" si="2"/>
        <v>-122716</v>
      </c>
      <c r="K14" s="4466">
        <f t="shared" si="3"/>
        <v>-2.8465835383982585E-3</v>
      </c>
      <c r="L14" s="4582"/>
      <c r="M14" s="4467"/>
      <c r="N14" s="4467"/>
      <c r="O14" s="4568"/>
      <c r="P14" s="4468">
        <f t="shared" ref="P14:R14" si="8">SUM(P15:P18)</f>
        <v>42987208386</v>
      </c>
      <c r="Q14" s="4468">
        <f t="shared" si="8"/>
        <v>0</v>
      </c>
      <c r="R14" s="4468">
        <f t="shared" si="8"/>
        <v>42987208</v>
      </c>
      <c r="S14" s="4490"/>
      <c r="U14" s="4436"/>
    </row>
    <row r="15" spans="1:24" ht="21" customHeight="1">
      <c r="A15" s="4470"/>
      <c r="B15" s="5036" t="s">
        <v>6911</v>
      </c>
      <c r="C15" s="5037"/>
      <c r="D15" s="5058"/>
      <c r="E15" s="4471">
        <v>39325285</v>
      </c>
      <c r="F15" s="4471">
        <v>38869045</v>
      </c>
      <c r="G15" s="4472">
        <f t="shared" si="5"/>
        <v>38667489</v>
      </c>
      <c r="H15" s="4491">
        <f t="shared" si="0"/>
        <v>-657796</v>
      </c>
      <c r="I15" s="4474">
        <f t="shared" si="1"/>
        <v>-1.6727049784890306E-2</v>
      </c>
      <c r="J15" s="4492">
        <f t="shared" si="2"/>
        <v>-201556</v>
      </c>
      <c r="K15" s="4474">
        <f t="shared" si="3"/>
        <v>-5.1855145913669862E-3</v>
      </c>
      <c r="L15" s="4582"/>
      <c r="M15" s="4467"/>
      <c r="N15" s="4467"/>
      <c r="O15" s="4567"/>
      <c r="P15" s="4468">
        <f>'3条支出'!$E$5</f>
        <v>38667489041</v>
      </c>
      <c r="Q15" s="4475"/>
      <c r="R15" s="4468">
        <f t="shared" ref="R15:R18" si="9">ROUND(P15/1000,0)+Q15</f>
        <v>38667489</v>
      </c>
    </row>
    <row r="16" spans="1:24" ht="21" customHeight="1">
      <c r="A16" s="4470"/>
      <c r="B16" s="5039" t="s">
        <v>6925</v>
      </c>
      <c r="C16" s="5040"/>
      <c r="D16" s="5059"/>
      <c r="E16" s="4478">
        <v>4599725</v>
      </c>
      <c r="F16" s="4478">
        <f>4210270+8000</f>
        <v>4218270</v>
      </c>
      <c r="G16" s="4479">
        <f t="shared" si="5"/>
        <v>4298724</v>
      </c>
      <c r="H16" s="4493">
        <f t="shared" si="0"/>
        <v>-301001</v>
      </c>
      <c r="I16" s="4481">
        <f t="shared" si="1"/>
        <v>-6.5438912108876077E-2</v>
      </c>
      <c r="J16" s="4494">
        <f t="shared" si="2"/>
        <v>80454</v>
      </c>
      <c r="K16" s="4481">
        <f t="shared" si="3"/>
        <v>1.9072747832642293E-2</v>
      </c>
      <c r="L16" s="4582"/>
      <c r="M16" s="4467"/>
      <c r="N16" s="4467"/>
      <c r="O16" s="4567"/>
      <c r="P16" s="4468">
        <f>'3条支出'!$E$22+営外!$E$22</f>
        <v>4298724047</v>
      </c>
      <c r="Q16" s="4475"/>
      <c r="R16" s="4468">
        <f t="shared" si="9"/>
        <v>4298724</v>
      </c>
      <c r="S16" s="4495" t="s">
        <v>7182</v>
      </c>
    </row>
    <row r="17" spans="1:23" ht="21" customHeight="1">
      <c r="A17" s="4470"/>
      <c r="B17" s="5039" t="s">
        <v>6929</v>
      </c>
      <c r="C17" s="5040"/>
      <c r="D17" s="5059"/>
      <c r="E17" s="4478">
        <v>8289</v>
      </c>
      <c r="F17" s="4478">
        <f>22609</f>
        <v>22609</v>
      </c>
      <c r="G17" s="4479">
        <f t="shared" si="5"/>
        <v>20995</v>
      </c>
      <c r="H17" s="4493">
        <f t="shared" si="0"/>
        <v>12706</v>
      </c>
      <c r="I17" s="4481">
        <f t="shared" si="1"/>
        <v>1.5328748944384123</v>
      </c>
      <c r="J17" s="4494">
        <f t="shared" si="2"/>
        <v>-1614</v>
      </c>
      <c r="K17" s="4481">
        <f t="shared" si="3"/>
        <v>-7.1387500552877167E-2</v>
      </c>
      <c r="L17" s="4582"/>
      <c r="M17" s="4467"/>
      <c r="N17" s="4467"/>
      <c r="O17" s="4567"/>
      <c r="P17" s="4468">
        <f>'3条支出'!$E$27</f>
        <v>20995298</v>
      </c>
      <c r="Q17" s="4475"/>
      <c r="R17" s="4468">
        <f t="shared" si="9"/>
        <v>20995</v>
      </c>
    </row>
    <row r="18" spans="1:23" ht="21" customHeight="1">
      <c r="A18" s="4483"/>
      <c r="B18" s="5044" t="s">
        <v>6934</v>
      </c>
      <c r="C18" s="5045"/>
      <c r="D18" s="5060"/>
      <c r="E18" s="4484">
        <v>20000</v>
      </c>
      <c r="F18" s="4484">
        <v>0</v>
      </c>
      <c r="G18" s="4485">
        <f t="shared" si="5"/>
        <v>0</v>
      </c>
      <c r="H18" s="4496">
        <f t="shared" si="0"/>
        <v>-20000</v>
      </c>
      <c r="I18" s="4487" t="str">
        <f t="shared" si="1"/>
        <v xml:space="preserve">皆減 </v>
      </c>
      <c r="J18" s="4497">
        <f t="shared" si="2"/>
        <v>0</v>
      </c>
      <c r="K18" s="4487" t="str">
        <f t="shared" si="3"/>
        <v xml:space="preserve">－ </v>
      </c>
      <c r="L18" s="4582"/>
      <c r="M18" s="4467"/>
      <c r="N18" s="4467"/>
      <c r="O18" s="4567"/>
      <c r="P18" s="4475">
        <v>0</v>
      </c>
      <c r="Q18" s="4475"/>
      <c r="R18" s="4468">
        <f t="shared" si="9"/>
        <v>0</v>
      </c>
    </row>
    <row r="19" spans="1:23" ht="10.15" customHeight="1">
      <c r="A19" s="4467"/>
      <c r="B19" s="4467"/>
      <c r="C19" s="4467"/>
      <c r="D19" s="4498"/>
      <c r="E19" s="4499"/>
      <c r="F19" s="4499"/>
      <c r="G19" s="4500"/>
      <c r="H19" s="4501"/>
      <c r="I19" s="4502"/>
      <c r="J19" s="4503"/>
      <c r="K19" s="4504"/>
      <c r="L19" s="4504"/>
      <c r="M19" s="4467"/>
      <c r="N19" s="4467"/>
      <c r="O19" s="4567"/>
    </row>
    <row r="20" spans="1:23" ht="21" customHeight="1">
      <c r="A20" s="5050" t="s">
        <v>7145</v>
      </c>
      <c r="B20" s="5051"/>
      <c r="C20" s="5051"/>
      <c r="D20" s="5052"/>
      <c r="E20" s="4505">
        <f>E9-E14</f>
        <v>1022518</v>
      </c>
      <c r="F20" s="4505">
        <f>F9-F14</f>
        <v>1055297</v>
      </c>
      <c r="G20" s="4506">
        <f>G9-G14</f>
        <v>1467503</v>
      </c>
      <c r="H20" s="4507">
        <f>G20-E20</f>
        <v>444985</v>
      </c>
      <c r="I20" s="4508">
        <f>IF(AND(E20=0,G20=0),"－ ",IF(E20=0,"皆増 ",IF(G20=0,"皆減 ",H20/E20)))</f>
        <v>0.43518549306711474</v>
      </c>
      <c r="J20" s="4509">
        <f>G20-F20</f>
        <v>412206</v>
      </c>
      <c r="K20" s="4508">
        <f>IF(AND(F20=0,G20=0),"－ ",IF(F20=0,"皆増 ",IF(G20=0,"皆減 ",J20/F20)))</f>
        <v>0.39060662543340879</v>
      </c>
      <c r="L20" s="4582"/>
      <c r="M20" s="4467"/>
      <c r="N20" s="4467"/>
      <c r="O20" s="4567"/>
      <c r="P20" s="4475">
        <f t="shared" ref="P20:R20" si="10">P9-P14</f>
        <v>1467502897</v>
      </c>
      <c r="Q20" s="4475">
        <f t="shared" si="10"/>
        <v>-1</v>
      </c>
      <c r="R20" s="4468">
        <f t="shared" si="10"/>
        <v>1467503</v>
      </c>
    </row>
    <row r="21" spans="1:23">
      <c r="D21" s="4459"/>
      <c r="E21" s="4510"/>
      <c r="F21" s="4510"/>
      <c r="G21" s="4511"/>
      <c r="H21" s="4512"/>
      <c r="I21" s="4513"/>
      <c r="J21" s="4510"/>
      <c r="K21" s="4513"/>
      <c r="L21" s="4513"/>
      <c r="O21" s="4567"/>
      <c r="P21" s="4468">
        <f>消費税!$AF$118</f>
        <v>-923595698</v>
      </c>
      <c r="Q21" s="4475"/>
      <c r="R21" s="4468">
        <f t="shared" ref="R21" si="11">ROUND(P21/1000,0)+Q21</f>
        <v>-923596</v>
      </c>
      <c r="S21" s="4439" t="s">
        <v>7181</v>
      </c>
      <c r="V21" s="4435" t="s">
        <v>7183</v>
      </c>
    </row>
    <row r="22" spans="1:23" ht="21" customHeight="1" thickBot="1">
      <c r="A22" s="5047" t="s">
        <v>7146</v>
      </c>
      <c r="B22" s="5048"/>
      <c r="C22" s="5048"/>
      <c r="D22" s="5049"/>
      <c r="E22" s="4505">
        <v>120300</v>
      </c>
      <c r="F22" s="4505">
        <v>87814</v>
      </c>
      <c r="G22" s="4514">
        <f>R22</f>
        <v>543907</v>
      </c>
      <c r="H22" s="4507">
        <f>G22-E22</f>
        <v>423607</v>
      </c>
      <c r="I22" s="4508">
        <f>IF(AND(E22=0,G22=0),"－ ",IF(E22=0,"皆増 ",IF(G22=0,"皆減 ",H22/E22)))</f>
        <v>3.5212551953449709</v>
      </c>
      <c r="J22" s="4509">
        <f>G22-F22</f>
        <v>456093</v>
      </c>
      <c r="K22" s="4508">
        <f>IF(AND(F22=0,G22=0),"－ ",IF(F22=0,"皆増 ",IF(G22=0,"皆減 ",J22/F22)))</f>
        <v>5.1938529163914637</v>
      </c>
      <c r="L22" s="4582"/>
      <c r="M22" s="4467"/>
      <c r="N22" s="4467"/>
      <c r="O22" s="4567"/>
      <c r="P22" s="4475">
        <f>SUM(P20:P21)</f>
        <v>543907199</v>
      </c>
      <c r="Q22" s="4475"/>
      <c r="R22" s="4468">
        <f t="shared" ref="R22" si="12">ROUND(P22/1000,0)+Q22</f>
        <v>543907</v>
      </c>
      <c r="T22" s="4435">
        <f>'(繰)案'!E13</f>
        <v>543907199</v>
      </c>
      <c r="V22" s="4435">
        <f>P22-T22</f>
        <v>0</v>
      </c>
    </row>
    <row r="23" spans="1:23" ht="12" customHeight="1" thickTop="1">
      <c r="D23" s="4459"/>
      <c r="H23" s="4440"/>
      <c r="O23" s="4567"/>
    </row>
    <row r="24" spans="1:23" s="4443" customFormat="1" ht="18" customHeight="1">
      <c r="A24" s="4566" t="s">
        <v>7147</v>
      </c>
      <c r="G24" s="4444"/>
      <c r="K24" s="4451"/>
      <c r="L24" s="4452"/>
      <c r="M24" s="4574" t="s">
        <v>7138</v>
      </c>
      <c r="N24" s="4574"/>
      <c r="O24" s="4569"/>
      <c r="P24" s="4515"/>
      <c r="Q24" s="4515"/>
      <c r="R24" s="4515"/>
      <c r="S24" s="4490"/>
      <c r="T24" s="4516"/>
      <c r="U24" s="4450"/>
    </row>
    <row r="25" spans="1:23" s="4517" customFormat="1" ht="16.5" customHeight="1" thickBot="1">
      <c r="A25" s="5027" t="s">
        <v>6881</v>
      </c>
      <c r="B25" s="5028"/>
      <c r="C25" s="5028"/>
      <c r="D25" s="5028"/>
      <c r="E25" s="4455" t="str">
        <f>E6</f>
        <v>令和5年度</v>
      </c>
      <c r="F25" s="4455"/>
      <c r="G25" s="4456"/>
      <c r="H25" s="4456"/>
      <c r="I25" s="4457" t="s">
        <v>7139</v>
      </c>
      <c r="J25" s="4457"/>
      <c r="K25" s="4458"/>
      <c r="L25" s="4457"/>
      <c r="M25" s="4458"/>
      <c r="N25" s="4583"/>
      <c r="O25" s="4569"/>
      <c r="P25" s="4515"/>
      <c r="Q25" s="4515"/>
      <c r="R25" s="4515"/>
      <c r="S25" s="4490"/>
    </row>
    <row r="26" spans="1:23" s="4517" customFormat="1" ht="16.5" customHeight="1" thickTop="1">
      <c r="A26" s="5029"/>
      <c r="B26" s="5030"/>
      <c r="C26" s="5030"/>
      <c r="D26" s="5030"/>
      <c r="E26" s="5015" t="s">
        <v>7192</v>
      </c>
      <c r="F26" s="5006" t="s">
        <v>7193</v>
      </c>
      <c r="G26" s="5008" t="str">
        <f>G$7</f>
        <v>決算
(c)</v>
      </c>
      <c r="H26" s="5042" t="s">
        <v>7205</v>
      </c>
      <c r="I26" s="4585" t="s">
        <v>7206</v>
      </c>
      <c r="J26" s="4585"/>
      <c r="K26" s="4586"/>
      <c r="L26" s="4601" t="s">
        <v>7207</v>
      </c>
      <c r="M26" s="4586"/>
      <c r="N26" s="4584"/>
      <c r="O26" s="4569"/>
      <c r="P26" s="4515"/>
      <c r="Q26" s="4515"/>
      <c r="R26" s="4515"/>
      <c r="S26" s="4490"/>
    </row>
    <row r="27" spans="1:23" s="4517" customFormat="1" ht="18.75" customHeight="1">
      <c r="A27" s="5031"/>
      <c r="B27" s="5032"/>
      <c r="C27" s="5032"/>
      <c r="D27" s="5032"/>
      <c r="E27" s="5016"/>
      <c r="F27" s="5007"/>
      <c r="G27" s="5009"/>
      <c r="H27" s="5043"/>
      <c r="I27" s="4589" t="s">
        <v>7191</v>
      </c>
      <c r="J27" s="4587"/>
      <c r="K27" s="4461" t="s">
        <v>6885</v>
      </c>
      <c r="L27" s="4588" t="s">
        <v>7190</v>
      </c>
      <c r="M27" s="4461" t="s">
        <v>6885</v>
      </c>
      <c r="N27" s="4581"/>
      <c r="O27" s="4567"/>
      <c r="P27" s="4438"/>
      <c r="Q27" s="4438"/>
      <c r="R27" s="4438"/>
      <c r="S27" s="4518"/>
      <c r="T27" s="4446" t="s">
        <v>7148</v>
      </c>
      <c r="U27" s="4446" t="s">
        <v>7149</v>
      </c>
      <c r="V27" s="4519"/>
      <c r="W27" s="5033" t="str">
        <f>IF(G9=ROUND((V27+V28)/1000,0),"OK","エラー")</f>
        <v>エラー</v>
      </c>
    </row>
    <row r="28" spans="1:23" s="4467" customFormat="1" ht="21" customHeight="1">
      <c r="A28" s="5017" t="s">
        <v>6944</v>
      </c>
      <c r="B28" s="5034"/>
      <c r="C28" s="5034"/>
      <c r="D28" s="5035"/>
      <c r="E28" s="4520">
        <f>SUM(E29:E31)</f>
        <v>51048450</v>
      </c>
      <c r="F28" s="4521">
        <f>SUM(F29:F31)</f>
        <v>50593733</v>
      </c>
      <c r="G28" s="4522">
        <f t="shared" ref="G28" si="13">SUM(G29:G31)</f>
        <v>42025205</v>
      </c>
      <c r="H28" s="4595">
        <f t="shared" ref="H28" si="14">SUM(H29:H31)</f>
        <v>8639286</v>
      </c>
      <c r="I28" s="4590"/>
      <c r="J28" s="4507">
        <f t="shared" ref="J28:J35" si="15">G28+H28-E28</f>
        <v>-383959</v>
      </c>
      <c r="K28" s="4508">
        <f t="shared" ref="K28:K35" si="16">IF(AND(E28=0,SUM(G28:H28)=0),"－ ",IF(E28=0,"皆増 ",IF(SUM(G28:H28)=0,"皆減 ",J28/E28)))</f>
        <v>-7.521462453806139E-3</v>
      </c>
      <c r="L28" s="4509">
        <f t="shared" ref="L28:L35" si="17">G28+H28-F28</f>
        <v>70758</v>
      </c>
      <c r="M28" s="4508">
        <f t="shared" ref="M28:M35" si="18">IF(AND(F28=0,SUM(G28:H28)=0),"－ ",IF(F28=0,"皆増 ",IF(SUM(G28:H28)=0,"皆減 ",L28/F28)))</f>
        <v>1.3985526626390664E-3</v>
      </c>
      <c r="N28" s="4582"/>
      <c r="O28" s="4570"/>
      <c r="P28" s="4468">
        <f t="shared" ref="P28" si="19">P29+P30+P31</f>
        <v>42025205141</v>
      </c>
      <c r="Q28" s="4468">
        <f>Q29+Q30+Q31</f>
        <v>0</v>
      </c>
      <c r="R28" s="4468">
        <f t="shared" ref="R28" si="20">R29+R30+R31</f>
        <v>42025205</v>
      </c>
      <c r="S28" s="4439"/>
      <c r="T28" s="4446" t="s">
        <v>7150</v>
      </c>
      <c r="U28" s="4443" t="s">
        <v>7169</v>
      </c>
      <c r="V28" s="4519"/>
      <c r="W28" s="5033"/>
    </row>
    <row r="29" spans="1:23" s="4467" customFormat="1" ht="21" customHeight="1">
      <c r="A29" s="4524"/>
      <c r="B29" s="5036" t="s">
        <v>6945</v>
      </c>
      <c r="C29" s="5037"/>
      <c r="D29" s="5038"/>
      <c r="E29" s="4525">
        <f>32505200+5247400</f>
        <v>37752600</v>
      </c>
      <c r="F29" s="4526">
        <f>32352700+5247400</f>
        <v>37600100</v>
      </c>
      <c r="G29" s="4527">
        <f t="shared" ref="G29:G35" si="21">R29</f>
        <v>32373300</v>
      </c>
      <c r="H29" s="4596">
        <v>5226800</v>
      </c>
      <c r="I29" s="4591"/>
      <c r="J29" s="4473">
        <f t="shared" si="15"/>
        <v>-152500</v>
      </c>
      <c r="K29" s="4474">
        <f t="shared" si="16"/>
        <v>-4.0394568850887092E-3</v>
      </c>
      <c r="L29" s="4528">
        <f t="shared" si="17"/>
        <v>0</v>
      </c>
      <c r="M29" s="4474">
        <f t="shared" si="18"/>
        <v>0</v>
      </c>
      <c r="N29" s="4582"/>
      <c r="O29" s="4570"/>
      <c r="P29" s="4468">
        <f>'4条収入'!$E$7</f>
        <v>32373300000</v>
      </c>
      <c r="Q29" s="4475"/>
      <c r="R29" s="4468">
        <f t="shared" ref="R29:R31" si="22">ROUND(P29/1000,0)+Q29</f>
        <v>32373300</v>
      </c>
      <c r="S29" s="4439"/>
      <c r="T29" s="4446" t="s">
        <v>7151</v>
      </c>
      <c r="U29" s="4443" t="s">
        <v>7170</v>
      </c>
      <c r="V29" s="4529"/>
      <c r="W29" s="5033" t="str">
        <f>IF(G14=ROUND((V29+V30)/1000,0),"OK","エラー")</f>
        <v>エラー</v>
      </c>
    </row>
    <row r="30" spans="1:23" s="4467" customFormat="1" ht="21" customHeight="1">
      <c r="A30" s="4524"/>
      <c r="B30" s="5039" t="s">
        <v>6955</v>
      </c>
      <c r="C30" s="5040"/>
      <c r="D30" s="5041"/>
      <c r="E30" s="4530">
        <f>5769500+3174000</f>
        <v>8943500</v>
      </c>
      <c r="F30" s="4478">
        <f>5766211+3174000</f>
        <v>8940211</v>
      </c>
      <c r="G30" s="4479">
        <f t="shared" si="21"/>
        <v>5717788</v>
      </c>
      <c r="H30" s="4597">
        <v>3222486</v>
      </c>
      <c r="I30" s="4592"/>
      <c r="J30" s="4480">
        <f t="shared" si="15"/>
        <v>-3226</v>
      </c>
      <c r="K30" s="4481">
        <f t="shared" si="16"/>
        <v>-3.6070889472801477E-4</v>
      </c>
      <c r="L30" s="4531">
        <f t="shared" si="17"/>
        <v>63</v>
      </c>
      <c r="M30" s="4481">
        <f t="shared" si="18"/>
        <v>7.046813548360324E-6</v>
      </c>
      <c r="N30" s="4582"/>
      <c r="O30" s="4570"/>
      <c r="P30" s="4468">
        <f>'4条収入'!$E$23</f>
        <v>5717788000</v>
      </c>
      <c r="Q30" s="4475"/>
      <c r="R30" s="4468">
        <f t="shared" si="22"/>
        <v>5717788</v>
      </c>
      <c r="S30" s="4439"/>
      <c r="T30" s="4443" t="s">
        <v>7152</v>
      </c>
      <c r="U30" s="4443" t="s">
        <v>7171</v>
      </c>
      <c r="V30" s="4529"/>
      <c r="W30" s="5033"/>
    </row>
    <row r="31" spans="1:23" s="4467" customFormat="1" ht="21" customHeight="1">
      <c r="A31" s="4532"/>
      <c r="B31" s="5044" t="s">
        <v>6970</v>
      </c>
      <c r="C31" s="5045"/>
      <c r="D31" s="5046"/>
      <c r="E31" s="4530">
        <v>4352350</v>
      </c>
      <c r="F31" s="4478">
        <v>4053422</v>
      </c>
      <c r="G31" s="4485">
        <f t="shared" si="21"/>
        <v>3934117</v>
      </c>
      <c r="H31" s="4598">
        <f>130000+60000</f>
        <v>190000</v>
      </c>
      <c r="I31" s="4593"/>
      <c r="J31" s="4486">
        <f t="shared" si="15"/>
        <v>-228233</v>
      </c>
      <c r="K31" s="4487">
        <f t="shared" si="16"/>
        <v>-5.2439027192206507E-2</v>
      </c>
      <c r="L31" s="4531">
        <f t="shared" si="17"/>
        <v>70695</v>
      </c>
      <c r="M31" s="4481">
        <f t="shared" si="18"/>
        <v>1.7440819139976051E-2</v>
      </c>
      <c r="N31" s="4582"/>
      <c r="O31" s="4570"/>
      <c r="P31" s="4468">
        <f>'4条収入'!$E$91-SUM(P29:P30)</f>
        <v>3934117141</v>
      </c>
      <c r="Q31" s="4475"/>
      <c r="R31" s="4468">
        <f t="shared" si="22"/>
        <v>3934117</v>
      </c>
      <c r="S31" s="4439"/>
      <c r="T31" s="4443" t="s">
        <v>7153</v>
      </c>
      <c r="U31" s="4443" t="s">
        <v>7172</v>
      </c>
      <c r="V31" s="4529"/>
      <c r="W31" s="4533"/>
    </row>
    <row r="32" spans="1:23" s="4467" customFormat="1" ht="21" customHeight="1">
      <c r="A32" s="5017" t="s">
        <v>6972</v>
      </c>
      <c r="B32" s="5018"/>
      <c r="C32" s="5018"/>
      <c r="D32" s="5019"/>
      <c r="E32" s="4534">
        <f>E33+E34+E35</f>
        <v>71361650</v>
      </c>
      <c r="F32" s="4535">
        <f>F33+F34+F35</f>
        <v>71076971</v>
      </c>
      <c r="G32" s="4463">
        <f t="shared" ref="G32" si="23">G33+G34+G35</f>
        <v>61875977</v>
      </c>
      <c r="H32" s="4599">
        <f t="shared" ref="H32" si="24">H33+H34+H35</f>
        <v>9225844</v>
      </c>
      <c r="I32" s="4594"/>
      <c r="J32" s="4507">
        <f t="shared" si="15"/>
        <v>-259829</v>
      </c>
      <c r="K32" s="4508">
        <f t="shared" si="16"/>
        <v>-3.6410172690794006E-3</v>
      </c>
      <c r="L32" s="4509">
        <f t="shared" si="17"/>
        <v>24850</v>
      </c>
      <c r="M32" s="4536">
        <f t="shared" si="18"/>
        <v>3.4962097639191744E-4</v>
      </c>
      <c r="N32" s="4582"/>
      <c r="O32" s="4570"/>
      <c r="P32" s="4468">
        <f t="shared" ref="P32" si="25">P33+P34+P35</f>
        <v>61875977537</v>
      </c>
      <c r="Q32" s="4468">
        <f>Q33+Q34+Q35</f>
        <v>0</v>
      </c>
      <c r="R32" s="4468">
        <f t="shared" ref="R32" si="26">R33+R34+R35</f>
        <v>61875977</v>
      </c>
      <c r="S32" s="4439"/>
      <c r="T32" s="4537" t="s">
        <v>7154</v>
      </c>
      <c r="U32" s="4537" t="s">
        <v>7173</v>
      </c>
      <c r="V32" s="4538"/>
      <c r="W32" s="4533"/>
    </row>
    <row r="33" spans="1:23" s="4467" customFormat="1" ht="21" customHeight="1">
      <c r="A33" s="4470"/>
      <c r="B33" s="5020" t="s">
        <v>6973</v>
      </c>
      <c r="C33" s="5021"/>
      <c r="D33" s="5022"/>
      <c r="E33" s="4539">
        <f>17424201+9305739</f>
        <v>26729940</v>
      </c>
      <c r="F33" s="4471">
        <f>17145810+9305739</f>
        <v>26451549</v>
      </c>
      <c r="G33" s="4472">
        <f t="shared" si="21"/>
        <v>17250555</v>
      </c>
      <c r="H33" s="4600">
        <v>9225844</v>
      </c>
      <c r="I33" s="4591"/>
      <c r="J33" s="4473">
        <f t="shared" si="15"/>
        <v>-253541</v>
      </c>
      <c r="K33" s="4474">
        <f t="shared" si="16"/>
        <v>-9.485281298798276E-3</v>
      </c>
      <c r="L33" s="4528">
        <f t="shared" si="17"/>
        <v>24850</v>
      </c>
      <c r="M33" s="4540">
        <f t="shared" si="18"/>
        <v>9.3945348909434373E-4</v>
      </c>
      <c r="N33" s="4582"/>
      <c r="O33" s="4570"/>
      <c r="P33" s="4468">
        <f>'4条支出'!$E$5</f>
        <v>17250555070</v>
      </c>
      <c r="Q33" s="4475"/>
      <c r="R33" s="4468">
        <f t="shared" ref="R33:R35" si="27">ROUND(P33/1000,0)+Q33</f>
        <v>17250555</v>
      </c>
      <c r="S33" s="4439"/>
      <c r="T33" s="4446" t="s">
        <v>7155</v>
      </c>
      <c r="U33" s="4443" t="s">
        <v>7174</v>
      </c>
      <c r="V33" s="4529"/>
      <c r="W33" s="4533"/>
    </row>
    <row r="34" spans="1:23" s="4467" customFormat="1" ht="21" customHeight="1">
      <c r="A34" s="4470"/>
      <c r="B34" s="5023" t="s">
        <v>6990</v>
      </c>
      <c r="C34" s="5023"/>
      <c r="D34" s="5024"/>
      <c r="E34" s="4530">
        <v>44621423</v>
      </c>
      <c r="F34" s="4478">
        <v>44621240</v>
      </c>
      <c r="G34" s="4479">
        <f t="shared" si="21"/>
        <v>44621240</v>
      </c>
      <c r="H34" s="4597">
        <v>0</v>
      </c>
      <c r="I34" s="4592"/>
      <c r="J34" s="4480">
        <f t="shared" si="15"/>
        <v>-183</v>
      </c>
      <c r="K34" s="4481">
        <f t="shared" si="16"/>
        <v>-4.1011690729809313E-6</v>
      </c>
      <c r="L34" s="4531">
        <f t="shared" si="17"/>
        <v>0</v>
      </c>
      <c r="M34" s="4541">
        <f t="shared" si="18"/>
        <v>0</v>
      </c>
      <c r="N34" s="4582"/>
      <c r="O34" s="4570"/>
      <c r="P34" s="4468">
        <f>'4条支出'!$E$21</f>
        <v>44621240467</v>
      </c>
      <c r="Q34" s="4475"/>
      <c r="R34" s="4468">
        <f t="shared" si="27"/>
        <v>44621240</v>
      </c>
      <c r="S34" s="4439"/>
      <c r="T34" s="4446" t="s">
        <v>7156</v>
      </c>
      <c r="U34" s="4443" t="s">
        <v>7157</v>
      </c>
      <c r="V34" s="4529"/>
      <c r="W34" s="4533"/>
    </row>
    <row r="35" spans="1:23" s="4467" customFormat="1" ht="21" customHeight="1" thickBot="1">
      <c r="A35" s="4483"/>
      <c r="B35" s="5025" t="s">
        <v>6991</v>
      </c>
      <c r="C35" s="5025"/>
      <c r="D35" s="5026"/>
      <c r="E35" s="4542">
        <v>10287</v>
      </c>
      <c r="F35" s="4484">
        <v>4182</v>
      </c>
      <c r="G35" s="4543">
        <f t="shared" si="21"/>
        <v>4182</v>
      </c>
      <c r="H35" s="4598">
        <v>0</v>
      </c>
      <c r="I35" s="4593"/>
      <c r="J35" s="4486">
        <f t="shared" si="15"/>
        <v>-6105</v>
      </c>
      <c r="K35" s="4487">
        <f t="shared" si="16"/>
        <v>-0.59346748323126275</v>
      </c>
      <c r="L35" s="4497">
        <f t="shared" si="17"/>
        <v>0</v>
      </c>
      <c r="M35" s="4544">
        <f t="shared" si="18"/>
        <v>0</v>
      </c>
      <c r="N35" s="4582"/>
      <c r="O35" s="4570"/>
      <c r="P35" s="4468">
        <f>'4条支出'!$E$41-SUM(P33:P34)</f>
        <v>4182000</v>
      </c>
      <c r="Q35" s="4475"/>
      <c r="R35" s="4468">
        <f t="shared" si="27"/>
        <v>4182</v>
      </c>
      <c r="S35" s="4439"/>
      <c r="T35" s="4443" t="s">
        <v>7158</v>
      </c>
      <c r="U35" s="4443" t="s">
        <v>7159</v>
      </c>
      <c r="V35" s="4529"/>
      <c r="W35" s="4533"/>
    </row>
    <row r="36" spans="1:23" ht="12" customHeight="1" thickTop="1">
      <c r="A36" s="4545"/>
      <c r="B36" s="4584" t="s">
        <v>7194</v>
      </c>
      <c r="C36" s="4546"/>
      <c r="D36" s="4546"/>
      <c r="E36" s="4547"/>
      <c r="F36" s="4547"/>
      <c r="G36" s="4547"/>
      <c r="H36" s="4548"/>
      <c r="I36" s="4549"/>
      <c r="J36" s="4548"/>
      <c r="K36" s="4550"/>
      <c r="L36" s="4550"/>
      <c r="O36" s="4567"/>
      <c r="T36" s="4537" t="s">
        <v>7160</v>
      </c>
      <c r="U36" s="4537"/>
      <c r="V36" s="4538"/>
      <c r="W36" s="4533"/>
    </row>
    <row r="37" spans="1:23" ht="12" customHeight="1">
      <c r="A37" s="4545"/>
      <c r="B37" s="4584"/>
      <c r="C37" s="4546"/>
      <c r="D37" s="4546"/>
      <c r="E37" s="4547"/>
      <c r="F37" s="4547"/>
      <c r="G37" s="4547"/>
      <c r="H37" s="4548"/>
      <c r="I37" s="4549"/>
      <c r="J37" s="4548"/>
      <c r="K37" s="4550"/>
      <c r="L37" s="4550"/>
      <c r="O37" s="4567"/>
      <c r="T37" s="4537"/>
      <c r="U37" s="4537"/>
      <c r="V37" s="4538"/>
      <c r="W37" s="4533"/>
    </row>
    <row r="38" spans="1:23" s="4443" customFormat="1" ht="18" customHeight="1">
      <c r="A38" s="4566" t="s">
        <v>7161</v>
      </c>
      <c r="G38" s="4444"/>
      <c r="I38" s="4451"/>
      <c r="J38" s="4452"/>
      <c r="K38" s="4453" t="s">
        <v>7138</v>
      </c>
      <c r="L38" s="4574"/>
      <c r="O38" s="4571"/>
      <c r="P38" s="4448"/>
      <c r="Q38" s="4448"/>
      <c r="R38" s="4448"/>
      <c r="S38" s="4449"/>
      <c r="V38" s="4551"/>
    </row>
    <row r="39" spans="1:23" s="4517" customFormat="1" ht="16.5" customHeight="1" thickBot="1">
      <c r="A39" s="5027" t="s">
        <v>6881</v>
      </c>
      <c r="B39" s="5028"/>
      <c r="C39" s="5028"/>
      <c r="D39" s="5028"/>
      <c r="E39" s="4552" t="str">
        <f>E6</f>
        <v>令和5年度</v>
      </c>
      <c r="F39" s="4455"/>
      <c r="G39" s="4456"/>
      <c r="H39" s="4457" t="s">
        <v>7139</v>
      </c>
      <c r="I39" s="4458"/>
      <c r="J39" s="4457"/>
      <c r="K39" s="4458"/>
      <c r="L39" s="4584"/>
      <c r="O39" s="4567"/>
      <c r="P39" s="4438"/>
      <c r="Q39" s="4438"/>
      <c r="R39" s="4438"/>
      <c r="S39" s="4518"/>
    </row>
    <row r="40" spans="1:23" s="4517" customFormat="1" ht="16.5" customHeight="1" thickTop="1">
      <c r="A40" s="5029"/>
      <c r="B40" s="5030"/>
      <c r="C40" s="5030"/>
      <c r="D40" s="5030"/>
      <c r="E40" s="5015" t="str">
        <f t="shared" ref="E40:G40" si="28">E$7</f>
        <v>議決予算
（a）</v>
      </c>
      <c r="F40" s="5006" t="str">
        <f t="shared" si="28"/>
        <v>4月決見
（b）</v>
      </c>
      <c r="G40" s="5008" t="str">
        <f t="shared" si="28"/>
        <v>決算
(c)</v>
      </c>
      <c r="H40" s="5010" t="str">
        <f>H7</f>
        <v>決算(c)
-議決予算(a)</v>
      </c>
      <c r="I40" s="4460"/>
      <c r="J40" s="5010" t="str">
        <f>J7</f>
        <v>決算(c)
-4月決見(b)</v>
      </c>
      <c r="K40" s="4460"/>
      <c r="L40" s="4581"/>
      <c r="O40" s="4567"/>
      <c r="P40" s="4438"/>
      <c r="Q40" s="4438"/>
      <c r="R40" s="4438"/>
      <c r="S40" s="4518"/>
    </row>
    <row r="41" spans="1:23" s="4517" customFormat="1" ht="18.75" customHeight="1">
      <c r="A41" s="5031"/>
      <c r="B41" s="5032"/>
      <c r="C41" s="5032"/>
      <c r="D41" s="5032"/>
      <c r="E41" s="5016"/>
      <c r="F41" s="5007"/>
      <c r="G41" s="5009"/>
      <c r="H41" s="5011"/>
      <c r="I41" s="4461" t="s">
        <v>6885</v>
      </c>
      <c r="J41" s="5011"/>
      <c r="K41" s="4461" t="s">
        <v>6885</v>
      </c>
      <c r="L41" s="4581"/>
      <c r="O41" s="4567"/>
      <c r="P41" s="4438"/>
      <c r="Q41" s="4438"/>
      <c r="R41" s="4438"/>
      <c r="S41" s="4518"/>
    </row>
    <row r="42" spans="1:23" s="4467" customFormat="1" ht="21" customHeight="1">
      <c r="A42" s="5012" t="s">
        <v>6889</v>
      </c>
      <c r="B42" s="5013"/>
      <c r="C42" s="5013"/>
      <c r="D42" s="5014"/>
      <c r="E42" s="4471">
        <v>13854862</v>
      </c>
      <c r="F42" s="4471">
        <v>13951285</v>
      </c>
      <c r="G42" s="4472">
        <f t="shared" ref="G42:G44" si="29">R42</f>
        <v>14187102</v>
      </c>
      <c r="H42" s="4464">
        <f>G42-E42</f>
        <v>332240</v>
      </c>
      <c r="I42" s="4465">
        <f t="shared" ref="I42:I46" si="30">IF(AND(E42=0,G42=0),"－ ",IF(E42=0,"皆増 ",IF(G42=0,"皆減 ",H42/E42)))</f>
        <v>2.3980029537645341E-2</v>
      </c>
      <c r="J42" s="4464">
        <f>G42-F42</f>
        <v>235817</v>
      </c>
      <c r="K42" s="4465">
        <f t="shared" ref="K42:K46" si="31">IF(AND(F42=0,G42=0),"－ ",IF(F42=0,"皆増 ",IF(G42=0,"皆減 ",J42/F42)))</f>
        <v>1.6902887440117524E-2</v>
      </c>
      <c r="L42" s="4582"/>
      <c r="O42" s="4570"/>
      <c r="P42" s="4468">
        <f>'3条収入'!$E$9</f>
        <v>14187102335</v>
      </c>
      <c r="Q42" s="4475"/>
      <c r="R42" s="4468">
        <f t="shared" ref="R42:R45" si="32">ROUND(P42/1000,0)+Q42</f>
        <v>14187102</v>
      </c>
      <c r="S42" s="4439"/>
    </row>
    <row r="43" spans="1:23" s="4467" customFormat="1" ht="21" customHeight="1">
      <c r="A43" s="4996" t="s">
        <v>6899</v>
      </c>
      <c r="B43" s="4997"/>
      <c r="C43" s="4997"/>
      <c r="D43" s="4998"/>
      <c r="E43" s="4553">
        <v>0</v>
      </c>
      <c r="F43" s="4553">
        <v>8000</v>
      </c>
      <c r="G43" s="4554">
        <f t="shared" si="29"/>
        <v>9203</v>
      </c>
      <c r="H43" s="4480">
        <f>G43-E43</f>
        <v>9203</v>
      </c>
      <c r="I43" s="4481" t="str">
        <f t="shared" si="30"/>
        <v xml:space="preserve">皆増 </v>
      </c>
      <c r="J43" s="4480">
        <f>G43-F43</f>
        <v>1203</v>
      </c>
      <c r="K43" s="4481">
        <f t="shared" si="31"/>
        <v>0.15037500000000001</v>
      </c>
      <c r="L43" s="4582"/>
      <c r="O43" s="4570"/>
      <c r="P43" s="4468">
        <f>'3条収入'!$E$42</f>
        <v>9203253</v>
      </c>
      <c r="Q43" s="4475"/>
      <c r="R43" s="4468">
        <f t="shared" si="32"/>
        <v>9203</v>
      </c>
      <c r="S43" s="4439"/>
    </row>
    <row r="44" spans="1:23" s="4467" customFormat="1" ht="21" customHeight="1">
      <c r="A44" s="4996" t="s">
        <v>6954</v>
      </c>
      <c r="B44" s="4997"/>
      <c r="C44" s="4997"/>
      <c r="D44" s="4998"/>
      <c r="E44" s="4478">
        <v>3640474</v>
      </c>
      <c r="F44" s="4478">
        <v>3379653</v>
      </c>
      <c r="G44" s="4479">
        <f t="shared" si="29"/>
        <v>3285505</v>
      </c>
      <c r="H44" s="4480">
        <f>G44-E44</f>
        <v>-354969</v>
      </c>
      <c r="I44" s="4481">
        <f t="shared" si="30"/>
        <v>-9.7506258800365009E-2</v>
      </c>
      <c r="J44" s="4480">
        <f>G44-F44</f>
        <v>-94148</v>
      </c>
      <c r="K44" s="4481">
        <f t="shared" si="31"/>
        <v>-2.7857297775836749E-2</v>
      </c>
      <c r="L44" s="4582"/>
      <c r="O44" s="4570"/>
      <c r="P44" s="4468">
        <f>'4条収入'!$E$21</f>
        <v>3285504551</v>
      </c>
      <c r="Q44" s="4475"/>
      <c r="R44" s="4468">
        <f t="shared" si="32"/>
        <v>3285505</v>
      </c>
      <c r="S44" s="4439"/>
    </row>
    <row r="45" spans="1:23" s="4467" customFormat="1" ht="21" customHeight="1" thickBot="1">
      <c r="A45" s="4999" t="s">
        <v>7162</v>
      </c>
      <c r="B45" s="5000"/>
      <c r="C45" s="5000"/>
      <c r="D45" s="5001"/>
      <c r="E45" s="4555">
        <v>0</v>
      </c>
      <c r="F45" s="4555">
        <v>0</v>
      </c>
      <c r="G45" s="4556">
        <v>0</v>
      </c>
      <c r="H45" s="4557">
        <f>G45-E45</f>
        <v>0</v>
      </c>
      <c r="I45" s="4558" t="str">
        <f t="shared" si="30"/>
        <v xml:space="preserve">－ </v>
      </c>
      <c r="J45" s="4557">
        <f>G45-F45</f>
        <v>0</v>
      </c>
      <c r="K45" s="4558" t="str">
        <f t="shared" si="31"/>
        <v xml:space="preserve">－ </v>
      </c>
      <c r="L45" s="4582"/>
      <c r="O45" s="4570"/>
      <c r="P45" s="4468"/>
      <c r="Q45" s="4475"/>
      <c r="R45" s="4468">
        <f t="shared" si="32"/>
        <v>0</v>
      </c>
      <c r="S45" s="4439"/>
    </row>
    <row r="46" spans="1:23" s="4467" customFormat="1" ht="21" customHeight="1" thickTop="1" thickBot="1">
      <c r="A46" s="5002" t="s">
        <v>7163</v>
      </c>
      <c r="B46" s="5003"/>
      <c r="C46" s="5003"/>
      <c r="D46" s="5004"/>
      <c r="E46" s="4559">
        <f>SUM(E42:E45)</f>
        <v>17495336</v>
      </c>
      <c r="F46" s="4559">
        <f>SUM(F42:F45)</f>
        <v>17338938</v>
      </c>
      <c r="G46" s="4560">
        <f>SUM(G42:G45)</f>
        <v>17481810</v>
      </c>
      <c r="H46" s="4496">
        <f>G46-E46</f>
        <v>-13526</v>
      </c>
      <c r="I46" s="4561">
        <f t="shared" si="30"/>
        <v>-7.7312033332769376E-4</v>
      </c>
      <c r="J46" s="4496">
        <f>G46-F46</f>
        <v>142872</v>
      </c>
      <c r="K46" s="4561">
        <f t="shared" si="31"/>
        <v>8.2399510281425548E-3</v>
      </c>
      <c r="L46" s="4582"/>
      <c r="O46" s="4570"/>
      <c r="P46" s="4562"/>
      <c r="Q46" s="4562"/>
      <c r="R46" s="4562"/>
      <c r="S46" s="4439"/>
    </row>
    <row r="47" spans="1:23" ht="12.75" thickTop="1"/>
    <row r="48" spans="1:23" s="4443" customFormat="1" ht="21" hidden="1" customHeight="1">
      <c r="B48" s="4443" t="s">
        <v>7164</v>
      </c>
      <c r="G48" s="4444"/>
      <c r="I48" s="4451"/>
      <c r="J48" s="5005"/>
      <c r="K48" s="5005"/>
      <c r="L48" s="4574"/>
      <c r="O48" s="4447"/>
      <c r="P48" s="4448"/>
      <c r="Q48" s="4448"/>
      <c r="R48" s="4448"/>
      <c r="S48" s="4449"/>
      <c r="U48" s="4450"/>
    </row>
    <row r="49" spans="2:21" s="4443" customFormat="1" ht="21" hidden="1" customHeight="1">
      <c r="B49" s="4443" t="s">
        <v>7165</v>
      </c>
      <c r="G49" s="4444"/>
      <c r="I49" s="4451"/>
      <c r="J49" s="4453"/>
      <c r="K49" s="4453"/>
      <c r="L49" s="4574"/>
      <c r="O49" s="4447"/>
      <c r="P49" s="4448"/>
      <c r="Q49" s="4448"/>
      <c r="R49" s="4448"/>
      <c r="S49" s="4449"/>
      <c r="U49" s="4450"/>
    </row>
    <row r="50" spans="2:21" s="4443" customFormat="1" ht="21" hidden="1" customHeight="1">
      <c r="B50" s="4443" t="s">
        <v>7166</v>
      </c>
      <c r="G50" s="4444"/>
      <c r="I50" s="4451"/>
      <c r="J50" s="5005"/>
      <c r="K50" s="5005"/>
      <c r="L50" s="4574"/>
      <c r="O50" s="4447"/>
      <c r="P50" s="4448"/>
      <c r="Q50" s="4448"/>
      <c r="R50" s="4448"/>
      <c r="S50" s="4449"/>
      <c r="U50" s="4450"/>
    </row>
    <row r="51" spans="2:21" s="4467" customFormat="1" ht="21" hidden="1" customHeight="1">
      <c r="B51" s="4443" t="s">
        <v>7167</v>
      </c>
      <c r="I51" s="4563"/>
      <c r="K51" s="4563"/>
      <c r="L51" s="4563"/>
      <c r="O51" s="4523"/>
      <c r="P51" s="4562"/>
      <c r="Q51" s="4562"/>
      <c r="R51" s="4562"/>
      <c r="S51" s="4439"/>
      <c r="U51" s="4564"/>
    </row>
    <row r="52" spans="2:21" s="4467" customFormat="1" ht="13.5">
      <c r="I52" s="4563"/>
      <c r="K52" s="4563"/>
      <c r="L52" s="4563"/>
      <c r="O52" s="4523"/>
      <c r="P52" s="4562"/>
      <c r="Q52" s="4562"/>
      <c r="R52" s="4562"/>
      <c r="S52" s="4439"/>
      <c r="U52" s="4564"/>
    </row>
  </sheetData>
  <mergeCells count="48">
    <mergeCell ref="T4:T5"/>
    <mergeCell ref="A6:D8"/>
    <mergeCell ref="E7:E8"/>
    <mergeCell ref="F7:F8"/>
    <mergeCell ref="G7:G8"/>
    <mergeCell ref="H7:H8"/>
    <mergeCell ref="B18:D18"/>
    <mergeCell ref="J7:J8"/>
    <mergeCell ref="X7:X8"/>
    <mergeCell ref="A9:D9"/>
    <mergeCell ref="B10:D10"/>
    <mergeCell ref="C11:D11"/>
    <mergeCell ref="B12:D12"/>
    <mergeCell ref="B13:D13"/>
    <mergeCell ref="A14:D14"/>
    <mergeCell ref="B15:D15"/>
    <mergeCell ref="B16:D16"/>
    <mergeCell ref="B17:D17"/>
    <mergeCell ref="A20:D20"/>
    <mergeCell ref="A22:D22"/>
    <mergeCell ref="A25:D27"/>
    <mergeCell ref="E26:E27"/>
    <mergeCell ref="F26:F27"/>
    <mergeCell ref="W27:W28"/>
    <mergeCell ref="A28:D28"/>
    <mergeCell ref="B29:D29"/>
    <mergeCell ref="W29:W30"/>
    <mergeCell ref="B30:D30"/>
    <mergeCell ref="G26:G27"/>
    <mergeCell ref="H26:H27"/>
    <mergeCell ref="J40:J41"/>
    <mergeCell ref="B31:D31"/>
    <mergeCell ref="A32:D32"/>
    <mergeCell ref="B33:D33"/>
    <mergeCell ref="B34:D34"/>
    <mergeCell ref="B35:D35"/>
    <mergeCell ref="A39:D41"/>
    <mergeCell ref="E40:E41"/>
    <mergeCell ref="F40:F41"/>
    <mergeCell ref="G40:G41"/>
    <mergeCell ref="H40:H41"/>
    <mergeCell ref="J50:K50"/>
    <mergeCell ref="A42:D42"/>
    <mergeCell ref="A43:D43"/>
    <mergeCell ref="A44:D44"/>
    <mergeCell ref="A45:D45"/>
    <mergeCell ref="A46:D46"/>
    <mergeCell ref="J48:K48"/>
  </mergeCells>
  <phoneticPr fontId="28"/>
  <pageMargins left="0.74803149606299213" right="0.51181102362204722" top="0.74803149606299213" bottom="0.74803149606299213" header="0.31496062992125984" footer="0.31496062992125984"/>
  <pageSetup paperSize="9" scale="69" orientation="portrait" blackAndWhite="1" cellComments="asDisplayed" r:id="rId1"/>
  <drawing r:id="rId2"/>
  <legacyDrawing r:id="rId3"/>
</worksheet>
</file>

<file path=xl/worksheets/w8_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W67"/>
  <sheetViews>
    <sheetView showGridLines="0" view="pageBreakPreview" zoomScale="115" zoomScaleNormal="130" zoomScaleSheetLayoutView="115" workbookViewId="0">
      <pane xSplit="4" ySplit="8" topLeftCell="F9"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style="4042" customWidth="1"/>
    <col min="4" max="4" width="19.875" style="4042" customWidth="1"/>
    <col min="5" max="5" width="12" style="4046" hidden="1" customWidth="1" outlineLevel="1"/>
    <col min="6" max="6" width="11.625" style="4047" customWidth="1" collapsed="1"/>
    <col min="7" max="9" width="11.625" style="4047" customWidth="1"/>
    <col min="10" max="10" width="10.75" style="4042" customWidth="1" collapsed="1"/>
    <col min="11" max="11" width="7.5" style="4042" bestFit="1" customWidth="1"/>
    <col min="12" max="12" width="10.75" style="4042" customWidth="1" collapsed="1"/>
    <col min="13" max="13" width="7.5" style="4042" bestFit="1" customWidth="1"/>
    <col min="14" max="14" width="10.75" style="4042" customWidth="1" collapsed="1"/>
    <col min="15" max="15" width="7.5" style="4042" bestFit="1" customWidth="1"/>
    <col min="16" max="16" width="10.5" style="4042" bestFit="1" customWidth="1"/>
    <col min="17" max="17" width="8.75" style="4042" customWidth="1"/>
    <col min="18" max="18" width="12.875" style="4042" customWidth="1"/>
    <col min="19" max="19" width="11.625" style="4042" customWidth="1"/>
    <col min="20" max="20" width="10" style="4042" customWidth="1"/>
    <col min="21" max="21" width="16.375" style="4045" bestFit="1" customWidth="1"/>
    <col min="22" max="22" width="9" style="4045"/>
    <col min="23" max="23" width="13.375" style="4045" bestFit="1" customWidth="1"/>
    <col min="24" max="16384" width="9" style="4042"/>
  </cols>
  <sheetData>
    <row r="1" spans="1:23" ht="12" hidden="1" outlineLevel="1"/>
    <row r="2" spans="1:23" ht="12" hidden="1" outlineLevel="1"/>
    <row r="3" spans="1:23" s="4048" customFormat="1" ht="18.75" collapsed="1">
      <c r="A3" s="4048" t="str">
        <f>CONCATENATE("令和",+DBCS(MID(出資金しくみ!B1,3,1)),"年度決算　収益的収支（税抜き）")</f>
        <v>令和５年度決算　収益的収支（税抜き）</v>
      </c>
      <c r="B3" s="4049"/>
      <c r="C3" s="4049"/>
      <c r="D3" s="4049"/>
      <c r="E3" s="4050"/>
      <c r="F3" s="4051"/>
      <c r="G3" s="4051"/>
      <c r="H3" s="4051"/>
      <c r="I3" s="4052"/>
      <c r="J3" s="4049"/>
      <c r="K3" s="4049"/>
      <c r="L3" s="4049"/>
      <c r="M3" s="4053"/>
      <c r="N3" s="4049"/>
      <c r="O3" s="4817" t="str">
        <f>総括表!$K$1</f>
        <v>令和6年5月22日</v>
      </c>
      <c r="U3" s="4054"/>
      <c r="V3" s="4054"/>
      <c r="W3" s="4054"/>
    </row>
    <row r="4" spans="1:23" ht="12" hidden="1" outlineLevel="1">
      <c r="A4" s="4055"/>
      <c r="B4" s="4055"/>
      <c r="C4" s="4055"/>
      <c r="D4" s="4055"/>
    </row>
    <row r="5" spans="1:23" ht="20.25" customHeight="1" collapsed="1" thickBot="1">
      <c r="A5" s="4055" t="s">
        <v>6879</v>
      </c>
      <c r="B5" s="4055"/>
      <c r="C5" s="4055"/>
      <c r="D5" s="4055"/>
      <c r="E5" s="4056"/>
      <c r="F5" s="4057"/>
      <c r="G5" s="4057"/>
      <c r="H5" s="4058"/>
      <c r="I5" s="4058"/>
      <c r="J5" s="4059"/>
      <c r="K5" s="4059"/>
      <c r="L5" s="4059"/>
      <c r="M5" s="4060"/>
      <c r="N5" s="4059"/>
      <c r="O5" s="4060" t="s">
        <v>7079</v>
      </c>
      <c r="P5" s="4059"/>
    </row>
    <row r="6" spans="1:23" s="4059" customFormat="1" ht="13.5" thickTop="1" thickBot="1">
      <c r="A6" s="4061"/>
      <c r="B6" s="4062"/>
      <c r="C6" s="4062"/>
      <c r="D6" s="4063"/>
      <c r="E6" s="4064"/>
      <c r="F6" s="4065"/>
      <c r="G6" s="4066"/>
      <c r="H6" s="4067"/>
      <c r="I6" s="4066"/>
      <c r="J6" s="4069" t="s">
        <v>7078</v>
      </c>
      <c r="K6" s="4068"/>
      <c r="L6" s="4069"/>
      <c r="M6" s="4068"/>
      <c r="N6" s="4069"/>
      <c r="O6" s="4070"/>
      <c r="P6" s="4071"/>
      <c r="U6" s="4072"/>
      <c r="V6" s="4072"/>
      <c r="W6" s="4072"/>
    </row>
    <row r="7" spans="1:23" ht="24">
      <c r="A7" s="5074" t="s">
        <v>7088</v>
      </c>
      <c r="B7" s="5075"/>
      <c r="C7" s="5075"/>
      <c r="D7" s="5076"/>
      <c r="E7" s="4073" t="s">
        <v>6883</v>
      </c>
      <c r="F7" s="4074" t="s">
        <v>7086</v>
      </c>
      <c r="G7" s="4075" t="s">
        <v>7084</v>
      </c>
      <c r="H7" s="4076" t="s">
        <v>7085</v>
      </c>
      <c r="I7" s="4077" t="s">
        <v>7087</v>
      </c>
      <c r="J7" s="4078" t="s">
        <v>7082</v>
      </c>
      <c r="K7" s="4079"/>
      <c r="L7" s="4080" t="s">
        <v>7081</v>
      </c>
      <c r="M7" s="4079"/>
      <c r="N7" s="4080" t="s">
        <v>7080</v>
      </c>
      <c r="O7" s="4081"/>
      <c r="R7" s="4042" t="s">
        <v>7094</v>
      </c>
      <c r="U7" s="4045" t="s">
        <v>7071</v>
      </c>
    </row>
    <row r="8" spans="1:23" ht="20.25" customHeight="1">
      <c r="A8" s="4082"/>
      <c r="B8" s="4083"/>
      <c r="C8" s="4083"/>
      <c r="D8" s="4084"/>
      <c r="E8" s="4085"/>
      <c r="F8" s="4086" t="s">
        <v>7074</v>
      </c>
      <c r="G8" s="4087" t="s">
        <v>7075</v>
      </c>
      <c r="H8" s="4088" t="s">
        <v>7076</v>
      </c>
      <c r="I8" s="4089" t="s">
        <v>7077</v>
      </c>
      <c r="J8" s="4090" t="s">
        <v>7097</v>
      </c>
      <c r="K8" s="4091" t="s">
        <v>6885</v>
      </c>
      <c r="L8" s="4092" t="s">
        <v>7136</v>
      </c>
      <c r="M8" s="4091" t="s">
        <v>6885</v>
      </c>
      <c r="N8" s="4092" t="s">
        <v>7132</v>
      </c>
      <c r="O8" s="4093" t="s">
        <v>6885</v>
      </c>
      <c r="P8" s="4071" t="s">
        <v>7090</v>
      </c>
      <c r="Q8" s="4042" t="s">
        <v>7091</v>
      </c>
      <c r="R8" s="4042" t="s">
        <v>7093</v>
      </c>
      <c r="S8" s="4042" t="s">
        <v>7092</v>
      </c>
      <c r="T8" s="4094" t="s">
        <v>6939</v>
      </c>
      <c r="U8" s="4045" t="s">
        <v>7072</v>
      </c>
      <c r="V8" s="4045" t="s">
        <v>7073</v>
      </c>
      <c r="W8" s="4045" t="s">
        <v>7072</v>
      </c>
    </row>
    <row r="9" spans="1:23" ht="20.25" customHeight="1">
      <c r="A9" s="5079" t="s">
        <v>6886</v>
      </c>
      <c r="B9" s="5080"/>
      <c r="C9" s="5080"/>
      <c r="D9" s="5081"/>
      <c r="E9" s="4095">
        <f>SUM(E10,E19,E27)</f>
        <v>41202558</v>
      </c>
      <c r="F9" s="4096">
        <f>SUM(F10,F19,F27)</f>
        <v>43009658</v>
      </c>
      <c r="G9" s="4097">
        <f>SUM(G10,G19,G27)</f>
        <v>42285947</v>
      </c>
      <c r="H9" s="4098">
        <f>SUM(H10,H19,H27)</f>
        <v>42572042</v>
      </c>
      <c r="I9" s="4099">
        <f>SUM(I10,I19,I27)</f>
        <v>42499689</v>
      </c>
      <c r="J9" s="4100">
        <f t="shared" ref="J9:J31" si="0">IF(AND(F9=0,$H9=0),"－ ",$H9-F9)</f>
        <v>-437616</v>
      </c>
      <c r="K9" s="4101">
        <f t="shared" ref="K9:K31" si="1">IF(AND(F9=0,$H9&gt;0),"皆増 ",IF(AND(F9&gt;0,$H9=0),"皆減 ",IF(AND(F9=0,$H9=0),"－ ",J9/F9)))</f>
        <v>-1.0174830964710299E-2</v>
      </c>
      <c r="L9" s="4102">
        <f t="shared" ref="L9:N40" si="2">IF(AND(G9=0,$H9=0),"－ ",$H9-G9)</f>
        <v>286095</v>
      </c>
      <c r="M9" s="4101">
        <f t="shared" ref="M9:M31" si="3">IF(AND(G9=0,$H9&gt;0),"皆増 ",IF(AND(G9&gt;0,$H9=0),"皆減 ",IF(AND(G9=0,$H9=0),"－ ",L9/G9)))</f>
        <v>6.7657229008020086E-3</v>
      </c>
      <c r="N9" s="4102">
        <f t="shared" si="2"/>
        <v>72353</v>
      </c>
      <c r="O9" s="4103">
        <f t="shared" ref="O9:O31" si="4">IF(AND(I9=0,$H9&gt;0),"皆増 ",IF(AND(I9&gt;0,$H9=0),"皆減 ",IF(AND(I9=0,$H9=0),"－ ",N9/I9)))</f>
        <v>1.7024359872374595E-3</v>
      </c>
      <c r="P9" s="4104" t="str">
        <f t="shared" ref="P9:P31" si="5">IF(OR(F9&gt;0,G9&gt;0,H9&gt;0,I9&gt;0),"表示（判定）","×表示しない")</f>
        <v>表示（判定）</v>
      </c>
      <c r="R9" s="4044"/>
      <c r="S9" s="4044"/>
    </row>
    <row r="10" spans="1:23" ht="20.25" customHeight="1">
      <c r="A10" s="4105"/>
      <c r="B10" s="5077" t="s">
        <v>6887</v>
      </c>
      <c r="C10" s="5077"/>
      <c r="D10" s="5078"/>
      <c r="E10" s="4106">
        <f t="shared" ref="E10" si="6">SUM(E11:E12,E18)</f>
        <v>39159297</v>
      </c>
      <c r="F10" s="4107">
        <f>SUM(F11:F12,F18)</f>
        <v>33481570</v>
      </c>
      <c r="G10" s="4108">
        <f>SUM(G11:G12,G18)</f>
        <v>32707017</v>
      </c>
      <c r="H10" s="4109">
        <f>SUM(H11:H12,H18)</f>
        <v>32986084</v>
      </c>
      <c r="I10" s="4110">
        <f>SUM(I11:I12,I18)</f>
        <v>32791345</v>
      </c>
      <c r="J10" s="4111">
        <f t="shared" si="0"/>
        <v>-495486</v>
      </c>
      <c r="K10" s="4112">
        <f t="shared" si="1"/>
        <v>-1.4798768397061427E-2</v>
      </c>
      <c r="L10" s="4113">
        <f t="shared" si="2"/>
        <v>279067</v>
      </c>
      <c r="M10" s="4112">
        <f t="shared" si="3"/>
        <v>8.5323280933874215E-3</v>
      </c>
      <c r="N10" s="4113">
        <f t="shared" si="2"/>
        <v>194739</v>
      </c>
      <c r="O10" s="4114">
        <f t="shared" si="4"/>
        <v>5.9387316988674908E-3</v>
      </c>
      <c r="P10" s="4104" t="str">
        <f t="shared" si="5"/>
        <v>表示（判定）</v>
      </c>
    </row>
    <row r="11" spans="1:23" ht="20.25" customHeight="1">
      <c r="A11" s="4115"/>
      <c r="B11" s="4116"/>
      <c r="C11" s="5077" t="s">
        <v>6888</v>
      </c>
      <c r="D11" s="5078"/>
      <c r="E11" s="4117">
        <v>21145614</v>
      </c>
      <c r="F11" s="4118">
        <v>19440663</v>
      </c>
      <c r="G11" s="4119">
        <f>W11</f>
        <v>18583417</v>
      </c>
      <c r="H11" s="4120">
        <f>S11</f>
        <v>18626337</v>
      </c>
      <c r="I11" s="4121">
        <v>18620214</v>
      </c>
      <c r="J11" s="4111">
        <f t="shared" si="0"/>
        <v>-814326</v>
      </c>
      <c r="K11" s="4112">
        <f t="shared" si="1"/>
        <v>-4.1887768951089782E-2</v>
      </c>
      <c r="L11" s="4113">
        <f t="shared" si="2"/>
        <v>42920</v>
      </c>
      <c r="M11" s="4112">
        <f t="shared" si="3"/>
        <v>2.3095860142405456E-3</v>
      </c>
      <c r="N11" s="4113">
        <f t="shared" si="2"/>
        <v>6123</v>
      </c>
      <c r="O11" s="4114">
        <f t="shared" si="4"/>
        <v>3.2883617771525077E-4</v>
      </c>
      <c r="P11" s="4104" t="str">
        <f t="shared" si="5"/>
        <v>表示（判定）</v>
      </c>
      <c r="R11" s="4122">
        <f>'3条収入'!$AI$8</f>
        <v>18626337467</v>
      </c>
      <c r="S11" s="4044">
        <f>ROUND(R11/1000,0)+T11</f>
        <v>18626337</v>
      </c>
      <c r="U11" s="4045">
        <v>18583417</v>
      </c>
      <c r="W11" s="4045">
        <f>SUM(U11:V11)</f>
        <v>18583417</v>
      </c>
    </row>
    <row r="12" spans="1:23" ht="20.25" customHeight="1">
      <c r="A12" s="4115"/>
      <c r="B12" s="4123"/>
      <c r="C12" s="5077" t="s">
        <v>6889</v>
      </c>
      <c r="D12" s="5078"/>
      <c r="E12" s="4117">
        <v>18011826</v>
      </c>
      <c r="F12" s="4107">
        <f>SUM(F13:F17)</f>
        <v>13854862</v>
      </c>
      <c r="G12" s="4108">
        <f>SUM(G13:G17)</f>
        <v>13951285</v>
      </c>
      <c r="H12" s="4109">
        <f t="shared" ref="H12" si="7">SUM(H13:H17)</f>
        <v>14187103</v>
      </c>
      <c r="I12" s="4110">
        <f>SUM(I13:I17)</f>
        <v>13993349</v>
      </c>
      <c r="J12" s="4111">
        <f t="shared" si="0"/>
        <v>332241</v>
      </c>
      <c r="K12" s="4112">
        <f t="shared" si="1"/>
        <v>2.3980101714473952E-2</v>
      </c>
      <c r="L12" s="4113">
        <f t="shared" si="2"/>
        <v>235818</v>
      </c>
      <c r="M12" s="4112">
        <f t="shared" si="3"/>
        <v>1.6902959118102742E-2</v>
      </c>
      <c r="N12" s="4113">
        <f t="shared" si="2"/>
        <v>193754</v>
      </c>
      <c r="O12" s="4114">
        <f t="shared" si="4"/>
        <v>1.3846149338517891E-2</v>
      </c>
      <c r="P12" s="4104" t="str">
        <f t="shared" si="5"/>
        <v>表示（判定）</v>
      </c>
    </row>
    <row r="13" spans="1:23" ht="20.25" customHeight="1">
      <c r="A13" s="4115"/>
      <c r="B13" s="4123"/>
      <c r="C13" s="4116"/>
      <c r="D13" s="4124" t="s">
        <v>6890</v>
      </c>
      <c r="E13" s="4106">
        <f>E12-E14-E15-E16</f>
        <v>17853307</v>
      </c>
      <c r="F13" s="4118">
        <v>13738282</v>
      </c>
      <c r="G13" s="4119">
        <f>13852072-8000</f>
        <v>13844072</v>
      </c>
      <c r="H13" s="4120">
        <f>S13</f>
        <v>14079750</v>
      </c>
      <c r="I13" s="4121">
        <v>13893559</v>
      </c>
      <c r="J13" s="4111">
        <f t="shared" si="0"/>
        <v>341468</v>
      </c>
      <c r="K13" s="4112">
        <f t="shared" si="1"/>
        <v>2.4855218432697772E-2</v>
      </c>
      <c r="L13" s="4113">
        <f t="shared" si="2"/>
        <v>235678</v>
      </c>
      <c r="M13" s="4112">
        <f t="shared" si="3"/>
        <v>1.7023748504052853E-2</v>
      </c>
      <c r="N13" s="4113">
        <f t="shared" si="2"/>
        <v>186191</v>
      </c>
      <c r="O13" s="4114">
        <f t="shared" si="4"/>
        <v>1.3401245857882778E-2</v>
      </c>
      <c r="P13" s="4104" t="str">
        <f t="shared" si="5"/>
        <v>表示（判定）</v>
      </c>
      <c r="R13" s="4122">
        <f>'3条収入'!$AI$10</f>
        <v>14079749832</v>
      </c>
      <c r="S13" s="4044">
        <f t="shared" ref="S13:S16" si="8">ROUND(R13/1000,0)+T13</f>
        <v>14079750</v>
      </c>
      <c r="U13" s="4045">
        <v>13852072</v>
      </c>
      <c r="V13" s="4045">
        <v>8000</v>
      </c>
      <c r="W13" s="4045">
        <f t="shared" ref="W13:W18" si="9">SUM(U13:V13)</f>
        <v>13860072</v>
      </c>
    </row>
    <row r="14" spans="1:23" ht="20.25" customHeight="1">
      <c r="A14" s="4115"/>
      <c r="B14" s="4123"/>
      <c r="C14" s="4123"/>
      <c r="D14" s="4124" t="s">
        <v>6891</v>
      </c>
      <c r="E14" s="4117">
        <v>72773</v>
      </c>
      <c r="F14" s="4118">
        <v>61778</v>
      </c>
      <c r="G14" s="4119">
        <v>52650</v>
      </c>
      <c r="H14" s="4120">
        <f>S14</f>
        <v>52444</v>
      </c>
      <c r="I14" s="4121">
        <v>51549</v>
      </c>
      <c r="J14" s="4111">
        <f t="shared" si="0"/>
        <v>-9334</v>
      </c>
      <c r="K14" s="4112">
        <f t="shared" si="1"/>
        <v>-0.15108938457055909</v>
      </c>
      <c r="L14" s="4113">
        <f t="shared" si="2"/>
        <v>-206</v>
      </c>
      <c r="M14" s="4112">
        <f t="shared" si="3"/>
        <v>-3.9126305792972459E-3</v>
      </c>
      <c r="N14" s="4113">
        <f t="shared" si="2"/>
        <v>895</v>
      </c>
      <c r="O14" s="4114">
        <f t="shared" si="4"/>
        <v>1.7362121476653281E-2</v>
      </c>
      <c r="P14" s="4104" t="str">
        <f t="shared" si="5"/>
        <v>表示（判定）</v>
      </c>
      <c r="R14" s="4122">
        <f>'3条収入'!$AI$14</f>
        <v>52443869</v>
      </c>
      <c r="S14" s="4044">
        <f t="shared" si="8"/>
        <v>52444</v>
      </c>
      <c r="U14" s="4045">
        <v>52650</v>
      </c>
      <c r="W14" s="4045">
        <f t="shared" si="9"/>
        <v>52650</v>
      </c>
    </row>
    <row r="15" spans="1:23" ht="20.25" customHeight="1">
      <c r="A15" s="4115"/>
      <c r="B15" s="4123"/>
      <c r="C15" s="4123"/>
      <c r="D15" s="4124" t="s">
        <v>6892</v>
      </c>
      <c r="E15" s="4117">
        <v>67470</v>
      </c>
      <c r="F15" s="4118">
        <v>40039</v>
      </c>
      <c r="G15" s="4119">
        <v>43851</v>
      </c>
      <c r="H15" s="4120">
        <f>S15</f>
        <v>44425</v>
      </c>
      <c r="I15" s="4121">
        <v>37495</v>
      </c>
      <c r="J15" s="4111">
        <f t="shared" si="0"/>
        <v>4386</v>
      </c>
      <c r="K15" s="4112">
        <f t="shared" si="1"/>
        <v>0.10954319538450011</v>
      </c>
      <c r="L15" s="4113">
        <f t="shared" si="2"/>
        <v>574</v>
      </c>
      <c r="M15" s="4112">
        <f t="shared" si="3"/>
        <v>1.3089781304873321E-2</v>
      </c>
      <c r="N15" s="4113">
        <f t="shared" si="2"/>
        <v>6930</v>
      </c>
      <c r="O15" s="4114">
        <f t="shared" si="4"/>
        <v>0.18482464328577144</v>
      </c>
      <c r="P15" s="4104" t="str">
        <f t="shared" si="5"/>
        <v>表示（判定）</v>
      </c>
      <c r="R15" s="4122">
        <f>'3条収入'!$AI$15</f>
        <v>44424775</v>
      </c>
      <c r="S15" s="4044">
        <f t="shared" si="8"/>
        <v>44425</v>
      </c>
      <c r="U15" s="4045">
        <v>43851</v>
      </c>
      <c r="W15" s="4045">
        <f t="shared" si="9"/>
        <v>43851</v>
      </c>
    </row>
    <row r="16" spans="1:23" ht="20.25" customHeight="1">
      <c r="A16" s="4115"/>
      <c r="B16" s="4123"/>
      <c r="C16" s="4123"/>
      <c r="D16" s="4124" t="s">
        <v>6893</v>
      </c>
      <c r="E16" s="4117">
        <v>18276</v>
      </c>
      <c r="F16" s="4118">
        <v>14763</v>
      </c>
      <c r="G16" s="4119">
        <v>10712</v>
      </c>
      <c r="H16" s="4120">
        <f>S16</f>
        <v>10484</v>
      </c>
      <c r="I16" s="4121">
        <v>10746</v>
      </c>
      <c r="J16" s="4111">
        <f t="shared" si="0"/>
        <v>-4279</v>
      </c>
      <c r="K16" s="4112">
        <f t="shared" si="1"/>
        <v>-0.28984623721465824</v>
      </c>
      <c r="L16" s="4113">
        <f t="shared" si="2"/>
        <v>-228</v>
      </c>
      <c r="M16" s="4112">
        <f t="shared" si="3"/>
        <v>-2.1284540702016429E-2</v>
      </c>
      <c r="N16" s="4113">
        <f t="shared" si="2"/>
        <v>-262</v>
      </c>
      <c r="O16" s="4114">
        <f t="shared" si="4"/>
        <v>-2.4381165084682674E-2</v>
      </c>
      <c r="P16" s="4104" t="str">
        <f t="shared" si="5"/>
        <v>表示（判定）</v>
      </c>
      <c r="R16" s="4122">
        <f>'3条収入'!$AI$16</f>
        <v>10483859</v>
      </c>
      <c r="S16" s="4044">
        <f t="shared" si="8"/>
        <v>10484</v>
      </c>
      <c r="T16" s="4125"/>
      <c r="U16" s="4045">
        <v>10712</v>
      </c>
      <c r="W16" s="4045">
        <f t="shared" si="9"/>
        <v>10712</v>
      </c>
    </row>
    <row r="17" spans="1:23" ht="20.25" hidden="1" customHeight="1">
      <c r="A17" s="4115"/>
      <c r="B17" s="4123"/>
      <c r="C17" s="4126"/>
      <c r="D17" s="4124" t="s">
        <v>6894</v>
      </c>
      <c r="E17" s="4117">
        <v>0</v>
      </c>
      <c r="F17" s="4118"/>
      <c r="G17" s="4119"/>
      <c r="H17" s="4127"/>
      <c r="I17" s="4121"/>
      <c r="J17" s="4111" t="str">
        <f t="shared" si="0"/>
        <v xml:space="preserve">－ </v>
      </c>
      <c r="K17" s="4128" t="str">
        <f t="shared" si="1"/>
        <v xml:space="preserve">－ </v>
      </c>
      <c r="L17" s="4113" t="str">
        <f t="shared" si="2"/>
        <v xml:space="preserve">－ </v>
      </c>
      <c r="M17" s="4128" t="str">
        <f t="shared" si="3"/>
        <v xml:space="preserve">－ </v>
      </c>
      <c r="N17" s="4113" t="str">
        <f t="shared" si="2"/>
        <v xml:space="preserve">－ </v>
      </c>
      <c r="O17" s="4129" t="str">
        <f t="shared" si="4"/>
        <v xml:space="preserve">－ </v>
      </c>
      <c r="P17" s="4104" t="str">
        <f t="shared" si="5"/>
        <v>×表示しない</v>
      </c>
      <c r="U17" s="4045">
        <v>172315</v>
      </c>
      <c r="W17" s="4045">
        <f t="shared" si="9"/>
        <v>172315</v>
      </c>
    </row>
    <row r="18" spans="1:23" ht="20.25" customHeight="1">
      <c r="A18" s="4115"/>
      <c r="B18" s="4126"/>
      <c r="C18" s="5077" t="s">
        <v>6895</v>
      </c>
      <c r="D18" s="5078"/>
      <c r="E18" s="4117">
        <v>1857</v>
      </c>
      <c r="F18" s="4118">
        <v>186045</v>
      </c>
      <c r="G18" s="4119">
        <f>W18</f>
        <v>172315</v>
      </c>
      <c r="H18" s="4120">
        <f>S18</f>
        <v>172644</v>
      </c>
      <c r="I18" s="4121">
        <v>177782</v>
      </c>
      <c r="J18" s="4111">
        <f t="shared" si="0"/>
        <v>-13401</v>
      </c>
      <c r="K18" s="4112">
        <f t="shared" si="1"/>
        <v>-7.2030960251552048E-2</v>
      </c>
      <c r="L18" s="4113">
        <f t="shared" si="2"/>
        <v>329</v>
      </c>
      <c r="M18" s="4112">
        <f t="shared" si="3"/>
        <v>1.909294025476598E-3</v>
      </c>
      <c r="N18" s="4113">
        <f t="shared" si="2"/>
        <v>-5138</v>
      </c>
      <c r="O18" s="4114">
        <f t="shared" si="4"/>
        <v>-2.8900563611614225E-2</v>
      </c>
      <c r="P18" s="4104" t="str">
        <f t="shared" si="5"/>
        <v>表示（判定）</v>
      </c>
      <c r="R18" s="4122">
        <f>'3条収入'!$AI$19</f>
        <v>172643606</v>
      </c>
      <c r="S18" s="4044">
        <f>ROUND(R18/1000,0)+T18</f>
        <v>172644</v>
      </c>
      <c r="T18" s="4130"/>
      <c r="U18" s="4045">
        <v>172315</v>
      </c>
      <c r="W18" s="4045">
        <f t="shared" si="9"/>
        <v>172315</v>
      </c>
    </row>
    <row r="19" spans="1:23" ht="20.25" customHeight="1">
      <c r="A19" s="4115"/>
      <c r="B19" s="5077" t="s">
        <v>6896</v>
      </c>
      <c r="C19" s="5077"/>
      <c r="D19" s="5078"/>
      <c r="E19" s="4106">
        <f>SUM(E20:E26)</f>
        <v>2040440</v>
      </c>
      <c r="F19" s="4107">
        <f>SUM(F20:F26)</f>
        <v>9525454</v>
      </c>
      <c r="G19" s="4108">
        <f>SUM(G20:G26)</f>
        <v>9576214</v>
      </c>
      <c r="H19" s="4109">
        <f>SUM(H20:H26)</f>
        <v>9581905</v>
      </c>
      <c r="I19" s="4110">
        <f>SUM(I20:I26)</f>
        <v>9701941</v>
      </c>
      <c r="J19" s="4111">
        <f t="shared" si="0"/>
        <v>56451</v>
      </c>
      <c r="K19" s="4112">
        <f t="shared" si="1"/>
        <v>5.9263317003053085E-3</v>
      </c>
      <c r="L19" s="4113">
        <f t="shared" si="2"/>
        <v>5691</v>
      </c>
      <c r="M19" s="4112">
        <f t="shared" si="3"/>
        <v>5.9428496480968369E-4</v>
      </c>
      <c r="N19" s="4113">
        <f t="shared" si="2"/>
        <v>-120036</v>
      </c>
      <c r="O19" s="4114">
        <f t="shared" si="4"/>
        <v>-1.237236961140044E-2</v>
      </c>
      <c r="P19" s="4104" t="str">
        <f t="shared" si="5"/>
        <v>表示（判定）</v>
      </c>
    </row>
    <row r="20" spans="1:23" ht="20.25" customHeight="1">
      <c r="A20" s="4115"/>
      <c r="B20" s="4116"/>
      <c r="C20" s="5077" t="s">
        <v>6897</v>
      </c>
      <c r="D20" s="5078"/>
      <c r="E20" s="4117">
        <v>7130</v>
      </c>
      <c r="F20" s="4118">
        <v>70</v>
      </c>
      <c r="G20" s="4119">
        <f t="shared" ref="G20:G26" si="10">W20</f>
        <v>87</v>
      </c>
      <c r="H20" s="4120">
        <f t="shared" ref="H20:H26" si="11">S20</f>
        <v>89</v>
      </c>
      <c r="I20" s="4121">
        <v>63</v>
      </c>
      <c r="J20" s="4111">
        <f t="shared" si="0"/>
        <v>19</v>
      </c>
      <c r="K20" s="4112">
        <f t="shared" si="1"/>
        <v>0.27142857142857141</v>
      </c>
      <c r="L20" s="4113">
        <f t="shared" si="2"/>
        <v>2</v>
      </c>
      <c r="M20" s="4112">
        <f t="shared" si="3"/>
        <v>2.2988505747126436E-2</v>
      </c>
      <c r="N20" s="4113">
        <f t="shared" si="2"/>
        <v>26</v>
      </c>
      <c r="O20" s="4114">
        <f t="shared" si="4"/>
        <v>0.41269841269841268</v>
      </c>
      <c r="P20" s="4104" t="str">
        <f t="shared" si="5"/>
        <v>表示（判定）</v>
      </c>
      <c r="R20" s="4122">
        <f>'3条収入'!$AI$28</f>
        <v>88770</v>
      </c>
      <c r="S20" s="4044">
        <f>ROUND(R20/1000,0)+T20</f>
        <v>89</v>
      </c>
      <c r="U20" s="4045">
        <v>87</v>
      </c>
      <c r="W20" s="4045">
        <f>SUM(U20:V20)</f>
        <v>87</v>
      </c>
    </row>
    <row r="21" spans="1:23" ht="20.25" hidden="1" customHeight="1">
      <c r="A21" s="4115"/>
      <c r="B21" s="4123"/>
      <c r="C21" s="5077" t="s">
        <v>6955</v>
      </c>
      <c r="D21" s="5078"/>
      <c r="E21" s="4117">
        <v>108</v>
      </c>
      <c r="F21" s="4118">
        <v>0</v>
      </c>
      <c r="G21" s="4119">
        <f t="shared" si="10"/>
        <v>0</v>
      </c>
      <c r="H21" s="4120">
        <f t="shared" si="11"/>
        <v>0</v>
      </c>
      <c r="I21" s="4121">
        <v>0</v>
      </c>
      <c r="J21" s="4111" t="str">
        <f t="shared" si="0"/>
        <v xml:space="preserve">－ </v>
      </c>
      <c r="K21" s="4128" t="str">
        <f t="shared" si="1"/>
        <v xml:space="preserve">－ </v>
      </c>
      <c r="L21" s="4113" t="str">
        <f t="shared" si="2"/>
        <v xml:space="preserve">－ </v>
      </c>
      <c r="M21" s="4128" t="str">
        <f t="shared" si="3"/>
        <v xml:space="preserve">－ </v>
      </c>
      <c r="N21" s="4113" t="str">
        <f t="shared" si="2"/>
        <v xml:space="preserve">－ </v>
      </c>
      <c r="O21" s="4129" t="str">
        <f t="shared" si="4"/>
        <v xml:space="preserve">－ </v>
      </c>
      <c r="P21" s="4104" t="str">
        <f t="shared" si="5"/>
        <v>×表示しない</v>
      </c>
      <c r="R21" s="4122">
        <f>'3条収入'!$AI$32</f>
        <v>0</v>
      </c>
      <c r="S21" s="4044">
        <f>ROUND(R21/1000,0)+T21</f>
        <v>0</v>
      </c>
      <c r="T21" s="4130"/>
    </row>
    <row r="22" spans="1:23" ht="20.25" customHeight="1">
      <c r="A22" s="4115"/>
      <c r="B22" s="4123"/>
      <c r="C22" s="5077" t="s">
        <v>6898</v>
      </c>
      <c r="D22" s="5078"/>
      <c r="E22" s="4117">
        <v>305814</v>
      </c>
      <c r="F22" s="4118">
        <v>46672</v>
      </c>
      <c r="G22" s="4119">
        <f t="shared" si="10"/>
        <v>46672</v>
      </c>
      <c r="H22" s="4120">
        <f t="shared" si="11"/>
        <v>50128</v>
      </c>
      <c r="I22" s="4121">
        <v>60819</v>
      </c>
      <c r="J22" s="4111">
        <f t="shared" si="0"/>
        <v>3456</v>
      </c>
      <c r="K22" s="4112">
        <f t="shared" si="1"/>
        <v>7.4048680150839902E-2</v>
      </c>
      <c r="L22" s="4113">
        <f t="shared" si="2"/>
        <v>3456</v>
      </c>
      <c r="M22" s="4112">
        <f t="shared" si="3"/>
        <v>7.4048680150839902E-2</v>
      </c>
      <c r="N22" s="4113">
        <f t="shared" si="2"/>
        <v>-10691</v>
      </c>
      <c r="O22" s="4114">
        <f t="shared" si="4"/>
        <v>-0.17578388332593434</v>
      </c>
      <c r="P22" s="4104" t="str">
        <f t="shared" si="5"/>
        <v>表示（判定）</v>
      </c>
      <c r="R22" s="4122">
        <f>'3条収入'!$AI$39</f>
        <v>50128048</v>
      </c>
      <c r="S22" s="4044">
        <f t="shared" ref="S22:S26" si="12">ROUND(R22/1000,0)+T22</f>
        <v>50128</v>
      </c>
      <c r="U22" s="4045">
        <v>46672</v>
      </c>
      <c r="W22" s="4045">
        <f>SUM(U22:V22)</f>
        <v>46672</v>
      </c>
    </row>
    <row r="23" spans="1:23" ht="20.25" customHeight="1">
      <c r="A23" s="4115"/>
      <c r="B23" s="4123"/>
      <c r="C23" s="5077" t="s">
        <v>6899</v>
      </c>
      <c r="D23" s="5078"/>
      <c r="E23" s="4117">
        <v>1708190</v>
      </c>
      <c r="F23" s="4118">
        <v>0</v>
      </c>
      <c r="G23" s="4119">
        <f t="shared" si="10"/>
        <v>8000</v>
      </c>
      <c r="H23" s="4120">
        <f t="shared" si="11"/>
        <v>9203</v>
      </c>
      <c r="I23" s="4121">
        <v>31</v>
      </c>
      <c r="J23" s="4111">
        <f t="shared" si="0"/>
        <v>9203</v>
      </c>
      <c r="K23" s="4112" t="str">
        <f t="shared" si="1"/>
        <v xml:space="preserve">皆増 </v>
      </c>
      <c r="L23" s="4113">
        <f t="shared" si="2"/>
        <v>1203</v>
      </c>
      <c r="M23" s="4112">
        <f t="shared" si="3"/>
        <v>0.15037500000000001</v>
      </c>
      <c r="N23" s="4113">
        <f t="shared" si="2"/>
        <v>9172</v>
      </c>
      <c r="O23" s="4114">
        <f t="shared" si="4"/>
        <v>295.87096774193549</v>
      </c>
      <c r="P23" s="4104" t="str">
        <f t="shared" si="5"/>
        <v>表示（判定）</v>
      </c>
      <c r="R23" s="4122">
        <f>'3条収入'!$AI$42</f>
        <v>9203253</v>
      </c>
      <c r="S23" s="4044">
        <f t="shared" si="12"/>
        <v>9203</v>
      </c>
      <c r="V23" s="4045">
        <v>8000</v>
      </c>
      <c r="W23" s="4045">
        <f>SUM(U23:V23)</f>
        <v>8000</v>
      </c>
    </row>
    <row r="24" spans="1:23" ht="20.25" hidden="1" customHeight="1" outlineLevel="1">
      <c r="A24" s="4131"/>
      <c r="B24" s="4132"/>
      <c r="C24" s="5082" t="s">
        <v>6900</v>
      </c>
      <c r="D24" s="5083"/>
      <c r="E24" s="4117">
        <v>0</v>
      </c>
      <c r="F24" s="4118"/>
      <c r="G24" s="4119">
        <f t="shared" si="10"/>
        <v>0</v>
      </c>
      <c r="H24" s="4120">
        <f t="shared" si="11"/>
        <v>0</v>
      </c>
      <c r="I24" s="4121">
        <v>0</v>
      </c>
      <c r="J24" s="4111" t="str">
        <f t="shared" si="0"/>
        <v xml:space="preserve">－ </v>
      </c>
      <c r="K24" s="4128" t="str">
        <f t="shared" si="1"/>
        <v xml:space="preserve">－ </v>
      </c>
      <c r="L24" s="4113" t="str">
        <f t="shared" si="2"/>
        <v xml:space="preserve">－ </v>
      </c>
      <c r="M24" s="4128" t="str">
        <f t="shared" si="3"/>
        <v xml:space="preserve">－ </v>
      </c>
      <c r="N24" s="4113" t="str">
        <f t="shared" si="2"/>
        <v xml:space="preserve">－ </v>
      </c>
      <c r="O24" s="4129" t="str">
        <f t="shared" si="4"/>
        <v xml:space="preserve">－ </v>
      </c>
      <c r="P24" s="4104" t="str">
        <f t="shared" si="5"/>
        <v>×表示しない</v>
      </c>
      <c r="R24" s="4122">
        <f>'3条収入'!$AI$49</f>
        <v>0</v>
      </c>
      <c r="S24" s="4044">
        <f t="shared" si="12"/>
        <v>0</v>
      </c>
    </row>
    <row r="25" spans="1:23" ht="20.25" customHeight="1" collapsed="1">
      <c r="A25" s="4115"/>
      <c r="B25" s="4123"/>
      <c r="C25" s="5077" t="s">
        <v>6902</v>
      </c>
      <c r="D25" s="5078"/>
      <c r="E25" s="4117">
        <v>9623</v>
      </c>
      <c r="F25" s="4118">
        <v>9455090</v>
      </c>
      <c r="G25" s="4119">
        <f t="shared" si="10"/>
        <v>9488526</v>
      </c>
      <c r="H25" s="4120">
        <f t="shared" si="11"/>
        <v>9485355</v>
      </c>
      <c r="I25" s="4121">
        <v>37024</v>
      </c>
      <c r="J25" s="4111">
        <f t="shared" si="0"/>
        <v>30265</v>
      </c>
      <c r="K25" s="4112">
        <f t="shared" si="1"/>
        <v>3.2009214084688774E-3</v>
      </c>
      <c r="L25" s="4113">
        <f t="shared" si="2"/>
        <v>-3171</v>
      </c>
      <c r="M25" s="4112">
        <f t="shared" si="3"/>
        <v>-3.3419310860295897E-4</v>
      </c>
      <c r="N25" s="4113">
        <f t="shared" si="2"/>
        <v>9448331</v>
      </c>
      <c r="O25" s="4114">
        <f t="shared" si="4"/>
        <v>255.19476555747625</v>
      </c>
      <c r="P25" s="4104" t="str">
        <f t="shared" si="5"/>
        <v>表示（判定）</v>
      </c>
      <c r="R25" s="4122">
        <f>'3条収入'!$AI$55</f>
        <v>9485355002</v>
      </c>
      <c r="S25" s="4044">
        <f>ROUND(R25/1000,0)+T25</f>
        <v>9485355</v>
      </c>
      <c r="T25" s="4130"/>
      <c r="U25" s="4045">
        <v>9488526</v>
      </c>
      <c r="W25" s="4045">
        <f>SUM(U25:V25)</f>
        <v>9488526</v>
      </c>
    </row>
    <row r="26" spans="1:23" ht="20.25" customHeight="1">
      <c r="A26" s="4115"/>
      <c r="B26" s="4126"/>
      <c r="C26" s="5077" t="s">
        <v>6901</v>
      </c>
      <c r="D26" s="5078"/>
      <c r="E26" s="4117">
        <v>9575</v>
      </c>
      <c r="F26" s="4118">
        <v>23622</v>
      </c>
      <c r="G26" s="4119">
        <f t="shared" si="10"/>
        <v>32929</v>
      </c>
      <c r="H26" s="4120">
        <f t="shared" si="11"/>
        <v>37130</v>
      </c>
      <c r="I26" s="4121">
        <v>9604004</v>
      </c>
      <c r="J26" s="4111">
        <f t="shared" si="0"/>
        <v>13508</v>
      </c>
      <c r="K26" s="4112">
        <f t="shared" si="1"/>
        <v>0.57183981034628739</v>
      </c>
      <c r="L26" s="4113">
        <f t="shared" si="2"/>
        <v>4201</v>
      </c>
      <c r="M26" s="4112">
        <f t="shared" si="3"/>
        <v>0.12757751526010508</v>
      </c>
      <c r="N26" s="4113">
        <f t="shared" si="2"/>
        <v>-9566874</v>
      </c>
      <c r="O26" s="4114">
        <f t="shared" si="4"/>
        <v>-0.99613390415081038</v>
      </c>
      <c r="P26" s="4104" t="str">
        <f t="shared" si="5"/>
        <v>表示（判定）</v>
      </c>
      <c r="R26" s="4122">
        <f>'3条収入'!$AI$51</f>
        <v>37130542</v>
      </c>
      <c r="S26" s="4044">
        <f t="shared" si="12"/>
        <v>37130</v>
      </c>
      <c r="T26" s="4042">
        <v>-1</v>
      </c>
      <c r="U26" s="4045">
        <v>32929</v>
      </c>
      <c r="W26" s="4045">
        <f t="shared" ref="W26" si="13">SUM(U26:V26)</f>
        <v>32929</v>
      </c>
    </row>
    <row r="27" spans="1:23" ht="20.25" customHeight="1">
      <c r="A27" s="4115"/>
      <c r="B27" s="5077" t="s">
        <v>6903</v>
      </c>
      <c r="C27" s="5077"/>
      <c r="D27" s="5078"/>
      <c r="E27" s="4106">
        <f t="shared" ref="E27:H27" si="14">SUM(E28:E31)</f>
        <v>2821</v>
      </c>
      <c r="F27" s="4107">
        <f>SUM(F28:F31)</f>
        <v>2634</v>
      </c>
      <c r="G27" s="4108">
        <f>SUM(G28:G31)</f>
        <v>2716</v>
      </c>
      <c r="H27" s="4109">
        <f t="shared" si="14"/>
        <v>4053</v>
      </c>
      <c r="I27" s="4110">
        <f>SUM(I28:I31)</f>
        <v>6403</v>
      </c>
      <c r="J27" s="4111">
        <f t="shared" si="0"/>
        <v>1419</v>
      </c>
      <c r="K27" s="4112">
        <f t="shared" si="1"/>
        <v>0.53872437357630976</v>
      </c>
      <c r="L27" s="4113">
        <f t="shared" si="2"/>
        <v>1337</v>
      </c>
      <c r="M27" s="4112">
        <f t="shared" si="3"/>
        <v>0.49226804123711343</v>
      </c>
      <c r="N27" s="4113">
        <f t="shared" si="2"/>
        <v>-2350</v>
      </c>
      <c r="O27" s="4114">
        <f t="shared" si="4"/>
        <v>-0.36701546150242076</v>
      </c>
      <c r="P27" s="4104" t="str">
        <f t="shared" si="5"/>
        <v>表示（判定）</v>
      </c>
    </row>
    <row r="28" spans="1:23" ht="20.25" hidden="1" customHeight="1">
      <c r="A28" s="4115"/>
      <c r="B28" s="4116"/>
      <c r="C28" s="5077" t="s">
        <v>6904</v>
      </c>
      <c r="D28" s="5078"/>
      <c r="E28" s="4117">
        <v>0</v>
      </c>
      <c r="F28" s="4118">
        <v>0</v>
      </c>
      <c r="G28" s="4119">
        <f>W28</f>
        <v>0</v>
      </c>
      <c r="H28" s="4120">
        <f>S28</f>
        <v>0</v>
      </c>
      <c r="I28" s="4121">
        <v>0</v>
      </c>
      <c r="J28" s="4111" t="str">
        <f t="shared" si="0"/>
        <v xml:space="preserve">－ </v>
      </c>
      <c r="K28" s="4112" t="str">
        <f t="shared" si="1"/>
        <v xml:space="preserve">－ </v>
      </c>
      <c r="L28" s="4113" t="str">
        <f t="shared" si="2"/>
        <v xml:space="preserve">－ </v>
      </c>
      <c r="M28" s="4112" t="str">
        <f t="shared" si="3"/>
        <v xml:space="preserve">－ </v>
      </c>
      <c r="N28" s="4113" t="str">
        <f t="shared" si="2"/>
        <v xml:space="preserve">－ </v>
      </c>
      <c r="O28" s="4114" t="str">
        <f t="shared" si="4"/>
        <v xml:space="preserve">－ </v>
      </c>
      <c r="P28" s="4104" t="str">
        <f t="shared" si="5"/>
        <v>×表示しない</v>
      </c>
      <c r="R28" s="4122">
        <f>'3条収入'!$AI$58</f>
        <v>0</v>
      </c>
      <c r="S28" s="4044">
        <f t="shared" ref="S28:S31" si="15">ROUND(R28/1000,0)+T28</f>
        <v>0</v>
      </c>
    </row>
    <row r="29" spans="1:23" ht="20.25" customHeight="1">
      <c r="A29" s="4115"/>
      <c r="B29" s="4123"/>
      <c r="C29" s="5084" t="s">
        <v>6905</v>
      </c>
      <c r="D29" s="5085"/>
      <c r="E29" s="4133">
        <v>2821</v>
      </c>
      <c r="F29" s="4134">
        <v>2634</v>
      </c>
      <c r="G29" s="4135">
        <f>W29</f>
        <v>1851</v>
      </c>
      <c r="H29" s="4120">
        <f>S29</f>
        <v>2624</v>
      </c>
      <c r="I29" s="4136">
        <v>3896</v>
      </c>
      <c r="J29" s="4111">
        <f t="shared" si="0"/>
        <v>-10</v>
      </c>
      <c r="K29" s="4112">
        <f t="shared" si="1"/>
        <v>-3.7965072133637054E-3</v>
      </c>
      <c r="L29" s="4113">
        <f t="shared" si="2"/>
        <v>773</v>
      </c>
      <c r="M29" s="4112">
        <f t="shared" si="3"/>
        <v>0.41761210156672068</v>
      </c>
      <c r="N29" s="4113">
        <f t="shared" si="2"/>
        <v>-1272</v>
      </c>
      <c r="O29" s="4114">
        <f t="shared" si="4"/>
        <v>-0.32648870636550309</v>
      </c>
      <c r="P29" s="4104" t="str">
        <f t="shared" si="5"/>
        <v>表示（判定）</v>
      </c>
      <c r="R29" s="4122">
        <f>'3条収入'!$AI$60</f>
        <v>2623682</v>
      </c>
      <c r="S29" s="4044">
        <f t="shared" si="15"/>
        <v>2624</v>
      </c>
      <c r="U29" s="4045">
        <v>1851</v>
      </c>
      <c r="W29" s="4045">
        <f t="shared" ref="W29:W31" si="16">SUM(U29:V29)</f>
        <v>1851</v>
      </c>
    </row>
    <row r="30" spans="1:23" ht="20.25" hidden="1" customHeight="1">
      <c r="A30" s="4115"/>
      <c r="B30" s="4123"/>
      <c r="C30" s="5077" t="s">
        <v>6906</v>
      </c>
      <c r="D30" s="5078"/>
      <c r="E30" s="4133"/>
      <c r="F30" s="4134">
        <v>0</v>
      </c>
      <c r="G30" s="4135">
        <f t="shared" ref="G30:G31" si="17">W30</f>
        <v>0</v>
      </c>
      <c r="H30" s="4120">
        <f>S30</f>
        <v>0</v>
      </c>
      <c r="I30" s="4136">
        <v>0</v>
      </c>
      <c r="J30" s="4137" t="str">
        <f t="shared" si="0"/>
        <v xml:space="preserve">－ </v>
      </c>
      <c r="K30" s="4138" t="str">
        <f t="shared" si="1"/>
        <v xml:space="preserve">－ </v>
      </c>
      <c r="L30" s="4139" t="str">
        <f t="shared" si="2"/>
        <v xml:space="preserve">－ </v>
      </c>
      <c r="M30" s="4138" t="str">
        <f t="shared" si="3"/>
        <v xml:space="preserve">－ </v>
      </c>
      <c r="N30" s="4139" t="str">
        <f t="shared" si="2"/>
        <v xml:space="preserve">－ </v>
      </c>
      <c r="O30" s="4140" t="str">
        <f t="shared" si="4"/>
        <v xml:space="preserve">－ </v>
      </c>
      <c r="P30" s="4104" t="str">
        <f t="shared" si="5"/>
        <v>×表示しない</v>
      </c>
      <c r="R30" s="4122">
        <f>'3条収入'!$AI$66</f>
        <v>0</v>
      </c>
      <c r="S30" s="4044">
        <f t="shared" si="15"/>
        <v>0</v>
      </c>
      <c r="U30" s="4045">
        <v>0</v>
      </c>
      <c r="W30" s="4045">
        <f t="shared" si="16"/>
        <v>0</v>
      </c>
    </row>
    <row r="31" spans="1:23" ht="20.25" customHeight="1" thickBot="1">
      <c r="A31" s="4141"/>
      <c r="B31" s="4142"/>
      <c r="C31" s="5086" t="s">
        <v>6907</v>
      </c>
      <c r="D31" s="5087"/>
      <c r="E31" s="4143">
        <v>0</v>
      </c>
      <c r="F31" s="4144">
        <v>0</v>
      </c>
      <c r="G31" s="4145">
        <f t="shared" si="17"/>
        <v>865</v>
      </c>
      <c r="H31" s="4146">
        <f>S31</f>
        <v>1429</v>
      </c>
      <c r="I31" s="4147">
        <v>2507</v>
      </c>
      <c r="J31" s="4148">
        <f t="shared" si="0"/>
        <v>1429</v>
      </c>
      <c r="K31" s="4149" t="str">
        <f t="shared" si="1"/>
        <v xml:space="preserve">皆増 </v>
      </c>
      <c r="L31" s="4150">
        <f t="shared" si="2"/>
        <v>564</v>
      </c>
      <c r="M31" s="4149">
        <f t="shared" si="3"/>
        <v>0.65202312138728324</v>
      </c>
      <c r="N31" s="4150">
        <f t="shared" si="2"/>
        <v>-1078</v>
      </c>
      <c r="O31" s="4151">
        <f t="shared" si="4"/>
        <v>-0.42999601116872754</v>
      </c>
      <c r="P31" s="4104" t="str">
        <f t="shared" si="5"/>
        <v>表示（判定）</v>
      </c>
      <c r="R31" s="4122">
        <f>'3条収入'!$AI$62</f>
        <v>1429429</v>
      </c>
      <c r="S31" s="4044">
        <f t="shared" si="15"/>
        <v>1429</v>
      </c>
      <c r="U31" s="4045">
        <v>865</v>
      </c>
      <c r="W31" s="4045">
        <f t="shared" si="16"/>
        <v>865</v>
      </c>
    </row>
    <row r="32" spans="1:23" ht="12.75" thickBot="1">
      <c r="A32" s="4152"/>
      <c r="B32" s="4152"/>
      <c r="C32" s="4152"/>
      <c r="D32" s="4152"/>
      <c r="E32" s="4056"/>
      <c r="F32" s="4153"/>
      <c r="G32" s="4153"/>
      <c r="H32" s="4154"/>
      <c r="I32" s="4153"/>
      <c r="J32" s="4155"/>
      <c r="K32" s="4156"/>
      <c r="L32" s="4155" t="str">
        <f t="shared" si="2"/>
        <v xml:space="preserve">－ </v>
      </c>
      <c r="M32" s="4156"/>
      <c r="N32" s="4155" t="str">
        <f t="shared" si="2"/>
        <v xml:space="preserve">－ </v>
      </c>
      <c r="O32" s="4157"/>
      <c r="P32" s="4041" t="s">
        <v>7083</v>
      </c>
    </row>
    <row r="33" spans="1:23" ht="20.25" customHeight="1" thickBot="1">
      <c r="A33" s="5088" t="s">
        <v>6908</v>
      </c>
      <c r="B33" s="5089"/>
      <c r="C33" s="5089"/>
      <c r="D33" s="5090"/>
      <c r="E33" s="4158">
        <f>SUM(E12,E23)</f>
        <v>19720016</v>
      </c>
      <c r="F33" s="4033">
        <f>SUM(F12,F23)</f>
        <v>13854862</v>
      </c>
      <c r="G33" s="4034">
        <f>SUM(G12,G23)</f>
        <v>13959285</v>
      </c>
      <c r="H33" s="4035">
        <f>SUM(H12,H23)</f>
        <v>14196306</v>
      </c>
      <c r="I33" s="4036">
        <f>SUM(I12,I23)</f>
        <v>13993380</v>
      </c>
      <c r="J33" s="4037">
        <f>IF(AND(F33=0,$H33=0),"－ ",$H33-F33)</f>
        <v>341444</v>
      </c>
      <c r="K33" s="4038">
        <f>IF(AND(F33=0,$H33&gt;0),"皆増 ",IF(AND(F33&gt;0,$H33=0),"皆減 ",IF(AND(F33=0,$H33=0),"－ ",J33/F33)))</f>
        <v>2.4644345068178954E-2</v>
      </c>
      <c r="L33" s="4039">
        <f t="shared" si="2"/>
        <v>237021</v>
      </c>
      <c r="M33" s="4038">
        <f>IF(AND(G33=0,$H33&gt;0),"皆増 ",IF(AND(G33&gt;0,$H33=0),"皆減 ",IF(AND(G33=0,$H33=0),"－ ",L33/G33)))</f>
        <v>1.6979451311438947E-2</v>
      </c>
      <c r="N33" s="4039">
        <f t="shared" si="2"/>
        <v>202926</v>
      </c>
      <c r="O33" s="4040">
        <f>IF(AND(I33=0,$H33&gt;0),"皆増 ",IF(AND(I33&gt;0,$H33=0),"皆減 ",IF(AND(I33=0,$H33=0),"－ ",N33/I33)))</f>
        <v>1.4501571457360552E-2</v>
      </c>
      <c r="P33" s="4041" t="s">
        <v>7083</v>
      </c>
      <c r="R33" s="4043" t="s">
        <v>6938</v>
      </c>
      <c r="S33" s="4044">
        <f>SUM(S11:S31)</f>
        <v>42572042</v>
      </c>
    </row>
    <row r="34" spans="1:23" ht="12">
      <c r="A34" s="4159"/>
      <c r="B34" s="4159"/>
      <c r="C34" s="4159"/>
      <c r="D34" s="4159"/>
      <c r="E34" s="4160"/>
      <c r="F34" s="4161"/>
      <c r="G34" s="4161"/>
      <c r="H34" s="4162"/>
      <c r="I34" s="4161"/>
      <c r="J34" s="4155"/>
      <c r="K34" s="4163"/>
      <c r="L34" s="4164"/>
      <c r="M34" s="4163"/>
      <c r="N34" s="4164"/>
      <c r="O34" s="4163"/>
      <c r="P34" s="4041" t="s">
        <v>7083</v>
      </c>
    </row>
    <row r="35" spans="1:23" ht="20.25" customHeight="1" thickBot="1">
      <c r="A35" s="4055" t="s">
        <v>6909</v>
      </c>
      <c r="B35" s="4165"/>
      <c r="C35" s="4165"/>
      <c r="D35" s="4165"/>
      <c r="F35" s="4166"/>
      <c r="G35" s="4166"/>
      <c r="H35" s="4167"/>
      <c r="I35" s="4166"/>
      <c r="J35" s="4155"/>
      <c r="K35" s="4168"/>
      <c r="L35" s="4169"/>
      <c r="M35" s="4168"/>
      <c r="N35" s="4169"/>
      <c r="O35" s="4168"/>
      <c r="P35" s="4041" t="s">
        <v>7083</v>
      </c>
      <c r="T35" s="4043" t="s">
        <v>6939</v>
      </c>
    </row>
    <row r="36" spans="1:23" ht="20.25" customHeight="1">
      <c r="A36" s="5091" t="s">
        <v>6910</v>
      </c>
      <c r="B36" s="5092"/>
      <c r="C36" s="5092"/>
      <c r="D36" s="5093"/>
      <c r="E36" s="4170">
        <f t="shared" ref="E36:H36" si="18">SUM(E37,E51,E55,E60)</f>
        <v>41192935</v>
      </c>
      <c r="F36" s="4171">
        <f>SUM(F37,F51,F55,F60)</f>
        <v>42889358</v>
      </c>
      <c r="G36" s="4172">
        <f>SUM(G37,G51,G55,G60)</f>
        <v>42198133</v>
      </c>
      <c r="H36" s="4173">
        <f t="shared" si="18"/>
        <v>42028135</v>
      </c>
      <c r="I36" s="4174">
        <f>SUM(I37,I51,I55,I60)</f>
        <v>42051708</v>
      </c>
      <c r="J36" s="4175">
        <f t="shared" ref="J36:J60" si="19">IF(AND(F36=0,$H36=0),"－ ",$H36-F36)</f>
        <v>-861223</v>
      </c>
      <c r="K36" s="4176">
        <f t="shared" ref="K36:K60" si="20">IF(AND(F36=0,$H36&gt;0),"皆増 ",IF(AND(F36&gt;0,$H36=0),"皆減 ",IF(AND(F36=0,$H36=0),"－ ",J36/F36)))</f>
        <v>-2.0080109382845039E-2</v>
      </c>
      <c r="L36" s="4177">
        <f t="shared" si="2"/>
        <v>-169998</v>
      </c>
      <c r="M36" s="4176">
        <f>IF(AND(G36=0,$H36&gt;0),"皆増 ",IF(AND(G36&gt;0,$H36=0),"皆減 ",IF(AND(G36=0,$H36=0),"－ ",L36/G36)))</f>
        <v>-4.0285668562635227E-3</v>
      </c>
      <c r="N36" s="4177">
        <f t="shared" si="2"/>
        <v>-23573</v>
      </c>
      <c r="O36" s="4178">
        <f>IF(AND(I36=0,$H36&gt;0),"皆増 ",IF(AND(I36&gt;0,$H36=0),"皆減 ",IF(AND(I36=0,$H36=0),"－ ",N36/I36)))</f>
        <v>-5.6057176084262734E-4</v>
      </c>
      <c r="P36" s="4104" t="str">
        <f t="shared" ref="P36:P60" si="21">IF(OR(F36&gt;0,G36&gt;0,H36&gt;0,I36&gt;0),"表示（判定）","×表示しない")</f>
        <v>表示（判定）</v>
      </c>
      <c r="R36" s="4122">
        <f>IF('3条支出'!$T$41=SUM(R38:R60),'3条支出'!$T$41,"エラー")</f>
        <v>42028134935</v>
      </c>
      <c r="S36" s="4044">
        <f t="shared" ref="S36:S54" si="22">ROUND(R36/1000,0)+T36</f>
        <v>42028135</v>
      </c>
    </row>
    <row r="37" spans="1:23" ht="20.25" customHeight="1">
      <c r="A37" s="4105"/>
      <c r="B37" s="5077" t="s">
        <v>6911</v>
      </c>
      <c r="C37" s="5077"/>
      <c r="D37" s="5078"/>
      <c r="E37" s="4106">
        <f t="shared" ref="E37:H37" si="23">SUM(E38:E50)</f>
        <v>24965206</v>
      </c>
      <c r="F37" s="4107">
        <f>SUM(F38:F50)</f>
        <v>38446311</v>
      </c>
      <c r="G37" s="4108">
        <f>SUM(G38:G50)</f>
        <v>38032169</v>
      </c>
      <c r="H37" s="4109">
        <f t="shared" si="23"/>
        <v>37846545</v>
      </c>
      <c r="I37" s="4110">
        <f>SUM(I38:I50)</f>
        <v>37457359</v>
      </c>
      <c r="J37" s="4111">
        <f t="shared" si="19"/>
        <v>-599766</v>
      </c>
      <c r="K37" s="4112">
        <f t="shared" si="20"/>
        <v>-1.5600092294940859E-2</v>
      </c>
      <c r="L37" s="4113">
        <f t="shared" si="2"/>
        <v>-185624</v>
      </c>
      <c r="M37" s="4112">
        <f>IF(AND(G37=0,$H37&gt;0),"皆増 ",IF(AND(G37&gt;0,$H37=0),"皆減 ",IF(AND(G37=0,$H37=0),"－ ",L37/G37)))</f>
        <v>-4.8807103270917841E-3</v>
      </c>
      <c r="N37" s="4113">
        <f t="shared" si="2"/>
        <v>389186</v>
      </c>
      <c r="O37" s="4114">
        <f>IF(AND(I37=0,$H37&gt;0),"皆増 ",IF(AND(I37&gt;0,$H37=0),"皆減 ",IF(AND(I37=0,$H37=0),"－ ",N37/I37)))</f>
        <v>1.0390107855708673E-2</v>
      </c>
      <c r="P37" s="4104" t="str">
        <f t="shared" si="21"/>
        <v>表示（判定）</v>
      </c>
    </row>
    <row r="38" spans="1:23" ht="20.25" customHeight="1">
      <c r="A38" s="4115"/>
      <c r="B38" s="4116"/>
      <c r="C38" s="5077" t="s">
        <v>6912</v>
      </c>
      <c r="D38" s="5078"/>
      <c r="E38" s="4117">
        <v>589007</v>
      </c>
      <c r="F38" s="4118">
        <v>599899</v>
      </c>
      <c r="G38" s="4119">
        <f t="shared" ref="G38:G50" si="24">W38</f>
        <v>586230</v>
      </c>
      <c r="H38" s="4120">
        <f t="shared" ref="H38:H50" si="25">S38</f>
        <v>564665</v>
      </c>
      <c r="I38" s="4121">
        <v>719507</v>
      </c>
      <c r="J38" s="4111">
        <f t="shared" si="19"/>
        <v>-35234</v>
      </c>
      <c r="K38" s="4112">
        <f t="shared" si="20"/>
        <v>-5.873322009204883E-2</v>
      </c>
      <c r="L38" s="4113">
        <f t="shared" si="2"/>
        <v>-21565</v>
      </c>
      <c r="M38" s="4112">
        <f>IF(AND(G38=0,$H38&gt;0),"皆増 ",IF(AND(G38&gt;0,$H38=0),"皆減 ",IF(AND(G38=0,$H38=0),"－ ",L38/G38)))</f>
        <v>-3.6785903143817272E-2</v>
      </c>
      <c r="N38" s="4113">
        <f t="shared" si="2"/>
        <v>-154842</v>
      </c>
      <c r="O38" s="4114">
        <f>IF(AND(I38=0,$H38&gt;0),"皆増 ",IF(AND(I38&gt;0,$H38=0),"皆減 ",IF(AND(I38=0,$H38=0),"－ ",N38/I38)))</f>
        <v>-0.21520568945124927</v>
      </c>
      <c r="P38" s="4104" t="str">
        <f t="shared" si="21"/>
        <v>表示（判定）</v>
      </c>
      <c r="R38" s="4122">
        <f>'3条支出'!T6</f>
        <v>564664608</v>
      </c>
      <c r="S38" s="4044">
        <f t="shared" si="22"/>
        <v>564665</v>
      </c>
      <c r="U38" s="4045">
        <v>586230</v>
      </c>
      <c r="W38" s="4045">
        <f t="shared" ref="W38:W50" si="26">SUM(U38:V38)</f>
        <v>586230</v>
      </c>
    </row>
    <row r="39" spans="1:23" ht="20.25" customHeight="1">
      <c r="A39" s="4115"/>
      <c r="B39" s="4123"/>
      <c r="C39" s="5077" t="s">
        <v>6913</v>
      </c>
      <c r="D39" s="5078"/>
      <c r="E39" s="4117">
        <v>71637</v>
      </c>
      <c r="F39" s="4118">
        <v>60255</v>
      </c>
      <c r="G39" s="4119">
        <f t="shared" si="24"/>
        <v>51456</v>
      </c>
      <c r="H39" s="4120">
        <f t="shared" si="25"/>
        <v>51313</v>
      </c>
      <c r="I39" s="4121">
        <v>50382</v>
      </c>
      <c r="J39" s="4111">
        <f t="shared" si="19"/>
        <v>-8942</v>
      </c>
      <c r="K39" s="4112">
        <f t="shared" si="20"/>
        <v>-0.14840262218902994</v>
      </c>
      <c r="L39" s="4113">
        <f t="shared" si="2"/>
        <v>-143</v>
      </c>
      <c r="M39" s="4112">
        <f>IF(AND(G39=0,$H39&gt;0),"皆増 ",IF(AND(G39&gt;0,$H39=0),"皆減 ",IF(AND(G39=0,$H39=0),"－ ",L39/G39)))</f>
        <v>-2.779073383084577E-3</v>
      </c>
      <c r="N39" s="4113">
        <f t="shared" si="2"/>
        <v>931</v>
      </c>
      <c r="O39" s="4114">
        <f>IF(AND(I39=0,$H39&gt;0),"皆増 ",IF(AND(I39&gt;0,$H39=0),"皆減 ",IF(AND(I39=0,$H39=0),"－ ",N39/I39)))</f>
        <v>1.847882180143702E-2</v>
      </c>
      <c r="P39" s="4104" t="str">
        <f t="shared" si="21"/>
        <v>表示（判定）</v>
      </c>
      <c r="R39" s="4122">
        <f>'3条支出'!T7</f>
        <v>51313295</v>
      </c>
      <c r="S39" s="4044">
        <f t="shared" si="22"/>
        <v>51313</v>
      </c>
      <c r="U39" s="4045">
        <v>51456</v>
      </c>
      <c r="W39" s="4045">
        <f t="shared" si="26"/>
        <v>51456</v>
      </c>
    </row>
    <row r="40" spans="1:23" ht="20.25" customHeight="1">
      <c r="A40" s="4115"/>
      <c r="B40" s="4123"/>
      <c r="C40" s="5077" t="s">
        <v>6914</v>
      </c>
      <c r="D40" s="5078"/>
      <c r="E40" s="4117">
        <v>2362983</v>
      </c>
      <c r="F40" s="4118">
        <v>2337248</v>
      </c>
      <c r="G40" s="4119">
        <f t="shared" si="24"/>
        <v>2257378</v>
      </c>
      <c r="H40" s="4120">
        <f t="shared" si="25"/>
        <v>2251658</v>
      </c>
      <c r="I40" s="4121">
        <v>2188384</v>
      </c>
      <c r="J40" s="4111">
        <f t="shared" si="19"/>
        <v>-85590</v>
      </c>
      <c r="K40" s="4112">
        <f t="shared" si="20"/>
        <v>-3.6619990689905395E-2</v>
      </c>
      <c r="L40" s="4113">
        <f t="shared" si="2"/>
        <v>-5720</v>
      </c>
      <c r="M40" s="4112">
        <f>IF(AND(G40=0,$H40&gt;0),"皆増 ",IF(AND(G40&gt;0,$H40=0),"皆減 ",IF(AND(G40=0,$H40=0),"－ ",L40/G40)))</f>
        <v>-2.5339132391650845E-3</v>
      </c>
      <c r="N40" s="4113">
        <f t="shared" si="2"/>
        <v>63274</v>
      </c>
      <c r="O40" s="4114">
        <f>IF(AND(I40=0,$H40&gt;0),"皆増 ",IF(AND(I40&gt;0,$H40=0),"皆減 ",IF(AND(I40=0,$H40=0),"－ ",N40/I40)))</f>
        <v>2.8913572755055784E-2</v>
      </c>
      <c r="P40" s="4104" t="str">
        <f t="shared" si="21"/>
        <v>表示（判定）</v>
      </c>
      <c r="R40" s="4122">
        <f>'3条支出'!T8</f>
        <v>2251657967</v>
      </c>
      <c r="S40" s="4044">
        <f t="shared" si="22"/>
        <v>2251658</v>
      </c>
      <c r="U40" s="4045">
        <v>2257378</v>
      </c>
      <c r="W40" s="4045">
        <f t="shared" si="26"/>
        <v>2257378</v>
      </c>
    </row>
    <row r="41" spans="1:23" ht="20.25" customHeight="1">
      <c r="A41" s="4115"/>
      <c r="B41" s="4123"/>
      <c r="C41" s="5077" t="s">
        <v>6915</v>
      </c>
      <c r="D41" s="5078"/>
      <c r="E41" s="4117">
        <v>5009251</v>
      </c>
      <c r="F41" s="4118">
        <f>6489024+52311</f>
        <v>6541335</v>
      </c>
      <c r="G41" s="4119">
        <f t="shared" si="24"/>
        <v>6145362</v>
      </c>
      <c r="H41" s="4120">
        <f t="shared" si="25"/>
        <v>6037810</v>
      </c>
      <c r="I41" s="4121">
        <v>5500570</v>
      </c>
      <c r="J41" s="4111">
        <f t="shared" si="19"/>
        <v>-503525</v>
      </c>
      <c r="K41" s="4112">
        <f t="shared" si="20"/>
        <v>-7.6975877248298699E-2</v>
      </c>
      <c r="L41" s="4113">
        <f t="shared" ref="L41:N62" si="27">IF(AND(G41=0,$H41=0),"－ ",$H41-G41)</f>
        <v>-107552</v>
      </c>
      <c r="M41" s="4112">
        <f t="shared" ref="M41:M62" si="28">IF(AND(G41=0,$H41&gt;0),"皆増 ",IF(AND(G41&gt;0,$H41=0),"皆減 ",IF(AND(G41=0,$H41=0),"－ ",L41/G41)))</f>
        <v>-1.7501328644268638E-2</v>
      </c>
      <c r="N41" s="4113">
        <f t="shared" si="27"/>
        <v>537240</v>
      </c>
      <c r="O41" s="4114">
        <f t="shared" ref="O41:O62" si="29">IF(AND(I41=0,$H41&gt;0),"皆増 ",IF(AND(I41&gt;0,$H41=0),"皆減 ",IF(AND(I41=0,$H41=0),"－ ",N41/I41)))</f>
        <v>9.7669877849022924E-2</v>
      </c>
      <c r="P41" s="4104" t="str">
        <f t="shared" si="21"/>
        <v>表示（判定）</v>
      </c>
      <c r="R41" s="4122">
        <f>'3条支出'!T9</f>
        <v>6037810078</v>
      </c>
      <c r="S41" s="4044">
        <f t="shared" si="22"/>
        <v>6037810</v>
      </c>
      <c r="U41" s="4045">
        <v>6145362</v>
      </c>
      <c r="W41" s="4045">
        <f t="shared" si="26"/>
        <v>6145362</v>
      </c>
    </row>
    <row r="42" spans="1:23" ht="20.25" customHeight="1">
      <c r="A42" s="4115"/>
      <c r="B42" s="4123"/>
      <c r="C42" s="5077" t="s">
        <v>6916</v>
      </c>
      <c r="D42" s="5078"/>
      <c r="E42" s="4117">
        <v>92445</v>
      </c>
      <c r="F42" s="4118">
        <v>78046</v>
      </c>
      <c r="G42" s="4119">
        <f t="shared" si="24"/>
        <v>85747</v>
      </c>
      <c r="H42" s="4120">
        <f t="shared" si="25"/>
        <v>87134</v>
      </c>
      <c r="I42" s="4121">
        <v>73348</v>
      </c>
      <c r="J42" s="4111">
        <f t="shared" si="19"/>
        <v>9088</v>
      </c>
      <c r="K42" s="4112">
        <f t="shared" si="20"/>
        <v>0.11644414832278401</v>
      </c>
      <c r="L42" s="4113">
        <f t="shared" si="27"/>
        <v>1387</v>
      </c>
      <c r="M42" s="4112">
        <f t="shared" si="28"/>
        <v>1.617549302016397E-2</v>
      </c>
      <c r="N42" s="4113">
        <f t="shared" si="27"/>
        <v>13786</v>
      </c>
      <c r="O42" s="4114">
        <f t="shared" si="29"/>
        <v>0.18795331842722365</v>
      </c>
      <c r="P42" s="4104" t="str">
        <f t="shared" si="21"/>
        <v>表示（判定）</v>
      </c>
      <c r="R42" s="4122">
        <f>'3条支出'!T11</f>
        <v>87134052</v>
      </c>
      <c r="S42" s="4044">
        <f t="shared" si="22"/>
        <v>87134</v>
      </c>
      <c r="U42" s="4045">
        <v>85747</v>
      </c>
      <c r="W42" s="4045">
        <f t="shared" si="26"/>
        <v>85747</v>
      </c>
    </row>
    <row r="43" spans="1:23" ht="20.25" customHeight="1">
      <c r="A43" s="4115"/>
      <c r="B43" s="4123"/>
      <c r="C43" s="5077" t="s">
        <v>6917</v>
      </c>
      <c r="D43" s="5078"/>
      <c r="E43" s="4117">
        <v>18143</v>
      </c>
      <c r="F43" s="4118">
        <v>14660</v>
      </c>
      <c r="G43" s="4119">
        <f t="shared" si="24"/>
        <v>10611</v>
      </c>
      <c r="H43" s="4120">
        <f t="shared" si="25"/>
        <v>10396</v>
      </c>
      <c r="I43" s="4121">
        <v>10663</v>
      </c>
      <c r="J43" s="4111">
        <f t="shared" si="19"/>
        <v>-4264</v>
      </c>
      <c r="K43" s="4112">
        <f t="shared" si="20"/>
        <v>-0.29085948158253749</v>
      </c>
      <c r="L43" s="4113">
        <f t="shared" si="27"/>
        <v>-215</v>
      </c>
      <c r="M43" s="4112">
        <f t="shared" si="28"/>
        <v>-2.026199227217039E-2</v>
      </c>
      <c r="N43" s="4113">
        <f t="shared" si="27"/>
        <v>-267</v>
      </c>
      <c r="O43" s="4114">
        <f t="shared" si="29"/>
        <v>-2.5039857450998782E-2</v>
      </c>
      <c r="P43" s="4104" t="str">
        <f t="shared" si="21"/>
        <v>表示（判定）</v>
      </c>
      <c r="R43" s="4122">
        <f>'3条支出'!T12</f>
        <v>10396270</v>
      </c>
      <c r="S43" s="4044">
        <f t="shared" si="22"/>
        <v>10396</v>
      </c>
      <c r="U43" s="4045">
        <v>10611</v>
      </c>
      <c r="W43" s="4045">
        <f t="shared" si="26"/>
        <v>10611</v>
      </c>
    </row>
    <row r="44" spans="1:23" ht="20.25" customHeight="1">
      <c r="A44" s="4115"/>
      <c r="B44" s="4123"/>
      <c r="C44" s="5077" t="s">
        <v>6918</v>
      </c>
      <c r="D44" s="5078"/>
      <c r="E44" s="4117">
        <v>989662</v>
      </c>
      <c r="F44" s="4118">
        <v>941911</v>
      </c>
      <c r="G44" s="4119">
        <f t="shared" si="24"/>
        <v>930360</v>
      </c>
      <c r="H44" s="4120">
        <f t="shared" si="25"/>
        <v>929692</v>
      </c>
      <c r="I44" s="4121">
        <v>958816</v>
      </c>
      <c r="J44" s="4111">
        <f t="shared" si="19"/>
        <v>-12219</v>
      </c>
      <c r="K44" s="4112">
        <f t="shared" si="20"/>
        <v>-1.2972563225187942E-2</v>
      </c>
      <c r="L44" s="4113">
        <f t="shared" si="27"/>
        <v>-668</v>
      </c>
      <c r="M44" s="4112">
        <f t="shared" si="28"/>
        <v>-7.1800163377617261E-4</v>
      </c>
      <c r="N44" s="4113">
        <f t="shared" si="27"/>
        <v>-29124</v>
      </c>
      <c r="O44" s="4114">
        <f t="shared" si="29"/>
        <v>-3.0374962453692887E-2</v>
      </c>
      <c r="P44" s="4104" t="str">
        <f t="shared" si="21"/>
        <v>表示（判定）</v>
      </c>
      <c r="R44" s="4122">
        <f>'3条支出'!T13</f>
        <v>929691714</v>
      </c>
      <c r="S44" s="4044">
        <f t="shared" si="22"/>
        <v>929692</v>
      </c>
      <c r="U44" s="4045">
        <v>930360</v>
      </c>
      <c r="W44" s="4045">
        <f t="shared" si="26"/>
        <v>930360</v>
      </c>
    </row>
    <row r="45" spans="1:23" ht="20.25" customHeight="1">
      <c r="A45" s="4115"/>
      <c r="B45" s="4123"/>
      <c r="C45" s="5077" t="s">
        <v>6919</v>
      </c>
      <c r="D45" s="5078"/>
      <c r="E45" s="4117">
        <v>592338</v>
      </c>
      <c r="F45" s="4118">
        <v>531318</v>
      </c>
      <c r="G45" s="4119">
        <f t="shared" si="24"/>
        <v>496650</v>
      </c>
      <c r="H45" s="4120">
        <f t="shared" si="25"/>
        <v>466287</v>
      </c>
      <c r="I45" s="4121">
        <v>523364</v>
      </c>
      <c r="J45" s="4111">
        <f t="shared" si="19"/>
        <v>-65031</v>
      </c>
      <c r="K45" s="4112">
        <f t="shared" si="20"/>
        <v>-0.12239562747732996</v>
      </c>
      <c r="L45" s="4113">
        <f t="shared" si="27"/>
        <v>-30363</v>
      </c>
      <c r="M45" s="4112">
        <f t="shared" si="28"/>
        <v>-6.1135608577469046E-2</v>
      </c>
      <c r="N45" s="4113">
        <f t="shared" si="27"/>
        <v>-57077</v>
      </c>
      <c r="O45" s="4114">
        <f t="shared" si="29"/>
        <v>-0.10905794055380194</v>
      </c>
      <c r="P45" s="4104" t="str">
        <f t="shared" si="21"/>
        <v>表示（判定）</v>
      </c>
      <c r="R45" s="4122">
        <f>'3条支出'!T14</f>
        <v>466286409</v>
      </c>
      <c r="S45" s="4044">
        <f t="shared" si="22"/>
        <v>466287</v>
      </c>
      <c r="T45" s="4130">
        <v>1</v>
      </c>
      <c r="U45" s="4045">
        <v>496650</v>
      </c>
      <c r="W45" s="4045">
        <f t="shared" si="26"/>
        <v>496650</v>
      </c>
    </row>
    <row r="46" spans="1:23" ht="20.25" customHeight="1">
      <c r="A46" s="4115"/>
      <c r="B46" s="4123"/>
      <c r="C46" s="5078" t="s">
        <v>6920</v>
      </c>
      <c r="D46" s="5094"/>
      <c r="E46" s="4117">
        <v>34809</v>
      </c>
      <c r="F46" s="4118">
        <f>98793+623</f>
        <v>99416</v>
      </c>
      <c r="G46" s="4119">
        <f t="shared" si="24"/>
        <v>99545</v>
      </c>
      <c r="H46" s="4120">
        <f t="shared" si="25"/>
        <v>97277</v>
      </c>
      <c r="I46" s="4121">
        <v>98056</v>
      </c>
      <c r="J46" s="4111">
        <f t="shared" si="19"/>
        <v>-2139</v>
      </c>
      <c r="K46" s="4112">
        <f t="shared" si="20"/>
        <v>-2.1515651404200531E-2</v>
      </c>
      <c r="L46" s="4113">
        <f t="shared" si="27"/>
        <v>-2268</v>
      </c>
      <c r="M46" s="4112">
        <f t="shared" si="28"/>
        <v>-2.2783665678838716E-2</v>
      </c>
      <c r="N46" s="4113">
        <f t="shared" si="27"/>
        <v>-779</v>
      </c>
      <c r="O46" s="4114">
        <f t="shared" si="29"/>
        <v>-7.9444399118870843E-3</v>
      </c>
      <c r="P46" s="4104" t="str">
        <f t="shared" si="21"/>
        <v>表示（判定）</v>
      </c>
      <c r="R46" s="4122">
        <f>'3条支出'!T15</f>
        <v>97276922</v>
      </c>
      <c r="S46" s="4044">
        <f t="shared" si="22"/>
        <v>97277</v>
      </c>
      <c r="U46" s="4045">
        <v>99545</v>
      </c>
      <c r="W46" s="4045">
        <f t="shared" si="26"/>
        <v>99545</v>
      </c>
    </row>
    <row r="47" spans="1:23" ht="20.25" customHeight="1">
      <c r="A47" s="4115"/>
      <c r="B47" s="4123"/>
      <c r="C47" s="5078" t="s">
        <v>6921</v>
      </c>
      <c r="D47" s="5094"/>
      <c r="E47" s="4117">
        <v>172556</v>
      </c>
      <c r="F47" s="4118">
        <f>233770+4311</f>
        <v>238081</v>
      </c>
      <c r="G47" s="4119">
        <f t="shared" si="24"/>
        <v>227999</v>
      </c>
      <c r="H47" s="4120">
        <f t="shared" si="25"/>
        <v>225168</v>
      </c>
      <c r="I47" s="4121">
        <v>220773</v>
      </c>
      <c r="J47" s="4111">
        <f t="shared" si="19"/>
        <v>-12913</v>
      </c>
      <c r="K47" s="4112">
        <f t="shared" si="20"/>
        <v>-5.4237843423036697E-2</v>
      </c>
      <c r="L47" s="4113">
        <f t="shared" si="27"/>
        <v>-2831</v>
      </c>
      <c r="M47" s="4112">
        <f t="shared" si="28"/>
        <v>-1.2416721125969851E-2</v>
      </c>
      <c r="N47" s="4113">
        <f t="shared" si="27"/>
        <v>4395</v>
      </c>
      <c r="O47" s="4114">
        <f t="shared" si="29"/>
        <v>1.9907325624057289E-2</v>
      </c>
      <c r="P47" s="4104" t="str">
        <f t="shared" si="21"/>
        <v>表示（判定）</v>
      </c>
      <c r="R47" s="4122">
        <f>'3条支出'!T16</f>
        <v>225167795</v>
      </c>
      <c r="S47" s="4044">
        <f t="shared" si="22"/>
        <v>225168</v>
      </c>
      <c r="U47" s="4045">
        <v>227999</v>
      </c>
      <c r="W47" s="4045">
        <f t="shared" si="26"/>
        <v>227999</v>
      </c>
    </row>
    <row r="48" spans="1:23" ht="20.25" customHeight="1">
      <c r="A48" s="4115"/>
      <c r="B48" s="4123"/>
      <c r="C48" s="5078" t="s">
        <v>6922</v>
      </c>
      <c r="D48" s="5094"/>
      <c r="E48" s="4117">
        <v>5865</v>
      </c>
      <c r="F48" s="4118">
        <v>71975</v>
      </c>
      <c r="G48" s="4119">
        <f t="shared" si="24"/>
        <v>70452</v>
      </c>
      <c r="H48" s="4120">
        <f t="shared" si="25"/>
        <v>69941</v>
      </c>
      <c r="I48" s="4121">
        <v>65034</v>
      </c>
      <c r="J48" s="4111">
        <f t="shared" si="19"/>
        <v>-2034</v>
      </c>
      <c r="K48" s="4112">
        <f t="shared" si="20"/>
        <v>-2.825981243487322E-2</v>
      </c>
      <c r="L48" s="4113">
        <f t="shared" si="27"/>
        <v>-511</v>
      </c>
      <c r="M48" s="4112">
        <f t="shared" si="28"/>
        <v>-7.2531652756486686E-3</v>
      </c>
      <c r="N48" s="4113">
        <f t="shared" si="27"/>
        <v>4907</v>
      </c>
      <c r="O48" s="4114">
        <f t="shared" si="29"/>
        <v>7.5452840052895404E-2</v>
      </c>
      <c r="P48" s="4104" t="str">
        <f t="shared" si="21"/>
        <v>表示（判定）</v>
      </c>
      <c r="R48" s="4122">
        <f>'3条支出'!T17</f>
        <v>69941329</v>
      </c>
      <c r="S48" s="4044">
        <f t="shared" si="22"/>
        <v>69941</v>
      </c>
      <c r="U48" s="4045">
        <v>70452</v>
      </c>
      <c r="W48" s="4045">
        <f t="shared" si="26"/>
        <v>70452</v>
      </c>
    </row>
    <row r="49" spans="1:23" ht="20.25" customHeight="1">
      <c r="A49" s="4115"/>
      <c r="B49" s="4123"/>
      <c r="C49" s="5077" t="s">
        <v>6923</v>
      </c>
      <c r="D49" s="5078"/>
      <c r="E49" s="4117">
        <v>14647769</v>
      </c>
      <c r="F49" s="4118">
        <v>26580629</v>
      </c>
      <c r="G49" s="4119">
        <f t="shared" si="24"/>
        <v>26549687</v>
      </c>
      <c r="H49" s="4120">
        <f t="shared" si="25"/>
        <v>26551442</v>
      </c>
      <c r="I49" s="4121">
        <v>26646058</v>
      </c>
      <c r="J49" s="4111">
        <f t="shared" si="19"/>
        <v>-29187</v>
      </c>
      <c r="K49" s="4112">
        <f t="shared" si="20"/>
        <v>-1.0980552792787561E-3</v>
      </c>
      <c r="L49" s="4113">
        <f t="shared" si="27"/>
        <v>1755</v>
      </c>
      <c r="M49" s="4112">
        <f t="shared" si="28"/>
        <v>6.6102474202426565E-5</v>
      </c>
      <c r="N49" s="4113">
        <f t="shared" si="27"/>
        <v>-94616</v>
      </c>
      <c r="O49" s="4114">
        <f t="shared" si="29"/>
        <v>-3.5508441811543004E-3</v>
      </c>
      <c r="P49" s="4104" t="str">
        <f t="shared" si="21"/>
        <v>表示（判定）</v>
      </c>
      <c r="R49" s="4122">
        <f>'3条支出'!T19</f>
        <v>26551442230</v>
      </c>
      <c r="S49" s="4044">
        <f t="shared" si="22"/>
        <v>26551442</v>
      </c>
      <c r="U49" s="4045">
        <v>26549687</v>
      </c>
      <c r="W49" s="4045">
        <f t="shared" si="26"/>
        <v>26549687</v>
      </c>
    </row>
    <row r="50" spans="1:23" ht="20.25" customHeight="1">
      <c r="A50" s="4115"/>
      <c r="B50" s="4126"/>
      <c r="C50" s="5077" t="s">
        <v>6924</v>
      </c>
      <c r="D50" s="5078"/>
      <c r="E50" s="4117">
        <v>378741</v>
      </c>
      <c r="F50" s="4118">
        <v>351538</v>
      </c>
      <c r="G50" s="4119">
        <f t="shared" si="24"/>
        <v>520692</v>
      </c>
      <c r="H50" s="4120">
        <f t="shared" si="25"/>
        <v>503762</v>
      </c>
      <c r="I50" s="4121">
        <v>402404</v>
      </c>
      <c r="J50" s="4111">
        <f t="shared" si="19"/>
        <v>152224</v>
      </c>
      <c r="K50" s="4179">
        <f t="shared" si="20"/>
        <v>0.43302288799503896</v>
      </c>
      <c r="L50" s="4113">
        <f t="shared" si="27"/>
        <v>-16930</v>
      </c>
      <c r="M50" s="4179">
        <f t="shared" si="28"/>
        <v>-3.2514423113856175E-2</v>
      </c>
      <c r="N50" s="4113">
        <f t="shared" si="27"/>
        <v>101358</v>
      </c>
      <c r="O50" s="4180">
        <f t="shared" si="29"/>
        <v>0.25188119402391629</v>
      </c>
      <c r="P50" s="4104" t="str">
        <f t="shared" si="21"/>
        <v>表示（判定）</v>
      </c>
      <c r="R50" s="4122">
        <f>'3条支出'!T20</f>
        <v>503761871</v>
      </c>
      <c r="S50" s="4044">
        <f t="shared" si="22"/>
        <v>503762</v>
      </c>
      <c r="U50" s="4045">
        <v>520692</v>
      </c>
      <c r="W50" s="4045">
        <f t="shared" si="26"/>
        <v>520692</v>
      </c>
    </row>
    <row r="51" spans="1:23" ht="20.25" customHeight="1">
      <c r="A51" s="4115"/>
      <c r="B51" s="5077" t="s">
        <v>6925</v>
      </c>
      <c r="C51" s="5077"/>
      <c r="D51" s="5078"/>
      <c r="E51" s="4106">
        <f t="shared" ref="E51:H51" si="30">SUM(E52:E54)</f>
        <v>16171804</v>
      </c>
      <c r="F51" s="4107">
        <f>SUM(F52:F54)</f>
        <v>4417315</v>
      </c>
      <c r="G51" s="4108">
        <f>SUM(G52:G54)</f>
        <v>4144435</v>
      </c>
      <c r="H51" s="4109">
        <f t="shared" si="30"/>
        <v>4161564</v>
      </c>
      <c r="I51" s="4110">
        <f>SUM(I52:I54)</f>
        <v>4589507</v>
      </c>
      <c r="J51" s="4111">
        <f t="shared" si="19"/>
        <v>-255751</v>
      </c>
      <c r="K51" s="4112">
        <f t="shared" si="20"/>
        <v>-5.7897387892871577E-2</v>
      </c>
      <c r="L51" s="4113">
        <f t="shared" si="27"/>
        <v>17129</v>
      </c>
      <c r="M51" s="4112">
        <f t="shared" si="28"/>
        <v>4.1330120993573307E-3</v>
      </c>
      <c r="N51" s="4113">
        <f t="shared" si="27"/>
        <v>-427943</v>
      </c>
      <c r="O51" s="4114">
        <f t="shared" si="29"/>
        <v>-9.3243784136291766E-2</v>
      </c>
      <c r="P51" s="4104" t="str">
        <f t="shared" si="21"/>
        <v>表示（判定）</v>
      </c>
    </row>
    <row r="52" spans="1:23" ht="20.25" customHeight="1">
      <c r="A52" s="4115"/>
      <c r="B52" s="4116"/>
      <c r="C52" s="5095" t="s">
        <v>6926</v>
      </c>
      <c r="D52" s="5096"/>
      <c r="E52" s="4117">
        <v>16052113</v>
      </c>
      <c r="F52" s="4118">
        <v>4199707</v>
      </c>
      <c r="G52" s="4119">
        <f>W52</f>
        <v>3940345</v>
      </c>
      <c r="H52" s="4120">
        <f>S52</f>
        <v>3940342</v>
      </c>
      <c r="I52" s="4121">
        <v>4396333</v>
      </c>
      <c r="J52" s="4111">
        <f t="shared" si="19"/>
        <v>-259365</v>
      </c>
      <c r="K52" s="4112">
        <f t="shared" si="20"/>
        <v>-6.1757879775898653E-2</v>
      </c>
      <c r="L52" s="4113">
        <f t="shared" si="27"/>
        <v>-3</v>
      </c>
      <c r="M52" s="4112">
        <f t="shared" si="28"/>
        <v>-7.6135465295551527E-7</v>
      </c>
      <c r="N52" s="4113">
        <f t="shared" si="27"/>
        <v>-455991</v>
      </c>
      <c r="O52" s="4114">
        <f t="shared" si="29"/>
        <v>-0.10372076000612329</v>
      </c>
      <c r="P52" s="4104" t="str">
        <f t="shared" si="21"/>
        <v>表示（判定）</v>
      </c>
      <c r="R52" s="4122">
        <f>'3条支出'!T23</f>
        <v>3940341717</v>
      </c>
      <c r="S52" s="4044">
        <f t="shared" si="22"/>
        <v>3940342</v>
      </c>
      <c r="U52" s="4045">
        <v>3940345</v>
      </c>
      <c r="W52" s="4045">
        <f>SUM(U52:V52)</f>
        <v>3940345</v>
      </c>
    </row>
    <row r="53" spans="1:23" ht="20.25" hidden="1" customHeight="1">
      <c r="A53" s="4115"/>
      <c r="B53" s="4123"/>
      <c r="C53" s="5078" t="s">
        <v>6927</v>
      </c>
      <c r="D53" s="5094"/>
      <c r="E53" s="4117">
        <v>0</v>
      </c>
      <c r="F53" s="4118"/>
      <c r="G53" s="4119">
        <v>0</v>
      </c>
      <c r="H53" s="4127">
        <v>0</v>
      </c>
      <c r="I53" s="4121">
        <v>0</v>
      </c>
      <c r="J53" s="4111" t="str">
        <f t="shared" si="19"/>
        <v xml:space="preserve">－ </v>
      </c>
      <c r="K53" s="4128" t="str">
        <f t="shared" si="20"/>
        <v xml:space="preserve">－ </v>
      </c>
      <c r="L53" s="4113" t="str">
        <f t="shared" si="27"/>
        <v xml:space="preserve">－ </v>
      </c>
      <c r="M53" s="4128" t="str">
        <f t="shared" si="28"/>
        <v xml:space="preserve">－ </v>
      </c>
      <c r="N53" s="4113" t="str">
        <f t="shared" si="27"/>
        <v xml:space="preserve">－ </v>
      </c>
      <c r="O53" s="4129" t="str">
        <f t="shared" si="29"/>
        <v xml:space="preserve">－ </v>
      </c>
      <c r="P53" s="4104" t="str">
        <f t="shared" si="21"/>
        <v>×表示しない</v>
      </c>
      <c r="R53" s="4122"/>
    </row>
    <row r="54" spans="1:23" ht="20.25" customHeight="1">
      <c r="A54" s="4115"/>
      <c r="B54" s="4126"/>
      <c r="C54" s="5077" t="s">
        <v>6928</v>
      </c>
      <c r="D54" s="5078"/>
      <c r="E54" s="4117">
        <v>119691</v>
      </c>
      <c r="F54" s="4118">
        <v>217608</v>
      </c>
      <c r="G54" s="4119">
        <f>W54</f>
        <v>204090</v>
      </c>
      <c r="H54" s="4120">
        <f>S54</f>
        <v>221222</v>
      </c>
      <c r="I54" s="4121">
        <v>193174</v>
      </c>
      <c r="J54" s="4111">
        <f t="shared" si="19"/>
        <v>3614</v>
      </c>
      <c r="K54" s="4112">
        <f t="shared" si="20"/>
        <v>1.6607845299805156E-2</v>
      </c>
      <c r="L54" s="4113">
        <f t="shared" si="27"/>
        <v>17132</v>
      </c>
      <c r="M54" s="4112">
        <f t="shared" si="28"/>
        <v>8.3943358322308786E-2</v>
      </c>
      <c r="N54" s="4113">
        <f t="shared" si="27"/>
        <v>28048</v>
      </c>
      <c r="O54" s="4114">
        <f t="shared" si="29"/>
        <v>0.14519552320705684</v>
      </c>
      <c r="P54" s="4104" t="str">
        <f t="shared" si="21"/>
        <v>表示（判定）</v>
      </c>
      <c r="R54" s="4122">
        <f>'3条支出'!T24+'3条支出'!$T$25</f>
        <v>221221824</v>
      </c>
      <c r="S54" s="4044">
        <f t="shared" si="22"/>
        <v>221222</v>
      </c>
      <c r="U54" s="4045">
        <v>196817</v>
      </c>
      <c r="V54" s="4045">
        <v>7273</v>
      </c>
      <c r="W54" s="4045">
        <f>SUM(U54:V54)</f>
        <v>204090</v>
      </c>
    </row>
    <row r="55" spans="1:23" ht="20.25" customHeight="1">
      <c r="A55" s="4115"/>
      <c r="B55" s="5077" t="s">
        <v>6929</v>
      </c>
      <c r="C55" s="5077"/>
      <c r="D55" s="5078"/>
      <c r="E55" s="4106">
        <f t="shared" ref="E55:H55" si="31">SUM(E56:E59)</f>
        <v>55925</v>
      </c>
      <c r="F55" s="4107">
        <f>SUM(F56:F59)</f>
        <v>7550</v>
      </c>
      <c r="G55" s="4108">
        <f>SUM(G56:G59)</f>
        <v>21529</v>
      </c>
      <c r="H55" s="4109">
        <f t="shared" si="31"/>
        <v>20026</v>
      </c>
      <c r="I55" s="4110">
        <f>SUM(I56:I59)</f>
        <v>4842</v>
      </c>
      <c r="J55" s="4111">
        <f t="shared" si="19"/>
        <v>12476</v>
      </c>
      <c r="K55" s="4112">
        <f t="shared" si="20"/>
        <v>1.6524503311258278</v>
      </c>
      <c r="L55" s="4113">
        <f t="shared" si="27"/>
        <v>-1503</v>
      </c>
      <c r="M55" s="4112">
        <f t="shared" si="28"/>
        <v>-6.9812810627525659E-2</v>
      </c>
      <c r="N55" s="4113">
        <f t="shared" si="27"/>
        <v>15184</v>
      </c>
      <c r="O55" s="4114">
        <f t="shared" si="29"/>
        <v>3.1358942585708385</v>
      </c>
      <c r="P55" s="4104" t="str">
        <f t="shared" si="21"/>
        <v>表示（判定）</v>
      </c>
    </row>
    <row r="56" spans="1:23" ht="20.25" customHeight="1">
      <c r="A56" s="4115"/>
      <c r="B56" s="4116"/>
      <c r="C56" s="5077" t="s">
        <v>6930</v>
      </c>
      <c r="D56" s="5078"/>
      <c r="E56" s="4117">
        <v>0</v>
      </c>
      <c r="F56" s="4118">
        <v>0</v>
      </c>
      <c r="G56" s="4119">
        <f>W56</f>
        <v>10315</v>
      </c>
      <c r="H56" s="4120">
        <f>S56</f>
        <v>10315</v>
      </c>
      <c r="I56" s="4121">
        <v>0</v>
      </c>
      <c r="J56" s="4111">
        <f t="shared" si="19"/>
        <v>10315</v>
      </c>
      <c r="K56" s="4128" t="str">
        <f t="shared" si="20"/>
        <v xml:space="preserve">皆増 </v>
      </c>
      <c r="L56" s="4113">
        <f t="shared" si="27"/>
        <v>0</v>
      </c>
      <c r="M56" s="4128">
        <f t="shared" si="28"/>
        <v>0</v>
      </c>
      <c r="N56" s="4113">
        <f t="shared" si="27"/>
        <v>10315</v>
      </c>
      <c r="O56" s="4129" t="str">
        <f t="shared" si="29"/>
        <v xml:space="preserve">皆増 </v>
      </c>
      <c r="P56" s="4104" t="str">
        <f t="shared" si="21"/>
        <v>表示（判定）</v>
      </c>
      <c r="R56" s="4122">
        <f>'3条支出'!$T$30</f>
        <v>10315355</v>
      </c>
      <c r="S56" s="4044">
        <f t="shared" ref="S56" si="32">ROUND(R56/1000,0)+T56</f>
        <v>10315</v>
      </c>
      <c r="U56" s="4045">
        <v>10315</v>
      </c>
      <c r="W56" s="4045">
        <f t="shared" ref="W56:W59" si="33">SUM(U56:V56)</f>
        <v>10315</v>
      </c>
    </row>
    <row r="57" spans="1:23" ht="20.25" customHeight="1">
      <c r="A57" s="4115"/>
      <c r="B57" s="4116"/>
      <c r="C57" s="5077" t="s">
        <v>6931</v>
      </c>
      <c r="D57" s="5078"/>
      <c r="E57" s="4117">
        <v>41531</v>
      </c>
      <c r="F57" s="4118">
        <v>7512</v>
      </c>
      <c r="G57" s="4119">
        <f>W57</f>
        <v>11176</v>
      </c>
      <c r="H57" s="4120">
        <f>S57</f>
        <v>9711</v>
      </c>
      <c r="I57" s="4121">
        <v>4840</v>
      </c>
      <c r="J57" s="4111">
        <f t="shared" si="19"/>
        <v>2199</v>
      </c>
      <c r="K57" s="4179">
        <f t="shared" si="20"/>
        <v>0.29273162939297126</v>
      </c>
      <c r="L57" s="4113">
        <f t="shared" si="27"/>
        <v>-1465</v>
      </c>
      <c r="M57" s="4179">
        <f t="shared" si="28"/>
        <v>-0.13108446671438798</v>
      </c>
      <c r="N57" s="4113">
        <f t="shared" si="27"/>
        <v>4871</v>
      </c>
      <c r="O57" s="4180">
        <f t="shared" si="29"/>
        <v>1.006404958677686</v>
      </c>
      <c r="P57" s="4104" t="str">
        <f t="shared" si="21"/>
        <v>表示（判定）</v>
      </c>
      <c r="R57" s="4122">
        <f>'3条支出'!$T$28</f>
        <v>9711499</v>
      </c>
      <c r="S57" s="4044">
        <f t="shared" ref="S57:S59" si="34">ROUND(R57/1000,0)+T57</f>
        <v>9711</v>
      </c>
      <c r="U57" s="4045">
        <v>11176</v>
      </c>
      <c r="W57" s="4045">
        <f t="shared" si="33"/>
        <v>11176</v>
      </c>
    </row>
    <row r="58" spans="1:23" ht="20.25" hidden="1" customHeight="1">
      <c r="A58" s="4115"/>
      <c r="B58" s="4123"/>
      <c r="C58" s="5077" t="s">
        <v>6932</v>
      </c>
      <c r="D58" s="5078"/>
      <c r="E58" s="4117"/>
      <c r="F58" s="4118">
        <v>0</v>
      </c>
      <c r="G58" s="4119">
        <f>W58</f>
        <v>0</v>
      </c>
      <c r="H58" s="4120">
        <f>S58</f>
        <v>0</v>
      </c>
      <c r="I58" s="4121">
        <v>0</v>
      </c>
      <c r="J58" s="4111" t="str">
        <f t="shared" si="19"/>
        <v xml:space="preserve">－ </v>
      </c>
      <c r="K58" s="4179" t="str">
        <f t="shared" si="20"/>
        <v xml:space="preserve">－ </v>
      </c>
      <c r="L58" s="4113" t="str">
        <f t="shared" si="27"/>
        <v xml:space="preserve">－ </v>
      </c>
      <c r="M58" s="4179" t="str">
        <f t="shared" si="28"/>
        <v xml:space="preserve">－ </v>
      </c>
      <c r="N58" s="4113" t="str">
        <f t="shared" si="27"/>
        <v xml:space="preserve">－ </v>
      </c>
      <c r="O58" s="4180" t="str">
        <f t="shared" si="29"/>
        <v xml:space="preserve">－ </v>
      </c>
      <c r="P58" s="4104" t="str">
        <f t="shared" si="21"/>
        <v>×表示しない</v>
      </c>
      <c r="R58" s="4122">
        <f>'3条支出'!$T$31</f>
        <v>0</v>
      </c>
      <c r="S58" s="4044">
        <f t="shared" si="34"/>
        <v>0</v>
      </c>
      <c r="U58" s="4045">
        <v>0</v>
      </c>
      <c r="W58" s="4045">
        <f t="shared" si="33"/>
        <v>0</v>
      </c>
    </row>
    <row r="59" spans="1:23" ht="20.25" customHeight="1">
      <c r="A59" s="4115"/>
      <c r="B59" s="4126"/>
      <c r="C59" s="5077" t="s">
        <v>6933</v>
      </c>
      <c r="D59" s="5078"/>
      <c r="E59" s="4117">
        <v>14394</v>
      </c>
      <c r="F59" s="4118">
        <v>38</v>
      </c>
      <c r="G59" s="4119">
        <f>W59</f>
        <v>38</v>
      </c>
      <c r="H59" s="4120">
        <f>S59</f>
        <v>0</v>
      </c>
      <c r="I59" s="4121">
        <v>2</v>
      </c>
      <c r="J59" s="4111">
        <f t="shared" si="19"/>
        <v>-38</v>
      </c>
      <c r="K59" s="4181" t="str">
        <f t="shared" si="20"/>
        <v xml:space="preserve">皆減 </v>
      </c>
      <c r="L59" s="4113">
        <f t="shared" si="27"/>
        <v>-38</v>
      </c>
      <c r="M59" s="4181" t="str">
        <f t="shared" si="28"/>
        <v xml:space="preserve">皆減 </v>
      </c>
      <c r="N59" s="4113">
        <f t="shared" si="27"/>
        <v>-2</v>
      </c>
      <c r="O59" s="4182" t="str">
        <f t="shared" si="29"/>
        <v xml:space="preserve">皆減 </v>
      </c>
      <c r="P59" s="4104" t="str">
        <f t="shared" si="21"/>
        <v>表示（判定）</v>
      </c>
      <c r="R59" s="4122">
        <f>'3条支出'!$T$29</f>
        <v>0</v>
      </c>
      <c r="S59" s="4044">
        <f t="shared" si="34"/>
        <v>0</v>
      </c>
      <c r="U59" s="4045">
        <v>38</v>
      </c>
      <c r="W59" s="4045">
        <f t="shared" si="33"/>
        <v>38</v>
      </c>
    </row>
    <row r="60" spans="1:23" ht="20.25" customHeight="1" thickBot="1">
      <c r="A60" s="4141"/>
      <c r="B60" s="5086" t="s">
        <v>6934</v>
      </c>
      <c r="C60" s="5086"/>
      <c r="D60" s="5087"/>
      <c r="E60" s="4143">
        <v>0</v>
      </c>
      <c r="F60" s="4144">
        <v>18182</v>
      </c>
      <c r="G60" s="4145">
        <f>W60</f>
        <v>0</v>
      </c>
      <c r="H60" s="4183">
        <v>0</v>
      </c>
      <c r="I60" s="4147">
        <v>0</v>
      </c>
      <c r="J60" s="4148">
        <f t="shared" si="19"/>
        <v>-18182</v>
      </c>
      <c r="K60" s="4184" t="str">
        <f t="shared" si="20"/>
        <v xml:space="preserve">皆減 </v>
      </c>
      <c r="L60" s="4150" t="str">
        <f t="shared" si="27"/>
        <v xml:space="preserve">－ </v>
      </c>
      <c r="M60" s="4184" t="str">
        <f t="shared" si="28"/>
        <v xml:space="preserve">－ </v>
      </c>
      <c r="N60" s="4150" t="str">
        <f t="shared" si="27"/>
        <v xml:space="preserve">－ </v>
      </c>
      <c r="O60" s="4185" t="str">
        <f t="shared" si="29"/>
        <v xml:space="preserve">－ </v>
      </c>
      <c r="P60" s="4104" t="str">
        <f t="shared" si="21"/>
        <v>表示（判定）</v>
      </c>
      <c r="U60" s="4045">
        <v>7273</v>
      </c>
      <c r="V60" s="4045">
        <v>-7273</v>
      </c>
      <c r="W60" s="4045">
        <f>SUM(U60:V60)</f>
        <v>0</v>
      </c>
    </row>
    <row r="61" spans="1:23" ht="12.75" thickBot="1">
      <c r="A61" s="4165"/>
      <c r="B61" s="4165"/>
      <c r="C61" s="4165"/>
      <c r="D61" s="4165"/>
      <c r="F61" s="4166"/>
      <c r="G61" s="4166"/>
      <c r="H61" s="4167"/>
      <c r="I61" s="4166"/>
      <c r="J61" s="4155"/>
      <c r="K61" s="4157"/>
      <c r="L61" s="4186"/>
      <c r="M61" s="4157"/>
      <c r="N61" s="4186"/>
      <c r="O61" s="4157"/>
      <c r="P61" s="4041" t="s">
        <v>7083</v>
      </c>
    </row>
    <row r="62" spans="1:23" ht="20.25" customHeight="1" thickBot="1">
      <c r="A62" s="5100" t="s">
        <v>7089</v>
      </c>
      <c r="B62" s="5101"/>
      <c r="C62" s="5101"/>
      <c r="D62" s="5102"/>
      <c r="E62" s="4187">
        <f>E9-E36</f>
        <v>9623</v>
      </c>
      <c r="F62" s="4188">
        <f>F9-F36</f>
        <v>120300</v>
      </c>
      <c r="G62" s="4189">
        <f>G9-G36</f>
        <v>87814</v>
      </c>
      <c r="H62" s="4190">
        <f>H9-H36</f>
        <v>543907</v>
      </c>
      <c r="I62" s="4191">
        <f>I9-I36</f>
        <v>447981</v>
      </c>
      <c r="J62" s="4037">
        <f>IF(AND(F62=0,$H62=0),"－ ",$H62-F62)</f>
        <v>423607</v>
      </c>
      <c r="K62" s="4192">
        <f>IF(AND(F62=0,$H62&gt;0),"皆増 ",IF(AND(F62&gt;0,$H62=0),"皆減 ",IF(AND(F62=0,$H62=0),"－ ",J62/F62)))</f>
        <v>3.5212551953449709</v>
      </c>
      <c r="L62" s="4039">
        <f t="shared" si="27"/>
        <v>456093</v>
      </c>
      <c r="M62" s="4192">
        <f t="shared" si="28"/>
        <v>5.1938529163914637</v>
      </c>
      <c r="N62" s="4039">
        <f t="shared" si="27"/>
        <v>95926</v>
      </c>
      <c r="O62" s="4193">
        <f t="shared" si="29"/>
        <v>0.21412961710429684</v>
      </c>
      <c r="P62" s="4041" t="s">
        <v>7083</v>
      </c>
      <c r="R62" s="4042" t="s">
        <v>6938</v>
      </c>
      <c r="S62" s="4042">
        <f>SUM(S38:S60)</f>
        <v>42028135</v>
      </c>
    </row>
    <row r="63" spans="1:23" ht="20.25" hidden="1" customHeight="1">
      <c r="B63" s="5103" t="s">
        <v>6936</v>
      </c>
      <c r="C63" s="5104"/>
      <c r="D63" s="5105"/>
      <c r="P63" s="4041" t="s">
        <v>7099</v>
      </c>
    </row>
    <row r="64" spans="1:23" ht="20.25" hidden="1" customHeight="1">
      <c r="B64" s="5097" t="s">
        <v>6937</v>
      </c>
      <c r="C64" s="5098"/>
      <c r="D64" s="5099"/>
      <c r="P64" s="4041" t="s">
        <v>7099</v>
      </c>
    </row>
    <row r="65" spans="4:19" ht="20.25" customHeight="1">
      <c r="D65" s="4125"/>
    </row>
    <row r="66" spans="4:19" ht="20.25" customHeight="1">
      <c r="K66" s="4059"/>
      <c r="M66" s="4059"/>
      <c r="O66" s="4059"/>
      <c r="P66" s="4059"/>
    </row>
    <row r="67" spans="4:19" ht="20.25" customHeight="1">
      <c r="Q67" s="4042" t="s">
        <v>6935</v>
      </c>
      <c r="R67" s="4044">
        <f>R9-R36</f>
        <v>-42028134935</v>
      </c>
      <c r="S67" s="4044">
        <f>S33-S62</f>
        <v>543907</v>
      </c>
    </row>
  </sheetData>
  <autoFilter ref="A8:W64">
    <filterColumn colId="15">
      <filters>
        <filter val="表示"/>
        <filter val="表示（判定）"/>
      </filters>
    </filterColumn>
  </autoFilter>
  <mergeCells count="48">
    <mergeCell ref="B64:D64"/>
    <mergeCell ref="C57:D57"/>
    <mergeCell ref="C58:D58"/>
    <mergeCell ref="C59:D59"/>
    <mergeCell ref="B60:D60"/>
    <mergeCell ref="A62:D62"/>
    <mergeCell ref="B63:D63"/>
    <mergeCell ref="C56:D56"/>
    <mergeCell ref="C45:D45"/>
    <mergeCell ref="C46:D46"/>
    <mergeCell ref="C47:D47"/>
    <mergeCell ref="C48:D48"/>
    <mergeCell ref="C49:D49"/>
    <mergeCell ref="C50:D50"/>
    <mergeCell ref="B51:D51"/>
    <mergeCell ref="C52:D52"/>
    <mergeCell ref="C53:D53"/>
    <mergeCell ref="C54:D54"/>
    <mergeCell ref="B55:D55"/>
    <mergeCell ref="C44:D44"/>
    <mergeCell ref="C31:D31"/>
    <mergeCell ref="A33:D33"/>
    <mergeCell ref="A36:D36"/>
    <mergeCell ref="B37:D37"/>
    <mergeCell ref="C38:D38"/>
    <mergeCell ref="C39:D39"/>
    <mergeCell ref="C40:D40"/>
    <mergeCell ref="C41:D41"/>
    <mergeCell ref="C42:D42"/>
    <mergeCell ref="C43:D43"/>
    <mergeCell ref="C30:D30"/>
    <mergeCell ref="B19:D19"/>
    <mergeCell ref="C20:D20"/>
    <mergeCell ref="C21:D21"/>
    <mergeCell ref="C22:D22"/>
    <mergeCell ref="C23:D23"/>
    <mergeCell ref="C24:D24"/>
    <mergeCell ref="C26:D26"/>
    <mergeCell ref="C25:D25"/>
    <mergeCell ref="B27:D27"/>
    <mergeCell ref="C28:D28"/>
    <mergeCell ref="C29:D29"/>
    <mergeCell ref="A7:D7"/>
    <mergeCell ref="C18:D18"/>
    <mergeCell ref="A9:D9"/>
    <mergeCell ref="B10:D10"/>
    <mergeCell ref="C11:D11"/>
    <mergeCell ref="C12:D12"/>
  </mergeCells>
  <phoneticPr fontId="28"/>
  <printOptions horizontalCentered="1"/>
  <pageMargins left="0.59055118110236227" right="0.39370078740157483" top="0.39370078740157483"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w8_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W69"/>
  <sheetViews>
    <sheetView showGridLines="0" view="pageBreakPreview" zoomScale="115" zoomScaleNormal="130" zoomScaleSheetLayoutView="115" workbookViewId="0">
      <pane xSplit="4" ySplit="8" topLeftCell="F15"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style="4042" customWidth="1"/>
    <col min="4" max="4" width="19.875" style="4042" customWidth="1"/>
    <col min="5" max="5" width="12" style="4046" hidden="1" customWidth="1" outlineLevel="1"/>
    <col min="6" max="6" width="11.625" style="4047" customWidth="1" collapsed="1"/>
    <col min="7" max="9" width="11.625" style="4047" customWidth="1"/>
    <col min="10" max="10" width="10.75" style="4042" customWidth="1" collapsed="1"/>
    <col min="11" max="11" width="7.5" style="4042" bestFit="1" customWidth="1"/>
    <col min="12" max="12" width="10.75" style="4042" customWidth="1" collapsed="1"/>
    <col min="13" max="13" width="7.5" style="4042" bestFit="1" customWidth="1"/>
    <col min="14" max="14" width="10.75" style="4042" customWidth="1" collapsed="1"/>
    <col min="15" max="15" width="7.5" style="4042" bestFit="1" customWidth="1"/>
    <col min="16" max="16" width="10.5" style="4042" bestFit="1" customWidth="1"/>
    <col min="17" max="17" width="8.75" style="4042" customWidth="1"/>
    <col min="18" max="18" width="12.875" style="4045" customWidth="1"/>
    <col min="19" max="19" width="11.625" style="4045" customWidth="1"/>
    <col min="20" max="20" width="10" style="4045" customWidth="1"/>
    <col min="21" max="21" width="16.375" style="4045" bestFit="1" customWidth="1"/>
    <col min="22" max="22" width="9" style="4045"/>
    <col min="23" max="23" width="13.375" style="4045" bestFit="1" customWidth="1"/>
    <col min="24" max="16384" width="9" style="4042"/>
  </cols>
  <sheetData>
    <row r="1" spans="1:23" ht="12" hidden="1" outlineLevel="1"/>
    <row r="2" spans="1:23" ht="12" hidden="1" outlineLevel="1"/>
    <row r="3" spans="1:23" s="4048" customFormat="1" ht="18.75" collapsed="1">
      <c r="A3" s="4048" t="str">
        <f>CONCATENATE("令和",+DBCS(MID(出資金しくみ!B1,3,1)),"年度決算　収益的収支（税込）")</f>
        <v>令和５年度決算　収益的収支（税込）</v>
      </c>
      <c r="B3" s="4049"/>
      <c r="C3" s="4049"/>
      <c r="D3" s="4049"/>
      <c r="E3" s="4050"/>
      <c r="F3" s="4051"/>
      <c r="G3" s="4051"/>
      <c r="H3" s="4051"/>
      <c r="I3" s="4052"/>
      <c r="J3" s="4049"/>
      <c r="K3" s="4049"/>
      <c r="L3" s="4049"/>
      <c r="M3" s="4053"/>
      <c r="N3" s="4049"/>
      <c r="O3" s="4817" t="str">
        <f>総括表!$K$1</f>
        <v>令和6年5月22日</v>
      </c>
      <c r="R3" s="4054"/>
      <c r="S3" s="4054"/>
      <c r="T3" s="4054"/>
      <c r="U3" s="4054"/>
      <c r="V3" s="4054"/>
      <c r="W3" s="4054"/>
    </row>
    <row r="4" spans="1:23" ht="12" hidden="1" outlineLevel="1">
      <c r="A4" s="4055"/>
      <c r="B4" s="4055"/>
      <c r="C4" s="4055"/>
      <c r="D4" s="4055"/>
    </row>
    <row r="5" spans="1:23" ht="20.25" customHeight="1" collapsed="1" thickBot="1">
      <c r="A5" s="4055" t="s">
        <v>6879</v>
      </c>
      <c r="B5" s="4055"/>
      <c r="C5" s="4055"/>
      <c r="D5" s="4055"/>
      <c r="E5" s="4056"/>
      <c r="F5" s="4057"/>
      <c r="G5" s="4057"/>
      <c r="H5" s="4058"/>
      <c r="I5" s="4058"/>
      <c r="J5" s="4059"/>
      <c r="K5" s="4059"/>
      <c r="L5" s="4059"/>
      <c r="M5" s="4060"/>
      <c r="N5" s="4059"/>
      <c r="O5" s="4060" t="s">
        <v>7079</v>
      </c>
      <c r="P5" s="4059"/>
    </row>
    <row r="6" spans="1:23" s="4059" customFormat="1" ht="13.5" thickTop="1" thickBot="1">
      <c r="A6" s="4061"/>
      <c r="B6" s="4062"/>
      <c r="C6" s="4062"/>
      <c r="D6" s="4063"/>
      <c r="E6" s="4064"/>
      <c r="F6" s="4065"/>
      <c r="G6" s="4066"/>
      <c r="H6" s="4067"/>
      <c r="I6" s="4066"/>
      <c r="J6" s="4069" t="s">
        <v>7078</v>
      </c>
      <c r="K6" s="4068"/>
      <c r="L6" s="4069"/>
      <c r="M6" s="4068"/>
      <c r="N6" s="4069"/>
      <c r="O6" s="4070"/>
      <c r="P6" s="4071"/>
      <c r="R6" s="4072"/>
      <c r="S6" s="4072"/>
      <c r="T6" s="4072"/>
      <c r="U6" s="4072"/>
      <c r="V6" s="4072"/>
      <c r="W6" s="4072"/>
    </row>
    <row r="7" spans="1:23" ht="24">
      <c r="A7" s="5074" t="s">
        <v>7088</v>
      </c>
      <c r="B7" s="5075"/>
      <c r="C7" s="5075"/>
      <c r="D7" s="5076"/>
      <c r="E7" s="4073" t="s">
        <v>6883</v>
      </c>
      <c r="F7" s="4074" t="s">
        <v>7086</v>
      </c>
      <c r="G7" s="4075" t="s">
        <v>7084</v>
      </c>
      <c r="H7" s="4076" t="s">
        <v>7085</v>
      </c>
      <c r="I7" s="4077" t="s">
        <v>7087</v>
      </c>
      <c r="J7" s="4078" t="s">
        <v>7082</v>
      </c>
      <c r="K7" s="4079"/>
      <c r="L7" s="4080" t="s">
        <v>7081</v>
      </c>
      <c r="M7" s="4079"/>
      <c r="N7" s="4080" t="s">
        <v>7080</v>
      </c>
      <c r="O7" s="4081"/>
      <c r="R7" s="4045" t="s">
        <v>7094</v>
      </c>
      <c r="U7" s="4045" t="s">
        <v>7071</v>
      </c>
    </row>
    <row r="8" spans="1:23" ht="20.25" customHeight="1">
      <c r="A8" s="4082"/>
      <c r="B8" s="4083"/>
      <c r="C8" s="4083"/>
      <c r="D8" s="4084"/>
      <c r="E8" s="4085"/>
      <c r="F8" s="4086" t="s">
        <v>7074</v>
      </c>
      <c r="G8" s="4087" t="s">
        <v>7075</v>
      </c>
      <c r="H8" s="4088" t="s">
        <v>7076</v>
      </c>
      <c r="I8" s="4089" t="s">
        <v>7077</v>
      </c>
      <c r="J8" s="4090" t="s">
        <v>7097</v>
      </c>
      <c r="K8" s="4091" t="s">
        <v>6885</v>
      </c>
      <c r="L8" s="4092" t="s">
        <v>7136</v>
      </c>
      <c r="M8" s="4091" t="s">
        <v>6885</v>
      </c>
      <c r="N8" s="4092" t="s">
        <v>7132</v>
      </c>
      <c r="O8" s="4093" t="s">
        <v>6885</v>
      </c>
      <c r="P8" s="4071" t="s">
        <v>7090</v>
      </c>
      <c r="Q8" s="4042" t="s">
        <v>7091</v>
      </c>
      <c r="R8" s="4045" t="s">
        <v>7093</v>
      </c>
      <c r="S8" s="4045" t="s">
        <v>7092</v>
      </c>
      <c r="T8" s="4578" t="s">
        <v>6939</v>
      </c>
      <c r="U8" s="4045" t="s">
        <v>7072</v>
      </c>
      <c r="V8" s="4045" t="s">
        <v>7073</v>
      </c>
      <c r="W8" s="4045" t="s">
        <v>7072</v>
      </c>
    </row>
    <row r="9" spans="1:23" ht="20.25" customHeight="1">
      <c r="A9" s="5079" t="s">
        <v>6886</v>
      </c>
      <c r="B9" s="5080"/>
      <c r="C9" s="5080"/>
      <c r="D9" s="5081"/>
      <c r="E9" s="4095">
        <f>SUM(E10,E19,E27)</f>
        <v>41202558</v>
      </c>
      <c r="F9" s="4096">
        <f>SUM(F10,F19,F27)</f>
        <v>44975817</v>
      </c>
      <c r="G9" s="4097">
        <f>SUM(G10,G19,G27)</f>
        <v>44165221</v>
      </c>
      <c r="H9" s="4098">
        <f>SUM(H10,H19,H27)</f>
        <v>44454712</v>
      </c>
      <c r="I9" s="4099">
        <f>SUM(I10,I19,I27)</f>
        <v>44381298</v>
      </c>
      <c r="J9" s="4100">
        <f t="shared" ref="J9:J31" si="0">IF(AND(F9=0,$H9=0),"－ ",$H9-F9)</f>
        <v>-521105</v>
      </c>
      <c r="K9" s="4101">
        <f t="shared" ref="K9:K31" si="1">IF(AND(F9=0,$H9&gt;0),"皆増 ",IF(AND(F9&gt;0,$H9=0),"皆減 ",IF(AND(F9=0,$H9=0),"－ ",J9/F9)))</f>
        <v>-1.1586337608942157E-2</v>
      </c>
      <c r="L9" s="4102">
        <f t="shared" ref="L9:N40" si="2">IF(AND(G9=0,$H9=0),"－ ",$H9-G9)</f>
        <v>289491</v>
      </c>
      <c r="M9" s="4101">
        <f t="shared" ref="M9:M31" si="3">IF(AND(G9=0,$H9&gt;0),"皆増 ",IF(AND(G9&gt;0,$H9=0),"皆減 ",IF(AND(G9=0,$H9=0),"－ ",L9/G9)))</f>
        <v>6.5547277573908208E-3</v>
      </c>
      <c r="N9" s="4102">
        <f t="shared" si="2"/>
        <v>73414</v>
      </c>
      <c r="O9" s="4103">
        <f t="shared" ref="O9:O31" si="4">IF(AND(I9=0,$H9&gt;0),"皆増 ",IF(AND(I9&gt;0,$H9=0),"皆減 ",IF(AND(I9=0,$H9=0),"－ ",N9/I9)))</f>
        <v>1.6541652296875138E-3</v>
      </c>
      <c r="P9" s="4104" t="str">
        <f t="shared" ref="P9:P31" si="5">IF(OR(F9&gt;0,G9&gt;0,H9&gt;0,I9&gt;0),"表示（判定）","×表示しない")</f>
        <v>表示（判定）</v>
      </c>
      <c r="R9" s="4045">
        <f>SUM(R10,R19,R27)</f>
        <v>44454711283</v>
      </c>
    </row>
    <row r="10" spans="1:23" ht="20.25" customHeight="1">
      <c r="A10" s="4105"/>
      <c r="B10" s="5077" t="s">
        <v>6887</v>
      </c>
      <c r="C10" s="5077"/>
      <c r="D10" s="5078"/>
      <c r="E10" s="4106">
        <f t="shared" ref="E10" si="6">SUM(E11:E12,E18)</f>
        <v>39159297</v>
      </c>
      <c r="F10" s="4107">
        <f>SUM(F11:F12,F18)</f>
        <v>35444153</v>
      </c>
      <c r="G10" s="4108">
        <f>SUM(G11:G12,G18)</f>
        <v>34582538</v>
      </c>
      <c r="H10" s="4109">
        <f>SUM(H11:H12,H18)</f>
        <v>34865913</v>
      </c>
      <c r="I10" s="4110">
        <f>SUM(I11:I12,I18)</f>
        <v>34671095</v>
      </c>
      <c r="J10" s="4111">
        <f t="shared" si="0"/>
        <v>-578240</v>
      </c>
      <c r="K10" s="4112">
        <f t="shared" si="1"/>
        <v>-1.6314115335186598E-2</v>
      </c>
      <c r="L10" s="4113">
        <f t="shared" si="2"/>
        <v>283375</v>
      </c>
      <c r="M10" s="4112">
        <f t="shared" si="3"/>
        <v>8.1941643496495249E-3</v>
      </c>
      <c r="N10" s="4113">
        <f t="shared" si="2"/>
        <v>194818</v>
      </c>
      <c r="O10" s="4114">
        <f t="shared" si="4"/>
        <v>5.6190322226627107E-3</v>
      </c>
      <c r="P10" s="4104" t="str">
        <f t="shared" si="5"/>
        <v>表示（判定）</v>
      </c>
      <c r="R10" s="4045">
        <f>SUM(R11:R12,R18)</f>
        <v>34865911732</v>
      </c>
    </row>
    <row r="11" spans="1:23" ht="20.25" customHeight="1">
      <c r="A11" s="4115"/>
      <c r="B11" s="4116"/>
      <c r="C11" s="5077" t="s">
        <v>6888</v>
      </c>
      <c r="D11" s="5078"/>
      <c r="E11" s="4117">
        <v>21145614</v>
      </c>
      <c r="F11" s="4118">
        <v>21384728</v>
      </c>
      <c r="G11" s="4119">
        <v>20441757</v>
      </c>
      <c r="H11" s="4120">
        <f>S11</f>
        <v>20488963</v>
      </c>
      <c r="I11" s="4121">
        <v>20482227</v>
      </c>
      <c r="J11" s="4111">
        <f t="shared" si="0"/>
        <v>-895765</v>
      </c>
      <c r="K11" s="4112">
        <f t="shared" si="1"/>
        <v>-4.1888070776490587E-2</v>
      </c>
      <c r="L11" s="4113">
        <f t="shared" si="2"/>
        <v>47206</v>
      </c>
      <c r="M11" s="4112">
        <f t="shared" si="3"/>
        <v>2.3092926894689139E-3</v>
      </c>
      <c r="N11" s="4113">
        <f t="shared" si="2"/>
        <v>6736</v>
      </c>
      <c r="O11" s="4114">
        <f t="shared" si="4"/>
        <v>3.288704885459965E-4</v>
      </c>
      <c r="P11" s="4104" t="str">
        <f t="shared" si="5"/>
        <v>表示（判定）</v>
      </c>
      <c r="R11" s="4045">
        <f>'3条収入'!$E$8</f>
        <v>20488962528</v>
      </c>
      <c r="S11" s="4045">
        <f>ROUND(R11/1000,0)+T11</f>
        <v>20488963</v>
      </c>
      <c r="U11" s="4045">
        <v>18583417</v>
      </c>
      <c r="W11" s="4045">
        <f>SUM(U11:V11)</f>
        <v>18583417</v>
      </c>
    </row>
    <row r="12" spans="1:23" ht="20.25" customHeight="1">
      <c r="A12" s="4115"/>
      <c r="B12" s="4123"/>
      <c r="C12" s="5077" t="s">
        <v>6889</v>
      </c>
      <c r="D12" s="5078"/>
      <c r="E12" s="4117">
        <v>18011826</v>
      </c>
      <c r="F12" s="4107">
        <f>SUM(F13:F17)</f>
        <v>13854862</v>
      </c>
      <c r="G12" s="4108">
        <f>SUM(G13:G17)</f>
        <v>13951285</v>
      </c>
      <c r="H12" s="4109">
        <f t="shared" ref="H12" si="7">SUM(H13:H17)</f>
        <v>14187103</v>
      </c>
      <c r="I12" s="4110">
        <f>SUM(I13:I17)</f>
        <v>13993349</v>
      </c>
      <c r="J12" s="4111">
        <f t="shared" si="0"/>
        <v>332241</v>
      </c>
      <c r="K12" s="4112">
        <f t="shared" si="1"/>
        <v>2.3980101714473952E-2</v>
      </c>
      <c r="L12" s="4113">
        <f t="shared" si="2"/>
        <v>235818</v>
      </c>
      <c r="M12" s="4112">
        <f t="shared" si="3"/>
        <v>1.6902959118102742E-2</v>
      </c>
      <c r="N12" s="4113">
        <f t="shared" si="2"/>
        <v>193754</v>
      </c>
      <c r="O12" s="4114">
        <f t="shared" si="4"/>
        <v>1.3846149338517891E-2</v>
      </c>
      <c r="P12" s="4104" t="str">
        <f t="shared" si="5"/>
        <v>表示（判定）</v>
      </c>
      <c r="R12" s="4045">
        <f t="shared" ref="R12" si="8">SUM(R13:R17)</f>
        <v>14187102335</v>
      </c>
    </row>
    <row r="13" spans="1:23" ht="20.25" customHeight="1">
      <c r="A13" s="4115"/>
      <c r="B13" s="4123"/>
      <c r="C13" s="4116"/>
      <c r="D13" s="4573" t="s">
        <v>6890</v>
      </c>
      <c r="E13" s="4106">
        <f>E12-E14-E15-E16</f>
        <v>17853307</v>
      </c>
      <c r="F13" s="4118">
        <v>13738282</v>
      </c>
      <c r="G13" s="4119">
        <f>13852072-8000</f>
        <v>13844072</v>
      </c>
      <c r="H13" s="4120">
        <f>S13</f>
        <v>14079750</v>
      </c>
      <c r="I13" s="4121">
        <v>13893559</v>
      </c>
      <c r="J13" s="4111">
        <f t="shared" si="0"/>
        <v>341468</v>
      </c>
      <c r="K13" s="4112">
        <f t="shared" si="1"/>
        <v>2.4855218432697772E-2</v>
      </c>
      <c r="L13" s="4113">
        <f t="shared" si="2"/>
        <v>235678</v>
      </c>
      <c r="M13" s="4112">
        <f t="shared" si="3"/>
        <v>1.7023748504052853E-2</v>
      </c>
      <c r="N13" s="4113">
        <f t="shared" si="2"/>
        <v>186191</v>
      </c>
      <c r="O13" s="4114">
        <f t="shared" si="4"/>
        <v>1.3401245857882778E-2</v>
      </c>
      <c r="P13" s="4104" t="str">
        <f t="shared" si="5"/>
        <v>表示（判定）</v>
      </c>
      <c r="R13" s="4045">
        <f>'3条収入'!$E$10</f>
        <v>14079749832</v>
      </c>
      <c r="S13" s="4045">
        <f t="shared" ref="S13:S16" si="9">ROUND(R13/1000,0)+T13</f>
        <v>14079750</v>
      </c>
      <c r="U13" s="4045">
        <v>13852072</v>
      </c>
      <c r="V13" s="4045">
        <v>8000</v>
      </c>
      <c r="W13" s="4045">
        <f t="shared" ref="W13:W18" si="10">SUM(U13:V13)</f>
        <v>13860072</v>
      </c>
    </row>
    <row r="14" spans="1:23" ht="20.25" customHeight="1">
      <c r="A14" s="4115"/>
      <c r="B14" s="4123"/>
      <c r="C14" s="4123"/>
      <c r="D14" s="4573" t="s">
        <v>6891</v>
      </c>
      <c r="E14" s="4117">
        <v>72773</v>
      </c>
      <c r="F14" s="4118">
        <v>61778</v>
      </c>
      <c r="G14" s="4119">
        <v>52650</v>
      </c>
      <c r="H14" s="4120">
        <f>S14</f>
        <v>52444</v>
      </c>
      <c r="I14" s="4121">
        <v>51549</v>
      </c>
      <c r="J14" s="4111">
        <f t="shared" si="0"/>
        <v>-9334</v>
      </c>
      <c r="K14" s="4112">
        <f t="shared" si="1"/>
        <v>-0.15108938457055909</v>
      </c>
      <c r="L14" s="4113">
        <f t="shared" si="2"/>
        <v>-206</v>
      </c>
      <c r="M14" s="4112">
        <f t="shared" si="3"/>
        <v>-3.9126305792972459E-3</v>
      </c>
      <c r="N14" s="4113">
        <f t="shared" si="2"/>
        <v>895</v>
      </c>
      <c r="O14" s="4114">
        <f t="shared" si="4"/>
        <v>1.7362121476653281E-2</v>
      </c>
      <c r="P14" s="4104" t="str">
        <f t="shared" si="5"/>
        <v>表示（判定）</v>
      </c>
      <c r="R14" s="4045">
        <f>'3条収入'!$E$14</f>
        <v>52443869</v>
      </c>
      <c r="S14" s="4045">
        <f t="shared" si="9"/>
        <v>52444</v>
      </c>
      <c r="U14" s="4045">
        <v>52650</v>
      </c>
      <c r="W14" s="4045">
        <f t="shared" si="10"/>
        <v>52650</v>
      </c>
    </row>
    <row r="15" spans="1:23" ht="20.25" customHeight="1">
      <c r="A15" s="4115"/>
      <c r="B15" s="4123"/>
      <c r="C15" s="4123"/>
      <c r="D15" s="4573" t="s">
        <v>6892</v>
      </c>
      <c r="E15" s="4117">
        <v>67470</v>
      </c>
      <c r="F15" s="4118">
        <v>40039</v>
      </c>
      <c r="G15" s="4119">
        <v>43851</v>
      </c>
      <c r="H15" s="4120">
        <f>S15</f>
        <v>44425</v>
      </c>
      <c r="I15" s="4121">
        <v>37495</v>
      </c>
      <c r="J15" s="4111">
        <f t="shared" si="0"/>
        <v>4386</v>
      </c>
      <c r="K15" s="4112">
        <f t="shared" si="1"/>
        <v>0.10954319538450011</v>
      </c>
      <c r="L15" s="4113">
        <f t="shared" si="2"/>
        <v>574</v>
      </c>
      <c r="M15" s="4112">
        <f t="shared" si="3"/>
        <v>1.3089781304873321E-2</v>
      </c>
      <c r="N15" s="4113">
        <f t="shared" si="2"/>
        <v>6930</v>
      </c>
      <c r="O15" s="4114">
        <f t="shared" si="4"/>
        <v>0.18482464328577144</v>
      </c>
      <c r="P15" s="4104" t="str">
        <f t="shared" si="5"/>
        <v>表示（判定）</v>
      </c>
      <c r="R15" s="4045">
        <f>'3条収入'!$E$15</f>
        <v>44424775</v>
      </c>
      <c r="S15" s="4045">
        <f t="shared" si="9"/>
        <v>44425</v>
      </c>
      <c r="U15" s="4045">
        <v>43851</v>
      </c>
      <c r="W15" s="4045">
        <f t="shared" si="10"/>
        <v>43851</v>
      </c>
    </row>
    <row r="16" spans="1:23" ht="20.25" customHeight="1">
      <c r="A16" s="4115"/>
      <c r="B16" s="4123"/>
      <c r="C16" s="4123"/>
      <c r="D16" s="4573" t="s">
        <v>6893</v>
      </c>
      <c r="E16" s="4117">
        <v>18276</v>
      </c>
      <c r="F16" s="4118">
        <v>14763</v>
      </c>
      <c r="G16" s="4119">
        <v>10712</v>
      </c>
      <c r="H16" s="4120">
        <f>S16</f>
        <v>10484</v>
      </c>
      <c r="I16" s="4121">
        <v>10746</v>
      </c>
      <c r="J16" s="4111">
        <f t="shared" si="0"/>
        <v>-4279</v>
      </c>
      <c r="K16" s="4112">
        <f t="shared" si="1"/>
        <v>-0.28984623721465824</v>
      </c>
      <c r="L16" s="4113">
        <f t="shared" si="2"/>
        <v>-228</v>
      </c>
      <c r="M16" s="4112">
        <f t="shared" si="3"/>
        <v>-2.1284540702016429E-2</v>
      </c>
      <c r="N16" s="4113">
        <f t="shared" si="2"/>
        <v>-262</v>
      </c>
      <c r="O16" s="4114">
        <f t="shared" si="4"/>
        <v>-2.4381165084682674E-2</v>
      </c>
      <c r="P16" s="4104" t="str">
        <f t="shared" si="5"/>
        <v>表示（判定）</v>
      </c>
      <c r="R16" s="4045">
        <f>'3条収入'!$E$16</f>
        <v>10483859</v>
      </c>
      <c r="S16" s="4045">
        <f t="shared" si="9"/>
        <v>10484</v>
      </c>
      <c r="T16" s="4579"/>
      <c r="U16" s="4045">
        <v>10712</v>
      </c>
      <c r="W16" s="4045">
        <f t="shared" si="10"/>
        <v>10712</v>
      </c>
    </row>
    <row r="17" spans="1:23" ht="20.25" hidden="1" customHeight="1">
      <c r="A17" s="4115"/>
      <c r="B17" s="4123"/>
      <c r="C17" s="4126"/>
      <c r="D17" s="4573" t="s">
        <v>6894</v>
      </c>
      <c r="E17" s="4117">
        <v>0</v>
      </c>
      <c r="F17" s="4118"/>
      <c r="G17" s="4119"/>
      <c r="H17" s="4127"/>
      <c r="I17" s="4121"/>
      <c r="J17" s="4111" t="str">
        <f t="shared" si="0"/>
        <v xml:space="preserve">－ </v>
      </c>
      <c r="K17" s="4128" t="str">
        <f t="shared" si="1"/>
        <v xml:space="preserve">－ </v>
      </c>
      <c r="L17" s="4113" t="str">
        <f t="shared" si="2"/>
        <v xml:space="preserve">－ </v>
      </c>
      <c r="M17" s="4128" t="str">
        <f t="shared" si="3"/>
        <v xml:space="preserve">－ </v>
      </c>
      <c r="N17" s="4113" t="str">
        <f t="shared" si="2"/>
        <v xml:space="preserve">－ </v>
      </c>
      <c r="O17" s="4129" t="str">
        <f t="shared" si="4"/>
        <v xml:space="preserve">－ </v>
      </c>
      <c r="P17" s="4104" t="str">
        <f t="shared" si="5"/>
        <v>×表示しない</v>
      </c>
      <c r="U17" s="4045">
        <v>172315</v>
      </c>
      <c r="W17" s="4045">
        <f t="shared" si="10"/>
        <v>172315</v>
      </c>
    </row>
    <row r="18" spans="1:23" ht="20.25" customHeight="1">
      <c r="A18" s="4115"/>
      <c r="B18" s="4126"/>
      <c r="C18" s="5077" t="s">
        <v>6895</v>
      </c>
      <c r="D18" s="5078"/>
      <c r="E18" s="4117">
        <v>1857</v>
      </c>
      <c r="F18" s="4118">
        <v>204563</v>
      </c>
      <c r="G18" s="4119">
        <v>189496</v>
      </c>
      <c r="H18" s="4120">
        <f>S18</f>
        <v>189847</v>
      </c>
      <c r="I18" s="4121">
        <v>195519</v>
      </c>
      <c r="J18" s="4111">
        <f t="shared" si="0"/>
        <v>-14716</v>
      </c>
      <c r="K18" s="4112">
        <f t="shared" si="1"/>
        <v>-7.1938718145510186E-2</v>
      </c>
      <c r="L18" s="4113">
        <f t="shared" si="2"/>
        <v>351</v>
      </c>
      <c r="M18" s="4112">
        <f t="shared" si="3"/>
        <v>1.8522818423607887E-3</v>
      </c>
      <c r="N18" s="4113">
        <f t="shared" si="2"/>
        <v>-5672</v>
      </c>
      <c r="O18" s="4114">
        <f t="shared" si="4"/>
        <v>-2.9009968340672772E-2</v>
      </c>
      <c r="P18" s="4104" t="str">
        <f t="shared" si="5"/>
        <v>表示（判定）</v>
      </c>
      <c r="R18" s="4045">
        <f>'3条収入'!$E$19</f>
        <v>189846869</v>
      </c>
      <c r="S18" s="4045">
        <f>ROUND(R18/1000,0)+T18</f>
        <v>189847</v>
      </c>
      <c r="T18" s="4580"/>
      <c r="U18" s="4045">
        <v>172315</v>
      </c>
      <c r="W18" s="4045">
        <f t="shared" si="10"/>
        <v>172315</v>
      </c>
    </row>
    <row r="19" spans="1:23" ht="20.25" customHeight="1">
      <c r="A19" s="4115"/>
      <c r="B19" s="5077" t="s">
        <v>6896</v>
      </c>
      <c r="C19" s="5077"/>
      <c r="D19" s="5078"/>
      <c r="E19" s="4106">
        <f>SUM(E20:E26)</f>
        <v>2040440</v>
      </c>
      <c r="F19" s="4107">
        <f>SUM(F20:F26)</f>
        <v>9528788</v>
      </c>
      <c r="G19" s="4108">
        <f>SUM(G20:G26)</f>
        <v>9579686</v>
      </c>
      <c r="H19" s="4109">
        <f>SUM(H20:H26)</f>
        <v>9584600</v>
      </c>
      <c r="I19" s="4110">
        <f>SUM(I20:I26)</f>
        <v>9703635</v>
      </c>
      <c r="J19" s="4111">
        <f t="shared" si="0"/>
        <v>55812</v>
      </c>
      <c r="K19" s="4112">
        <f t="shared" si="1"/>
        <v>5.8571982082086414E-3</v>
      </c>
      <c r="L19" s="4113">
        <f t="shared" si="2"/>
        <v>4914</v>
      </c>
      <c r="M19" s="4112">
        <f t="shared" si="3"/>
        <v>5.1296044567640314E-4</v>
      </c>
      <c r="N19" s="4113">
        <f t="shared" si="2"/>
        <v>-119035</v>
      </c>
      <c r="O19" s="4114">
        <f t="shared" si="4"/>
        <v>-1.2267052501459505E-2</v>
      </c>
      <c r="P19" s="4104" t="str">
        <f t="shared" si="5"/>
        <v>表示（判定）</v>
      </c>
      <c r="R19" s="4045">
        <f>SUM(R20:R26)</f>
        <v>9584600552</v>
      </c>
    </row>
    <row r="20" spans="1:23" ht="20.25" customHeight="1">
      <c r="A20" s="4115"/>
      <c r="B20" s="4116"/>
      <c r="C20" s="5077" t="s">
        <v>6897</v>
      </c>
      <c r="D20" s="5078"/>
      <c r="E20" s="4117">
        <v>7130</v>
      </c>
      <c r="F20" s="4118">
        <v>70</v>
      </c>
      <c r="G20" s="4119">
        <f t="shared" ref="G20:G24" si="11">W20</f>
        <v>87</v>
      </c>
      <c r="H20" s="4120">
        <f t="shared" ref="H20:H26" si="12">S20</f>
        <v>89</v>
      </c>
      <c r="I20" s="4121">
        <v>63</v>
      </c>
      <c r="J20" s="4111">
        <f t="shared" si="0"/>
        <v>19</v>
      </c>
      <c r="K20" s="4112">
        <f t="shared" si="1"/>
        <v>0.27142857142857141</v>
      </c>
      <c r="L20" s="4113">
        <f t="shared" si="2"/>
        <v>2</v>
      </c>
      <c r="M20" s="4112">
        <f t="shared" si="3"/>
        <v>2.2988505747126436E-2</v>
      </c>
      <c r="N20" s="4113">
        <f t="shared" si="2"/>
        <v>26</v>
      </c>
      <c r="O20" s="4114">
        <f t="shared" si="4"/>
        <v>0.41269841269841268</v>
      </c>
      <c r="P20" s="4104" t="str">
        <f t="shared" si="5"/>
        <v>表示（判定）</v>
      </c>
      <c r="R20" s="4045">
        <f>'3条収入'!$E$28</f>
        <v>88770</v>
      </c>
      <c r="S20" s="4045">
        <f>ROUND(R20/1000,0)+T20</f>
        <v>89</v>
      </c>
      <c r="U20" s="4045">
        <v>87</v>
      </c>
      <c r="W20" s="4045">
        <f>SUM(U20:V20)</f>
        <v>87</v>
      </c>
    </row>
    <row r="21" spans="1:23" ht="20.25" hidden="1" customHeight="1">
      <c r="A21" s="4115"/>
      <c r="B21" s="4123"/>
      <c r="C21" s="5077" t="s">
        <v>6955</v>
      </c>
      <c r="D21" s="5078"/>
      <c r="E21" s="4117">
        <v>108</v>
      </c>
      <c r="F21" s="4118"/>
      <c r="G21" s="4119">
        <f t="shared" si="11"/>
        <v>0</v>
      </c>
      <c r="H21" s="4120">
        <f t="shared" si="12"/>
        <v>0</v>
      </c>
      <c r="I21" s="4121">
        <v>0</v>
      </c>
      <c r="J21" s="4111" t="str">
        <f t="shared" si="0"/>
        <v xml:space="preserve">－ </v>
      </c>
      <c r="K21" s="4128" t="str">
        <f t="shared" si="1"/>
        <v xml:space="preserve">－ </v>
      </c>
      <c r="L21" s="4113" t="str">
        <f t="shared" si="2"/>
        <v xml:space="preserve">－ </v>
      </c>
      <c r="M21" s="4128" t="str">
        <f t="shared" si="3"/>
        <v xml:space="preserve">－ </v>
      </c>
      <c r="N21" s="4113" t="str">
        <f t="shared" si="2"/>
        <v xml:space="preserve">－ </v>
      </c>
      <c r="O21" s="4129" t="str">
        <f t="shared" si="4"/>
        <v xml:space="preserve">－ </v>
      </c>
      <c r="P21" s="4104" t="str">
        <f t="shared" si="5"/>
        <v>×表示しない</v>
      </c>
      <c r="R21" s="4045">
        <f>'3条収入'!$AI$32</f>
        <v>0</v>
      </c>
      <c r="S21" s="4045">
        <f>ROUND(R21/1000,0)+T21</f>
        <v>0</v>
      </c>
      <c r="T21" s="4580"/>
    </row>
    <row r="22" spans="1:23" ht="20.25" customHeight="1">
      <c r="A22" s="4115"/>
      <c r="B22" s="4123"/>
      <c r="C22" s="5077" t="s">
        <v>6898</v>
      </c>
      <c r="D22" s="5078"/>
      <c r="E22" s="4117">
        <v>305814</v>
      </c>
      <c r="F22" s="4118">
        <v>49683</v>
      </c>
      <c r="G22" s="4119">
        <v>49683</v>
      </c>
      <c r="H22" s="4120">
        <f t="shared" si="12"/>
        <v>53493</v>
      </c>
      <c r="I22" s="4121">
        <f>64215+1</f>
        <v>64216</v>
      </c>
      <c r="J22" s="4111">
        <f t="shared" si="0"/>
        <v>3810</v>
      </c>
      <c r="K22" s="4112">
        <f t="shared" si="1"/>
        <v>7.6686190447436756E-2</v>
      </c>
      <c r="L22" s="4113">
        <f t="shared" si="2"/>
        <v>3810</v>
      </c>
      <c r="M22" s="4112">
        <f t="shared" si="3"/>
        <v>7.6686190447436756E-2</v>
      </c>
      <c r="N22" s="4113">
        <f t="shared" si="2"/>
        <v>-10723</v>
      </c>
      <c r="O22" s="4114">
        <f t="shared" si="4"/>
        <v>-0.16698330634109879</v>
      </c>
      <c r="P22" s="4104" t="str">
        <f t="shared" si="5"/>
        <v>表示（判定）</v>
      </c>
      <c r="R22" s="4045">
        <f>'3条収入'!$E$39</f>
        <v>53493193</v>
      </c>
      <c r="S22" s="4045">
        <f t="shared" ref="S22:S26" si="13">ROUND(R22/1000,0)+T22</f>
        <v>53493</v>
      </c>
      <c r="U22" s="4045">
        <v>46672</v>
      </c>
      <c r="W22" s="4045">
        <f>SUM(U22:V22)</f>
        <v>46672</v>
      </c>
    </row>
    <row r="23" spans="1:23" ht="20.25" customHeight="1">
      <c r="A23" s="4115"/>
      <c r="B23" s="4123"/>
      <c r="C23" s="5077" t="s">
        <v>6899</v>
      </c>
      <c r="D23" s="5078"/>
      <c r="E23" s="4117">
        <v>1708190</v>
      </c>
      <c r="F23" s="4118">
        <v>0</v>
      </c>
      <c r="G23" s="4119">
        <f t="shared" si="11"/>
        <v>8000</v>
      </c>
      <c r="H23" s="4120">
        <f t="shared" si="12"/>
        <v>9203</v>
      </c>
      <c r="I23" s="4121">
        <v>31</v>
      </c>
      <c r="J23" s="4111">
        <f t="shared" si="0"/>
        <v>9203</v>
      </c>
      <c r="K23" s="4112" t="str">
        <f t="shared" si="1"/>
        <v xml:space="preserve">皆増 </v>
      </c>
      <c r="L23" s="4113">
        <f t="shared" si="2"/>
        <v>1203</v>
      </c>
      <c r="M23" s="4112">
        <f t="shared" si="3"/>
        <v>0.15037500000000001</v>
      </c>
      <c r="N23" s="4113">
        <f t="shared" si="2"/>
        <v>9172</v>
      </c>
      <c r="O23" s="4114">
        <f t="shared" si="4"/>
        <v>295.87096774193549</v>
      </c>
      <c r="P23" s="4104" t="str">
        <f t="shared" si="5"/>
        <v>表示（判定）</v>
      </c>
      <c r="R23" s="4045">
        <f>'3条収入'!$E$42</f>
        <v>9203253</v>
      </c>
      <c r="S23" s="4045">
        <f t="shared" si="13"/>
        <v>9203</v>
      </c>
      <c r="V23" s="4045">
        <v>8000</v>
      </c>
      <c r="W23" s="4045">
        <f>SUM(U23:V23)</f>
        <v>8000</v>
      </c>
    </row>
    <row r="24" spans="1:23" ht="20.25" hidden="1" customHeight="1" outlineLevel="1">
      <c r="A24" s="4131"/>
      <c r="B24" s="4132"/>
      <c r="C24" s="5082" t="s">
        <v>6900</v>
      </c>
      <c r="D24" s="5083"/>
      <c r="E24" s="4117">
        <v>0</v>
      </c>
      <c r="F24" s="4118"/>
      <c r="G24" s="4119">
        <f t="shared" si="11"/>
        <v>0</v>
      </c>
      <c r="H24" s="4120">
        <f t="shared" si="12"/>
        <v>0</v>
      </c>
      <c r="I24" s="4121">
        <v>0</v>
      </c>
      <c r="J24" s="4111" t="str">
        <f t="shared" si="0"/>
        <v xml:space="preserve">－ </v>
      </c>
      <c r="K24" s="4128" t="str">
        <f t="shared" si="1"/>
        <v xml:space="preserve">－ </v>
      </c>
      <c r="L24" s="4113" t="str">
        <f t="shared" si="2"/>
        <v xml:space="preserve">－ </v>
      </c>
      <c r="M24" s="4128" t="str">
        <f t="shared" si="3"/>
        <v xml:space="preserve">－ </v>
      </c>
      <c r="N24" s="4113" t="str">
        <f t="shared" si="2"/>
        <v xml:space="preserve">－ </v>
      </c>
      <c r="O24" s="4129" t="str">
        <f t="shared" si="4"/>
        <v xml:space="preserve">－ </v>
      </c>
      <c r="P24" s="4104" t="str">
        <f t="shared" si="5"/>
        <v>×表示しない</v>
      </c>
      <c r="R24" s="4045">
        <f>'3条収入'!$AI$49</f>
        <v>0</v>
      </c>
      <c r="S24" s="4045">
        <f t="shared" si="13"/>
        <v>0</v>
      </c>
    </row>
    <row r="25" spans="1:23" ht="20.25" customHeight="1" collapsed="1">
      <c r="A25" s="4115"/>
      <c r="B25" s="4123"/>
      <c r="C25" s="5077" t="s">
        <v>6902</v>
      </c>
      <c r="D25" s="5078"/>
      <c r="E25" s="4117">
        <v>9623</v>
      </c>
      <c r="F25" s="4118">
        <v>9455090</v>
      </c>
      <c r="G25" s="4119">
        <v>9488527</v>
      </c>
      <c r="H25" s="4120">
        <f t="shared" si="12"/>
        <v>9485355</v>
      </c>
      <c r="I25" s="4121">
        <v>9604004</v>
      </c>
      <c r="J25" s="4111">
        <f t="shared" si="0"/>
        <v>30265</v>
      </c>
      <c r="K25" s="4112">
        <f t="shared" si="1"/>
        <v>3.2009214084688774E-3</v>
      </c>
      <c r="L25" s="4113">
        <f t="shared" si="2"/>
        <v>-3172</v>
      </c>
      <c r="M25" s="4112">
        <f t="shared" si="3"/>
        <v>-3.3429846381846201E-4</v>
      </c>
      <c r="N25" s="4113">
        <f t="shared" si="2"/>
        <v>-118649</v>
      </c>
      <c r="O25" s="4114">
        <f t="shared" si="4"/>
        <v>-1.2354118136560543E-2</v>
      </c>
      <c r="P25" s="4104" t="str">
        <f t="shared" si="5"/>
        <v>表示（判定）</v>
      </c>
      <c r="R25" s="4045">
        <f>'3条収入'!$E$55</f>
        <v>9485355002</v>
      </c>
      <c r="S25" s="4045">
        <f>ROUND(R25/1000,0)+T25</f>
        <v>9485355</v>
      </c>
      <c r="T25" s="4580"/>
      <c r="U25" s="4045">
        <v>9488526</v>
      </c>
      <c r="W25" s="4045">
        <f>SUM(U25:V25)</f>
        <v>9488526</v>
      </c>
    </row>
    <row r="26" spans="1:23" ht="20.25" customHeight="1">
      <c r="A26" s="4115"/>
      <c r="B26" s="4126"/>
      <c r="C26" s="5077" t="s">
        <v>6901</v>
      </c>
      <c r="D26" s="5078"/>
      <c r="E26" s="4117">
        <v>9575</v>
      </c>
      <c r="F26" s="4118">
        <v>23945</v>
      </c>
      <c r="G26" s="4119">
        <v>33389</v>
      </c>
      <c r="H26" s="4120">
        <f t="shared" si="12"/>
        <v>36460</v>
      </c>
      <c r="I26" s="4121">
        <v>35321</v>
      </c>
      <c r="J26" s="4111">
        <f t="shared" si="0"/>
        <v>12515</v>
      </c>
      <c r="K26" s="4112">
        <f t="shared" si="1"/>
        <v>0.52265608686573395</v>
      </c>
      <c r="L26" s="4113">
        <f t="shared" si="2"/>
        <v>3071</v>
      </c>
      <c r="M26" s="4112">
        <f t="shared" si="3"/>
        <v>9.1976399412980317E-2</v>
      </c>
      <c r="N26" s="4113">
        <f t="shared" si="2"/>
        <v>1139</v>
      </c>
      <c r="O26" s="4114">
        <f t="shared" si="4"/>
        <v>3.2247105121599048E-2</v>
      </c>
      <c r="P26" s="4104" t="str">
        <f t="shared" si="5"/>
        <v>表示（判定）</v>
      </c>
      <c r="R26" s="4045">
        <f>'3条収入'!$E$51</f>
        <v>36460334</v>
      </c>
      <c r="S26" s="4045">
        <f t="shared" si="13"/>
        <v>36460</v>
      </c>
      <c r="U26" s="4045">
        <v>32929</v>
      </c>
      <c r="W26" s="4045">
        <f t="shared" ref="W26" si="14">SUM(U26:V26)</f>
        <v>32929</v>
      </c>
    </row>
    <row r="27" spans="1:23" ht="20.25" customHeight="1">
      <c r="A27" s="4115"/>
      <c r="B27" s="5077" t="s">
        <v>6903</v>
      </c>
      <c r="C27" s="5077"/>
      <c r="D27" s="5078"/>
      <c r="E27" s="4106">
        <f t="shared" ref="E27:H27" si="15">SUM(E28:E31)</f>
        <v>2821</v>
      </c>
      <c r="F27" s="4107">
        <f>SUM(F28:F31)</f>
        <v>2876</v>
      </c>
      <c r="G27" s="4108">
        <f>SUM(G28:G31)</f>
        <v>2997</v>
      </c>
      <c r="H27" s="4109">
        <f t="shared" si="15"/>
        <v>4199</v>
      </c>
      <c r="I27" s="4110">
        <f>SUM(I28:I31)</f>
        <v>6568</v>
      </c>
      <c r="J27" s="4111">
        <f t="shared" si="0"/>
        <v>1323</v>
      </c>
      <c r="K27" s="4112">
        <f t="shared" si="1"/>
        <v>0.46001390820584143</v>
      </c>
      <c r="L27" s="4113">
        <f t="shared" si="2"/>
        <v>1202</v>
      </c>
      <c r="M27" s="4112">
        <f t="shared" si="3"/>
        <v>0.40106773440106774</v>
      </c>
      <c r="N27" s="4113">
        <f t="shared" si="2"/>
        <v>-2369</v>
      </c>
      <c r="O27" s="4114">
        <f t="shared" si="4"/>
        <v>-0.36068818514007306</v>
      </c>
      <c r="P27" s="4104" t="str">
        <f t="shared" si="5"/>
        <v>表示（判定）</v>
      </c>
      <c r="R27" s="4045">
        <f t="shared" ref="R27" si="16">SUM(R28:R31)</f>
        <v>4198999</v>
      </c>
    </row>
    <row r="28" spans="1:23" ht="20.25" hidden="1" customHeight="1">
      <c r="A28" s="4115"/>
      <c r="B28" s="4116"/>
      <c r="C28" s="5077" t="s">
        <v>6904</v>
      </c>
      <c r="D28" s="5078"/>
      <c r="E28" s="4117">
        <v>0</v>
      </c>
      <c r="F28" s="4118">
        <v>0</v>
      </c>
      <c r="G28" s="4119">
        <f>W28</f>
        <v>0</v>
      </c>
      <c r="H28" s="4120">
        <f>S28</f>
        <v>0</v>
      </c>
      <c r="I28" s="4121">
        <v>0</v>
      </c>
      <c r="J28" s="4111" t="str">
        <f t="shared" si="0"/>
        <v xml:space="preserve">－ </v>
      </c>
      <c r="K28" s="4112" t="str">
        <f t="shared" si="1"/>
        <v xml:space="preserve">－ </v>
      </c>
      <c r="L28" s="4113" t="str">
        <f t="shared" si="2"/>
        <v xml:space="preserve">－ </v>
      </c>
      <c r="M28" s="4112" t="str">
        <f t="shared" si="3"/>
        <v xml:space="preserve">－ </v>
      </c>
      <c r="N28" s="4113" t="str">
        <f t="shared" si="2"/>
        <v xml:space="preserve">－ </v>
      </c>
      <c r="O28" s="4114" t="str">
        <f t="shared" si="4"/>
        <v xml:space="preserve">－ </v>
      </c>
      <c r="P28" s="4104" t="str">
        <f t="shared" si="5"/>
        <v>×表示しない</v>
      </c>
      <c r="R28" s="4045">
        <f>'3条収入'!$AI$58</f>
        <v>0</v>
      </c>
      <c r="S28" s="4045">
        <f t="shared" ref="S28:S31" si="17">ROUND(R28/1000,0)+T28</f>
        <v>0</v>
      </c>
    </row>
    <row r="29" spans="1:23" ht="20.25" customHeight="1">
      <c r="A29" s="4115"/>
      <c r="B29" s="4123"/>
      <c r="C29" s="5084" t="s">
        <v>6905</v>
      </c>
      <c r="D29" s="5085"/>
      <c r="E29" s="4133">
        <v>2821</v>
      </c>
      <c r="F29" s="4134">
        <v>2876</v>
      </c>
      <c r="G29" s="4135">
        <v>2023</v>
      </c>
      <c r="H29" s="4120">
        <f>S29</f>
        <v>2770</v>
      </c>
      <c r="I29" s="4136">
        <v>4061</v>
      </c>
      <c r="J29" s="4111">
        <f t="shared" si="0"/>
        <v>-106</v>
      </c>
      <c r="K29" s="4112">
        <f t="shared" si="1"/>
        <v>-3.68567454798331E-2</v>
      </c>
      <c r="L29" s="4113">
        <f t="shared" si="2"/>
        <v>747</v>
      </c>
      <c r="M29" s="4112">
        <f t="shared" si="3"/>
        <v>0.36925358378645579</v>
      </c>
      <c r="N29" s="4113">
        <f t="shared" si="2"/>
        <v>-1291</v>
      </c>
      <c r="O29" s="4114">
        <f t="shared" si="4"/>
        <v>-0.31790199458261514</v>
      </c>
      <c r="P29" s="4104" t="str">
        <f t="shared" si="5"/>
        <v>表示（判定）</v>
      </c>
      <c r="R29" s="4045">
        <f>'3条収入'!$E$60</f>
        <v>2769570</v>
      </c>
      <c r="S29" s="4045">
        <f t="shared" si="17"/>
        <v>2770</v>
      </c>
      <c r="U29" s="4045">
        <v>1851</v>
      </c>
      <c r="W29" s="4045">
        <f t="shared" ref="W29:W31" si="18">SUM(U29:V29)</f>
        <v>1851</v>
      </c>
    </row>
    <row r="30" spans="1:23" ht="20.25" hidden="1" customHeight="1">
      <c r="A30" s="4115"/>
      <c r="B30" s="4123"/>
      <c r="C30" s="5077" t="s">
        <v>6906</v>
      </c>
      <c r="D30" s="5078"/>
      <c r="E30" s="4133"/>
      <c r="F30" s="4134">
        <v>0</v>
      </c>
      <c r="G30" s="4135">
        <f t="shared" ref="G30" si="19">W30</f>
        <v>0</v>
      </c>
      <c r="H30" s="4120">
        <f>S30</f>
        <v>0</v>
      </c>
      <c r="I30" s="4136">
        <v>0</v>
      </c>
      <c r="J30" s="4137" t="str">
        <f t="shared" si="0"/>
        <v xml:space="preserve">－ </v>
      </c>
      <c r="K30" s="4138" t="str">
        <f t="shared" si="1"/>
        <v xml:space="preserve">－ </v>
      </c>
      <c r="L30" s="4139" t="str">
        <f t="shared" si="2"/>
        <v xml:space="preserve">－ </v>
      </c>
      <c r="M30" s="4138" t="str">
        <f t="shared" si="3"/>
        <v xml:space="preserve">－ </v>
      </c>
      <c r="N30" s="4139" t="str">
        <f t="shared" si="2"/>
        <v xml:space="preserve">－ </v>
      </c>
      <c r="O30" s="4140" t="str">
        <f t="shared" si="4"/>
        <v xml:space="preserve">－ </v>
      </c>
      <c r="P30" s="4104" t="str">
        <f t="shared" si="5"/>
        <v>×表示しない</v>
      </c>
      <c r="R30" s="4045">
        <f>'3条収入'!$AI$66</f>
        <v>0</v>
      </c>
      <c r="S30" s="4045">
        <f t="shared" si="17"/>
        <v>0</v>
      </c>
      <c r="U30" s="4045">
        <v>0</v>
      </c>
      <c r="W30" s="4045">
        <f t="shared" si="18"/>
        <v>0</v>
      </c>
    </row>
    <row r="31" spans="1:23" ht="20.25" customHeight="1" thickBot="1">
      <c r="A31" s="4141"/>
      <c r="B31" s="4142"/>
      <c r="C31" s="5086" t="s">
        <v>6907</v>
      </c>
      <c r="D31" s="5087"/>
      <c r="E31" s="4143">
        <v>0</v>
      </c>
      <c r="F31" s="4144">
        <v>0</v>
      </c>
      <c r="G31" s="4145">
        <v>974</v>
      </c>
      <c r="H31" s="4146">
        <f>S31</f>
        <v>1429</v>
      </c>
      <c r="I31" s="4147">
        <v>2507</v>
      </c>
      <c r="J31" s="4148">
        <f t="shared" si="0"/>
        <v>1429</v>
      </c>
      <c r="K31" s="4149" t="str">
        <f t="shared" si="1"/>
        <v xml:space="preserve">皆増 </v>
      </c>
      <c r="L31" s="4150">
        <f t="shared" si="2"/>
        <v>455</v>
      </c>
      <c r="M31" s="4149">
        <f t="shared" si="3"/>
        <v>0.4671457905544148</v>
      </c>
      <c r="N31" s="4150">
        <f t="shared" si="2"/>
        <v>-1078</v>
      </c>
      <c r="O31" s="4151">
        <f t="shared" si="4"/>
        <v>-0.42999601116872754</v>
      </c>
      <c r="P31" s="4104" t="str">
        <f t="shared" si="5"/>
        <v>表示（判定）</v>
      </c>
      <c r="R31" s="4045">
        <f>'3条収入'!$E$62</f>
        <v>1429429</v>
      </c>
      <c r="S31" s="4045">
        <f t="shared" si="17"/>
        <v>1429</v>
      </c>
      <c r="U31" s="4045">
        <v>865</v>
      </c>
      <c r="W31" s="4045">
        <f t="shared" si="18"/>
        <v>865</v>
      </c>
    </row>
    <row r="32" spans="1:23" ht="12.75" thickBot="1">
      <c r="A32" s="4152"/>
      <c r="B32" s="4152"/>
      <c r="C32" s="4152"/>
      <c r="D32" s="4152"/>
      <c r="E32" s="4056"/>
      <c r="F32" s="4153"/>
      <c r="G32" s="4153"/>
      <c r="H32" s="4154"/>
      <c r="I32" s="4153"/>
      <c r="J32" s="4155"/>
      <c r="K32" s="4156"/>
      <c r="L32" s="4155" t="str">
        <f t="shared" si="2"/>
        <v xml:space="preserve">－ </v>
      </c>
      <c r="M32" s="4156"/>
      <c r="N32" s="4155" t="str">
        <f t="shared" si="2"/>
        <v xml:space="preserve">－ </v>
      </c>
      <c r="O32" s="4157"/>
      <c r="P32" s="4041" t="s">
        <v>7083</v>
      </c>
    </row>
    <row r="33" spans="1:23" ht="20.25" customHeight="1" thickBot="1">
      <c r="A33" s="5088" t="s">
        <v>6908</v>
      </c>
      <c r="B33" s="5089"/>
      <c r="C33" s="5089"/>
      <c r="D33" s="5090"/>
      <c r="E33" s="4158">
        <f>SUM(E12,E23)</f>
        <v>19720016</v>
      </c>
      <c r="F33" s="4033">
        <f>SUM(F12,F23)</f>
        <v>13854862</v>
      </c>
      <c r="G33" s="4034">
        <f>SUM(G12,G23)</f>
        <v>13959285</v>
      </c>
      <c r="H33" s="4035">
        <f>SUM(H12,H23)</f>
        <v>14196306</v>
      </c>
      <c r="I33" s="4036">
        <f>SUM(I12,I23)</f>
        <v>13993380</v>
      </c>
      <c r="J33" s="4037">
        <f>IF(AND(F33=0,$H33=0),"－ ",$H33-F33)</f>
        <v>341444</v>
      </c>
      <c r="K33" s="4038">
        <f>IF(AND(F33=0,$H33&gt;0),"皆増 ",IF(AND(F33&gt;0,$H33=0),"皆減 ",IF(AND(F33=0,$H33=0),"－ ",J33/F33)))</f>
        <v>2.4644345068178954E-2</v>
      </c>
      <c r="L33" s="4039">
        <f t="shared" si="2"/>
        <v>237021</v>
      </c>
      <c r="M33" s="4038">
        <f>IF(AND(G33=0,$H33&gt;0),"皆増 ",IF(AND(G33&gt;0,$H33=0),"皆減 ",IF(AND(G33=0,$H33=0),"－ ",L33/G33)))</f>
        <v>1.6979451311438947E-2</v>
      </c>
      <c r="N33" s="4039">
        <f t="shared" si="2"/>
        <v>202926</v>
      </c>
      <c r="O33" s="4040">
        <f>IF(AND(I33=0,$H33&gt;0),"皆増 ",IF(AND(I33&gt;0,$H33=0),"皆減 ",IF(AND(I33=0,$H33=0),"－ ",N33/I33)))</f>
        <v>1.4501571457360552E-2</v>
      </c>
      <c r="P33" s="4041" t="s">
        <v>7083</v>
      </c>
      <c r="R33" s="4577" t="s">
        <v>6938</v>
      </c>
      <c r="S33" s="4045">
        <f>SUM(S11:S31)</f>
        <v>44454712</v>
      </c>
    </row>
    <row r="34" spans="1:23" ht="12">
      <c r="A34" s="4159"/>
      <c r="B34" s="4159"/>
      <c r="C34" s="4159"/>
      <c r="D34" s="4159"/>
      <c r="E34" s="4160"/>
      <c r="F34" s="4161"/>
      <c r="G34" s="4161"/>
      <c r="H34" s="4162"/>
      <c r="I34" s="4161"/>
      <c r="J34" s="4155"/>
      <c r="K34" s="4163"/>
      <c r="L34" s="4164"/>
      <c r="M34" s="4163"/>
      <c r="N34" s="4164"/>
      <c r="O34" s="4163"/>
      <c r="P34" s="4041" t="s">
        <v>7083</v>
      </c>
    </row>
    <row r="35" spans="1:23" ht="20.25" customHeight="1" thickBot="1">
      <c r="A35" s="4055" t="s">
        <v>6909</v>
      </c>
      <c r="B35" s="4165"/>
      <c r="C35" s="4165"/>
      <c r="D35" s="4165"/>
      <c r="F35" s="4166"/>
      <c r="G35" s="4166"/>
      <c r="H35" s="4167"/>
      <c r="I35" s="4166"/>
      <c r="J35" s="4155"/>
      <c r="K35" s="4168"/>
      <c r="L35" s="4169"/>
      <c r="M35" s="4168"/>
      <c r="N35" s="4169"/>
      <c r="O35" s="4168"/>
      <c r="P35" s="4041" t="s">
        <v>7083</v>
      </c>
      <c r="T35" s="4577" t="s">
        <v>6939</v>
      </c>
    </row>
    <row r="36" spans="1:23" ht="20.25" customHeight="1">
      <c r="A36" s="5091" t="s">
        <v>6910</v>
      </c>
      <c r="B36" s="5092"/>
      <c r="C36" s="5092"/>
      <c r="D36" s="5093"/>
      <c r="E36" s="4170">
        <f t="shared" ref="E36:H36" si="20">SUM(E37,E51,E55,E60)</f>
        <v>41192935</v>
      </c>
      <c r="F36" s="4171">
        <f>SUM(F37,F51,F55,F60)</f>
        <v>43953299</v>
      </c>
      <c r="G36" s="4172">
        <f>SUM(G37,G51,G55,G60)</f>
        <v>43109924</v>
      </c>
      <c r="H36" s="4173">
        <f t="shared" si="20"/>
        <v>42987208</v>
      </c>
      <c r="I36" s="4174">
        <f>SUM(I37,I51,I55,I60)</f>
        <v>43163657</v>
      </c>
      <c r="J36" s="4175">
        <f t="shared" ref="J36:J60" si="21">IF(AND(F36=0,$H36=0),"－ ",$H36-F36)</f>
        <v>-966091</v>
      </c>
      <c r="K36" s="4176">
        <f t="shared" ref="K36:K60" si="22">IF(AND(F36=0,$H36&gt;0),"皆増 ",IF(AND(F36&gt;0,$H36=0),"皆減 ",IF(AND(F36=0,$H36=0),"－ ",J36/F36)))</f>
        <v>-2.1979942847975983E-2</v>
      </c>
      <c r="L36" s="4177">
        <f t="shared" si="2"/>
        <v>-122716</v>
      </c>
      <c r="M36" s="4176">
        <f>IF(AND(G36=0,$H36&gt;0),"皆増 ",IF(AND(G36&gt;0,$H36=0),"皆減 ",IF(AND(G36=0,$H36=0),"－ ",L36/G36)))</f>
        <v>-2.8465835383982585E-3</v>
      </c>
      <c r="N36" s="4177">
        <f t="shared" si="2"/>
        <v>-176449</v>
      </c>
      <c r="O36" s="4178">
        <f>IF(AND(I36=0,$H36&gt;0),"皆増 ",IF(AND(I36&gt;0,$H36=0),"皆減 ",IF(AND(I36=0,$H36=0),"－ ",N36/I36)))</f>
        <v>-4.0879066386798509E-3</v>
      </c>
      <c r="P36" s="4104" t="str">
        <f t="shared" ref="P36:P60" si="23">IF(OR(F36&gt;0,G36&gt;0,H36&gt;0,I36&gt;0),"表示（判定）","×表示しない")</f>
        <v>表示（判定）</v>
      </c>
      <c r="R36" s="4045">
        <f t="shared" ref="R36" si="24">SUM(R37,R51,R55,R60)</f>
        <v>42987208386</v>
      </c>
    </row>
    <row r="37" spans="1:23" ht="20.25" customHeight="1">
      <c r="A37" s="4105"/>
      <c r="B37" s="5077" t="s">
        <v>6911</v>
      </c>
      <c r="C37" s="5077"/>
      <c r="D37" s="5078"/>
      <c r="E37" s="4106">
        <f t="shared" ref="E37:H37" si="25">SUM(E38:E50)</f>
        <v>24965206</v>
      </c>
      <c r="F37" s="4107">
        <f>SUM(F38:F50)</f>
        <v>39325285</v>
      </c>
      <c r="G37" s="4108">
        <f>SUM(G38:G50)</f>
        <v>38869045</v>
      </c>
      <c r="H37" s="4109">
        <f t="shared" si="25"/>
        <v>38667489</v>
      </c>
      <c r="I37" s="4110">
        <f>SUM(I38:I50)</f>
        <v>38245361</v>
      </c>
      <c r="J37" s="4111">
        <f t="shared" si="21"/>
        <v>-657796</v>
      </c>
      <c r="K37" s="4112">
        <f t="shared" si="22"/>
        <v>-1.6727049784890306E-2</v>
      </c>
      <c r="L37" s="4113">
        <f t="shared" si="2"/>
        <v>-201556</v>
      </c>
      <c r="M37" s="4112">
        <f>IF(AND(G37=0,$H37&gt;0),"皆増 ",IF(AND(G37&gt;0,$H37=0),"皆減 ",IF(AND(G37=0,$H37=0),"－ ",L37/G37)))</f>
        <v>-5.1855145913669862E-3</v>
      </c>
      <c r="N37" s="4113">
        <f t="shared" si="2"/>
        <v>422128</v>
      </c>
      <c r="O37" s="4114">
        <f>IF(AND(I37=0,$H37&gt;0),"皆増 ",IF(AND(I37&gt;0,$H37=0),"皆減 ",IF(AND(I37=0,$H37=0),"－ ",N37/I37)))</f>
        <v>1.1037364766932125E-2</v>
      </c>
      <c r="P37" s="4104" t="str">
        <f t="shared" si="23"/>
        <v>表示（判定）</v>
      </c>
      <c r="R37" s="4045">
        <f t="shared" ref="R37" si="26">SUM(R38:R50)</f>
        <v>38667489041</v>
      </c>
    </row>
    <row r="38" spans="1:23" ht="20.25" customHeight="1">
      <c r="A38" s="4115"/>
      <c r="B38" s="4116"/>
      <c r="C38" s="5077" t="s">
        <v>6912</v>
      </c>
      <c r="D38" s="5078"/>
      <c r="E38" s="4117">
        <v>589007</v>
      </c>
      <c r="F38" s="4118">
        <v>649416</v>
      </c>
      <c r="G38" s="4119">
        <v>635566</v>
      </c>
      <c r="H38" s="4120">
        <f t="shared" ref="H38:H50" si="27">S38</f>
        <v>611820</v>
      </c>
      <c r="I38" s="4121">
        <v>783145</v>
      </c>
      <c r="J38" s="4111">
        <f t="shared" si="21"/>
        <v>-37596</v>
      </c>
      <c r="K38" s="4112">
        <f t="shared" si="22"/>
        <v>-5.7892013747736427E-2</v>
      </c>
      <c r="L38" s="4113">
        <f t="shared" si="2"/>
        <v>-23746</v>
      </c>
      <c r="M38" s="4112">
        <f>IF(AND(G38=0,$H38&gt;0),"皆増 ",IF(AND(G38&gt;0,$H38=0),"皆減 ",IF(AND(G38=0,$H38=0),"－ ",L38/G38)))</f>
        <v>-3.7361973422115093E-2</v>
      </c>
      <c r="N38" s="4113">
        <f t="shared" si="2"/>
        <v>-171325</v>
      </c>
      <c r="O38" s="4114">
        <f>IF(AND(I38=0,$H38&gt;0),"皆増 ",IF(AND(I38&gt;0,$H38=0),"皆減 ",IF(AND(I38=0,$H38=0),"－ ",N38/I38)))</f>
        <v>-0.21876536273614719</v>
      </c>
      <c r="P38" s="4104" t="str">
        <f t="shared" si="23"/>
        <v>表示（判定）</v>
      </c>
      <c r="R38" s="4045">
        <f>'3条支出'!E6</f>
        <v>611819957</v>
      </c>
      <c r="S38" s="4045">
        <f t="shared" ref="S38:S54" si="28">ROUND(R38/1000,0)+T38</f>
        <v>611820</v>
      </c>
      <c r="U38" s="4045">
        <v>586230</v>
      </c>
      <c r="W38" s="4045">
        <f t="shared" ref="W38:W50" si="29">SUM(U38:V38)</f>
        <v>586230</v>
      </c>
    </row>
    <row r="39" spans="1:23" ht="20.25" customHeight="1">
      <c r="A39" s="4115"/>
      <c r="B39" s="4123"/>
      <c r="C39" s="5077" t="s">
        <v>6913</v>
      </c>
      <c r="D39" s="5078"/>
      <c r="E39" s="4117">
        <v>71637</v>
      </c>
      <c r="F39" s="4118">
        <v>61778</v>
      </c>
      <c r="G39" s="4119">
        <v>52649</v>
      </c>
      <c r="H39" s="4120">
        <f t="shared" si="27"/>
        <v>52444</v>
      </c>
      <c r="I39" s="4121">
        <v>51549</v>
      </c>
      <c r="J39" s="4111">
        <f t="shared" si="21"/>
        <v>-9334</v>
      </c>
      <c r="K39" s="4112">
        <f t="shared" si="22"/>
        <v>-0.15108938457055909</v>
      </c>
      <c r="L39" s="4113">
        <f t="shared" si="2"/>
        <v>-205</v>
      </c>
      <c r="M39" s="4112">
        <f>IF(AND(G39=0,$H39&gt;0),"皆増 ",IF(AND(G39&gt;0,$H39=0),"皆減 ",IF(AND(G39=0,$H39=0),"－ ",L39/G39)))</f>
        <v>-3.8937111815988907E-3</v>
      </c>
      <c r="N39" s="4113">
        <f t="shared" si="2"/>
        <v>895</v>
      </c>
      <c r="O39" s="4114">
        <f>IF(AND(I39=0,$H39&gt;0),"皆増 ",IF(AND(I39&gt;0,$H39=0),"皆減 ",IF(AND(I39=0,$H39=0),"－ ",N39/I39)))</f>
        <v>1.7362121476653281E-2</v>
      </c>
      <c r="P39" s="4104" t="str">
        <f t="shared" si="23"/>
        <v>表示（判定）</v>
      </c>
      <c r="R39" s="4045">
        <f>'3条支出'!E7</f>
        <v>52443869</v>
      </c>
      <c r="S39" s="4045">
        <f t="shared" si="28"/>
        <v>52444</v>
      </c>
      <c r="U39" s="4045">
        <v>51456</v>
      </c>
      <c r="W39" s="4045">
        <f t="shared" si="29"/>
        <v>51456</v>
      </c>
    </row>
    <row r="40" spans="1:23" ht="20.25" customHeight="1">
      <c r="A40" s="4115"/>
      <c r="B40" s="4123"/>
      <c r="C40" s="5077" t="s">
        <v>6914</v>
      </c>
      <c r="D40" s="5078"/>
      <c r="E40" s="4117">
        <v>2362983</v>
      </c>
      <c r="F40" s="4118">
        <v>2446053</v>
      </c>
      <c r="G40" s="4119">
        <v>2362251</v>
      </c>
      <c r="H40" s="4120">
        <f t="shared" si="27"/>
        <v>2356040</v>
      </c>
      <c r="I40" s="4121">
        <v>2289383</v>
      </c>
      <c r="J40" s="4111">
        <f t="shared" si="21"/>
        <v>-90013</v>
      </c>
      <c r="K40" s="4112">
        <f t="shared" si="22"/>
        <v>-3.6799284398171261E-2</v>
      </c>
      <c r="L40" s="4113">
        <f t="shared" si="2"/>
        <v>-6211</v>
      </c>
      <c r="M40" s="4112">
        <f>IF(AND(G40=0,$H40&gt;0),"皆増 ",IF(AND(G40&gt;0,$H40=0),"皆減 ",IF(AND(G40=0,$H40=0),"－ ",L40/G40)))</f>
        <v>-2.6292718258982641E-3</v>
      </c>
      <c r="N40" s="4113">
        <f t="shared" si="2"/>
        <v>66657</v>
      </c>
      <c r="O40" s="4114">
        <f>IF(AND(I40=0,$H40&gt;0),"皆増 ",IF(AND(I40&gt;0,$H40=0),"皆減 ",IF(AND(I40=0,$H40=0),"－ ",N40/I40)))</f>
        <v>2.9115704973785513E-2</v>
      </c>
      <c r="P40" s="4104" t="str">
        <f t="shared" si="23"/>
        <v>表示（判定）</v>
      </c>
      <c r="R40" s="4045">
        <f>'3条支出'!E8</f>
        <v>2356040225</v>
      </c>
      <c r="S40" s="4045">
        <f t="shared" si="28"/>
        <v>2356040</v>
      </c>
      <c r="U40" s="4045">
        <v>2257378</v>
      </c>
      <c r="W40" s="4045">
        <f t="shared" si="29"/>
        <v>2257378</v>
      </c>
    </row>
    <row r="41" spans="1:23" ht="20.25" customHeight="1">
      <c r="A41" s="4115"/>
      <c r="B41" s="4123"/>
      <c r="C41" s="5077" t="s">
        <v>6915</v>
      </c>
      <c r="D41" s="5078"/>
      <c r="E41" s="4117">
        <v>5009251</v>
      </c>
      <c r="F41" s="4118">
        <v>7107004</v>
      </c>
      <c r="G41" s="4119">
        <v>6676202</v>
      </c>
      <c r="H41" s="4120">
        <f t="shared" si="27"/>
        <v>6557704</v>
      </c>
      <c r="I41" s="4121">
        <v>5969023</v>
      </c>
      <c r="J41" s="4111">
        <f t="shared" si="21"/>
        <v>-549300</v>
      </c>
      <c r="K41" s="4112">
        <f t="shared" si="22"/>
        <v>-7.7289952278062596E-2</v>
      </c>
      <c r="L41" s="4113">
        <f t="shared" ref="L41:N62" si="30">IF(AND(G41=0,$H41=0),"－ ",$H41-G41)</f>
        <v>-118498</v>
      </c>
      <c r="M41" s="4112">
        <f t="shared" ref="M41:M62" si="31">IF(AND(G41=0,$H41&gt;0),"皆増 ",IF(AND(G41&gt;0,$H41=0),"皆減 ",IF(AND(G41=0,$H41=0),"－ ",L41/G41)))</f>
        <v>-1.7749313157390985E-2</v>
      </c>
      <c r="N41" s="4113">
        <f t="shared" si="30"/>
        <v>588681</v>
      </c>
      <c r="O41" s="4114">
        <f t="shared" ref="O41:O62" si="32">IF(AND(I41=0,$H41&gt;0),"皆増 ",IF(AND(I41&gt;0,$H41=0),"皆減 ",IF(AND(I41=0,$H41=0),"－ ",N41/I41)))</f>
        <v>9.862267242059547E-2</v>
      </c>
      <c r="P41" s="4104" t="str">
        <f t="shared" si="23"/>
        <v>表示（判定）</v>
      </c>
      <c r="R41" s="4045">
        <f>'3条支出'!E9</f>
        <v>6557703864</v>
      </c>
      <c r="S41" s="4045">
        <f t="shared" si="28"/>
        <v>6557704</v>
      </c>
      <c r="U41" s="4045">
        <v>6145362</v>
      </c>
      <c r="W41" s="4045">
        <f t="shared" si="29"/>
        <v>6145362</v>
      </c>
    </row>
    <row r="42" spans="1:23" ht="20.25" customHeight="1">
      <c r="A42" s="4115"/>
      <c r="B42" s="4123"/>
      <c r="C42" s="5077" t="s">
        <v>6916</v>
      </c>
      <c r="D42" s="5078"/>
      <c r="E42" s="4117">
        <v>92445</v>
      </c>
      <c r="F42" s="4118">
        <v>80070</v>
      </c>
      <c r="G42" s="4119">
        <v>87703</v>
      </c>
      <c r="H42" s="4120">
        <f t="shared" si="27"/>
        <v>88850</v>
      </c>
      <c r="I42" s="4121">
        <v>74989</v>
      </c>
      <c r="J42" s="4111">
        <f t="shared" si="21"/>
        <v>8780</v>
      </c>
      <c r="K42" s="4112">
        <f t="shared" si="22"/>
        <v>0.10965405270388411</v>
      </c>
      <c r="L42" s="4113">
        <f t="shared" si="30"/>
        <v>1147</v>
      </c>
      <c r="M42" s="4112">
        <f t="shared" si="31"/>
        <v>1.3078229935121945E-2</v>
      </c>
      <c r="N42" s="4113">
        <f t="shared" si="30"/>
        <v>13861</v>
      </c>
      <c r="O42" s="4114">
        <f t="shared" si="32"/>
        <v>0.1848404432650122</v>
      </c>
      <c r="P42" s="4104" t="str">
        <f t="shared" si="23"/>
        <v>表示（判定）</v>
      </c>
      <c r="R42" s="4045">
        <f>'3条支出'!E11</f>
        <v>88849549</v>
      </c>
      <c r="S42" s="4045">
        <f t="shared" si="28"/>
        <v>88850</v>
      </c>
      <c r="U42" s="4045">
        <v>85747</v>
      </c>
      <c r="W42" s="4045">
        <f t="shared" si="29"/>
        <v>85747</v>
      </c>
    </row>
    <row r="43" spans="1:23" ht="20.25" customHeight="1">
      <c r="A43" s="4115"/>
      <c r="B43" s="4123"/>
      <c r="C43" s="5077" t="s">
        <v>6917</v>
      </c>
      <c r="D43" s="5078"/>
      <c r="E43" s="4117">
        <v>18143</v>
      </c>
      <c r="F43" s="4118">
        <v>14763</v>
      </c>
      <c r="G43" s="4119">
        <v>10712</v>
      </c>
      <c r="H43" s="4120">
        <f t="shared" si="27"/>
        <v>10484</v>
      </c>
      <c r="I43" s="4121">
        <v>10746</v>
      </c>
      <c r="J43" s="4111">
        <f t="shared" si="21"/>
        <v>-4279</v>
      </c>
      <c r="K43" s="4112">
        <f t="shared" si="22"/>
        <v>-0.28984623721465824</v>
      </c>
      <c r="L43" s="4113">
        <f t="shared" si="30"/>
        <v>-228</v>
      </c>
      <c r="M43" s="4112">
        <f t="shared" si="31"/>
        <v>-2.1284540702016429E-2</v>
      </c>
      <c r="N43" s="4113">
        <f t="shared" si="30"/>
        <v>-262</v>
      </c>
      <c r="O43" s="4114">
        <f t="shared" si="32"/>
        <v>-2.4381165084682674E-2</v>
      </c>
      <c r="P43" s="4104" t="str">
        <f t="shared" si="23"/>
        <v>表示（判定）</v>
      </c>
      <c r="R43" s="4045">
        <f>'3条支出'!E12</f>
        <v>10483859</v>
      </c>
      <c r="S43" s="4045">
        <f t="shared" si="28"/>
        <v>10484</v>
      </c>
      <c r="U43" s="4045">
        <v>10611</v>
      </c>
      <c r="W43" s="4045">
        <f t="shared" si="29"/>
        <v>10611</v>
      </c>
    </row>
    <row r="44" spans="1:23" ht="20.25" customHeight="1">
      <c r="A44" s="4115"/>
      <c r="B44" s="4123"/>
      <c r="C44" s="5077" t="s">
        <v>6918</v>
      </c>
      <c r="D44" s="5078"/>
      <c r="E44" s="4117">
        <v>989662</v>
      </c>
      <c r="F44" s="4118">
        <v>1032244</v>
      </c>
      <c r="G44" s="4119">
        <v>1020628</v>
      </c>
      <c r="H44" s="4120">
        <f t="shared" si="27"/>
        <v>1019945</v>
      </c>
      <c r="I44" s="4121">
        <v>1051841</v>
      </c>
      <c r="J44" s="4111">
        <f t="shared" si="21"/>
        <v>-12299</v>
      </c>
      <c r="K44" s="4112">
        <f t="shared" si="22"/>
        <v>-1.191481858940328E-2</v>
      </c>
      <c r="L44" s="4113">
        <f t="shared" si="30"/>
        <v>-683</v>
      </c>
      <c r="M44" s="4112">
        <f t="shared" si="31"/>
        <v>-6.6919582845071854E-4</v>
      </c>
      <c r="N44" s="4113">
        <f t="shared" si="30"/>
        <v>-31896</v>
      </c>
      <c r="O44" s="4114">
        <f t="shared" si="32"/>
        <v>-3.032397482128953E-2</v>
      </c>
      <c r="P44" s="4104" t="str">
        <f t="shared" si="23"/>
        <v>表示（判定）</v>
      </c>
      <c r="R44" s="4045">
        <f>'3条支出'!E13</f>
        <v>1019945143</v>
      </c>
      <c r="S44" s="4045">
        <f t="shared" si="28"/>
        <v>1019945</v>
      </c>
      <c r="U44" s="4045">
        <v>930360</v>
      </c>
      <c r="W44" s="4045">
        <f t="shared" si="29"/>
        <v>930360</v>
      </c>
    </row>
    <row r="45" spans="1:23" ht="20.25" customHeight="1">
      <c r="A45" s="4115"/>
      <c r="B45" s="4123"/>
      <c r="C45" s="5077" t="s">
        <v>6919</v>
      </c>
      <c r="D45" s="5078"/>
      <c r="E45" s="4117">
        <v>592338</v>
      </c>
      <c r="F45" s="4118">
        <v>552278</v>
      </c>
      <c r="G45" s="4119">
        <v>515763</v>
      </c>
      <c r="H45" s="4120">
        <f t="shared" si="27"/>
        <v>483965</v>
      </c>
      <c r="I45" s="4121">
        <v>544322</v>
      </c>
      <c r="J45" s="4111">
        <f t="shared" si="21"/>
        <v>-68313</v>
      </c>
      <c r="K45" s="4112">
        <f t="shared" si="22"/>
        <v>-0.12369314004903327</v>
      </c>
      <c r="L45" s="4113">
        <f t="shared" si="30"/>
        <v>-31798</v>
      </c>
      <c r="M45" s="4112">
        <f t="shared" si="31"/>
        <v>-6.1652348074600155E-2</v>
      </c>
      <c r="N45" s="4113">
        <f t="shared" si="30"/>
        <v>-60357</v>
      </c>
      <c r="O45" s="4114">
        <f t="shared" si="32"/>
        <v>-0.11088473366867406</v>
      </c>
      <c r="P45" s="4104" t="str">
        <f t="shared" si="23"/>
        <v>表示（判定）</v>
      </c>
      <c r="R45" s="4045">
        <f>'3条支出'!E14</f>
        <v>483965214</v>
      </c>
      <c r="S45" s="4045">
        <f t="shared" si="28"/>
        <v>483965</v>
      </c>
      <c r="T45" s="4580"/>
      <c r="U45" s="4045">
        <v>496650</v>
      </c>
      <c r="W45" s="4045">
        <f t="shared" si="29"/>
        <v>496650</v>
      </c>
    </row>
    <row r="46" spans="1:23" ht="20.25" customHeight="1">
      <c r="A46" s="4115"/>
      <c r="B46" s="4123"/>
      <c r="C46" s="5078" t="s">
        <v>6920</v>
      </c>
      <c r="D46" s="5094"/>
      <c r="E46" s="4117">
        <v>34809</v>
      </c>
      <c r="F46" s="4118">
        <v>109279</v>
      </c>
      <c r="G46" s="4119">
        <v>109485</v>
      </c>
      <c r="H46" s="4120">
        <f t="shared" si="27"/>
        <v>106991</v>
      </c>
      <c r="I46" s="4121">
        <v>107848</v>
      </c>
      <c r="J46" s="4111">
        <f t="shared" si="21"/>
        <v>-2288</v>
      </c>
      <c r="K46" s="4112">
        <f t="shared" si="22"/>
        <v>-2.093723405228818E-2</v>
      </c>
      <c r="L46" s="4113">
        <f t="shared" si="30"/>
        <v>-2494</v>
      </c>
      <c r="M46" s="4112">
        <f t="shared" si="31"/>
        <v>-2.2779376170251633E-2</v>
      </c>
      <c r="N46" s="4113">
        <f t="shared" si="30"/>
        <v>-857</v>
      </c>
      <c r="O46" s="4114">
        <f t="shared" si="32"/>
        <v>-7.9463689637267257E-3</v>
      </c>
      <c r="P46" s="4104" t="str">
        <f t="shared" si="23"/>
        <v>表示（判定）</v>
      </c>
      <c r="R46" s="4045">
        <f>'3条支出'!E15</f>
        <v>106990906</v>
      </c>
      <c r="S46" s="4045">
        <f t="shared" si="28"/>
        <v>106991</v>
      </c>
      <c r="U46" s="4045">
        <v>99545</v>
      </c>
      <c r="W46" s="4045">
        <f t="shared" si="29"/>
        <v>99545</v>
      </c>
    </row>
    <row r="47" spans="1:23" ht="20.25" customHeight="1">
      <c r="A47" s="4115"/>
      <c r="B47" s="4123"/>
      <c r="C47" s="5078" t="s">
        <v>6921</v>
      </c>
      <c r="D47" s="5094"/>
      <c r="E47" s="4117">
        <v>172556</v>
      </c>
      <c r="F47" s="4118">
        <v>261404</v>
      </c>
      <c r="G47" s="4119">
        <v>250756</v>
      </c>
      <c r="H47" s="4120">
        <f t="shared" si="27"/>
        <v>247654</v>
      </c>
      <c r="I47" s="4121">
        <v>242798</v>
      </c>
      <c r="J47" s="4111">
        <f t="shared" si="21"/>
        <v>-13750</v>
      </c>
      <c r="K47" s="4112">
        <f t="shared" si="22"/>
        <v>-5.2600572294226558E-2</v>
      </c>
      <c r="L47" s="4113">
        <f t="shared" si="30"/>
        <v>-3102</v>
      </c>
      <c r="M47" s="4112">
        <f t="shared" si="31"/>
        <v>-1.2370591331812598E-2</v>
      </c>
      <c r="N47" s="4113">
        <f t="shared" si="30"/>
        <v>4856</v>
      </c>
      <c r="O47" s="4114">
        <f t="shared" si="32"/>
        <v>2.0000164746002851E-2</v>
      </c>
      <c r="P47" s="4104" t="str">
        <f t="shared" si="23"/>
        <v>表示（判定）</v>
      </c>
      <c r="R47" s="4045">
        <f>'3条支出'!E16</f>
        <v>247654024</v>
      </c>
      <c r="S47" s="4045">
        <f t="shared" si="28"/>
        <v>247654</v>
      </c>
      <c r="U47" s="4045">
        <v>227999</v>
      </c>
      <c r="W47" s="4045">
        <f t="shared" si="29"/>
        <v>227999</v>
      </c>
    </row>
    <row r="48" spans="1:23" ht="20.25" customHeight="1">
      <c r="A48" s="4115"/>
      <c r="B48" s="4123"/>
      <c r="C48" s="5078" t="s">
        <v>6922</v>
      </c>
      <c r="D48" s="5094"/>
      <c r="E48" s="4117">
        <v>5865</v>
      </c>
      <c r="F48" s="4118">
        <v>78829</v>
      </c>
      <c r="G48" s="4119">
        <v>76951</v>
      </c>
      <c r="H48" s="4120">
        <f t="shared" si="27"/>
        <v>76388</v>
      </c>
      <c r="I48" s="4121">
        <v>71165</v>
      </c>
      <c r="J48" s="4111">
        <f t="shared" si="21"/>
        <v>-2441</v>
      </c>
      <c r="K48" s="4112">
        <f t="shared" si="22"/>
        <v>-3.0965761331489681E-2</v>
      </c>
      <c r="L48" s="4113">
        <f t="shared" si="30"/>
        <v>-563</v>
      </c>
      <c r="M48" s="4112">
        <f t="shared" si="31"/>
        <v>-7.3163441670673545E-3</v>
      </c>
      <c r="N48" s="4113">
        <f t="shared" si="30"/>
        <v>5223</v>
      </c>
      <c r="O48" s="4114">
        <f t="shared" si="32"/>
        <v>7.3392819503969642E-2</v>
      </c>
      <c r="P48" s="4104" t="str">
        <f t="shared" si="23"/>
        <v>表示（判定）</v>
      </c>
      <c r="R48" s="4045">
        <f>'3条支出'!E17</f>
        <v>76388330</v>
      </c>
      <c r="S48" s="4045">
        <f t="shared" si="28"/>
        <v>76388</v>
      </c>
      <c r="U48" s="4045">
        <v>70452</v>
      </c>
      <c r="W48" s="4045">
        <f t="shared" si="29"/>
        <v>70452</v>
      </c>
    </row>
    <row r="49" spans="1:23" ht="20.25" customHeight="1">
      <c r="A49" s="4115"/>
      <c r="B49" s="4123"/>
      <c r="C49" s="5077" t="s">
        <v>6923</v>
      </c>
      <c r="D49" s="5078"/>
      <c r="E49" s="4117">
        <v>14647769</v>
      </c>
      <c r="F49" s="4118">
        <v>26580629</v>
      </c>
      <c r="G49" s="4119">
        <v>26549687</v>
      </c>
      <c r="H49" s="4120">
        <f t="shared" si="27"/>
        <v>26551442</v>
      </c>
      <c r="I49" s="4121">
        <v>26646058</v>
      </c>
      <c r="J49" s="4111">
        <f t="shared" si="21"/>
        <v>-29187</v>
      </c>
      <c r="K49" s="4112">
        <f t="shared" si="22"/>
        <v>-1.0980552792787561E-3</v>
      </c>
      <c r="L49" s="4113">
        <f t="shared" si="30"/>
        <v>1755</v>
      </c>
      <c r="M49" s="4112">
        <f t="shared" si="31"/>
        <v>6.6102474202426565E-5</v>
      </c>
      <c r="N49" s="4113">
        <f t="shared" si="30"/>
        <v>-94616</v>
      </c>
      <c r="O49" s="4114">
        <f t="shared" si="32"/>
        <v>-3.5508441811543004E-3</v>
      </c>
      <c r="P49" s="4104" t="str">
        <f t="shared" si="23"/>
        <v>表示（判定）</v>
      </c>
      <c r="R49" s="4045">
        <f>'3条支出'!E19</f>
        <v>26551442230</v>
      </c>
      <c r="S49" s="4045">
        <f t="shared" si="28"/>
        <v>26551442</v>
      </c>
      <c r="U49" s="4045">
        <v>26549687</v>
      </c>
      <c r="W49" s="4045">
        <f t="shared" si="29"/>
        <v>26549687</v>
      </c>
    </row>
    <row r="50" spans="1:23" ht="20.25" customHeight="1">
      <c r="A50" s="4115"/>
      <c r="B50" s="4126"/>
      <c r="C50" s="5077" t="s">
        <v>6924</v>
      </c>
      <c r="D50" s="5078"/>
      <c r="E50" s="4117">
        <v>378741</v>
      </c>
      <c r="F50" s="4118">
        <v>351538</v>
      </c>
      <c r="G50" s="4119">
        <v>520692</v>
      </c>
      <c r="H50" s="4120">
        <f t="shared" si="27"/>
        <v>503762</v>
      </c>
      <c r="I50" s="4121">
        <v>402494</v>
      </c>
      <c r="J50" s="4111">
        <f t="shared" si="21"/>
        <v>152224</v>
      </c>
      <c r="K50" s="4179">
        <f t="shared" si="22"/>
        <v>0.43302288799503896</v>
      </c>
      <c r="L50" s="4113">
        <f t="shared" si="30"/>
        <v>-16930</v>
      </c>
      <c r="M50" s="4179">
        <f t="shared" si="31"/>
        <v>-3.2514423113856175E-2</v>
      </c>
      <c r="N50" s="4113">
        <f t="shared" si="30"/>
        <v>101268</v>
      </c>
      <c r="O50" s="4180">
        <f t="shared" si="32"/>
        <v>0.25160126610583017</v>
      </c>
      <c r="P50" s="4104" t="str">
        <f t="shared" si="23"/>
        <v>表示（判定）</v>
      </c>
      <c r="R50" s="4045">
        <f>'3条支出'!E20</f>
        <v>503761871</v>
      </c>
      <c r="S50" s="4045">
        <f t="shared" si="28"/>
        <v>503762</v>
      </c>
      <c r="U50" s="4045">
        <v>520692</v>
      </c>
      <c r="W50" s="4045">
        <f t="shared" si="29"/>
        <v>520692</v>
      </c>
    </row>
    <row r="51" spans="1:23" ht="20.25" customHeight="1">
      <c r="A51" s="4115"/>
      <c r="B51" s="5077" t="s">
        <v>6925</v>
      </c>
      <c r="C51" s="5077"/>
      <c r="D51" s="5078"/>
      <c r="E51" s="4106">
        <f t="shared" ref="E51:H51" si="33">SUM(E52:E54)</f>
        <v>16171804</v>
      </c>
      <c r="F51" s="4107">
        <f>SUM(F52:F54)</f>
        <v>4599725</v>
      </c>
      <c r="G51" s="4108">
        <f>SUM(G52:G54)</f>
        <v>4218270</v>
      </c>
      <c r="H51" s="4109">
        <f t="shared" si="33"/>
        <v>4298724</v>
      </c>
      <c r="I51" s="4110">
        <f>SUM(I52:I54)</f>
        <v>4912974</v>
      </c>
      <c r="J51" s="4111">
        <f t="shared" si="21"/>
        <v>-301001</v>
      </c>
      <c r="K51" s="4112">
        <f t="shared" si="22"/>
        <v>-6.5438912108876077E-2</v>
      </c>
      <c r="L51" s="4113">
        <f t="shared" si="30"/>
        <v>80454</v>
      </c>
      <c r="M51" s="4112">
        <f t="shared" si="31"/>
        <v>1.9072747832642293E-2</v>
      </c>
      <c r="N51" s="4113">
        <f t="shared" si="30"/>
        <v>-614250</v>
      </c>
      <c r="O51" s="4114">
        <f t="shared" si="32"/>
        <v>-0.125026104351458</v>
      </c>
      <c r="P51" s="4104" t="str">
        <f t="shared" si="23"/>
        <v>表示（判定）</v>
      </c>
      <c r="R51" s="4045">
        <f t="shared" ref="R51" si="34">SUM(R52:R54)</f>
        <v>4298724047</v>
      </c>
    </row>
    <row r="52" spans="1:23" ht="20.25" customHeight="1">
      <c r="A52" s="4115"/>
      <c r="B52" s="4116"/>
      <c r="C52" s="5095" t="s">
        <v>6926</v>
      </c>
      <c r="D52" s="5096"/>
      <c r="E52" s="4117">
        <v>16052113</v>
      </c>
      <c r="F52" s="4118">
        <v>4207550</v>
      </c>
      <c r="G52" s="4119">
        <v>3945966</v>
      </c>
      <c r="H52" s="4120">
        <f>S52</f>
        <v>3945961</v>
      </c>
      <c r="I52" s="4121">
        <v>4401591</v>
      </c>
      <c r="J52" s="4111">
        <f t="shared" si="21"/>
        <v>-261589</v>
      </c>
      <c r="K52" s="4112">
        <f t="shared" si="22"/>
        <v>-6.2171334862330813E-2</v>
      </c>
      <c r="L52" s="4113">
        <f t="shared" si="30"/>
        <v>-5</v>
      </c>
      <c r="M52" s="4112">
        <f t="shared" si="31"/>
        <v>-1.267116847940403E-6</v>
      </c>
      <c r="N52" s="4113">
        <f t="shared" si="30"/>
        <v>-455630</v>
      </c>
      <c r="O52" s="4114">
        <f t="shared" si="32"/>
        <v>-0.103514842701196</v>
      </c>
      <c r="P52" s="4104" t="str">
        <f t="shared" si="23"/>
        <v>表示（判定）</v>
      </c>
      <c r="R52" s="4045">
        <f>'3条支出'!E23</f>
        <v>3945961149</v>
      </c>
      <c r="S52" s="4045">
        <f t="shared" si="28"/>
        <v>3945961</v>
      </c>
      <c r="U52" s="4045">
        <v>3940345</v>
      </c>
      <c r="W52" s="4045">
        <f>SUM(U52:V52)</f>
        <v>3940345</v>
      </c>
    </row>
    <row r="53" spans="1:23" ht="20.25" customHeight="1">
      <c r="A53" s="4115"/>
      <c r="B53" s="4123"/>
      <c r="C53" s="5078" t="s">
        <v>6927</v>
      </c>
      <c r="D53" s="5094"/>
      <c r="E53" s="4117">
        <v>0</v>
      </c>
      <c r="F53" s="4118">
        <v>392158</v>
      </c>
      <c r="G53" s="4119">
        <v>264261</v>
      </c>
      <c r="H53" s="4120">
        <f>S53</f>
        <v>343539</v>
      </c>
      <c r="I53" s="4121">
        <v>511383</v>
      </c>
      <c r="J53" s="4111">
        <f t="shared" si="21"/>
        <v>-48619</v>
      </c>
      <c r="K53" s="4128">
        <f t="shared" si="22"/>
        <v>-0.12397809046353765</v>
      </c>
      <c r="L53" s="4113">
        <f t="shared" si="30"/>
        <v>79278</v>
      </c>
      <c r="M53" s="4128">
        <f t="shared" si="31"/>
        <v>0.29999886475870446</v>
      </c>
      <c r="N53" s="4113">
        <f t="shared" si="30"/>
        <v>-167844</v>
      </c>
      <c r="O53" s="4129">
        <f t="shared" si="32"/>
        <v>-0.32821583822692579</v>
      </c>
      <c r="P53" s="4104" t="str">
        <f t="shared" si="23"/>
        <v>表示（判定）</v>
      </c>
      <c r="R53" s="4045">
        <f>営外!$E$22</f>
        <v>343538729</v>
      </c>
      <c r="S53" s="4045">
        <f t="shared" ref="S53" si="35">ROUND(R53/1000,0)+T53</f>
        <v>343539</v>
      </c>
    </row>
    <row r="54" spans="1:23" ht="20.25" customHeight="1">
      <c r="A54" s="4115"/>
      <c r="B54" s="4126"/>
      <c r="C54" s="5077" t="s">
        <v>6928</v>
      </c>
      <c r="D54" s="5078"/>
      <c r="E54" s="4117">
        <v>119691</v>
      </c>
      <c r="F54" s="4118">
        <v>17</v>
      </c>
      <c r="G54" s="4119">
        <f>43+8000</f>
        <v>8043</v>
      </c>
      <c r="H54" s="4120">
        <f>S54</f>
        <v>9224</v>
      </c>
      <c r="I54" s="4121">
        <v>0</v>
      </c>
      <c r="J54" s="4111">
        <f t="shared" si="21"/>
        <v>9207</v>
      </c>
      <c r="K54" s="4112">
        <f t="shared" si="22"/>
        <v>541.58823529411768</v>
      </c>
      <c r="L54" s="4113">
        <f t="shared" si="30"/>
        <v>1181</v>
      </c>
      <c r="M54" s="4112">
        <f t="shared" si="31"/>
        <v>0.14683575780181524</v>
      </c>
      <c r="N54" s="4113">
        <f t="shared" si="30"/>
        <v>9224</v>
      </c>
      <c r="O54" s="4114" t="str">
        <f t="shared" si="32"/>
        <v xml:space="preserve">皆増 </v>
      </c>
      <c r="P54" s="4104" t="str">
        <f t="shared" si="23"/>
        <v>表示（判定）</v>
      </c>
      <c r="R54" s="4045">
        <f>'3条支出'!E24+'3条支出'!$E$25</f>
        <v>9224169</v>
      </c>
      <c r="S54" s="4045">
        <f t="shared" si="28"/>
        <v>9224</v>
      </c>
      <c r="U54" s="4045">
        <v>196817</v>
      </c>
      <c r="V54" s="4045">
        <v>7273</v>
      </c>
      <c r="W54" s="4045">
        <f>SUM(U54:V54)</f>
        <v>204090</v>
      </c>
    </row>
    <row r="55" spans="1:23" ht="20.25" customHeight="1">
      <c r="A55" s="4115"/>
      <c r="B55" s="5077" t="s">
        <v>6929</v>
      </c>
      <c r="C55" s="5077"/>
      <c r="D55" s="5078"/>
      <c r="E55" s="4106">
        <f t="shared" ref="E55:H55" si="36">SUM(E56:E59)</f>
        <v>55925</v>
      </c>
      <c r="F55" s="4107">
        <f>SUM(F56:F59)</f>
        <v>8289</v>
      </c>
      <c r="G55" s="4108">
        <f>SUM(G56:G59)</f>
        <v>22609</v>
      </c>
      <c r="H55" s="4109">
        <f t="shared" si="36"/>
        <v>20995</v>
      </c>
      <c r="I55" s="4110">
        <f>SUM(I56:I59)</f>
        <v>5322</v>
      </c>
      <c r="J55" s="4111">
        <f t="shared" si="21"/>
        <v>12706</v>
      </c>
      <c r="K55" s="4112">
        <f t="shared" si="22"/>
        <v>1.5328748944384123</v>
      </c>
      <c r="L55" s="4113">
        <f t="shared" si="30"/>
        <v>-1614</v>
      </c>
      <c r="M55" s="4112">
        <f t="shared" si="31"/>
        <v>-7.1387500552877167E-2</v>
      </c>
      <c r="N55" s="4113">
        <f t="shared" si="30"/>
        <v>15673</v>
      </c>
      <c r="O55" s="4114">
        <f t="shared" si="32"/>
        <v>2.9449455092070651</v>
      </c>
      <c r="P55" s="4104" t="str">
        <f t="shared" si="23"/>
        <v>表示（判定）</v>
      </c>
      <c r="R55" s="4045">
        <f t="shared" ref="R55" si="37">SUM(R56:R59)</f>
        <v>20995298</v>
      </c>
    </row>
    <row r="56" spans="1:23" ht="20.25" customHeight="1">
      <c r="A56" s="4115"/>
      <c r="B56" s="4116"/>
      <c r="C56" s="5077" t="s">
        <v>6930</v>
      </c>
      <c r="D56" s="5078"/>
      <c r="E56" s="4117">
        <v>0</v>
      </c>
      <c r="F56" s="4118">
        <v>0</v>
      </c>
      <c r="G56" s="4119">
        <v>10315</v>
      </c>
      <c r="H56" s="4120">
        <f>S56</f>
        <v>10315</v>
      </c>
      <c r="I56" s="4121">
        <v>0</v>
      </c>
      <c r="J56" s="4111">
        <f t="shared" si="21"/>
        <v>10315</v>
      </c>
      <c r="K56" s="4128" t="str">
        <f t="shared" si="22"/>
        <v xml:space="preserve">皆増 </v>
      </c>
      <c r="L56" s="4113">
        <f t="shared" si="30"/>
        <v>0</v>
      </c>
      <c r="M56" s="4128">
        <f t="shared" si="31"/>
        <v>0</v>
      </c>
      <c r="N56" s="4113">
        <f t="shared" si="30"/>
        <v>10315</v>
      </c>
      <c r="O56" s="4129" t="str">
        <f t="shared" si="32"/>
        <v xml:space="preserve">皆増 </v>
      </c>
      <c r="P56" s="4104" t="str">
        <f t="shared" si="23"/>
        <v>表示（判定）</v>
      </c>
      <c r="R56" s="4045">
        <f>'3条支出'!$E$30</f>
        <v>10315355</v>
      </c>
      <c r="S56" s="4045">
        <f t="shared" ref="S56:S59" si="38">ROUND(R56/1000,0)+T56</f>
        <v>10315</v>
      </c>
      <c r="U56" s="4045">
        <v>10315</v>
      </c>
      <c r="W56" s="4045">
        <f t="shared" ref="W56:W59" si="39">SUM(U56:V56)</f>
        <v>10315</v>
      </c>
    </row>
    <row r="57" spans="1:23" ht="20.25" customHeight="1">
      <c r="A57" s="4115"/>
      <c r="B57" s="4116"/>
      <c r="C57" s="5077" t="s">
        <v>6931</v>
      </c>
      <c r="D57" s="5078"/>
      <c r="E57" s="4117">
        <v>41531</v>
      </c>
      <c r="F57" s="4118">
        <v>8248</v>
      </c>
      <c r="G57" s="4119">
        <v>12253</v>
      </c>
      <c r="H57" s="4120">
        <f>S57</f>
        <v>10680</v>
      </c>
      <c r="I57" s="4121">
        <v>5320</v>
      </c>
      <c r="J57" s="4111">
        <f t="shared" si="21"/>
        <v>2432</v>
      </c>
      <c r="K57" s="4179">
        <f t="shared" si="22"/>
        <v>0.29485935984481088</v>
      </c>
      <c r="L57" s="4113">
        <f t="shared" si="30"/>
        <v>-1573</v>
      </c>
      <c r="M57" s="4179">
        <f t="shared" si="31"/>
        <v>-0.12837672406757528</v>
      </c>
      <c r="N57" s="4113">
        <f t="shared" si="30"/>
        <v>5360</v>
      </c>
      <c r="O57" s="4180">
        <f t="shared" si="32"/>
        <v>1.0075187969924813</v>
      </c>
      <c r="P57" s="4104" t="str">
        <f t="shared" si="23"/>
        <v>表示（判定）</v>
      </c>
      <c r="R57" s="4045">
        <f>'3条支出'!$E$28</f>
        <v>10679943</v>
      </c>
      <c r="S57" s="4045">
        <f t="shared" si="38"/>
        <v>10680</v>
      </c>
      <c r="U57" s="4045">
        <v>11176</v>
      </c>
      <c r="W57" s="4045">
        <f t="shared" si="39"/>
        <v>11176</v>
      </c>
    </row>
    <row r="58" spans="1:23" ht="20.25" hidden="1" customHeight="1">
      <c r="A58" s="4115"/>
      <c r="B58" s="4123"/>
      <c r="C58" s="5077" t="s">
        <v>6932</v>
      </c>
      <c r="D58" s="5078"/>
      <c r="E58" s="4117"/>
      <c r="F58" s="4118">
        <v>0</v>
      </c>
      <c r="G58" s="4119">
        <f>W58</f>
        <v>0</v>
      </c>
      <c r="H58" s="4120">
        <f>S58</f>
        <v>0</v>
      </c>
      <c r="I58" s="4121">
        <v>0</v>
      </c>
      <c r="J58" s="4111" t="str">
        <f t="shared" si="21"/>
        <v xml:space="preserve">－ </v>
      </c>
      <c r="K58" s="4179" t="str">
        <f t="shared" si="22"/>
        <v xml:space="preserve">－ </v>
      </c>
      <c r="L58" s="4113" t="str">
        <f t="shared" si="30"/>
        <v xml:space="preserve">－ </v>
      </c>
      <c r="M58" s="4179" t="str">
        <f t="shared" si="31"/>
        <v xml:space="preserve">－ </v>
      </c>
      <c r="N58" s="4113" t="str">
        <f t="shared" si="30"/>
        <v xml:space="preserve">－ </v>
      </c>
      <c r="O58" s="4180" t="str">
        <f t="shared" si="32"/>
        <v xml:space="preserve">－ </v>
      </c>
      <c r="P58" s="4104" t="str">
        <f t="shared" si="23"/>
        <v>×表示しない</v>
      </c>
      <c r="R58" s="4045">
        <f>'3条支出'!$T$31</f>
        <v>0</v>
      </c>
      <c r="S58" s="4045">
        <f t="shared" si="38"/>
        <v>0</v>
      </c>
      <c r="U58" s="4045">
        <v>0</v>
      </c>
      <c r="W58" s="4045">
        <f t="shared" si="39"/>
        <v>0</v>
      </c>
    </row>
    <row r="59" spans="1:23" ht="20.25" customHeight="1">
      <c r="A59" s="4115"/>
      <c r="B59" s="4126"/>
      <c r="C59" s="5077" t="s">
        <v>6933</v>
      </c>
      <c r="D59" s="5078"/>
      <c r="E59" s="4117">
        <v>14394</v>
      </c>
      <c r="F59" s="4118">
        <v>41</v>
      </c>
      <c r="G59" s="4119">
        <v>41</v>
      </c>
      <c r="H59" s="4120">
        <f>S59</f>
        <v>0</v>
      </c>
      <c r="I59" s="4121">
        <v>2</v>
      </c>
      <c r="J59" s="4111">
        <f t="shared" si="21"/>
        <v>-41</v>
      </c>
      <c r="K59" s="4181" t="str">
        <f t="shared" si="22"/>
        <v xml:space="preserve">皆減 </v>
      </c>
      <c r="L59" s="4113">
        <f t="shared" si="30"/>
        <v>-41</v>
      </c>
      <c r="M59" s="4181" t="str">
        <f t="shared" si="31"/>
        <v xml:space="preserve">皆減 </v>
      </c>
      <c r="N59" s="4113">
        <f t="shared" si="30"/>
        <v>-2</v>
      </c>
      <c r="O59" s="4182" t="str">
        <f t="shared" si="32"/>
        <v xml:space="preserve">皆減 </v>
      </c>
      <c r="P59" s="4104" t="str">
        <f t="shared" si="23"/>
        <v>表示（判定）</v>
      </c>
      <c r="R59" s="4045">
        <f>'3条支出'!$E$29</f>
        <v>0</v>
      </c>
      <c r="S59" s="4045">
        <f t="shared" si="38"/>
        <v>0</v>
      </c>
      <c r="U59" s="4045">
        <v>38</v>
      </c>
      <c r="W59" s="4045">
        <f t="shared" si="39"/>
        <v>38</v>
      </c>
    </row>
    <row r="60" spans="1:23" ht="20.25" customHeight="1" thickBot="1">
      <c r="A60" s="4141"/>
      <c r="B60" s="5086" t="s">
        <v>6934</v>
      </c>
      <c r="C60" s="5086"/>
      <c r="D60" s="5087"/>
      <c r="E60" s="4143">
        <v>0</v>
      </c>
      <c r="F60" s="4144">
        <v>20000</v>
      </c>
      <c r="G60" s="4145">
        <f>W60</f>
        <v>0</v>
      </c>
      <c r="H60" s="4183">
        <v>0</v>
      </c>
      <c r="I60" s="4147">
        <v>0</v>
      </c>
      <c r="J60" s="4148">
        <f t="shared" si="21"/>
        <v>-20000</v>
      </c>
      <c r="K60" s="4184" t="str">
        <f t="shared" si="22"/>
        <v xml:space="preserve">皆減 </v>
      </c>
      <c r="L60" s="4150" t="str">
        <f t="shared" si="30"/>
        <v xml:space="preserve">－ </v>
      </c>
      <c r="M60" s="4184" t="str">
        <f t="shared" si="31"/>
        <v xml:space="preserve">－ </v>
      </c>
      <c r="N60" s="4150" t="str">
        <f t="shared" si="30"/>
        <v xml:space="preserve">－ </v>
      </c>
      <c r="O60" s="4185" t="str">
        <f t="shared" si="32"/>
        <v xml:space="preserve">－ </v>
      </c>
      <c r="P60" s="4104" t="str">
        <f t="shared" si="23"/>
        <v>表示（判定）</v>
      </c>
      <c r="U60" s="4045">
        <v>7273</v>
      </c>
      <c r="V60" s="4045">
        <v>-7273</v>
      </c>
      <c r="W60" s="4045">
        <f>SUM(U60:V60)</f>
        <v>0</v>
      </c>
    </row>
    <row r="61" spans="1:23" ht="12.75" thickBot="1">
      <c r="A61" s="4165"/>
      <c r="B61" s="4165"/>
      <c r="C61" s="4165"/>
      <c r="D61" s="4165"/>
      <c r="F61" s="4166"/>
      <c r="G61" s="4166"/>
      <c r="H61" s="4167"/>
      <c r="I61" s="4166"/>
      <c r="J61" s="4155"/>
      <c r="K61" s="4157"/>
      <c r="L61" s="4186"/>
      <c r="M61" s="4157"/>
      <c r="N61" s="4186"/>
      <c r="O61" s="4157"/>
      <c r="P61" s="4041" t="s">
        <v>7083</v>
      </c>
    </row>
    <row r="62" spans="1:23" ht="20.25" customHeight="1" thickBot="1">
      <c r="A62" s="5100" t="s">
        <v>7145</v>
      </c>
      <c r="B62" s="5101"/>
      <c r="C62" s="5101"/>
      <c r="D62" s="5102"/>
      <c r="E62" s="4187">
        <f>E9-E36</f>
        <v>9623</v>
      </c>
      <c r="F62" s="4188">
        <f>F9-F36</f>
        <v>1022518</v>
      </c>
      <c r="G62" s="4189">
        <f>G9-G36</f>
        <v>1055297</v>
      </c>
      <c r="H62" s="4190">
        <f>H9-H36</f>
        <v>1467504</v>
      </c>
      <c r="I62" s="4191">
        <f>I9-I36</f>
        <v>1217641</v>
      </c>
      <c r="J62" s="4037">
        <f>IF(AND(F62=0,$H62=0),"－ ",$H62-F62)</f>
        <v>444986</v>
      </c>
      <c r="K62" s="4192">
        <f>IF(AND(F62=0,$H62&gt;0),"皆増 ",IF(AND(F62&gt;0,$H62=0),"皆減 ",IF(AND(F62=0,$H62=0),"－ ",J62/F62)))</f>
        <v>0.43518647104500852</v>
      </c>
      <c r="L62" s="4039">
        <f t="shared" si="30"/>
        <v>412207</v>
      </c>
      <c r="M62" s="4192">
        <f t="shared" si="31"/>
        <v>0.39060757303394211</v>
      </c>
      <c r="N62" s="4039">
        <f t="shared" si="30"/>
        <v>249863</v>
      </c>
      <c r="O62" s="4193">
        <f t="shared" si="32"/>
        <v>0.2052025186405517</v>
      </c>
      <c r="P62" s="4041" t="s">
        <v>7083</v>
      </c>
      <c r="R62" s="4045">
        <f>R9-R36</f>
        <v>1467502897</v>
      </c>
    </row>
    <row r="63" spans="1:23" ht="12.75" thickBot="1">
      <c r="A63" s="4165"/>
      <c r="B63" s="4165"/>
      <c r="C63" s="4165"/>
      <c r="D63" s="4165"/>
      <c r="F63" s="4166"/>
      <c r="G63" s="4166"/>
      <c r="H63" s="4167"/>
      <c r="I63" s="4166"/>
      <c r="J63" s="4155"/>
      <c r="K63" s="4157"/>
      <c r="L63" s="4186"/>
      <c r="M63" s="4157"/>
      <c r="N63" s="4186"/>
      <c r="O63" s="4157"/>
      <c r="P63" s="4041" t="s">
        <v>7083</v>
      </c>
      <c r="Q63" s="4045" t="s">
        <v>7188</v>
      </c>
      <c r="R63" s="4045">
        <f>消費税!$AF$118</f>
        <v>-923595698</v>
      </c>
      <c r="T63" s="4045">
        <f t="shared" ref="T63" si="40">ROUND(R63/1000,0)+S63</f>
        <v>-923596</v>
      </c>
    </row>
    <row r="64" spans="1:23" ht="20.25" customHeight="1" thickBot="1">
      <c r="A64" s="5100" t="s">
        <v>7187</v>
      </c>
      <c r="B64" s="5101"/>
      <c r="C64" s="5101"/>
      <c r="D64" s="5102"/>
      <c r="E64" s="4187">
        <f>E11-E38</f>
        <v>20556607</v>
      </c>
      <c r="F64" s="4188">
        <v>120300</v>
      </c>
      <c r="G64" s="4189">
        <v>87714</v>
      </c>
      <c r="H64" s="4190">
        <f>S64</f>
        <v>543907</v>
      </c>
      <c r="I64" s="4191">
        <v>447981</v>
      </c>
      <c r="J64" s="4037">
        <f>IF(AND(F64=0,$H64=0),"－ ",$H64-F64)</f>
        <v>423607</v>
      </c>
      <c r="K64" s="4192">
        <f>IF(AND(F64=0,$H64&gt;0),"皆増 ",IF(AND(F64&gt;0,$H64=0),"皆減 ",IF(AND(F64=0,$H64=0),"－ ",J64/F64)))</f>
        <v>3.5212551953449709</v>
      </c>
      <c r="L64" s="4039">
        <f t="shared" ref="L64" si="41">IF(AND(G64=0,$H64=0),"－ ",$H64-G64)</f>
        <v>456193</v>
      </c>
      <c r="M64" s="4192">
        <f t="shared" ref="M64" si="42">IF(AND(G64=0,$H64&gt;0),"皆増 ",IF(AND(G64&gt;0,$H64=0),"皆減 ",IF(AND(G64=0,$H64=0),"－ ",L64/G64)))</f>
        <v>5.200914335225848</v>
      </c>
      <c r="N64" s="4039">
        <f t="shared" ref="N64" si="43">IF(AND(I64=0,$H64=0),"－ ",$H64-I64)</f>
        <v>95926</v>
      </c>
      <c r="O64" s="4193">
        <f t="shared" ref="O64" si="44">IF(AND(I64=0,$H64&gt;0),"皆増 ",IF(AND(I64&gt;0,$H64=0),"皆減 ",IF(AND(I64=0,$H64=0),"－ ",N64/I64)))</f>
        <v>0.21412961710429684</v>
      </c>
      <c r="P64" s="4041" t="s">
        <v>7083</v>
      </c>
      <c r="R64" s="4045">
        <f>SUM(R62:R63)</f>
        <v>543907199</v>
      </c>
      <c r="S64" s="4045">
        <f t="shared" ref="S64" si="45">ROUND(R64/1000,0)+T64</f>
        <v>543907</v>
      </c>
    </row>
    <row r="65" spans="2:19" ht="20.25" hidden="1" customHeight="1">
      <c r="B65" s="5103" t="s">
        <v>6936</v>
      </c>
      <c r="C65" s="5104"/>
      <c r="D65" s="5105"/>
      <c r="P65" s="4041" t="s">
        <v>7099</v>
      </c>
    </row>
    <row r="66" spans="2:19" ht="20.25" hidden="1" customHeight="1">
      <c r="B66" s="5097" t="s">
        <v>6937</v>
      </c>
      <c r="C66" s="5098"/>
      <c r="D66" s="5099"/>
      <c r="P66" s="4041" t="s">
        <v>7099</v>
      </c>
    </row>
    <row r="67" spans="2:19" ht="20.25" customHeight="1">
      <c r="D67" s="4125"/>
    </row>
    <row r="68" spans="2:19" ht="20.25" customHeight="1">
      <c r="K68" s="4059"/>
      <c r="M68" s="4059"/>
      <c r="O68" s="4059"/>
      <c r="P68" s="4059"/>
    </row>
    <row r="69" spans="2:19" ht="20.25" customHeight="1">
      <c r="Q69" s="4042" t="s">
        <v>6935</v>
      </c>
      <c r="R69" s="4045">
        <f>R9-R36</f>
        <v>1467502897</v>
      </c>
      <c r="S69" s="4045">
        <f>S33-S62</f>
        <v>44454712</v>
      </c>
    </row>
  </sheetData>
  <autoFilter ref="A8:W66">
    <filterColumn colId="15">
      <filters>
        <filter val="表示"/>
        <filter val="表示（判定）"/>
      </filters>
    </filterColumn>
  </autoFilter>
  <mergeCells count="49">
    <mergeCell ref="C24:D24"/>
    <mergeCell ref="A7:D7"/>
    <mergeCell ref="A9:D9"/>
    <mergeCell ref="B10:D10"/>
    <mergeCell ref="C11:D11"/>
    <mergeCell ref="C12:D12"/>
    <mergeCell ref="C18:D18"/>
    <mergeCell ref="B19:D19"/>
    <mergeCell ref="C20:D20"/>
    <mergeCell ref="C21:D21"/>
    <mergeCell ref="C22:D22"/>
    <mergeCell ref="C23:D23"/>
    <mergeCell ref="C39:D39"/>
    <mergeCell ref="C25:D25"/>
    <mergeCell ref="C26:D26"/>
    <mergeCell ref="B27:D27"/>
    <mergeCell ref="C28:D28"/>
    <mergeCell ref="C29:D29"/>
    <mergeCell ref="C30:D30"/>
    <mergeCell ref="C31:D31"/>
    <mergeCell ref="A33:D33"/>
    <mergeCell ref="A36:D36"/>
    <mergeCell ref="B37:D37"/>
    <mergeCell ref="C38:D38"/>
    <mergeCell ref="B51:D51"/>
    <mergeCell ref="C40:D40"/>
    <mergeCell ref="C41:D41"/>
    <mergeCell ref="C42:D42"/>
    <mergeCell ref="C43:D43"/>
    <mergeCell ref="C44:D44"/>
    <mergeCell ref="C45:D45"/>
    <mergeCell ref="C46:D46"/>
    <mergeCell ref="C47:D47"/>
    <mergeCell ref="C48:D48"/>
    <mergeCell ref="C49:D49"/>
    <mergeCell ref="C50:D50"/>
    <mergeCell ref="B66:D66"/>
    <mergeCell ref="A64:D64"/>
    <mergeCell ref="C52:D52"/>
    <mergeCell ref="C53:D53"/>
    <mergeCell ref="C54:D54"/>
    <mergeCell ref="B55:D55"/>
    <mergeCell ref="C56:D56"/>
    <mergeCell ref="C57:D57"/>
    <mergeCell ref="C58:D58"/>
    <mergeCell ref="C59:D59"/>
    <mergeCell ref="B60:D60"/>
    <mergeCell ref="A62:D62"/>
    <mergeCell ref="B65:D65"/>
  </mergeCells>
  <phoneticPr fontId="3"/>
  <printOptions horizontalCentered="1"/>
  <pageMargins left="0.59055118110236227" right="0.39370078740157483" top="0.39370078740157483"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w8_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Z90"/>
  <sheetViews>
    <sheetView view="pageBreakPreview" zoomScale="115" zoomScaleNormal="100" zoomScaleSheetLayoutView="115" workbookViewId="0">
      <selection activeCell="F9" sqref="F9"/>
    </sheetView>
  </sheetViews>
  <sheetFormatPr defaultColWidth="9" defaultRowHeight="20.85" customHeight="1" outlineLevelRow="1" outlineLevelCol="1"/>
  <cols>
    <col min="1" max="3" width="1.375" style="4195" customWidth="1"/>
    <col min="4" max="4" width="26" style="4195" customWidth="1"/>
    <col min="5" max="5" width="12" style="4195" hidden="1" customWidth="1" outlineLevel="1"/>
    <col min="6" max="6" width="12.375" style="4196" customWidth="1" collapsed="1"/>
    <col min="7" max="8" width="12.375" style="4196" customWidth="1"/>
    <col min="9" max="9" width="12.375" style="4699" hidden="1" customWidth="1" outlineLevel="1"/>
    <col min="10" max="10" width="12.375" style="4196" customWidth="1" collapsed="1"/>
    <col min="11" max="11" width="10.375" style="4195" customWidth="1"/>
    <col min="12" max="12" width="7.375" style="4195" customWidth="1"/>
    <col min="13" max="13" width="10.375" style="4195" customWidth="1"/>
    <col min="14" max="14" width="7.375" style="4195" customWidth="1"/>
    <col min="15" max="15" width="10.375" style="4195" customWidth="1"/>
    <col min="16" max="16" width="7.375" style="4195" customWidth="1"/>
    <col min="17" max="17" width="10.5" style="4195" bestFit="1" customWidth="1"/>
    <col min="18" max="18" width="2.125" style="4195" customWidth="1"/>
    <col min="19" max="19" width="17.125" style="4197" bestFit="1" customWidth="1"/>
    <col min="20" max="20" width="13.125" style="4197" bestFit="1" customWidth="1"/>
    <col min="21" max="21" width="9" style="4197"/>
    <col min="22" max="22" width="10.25" style="4197" bestFit="1" customWidth="1"/>
    <col min="23" max="23" width="9.125" style="4197" bestFit="1" customWidth="1"/>
    <col min="24" max="26" width="10.25" style="4198" bestFit="1" customWidth="1"/>
    <col min="27" max="16384" width="9" style="4195"/>
  </cols>
  <sheetData>
    <row r="1" spans="1:26" ht="20.85" customHeight="1">
      <c r="A1" s="4194" t="str">
        <f>+CONCATENATE("令和",+DBCS(MID(F5,2,1)),"年度決算　資本的収支（税込）みなし")</f>
        <v>令和５年度決算　資本的収支（税込）みなし</v>
      </c>
      <c r="M1" s="4053"/>
      <c r="N1" s="4053"/>
      <c r="O1" s="4049"/>
      <c r="P1" s="4817" t="str">
        <f>総括表!$K$1</f>
        <v>令和6年5月22日</v>
      </c>
    </row>
    <row r="2" spans="1:26" ht="20.85" hidden="1" customHeight="1" outlineLevel="1">
      <c r="K2" s="4196"/>
      <c r="L2" s="4196"/>
      <c r="M2" s="4196"/>
      <c r="N2" s="4196"/>
    </row>
    <row r="3" spans="1:26" ht="20.85" customHeight="1" collapsed="1" thickBot="1">
      <c r="A3" s="4199" t="s">
        <v>6879</v>
      </c>
      <c r="B3" s="4055"/>
      <c r="C3" s="4055"/>
      <c r="D3" s="4055"/>
      <c r="E3" s="4055"/>
      <c r="F3" s="4057"/>
      <c r="G3" s="4057"/>
      <c r="H3" s="4058"/>
      <c r="I3" s="4700"/>
      <c r="J3" s="4058"/>
      <c r="K3" s="4059"/>
      <c r="L3" s="4059"/>
      <c r="M3" s="4059"/>
      <c r="N3" s="4059"/>
      <c r="O3" s="5106" t="s">
        <v>6880</v>
      </c>
      <c r="P3" s="5106"/>
    </row>
    <row r="4" spans="1:26" s="4059" customFormat="1" ht="12.75" thickBot="1">
      <c r="A4" s="4061"/>
      <c r="B4" s="4062"/>
      <c r="C4" s="4062"/>
      <c r="D4" s="4063"/>
      <c r="E4" s="4064"/>
      <c r="F4" s="4200"/>
      <c r="G4" s="4201"/>
      <c r="H4" s="4202"/>
      <c r="I4" s="4701"/>
      <c r="J4" s="4203"/>
      <c r="K4" s="4069" t="s">
        <v>7078</v>
      </c>
      <c r="L4" s="4068"/>
      <c r="M4" s="4069"/>
      <c r="N4" s="4068"/>
      <c r="O4" s="4069"/>
      <c r="P4" s="4070"/>
      <c r="Q4" s="4071"/>
      <c r="S4" s="4204"/>
      <c r="T4" s="4204"/>
      <c r="U4" s="4204"/>
      <c r="V4" s="4204"/>
      <c r="W4" s="4204"/>
      <c r="X4" s="4205"/>
      <c r="Y4" s="4205"/>
      <c r="Z4" s="4205"/>
    </row>
    <row r="5" spans="1:26" s="4042" customFormat="1" ht="24">
      <c r="A5" s="5074" t="s">
        <v>7088</v>
      </c>
      <c r="B5" s="5075"/>
      <c r="C5" s="5075"/>
      <c r="D5" s="5076"/>
      <c r="E5" s="4073" t="s">
        <v>6883</v>
      </c>
      <c r="F5" s="4206" t="s">
        <v>7086</v>
      </c>
      <c r="G5" s="4207" t="s">
        <v>7084</v>
      </c>
      <c r="H5" s="4076" t="s">
        <v>7085</v>
      </c>
      <c r="I5" s="4702"/>
      <c r="J5" s="4208" t="s">
        <v>7087</v>
      </c>
      <c r="K5" s="4080" t="s">
        <v>7082</v>
      </c>
      <c r="L5" s="4079"/>
      <c r="M5" s="4080" t="s">
        <v>7081</v>
      </c>
      <c r="N5" s="4079"/>
      <c r="O5" s="4080" t="s">
        <v>7080</v>
      </c>
      <c r="P5" s="4081"/>
      <c r="S5" s="4197" t="s">
        <v>7094</v>
      </c>
      <c r="T5" s="4197"/>
      <c r="U5" s="4197"/>
      <c r="V5" s="4197" t="s">
        <v>7071</v>
      </c>
      <c r="W5" s="4197"/>
      <c r="X5" s="4198" t="s">
        <v>7071</v>
      </c>
      <c r="Y5" s="4198"/>
      <c r="Z5" s="4198" t="s">
        <v>7071</v>
      </c>
    </row>
    <row r="6" spans="1:26" s="4042" customFormat="1" ht="20.25" customHeight="1">
      <c r="A6" s="4082"/>
      <c r="B6" s="4083"/>
      <c r="C6" s="4083"/>
      <c r="D6" s="4084"/>
      <c r="E6" s="4085"/>
      <c r="F6" s="4209" t="s">
        <v>7074</v>
      </c>
      <c r="G6" s="4210" t="s">
        <v>7075</v>
      </c>
      <c r="H6" s="4088" t="s">
        <v>7076</v>
      </c>
      <c r="I6" s="4703" t="s">
        <v>7199</v>
      </c>
      <c r="J6" s="4211" t="s">
        <v>7077</v>
      </c>
      <c r="K6" s="4092" t="s">
        <v>7097</v>
      </c>
      <c r="L6" s="4091" t="s">
        <v>6885</v>
      </c>
      <c r="M6" s="4092" t="s">
        <v>7136</v>
      </c>
      <c r="N6" s="4091" t="s">
        <v>6885</v>
      </c>
      <c r="O6" s="4092" t="s">
        <v>7132</v>
      </c>
      <c r="P6" s="4093" t="s">
        <v>6885</v>
      </c>
      <c r="Q6" s="4071" t="s">
        <v>7090</v>
      </c>
      <c r="R6" s="4042" t="s">
        <v>7091</v>
      </c>
      <c r="S6" s="4197" t="s">
        <v>7093</v>
      </c>
      <c r="T6" s="4197" t="s">
        <v>7092</v>
      </c>
      <c r="U6" s="4212" t="s">
        <v>6939</v>
      </c>
      <c r="V6" s="4197" t="s">
        <v>7072</v>
      </c>
      <c r="W6" s="4197" t="s">
        <v>7100</v>
      </c>
      <c r="X6" s="4198" t="s">
        <v>7072</v>
      </c>
      <c r="Y6" s="4198"/>
      <c r="Z6" s="4198" t="s">
        <v>7072</v>
      </c>
    </row>
    <row r="7" spans="1:26" ht="20.85" customHeight="1">
      <c r="A7" s="5109" t="s">
        <v>6944</v>
      </c>
      <c r="B7" s="5110"/>
      <c r="C7" s="5110"/>
      <c r="D7" s="5111"/>
      <c r="E7" s="4213">
        <f>SUM(E8,E19:E23,E28,E35,E36)</f>
        <v>0</v>
      </c>
      <c r="F7" s="4214">
        <f>SUM(F8,F19:F23,F28,F35,F36)</f>
        <v>42627050</v>
      </c>
      <c r="G7" s="4215">
        <f>SUM(G8,G19:G23,G28,G35,G36)</f>
        <v>42172333</v>
      </c>
      <c r="H7" s="4216">
        <f>SUM(H8,H19:H23,H28,H35,H36)</f>
        <v>42243091</v>
      </c>
      <c r="I7" s="4704"/>
      <c r="J7" s="4217">
        <f>SUM(J8,J19:J23,J28,J35,J36)</f>
        <v>41780528</v>
      </c>
      <c r="K7" s="4218">
        <f t="shared" ref="K7" si="0">IF(AND(F7=0,$H7=0),"－ ",$H7-F7)</f>
        <v>-383959</v>
      </c>
      <c r="L7" s="4219">
        <f>IF(AND(F7=0,$H7&gt;0),"皆増 ",IF(AND(F7&gt;0,$H7=0),"皆減 ",IF(AND(F7=0,$H7=0),"－ ",K7/F7)))</f>
        <v>-9.0074025765329753E-3</v>
      </c>
      <c r="M7" s="4218">
        <f>IF(AND(G7=0,$H7=0),"－ ",$H7-G7)</f>
        <v>70758</v>
      </c>
      <c r="N7" s="4219">
        <f>IF(AND(G7=0,$H7&gt;0),"皆増 ",IF(AND(G7&gt;0,$H7=0),"皆減 ",IF(AND(G7=0,$H7=0),"－ ",M7/G7)))</f>
        <v>1.6778298701188763E-3</v>
      </c>
      <c r="O7" s="4218">
        <f t="shared" ref="O7" si="1">IF(AND(J7=0,$H7=0),"－ ",$H7-J7)</f>
        <v>462563</v>
      </c>
      <c r="P7" s="4220">
        <f>IF(AND(J7=0,$H7&gt;0),"皆増 ",IF(AND(J7&gt;0,$H7=0),"皆減 ",IF(AND(J7=0,$H7=0),"－ ",O7/J7)))</f>
        <v>1.107125788357677E-2</v>
      </c>
      <c r="Q7" s="4104" t="str">
        <f t="shared" ref="Q7:Q70" si="2">IF(OR(F7&gt;0,G7&gt;0,H7&gt;0,J7&gt;0),"表示（判定）","×表示しない")</f>
        <v>表示（判定）</v>
      </c>
      <c r="S7" s="4197">
        <f>IF('(繰)4条収入'!M5=SUM(S10:S36),'(繰)4条収入'!M5,"エラー")</f>
        <v>42243090880</v>
      </c>
      <c r="T7" s="4197">
        <f>ROUND(S7/1000,0)+U7</f>
        <v>42243091</v>
      </c>
    </row>
    <row r="8" spans="1:26" ht="20.85" customHeight="1">
      <c r="A8" s="4221"/>
      <c r="B8" s="5112" t="s">
        <v>6945</v>
      </c>
      <c r="C8" s="5112"/>
      <c r="D8" s="5113"/>
      <c r="E8" s="4222">
        <f>SUM(E9,E18)</f>
        <v>0</v>
      </c>
      <c r="F8" s="4223">
        <f>SUM(F9,F17,F18)</f>
        <v>32505200</v>
      </c>
      <c r="G8" s="4224">
        <f>SUM(G9,G17,G18)</f>
        <v>32352700</v>
      </c>
      <c r="H8" s="4225">
        <f>SUM(H9,H17,H18)</f>
        <v>32352700</v>
      </c>
      <c r="I8" s="4705"/>
      <c r="J8" s="4226">
        <f>SUM(J9,J17,J18)</f>
        <v>31138800</v>
      </c>
      <c r="K8" s="4227">
        <f t="shared" ref="K8:K36" si="3">IF(AND(F8=0,$H8=0),"－ ",$H8-F8)</f>
        <v>-152500</v>
      </c>
      <c r="L8" s="4228">
        <f t="shared" ref="L8:L36" si="4">IF(AND(F8=0,$H8&gt;0),"皆増 ",IF(AND(F8&gt;0,$H8=0),"皆減 ",IF(AND(F8=0,$H8=0),"－ ",K8/F8)))</f>
        <v>-4.6915570431807834E-3</v>
      </c>
      <c r="M8" s="4229">
        <f t="shared" ref="M8:M36" si="5">IF(AND(G8=0,$H8=0),"－ ",$H8-G8)</f>
        <v>0</v>
      </c>
      <c r="N8" s="4228">
        <f t="shared" ref="N8:N36" si="6">IF(AND(G8=0,$H8&gt;0),"皆増 ",IF(AND(G8&gt;0,$H8=0),"皆減 ",IF(AND(G8=0,$H8=0),"－ ",M8/G8)))</f>
        <v>0</v>
      </c>
      <c r="O8" s="4229">
        <f t="shared" ref="O8:O36" si="7">IF(AND(J8=0,$H8=0),"－ ",$H8-J8)</f>
        <v>1213900</v>
      </c>
      <c r="P8" s="4230">
        <f t="shared" ref="P8:P36" si="8">IF(AND(J8=0,$H8&gt;0),"皆増 ",IF(AND(J8&gt;0,$H8=0),"皆減 ",IF(AND(J8=0,$H8=0),"－ ",O8/J8)))</f>
        <v>3.8983518953845366E-2</v>
      </c>
      <c r="Q8" s="4104" t="str">
        <f t="shared" si="2"/>
        <v>表示（判定）</v>
      </c>
    </row>
    <row r="9" spans="1:26" ht="20.85" customHeight="1">
      <c r="A9" s="4221"/>
      <c r="B9" s="4231"/>
      <c r="C9" s="5114" t="s">
        <v>6946</v>
      </c>
      <c r="D9" s="5115"/>
      <c r="E9" s="4232">
        <f>SUM(E10:E16)</f>
        <v>0</v>
      </c>
      <c r="F9" s="4233">
        <f>SUM(F10:F16)</f>
        <v>15494400</v>
      </c>
      <c r="G9" s="4234">
        <f>SUM(G10:G16)</f>
        <v>15345000</v>
      </c>
      <c r="H9" s="4235">
        <f>SUM(H10:H16)</f>
        <v>15345000</v>
      </c>
      <c r="I9" s="4706"/>
      <c r="J9" s="4236">
        <f>SUM(J10:J16)</f>
        <v>14805300</v>
      </c>
      <c r="K9" s="4237">
        <f t="shared" si="3"/>
        <v>-149400</v>
      </c>
      <c r="L9" s="4238">
        <f t="shared" si="4"/>
        <v>-9.6421933085501857E-3</v>
      </c>
      <c r="M9" s="4237">
        <f t="shared" si="5"/>
        <v>0</v>
      </c>
      <c r="N9" s="4238">
        <f t="shared" si="6"/>
        <v>0</v>
      </c>
      <c r="O9" s="4237">
        <f t="shared" si="7"/>
        <v>539700</v>
      </c>
      <c r="P9" s="4239">
        <f t="shared" si="8"/>
        <v>3.6453162043322322E-2</v>
      </c>
      <c r="Q9" s="4104" t="str">
        <f t="shared" si="2"/>
        <v>表示（判定）</v>
      </c>
    </row>
    <row r="10" spans="1:26" ht="20.85" customHeight="1">
      <c r="A10" s="4221"/>
      <c r="B10" s="4240"/>
      <c r="C10" s="4231"/>
      <c r="D10" s="4241" t="s">
        <v>6947</v>
      </c>
      <c r="E10" s="4242"/>
      <c r="F10" s="4243">
        <f>ROUND('(繰)4条収入'!D7/1000,0)</f>
        <v>8984800</v>
      </c>
      <c r="G10" s="4244">
        <f t="shared" ref="G10:G15" si="9">V10</f>
        <v>8984800</v>
      </c>
      <c r="H10" s="4245">
        <f t="shared" ref="H10:H15" si="10">T10</f>
        <v>8984800</v>
      </c>
      <c r="I10" s="4707"/>
      <c r="J10" s="4246">
        <v>8443100</v>
      </c>
      <c r="K10" s="4237">
        <f t="shared" si="3"/>
        <v>0</v>
      </c>
      <c r="L10" s="4238">
        <f t="shared" si="4"/>
        <v>0</v>
      </c>
      <c r="M10" s="4237">
        <f t="shared" si="5"/>
        <v>0</v>
      </c>
      <c r="N10" s="4238">
        <f t="shared" si="6"/>
        <v>0</v>
      </c>
      <c r="O10" s="4237">
        <f t="shared" si="7"/>
        <v>541700</v>
      </c>
      <c r="P10" s="4239">
        <f t="shared" si="8"/>
        <v>6.4158898982601173E-2</v>
      </c>
      <c r="Q10" s="4104" t="str">
        <f t="shared" si="2"/>
        <v>表示（判定）</v>
      </c>
      <c r="S10" s="4197">
        <f>'(繰)4条収入'!M7</f>
        <v>8984800000</v>
      </c>
      <c r="T10" s="4197">
        <f>ROUND(S10/1000,0)+U10</f>
        <v>8984800</v>
      </c>
      <c r="V10" s="4197">
        <f t="shared" ref="V10:V14" si="11">SUM(W10:X10)</f>
        <v>8984800</v>
      </c>
      <c r="X10" s="4198">
        <v>8984800</v>
      </c>
      <c r="Z10" s="4198" t="s">
        <v>7101</v>
      </c>
    </row>
    <row r="11" spans="1:26" ht="20.85" customHeight="1">
      <c r="A11" s="4221"/>
      <c r="B11" s="4240"/>
      <c r="C11" s="4240"/>
      <c r="D11" s="4241" t="s">
        <v>6948</v>
      </c>
      <c r="E11" s="4247"/>
      <c r="F11" s="4243">
        <f>ROUND('(繰)4条収入'!D9/1000,0)</f>
        <v>160100</v>
      </c>
      <c r="G11" s="4244">
        <f t="shared" si="9"/>
        <v>120200</v>
      </c>
      <c r="H11" s="4245">
        <f t="shared" si="10"/>
        <v>120200</v>
      </c>
      <c r="I11" s="4707"/>
      <c r="J11" s="4246">
        <v>83200</v>
      </c>
      <c r="K11" s="4237">
        <f t="shared" si="3"/>
        <v>-39900</v>
      </c>
      <c r="L11" s="4238">
        <f t="shared" si="4"/>
        <v>-0.24921923797626483</v>
      </c>
      <c r="M11" s="4237">
        <f t="shared" si="5"/>
        <v>0</v>
      </c>
      <c r="N11" s="4238">
        <f t="shared" si="6"/>
        <v>0</v>
      </c>
      <c r="O11" s="4237">
        <f t="shared" si="7"/>
        <v>37000</v>
      </c>
      <c r="P11" s="4239">
        <f t="shared" si="8"/>
        <v>0.44471153846153844</v>
      </c>
      <c r="Q11" s="4104" t="str">
        <f t="shared" si="2"/>
        <v>表示（判定）</v>
      </c>
      <c r="S11" s="4197">
        <f>'(繰)4条収入'!M9</f>
        <v>120200000</v>
      </c>
      <c r="T11" s="4197">
        <f t="shared" ref="T11:T15" si="12">ROUND(S11/1000,0)+U11</f>
        <v>120200</v>
      </c>
      <c r="V11" s="4197">
        <f t="shared" si="11"/>
        <v>120200</v>
      </c>
      <c r="X11" s="4198">
        <v>120200</v>
      </c>
      <c r="Z11" s="4198" t="s">
        <v>7102</v>
      </c>
    </row>
    <row r="12" spans="1:26" ht="20.85" customHeight="1">
      <c r="A12" s="4221"/>
      <c r="B12" s="4240"/>
      <c r="C12" s="4240"/>
      <c r="D12" s="4241" t="s">
        <v>6949</v>
      </c>
      <c r="E12" s="4247"/>
      <c r="F12" s="4248">
        <f>F60</f>
        <v>12600</v>
      </c>
      <c r="G12" s="4244">
        <f t="shared" si="9"/>
        <v>12600</v>
      </c>
      <c r="H12" s="4245">
        <f t="shared" si="10"/>
        <v>12600</v>
      </c>
      <c r="I12" s="4707"/>
      <c r="J12" s="4246">
        <v>3500</v>
      </c>
      <c r="K12" s="4237">
        <f t="shared" si="3"/>
        <v>0</v>
      </c>
      <c r="L12" s="4238">
        <f t="shared" si="4"/>
        <v>0</v>
      </c>
      <c r="M12" s="4237">
        <f t="shared" si="5"/>
        <v>0</v>
      </c>
      <c r="N12" s="4238">
        <f t="shared" si="6"/>
        <v>0</v>
      </c>
      <c r="O12" s="4237">
        <f t="shared" si="7"/>
        <v>9100</v>
      </c>
      <c r="P12" s="4239">
        <f t="shared" si="8"/>
        <v>2.6</v>
      </c>
      <c r="Q12" s="4104" t="str">
        <f t="shared" si="2"/>
        <v>表示（判定）</v>
      </c>
      <c r="S12" s="4197">
        <f>'(繰)4条支出 '!K13</f>
        <v>12600000</v>
      </c>
      <c r="T12" s="4197">
        <f t="shared" si="12"/>
        <v>12600</v>
      </c>
      <c r="V12" s="4197">
        <f t="shared" si="11"/>
        <v>12600</v>
      </c>
      <c r="X12" s="4198">
        <v>12600</v>
      </c>
      <c r="Z12" s="4198" t="s">
        <v>7103</v>
      </c>
    </row>
    <row r="13" spans="1:26" ht="20.85" customHeight="1">
      <c r="A13" s="4221"/>
      <c r="B13" s="4240"/>
      <c r="C13" s="4249"/>
      <c r="D13" s="4241" t="s">
        <v>6950</v>
      </c>
      <c r="E13" s="4247"/>
      <c r="F13" s="4243">
        <f>ROUND('(繰)4条収入'!D10/1000,0)-F12</f>
        <v>6026400</v>
      </c>
      <c r="G13" s="4244">
        <f t="shared" si="9"/>
        <v>5916900</v>
      </c>
      <c r="H13" s="4245">
        <f t="shared" si="10"/>
        <v>5916900</v>
      </c>
      <c r="I13" s="4707"/>
      <c r="J13" s="4246">
        <v>5840800</v>
      </c>
      <c r="K13" s="4237">
        <f t="shared" si="3"/>
        <v>-109500</v>
      </c>
      <c r="L13" s="4238">
        <f t="shared" si="4"/>
        <v>-1.8170051772202309E-2</v>
      </c>
      <c r="M13" s="4237">
        <f t="shared" si="5"/>
        <v>0</v>
      </c>
      <c r="N13" s="4238">
        <f t="shared" si="6"/>
        <v>0</v>
      </c>
      <c r="O13" s="4237">
        <f t="shared" si="7"/>
        <v>76100</v>
      </c>
      <c r="P13" s="4239">
        <f t="shared" si="8"/>
        <v>1.3029037118202986E-2</v>
      </c>
      <c r="Q13" s="4104" t="str">
        <f t="shared" si="2"/>
        <v>表示（判定）</v>
      </c>
      <c r="S13" s="4197">
        <f>'(繰)4条収入'!M10-S12</f>
        <v>5916900000</v>
      </c>
      <c r="T13" s="4197">
        <f t="shared" si="12"/>
        <v>5916900</v>
      </c>
      <c r="V13" s="4197">
        <f t="shared" si="11"/>
        <v>5916900</v>
      </c>
      <c r="X13" s="4198">
        <v>5916900</v>
      </c>
      <c r="Z13" s="4198" t="s">
        <v>7104</v>
      </c>
    </row>
    <row r="14" spans="1:26" ht="20.85" customHeight="1">
      <c r="A14" s="4221"/>
      <c r="B14" s="4240"/>
      <c r="C14" s="4249"/>
      <c r="D14" s="4241" t="s">
        <v>6951</v>
      </c>
      <c r="E14" s="4247"/>
      <c r="F14" s="4243">
        <f>ROUND('(繰)4条収入'!D8/1000,0)</f>
        <v>310500</v>
      </c>
      <c r="G14" s="4244">
        <f t="shared" si="9"/>
        <v>310500</v>
      </c>
      <c r="H14" s="4245">
        <f t="shared" si="10"/>
        <v>310500</v>
      </c>
      <c r="I14" s="4707"/>
      <c r="J14" s="4246">
        <v>434700</v>
      </c>
      <c r="K14" s="4237">
        <f t="shared" si="3"/>
        <v>0</v>
      </c>
      <c r="L14" s="4238">
        <f t="shared" si="4"/>
        <v>0</v>
      </c>
      <c r="M14" s="4237">
        <f t="shared" si="5"/>
        <v>0</v>
      </c>
      <c r="N14" s="4250">
        <f t="shared" si="6"/>
        <v>0</v>
      </c>
      <c r="O14" s="4237">
        <f t="shared" si="7"/>
        <v>-124200</v>
      </c>
      <c r="P14" s="4251">
        <f t="shared" si="8"/>
        <v>-0.2857142857142857</v>
      </c>
      <c r="Q14" s="4104" t="str">
        <f t="shared" si="2"/>
        <v>表示（判定）</v>
      </c>
      <c r="S14" s="4197">
        <f>'(繰)4条収入'!M8</f>
        <v>310500000</v>
      </c>
      <c r="T14" s="4197">
        <f t="shared" si="12"/>
        <v>310500</v>
      </c>
      <c r="V14" s="4197">
        <f t="shared" si="11"/>
        <v>310500</v>
      </c>
      <c r="X14" s="4198">
        <v>310500</v>
      </c>
      <c r="Z14" s="4198" t="s">
        <v>7105</v>
      </c>
    </row>
    <row r="15" spans="1:26" ht="20.85" hidden="1" customHeight="1">
      <c r="A15" s="4221"/>
      <c r="B15" s="4240"/>
      <c r="C15" s="4249"/>
      <c r="D15" s="4241" t="s">
        <v>7018</v>
      </c>
      <c r="E15" s="4247"/>
      <c r="F15" s="4243">
        <f>ROUND('(繰)4条収入'!D11/1000,0)</f>
        <v>0</v>
      </c>
      <c r="G15" s="4244">
        <f t="shared" si="9"/>
        <v>0</v>
      </c>
      <c r="H15" s="4245">
        <f t="shared" si="10"/>
        <v>0</v>
      </c>
      <c r="I15" s="4262"/>
      <c r="J15" s="4246">
        <v>0</v>
      </c>
      <c r="K15" s="4237" t="str">
        <f t="shared" si="3"/>
        <v xml:space="preserve">－ </v>
      </c>
      <c r="L15" s="4238" t="str">
        <f t="shared" si="4"/>
        <v xml:space="preserve">－ </v>
      </c>
      <c r="M15" s="4237" t="str">
        <f t="shared" si="5"/>
        <v xml:space="preserve">－ </v>
      </c>
      <c r="N15" s="4250" t="str">
        <f t="shared" si="6"/>
        <v xml:space="preserve">－ </v>
      </c>
      <c r="O15" s="4237" t="str">
        <f t="shared" si="7"/>
        <v xml:space="preserve">－ </v>
      </c>
      <c r="P15" s="4251" t="str">
        <f t="shared" si="8"/>
        <v xml:space="preserve">－ </v>
      </c>
      <c r="Q15" s="4104" t="str">
        <f t="shared" si="2"/>
        <v>×表示しない</v>
      </c>
      <c r="S15" s="4197">
        <f>'(繰)4条収入'!M11</f>
        <v>0</v>
      </c>
      <c r="T15" s="4197">
        <f t="shared" si="12"/>
        <v>0</v>
      </c>
    </row>
    <row r="16" spans="1:26" ht="20.85" hidden="1" customHeight="1">
      <c r="A16" s="4221"/>
      <c r="B16" s="4240"/>
      <c r="C16" s="4252"/>
      <c r="D16" s="4241"/>
      <c r="E16" s="4247"/>
      <c r="F16" s="4253"/>
      <c r="G16" s="4254"/>
      <c r="H16" s="4255"/>
      <c r="I16" s="4696"/>
      <c r="J16" s="4246">
        <v>0</v>
      </c>
      <c r="K16" s="4237" t="str">
        <f t="shared" si="3"/>
        <v xml:space="preserve">－ </v>
      </c>
      <c r="L16" s="4238" t="str">
        <f t="shared" si="4"/>
        <v xml:space="preserve">－ </v>
      </c>
      <c r="M16" s="4237" t="str">
        <f t="shared" si="5"/>
        <v xml:space="preserve">－ </v>
      </c>
      <c r="N16" s="4250" t="str">
        <f t="shared" si="6"/>
        <v xml:space="preserve">－ </v>
      </c>
      <c r="O16" s="4237" t="str">
        <f t="shared" si="7"/>
        <v xml:space="preserve">－ </v>
      </c>
      <c r="P16" s="4251" t="str">
        <f t="shared" si="8"/>
        <v xml:space="preserve">－ </v>
      </c>
      <c r="Q16" s="4104" t="str">
        <f t="shared" si="2"/>
        <v>×表示しない</v>
      </c>
    </row>
    <row r="17" spans="1:26" ht="20.85" customHeight="1">
      <c r="A17" s="4221"/>
      <c r="B17" s="4240"/>
      <c r="C17" s="5107" t="s">
        <v>6952</v>
      </c>
      <c r="D17" s="5108"/>
      <c r="E17" s="4247"/>
      <c r="F17" s="4248">
        <f>ROUND('(繰)4条収入'!D12/1000,0)</f>
        <v>17010800</v>
      </c>
      <c r="G17" s="4244">
        <f>V17</f>
        <v>17007700</v>
      </c>
      <c r="H17" s="4245">
        <f>T17</f>
        <v>17007700</v>
      </c>
      <c r="I17" s="4707"/>
      <c r="J17" s="4246">
        <v>16333500</v>
      </c>
      <c r="K17" s="4237">
        <f t="shared" si="3"/>
        <v>-3100</v>
      </c>
      <c r="L17" s="4238">
        <f t="shared" si="4"/>
        <v>-1.822371669762739E-4</v>
      </c>
      <c r="M17" s="4237">
        <f t="shared" si="5"/>
        <v>0</v>
      </c>
      <c r="N17" s="4238">
        <f t="shared" si="6"/>
        <v>0</v>
      </c>
      <c r="O17" s="4237">
        <f t="shared" si="7"/>
        <v>674200</v>
      </c>
      <c r="P17" s="4239">
        <f t="shared" si="8"/>
        <v>4.1277129825205865E-2</v>
      </c>
      <c r="Q17" s="4104" t="str">
        <f t="shared" si="2"/>
        <v>表示（判定）</v>
      </c>
      <c r="S17" s="4197">
        <f>'(繰)4条収入'!M12</f>
        <v>17007700000</v>
      </c>
      <c r="T17" s="4197">
        <f>ROUND(S17/1000,0)+U17</f>
        <v>17007700</v>
      </c>
      <c r="V17" s="4197">
        <f>SUM(W17:X17)</f>
        <v>17007700</v>
      </c>
      <c r="X17" s="4198">
        <v>17007700</v>
      </c>
      <c r="Z17" s="4198" t="s">
        <v>7106</v>
      </c>
    </row>
    <row r="18" spans="1:26" ht="20.85" hidden="1" customHeight="1">
      <c r="A18" s="4221"/>
      <c r="B18" s="4256"/>
      <c r="C18" s="5107" t="s">
        <v>6953</v>
      </c>
      <c r="D18" s="5108"/>
      <c r="E18" s="4247"/>
      <c r="F18" s="4253"/>
      <c r="G18" s="4254"/>
      <c r="H18" s="4257"/>
      <c r="I18" s="4697"/>
      <c r="J18" s="4246"/>
      <c r="K18" s="4237" t="str">
        <f t="shared" si="3"/>
        <v xml:space="preserve">－ </v>
      </c>
      <c r="L18" s="4238" t="str">
        <f t="shared" si="4"/>
        <v xml:space="preserve">－ </v>
      </c>
      <c r="M18" s="4237" t="str">
        <f t="shared" si="5"/>
        <v xml:space="preserve">－ </v>
      </c>
      <c r="N18" s="4238" t="str">
        <f t="shared" si="6"/>
        <v xml:space="preserve">－ </v>
      </c>
      <c r="O18" s="4237" t="str">
        <f t="shared" si="7"/>
        <v xml:space="preserve">－ </v>
      </c>
      <c r="P18" s="4239" t="str">
        <f t="shared" si="8"/>
        <v xml:space="preserve">－ </v>
      </c>
      <c r="Q18" s="4104" t="str">
        <f t="shared" si="2"/>
        <v>×表示しない</v>
      </c>
    </row>
    <row r="19" spans="1:26" ht="20.85" customHeight="1">
      <c r="A19" s="4221"/>
      <c r="B19" s="5114" t="s">
        <v>6954</v>
      </c>
      <c r="C19" s="5114"/>
      <c r="D19" s="5115"/>
      <c r="E19" s="4242"/>
      <c r="F19" s="4248">
        <f>ROUND('(繰)4条収入'!D14/1000,0)</f>
        <v>3640474</v>
      </c>
      <c r="G19" s="4244">
        <f>V19</f>
        <v>3379653</v>
      </c>
      <c r="H19" s="4245">
        <f>T19</f>
        <v>3285505</v>
      </c>
      <c r="I19" s="4707"/>
      <c r="J19" s="4246">
        <v>4465119</v>
      </c>
      <c r="K19" s="4237">
        <f t="shared" si="3"/>
        <v>-354969</v>
      </c>
      <c r="L19" s="4238">
        <f t="shared" si="4"/>
        <v>-9.7506258800365009E-2</v>
      </c>
      <c r="M19" s="4237">
        <f t="shared" si="5"/>
        <v>-94148</v>
      </c>
      <c r="N19" s="4238">
        <f t="shared" si="6"/>
        <v>-2.7857297775836749E-2</v>
      </c>
      <c r="O19" s="4237">
        <f t="shared" si="7"/>
        <v>-1179614</v>
      </c>
      <c r="P19" s="4239">
        <f t="shared" si="8"/>
        <v>-0.26418422442940492</v>
      </c>
      <c r="Q19" s="4104" t="str">
        <f t="shared" si="2"/>
        <v>表示（判定）</v>
      </c>
      <c r="S19" s="4197">
        <f>'(繰)4条収入'!M13</f>
        <v>3285504551</v>
      </c>
      <c r="T19" s="4197">
        <f t="shared" ref="T19:T20" si="13">ROUND(S19/1000,0)+U19</f>
        <v>3285505</v>
      </c>
      <c r="V19" s="4197">
        <f t="shared" ref="V19:V20" si="14">SUM(W19:X19)</f>
        <v>3379653</v>
      </c>
      <c r="W19" s="4197">
        <f>60000+9916</f>
        <v>69916</v>
      </c>
      <c r="X19" s="4198">
        <v>3309737</v>
      </c>
      <c r="Z19" s="4198">
        <v>3309653</v>
      </c>
    </row>
    <row r="20" spans="1:26" ht="20.85" customHeight="1">
      <c r="A20" s="4221"/>
      <c r="B20" s="5114" t="s">
        <v>6955</v>
      </c>
      <c r="C20" s="5114"/>
      <c r="D20" s="5115"/>
      <c r="E20" s="4247"/>
      <c r="F20" s="4248">
        <f>ROUND('(繰)4条収入'!D16/1000,0)</f>
        <v>5769500</v>
      </c>
      <c r="G20" s="4244">
        <f>V20</f>
        <v>5766211</v>
      </c>
      <c r="H20" s="4245">
        <f>T20</f>
        <v>5766274</v>
      </c>
      <c r="I20" s="4707"/>
      <c r="J20" s="4246">
        <v>5632700</v>
      </c>
      <c r="K20" s="4237">
        <f t="shared" si="3"/>
        <v>-3226</v>
      </c>
      <c r="L20" s="4238">
        <f t="shared" si="4"/>
        <v>-5.5914723979547619E-4</v>
      </c>
      <c r="M20" s="4237">
        <f t="shared" si="5"/>
        <v>63</v>
      </c>
      <c r="N20" s="4238">
        <f t="shared" si="6"/>
        <v>1.0925718812579005E-5</v>
      </c>
      <c r="O20" s="4237">
        <f t="shared" si="7"/>
        <v>133574</v>
      </c>
      <c r="P20" s="4239">
        <f t="shared" si="8"/>
        <v>2.371402702078932E-2</v>
      </c>
      <c r="Q20" s="4104" t="str">
        <f t="shared" si="2"/>
        <v>表示（判定）</v>
      </c>
      <c r="S20" s="4197">
        <f>'(繰)4条収入'!M16</f>
        <v>5766273739</v>
      </c>
      <c r="T20" s="4197">
        <f t="shared" si="13"/>
        <v>5766274</v>
      </c>
      <c r="V20" s="4197">
        <f t="shared" si="14"/>
        <v>5766211</v>
      </c>
      <c r="X20" s="4198">
        <v>5766211</v>
      </c>
      <c r="Z20" s="4198" t="s">
        <v>7107</v>
      </c>
    </row>
    <row r="21" spans="1:26" ht="20.85" hidden="1" customHeight="1">
      <c r="A21" s="4221"/>
      <c r="B21" s="5114" t="s">
        <v>6956</v>
      </c>
      <c r="C21" s="5114"/>
      <c r="D21" s="5115"/>
      <c r="E21" s="4247"/>
      <c r="F21" s="4258"/>
      <c r="G21" s="4254"/>
      <c r="H21" s="4255"/>
      <c r="I21" s="4696"/>
      <c r="J21" s="4246"/>
      <c r="K21" s="4237" t="str">
        <f t="shared" si="3"/>
        <v xml:space="preserve">－ </v>
      </c>
      <c r="L21" s="4238" t="str">
        <f t="shared" si="4"/>
        <v xml:space="preserve">－ </v>
      </c>
      <c r="M21" s="4237" t="str">
        <f t="shared" si="5"/>
        <v xml:space="preserve">－ </v>
      </c>
      <c r="N21" s="4238" t="str">
        <f t="shared" si="6"/>
        <v xml:space="preserve">－ </v>
      </c>
      <c r="O21" s="4237" t="str">
        <f t="shared" si="7"/>
        <v xml:space="preserve">－ </v>
      </c>
      <c r="P21" s="4239" t="str">
        <f t="shared" si="8"/>
        <v xml:space="preserve">－ </v>
      </c>
      <c r="Q21" s="4104" t="str">
        <f t="shared" si="2"/>
        <v>×表示しない</v>
      </c>
    </row>
    <row r="22" spans="1:26" ht="20.85" customHeight="1">
      <c r="A22" s="4221"/>
      <c r="B22" s="5114" t="s">
        <v>6957</v>
      </c>
      <c r="C22" s="5114"/>
      <c r="D22" s="5115"/>
      <c r="E22" s="4247"/>
      <c r="F22" s="4248">
        <f>ROUND('(繰)4条収入'!D20/1000,0)</f>
        <v>54236</v>
      </c>
      <c r="G22" s="4244">
        <f>V22</f>
        <v>54236</v>
      </c>
      <c r="H22" s="4245">
        <f>T22</f>
        <v>24373</v>
      </c>
      <c r="I22" s="4707"/>
      <c r="J22" s="4246">
        <v>31095</v>
      </c>
      <c r="K22" s="4237">
        <f t="shared" si="3"/>
        <v>-29863</v>
      </c>
      <c r="L22" s="4238">
        <f t="shared" si="4"/>
        <v>-0.550612139538314</v>
      </c>
      <c r="M22" s="4237">
        <f t="shared" si="5"/>
        <v>-29863</v>
      </c>
      <c r="N22" s="4238">
        <f t="shared" si="6"/>
        <v>-0.550612139538314</v>
      </c>
      <c r="O22" s="4237">
        <f t="shared" si="7"/>
        <v>-6722</v>
      </c>
      <c r="P22" s="4239">
        <f t="shared" si="8"/>
        <v>-0.21617623412124135</v>
      </c>
      <c r="Q22" s="4104" t="str">
        <f t="shared" si="2"/>
        <v>表示（判定）</v>
      </c>
      <c r="S22" s="4197">
        <f>'(繰)4条収入'!M20</f>
        <v>24373083</v>
      </c>
      <c r="T22" s="4197">
        <f t="shared" ref="T22:T26" si="15">ROUND(S22/1000,0)+U22</f>
        <v>24373</v>
      </c>
      <c r="U22" s="4212"/>
      <c r="V22" s="4197">
        <f>SUM(W22:X22)</f>
        <v>54236</v>
      </c>
      <c r="X22" s="4198">
        <v>54236</v>
      </c>
      <c r="Z22" s="4198" t="s">
        <v>7108</v>
      </c>
    </row>
    <row r="23" spans="1:26" ht="20.85" customHeight="1">
      <c r="A23" s="4221"/>
      <c r="B23" s="5114" t="s">
        <v>6898</v>
      </c>
      <c r="C23" s="5114"/>
      <c r="D23" s="5115"/>
      <c r="E23" s="4232">
        <f>SUM(E24:E27)</f>
        <v>0</v>
      </c>
      <c r="F23" s="4233">
        <f>SUM(F24:F27)</f>
        <v>632996</v>
      </c>
      <c r="G23" s="4234">
        <f>SUM(G24:G27)</f>
        <v>571080</v>
      </c>
      <c r="H23" s="4235">
        <f>SUM(H24:H27)</f>
        <v>764304</v>
      </c>
      <c r="I23" s="4706"/>
      <c r="J23" s="4236">
        <f>SUM(J24:J27)</f>
        <v>505843</v>
      </c>
      <c r="K23" s="4237">
        <f t="shared" si="3"/>
        <v>131308</v>
      </c>
      <c r="L23" s="4238">
        <f t="shared" si="4"/>
        <v>0.20743890956656913</v>
      </c>
      <c r="M23" s="4237">
        <f t="shared" si="5"/>
        <v>193224</v>
      </c>
      <c r="N23" s="4238">
        <f t="shared" si="6"/>
        <v>0.33834839251943688</v>
      </c>
      <c r="O23" s="4237">
        <f t="shared" si="7"/>
        <v>258461</v>
      </c>
      <c r="P23" s="4239">
        <f t="shared" si="8"/>
        <v>0.51095102630658129</v>
      </c>
      <c r="Q23" s="4104" t="str">
        <f t="shared" si="2"/>
        <v>表示（判定）</v>
      </c>
      <c r="T23" s="4197">
        <f t="shared" si="15"/>
        <v>0</v>
      </c>
    </row>
    <row r="24" spans="1:26" ht="20.85" customHeight="1">
      <c r="A24" s="4221"/>
      <c r="B24" s="4231"/>
      <c r="C24" s="5114" t="s">
        <v>6958</v>
      </c>
      <c r="D24" s="5115"/>
      <c r="E24" s="4259"/>
      <c r="F24" s="4248">
        <f>ROUND('(繰)4条収入'!D23/1000,0)</f>
        <v>14208</v>
      </c>
      <c r="G24" s="4244">
        <f>V24</f>
        <v>14208</v>
      </c>
      <c r="H24" s="4245">
        <f>T24</f>
        <v>8800</v>
      </c>
      <c r="I24" s="4707"/>
      <c r="J24" s="4246">
        <v>23930</v>
      </c>
      <c r="K24" s="4237">
        <f t="shared" si="3"/>
        <v>-5408</v>
      </c>
      <c r="L24" s="4238">
        <f t="shared" si="4"/>
        <v>-0.38063063063063063</v>
      </c>
      <c r="M24" s="4237">
        <f t="shared" si="5"/>
        <v>-5408</v>
      </c>
      <c r="N24" s="4238">
        <f t="shared" si="6"/>
        <v>-0.38063063063063063</v>
      </c>
      <c r="O24" s="4237">
        <f t="shared" si="7"/>
        <v>-15130</v>
      </c>
      <c r="P24" s="4239">
        <f t="shared" si="8"/>
        <v>-0.63226076055160885</v>
      </c>
      <c r="Q24" s="4104" t="str">
        <f t="shared" si="2"/>
        <v>表示（判定）</v>
      </c>
      <c r="S24" s="4197">
        <f>'(繰)4条収入'!M23</f>
        <v>8799605</v>
      </c>
      <c r="T24" s="4197">
        <f t="shared" si="15"/>
        <v>8800</v>
      </c>
      <c r="V24" s="4197">
        <f t="shared" ref="V24:V26" si="16">SUM(W24:X24)</f>
        <v>14208</v>
      </c>
      <c r="X24" s="4198">
        <v>14208</v>
      </c>
      <c r="Z24" s="4198" t="s">
        <v>7109</v>
      </c>
    </row>
    <row r="25" spans="1:26" ht="20.85" customHeight="1">
      <c r="A25" s="4221"/>
      <c r="B25" s="4240"/>
      <c r="C25" s="5114" t="s">
        <v>6959</v>
      </c>
      <c r="D25" s="5115"/>
      <c r="E25" s="4259"/>
      <c r="F25" s="4248">
        <f>ROUND('(繰)4条収入'!D24/1000,0)</f>
        <v>40980</v>
      </c>
      <c r="G25" s="4244">
        <f>V25</f>
        <v>42420</v>
      </c>
      <c r="H25" s="4245">
        <f>T25</f>
        <v>35218</v>
      </c>
      <c r="I25" s="4707"/>
      <c r="J25" s="4246">
        <v>38497</v>
      </c>
      <c r="K25" s="4237">
        <f t="shared" si="3"/>
        <v>-5762</v>
      </c>
      <c r="L25" s="4238">
        <f t="shared" si="4"/>
        <v>-0.14060517325524646</v>
      </c>
      <c r="M25" s="4237">
        <f t="shared" si="5"/>
        <v>-7202</v>
      </c>
      <c r="N25" s="4250">
        <f t="shared" si="6"/>
        <v>-0.16977840641206979</v>
      </c>
      <c r="O25" s="4237">
        <f t="shared" si="7"/>
        <v>-3279</v>
      </c>
      <c r="P25" s="4251">
        <f t="shared" si="8"/>
        <v>-8.5175468218302727E-2</v>
      </c>
      <c r="Q25" s="4104" t="str">
        <f t="shared" si="2"/>
        <v>表示（判定）</v>
      </c>
      <c r="S25" s="4197">
        <f>'(繰)4条収入'!M24</f>
        <v>35218280</v>
      </c>
      <c r="T25" s="4197">
        <f t="shared" si="15"/>
        <v>35218</v>
      </c>
      <c r="V25" s="4197">
        <f t="shared" si="16"/>
        <v>42420</v>
      </c>
      <c r="X25" s="4198">
        <v>42420</v>
      </c>
      <c r="Z25" s="4198" t="s">
        <v>7110</v>
      </c>
    </row>
    <row r="26" spans="1:26" ht="20.85" customHeight="1">
      <c r="A26" s="4221"/>
      <c r="B26" s="4240"/>
      <c r="C26" s="5114" t="s">
        <v>6960</v>
      </c>
      <c r="D26" s="5115"/>
      <c r="E26" s="4247"/>
      <c r="F26" s="4248">
        <f>ROUND('(繰)4条収入'!D25/1000,0)</f>
        <v>577808</v>
      </c>
      <c r="G26" s="4244">
        <f>V26</f>
        <v>514452</v>
      </c>
      <c r="H26" s="4245">
        <f>T26</f>
        <v>720286</v>
      </c>
      <c r="I26" s="4707"/>
      <c r="J26" s="4246">
        <v>443416</v>
      </c>
      <c r="K26" s="4237">
        <f t="shared" si="3"/>
        <v>142478</v>
      </c>
      <c r="L26" s="4238">
        <f t="shared" si="4"/>
        <v>0.24658364024035667</v>
      </c>
      <c r="M26" s="4237">
        <f t="shared" si="5"/>
        <v>205834</v>
      </c>
      <c r="N26" s="4238">
        <f t="shared" si="6"/>
        <v>0.40010341100821845</v>
      </c>
      <c r="O26" s="4237">
        <f t="shared" si="7"/>
        <v>276870</v>
      </c>
      <c r="P26" s="4239">
        <f t="shared" si="8"/>
        <v>0.62440236707741714</v>
      </c>
      <c r="Q26" s="4104" t="str">
        <f t="shared" si="2"/>
        <v>表示（判定）</v>
      </c>
      <c r="S26" s="4197">
        <f>'(繰)4条収入'!M25</f>
        <v>720286509</v>
      </c>
      <c r="T26" s="4197">
        <f t="shared" si="15"/>
        <v>720286</v>
      </c>
      <c r="U26" s="4212">
        <v>-1</v>
      </c>
      <c r="V26" s="4197">
        <f t="shared" si="16"/>
        <v>514452</v>
      </c>
      <c r="W26" s="4197">
        <v>-60000</v>
      </c>
      <c r="X26" s="4198">
        <v>574452</v>
      </c>
      <c r="Z26" s="4198" t="s">
        <v>7111</v>
      </c>
    </row>
    <row r="27" spans="1:26" ht="20.85" hidden="1" customHeight="1">
      <c r="A27" s="4221"/>
      <c r="B27" s="4256"/>
      <c r="C27" s="5114" t="s">
        <v>6961</v>
      </c>
      <c r="D27" s="5115"/>
      <c r="E27" s="4247"/>
      <c r="F27" s="4260"/>
      <c r="G27" s="4261"/>
      <c r="H27" s="4255"/>
      <c r="I27" s="4696"/>
      <c r="J27" s="4262"/>
      <c r="K27" s="4237" t="str">
        <f t="shared" si="3"/>
        <v xml:space="preserve">－ </v>
      </c>
      <c r="L27" s="4238" t="str">
        <f t="shared" si="4"/>
        <v xml:space="preserve">－ </v>
      </c>
      <c r="M27" s="4237" t="str">
        <f t="shared" si="5"/>
        <v xml:space="preserve">－ </v>
      </c>
      <c r="N27" s="4238" t="str">
        <f t="shared" si="6"/>
        <v xml:space="preserve">－ </v>
      </c>
      <c r="O27" s="4237" t="str">
        <f t="shared" si="7"/>
        <v xml:space="preserve">－ </v>
      </c>
      <c r="P27" s="4239" t="str">
        <f t="shared" si="8"/>
        <v xml:space="preserve">－ </v>
      </c>
      <c r="Q27" s="4104" t="str">
        <f t="shared" si="2"/>
        <v>×表示しない</v>
      </c>
    </row>
    <row r="28" spans="1:26" ht="20.85" customHeight="1">
      <c r="A28" s="4221"/>
      <c r="B28" s="5114" t="s">
        <v>6962</v>
      </c>
      <c r="C28" s="5114"/>
      <c r="D28" s="5115"/>
      <c r="E28" s="4232">
        <f>SUM(E29:E31)</f>
        <v>0</v>
      </c>
      <c r="F28" s="4233">
        <f>SUM(F29:F31)</f>
        <v>9913</v>
      </c>
      <c r="G28" s="4234">
        <f>SUM(G29:G31)</f>
        <v>3987</v>
      </c>
      <c r="H28" s="4235">
        <f>SUM(H29:H31)</f>
        <v>3987</v>
      </c>
      <c r="I28" s="4706"/>
      <c r="J28" s="4236">
        <f>SUM(J29:J31)</f>
        <v>5324</v>
      </c>
      <c r="K28" s="4237">
        <f t="shared" si="3"/>
        <v>-5926</v>
      </c>
      <c r="L28" s="4238">
        <f t="shared" si="4"/>
        <v>-0.5978008675476647</v>
      </c>
      <c r="M28" s="4237">
        <f t="shared" si="5"/>
        <v>0</v>
      </c>
      <c r="N28" s="4238">
        <f t="shared" si="6"/>
        <v>0</v>
      </c>
      <c r="O28" s="4237">
        <f t="shared" si="7"/>
        <v>-1337</v>
      </c>
      <c r="P28" s="4239">
        <f t="shared" si="8"/>
        <v>-0.25112697220135238</v>
      </c>
      <c r="Q28" s="4104" t="str">
        <f t="shared" si="2"/>
        <v>表示（判定）</v>
      </c>
    </row>
    <row r="29" spans="1:26" ht="20.85" hidden="1" customHeight="1">
      <c r="A29" s="4221"/>
      <c r="B29" s="4231"/>
      <c r="C29" s="5114" t="s">
        <v>6963</v>
      </c>
      <c r="D29" s="5115"/>
      <c r="E29" s="4247"/>
      <c r="F29" s="4260"/>
      <c r="G29" s="4261"/>
      <c r="H29" s="4255"/>
      <c r="I29" s="4696"/>
      <c r="J29" s="4262"/>
      <c r="K29" s="4237" t="str">
        <f t="shared" si="3"/>
        <v xml:space="preserve">－ </v>
      </c>
      <c r="L29" s="4238" t="str">
        <f t="shared" si="4"/>
        <v xml:space="preserve">－ </v>
      </c>
      <c r="M29" s="4237" t="str">
        <f t="shared" si="5"/>
        <v xml:space="preserve">－ </v>
      </c>
      <c r="N29" s="4238" t="str">
        <f t="shared" si="6"/>
        <v xml:space="preserve">－ </v>
      </c>
      <c r="O29" s="4237" t="str">
        <f t="shared" si="7"/>
        <v xml:space="preserve">－ </v>
      </c>
      <c r="P29" s="4239" t="str">
        <f t="shared" si="8"/>
        <v xml:space="preserve">－ </v>
      </c>
      <c r="Q29" s="4104" t="str">
        <f t="shared" si="2"/>
        <v>×表示しない</v>
      </c>
    </row>
    <row r="30" spans="1:26" ht="20.85" hidden="1" customHeight="1">
      <c r="A30" s="4221"/>
      <c r="B30" s="4240"/>
      <c r="C30" s="5114" t="s">
        <v>6964</v>
      </c>
      <c r="D30" s="5115"/>
      <c r="E30" s="4247"/>
      <c r="F30" s="4248">
        <f>ROUND('(繰)4条収入'!D28/1000,0)</f>
        <v>0</v>
      </c>
      <c r="G30" s="4244">
        <f>V30</f>
        <v>0</v>
      </c>
      <c r="H30" s="4245">
        <f>T30</f>
        <v>0</v>
      </c>
      <c r="I30" s="4262"/>
      <c r="J30" s="4246">
        <v>0</v>
      </c>
      <c r="K30" s="4237" t="str">
        <f t="shared" si="3"/>
        <v xml:space="preserve">－ </v>
      </c>
      <c r="L30" s="4238" t="str">
        <f t="shared" si="4"/>
        <v xml:space="preserve">－ </v>
      </c>
      <c r="M30" s="4237" t="str">
        <f t="shared" si="5"/>
        <v xml:space="preserve">－ </v>
      </c>
      <c r="N30" s="4250" t="str">
        <f t="shared" si="6"/>
        <v xml:space="preserve">－ </v>
      </c>
      <c r="O30" s="4237" t="str">
        <f t="shared" si="7"/>
        <v xml:space="preserve">－ </v>
      </c>
      <c r="P30" s="4251" t="str">
        <f t="shared" si="8"/>
        <v xml:space="preserve">－ </v>
      </c>
      <c r="Q30" s="4104" t="str">
        <f t="shared" si="2"/>
        <v>×表示しない</v>
      </c>
      <c r="S30" s="4197">
        <f>'(繰)4条収入'!M28</f>
        <v>0</v>
      </c>
      <c r="T30" s="4197">
        <f>ROUND(S30/1000,0)+U30</f>
        <v>0</v>
      </c>
    </row>
    <row r="31" spans="1:26" ht="20.85" customHeight="1">
      <c r="A31" s="4221"/>
      <c r="B31" s="4240"/>
      <c r="C31" s="5114" t="s">
        <v>6965</v>
      </c>
      <c r="D31" s="5115"/>
      <c r="E31" s="4263">
        <f>SUM(E32:E34)</f>
        <v>0</v>
      </c>
      <c r="F31" s="4233">
        <f>SUM(F32:F34)</f>
        <v>9913</v>
      </c>
      <c r="G31" s="4234">
        <f>SUM(G32:G34)</f>
        <v>3987</v>
      </c>
      <c r="H31" s="4235">
        <f>SUM(H32:H34)</f>
        <v>3987</v>
      </c>
      <c r="I31" s="4706"/>
      <c r="J31" s="4236">
        <f>SUM(J32:J34)</f>
        <v>5324</v>
      </c>
      <c r="K31" s="4237">
        <f t="shared" si="3"/>
        <v>-5926</v>
      </c>
      <c r="L31" s="4238">
        <f t="shared" si="4"/>
        <v>-0.5978008675476647</v>
      </c>
      <c r="M31" s="4237">
        <f t="shared" si="5"/>
        <v>0</v>
      </c>
      <c r="N31" s="4238">
        <f t="shared" si="6"/>
        <v>0</v>
      </c>
      <c r="O31" s="4237">
        <f t="shared" si="7"/>
        <v>-1337</v>
      </c>
      <c r="P31" s="4239">
        <f t="shared" si="8"/>
        <v>-0.25112697220135238</v>
      </c>
      <c r="Q31" s="4104" t="str">
        <f t="shared" si="2"/>
        <v>表示（判定）</v>
      </c>
    </row>
    <row r="32" spans="1:26" ht="20.85" customHeight="1">
      <c r="A32" s="4221"/>
      <c r="B32" s="4240"/>
      <c r="C32" s="4231"/>
      <c r="D32" s="4241" t="s">
        <v>6966</v>
      </c>
      <c r="E32" s="4247"/>
      <c r="F32" s="4264">
        <f>1310+2440+1457+540</f>
        <v>5747</v>
      </c>
      <c r="G32" s="4265">
        <f>V32</f>
        <v>2118</v>
      </c>
      <c r="H32" s="4245">
        <f>T32</f>
        <v>2118</v>
      </c>
      <c r="I32" s="4707"/>
      <c r="J32" s="4246">
        <v>3107</v>
      </c>
      <c r="K32" s="4237">
        <f t="shared" si="3"/>
        <v>-3629</v>
      </c>
      <c r="L32" s="4238">
        <f t="shared" si="4"/>
        <v>-0.63145989211762654</v>
      </c>
      <c r="M32" s="4237">
        <f t="shared" si="5"/>
        <v>0</v>
      </c>
      <c r="N32" s="4238">
        <f t="shared" si="6"/>
        <v>0</v>
      </c>
      <c r="O32" s="4237">
        <f t="shared" si="7"/>
        <v>-989</v>
      </c>
      <c r="P32" s="4239">
        <f t="shared" si="8"/>
        <v>-0.31831348567750239</v>
      </c>
      <c r="Q32" s="4104" t="str">
        <f t="shared" si="2"/>
        <v>表示（判定）</v>
      </c>
      <c r="S32" s="4197">
        <f>'4条収入'!E72</f>
        <v>2118000</v>
      </c>
      <c r="T32" s="4197">
        <f t="shared" ref="T32:T35" si="17">ROUND(S32/1000,0)+U32</f>
        <v>2118</v>
      </c>
      <c r="V32" s="4197">
        <f t="shared" ref="V32:V33" si="18">SUM(W32:X32)</f>
        <v>2118</v>
      </c>
      <c r="X32" s="4198">
        <v>2118</v>
      </c>
      <c r="Z32" s="4198" t="s">
        <v>7112</v>
      </c>
    </row>
    <row r="33" spans="1:26" ht="20.85" customHeight="1">
      <c r="A33" s="4221"/>
      <c r="B33" s="4240"/>
      <c r="C33" s="4240"/>
      <c r="D33" s="4241" t="s">
        <v>6967</v>
      </c>
      <c r="E33" s="4247"/>
      <c r="F33" s="4264">
        <f>2508+1278+270+110</f>
        <v>4166</v>
      </c>
      <c r="G33" s="4265">
        <f>V33</f>
        <v>1869</v>
      </c>
      <c r="H33" s="4245">
        <f>T33</f>
        <v>1869</v>
      </c>
      <c r="I33" s="4707"/>
      <c r="J33" s="4246">
        <v>2217</v>
      </c>
      <c r="K33" s="4237">
        <f t="shared" si="3"/>
        <v>-2297</v>
      </c>
      <c r="L33" s="4238">
        <f t="shared" si="4"/>
        <v>-0.55136821891502641</v>
      </c>
      <c r="M33" s="4237">
        <f t="shared" si="5"/>
        <v>0</v>
      </c>
      <c r="N33" s="4238">
        <f t="shared" si="6"/>
        <v>0</v>
      </c>
      <c r="O33" s="4237">
        <f t="shared" si="7"/>
        <v>-348</v>
      </c>
      <c r="P33" s="4239">
        <f t="shared" si="8"/>
        <v>-0.15696887686062247</v>
      </c>
      <c r="Q33" s="4104" t="str">
        <f t="shared" si="2"/>
        <v>表示（判定）</v>
      </c>
      <c r="S33" s="4197">
        <f>'4条収入'!E77</f>
        <v>1869000</v>
      </c>
      <c r="T33" s="4197">
        <f t="shared" si="17"/>
        <v>1869</v>
      </c>
      <c r="V33" s="4197">
        <f t="shared" si="18"/>
        <v>1869</v>
      </c>
      <c r="X33" s="4198">
        <v>1869</v>
      </c>
      <c r="Z33" s="4198" t="s">
        <v>7113</v>
      </c>
    </row>
    <row r="34" spans="1:26" ht="20.85" hidden="1" customHeight="1">
      <c r="A34" s="4221"/>
      <c r="B34" s="4256"/>
      <c r="C34" s="4256"/>
      <c r="D34" s="4241" t="s">
        <v>6968</v>
      </c>
      <c r="E34" s="4247"/>
      <c r="F34" s="4264">
        <v>0</v>
      </c>
      <c r="G34" s="4265">
        <f>V34</f>
        <v>0</v>
      </c>
      <c r="H34" s="4245">
        <f>T34</f>
        <v>0</v>
      </c>
      <c r="I34" s="4262"/>
      <c r="J34" s="4246">
        <v>0</v>
      </c>
      <c r="K34" s="4237" t="str">
        <f t="shared" si="3"/>
        <v xml:space="preserve">－ </v>
      </c>
      <c r="L34" s="4238" t="str">
        <f t="shared" si="4"/>
        <v xml:space="preserve">－ </v>
      </c>
      <c r="M34" s="4237" t="str">
        <f t="shared" si="5"/>
        <v xml:space="preserve">－ </v>
      </c>
      <c r="N34" s="4238" t="str">
        <f t="shared" si="6"/>
        <v xml:space="preserve">－ </v>
      </c>
      <c r="O34" s="4237" t="str">
        <f t="shared" si="7"/>
        <v xml:space="preserve">－ </v>
      </c>
      <c r="P34" s="4239" t="str">
        <f t="shared" si="8"/>
        <v xml:space="preserve">－ </v>
      </c>
      <c r="Q34" s="4104" t="str">
        <f t="shared" si="2"/>
        <v>×表示しない</v>
      </c>
      <c r="S34" s="4197">
        <f>'4条収入'!E82</f>
        <v>0</v>
      </c>
      <c r="T34" s="4197">
        <f t="shared" si="17"/>
        <v>0</v>
      </c>
    </row>
    <row r="35" spans="1:26" ht="20.85" customHeight="1" thickBot="1">
      <c r="A35" s="4221"/>
      <c r="B35" s="5116" t="s">
        <v>6969</v>
      </c>
      <c r="C35" s="5116"/>
      <c r="D35" s="5117"/>
      <c r="E35" s="4266"/>
      <c r="F35" s="4248">
        <f>ROUND('(繰)4条収入'!D31/1000,0)</f>
        <v>14731</v>
      </c>
      <c r="G35" s="4244">
        <f>V35</f>
        <v>44466</v>
      </c>
      <c r="H35" s="4245">
        <f>T35</f>
        <v>45948</v>
      </c>
      <c r="I35" s="4708"/>
      <c r="J35" s="4267">
        <v>1647</v>
      </c>
      <c r="K35" s="4237">
        <f t="shared" si="3"/>
        <v>31217</v>
      </c>
      <c r="L35" s="4238">
        <f t="shared" si="4"/>
        <v>2.119136514832666</v>
      </c>
      <c r="M35" s="4237">
        <f t="shared" si="5"/>
        <v>1482</v>
      </c>
      <c r="N35" s="4238">
        <f t="shared" si="6"/>
        <v>3.3328835514775335E-2</v>
      </c>
      <c r="O35" s="4237">
        <f t="shared" si="7"/>
        <v>44301</v>
      </c>
      <c r="P35" s="4239">
        <f t="shared" si="8"/>
        <v>26.897996357012751</v>
      </c>
      <c r="Q35" s="4104" t="str">
        <f t="shared" si="2"/>
        <v>表示（判定）</v>
      </c>
      <c r="S35" s="4197">
        <f>'(繰)4条収入'!M30</f>
        <v>45948113</v>
      </c>
      <c r="T35" s="4197">
        <f t="shared" si="17"/>
        <v>45948</v>
      </c>
      <c r="V35" s="4197">
        <f>SUM(W35:X35)</f>
        <v>44466</v>
      </c>
      <c r="X35" s="4198">
        <v>44466</v>
      </c>
      <c r="Z35" s="4198" t="s">
        <v>7114</v>
      </c>
    </row>
    <row r="36" spans="1:26" ht="20.85" hidden="1" customHeight="1" thickBot="1">
      <c r="A36" s="4268"/>
      <c r="B36" s="5118" t="s">
        <v>6970</v>
      </c>
      <c r="C36" s="5118"/>
      <c r="D36" s="5119"/>
      <c r="E36" s="4269">
        <v>0</v>
      </c>
      <c r="F36" s="4270">
        <v>0</v>
      </c>
      <c r="G36" s="4271">
        <v>0</v>
      </c>
      <c r="H36" s="4272">
        <v>0</v>
      </c>
      <c r="I36" s="4698"/>
      <c r="J36" s="4273">
        <v>0</v>
      </c>
      <c r="K36" s="4274" t="str">
        <f t="shared" si="3"/>
        <v xml:space="preserve">－ </v>
      </c>
      <c r="L36" s="4275" t="str">
        <f t="shared" si="4"/>
        <v xml:space="preserve">－ </v>
      </c>
      <c r="M36" s="4274" t="str">
        <f t="shared" si="5"/>
        <v xml:space="preserve">－ </v>
      </c>
      <c r="N36" s="4275" t="str">
        <f t="shared" si="6"/>
        <v xml:space="preserve">－ </v>
      </c>
      <c r="O36" s="4274" t="str">
        <f t="shared" si="7"/>
        <v xml:space="preserve">－ </v>
      </c>
      <c r="P36" s="4276" t="str">
        <f t="shared" si="8"/>
        <v xml:space="preserve">－ </v>
      </c>
      <c r="Q36" s="4104" t="str">
        <f t="shared" si="2"/>
        <v>×表示しない</v>
      </c>
    </row>
    <row r="37" spans="1:26" ht="12.75" thickBot="1">
      <c r="A37" s="4277"/>
      <c r="B37" s="4277"/>
      <c r="C37" s="4277"/>
      <c r="D37" s="4277"/>
      <c r="E37" s="4278"/>
      <c r="F37" s="4279"/>
      <c r="G37" s="4279"/>
      <c r="H37" s="4280"/>
      <c r="I37" s="4709"/>
      <c r="J37" s="4279"/>
      <c r="K37" s="4281"/>
      <c r="L37" s="4282"/>
      <c r="M37" s="4281"/>
      <c r="N37" s="4282"/>
      <c r="O37" s="4281"/>
      <c r="P37" s="4282"/>
      <c r="Q37" s="4104" t="s">
        <v>7098</v>
      </c>
    </row>
    <row r="38" spans="1:26" ht="20.85" customHeight="1" thickBot="1">
      <c r="A38" s="5120" t="s">
        <v>6971</v>
      </c>
      <c r="B38" s="5121"/>
      <c r="C38" s="5121"/>
      <c r="D38" s="5122"/>
      <c r="E38" s="4283">
        <f>SUM(E19,E30)</f>
        <v>0</v>
      </c>
      <c r="F38" s="4284">
        <f>SUM(F19,F30)</f>
        <v>3640474</v>
      </c>
      <c r="G38" s="4285">
        <f>SUM(G19,G30)</f>
        <v>3379653</v>
      </c>
      <c r="H38" s="4286">
        <f>SUM(H19,H30)</f>
        <v>3285505</v>
      </c>
      <c r="I38" s="4710"/>
      <c r="J38" s="4287">
        <f>SUM(J19,J30)</f>
        <v>4465119</v>
      </c>
      <c r="K38" s="4288">
        <f t="shared" ref="K38" si="19">IF(AND(F38=0,$H38=0),"－ ",$H38-F38)</f>
        <v>-354969</v>
      </c>
      <c r="L38" s="4289">
        <f>IF(AND(F38=0,$H38&gt;0),"皆増 ",IF(AND(F38&gt;0,$H38=0),"皆減 ",IF(AND(F38=0,$H38=0),"－ ",K38/F38)))</f>
        <v>-9.7506258800365009E-2</v>
      </c>
      <c r="M38" s="4288">
        <f t="shared" ref="M38" si="20">IF(AND(G38=0,$H38=0),"－ ",$H38-G38)</f>
        <v>-94148</v>
      </c>
      <c r="N38" s="4289">
        <f>IF(AND(G38=0,$H38&gt;0),"皆増 ",IF(AND(G38&gt;0,$H38=0),"皆減 ",IF(AND(G38=0,$H38=0),"－ ",M38/G38)))</f>
        <v>-2.7857297775836749E-2</v>
      </c>
      <c r="O38" s="4288">
        <f t="shared" ref="O38" si="21">IF(AND(J38=0,$H38=0),"－ ",$H38-J38)</f>
        <v>-1179614</v>
      </c>
      <c r="P38" s="4290">
        <f>IF(AND(J38=0,$H38&gt;0),"皆増 ",IF(AND(J38&gt;0,$H38=0),"皆減 ",IF(AND(J38=0,$H38=0),"－ ",O38/J38)))</f>
        <v>-0.26418422442940492</v>
      </c>
      <c r="Q38" s="4104" t="str">
        <f t="shared" si="2"/>
        <v>表示（判定）</v>
      </c>
      <c r="S38" s="4197" t="s">
        <v>6938</v>
      </c>
      <c r="T38" s="4197">
        <f>SUM(T10:T36)</f>
        <v>42243091</v>
      </c>
    </row>
    <row r="39" spans="1:26" ht="12">
      <c r="A39" s="4291" t="s">
        <v>7131</v>
      </c>
      <c r="B39" s="4291"/>
      <c r="C39" s="4291"/>
      <c r="D39" s="4291"/>
      <c r="F39" s="4196">
        <f t="shared" ref="F39:J39" si="22">F7-F38</f>
        <v>38986576</v>
      </c>
      <c r="G39" s="4196">
        <f t="shared" si="22"/>
        <v>38792680</v>
      </c>
      <c r="H39" s="4292">
        <f t="shared" si="22"/>
        <v>38957586</v>
      </c>
      <c r="I39" s="4711"/>
      <c r="J39" s="4057">
        <f t="shared" si="22"/>
        <v>37315409</v>
      </c>
      <c r="K39" s="4293">
        <f t="shared" ref="K39" si="23">IF(AND(F39=0,$H39=0),"－ ",$H39-F39)</f>
        <v>-28990</v>
      </c>
      <c r="L39" s="4294">
        <f>IF(AND(F39=0,$H39&gt;0),"皆増 ",IF(AND(F39&gt;0,$H39=0),"皆減 ",IF(AND(F39=0,$H39=0),"－ ",K39/F39)))</f>
        <v>-7.4358928057698624E-4</v>
      </c>
      <c r="M39" s="4293">
        <f t="shared" ref="M39" si="24">IF(AND(G39=0,$H39=0),"－ ",$H39-G39)</f>
        <v>164906</v>
      </c>
      <c r="N39" s="4294">
        <f>IF(AND(G39=0,$H39&gt;0),"皆増 ",IF(AND(G39&gt;0,$H39=0),"皆減 ",IF(AND(G39=0,$H39=0),"－ ",M39/G39)))</f>
        <v>4.2509566237754134E-3</v>
      </c>
      <c r="O39" s="4293">
        <f t="shared" ref="O39" si="25">IF(AND(J39=0,$H39=0),"－ ",$H39-J39)</f>
        <v>1642177</v>
      </c>
      <c r="P39" s="4294">
        <f>IF(AND(J39=0,$H39&gt;0),"皆増 ",IF(AND(J39&gt;0,$H39=0),"皆減 ",IF(AND(J39=0,$H39=0),"－ ",O39/J39)))</f>
        <v>4.4008012882828108E-2</v>
      </c>
      <c r="Q39" s="4104" t="s">
        <v>7098</v>
      </c>
    </row>
    <row r="40" spans="1:26" ht="20.85" customHeight="1" thickBot="1">
      <c r="A40" s="4199" t="s">
        <v>6909</v>
      </c>
      <c r="B40" s="4295"/>
      <c r="C40" s="4295"/>
      <c r="D40" s="4295"/>
      <c r="E40" s="4055"/>
      <c r="F40" s="4057"/>
      <c r="G40" s="4057"/>
      <c r="H40" s="4292"/>
      <c r="I40" s="4711"/>
      <c r="J40" s="4057"/>
      <c r="K40" s="4293"/>
      <c r="L40" s="4294"/>
      <c r="M40" s="4293"/>
      <c r="N40" s="4294"/>
      <c r="O40" s="4293"/>
      <c r="P40" s="4294"/>
      <c r="Q40" s="4104" t="s">
        <v>7098</v>
      </c>
    </row>
    <row r="41" spans="1:26" ht="20.85" hidden="1" customHeight="1" outlineLevel="1">
      <c r="A41" s="4061" t="s">
        <v>6881</v>
      </c>
      <c r="B41" s="4062"/>
      <c r="C41" s="4062"/>
      <c r="D41" s="4063"/>
      <c r="E41" s="4296" t="s">
        <v>6940</v>
      </c>
      <c r="F41" s="4297">
        <f>+F4</f>
        <v>0</v>
      </c>
      <c r="G41" s="4298"/>
      <c r="H41" s="4299"/>
      <c r="I41" s="4279"/>
      <c r="J41" s="4300">
        <f>+J4</f>
        <v>0</v>
      </c>
      <c r="K41" s="4301" t="s">
        <v>6882</v>
      </c>
      <c r="L41" s="4302"/>
      <c r="M41" s="4301" t="s">
        <v>6882</v>
      </c>
      <c r="N41" s="4302"/>
      <c r="O41" s="4301" t="s">
        <v>6882</v>
      </c>
      <c r="P41" s="4303"/>
      <c r="Q41" s="4104" t="s">
        <v>7099</v>
      </c>
      <c r="R41" s="4304"/>
    </row>
    <row r="42" spans="1:26" ht="20.85" hidden="1" customHeight="1" outlineLevel="1">
      <c r="A42" s="4305"/>
      <c r="B42" s="4278"/>
      <c r="C42" s="4278"/>
      <c r="D42" s="4306"/>
      <c r="E42" s="4307" t="s">
        <v>6941</v>
      </c>
      <c r="F42" s="4308" t="s">
        <v>6942</v>
      </c>
      <c r="G42" s="4309"/>
      <c r="H42" s="4310" t="s">
        <v>6884</v>
      </c>
      <c r="I42" s="4311"/>
      <c r="J42" s="4311" t="s">
        <v>6943</v>
      </c>
      <c r="K42" s="4312" t="str">
        <f>+K5</f>
        <v>対Ｒ５議決予算</v>
      </c>
      <c r="L42" s="4313"/>
      <c r="M42" s="4314" t="str">
        <f>+M5</f>
        <v>対Ｒ５決見（4月）</v>
      </c>
      <c r="N42" s="4313"/>
      <c r="O42" s="4314" t="str">
        <f>+O5</f>
        <v>対Ｒ４決算</v>
      </c>
      <c r="P42" s="4315"/>
      <c r="Q42" s="4104" t="s">
        <v>7099</v>
      </c>
    </row>
    <row r="43" spans="1:26" ht="20.85" hidden="1" customHeight="1" outlineLevel="1" thickBot="1">
      <c r="A43" s="4082"/>
      <c r="B43" s="4083"/>
      <c r="C43" s="4083"/>
      <c r="D43" s="4084"/>
      <c r="E43" s="4316"/>
      <c r="F43" s="4317"/>
      <c r="G43" s="4210"/>
      <c r="H43" s="4318"/>
      <c r="I43" s="4319"/>
      <c r="J43" s="4319"/>
      <c r="K43" s="4320"/>
      <c r="L43" s="4321" t="s">
        <v>6885</v>
      </c>
      <c r="M43" s="4322"/>
      <c r="N43" s="4321" t="s">
        <v>6885</v>
      </c>
      <c r="O43" s="4322"/>
      <c r="P43" s="4323" t="s">
        <v>6885</v>
      </c>
      <c r="Q43" s="4104" t="s">
        <v>7099</v>
      </c>
    </row>
    <row r="44" spans="1:26" ht="20.85" customHeight="1" collapsed="1">
      <c r="A44" s="5123" t="s">
        <v>6972</v>
      </c>
      <c r="B44" s="5124"/>
      <c r="C44" s="5124"/>
      <c r="D44" s="5125"/>
      <c r="E44" s="4324">
        <f>SUM(E45,E62:E63,E70)</f>
        <v>0</v>
      </c>
      <c r="F44" s="4325">
        <f>SUM(F45,F62:F63,F69,F70)</f>
        <v>62055911</v>
      </c>
      <c r="G44" s="4326">
        <f>SUM(G45,G62:G63,G70)</f>
        <v>61771232</v>
      </c>
      <c r="H44" s="4327">
        <f>SUM(H45,H62:H63,H70)</f>
        <v>61852898</v>
      </c>
      <c r="I44" s="4712"/>
      <c r="J44" s="4328">
        <f>SUM(J45,J62:J63,J69,J70)</f>
        <v>61194703</v>
      </c>
      <c r="K44" s="4329">
        <f t="shared" ref="K44:K68" si="26">IF(AND(F44=0,$H44=0),"－ ",$H44-F44)</f>
        <v>-203013</v>
      </c>
      <c r="L44" s="4330">
        <f t="shared" ref="L44:L68" si="27">IF(AND(F44=0,$H44&gt;0),"皆増 ",IF(AND(F44&gt;0,$H44=0),"皆減 ",IF(AND(F44=0,$H44=0),"－ ",K44/F44)))</f>
        <v>-3.271453061095179E-3</v>
      </c>
      <c r="M44" s="4329">
        <f t="shared" ref="M44:M68" si="28">IF(AND(G44=0,$H44=0),"－ ",$H44-G44)</f>
        <v>81666</v>
      </c>
      <c r="N44" s="4330">
        <f t="shared" ref="N44:N68" si="29">IF(AND(G44=0,$H44&gt;0),"皆増 ",IF(AND(G44&gt;0,$H44=0),"皆減 ",IF(AND(G44=0,$H44=0),"－ ",M44/G44)))</f>
        <v>1.3220717372125588E-3</v>
      </c>
      <c r="O44" s="4329">
        <f t="shared" ref="O44:O68" si="30">IF(AND(J44=0,$H44=0),"－ ",$H44-J44)</f>
        <v>658195</v>
      </c>
      <c r="P44" s="4331">
        <f t="shared" ref="P44:P68" si="31">IF(AND(J44=0,$H44&gt;0),"皆増 ",IF(AND(J44&gt;0,$H44=0),"皆減 ",IF(AND(J44=0,$H44=0),"－ ",O44/J44)))</f>
        <v>1.0755751196308609E-2</v>
      </c>
      <c r="Q44" s="4104" t="str">
        <f t="shared" si="2"/>
        <v>表示（判定）</v>
      </c>
      <c r="S44" s="4197">
        <f>IF('(繰)4条支出 '!K5=SUM(S46:S68),'(繰)4条支出 '!K5,"エラー")</f>
        <v>61852897933</v>
      </c>
      <c r="T44" s="4197">
        <f t="shared" ref="T44:T46" si="32">ROUND(S44/1000,0)+U44</f>
        <v>61852898</v>
      </c>
    </row>
    <row r="45" spans="1:26" ht="20.85" customHeight="1">
      <c r="A45" s="4332"/>
      <c r="B45" s="5126" t="s">
        <v>6973</v>
      </c>
      <c r="C45" s="5127"/>
      <c r="D45" s="5128"/>
      <c r="E45" s="4333">
        <f>SUM(E46,E55:E61)</f>
        <v>0</v>
      </c>
      <c r="F45" s="4334">
        <f>SUM(F46,F55:F61)</f>
        <v>17424201</v>
      </c>
      <c r="G45" s="4335">
        <f>SUM(G46,G55:G61)</f>
        <v>17145810</v>
      </c>
      <c r="H45" s="4336">
        <f>SUM(H46,H55:H61)</f>
        <v>17227476</v>
      </c>
      <c r="I45" s="4713"/>
      <c r="J45" s="4337">
        <f>SUM(J46,J55:J61)</f>
        <v>16645934</v>
      </c>
      <c r="K45" s="4227">
        <f t="shared" si="26"/>
        <v>-196725</v>
      </c>
      <c r="L45" s="4228">
        <f t="shared" si="27"/>
        <v>-1.1290331189361279E-2</v>
      </c>
      <c r="M45" s="4229">
        <f t="shared" si="28"/>
        <v>81666</v>
      </c>
      <c r="N45" s="4228">
        <f t="shared" si="29"/>
        <v>4.7630295681568846E-3</v>
      </c>
      <c r="O45" s="4229">
        <f t="shared" si="30"/>
        <v>581542</v>
      </c>
      <c r="P45" s="4230">
        <f t="shared" si="31"/>
        <v>3.4935978960387561E-2</v>
      </c>
      <c r="Q45" s="4104" t="str">
        <f t="shared" si="2"/>
        <v>表示（判定）</v>
      </c>
    </row>
    <row r="46" spans="1:26" ht="20.85" customHeight="1">
      <c r="A46" s="4221"/>
      <c r="B46" s="4231"/>
      <c r="C46" s="5107" t="s">
        <v>6974</v>
      </c>
      <c r="D46" s="5108"/>
      <c r="E46" s="4247"/>
      <c r="F46" s="4248">
        <f>ROUND('(繰)4条支出 '!D7/1000,0)</f>
        <v>15893171</v>
      </c>
      <c r="G46" s="4244">
        <f>V46</f>
        <v>15704609</v>
      </c>
      <c r="H46" s="4245">
        <f>T46</f>
        <v>15832219</v>
      </c>
      <c r="I46" s="4707"/>
      <c r="J46" s="4246">
        <v>15125501</v>
      </c>
      <c r="K46" s="4237">
        <f t="shared" si="26"/>
        <v>-60952</v>
      </c>
      <c r="L46" s="4238">
        <f t="shared" si="27"/>
        <v>-3.8351062855864321E-3</v>
      </c>
      <c r="M46" s="4237">
        <f t="shared" si="28"/>
        <v>127610</v>
      </c>
      <c r="N46" s="4238">
        <f t="shared" si="29"/>
        <v>8.1256400589151886E-3</v>
      </c>
      <c r="O46" s="4237">
        <f t="shared" si="30"/>
        <v>706718</v>
      </c>
      <c r="P46" s="4239">
        <f t="shared" si="31"/>
        <v>4.6723609353501748E-2</v>
      </c>
      <c r="Q46" s="4104" t="str">
        <f t="shared" si="2"/>
        <v>表示（判定）</v>
      </c>
      <c r="S46" s="4197">
        <f>'(繰)4条支出 '!K7</f>
        <v>15832219181</v>
      </c>
      <c r="T46" s="4197">
        <f t="shared" si="32"/>
        <v>15832219</v>
      </c>
      <c r="U46" s="4212"/>
      <c r="V46" s="4197">
        <f>SUM(W46:X46)</f>
        <v>15704609</v>
      </c>
      <c r="X46" s="4198">
        <v>15704609</v>
      </c>
      <c r="Z46" s="4198" t="s">
        <v>7115</v>
      </c>
    </row>
    <row r="47" spans="1:26" ht="20.85" hidden="1" customHeight="1">
      <c r="A47" s="4221"/>
      <c r="B47" s="4240"/>
      <c r="C47" s="4231"/>
      <c r="D47" s="4338" t="s">
        <v>6975</v>
      </c>
      <c r="E47" s="4339"/>
      <c r="F47" s="4340"/>
      <c r="G47" s="4261"/>
      <c r="H47" s="4255"/>
      <c r="I47" s="4696"/>
      <c r="J47" s="4246"/>
      <c r="K47" s="4237" t="str">
        <f t="shared" si="26"/>
        <v xml:space="preserve">－ </v>
      </c>
      <c r="L47" s="4238" t="str">
        <f t="shared" si="27"/>
        <v xml:space="preserve">－ </v>
      </c>
      <c r="M47" s="4237" t="str">
        <f t="shared" si="28"/>
        <v xml:space="preserve">－ </v>
      </c>
      <c r="N47" s="4238" t="str">
        <f t="shared" si="29"/>
        <v xml:space="preserve">－ </v>
      </c>
      <c r="O47" s="4237" t="str">
        <f t="shared" si="30"/>
        <v xml:space="preserve">－ </v>
      </c>
      <c r="P47" s="4239" t="str">
        <f t="shared" si="31"/>
        <v xml:space="preserve">－ </v>
      </c>
      <c r="Q47" s="4104" t="str">
        <f t="shared" si="2"/>
        <v>×表示しない</v>
      </c>
    </row>
    <row r="48" spans="1:26" ht="20.85" hidden="1" customHeight="1">
      <c r="A48" s="4221"/>
      <c r="B48" s="4240"/>
      <c r="C48" s="4240"/>
      <c r="D48" s="4338" t="s">
        <v>6976</v>
      </c>
      <c r="E48" s="4339"/>
      <c r="F48" s="4340"/>
      <c r="G48" s="4261"/>
      <c r="H48" s="4255"/>
      <c r="I48" s="4696"/>
      <c r="J48" s="4246"/>
      <c r="K48" s="4237" t="str">
        <f t="shared" si="26"/>
        <v xml:space="preserve">－ </v>
      </c>
      <c r="L48" s="4238" t="str">
        <f t="shared" si="27"/>
        <v xml:space="preserve">－ </v>
      </c>
      <c r="M48" s="4237" t="str">
        <f t="shared" si="28"/>
        <v xml:space="preserve">－ </v>
      </c>
      <c r="N48" s="4238" t="str">
        <f t="shared" si="29"/>
        <v xml:space="preserve">－ </v>
      </c>
      <c r="O48" s="4237" t="str">
        <f t="shared" si="30"/>
        <v xml:space="preserve">－ </v>
      </c>
      <c r="P48" s="4239" t="str">
        <f t="shared" si="31"/>
        <v xml:space="preserve">－ </v>
      </c>
      <c r="Q48" s="4104" t="str">
        <f t="shared" si="2"/>
        <v>×表示しない</v>
      </c>
    </row>
    <row r="49" spans="1:26" ht="20.85" hidden="1" customHeight="1">
      <c r="A49" s="4221"/>
      <c r="B49" s="4240"/>
      <c r="C49" s="4240"/>
      <c r="D49" s="4338" t="s">
        <v>6977</v>
      </c>
      <c r="E49" s="4339"/>
      <c r="F49" s="4340"/>
      <c r="G49" s="4261"/>
      <c r="H49" s="4255"/>
      <c r="I49" s="4696"/>
      <c r="J49" s="4246"/>
      <c r="K49" s="4237" t="str">
        <f t="shared" si="26"/>
        <v xml:space="preserve">－ </v>
      </c>
      <c r="L49" s="4238" t="str">
        <f t="shared" si="27"/>
        <v xml:space="preserve">－ </v>
      </c>
      <c r="M49" s="4237" t="str">
        <f t="shared" si="28"/>
        <v xml:space="preserve">－ </v>
      </c>
      <c r="N49" s="4238" t="str">
        <f t="shared" si="29"/>
        <v xml:space="preserve">－ </v>
      </c>
      <c r="O49" s="4237" t="str">
        <f t="shared" si="30"/>
        <v xml:space="preserve">－ </v>
      </c>
      <c r="P49" s="4239" t="str">
        <f t="shared" si="31"/>
        <v xml:space="preserve">－ </v>
      </c>
      <c r="Q49" s="4104" t="str">
        <f t="shared" si="2"/>
        <v>×表示しない</v>
      </c>
    </row>
    <row r="50" spans="1:26" ht="20.85" hidden="1" customHeight="1">
      <c r="A50" s="4221"/>
      <c r="B50" s="4240"/>
      <c r="C50" s="4240"/>
      <c r="D50" s="4241" t="s">
        <v>6978</v>
      </c>
      <c r="E50" s="4247"/>
      <c r="F50" s="4340"/>
      <c r="G50" s="4261"/>
      <c r="H50" s="4255"/>
      <c r="I50" s="4696"/>
      <c r="J50" s="4246"/>
      <c r="K50" s="4237" t="str">
        <f t="shared" si="26"/>
        <v xml:space="preserve">－ </v>
      </c>
      <c r="L50" s="4238" t="str">
        <f t="shared" si="27"/>
        <v xml:space="preserve">－ </v>
      </c>
      <c r="M50" s="4237" t="str">
        <f t="shared" si="28"/>
        <v xml:space="preserve">－ </v>
      </c>
      <c r="N50" s="4238" t="str">
        <f t="shared" si="29"/>
        <v xml:space="preserve">－ </v>
      </c>
      <c r="O50" s="4237" t="str">
        <f t="shared" si="30"/>
        <v xml:space="preserve">－ </v>
      </c>
      <c r="P50" s="4239" t="str">
        <f t="shared" si="31"/>
        <v xml:space="preserve">－ </v>
      </c>
      <c r="Q50" s="4104" t="str">
        <f t="shared" si="2"/>
        <v>×表示しない</v>
      </c>
    </row>
    <row r="51" spans="1:26" ht="20.85" hidden="1" customHeight="1">
      <c r="A51" s="4221"/>
      <c r="B51" s="4240"/>
      <c r="C51" s="4240"/>
      <c r="D51" s="4241" t="s">
        <v>6979</v>
      </c>
      <c r="E51" s="4247"/>
      <c r="F51" s="4340"/>
      <c r="G51" s="4261"/>
      <c r="H51" s="4255"/>
      <c r="I51" s="4696"/>
      <c r="J51" s="4246"/>
      <c r="K51" s="4237" t="str">
        <f t="shared" si="26"/>
        <v xml:space="preserve">－ </v>
      </c>
      <c r="L51" s="4238" t="str">
        <f t="shared" si="27"/>
        <v xml:space="preserve">－ </v>
      </c>
      <c r="M51" s="4237" t="str">
        <f t="shared" si="28"/>
        <v xml:space="preserve">－ </v>
      </c>
      <c r="N51" s="4238" t="str">
        <f t="shared" si="29"/>
        <v xml:space="preserve">－ </v>
      </c>
      <c r="O51" s="4237" t="str">
        <f t="shared" si="30"/>
        <v xml:space="preserve">－ </v>
      </c>
      <c r="P51" s="4239" t="str">
        <f t="shared" si="31"/>
        <v xml:space="preserve">－ </v>
      </c>
      <c r="Q51" s="4104" t="str">
        <f t="shared" si="2"/>
        <v>×表示しない</v>
      </c>
    </row>
    <row r="52" spans="1:26" ht="20.85" hidden="1" customHeight="1">
      <c r="A52" s="4221"/>
      <c r="B52" s="4240"/>
      <c r="C52" s="4240"/>
      <c r="D52" s="4241" t="s">
        <v>6980</v>
      </c>
      <c r="E52" s="4247"/>
      <c r="F52" s="4340"/>
      <c r="G52" s="4261"/>
      <c r="H52" s="4255"/>
      <c r="I52" s="4696"/>
      <c r="J52" s="4246"/>
      <c r="K52" s="4237" t="str">
        <f t="shared" si="26"/>
        <v xml:space="preserve">－ </v>
      </c>
      <c r="L52" s="4238" t="str">
        <f t="shared" si="27"/>
        <v xml:space="preserve">－ </v>
      </c>
      <c r="M52" s="4237" t="str">
        <f t="shared" si="28"/>
        <v xml:space="preserve">－ </v>
      </c>
      <c r="N52" s="4238" t="str">
        <f t="shared" si="29"/>
        <v xml:space="preserve">－ </v>
      </c>
      <c r="O52" s="4237" t="str">
        <f t="shared" si="30"/>
        <v xml:space="preserve">－ </v>
      </c>
      <c r="P52" s="4239" t="str">
        <f t="shared" si="31"/>
        <v xml:space="preserve">－ </v>
      </c>
      <c r="Q52" s="4104" t="str">
        <f t="shared" si="2"/>
        <v>×表示しない</v>
      </c>
    </row>
    <row r="53" spans="1:26" ht="20.85" hidden="1" customHeight="1">
      <c r="A53" s="4221"/>
      <c r="B53" s="4240"/>
      <c r="C53" s="4240"/>
      <c r="D53" s="4241" t="s">
        <v>6981</v>
      </c>
      <c r="E53" s="4247"/>
      <c r="F53" s="4340"/>
      <c r="G53" s="4261"/>
      <c r="H53" s="4255"/>
      <c r="I53" s="4696"/>
      <c r="J53" s="4246"/>
      <c r="K53" s="4237" t="str">
        <f t="shared" si="26"/>
        <v xml:space="preserve">－ </v>
      </c>
      <c r="L53" s="4238" t="str">
        <f t="shared" si="27"/>
        <v xml:space="preserve">－ </v>
      </c>
      <c r="M53" s="4237" t="str">
        <f t="shared" si="28"/>
        <v xml:space="preserve">－ </v>
      </c>
      <c r="N53" s="4238" t="str">
        <f t="shared" si="29"/>
        <v xml:space="preserve">－ </v>
      </c>
      <c r="O53" s="4237" t="str">
        <f t="shared" si="30"/>
        <v xml:space="preserve">－ </v>
      </c>
      <c r="P53" s="4239" t="str">
        <f t="shared" si="31"/>
        <v xml:space="preserve">－ </v>
      </c>
      <c r="Q53" s="4104" t="str">
        <f t="shared" si="2"/>
        <v>×表示しない</v>
      </c>
    </row>
    <row r="54" spans="1:26" ht="20.85" hidden="1" customHeight="1">
      <c r="A54" s="4221"/>
      <c r="B54" s="4240"/>
      <c r="C54" s="4256"/>
      <c r="D54" s="4241" t="s">
        <v>6982</v>
      </c>
      <c r="E54" s="4247"/>
      <c r="F54" s="4340"/>
      <c r="G54" s="4261"/>
      <c r="H54" s="4255"/>
      <c r="I54" s="4696"/>
      <c r="J54" s="4246"/>
      <c r="K54" s="4237" t="str">
        <f t="shared" si="26"/>
        <v xml:space="preserve">－ </v>
      </c>
      <c r="L54" s="4238" t="str">
        <f t="shared" si="27"/>
        <v xml:space="preserve">－ </v>
      </c>
      <c r="M54" s="4237" t="str">
        <f t="shared" si="28"/>
        <v xml:space="preserve">－ </v>
      </c>
      <c r="N54" s="4238" t="str">
        <f t="shared" si="29"/>
        <v xml:space="preserve">－ </v>
      </c>
      <c r="O54" s="4237" t="str">
        <f t="shared" si="30"/>
        <v xml:space="preserve">－ </v>
      </c>
      <c r="P54" s="4239" t="str">
        <f t="shared" si="31"/>
        <v xml:space="preserve">－ </v>
      </c>
      <c r="Q54" s="4104" t="str">
        <f t="shared" si="2"/>
        <v>×表示しない</v>
      </c>
    </row>
    <row r="55" spans="1:26" ht="20.85" customHeight="1">
      <c r="A55" s="4221"/>
      <c r="B55" s="4240"/>
      <c r="C55" s="5107" t="s">
        <v>6983</v>
      </c>
      <c r="D55" s="5108"/>
      <c r="E55" s="4247"/>
      <c r="F55" s="4248">
        <f>ROUND('(繰)4条支出 '!D8/1000,0)</f>
        <v>18558</v>
      </c>
      <c r="G55" s="4244">
        <f t="shared" ref="G55:G62" si="33">V55</f>
        <v>17032</v>
      </c>
      <c r="H55" s="4245">
        <f t="shared" ref="H55:H62" si="34">T55</f>
        <v>15860</v>
      </c>
      <c r="I55" s="4707"/>
      <c r="J55" s="4246">
        <v>12170</v>
      </c>
      <c r="K55" s="4237">
        <f t="shared" si="26"/>
        <v>-2698</v>
      </c>
      <c r="L55" s="4238">
        <f t="shared" si="27"/>
        <v>-0.14538204547903869</v>
      </c>
      <c r="M55" s="4237">
        <f t="shared" si="28"/>
        <v>-1172</v>
      </c>
      <c r="N55" s="4238">
        <f t="shared" si="29"/>
        <v>-6.8811648661343358E-2</v>
      </c>
      <c r="O55" s="4237">
        <f t="shared" si="30"/>
        <v>3690</v>
      </c>
      <c r="P55" s="4239">
        <f t="shared" si="31"/>
        <v>0.30320460147904682</v>
      </c>
      <c r="Q55" s="4104" t="str">
        <f t="shared" si="2"/>
        <v>表示（判定）</v>
      </c>
      <c r="S55" s="4197">
        <f>'(繰)4条支出 '!K8</f>
        <v>15860357</v>
      </c>
      <c r="T55" s="4197">
        <f t="shared" ref="T55:T62" si="35">ROUND(S55/1000,0)+U55</f>
        <v>15860</v>
      </c>
      <c r="V55" s="4197">
        <f t="shared" ref="V55:V62" si="36">SUM(W55:X55)</f>
        <v>17032</v>
      </c>
      <c r="X55" s="4198">
        <v>17032</v>
      </c>
      <c r="Z55" s="4198" t="s">
        <v>7116</v>
      </c>
    </row>
    <row r="56" spans="1:26" ht="20.85" customHeight="1">
      <c r="A56" s="4221"/>
      <c r="B56" s="4240"/>
      <c r="C56" s="5107" t="s">
        <v>6984</v>
      </c>
      <c r="D56" s="5108"/>
      <c r="E56" s="4247"/>
      <c r="F56" s="4248">
        <f>ROUND('(繰)4条支出 '!D9/1000,0)</f>
        <v>779527</v>
      </c>
      <c r="G56" s="4244">
        <f t="shared" si="33"/>
        <v>730380</v>
      </c>
      <c r="H56" s="4245">
        <f t="shared" si="34"/>
        <v>731976</v>
      </c>
      <c r="I56" s="4707"/>
      <c r="J56" s="4246">
        <v>720031</v>
      </c>
      <c r="K56" s="4237">
        <f t="shared" si="26"/>
        <v>-47551</v>
      </c>
      <c r="L56" s="4238">
        <f t="shared" si="27"/>
        <v>-6.0999811424107181E-2</v>
      </c>
      <c r="M56" s="4237">
        <f t="shared" si="28"/>
        <v>1596</v>
      </c>
      <c r="N56" s="4238">
        <f t="shared" si="29"/>
        <v>2.185163887291547E-3</v>
      </c>
      <c r="O56" s="4237">
        <f t="shared" si="30"/>
        <v>11945</v>
      </c>
      <c r="P56" s="4239">
        <f t="shared" si="31"/>
        <v>1.6589563504904651E-2</v>
      </c>
      <c r="Q56" s="4104" t="str">
        <f t="shared" si="2"/>
        <v>表示（判定）</v>
      </c>
      <c r="S56" s="4197">
        <f>'(繰)4条支出 '!K9</f>
        <v>731976052</v>
      </c>
      <c r="T56" s="4197">
        <f t="shared" si="35"/>
        <v>731976</v>
      </c>
      <c r="U56" s="4212"/>
      <c r="V56" s="4197">
        <f t="shared" si="36"/>
        <v>730380</v>
      </c>
      <c r="X56" s="4198">
        <v>730380</v>
      </c>
      <c r="Z56" s="4198" t="s">
        <v>7117</v>
      </c>
    </row>
    <row r="57" spans="1:26" ht="20.85" hidden="1" customHeight="1">
      <c r="A57" s="4221"/>
      <c r="B57" s="4240"/>
      <c r="C57" s="5107" t="s">
        <v>6985</v>
      </c>
      <c r="D57" s="5108"/>
      <c r="E57" s="4247"/>
      <c r="F57" s="4248">
        <f>ROUND('(繰)4条支出 '!D10/1000,0)</f>
        <v>0</v>
      </c>
      <c r="G57" s="4244">
        <f t="shared" si="33"/>
        <v>0</v>
      </c>
      <c r="H57" s="4245">
        <f t="shared" si="34"/>
        <v>0</v>
      </c>
      <c r="I57" s="4262"/>
      <c r="J57" s="4246">
        <v>0</v>
      </c>
      <c r="K57" s="4237" t="str">
        <f t="shared" si="26"/>
        <v xml:space="preserve">－ </v>
      </c>
      <c r="L57" s="4238" t="str">
        <f t="shared" si="27"/>
        <v xml:space="preserve">－ </v>
      </c>
      <c r="M57" s="4237" t="str">
        <f t="shared" si="28"/>
        <v xml:space="preserve">－ </v>
      </c>
      <c r="N57" s="4238" t="str">
        <f t="shared" si="29"/>
        <v xml:space="preserve">－ </v>
      </c>
      <c r="O57" s="4237" t="str">
        <f t="shared" si="30"/>
        <v xml:space="preserve">－ </v>
      </c>
      <c r="P57" s="4239" t="str">
        <f t="shared" si="31"/>
        <v xml:space="preserve">－ </v>
      </c>
      <c r="Q57" s="4104" t="str">
        <f t="shared" si="2"/>
        <v>×表示しない</v>
      </c>
      <c r="S57" s="4197">
        <f>'(繰)4条支出 '!K10</f>
        <v>0</v>
      </c>
      <c r="T57" s="4197">
        <f t="shared" si="35"/>
        <v>0</v>
      </c>
      <c r="V57" s="4197">
        <f t="shared" si="36"/>
        <v>0</v>
      </c>
      <c r="X57" s="4198">
        <v>0</v>
      </c>
      <c r="Z57" s="4198" t="s">
        <v>7118</v>
      </c>
    </row>
    <row r="58" spans="1:26" ht="20.85" customHeight="1">
      <c r="A58" s="4221"/>
      <c r="B58" s="4240"/>
      <c r="C58" s="5107" t="s">
        <v>6986</v>
      </c>
      <c r="D58" s="5108"/>
      <c r="E58" s="4247"/>
      <c r="F58" s="4248">
        <f>ROUND('(繰)4条支出 '!D11/1000,0)</f>
        <v>172142</v>
      </c>
      <c r="G58" s="4244">
        <f t="shared" si="33"/>
        <v>172142</v>
      </c>
      <c r="H58" s="4245">
        <f t="shared" si="34"/>
        <v>131922</v>
      </c>
      <c r="I58" s="4707"/>
      <c r="J58" s="4246">
        <v>93130</v>
      </c>
      <c r="K58" s="4237">
        <f t="shared" si="26"/>
        <v>-40220</v>
      </c>
      <c r="L58" s="4238">
        <f t="shared" si="27"/>
        <v>-0.233644316901163</v>
      </c>
      <c r="M58" s="4237">
        <f t="shared" si="28"/>
        <v>-40220</v>
      </c>
      <c r="N58" s="4238">
        <f t="shared" si="29"/>
        <v>-0.233644316901163</v>
      </c>
      <c r="O58" s="4237">
        <f t="shared" si="30"/>
        <v>38792</v>
      </c>
      <c r="P58" s="4239">
        <f t="shared" si="31"/>
        <v>0.41653602491141417</v>
      </c>
      <c r="Q58" s="4104" t="str">
        <f t="shared" si="2"/>
        <v>表示（判定）</v>
      </c>
      <c r="S58" s="4197">
        <f>'(繰)4条支出 '!K11</f>
        <v>131921564</v>
      </c>
      <c r="T58" s="4197">
        <f t="shared" si="35"/>
        <v>131922</v>
      </c>
      <c r="V58" s="4197">
        <f t="shared" si="36"/>
        <v>172142</v>
      </c>
      <c r="X58" s="4198">
        <v>172142</v>
      </c>
      <c r="Z58" s="4198" t="s">
        <v>7119</v>
      </c>
    </row>
    <row r="59" spans="1:26" ht="20.85" customHeight="1">
      <c r="A59" s="4221"/>
      <c r="B59" s="4240"/>
      <c r="C59" s="5107" t="s">
        <v>6987</v>
      </c>
      <c r="D59" s="5108"/>
      <c r="E59" s="4247"/>
      <c r="F59" s="4248">
        <f>ROUND('(繰)4条支出 '!D12/1000,0)</f>
        <v>90944</v>
      </c>
      <c r="G59" s="4244">
        <f t="shared" si="33"/>
        <v>85449</v>
      </c>
      <c r="H59" s="4245">
        <f t="shared" si="34"/>
        <v>84675</v>
      </c>
      <c r="I59" s="4707"/>
      <c r="J59" s="4246">
        <v>51815</v>
      </c>
      <c r="K59" s="4237">
        <f t="shared" si="26"/>
        <v>-6269</v>
      </c>
      <c r="L59" s="4238">
        <f t="shared" si="27"/>
        <v>-6.8932529908515131E-2</v>
      </c>
      <c r="M59" s="4237">
        <f t="shared" si="28"/>
        <v>-774</v>
      </c>
      <c r="N59" s="4238">
        <f t="shared" si="29"/>
        <v>-9.0580346171400487E-3</v>
      </c>
      <c r="O59" s="4237">
        <f t="shared" si="30"/>
        <v>32860</v>
      </c>
      <c r="P59" s="4239">
        <f t="shared" si="31"/>
        <v>0.63417929171089449</v>
      </c>
      <c r="Q59" s="4104" t="str">
        <f t="shared" si="2"/>
        <v>表示（判定）</v>
      </c>
      <c r="S59" s="4197">
        <f>'(繰)4条支出 '!K12</f>
        <v>84674910</v>
      </c>
      <c r="T59" s="4197">
        <f t="shared" si="35"/>
        <v>84675</v>
      </c>
      <c r="V59" s="4197">
        <f t="shared" si="36"/>
        <v>85449</v>
      </c>
      <c r="X59" s="4198">
        <v>85449</v>
      </c>
      <c r="Z59" s="4198" t="s">
        <v>7120</v>
      </c>
    </row>
    <row r="60" spans="1:26" ht="20.85" customHeight="1">
      <c r="A60" s="4221"/>
      <c r="B60" s="4240"/>
      <c r="C60" s="5107" t="s">
        <v>6988</v>
      </c>
      <c r="D60" s="5108"/>
      <c r="E60" s="4242"/>
      <c r="F60" s="4248">
        <f>ROUND('(繰)4条支出 '!D13/1000,0)</f>
        <v>12600</v>
      </c>
      <c r="G60" s="4244">
        <f t="shared" si="33"/>
        <v>12600</v>
      </c>
      <c r="H60" s="4245">
        <f t="shared" si="34"/>
        <v>12600</v>
      </c>
      <c r="I60" s="4707"/>
      <c r="J60" s="4246">
        <v>3500</v>
      </c>
      <c r="K60" s="4237">
        <f t="shared" si="26"/>
        <v>0</v>
      </c>
      <c r="L60" s="4238">
        <f t="shared" si="27"/>
        <v>0</v>
      </c>
      <c r="M60" s="4237">
        <f t="shared" si="28"/>
        <v>0</v>
      </c>
      <c r="N60" s="4238">
        <f t="shared" si="29"/>
        <v>0</v>
      </c>
      <c r="O60" s="4237">
        <f t="shared" si="30"/>
        <v>9100</v>
      </c>
      <c r="P60" s="4239">
        <f t="shared" si="31"/>
        <v>2.6</v>
      </c>
      <c r="Q60" s="4104" t="str">
        <f t="shared" si="2"/>
        <v>表示（判定）</v>
      </c>
      <c r="S60" s="4197">
        <f>'(繰)4条支出 '!K13</f>
        <v>12600000</v>
      </c>
      <c r="T60" s="4197">
        <f t="shared" si="35"/>
        <v>12600</v>
      </c>
      <c r="V60" s="4197">
        <f t="shared" si="36"/>
        <v>12600</v>
      </c>
      <c r="X60" s="4198">
        <v>12600</v>
      </c>
      <c r="Z60" s="4198" t="s">
        <v>7121</v>
      </c>
    </row>
    <row r="61" spans="1:26" ht="20.85" customHeight="1">
      <c r="A61" s="4221"/>
      <c r="B61" s="4256"/>
      <c r="C61" s="5107" t="s">
        <v>6989</v>
      </c>
      <c r="D61" s="5108"/>
      <c r="E61" s="4242"/>
      <c r="F61" s="4248">
        <f>ROUND('(繰)4条支出 '!D14/1000,0)</f>
        <v>457259</v>
      </c>
      <c r="G61" s="4244">
        <f t="shared" si="33"/>
        <v>423598</v>
      </c>
      <c r="H61" s="4245">
        <f t="shared" si="34"/>
        <v>418224</v>
      </c>
      <c r="I61" s="4707"/>
      <c r="J61" s="4246">
        <v>639787</v>
      </c>
      <c r="K61" s="4237">
        <f t="shared" si="26"/>
        <v>-39035</v>
      </c>
      <c r="L61" s="4238">
        <f t="shared" si="27"/>
        <v>-8.536737385158083E-2</v>
      </c>
      <c r="M61" s="4237">
        <f t="shared" si="28"/>
        <v>-5374</v>
      </c>
      <c r="N61" s="4250">
        <f t="shared" si="29"/>
        <v>-1.2686556593751622E-2</v>
      </c>
      <c r="O61" s="4237">
        <f t="shared" si="30"/>
        <v>-221563</v>
      </c>
      <c r="P61" s="4251">
        <f t="shared" si="31"/>
        <v>-0.34630744294585541</v>
      </c>
      <c r="Q61" s="4104" t="str">
        <f t="shared" si="2"/>
        <v>表示（判定）</v>
      </c>
      <c r="S61" s="4197">
        <f>'(繰)4条支出 '!K14</f>
        <v>418223402</v>
      </c>
      <c r="T61" s="4197">
        <f t="shared" si="35"/>
        <v>418224</v>
      </c>
      <c r="U61" s="4197">
        <v>1</v>
      </c>
      <c r="V61" s="4197">
        <f t="shared" si="36"/>
        <v>423598</v>
      </c>
      <c r="X61" s="4198">
        <v>423598</v>
      </c>
      <c r="Z61" s="4198" t="s">
        <v>7122</v>
      </c>
    </row>
    <row r="62" spans="1:26" ht="20.85" customHeight="1">
      <c r="A62" s="4341"/>
      <c r="B62" s="5132" t="s">
        <v>6990</v>
      </c>
      <c r="C62" s="5133"/>
      <c r="D62" s="5108"/>
      <c r="E62" s="4242"/>
      <c r="F62" s="4248">
        <f>ROUND('(繰)4条支出 '!D16/1000,0)</f>
        <v>44621423</v>
      </c>
      <c r="G62" s="4244">
        <f t="shared" si="33"/>
        <v>44621240</v>
      </c>
      <c r="H62" s="4245">
        <f t="shared" si="34"/>
        <v>44621240</v>
      </c>
      <c r="I62" s="4707"/>
      <c r="J62" s="4246">
        <v>44544306</v>
      </c>
      <c r="K62" s="4237">
        <f t="shared" si="26"/>
        <v>-183</v>
      </c>
      <c r="L62" s="4238">
        <f t="shared" si="27"/>
        <v>-4.1011690729809313E-6</v>
      </c>
      <c r="M62" s="4237">
        <f t="shared" si="28"/>
        <v>0</v>
      </c>
      <c r="N62" s="4238">
        <f t="shared" si="29"/>
        <v>0</v>
      </c>
      <c r="O62" s="4237">
        <f t="shared" si="30"/>
        <v>76934</v>
      </c>
      <c r="P62" s="4239">
        <f t="shared" si="31"/>
        <v>1.7271343277859127E-3</v>
      </c>
      <c r="Q62" s="4104" t="str">
        <f t="shared" si="2"/>
        <v>表示（判定）</v>
      </c>
      <c r="S62" s="4197">
        <f>'(繰)4条支出 '!K15</f>
        <v>44621240467</v>
      </c>
      <c r="T62" s="4197">
        <f t="shared" si="35"/>
        <v>44621240</v>
      </c>
      <c r="V62" s="4197">
        <f t="shared" si="36"/>
        <v>44621240</v>
      </c>
      <c r="X62" s="4198">
        <v>44621240</v>
      </c>
      <c r="Z62" s="4198" t="s">
        <v>7123</v>
      </c>
    </row>
    <row r="63" spans="1:26" ht="20.85" customHeight="1">
      <c r="A63" s="4341"/>
      <c r="B63" s="5132" t="s">
        <v>6991</v>
      </c>
      <c r="C63" s="5133"/>
      <c r="D63" s="5108"/>
      <c r="E63" s="4232">
        <f>SUM(E64,E68)</f>
        <v>0</v>
      </c>
      <c r="F63" s="4342">
        <f>SUM(F64,F68)</f>
        <v>10287</v>
      </c>
      <c r="G63" s="4234">
        <f>SUM(G64,G68)</f>
        <v>4182</v>
      </c>
      <c r="H63" s="4235">
        <f>SUM(H64,H68)</f>
        <v>4182</v>
      </c>
      <c r="I63" s="4706"/>
      <c r="J63" s="4236">
        <f>SUM(J64,J68)</f>
        <v>4463</v>
      </c>
      <c r="K63" s="4237">
        <f t="shared" si="26"/>
        <v>-6105</v>
      </c>
      <c r="L63" s="4238">
        <f t="shared" si="27"/>
        <v>-0.59346748323126275</v>
      </c>
      <c r="M63" s="4237">
        <f t="shared" si="28"/>
        <v>0</v>
      </c>
      <c r="N63" s="4238">
        <f t="shared" si="29"/>
        <v>0</v>
      </c>
      <c r="O63" s="4237">
        <f t="shared" si="30"/>
        <v>-281</v>
      </c>
      <c r="P63" s="4239">
        <f t="shared" si="31"/>
        <v>-6.2962133094331171E-2</v>
      </c>
      <c r="Q63" s="4104" t="str">
        <f t="shared" si="2"/>
        <v>表示（判定）</v>
      </c>
    </row>
    <row r="64" spans="1:26" ht="20.85" customHeight="1">
      <c r="A64" s="4221"/>
      <c r="B64" s="4231"/>
      <c r="C64" s="5107" t="s">
        <v>6992</v>
      </c>
      <c r="D64" s="5108"/>
      <c r="E64" s="4232">
        <f>SUM(E65:E67)</f>
        <v>0</v>
      </c>
      <c r="F64" s="4342">
        <f>SUM(F65:F67)</f>
        <v>8096</v>
      </c>
      <c r="G64" s="4234">
        <f>SUM(G65:G67)</f>
        <v>3759</v>
      </c>
      <c r="H64" s="4235">
        <f>SUM(H65:H67)</f>
        <v>3759</v>
      </c>
      <c r="I64" s="4706"/>
      <c r="J64" s="4236">
        <f>SUM(J65:J67)</f>
        <v>3215</v>
      </c>
      <c r="K64" s="4237">
        <f t="shared" si="26"/>
        <v>-4337</v>
      </c>
      <c r="L64" s="4238">
        <f t="shared" si="27"/>
        <v>-0.53569664031620556</v>
      </c>
      <c r="M64" s="4237">
        <f t="shared" si="28"/>
        <v>0</v>
      </c>
      <c r="N64" s="4238">
        <f t="shared" si="29"/>
        <v>0</v>
      </c>
      <c r="O64" s="4237">
        <f t="shared" si="30"/>
        <v>544</v>
      </c>
      <c r="P64" s="4239">
        <f t="shared" si="31"/>
        <v>0.1692068429237947</v>
      </c>
      <c r="Q64" s="4104" t="str">
        <f t="shared" si="2"/>
        <v>表示（判定）</v>
      </c>
    </row>
    <row r="65" spans="1:26" ht="20.85" customHeight="1">
      <c r="A65" s="4221"/>
      <c r="B65" s="4240"/>
      <c r="C65" s="4231"/>
      <c r="D65" s="4241" t="s">
        <v>6993</v>
      </c>
      <c r="E65" s="4247"/>
      <c r="F65" s="4343">
        <v>2976</v>
      </c>
      <c r="G65" s="4244">
        <f>V65</f>
        <v>2600</v>
      </c>
      <c r="H65" s="4245">
        <f>T65</f>
        <v>2600</v>
      </c>
      <c r="I65" s="4707"/>
      <c r="J65" s="4246">
        <v>1040</v>
      </c>
      <c r="K65" s="4237">
        <f t="shared" si="26"/>
        <v>-376</v>
      </c>
      <c r="L65" s="4238">
        <f t="shared" si="27"/>
        <v>-0.12634408602150538</v>
      </c>
      <c r="M65" s="4237">
        <f t="shared" si="28"/>
        <v>0</v>
      </c>
      <c r="N65" s="4238">
        <f t="shared" si="29"/>
        <v>0</v>
      </c>
      <c r="O65" s="4237">
        <f t="shared" si="30"/>
        <v>1560</v>
      </c>
      <c r="P65" s="4239">
        <f t="shared" si="31"/>
        <v>1.5</v>
      </c>
      <c r="Q65" s="4104" t="str">
        <f t="shared" si="2"/>
        <v>表示（判定）</v>
      </c>
      <c r="S65" s="4197">
        <f>水洗!$E$6</f>
        <v>2600000</v>
      </c>
      <c r="T65" s="4197">
        <f t="shared" ref="T65:T68" si="37">ROUND(S65/1000,0)+U65</f>
        <v>2600</v>
      </c>
      <c r="V65" s="4197">
        <f t="shared" ref="V65:V66" si="38">SUM(W65:X65)</f>
        <v>2600</v>
      </c>
      <c r="X65" s="4198">
        <v>2600</v>
      </c>
      <c r="Z65" s="4198" t="s">
        <v>7124</v>
      </c>
    </row>
    <row r="66" spans="1:26" ht="20.85" customHeight="1">
      <c r="A66" s="4221"/>
      <c r="B66" s="4240"/>
      <c r="C66" s="4240"/>
      <c r="D66" s="4241" t="s">
        <v>6994</v>
      </c>
      <c r="E66" s="4247"/>
      <c r="F66" s="4343">
        <v>5120</v>
      </c>
      <c r="G66" s="4244">
        <f>V66</f>
        <v>1159</v>
      </c>
      <c r="H66" s="4245">
        <f>T66</f>
        <v>1159</v>
      </c>
      <c r="I66" s="4707"/>
      <c r="J66" s="4246">
        <v>2175</v>
      </c>
      <c r="K66" s="4237">
        <f t="shared" si="26"/>
        <v>-3961</v>
      </c>
      <c r="L66" s="4238">
        <f t="shared" si="27"/>
        <v>-0.77363281250000004</v>
      </c>
      <c r="M66" s="4237">
        <f t="shared" si="28"/>
        <v>0</v>
      </c>
      <c r="N66" s="4238">
        <f t="shared" si="29"/>
        <v>0</v>
      </c>
      <c r="O66" s="4237">
        <f t="shared" si="30"/>
        <v>-1016</v>
      </c>
      <c r="P66" s="4239">
        <f t="shared" si="31"/>
        <v>-0.4671264367816092</v>
      </c>
      <c r="Q66" s="4104" t="str">
        <f t="shared" si="2"/>
        <v>表示（判定）</v>
      </c>
      <c r="S66" s="4197">
        <f>水洗!$E$12</f>
        <v>1159000</v>
      </c>
      <c r="T66" s="4197">
        <f t="shared" si="37"/>
        <v>1159</v>
      </c>
      <c r="V66" s="4197">
        <f t="shared" si="38"/>
        <v>1159</v>
      </c>
      <c r="X66" s="4198">
        <v>1159</v>
      </c>
      <c r="Z66" s="4198" t="s">
        <v>7125</v>
      </c>
    </row>
    <row r="67" spans="1:26" ht="20.85" hidden="1" customHeight="1">
      <c r="A67" s="4221"/>
      <c r="B67" s="4240"/>
      <c r="C67" s="4256"/>
      <c r="D67" s="4241" t="s">
        <v>6995</v>
      </c>
      <c r="E67" s="4247"/>
      <c r="F67" s="4343">
        <v>0</v>
      </c>
      <c r="G67" s="4244">
        <f>V67</f>
        <v>0</v>
      </c>
      <c r="H67" s="4245">
        <f>T67</f>
        <v>0</v>
      </c>
      <c r="I67" s="4262"/>
      <c r="J67" s="4246">
        <v>0</v>
      </c>
      <c r="K67" s="4237" t="str">
        <f t="shared" si="26"/>
        <v xml:space="preserve">－ </v>
      </c>
      <c r="L67" s="4238" t="str">
        <f t="shared" si="27"/>
        <v xml:space="preserve">－ </v>
      </c>
      <c r="M67" s="4237" t="str">
        <f t="shared" si="28"/>
        <v xml:space="preserve">－ </v>
      </c>
      <c r="N67" s="4238" t="str">
        <f t="shared" si="29"/>
        <v xml:space="preserve">－ </v>
      </c>
      <c r="O67" s="4237" t="str">
        <f t="shared" si="30"/>
        <v xml:space="preserve">－ </v>
      </c>
      <c r="P67" s="4239" t="str">
        <f t="shared" si="31"/>
        <v xml:space="preserve">－ </v>
      </c>
      <c r="Q67" s="4104" t="str">
        <f t="shared" si="2"/>
        <v>×表示しない</v>
      </c>
      <c r="S67" s="4197">
        <f>水洗!$E$18</f>
        <v>0</v>
      </c>
      <c r="T67" s="4197">
        <f t="shared" si="37"/>
        <v>0</v>
      </c>
    </row>
    <row r="68" spans="1:26" ht="20.85" customHeight="1" thickBot="1">
      <c r="A68" s="4268"/>
      <c r="B68" s="4344"/>
      <c r="C68" s="5134" t="s">
        <v>7012</v>
      </c>
      <c r="D68" s="5135"/>
      <c r="E68" s="4345"/>
      <c r="F68" s="4346">
        <f>ROUND('(繰)4条支出 '!D20/1000,0)</f>
        <v>2191</v>
      </c>
      <c r="G68" s="4347">
        <f>V68</f>
        <v>423</v>
      </c>
      <c r="H68" s="4348">
        <f>T68</f>
        <v>423</v>
      </c>
      <c r="I68" s="4714"/>
      <c r="J68" s="4273">
        <v>1248</v>
      </c>
      <c r="K68" s="4274">
        <f t="shared" si="26"/>
        <v>-1768</v>
      </c>
      <c r="L68" s="4275">
        <f t="shared" si="27"/>
        <v>-0.80693747147421269</v>
      </c>
      <c r="M68" s="4274">
        <f t="shared" si="28"/>
        <v>0</v>
      </c>
      <c r="N68" s="4275">
        <f t="shared" si="29"/>
        <v>0</v>
      </c>
      <c r="O68" s="4274">
        <f t="shared" si="30"/>
        <v>-825</v>
      </c>
      <c r="P68" s="4276">
        <f t="shared" si="31"/>
        <v>-0.66105769230769229</v>
      </c>
      <c r="Q68" s="4104" t="str">
        <f t="shared" si="2"/>
        <v>表示（判定）</v>
      </c>
      <c r="S68" s="4197">
        <f>'(繰)4条支出 '!K20</f>
        <v>423000</v>
      </c>
      <c r="T68" s="4197">
        <f t="shared" si="37"/>
        <v>423</v>
      </c>
      <c r="V68" s="4197">
        <f>SUM(W68:X68)</f>
        <v>423</v>
      </c>
      <c r="X68" s="4198">
        <v>423</v>
      </c>
      <c r="Z68" s="4198" t="s">
        <v>7126</v>
      </c>
    </row>
    <row r="69" spans="1:26" ht="20.85" hidden="1" customHeight="1">
      <c r="A69" s="4221"/>
      <c r="B69" s="5136" t="s">
        <v>6996</v>
      </c>
      <c r="C69" s="5137"/>
      <c r="D69" s="5138"/>
      <c r="E69" s="4349"/>
      <c r="F69" s="4350"/>
      <c r="G69" s="4351"/>
      <c r="H69" s="4352"/>
      <c r="I69" s="4353"/>
      <c r="J69" s="4353"/>
      <c r="K69" s="4354">
        <f t="shared" ref="K69" si="39">H69-F69</f>
        <v>0</v>
      </c>
      <c r="L69" s="4355" t="str">
        <f t="shared" ref="L69:L70" si="40">IF(AND(F69=0,H69&gt;0),"　皆増",IF(AND(F69&gt;0,H69=0),"　皆減",IF(AND(F69=0,H69=0),"　　－",ROUND(K69/F69,3))))</f>
        <v>　　－</v>
      </c>
      <c r="M69" s="4356">
        <f t="shared" ref="M69:M70" si="41">H69-J69</f>
        <v>0</v>
      </c>
      <c r="N69" s="4355" t="str">
        <f t="shared" ref="N69:N70" si="42">IF(AND(J69=0,H69&gt;0),"　皆増",IF(AND(J69&gt;0,H69=0),"　皆減",IF(AND(J69=0,H69=0),"　　－",ROUND(M69/J69,3))))</f>
        <v>　　－</v>
      </c>
      <c r="O69" s="4356" t="e">
        <f t="shared" ref="O69:O70" si="43">K69-L69</f>
        <v>#VALUE!</v>
      </c>
      <c r="P69" s="4357" t="str">
        <f t="shared" ref="P69:P70" si="44">IF(AND(L69=0,K69&gt;0),"　皆増",IF(AND(L69&gt;0,K69=0),"　皆減",IF(AND(L69=0,K69=0),"　　－",ROUND(O69/L69,3))))</f>
        <v>　皆減</v>
      </c>
      <c r="Q69" s="4104" t="str">
        <f t="shared" si="2"/>
        <v>×表示しない</v>
      </c>
    </row>
    <row r="70" spans="1:26" ht="20.85" hidden="1" customHeight="1" thickBot="1">
      <c r="A70" s="4268"/>
      <c r="B70" s="5139" t="s">
        <v>6997</v>
      </c>
      <c r="C70" s="5140"/>
      <c r="D70" s="5141"/>
      <c r="E70" s="4358"/>
      <c r="F70" s="4359"/>
      <c r="G70" s="4360"/>
      <c r="H70" s="4361"/>
      <c r="I70" s="4362"/>
      <c r="J70" s="4362"/>
      <c r="K70" s="4363">
        <f>H70-F70</f>
        <v>0</v>
      </c>
      <c r="L70" s="4275" t="str">
        <f t="shared" si="40"/>
        <v>　　－</v>
      </c>
      <c r="M70" s="4274">
        <f t="shared" si="41"/>
        <v>0</v>
      </c>
      <c r="N70" s="4275" t="str">
        <f t="shared" si="42"/>
        <v>　　－</v>
      </c>
      <c r="O70" s="4274" t="e">
        <f t="shared" si="43"/>
        <v>#VALUE!</v>
      </c>
      <c r="P70" s="4276" t="str">
        <f t="shared" si="44"/>
        <v>　皆減</v>
      </c>
      <c r="Q70" s="4104" t="str">
        <f t="shared" si="2"/>
        <v>×表示しない</v>
      </c>
    </row>
    <row r="71" spans="1:26" ht="12">
      <c r="A71" s="4291"/>
      <c r="B71" s="4291"/>
      <c r="C71" s="4291"/>
      <c r="D71" s="4291"/>
      <c r="F71" s="4364"/>
      <c r="G71" s="4365"/>
      <c r="H71" s="4292"/>
      <c r="I71" s="4711"/>
      <c r="J71" s="4057"/>
      <c r="K71" s="4293"/>
      <c r="L71" s="4294"/>
      <c r="M71" s="4293"/>
      <c r="N71" s="4294"/>
      <c r="O71" s="4293"/>
      <c r="P71" s="4294"/>
      <c r="Q71" s="4104" t="s">
        <v>7098</v>
      </c>
      <c r="S71" s="4197" t="s">
        <v>6938</v>
      </c>
      <c r="T71" s="4197">
        <f>SUM(T46:T68)</f>
        <v>61852898</v>
      </c>
    </row>
    <row r="72" spans="1:26" s="4370" customFormat="1" ht="20.85" hidden="1" customHeight="1" thickBot="1">
      <c r="A72" s="5142" t="s">
        <v>6998</v>
      </c>
      <c r="B72" s="5143"/>
      <c r="C72" s="5143"/>
      <c r="D72" s="5144"/>
      <c r="E72" s="4366">
        <f>E7-E44</f>
        <v>0</v>
      </c>
      <c r="F72" s="4367">
        <f>F7-F44</f>
        <v>-19428861</v>
      </c>
      <c r="G72" s="4368">
        <f>G7-G44</f>
        <v>-19598899</v>
      </c>
      <c r="H72" s="4035">
        <f>H7-H44</f>
        <v>-19609807</v>
      </c>
      <c r="I72" s="4369"/>
      <c r="J72" s="4369">
        <f>J7-J44</f>
        <v>-19414175</v>
      </c>
      <c r="K72" s="4288">
        <f t="shared" ref="K72:K74" si="45">IF(AND(F72=0,$H72=0),"－ ",$H72-F72)</f>
        <v>-180946</v>
      </c>
      <c r="L72" s="4290">
        <f t="shared" ref="L72:L74" si="46">IF(AND(F72=0,$H72&gt;0),"皆増 ",IF(AND(F72&gt;0,$H72=0),"皆減 ",IF(AND(F72=0,$H72=0),"－ ",K72/F72)))</f>
        <v>9.3132582501876983E-3</v>
      </c>
      <c r="M72" s="4288">
        <f t="shared" ref="M72:M74" si="47">IF(AND(G72=0,$H72=0),"－ ",$H72-G72)</f>
        <v>-10908</v>
      </c>
      <c r="N72" s="4290">
        <f t="shared" ref="N72:N74" si="48">IF(AND(G72=0,$H72&gt;0),"皆増 ",IF(AND(G72&gt;0,$H72=0),"皆減 ",IF(AND(G72=0,$H72=0),"－ ",M72/G72)))</f>
        <v>5.5656187625641629E-4</v>
      </c>
      <c r="O72" s="4288">
        <f t="shared" ref="O72:O74" si="49">IF(AND(J72=0,$H72=0),"－ ",$H72-J72)</f>
        <v>-195632</v>
      </c>
      <c r="P72" s="4290">
        <f t="shared" ref="P72:P74" si="50">IF(AND(J72=0,$H72&gt;0),"皆増 ",IF(AND(J72&gt;0,$H72=0),"皆減 ",IF(AND(J72=0,$H72=0),"－ ",O72/J72)))</f>
        <v>1.0076760923397467E-2</v>
      </c>
      <c r="Q72" s="4104" t="str">
        <f t="shared" ref="Q72:Q90" si="51">IF(OR(F72&gt;0,G72&gt;0,H72&gt;0,J72&gt;0),"表示（判定）","×表示しない")</f>
        <v>×表示しない</v>
      </c>
      <c r="S72" s="4197">
        <f>S7-S44</f>
        <v>-19609807053</v>
      </c>
      <c r="T72" s="4197">
        <f>T38-T71</f>
        <v>-19609807</v>
      </c>
      <c r="U72" s="4197"/>
      <c r="V72" s="4197"/>
      <c r="W72" s="4197"/>
      <c r="X72" s="4198"/>
      <c r="Y72" s="4198"/>
      <c r="Z72" s="4198"/>
    </row>
    <row r="73" spans="1:26" s="4370" customFormat="1" ht="20.85" hidden="1" customHeight="1" thickBot="1">
      <c r="A73" s="5129" t="s">
        <v>6999</v>
      </c>
      <c r="B73" s="5130"/>
      <c r="C73" s="5130"/>
      <c r="D73" s="5131"/>
      <c r="E73" s="4371">
        <v>0</v>
      </c>
      <c r="F73" s="4372">
        <v>0</v>
      </c>
      <c r="G73" s="4373">
        <v>0</v>
      </c>
      <c r="H73" s="4154">
        <v>0</v>
      </c>
      <c r="I73" s="4374"/>
      <c r="J73" s="4374">
        <v>0</v>
      </c>
      <c r="K73" s="4356" t="str">
        <f t="shared" si="45"/>
        <v xml:space="preserve">－ </v>
      </c>
      <c r="L73" s="4239" t="str">
        <f t="shared" si="46"/>
        <v xml:space="preserve">－ </v>
      </c>
      <c r="M73" s="4288" t="str">
        <f t="shared" si="47"/>
        <v xml:space="preserve">－ </v>
      </c>
      <c r="N73" s="4290" t="str">
        <f t="shared" si="48"/>
        <v xml:space="preserve">－ </v>
      </c>
      <c r="O73" s="4288" t="str">
        <f t="shared" si="49"/>
        <v xml:space="preserve">－ </v>
      </c>
      <c r="P73" s="4290" t="str">
        <f t="shared" si="50"/>
        <v xml:space="preserve">－ </v>
      </c>
      <c r="Q73" s="4104" t="str">
        <f t="shared" si="51"/>
        <v>×表示しない</v>
      </c>
      <c r="S73" s="4197"/>
      <c r="T73" s="4197"/>
      <c r="U73" s="4197"/>
      <c r="V73" s="4197"/>
      <c r="W73" s="4197"/>
      <c r="X73" s="4198"/>
      <c r="Y73" s="4198"/>
      <c r="Z73" s="4198"/>
    </row>
    <row r="74" spans="1:26" s="4370" customFormat="1" ht="20.85" hidden="1" customHeight="1" thickBot="1">
      <c r="A74" s="5142" t="s">
        <v>7000</v>
      </c>
      <c r="B74" s="5143"/>
      <c r="C74" s="5143"/>
      <c r="D74" s="5144"/>
      <c r="E74" s="4366">
        <f>E72-E73</f>
        <v>0</v>
      </c>
      <c r="F74" s="4367">
        <f>F72-F73</f>
        <v>-19428861</v>
      </c>
      <c r="G74" s="4368">
        <f>G72-G73</f>
        <v>-19598899</v>
      </c>
      <c r="H74" s="4035">
        <f>H72-H73</f>
        <v>-19609807</v>
      </c>
      <c r="I74" s="4369"/>
      <c r="J74" s="4369">
        <f>J72-J73</f>
        <v>-19414175</v>
      </c>
      <c r="K74" s="4288">
        <f t="shared" si="45"/>
        <v>-180946</v>
      </c>
      <c r="L74" s="4290">
        <f t="shared" si="46"/>
        <v>9.3132582501876983E-3</v>
      </c>
      <c r="M74" s="4288">
        <f t="shared" si="47"/>
        <v>-10908</v>
      </c>
      <c r="N74" s="4290">
        <f t="shared" si="48"/>
        <v>5.5656187625641629E-4</v>
      </c>
      <c r="O74" s="4288">
        <f t="shared" si="49"/>
        <v>-195632</v>
      </c>
      <c r="P74" s="4290">
        <f t="shared" si="50"/>
        <v>1.0076760923397467E-2</v>
      </c>
      <c r="Q74" s="4104" t="str">
        <f t="shared" si="51"/>
        <v>×表示しない</v>
      </c>
      <c r="S74" s="4197"/>
      <c r="T74" s="4197"/>
      <c r="U74" s="4197"/>
      <c r="V74" s="4197"/>
      <c r="W74" s="4197"/>
      <c r="X74" s="4198"/>
      <c r="Y74" s="4198"/>
      <c r="Z74" s="4198"/>
    </row>
    <row r="75" spans="1:26" ht="12.75" thickBot="1">
      <c r="A75" s="4291"/>
      <c r="B75" s="4291"/>
      <c r="C75" s="4291"/>
      <c r="D75" s="4291"/>
      <c r="F75" s="4364"/>
      <c r="G75" s="4365"/>
      <c r="H75" s="4292"/>
      <c r="I75" s="4711"/>
      <c r="J75" s="4057"/>
      <c r="K75" s="4375"/>
      <c r="L75" s="4376"/>
      <c r="M75" s="4375"/>
      <c r="N75" s="4376"/>
      <c r="O75" s="4375"/>
      <c r="P75" s="4376"/>
      <c r="Q75" s="4104" t="s">
        <v>7098</v>
      </c>
    </row>
    <row r="76" spans="1:26" ht="20.85" customHeight="1">
      <c r="A76" s="5147" t="s">
        <v>7001</v>
      </c>
      <c r="B76" s="5148"/>
      <c r="C76" s="5148"/>
      <c r="D76" s="5149"/>
      <c r="E76" s="4377">
        <f>SUM(E77,E84:E87)</f>
        <v>0</v>
      </c>
      <c r="F76" s="4378">
        <f>SUM(F77,F84:F87)</f>
        <v>19428861</v>
      </c>
      <c r="G76" s="4379">
        <f>SUM(G77,G84:G87)</f>
        <v>19598899</v>
      </c>
      <c r="H76" s="4380">
        <f>SUM(H77,H84:H87)</f>
        <v>19609807</v>
      </c>
      <c r="I76" s="4715"/>
      <c r="J76" s="4381">
        <f>SUM(J77,J84:J87)</f>
        <v>19414175</v>
      </c>
      <c r="K76" s="4382">
        <f t="shared" ref="K76:K87" si="52">IF(AND(F76=0,$H76=0),"－ ",$H76-F76)</f>
        <v>180946</v>
      </c>
      <c r="L76" s="4383">
        <f t="shared" ref="L76:L87" si="53">IF(AND(F76=0,$H76&gt;0),"皆増 ",IF(AND(F76&gt;0,$H76=0),"皆減 ",IF(AND(F76=0,$H76=0),"－ ",K76/F76)))</f>
        <v>9.3132582501876983E-3</v>
      </c>
      <c r="M76" s="4382">
        <f t="shared" ref="M76:M87" si="54">IF(AND(G76=0,$H76=0),"－ ",$H76-G76)</f>
        <v>10908</v>
      </c>
      <c r="N76" s="4383">
        <f t="shared" ref="N76:N87" si="55">IF(AND(G76=0,$H76&gt;0),"皆増 ",IF(AND(G76&gt;0,$H76=0),"皆減 ",IF(AND(G76=0,$H76=0),"－ ",M76/G76)))</f>
        <v>5.5656187625641629E-4</v>
      </c>
      <c r="O76" s="4382">
        <f t="shared" ref="O76:O87" si="56">IF(AND(J76=0,$H76=0),"－ ",$H76-J76)</f>
        <v>195632</v>
      </c>
      <c r="P76" s="4383">
        <f t="shared" ref="P76:P87" si="57">IF(AND(J76=0,$H76&gt;0),"皆増 ",IF(AND(J76&gt;0,$H76=0),"皆減 ",IF(AND(J76=0,$H76=0),"－ ",O76/J76)))</f>
        <v>1.0076760923397467E-2</v>
      </c>
      <c r="Q76" s="4104" t="str">
        <f t="shared" si="51"/>
        <v>表示（判定）</v>
      </c>
      <c r="S76" s="4197">
        <f>IF(SUM(S78:S87)=-S72,SUM(S78:S87),"エラー")</f>
        <v>19609807053</v>
      </c>
      <c r="T76" s="4197">
        <f t="shared" ref="T76" si="58">ROUND(S76/1000,0)+U76</f>
        <v>19609807</v>
      </c>
      <c r="U76" s="4212"/>
    </row>
    <row r="77" spans="1:26" s="4370" customFormat="1" ht="20.85" customHeight="1">
      <c r="A77" s="4384"/>
      <c r="B77" s="5150" t="s">
        <v>7002</v>
      </c>
      <c r="C77" s="5150"/>
      <c r="D77" s="5151"/>
      <c r="E77" s="4385">
        <f>SUM(E78:E83)</f>
        <v>0</v>
      </c>
      <c r="F77" s="4233">
        <f>SUM(F78:F83)</f>
        <v>17477077</v>
      </c>
      <c r="G77" s="4234">
        <f>SUM(G78:G83)</f>
        <v>17581851</v>
      </c>
      <c r="H77" s="4235">
        <f>SUM(H78:H83)</f>
        <v>17579830</v>
      </c>
      <c r="I77" s="4706"/>
      <c r="J77" s="4236">
        <f>SUM(J78:J83)</f>
        <v>17443558</v>
      </c>
      <c r="K77" s="4237">
        <f t="shared" si="52"/>
        <v>102753</v>
      </c>
      <c r="L77" s="4239">
        <f t="shared" si="53"/>
        <v>5.8793012126684575E-3</v>
      </c>
      <c r="M77" s="4237">
        <f t="shared" si="54"/>
        <v>-2021</v>
      </c>
      <c r="N77" s="4239">
        <f t="shared" si="55"/>
        <v>-1.1494807913000742E-4</v>
      </c>
      <c r="O77" s="4237">
        <f t="shared" si="56"/>
        <v>136272</v>
      </c>
      <c r="P77" s="4239">
        <f t="shared" si="57"/>
        <v>7.8121676781766659E-3</v>
      </c>
      <c r="Q77" s="4104" t="str">
        <f t="shared" si="51"/>
        <v>表示（判定）</v>
      </c>
      <c r="S77" s="4197"/>
      <c r="T77" s="4197"/>
      <c r="U77" s="4197"/>
      <c r="V77" s="4197"/>
      <c r="W77" s="4197"/>
      <c r="X77" s="4198"/>
      <c r="Y77" s="4198"/>
      <c r="Z77" s="4198"/>
    </row>
    <row r="78" spans="1:26" s="4370" customFormat="1" ht="20.85" customHeight="1">
      <c r="A78" s="4386"/>
      <c r="B78" s="4387"/>
      <c r="C78" s="4388"/>
      <c r="D78" s="4389" t="s">
        <v>6923</v>
      </c>
      <c r="E78" s="4390"/>
      <c r="F78" s="4264">
        <v>17215743</v>
      </c>
      <c r="G78" s="4244">
        <f>V78</f>
        <v>17184270</v>
      </c>
      <c r="H78" s="4245">
        <f>T78</f>
        <v>17186822</v>
      </c>
      <c r="I78" s="4707"/>
      <c r="J78" s="4246">
        <v>17175310</v>
      </c>
      <c r="K78" s="4237">
        <f t="shared" si="52"/>
        <v>-28921</v>
      </c>
      <c r="L78" s="4239">
        <f t="shared" si="53"/>
        <v>-1.6799158769970021E-3</v>
      </c>
      <c r="M78" s="4237">
        <f t="shared" si="54"/>
        <v>2552</v>
      </c>
      <c r="N78" s="4239">
        <f t="shared" si="55"/>
        <v>1.4850790868625784E-4</v>
      </c>
      <c r="O78" s="4237">
        <f t="shared" si="56"/>
        <v>11512</v>
      </c>
      <c r="P78" s="4239">
        <f t="shared" si="57"/>
        <v>6.7026446684222878E-4</v>
      </c>
      <c r="Q78" s="4104" t="str">
        <f t="shared" si="51"/>
        <v>表示（判定）</v>
      </c>
      <c r="S78" s="4391">
        <f>'3条支出'!$E$19-雨汚水!$E$85</f>
        <v>17186821953</v>
      </c>
      <c r="T78" s="4197">
        <f t="shared" ref="T78:T82" si="59">ROUND(S78/1000,0)+U78</f>
        <v>17186822</v>
      </c>
      <c r="U78" s="4197"/>
      <c r="V78" s="4197">
        <f t="shared" ref="V78:V79" si="60">SUM(W78:X78)</f>
        <v>17184270</v>
      </c>
      <c r="W78" s="4197"/>
      <c r="X78" s="4198">
        <v>17184270</v>
      </c>
      <c r="Y78" s="4198"/>
      <c r="Z78" s="4198" t="s">
        <v>7127</v>
      </c>
    </row>
    <row r="79" spans="1:26" s="4370" customFormat="1" ht="20.85" customHeight="1">
      <c r="A79" s="4386"/>
      <c r="B79" s="4392"/>
      <c r="C79" s="4393"/>
      <c r="D79" s="4389" t="s">
        <v>6924</v>
      </c>
      <c r="E79" s="4390"/>
      <c r="F79" s="4264">
        <v>261334</v>
      </c>
      <c r="G79" s="4244">
        <f>V79</f>
        <v>397581</v>
      </c>
      <c r="H79" s="4245">
        <f>T79</f>
        <v>383027</v>
      </c>
      <c r="I79" s="4707"/>
      <c r="J79" s="4246">
        <v>268248</v>
      </c>
      <c r="K79" s="4237">
        <f t="shared" si="52"/>
        <v>121693</v>
      </c>
      <c r="L79" s="4239">
        <f t="shared" si="53"/>
        <v>0.46566080188570946</v>
      </c>
      <c r="M79" s="4237">
        <f t="shared" si="54"/>
        <v>-14554</v>
      </c>
      <c r="N79" s="4239">
        <f t="shared" si="55"/>
        <v>-3.6606377065302419E-2</v>
      </c>
      <c r="O79" s="4237">
        <f t="shared" si="56"/>
        <v>114779</v>
      </c>
      <c r="P79" s="4239">
        <f t="shared" si="57"/>
        <v>0.42788389848200176</v>
      </c>
      <c r="Q79" s="4104" t="str">
        <f t="shared" si="51"/>
        <v>表示（判定）</v>
      </c>
      <c r="S79" s="4391">
        <f>減耗!$E$5-雨汚水!$E$86</f>
        <v>383027146</v>
      </c>
      <c r="T79" s="4197">
        <f t="shared" si="59"/>
        <v>383027</v>
      </c>
      <c r="U79" s="4212"/>
      <c r="V79" s="4197">
        <f t="shared" si="60"/>
        <v>397581</v>
      </c>
      <c r="W79" s="4197">
        <v>-10316</v>
      </c>
      <c r="X79" s="4198">
        <v>407897</v>
      </c>
      <c r="Y79" s="4198"/>
      <c r="Z79" s="4198" t="s">
        <v>7128</v>
      </c>
    </row>
    <row r="80" spans="1:26" s="4370" customFormat="1" ht="20.85" hidden="1" customHeight="1">
      <c r="A80" s="4386"/>
      <c r="B80" s="4392"/>
      <c r="C80" s="4393"/>
      <c r="D80" s="4389" t="s">
        <v>7003</v>
      </c>
      <c r="E80" s="4390"/>
      <c r="F80" s="4264">
        <v>0</v>
      </c>
      <c r="G80" s="4244">
        <f>V80</f>
        <v>0</v>
      </c>
      <c r="H80" s="4245">
        <f>T80</f>
        <v>0</v>
      </c>
      <c r="I80" s="4262"/>
      <c r="J80" s="4246">
        <v>0</v>
      </c>
      <c r="K80" s="4237" t="str">
        <f t="shared" si="52"/>
        <v xml:space="preserve">－ </v>
      </c>
      <c r="L80" s="4239" t="str">
        <f t="shared" si="53"/>
        <v xml:space="preserve">－ </v>
      </c>
      <c r="M80" s="4237" t="str">
        <f t="shared" si="54"/>
        <v xml:space="preserve">－ </v>
      </c>
      <c r="N80" s="4239" t="str">
        <f t="shared" si="55"/>
        <v xml:space="preserve">－ </v>
      </c>
      <c r="O80" s="4237" t="str">
        <f t="shared" si="56"/>
        <v xml:space="preserve">－ </v>
      </c>
      <c r="P80" s="4239" t="str">
        <f t="shared" si="57"/>
        <v xml:space="preserve">－ </v>
      </c>
      <c r="Q80" s="4104" t="str">
        <f t="shared" si="51"/>
        <v>×表示しない</v>
      </c>
      <c r="S80" s="4197">
        <f>'(繰)3条支出 '!G28-'(繰)3条収入'!G20</f>
        <v>0</v>
      </c>
      <c r="T80" s="4197">
        <f t="shared" si="59"/>
        <v>0</v>
      </c>
      <c r="U80" s="4197"/>
      <c r="V80" s="4197"/>
      <c r="W80" s="4197"/>
      <c r="X80" s="4198"/>
      <c r="Y80" s="4198"/>
      <c r="Z80" s="4198"/>
    </row>
    <row r="81" spans="1:26" s="4370" customFormat="1" ht="20.85" hidden="1" customHeight="1">
      <c r="A81" s="4386"/>
      <c r="B81" s="4392"/>
      <c r="C81" s="4393"/>
      <c r="D81" s="4389" t="s">
        <v>7004</v>
      </c>
      <c r="E81" s="4390"/>
      <c r="F81" s="4264">
        <v>0</v>
      </c>
      <c r="G81" s="4244">
        <f>V81</f>
        <v>0</v>
      </c>
      <c r="H81" s="4245">
        <f>T81</f>
        <v>-334</v>
      </c>
      <c r="I81" s="4262"/>
      <c r="J81" s="4246">
        <v>0</v>
      </c>
      <c r="K81" s="4237">
        <f t="shared" si="52"/>
        <v>-334</v>
      </c>
      <c r="L81" s="4239" t="e">
        <f t="shared" si="53"/>
        <v>#DIV/0!</v>
      </c>
      <c r="M81" s="4237">
        <f t="shared" si="54"/>
        <v>-334</v>
      </c>
      <c r="N81" s="4239" t="e">
        <f t="shared" si="55"/>
        <v>#DIV/0!</v>
      </c>
      <c r="O81" s="4237">
        <f t="shared" si="56"/>
        <v>-334</v>
      </c>
      <c r="P81" s="4239" t="e">
        <f t="shared" si="57"/>
        <v>#DIV/0!</v>
      </c>
      <c r="Q81" s="4104" t="str">
        <f t="shared" si="51"/>
        <v>×表示しない</v>
      </c>
      <c r="S81" s="4391">
        <f>-雨汚水!$E$93</f>
        <v>-334220</v>
      </c>
      <c r="T81" s="4197">
        <f t="shared" si="59"/>
        <v>-334</v>
      </c>
      <c r="U81" s="4197"/>
      <c r="V81" s="4197"/>
      <c r="W81" s="4197"/>
      <c r="X81" s="4198"/>
      <c r="Y81" s="4198"/>
      <c r="Z81" s="4198"/>
    </row>
    <row r="82" spans="1:26" s="4370" customFormat="1" ht="20.85" customHeight="1">
      <c r="A82" s="4386"/>
      <c r="B82" s="4392"/>
      <c r="C82" s="4393"/>
      <c r="D82" s="4389" t="s">
        <v>6930</v>
      </c>
      <c r="E82" s="4390"/>
      <c r="F82" s="4264">
        <v>0</v>
      </c>
      <c r="G82" s="4244">
        <f>V82</f>
        <v>0</v>
      </c>
      <c r="H82" s="4245">
        <f>T82</f>
        <v>10315</v>
      </c>
      <c r="I82" s="4707"/>
      <c r="J82" s="4246">
        <v>0</v>
      </c>
      <c r="K82" s="4237">
        <f t="shared" si="52"/>
        <v>10315</v>
      </c>
      <c r="L82" s="4239" t="str">
        <f t="shared" si="53"/>
        <v xml:space="preserve">皆増 </v>
      </c>
      <c r="M82" s="4237">
        <f t="shared" si="54"/>
        <v>10315</v>
      </c>
      <c r="N82" s="4239" t="str">
        <f t="shared" si="55"/>
        <v xml:space="preserve">皆増 </v>
      </c>
      <c r="O82" s="4237">
        <f t="shared" si="56"/>
        <v>10315</v>
      </c>
      <c r="P82" s="4239" t="str">
        <f t="shared" si="57"/>
        <v xml:space="preserve">皆増 </v>
      </c>
      <c r="Q82" s="4104" t="str">
        <f t="shared" si="51"/>
        <v>表示（判定）</v>
      </c>
      <c r="S82" s="4391">
        <f>雨汚水!$E$28</f>
        <v>10315355</v>
      </c>
      <c r="T82" s="4197">
        <f t="shared" si="59"/>
        <v>10315</v>
      </c>
      <c r="U82" s="4197"/>
      <c r="V82" s="4197"/>
      <c r="W82" s="4197"/>
      <c r="X82" s="4198"/>
      <c r="Y82" s="4198"/>
      <c r="Z82" s="4198"/>
    </row>
    <row r="83" spans="1:26" s="4370" customFormat="1" ht="20.85" hidden="1" customHeight="1">
      <c r="A83" s="4386"/>
      <c r="B83" s="4394"/>
      <c r="C83" s="4395"/>
      <c r="D83" s="4389" t="s">
        <v>7005</v>
      </c>
      <c r="E83" s="4390"/>
      <c r="F83" s="4264">
        <v>0</v>
      </c>
      <c r="G83" s="4261">
        <v>0</v>
      </c>
      <c r="H83" s="4255">
        <v>0</v>
      </c>
      <c r="I83" s="4696"/>
      <c r="J83" s="4246">
        <v>0</v>
      </c>
      <c r="K83" s="4237" t="str">
        <f t="shared" si="52"/>
        <v xml:space="preserve">－ </v>
      </c>
      <c r="L83" s="4239" t="str">
        <f t="shared" si="53"/>
        <v xml:space="preserve">－ </v>
      </c>
      <c r="M83" s="4237" t="str">
        <f t="shared" si="54"/>
        <v xml:space="preserve">－ </v>
      </c>
      <c r="N83" s="4239" t="str">
        <f t="shared" si="55"/>
        <v xml:space="preserve">－ </v>
      </c>
      <c r="O83" s="4237" t="str">
        <f t="shared" si="56"/>
        <v xml:space="preserve">－ </v>
      </c>
      <c r="P83" s="4239" t="str">
        <f t="shared" si="57"/>
        <v xml:space="preserve">－ </v>
      </c>
      <c r="Q83" s="4104" t="str">
        <f t="shared" si="51"/>
        <v>×表示しない</v>
      </c>
      <c r="S83" s="4197"/>
      <c r="T83" s="4197"/>
      <c r="U83" s="4197"/>
      <c r="V83" s="4197"/>
      <c r="W83" s="4197"/>
      <c r="X83" s="4198"/>
      <c r="Y83" s="4198"/>
      <c r="Z83" s="4198"/>
    </row>
    <row r="84" spans="1:26" s="4370" customFormat="1" ht="20.85" hidden="1" customHeight="1">
      <c r="A84" s="4386"/>
      <c r="B84" s="5152" t="s">
        <v>7006</v>
      </c>
      <c r="C84" s="5152"/>
      <c r="D84" s="5153"/>
      <c r="E84" s="4390"/>
      <c r="F84" s="4396"/>
      <c r="G84" s="4261"/>
      <c r="H84" s="4255"/>
      <c r="I84" s="4696"/>
      <c r="J84" s="4246"/>
      <c r="K84" s="4237" t="str">
        <f t="shared" si="52"/>
        <v xml:space="preserve">－ </v>
      </c>
      <c r="L84" s="4239" t="str">
        <f t="shared" si="53"/>
        <v xml:space="preserve">－ </v>
      </c>
      <c r="M84" s="4237" t="str">
        <f t="shared" si="54"/>
        <v xml:space="preserve">－ </v>
      </c>
      <c r="N84" s="4239" t="str">
        <f t="shared" si="55"/>
        <v xml:space="preserve">－ </v>
      </c>
      <c r="O84" s="4237" t="str">
        <f t="shared" si="56"/>
        <v xml:space="preserve">－ </v>
      </c>
      <c r="P84" s="4239" t="str">
        <f t="shared" si="57"/>
        <v xml:space="preserve">－ </v>
      </c>
      <c r="Q84" s="4104" t="str">
        <f t="shared" si="51"/>
        <v>×表示しない</v>
      </c>
      <c r="S84" s="4197"/>
      <c r="T84" s="4197"/>
      <c r="U84" s="4197"/>
      <c r="V84" s="4197"/>
      <c r="W84" s="4197"/>
      <c r="X84" s="4198"/>
      <c r="Y84" s="4198"/>
      <c r="Z84" s="4198"/>
    </row>
    <row r="85" spans="1:26" s="4370" customFormat="1" ht="20.85" customHeight="1">
      <c r="A85" s="4386"/>
      <c r="B85" s="5154" t="s">
        <v>7007</v>
      </c>
      <c r="C85" s="5154"/>
      <c r="D85" s="5155"/>
      <c r="E85" s="4397"/>
      <c r="F85" s="4398">
        <v>902218</v>
      </c>
      <c r="G85" s="4244">
        <f>V85</f>
        <v>967482</v>
      </c>
      <c r="H85" s="4245">
        <f>T85</f>
        <v>923596</v>
      </c>
      <c r="I85" s="4708"/>
      <c r="J85" s="4267">
        <v>769660</v>
      </c>
      <c r="K85" s="4237">
        <f t="shared" si="52"/>
        <v>21378</v>
      </c>
      <c r="L85" s="4239">
        <f t="shared" si="53"/>
        <v>2.369493847385E-2</v>
      </c>
      <c r="M85" s="4237">
        <f t="shared" si="54"/>
        <v>-43886</v>
      </c>
      <c r="N85" s="4239">
        <f t="shared" si="55"/>
        <v>-4.536105064486988E-2</v>
      </c>
      <c r="O85" s="4237">
        <f t="shared" si="56"/>
        <v>153936</v>
      </c>
      <c r="P85" s="4239">
        <f t="shared" si="57"/>
        <v>0.20000519710001818</v>
      </c>
      <c r="Q85" s="4104" t="str">
        <f t="shared" si="51"/>
        <v>表示（判定）</v>
      </c>
      <c r="S85" s="4197">
        <f>'(繰)案'!E33</f>
        <v>923595698</v>
      </c>
      <c r="T85" s="4197">
        <f t="shared" ref="T85:T87" si="61">ROUND(S85/1000,0)+U85</f>
        <v>923596</v>
      </c>
      <c r="U85" s="4197"/>
      <c r="V85" s="4197">
        <f t="shared" ref="V85:V86" si="62">SUM(W85:X85)</f>
        <v>967482</v>
      </c>
      <c r="W85" s="4197"/>
      <c r="X85" s="4198">
        <v>967482</v>
      </c>
      <c r="Y85" s="4198"/>
      <c r="Z85" s="4198" t="s">
        <v>7129</v>
      </c>
    </row>
    <row r="86" spans="1:26" s="4370" customFormat="1" ht="20.85" customHeight="1">
      <c r="A86" s="4386"/>
      <c r="B86" s="5156" t="s">
        <v>7008</v>
      </c>
      <c r="C86" s="5157"/>
      <c r="D86" s="5158"/>
      <c r="E86" s="4397"/>
      <c r="F86" s="4398">
        <v>1049566</v>
      </c>
      <c r="G86" s="4244">
        <f>V86</f>
        <v>1049566</v>
      </c>
      <c r="H86" s="4245">
        <f>T86</f>
        <v>1049566</v>
      </c>
      <c r="I86" s="4708"/>
      <c r="J86" s="4267">
        <v>1198605</v>
      </c>
      <c r="K86" s="4399">
        <f t="shared" si="52"/>
        <v>0</v>
      </c>
      <c r="L86" s="4251">
        <f t="shared" si="53"/>
        <v>0</v>
      </c>
      <c r="M86" s="4399">
        <f t="shared" si="54"/>
        <v>0</v>
      </c>
      <c r="N86" s="4251">
        <f t="shared" si="55"/>
        <v>0</v>
      </c>
      <c r="O86" s="4399">
        <f t="shared" si="56"/>
        <v>-149039</v>
      </c>
      <c r="P86" s="4251">
        <f t="shared" si="57"/>
        <v>-0.12434371623679194</v>
      </c>
      <c r="Q86" s="4104" t="str">
        <f t="shared" si="51"/>
        <v>表示（判定）</v>
      </c>
      <c r="S86" s="4197">
        <f>'(繰)案'!E34</f>
        <v>1049566207</v>
      </c>
      <c r="T86" s="4197">
        <f t="shared" si="61"/>
        <v>1049566</v>
      </c>
      <c r="U86" s="4197"/>
      <c r="V86" s="4197">
        <f t="shared" si="62"/>
        <v>1049566</v>
      </c>
      <c r="W86" s="4197"/>
      <c r="X86" s="4198">
        <v>1049566</v>
      </c>
      <c r="Y86" s="4198"/>
      <c r="Z86" s="4198" t="s">
        <v>7130</v>
      </c>
    </row>
    <row r="87" spans="1:26" s="4370" customFormat="1" ht="20.85" customHeight="1" thickBot="1">
      <c r="A87" s="4400"/>
      <c r="B87" s="5145" t="s">
        <v>7009</v>
      </c>
      <c r="C87" s="5145"/>
      <c r="D87" s="5146"/>
      <c r="E87" s="4401">
        <v>0</v>
      </c>
      <c r="F87" s="4270">
        <v>0</v>
      </c>
      <c r="G87" s="4347">
        <f>V87</f>
        <v>0</v>
      </c>
      <c r="H87" s="4348">
        <f>T87</f>
        <v>56815</v>
      </c>
      <c r="I87" s="4714"/>
      <c r="J87" s="4273">
        <v>2352</v>
      </c>
      <c r="K87" s="4274">
        <f t="shared" si="52"/>
        <v>56815</v>
      </c>
      <c r="L87" s="4276" t="str">
        <f t="shared" si="53"/>
        <v xml:space="preserve">皆増 </v>
      </c>
      <c r="M87" s="4274">
        <f t="shared" si="54"/>
        <v>56815</v>
      </c>
      <c r="N87" s="4276" t="str">
        <f t="shared" si="55"/>
        <v xml:space="preserve">皆増 </v>
      </c>
      <c r="O87" s="4274">
        <f t="shared" si="56"/>
        <v>54463</v>
      </c>
      <c r="P87" s="4276">
        <f t="shared" si="57"/>
        <v>23.156037414965986</v>
      </c>
      <c r="Q87" s="4104" t="str">
        <f t="shared" si="51"/>
        <v>表示（判定）</v>
      </c>
      <c r="S87" s="4197">
        <f>'(繰)案'!E35</f>
        <v>56814914</v>
      </c>
      <c r="T87" s="4197">
        <f t="shared" si="61"/>
        <v>56815</v>
      </c>
      <c r="U87" s="4197"/>
      <c r="V87" s="4197"/>
      <c r="W87" s="4197"/>
      <c r="X87" s="4198"/>
      <c r="Y87" s="4198"/>
      <c r="Z87" s="4198"/>
    </row>
    <row r="88" spans="1:26" ht="12.75" thickBot="1">
      <c r="A88" s="4291"/>
      <c r="B88" s="4291"/>
      <c r="C88" s="4291"/>
      <c r="D88" s="4291"/>
      <c r="F88" s="4057"/>
      <c r="G88" s="4057"/>
      <c r="H88" s="4292"/>
      <c r="I88" s="4711"/>
      <c r="J88" s="4057"/>
      <c r="K88" s="4375"/>
      <c r="L88" s="4376"/>
      <c r="M88" s="4375"/>
      <c r="N88" s="4376"/>
      <c r="O88" s="4375"/>
      <c r="P88" s="4376"/>
      <c r="Q88" s="4104" t="s">
        <v>7098</v>
      </c>
      <c r="S88" s="4197" t="s">
        <v>6938</v>
      </c>
      <c r="T88" s="4197">
        <f>SUM(T78:T87)</f>
        <v>19609807</v>
      </c>
    </row>
    <row r="89" spans="1:26" s="4370" customFormat="1" ht="20.85" customHeight="1">
      <c r="A89" s="4402"/>
      <c r="B89" s="4402"/>
      <c r="C89" s="4402"/>
      <c r="D89" s="4403" t="s">
        <v>7010</v>
      </c>
      <c r="E89" s="4404"/>
      <c r="F89" s="4325">
        <f>ROUND('(繰)3条支出 '!D4/1000,0)+'４条（みなし）'!F44</f>
        <v>106009210</v>
      </c>
      <c r="G89" s="4326">
        <f>'3条税込'!G36+'４条（みなし）'!G44</f>
        <v>104881156</v>
      </c>
      <c r="H89" s="4327">
        <f>ROUND('(繰)3条支出 '!G4/1000,0)+'４条（みなし）'!H44</f>
        <v>104496568</v>
      </c>
      <c r="I89" s="4712"/>
      <c r="J89" s="4405">
        <v>104358360</v>
      </c>
      <c r="K89" s="4329">
        <f t="shared" ref="K89:K90" si="63">IF(AND(F89=0,$H89=0),"－ ",$H89-F89)</f>
        <v>-1512642</v>
      </c>
      <c r="L89" s="4331">
        <f t="shared" ref="L89:L90" si="64">IF(AND(F89=0,$H89&gt;0),"皆増 ",IF(AND(F89&gt;0,$H89=0),"皆減 ",IF(AND(F89=0,$H89=0),"－ ",K89/F89)))</f>
        <v>-1.426896776232933E-2</v>
      </c>
      <c r="M89" s="4329">
        <f t="shared" ref="M89:M90" si="65">IF(AND(G89=0,$H89=0),"－ ",$H89-G89)</f>
        <v>-384588</v>
      </c>
      <c r="N89" s="4331">
        <f t="shared" ref="N89:N90" si="66">IF(AND(G89=0,$H89&gt;0),"皆増 ",IF(AND(G89&gt;0,$H89=0),"皆減 ",IF(AND(G89=0,$H89=0),"－ ",M89/G89)))</f>
        <v>-3.6668932215049195E-3</v>
      </c>
      <c r="O89" s="4329">
        <f t="shared" ref="O89:O90" si="67">IF(AND(J89=0,$H89=0),"－ ",$H89-J89)</f>
        <v>138208</v>
      </c>
      <c r="P89" s="4331">
        <f t="shared" ref="P89:P90" si="68">IF(AND(J89=0,$H89&gt;0),"皆増 ",IF(AND(J89&gt;0,$H89=0),"皆減 ",IF(AND(J89=0,$H89=0),"－ ",O89/J89)))</f>
        <v>1.3243596392277532E-3</v>
      </c>
      <c r="Q89" s="4104" t="str">
        <f t="shared" si="51"/>
        <v>表示（判定）</v>
      </c>
      <c r="S89" s="4197"/>
      <c r="T89" s="4197"/>
      <c r="U89" s="4197"/>
      <c r="V89" s="4197"/>
      <c r="W89" s="4197"/>
      <c r="X89" s="4198"/>
      <c r="Y89" s="4198"/>
      <c r="Z89" s="4198"/>
    </row>
    <row r="90" spans="1:26" s="4370" customFormat="1" ht="20.85" customHeight="1" thickBot="1">
      <c r="A90" s="4402"/>
      <c r="B90" s="4402"/>
      <c r="C90" s="4402"/>
      <c r="D90" s="4406" t="s">
        <v>7011</v>
      </c>
      <c r="E90" s="4407"/>
      <c r="F90" s="4408">
        <f>'３条 税抜'!F33+'４条（みなし）'!F38</f>
        <v>17495336</v>
      </c>
      <c r="G90" s="4409">
        <f>'３条 税抜'!G33+'４条（みなし）'!G38</f>
        <v>17338938</v>
      </c>
      <c r="H90" s="4410">
        <f>'３条 税抜'!H33+'４条（みなし）'!H38</f>
        <v>17481811</v>
      </c>
      <c r="I90" s="4716"/>
      <c r="J90" s="4411">
        <f>'３条 税抜'!I33+'４条（みなし）'!J38</f>
        <v>18458499</v>
      </c>
      <c r="K90" s="4412">
        <f t="shared" si="63"/>
        <v>-13525</v>
      </c>
      <c r="L90" s="4413">
        <f t="shared" si="64"/>
        <v>-7.730631752371032E-4</v>
      </c>
      <c r="M90" s="4412">
        <f t="shared" si="65"/>
        <v>142873</v>
      </c>
      <c r="N90" s="4413">
        <f t="shared" si="66"/>
        <v>8.2400087018016897E-3</v>
      </c>
      <c r="O90" s="4412">
        <f t="shared" si="67"/>
        <v>-976688</v>
      </c>
      <c r="P90" s="4413">
        <f t="shared" si="68"/>
        <v>-5.2912644738881534E-2</v>
      </c>
      <c r="Q90" s="4104" t="str">
        <f t="shared" si="51"/>
        <v>表示（判定）</v>
      </c>
      <c r="S90" s="4197"/>
      <c r="T90" s="4197"/>
      <c r="U90" s="4197"/>
      <c r="V90" s="4197"/>
      <c r="W90" s="4197"/>
      <c r="X90" s="4198"/>
      <c r="Y90" s="4198"/>
      <c r="Z90" s="4198"/>
    </row>
  </sheetData>
  <autoFilter ref="A6:Z90">
    <filterColumn colId="16">
      <filters>
        <filter val="表示"/>
        <filter val="表示（判定）"/>
      </filters>
    </filterColumn>
  </autoFilter>
  <mergeCells count="48">
    <mergeCell ref="B87:D87"/>
    <mergeCell ref="A74:D74"/>
    <mergeCell ref="A76:D76"/>
    <mergeCell ref="B77:D77"/>
    <mergeCell ref="B84:D84"/>
    <mergeCell ref="B85:D85"/>
    <mergeCell ref="B86:D86"/>
    <mergeCell ref="A73:D73"/>
    <mergeCell ref="C58:D58"/>
    <mergeCell ref="C59:D59"/>
    <mergeCell ref="C60:D60"/>
    <mergeCell ref="C61:D61"/>
    <mergeCell ref="B62:D62"/>
    <mergeCell ref="B63:D63"/>
    <mergeCell ref="C64:D64"/>
    <mergeCell ref="C68:D68"/>
    <mergeCell ref="B69:D69"/>
    <mergeCell ref="B70:D70"/>
    <mergeCell ref="A72:D72"/>
    <mergeCell ref="C57:D57"/>
    <mergeCell ref="A44:D44"/>
    <mergeCell ref="B45:D45"/>
    <mergeCell ref="C46:D46"/>
    <mergeCell ref="C55:D55"/>
    <mergeCell ref="C56:D56"/>
    <mergeCell ref="C30:D30"/>
    <mergeCell ref="C31:D31"/>
    <mergeCell ref="B35:D35"/>
    <mergeCell ref="B36:D36"/>
    <mergeCell ref="A38:D38"/>
    <mergeCell ref="C29:D29"/>
    <mergeCell ref="C18:D18"/>
    <mergeCell ref="B19:D19"/>
    <mergeCell ref="B20:D20"/>
    <mergeCell ref="B21:D21"/>
    <mergeCell ref="B22:D22"/>
    <mergeCell ref="B23:D23"/>
    <mergeCell ref="C24:D24"/>
    <mergeCell ref="C25:D25"/>
    <mergeCell ref="C26:D26"/>
    <mergeCell ref="C27:D27"/>
    <mergeCell ref="B28:D28"/>
    <mergeCell ref="A5:D5"/>
    <mergeCell ref="O3:P3"/>
    <mergeCell ref="C17:D17"/>
    <mergeCell ref="A7:D7"/>
    <mergeCell ref="B8:D8"/>
    <mergeCell ref="C9:D9"/>
  </mergeCells>
  <phoneticPr fontId="3"/>
  <printOptions horizontalCentered="1"/>
  <pageMargins left="0.70866141732283472" right="0" top="0.51181102362204722"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w8_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X91"/>
  <sheetViews>
    <sheetView showGridLines="0" view="pageBreakPreview" zoomScale="115" zoomScaleNormal="85" zoomScaleSheetLayoutView="115" workbookViewId="0">
      <pane xSplit="5" ySplit="6" topLeftCell="F7"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customWidth="1" style="3617"/>
    <col min="4" max="4" width="26" customWidth="1" style="3617"/>
    <col min="5" max="5" width="12" hidden="1" customWidth="1" outlineLevel="1" style="3617"/>
    <col min="6" max="6" width="12.375" customWidth="1" collapsed="1" style="3617"/>
    <col min="7" max="10" width="12.375" customWidth="1" style="3617"/>
    <col min="11" max="11" width="9.5" customWidth="1" style="3617"/>
    <col min="12" max="12" width="6" customWidth="1" style="3617"/>
    <col min="13" max="13" width="9.5" customWidth="1" style="3617"/>
    <col min="14" max="14" width="6" customWidth="1" style="3617"/>
    <col min="15" max="15" width="9.5" customWidth="1" style="3617"/>
    <col min="16" max="16" width="6" customWidth="1" style="3617"/>
    <col min="17" max="17" width="7.375" customWidth="1" outlineLevel="1" style="3617"/>
    <col min="18" max="18" width="15" customWidth="1" style="3617"/>
    <col min="19" max="19" width="20.5" bestFit="1" customWidth="1" style="3617"/>
    <col min="20" max="20" width="15.5" bestFit="1" customWidth="1" style="3617"/>
    <col min="22" max="22" width="9.125" bestFit="1" customWidth="1" style="3617"/>
    <col min="23" max="23" width="13.25" bestFit="1" customWidth="1" style="3617"/>
    <col min="24" max="24" width="13.875" bestFit="1" customWidth="1" style="3617"/>
  </cols>
  <sheetData>
    <row r="1" spans="1:21" s="4195" customFormat="1" ht="20.25" customHeight="1">
      <c r="A1" s="4194" t="str">
        <f>+CONCATENATE("令和",+DBCS(MID(F5,2,1)),"年度決算　資本的収支（税込）（実決算）")</f>
        <v>令和５年度決算　資本的収支（税込）（実決算）</v>
      </c>
      <c r="F1" s="4602"/>
      <c r="G1" s="4602"/>
      <c r="H1" s="4602"/>
      <c r="I1" s="4602"/>
      <c r="J1" s="4602"/>
      <c r="P1" s="4817" t="str">
        <f>総括表!$K$1</f>
        <v>令和6年5月22日</v>
      </c>
      <c r="R1" s="4603"/>
      <c r="S1" s="4603"/>
    </row>
    <row r="2" spans="1:21" s="4195" customFormat="1" ht="20.25" hidden="1" customHeight="1" outlineLevel="1">
      <c r="F2" s="4602"/>
      <c r="G2" s="4602"/>
      <c r="H2" s="4602"/>
      <c r="I2" s="4602"/>
      <c r="J2" s="4602"/>
      <c r="R2" s="4603"/>
      <c r="S2" s="4603"/>
    </row>
    <row r="3" spans="1:21" s="4195" customFormat="1" ht="20.25" customHeight="1" collapsed="1" thickBot="1">
      <c r="A3" s="4199" t="s">
        <v>6879</v>
      </c>
      <c r="B3" s="4055"/>
      <c r="C3" s="4055"/>
      <c r="D3" s="4055"/>
      <c r="E3" s="4055"/>
      <c r="F3" s="4604"/>
      <c r="G3" s="4604"/>
      <c r="H3" s="4605"/>
      <c r="I3" s="4605"/>
      <c r="J3" s="4605"/>
      <c r="K3" s="5159"/>
      <c r="L3" s="5159"/>
      <c r="M3" s="5159"/>
      <c r="N3" s="5159"/>
      <c r="O3" s="5159" t="s">
        <v>6880</v>
      </c>
      <c r="P3" s="5159"/>
      <c r="Q3" s="4576"/>
      <c r="R3" s="4603"/>
      <c r="S3" s="4603"/>
    </row>
    <row r="4" spans="1:21" s="4195" customFormat="1" ht="12.75" thickBot="1">
      <c r="A4" s="4061"/>
      <c r="B4" s="4062"/>
      <c r="C4" s="4062"/>
      <c r="D4" s="4063"/>
      <c r="E4" s="4064"/>
      <c r="F4" s="4065"/>
      <c r="G4" s="4623"/>
      <c r="H4" s="4623"/>
      <c r="I4" s="4623"/>
      <c r="J4" s="4066"/>
      <c r="K4" s="4069" t="s">
        <v>7078</v>
      </c>
      <c r="L4" s="4068"/>
      <c r="M4" s="4622"/>
      <c r="N4" s="4068"/>
      <c r="O4" s="4069"/>
      <c r="P4" s="4070"/>
      <c r="Q4" s="4625"/>
      <c r="R4" s="4626"/>
      <c r="S4" s="4603"/>
    </row>
    <row r="5" spans="1:21" s="4195" customFormat="1" ht="24">
      <c r="A5" s="5074" t="s">
        <v>7088</v>
      </c>
      <c r="B5" s="5075"/>
      <c r="C5" s="5075"/>
      <c r="D5" s="5076"/>
      <c r="E5" s="4073" t="s">
        <v>6883</v>
      </c>
      <c r="F5" s="4074" t="s">
        <v>7086</v>
      </c>
      <c r="G5" s="4077" t="s">
        <v>7084</v>
      </c>
      <c r="H5" s="4077" t="s">
        <v>7085</v>
      </c>
      <c r="I5" s="4077" t="s">
        <v>7204</v>
      </c>
      <c r="J5" s="4075" t="s">
        <v>7087</v>
      </c>
      <c r="K5" s="4818" t="s">
        <v>7082</v>
      </c>
      <c r="L5" s="4819"/>
      <c r="M5" s="4820" t="s">
        <v>7200</v>
      </c>
      <c r="N5" s="4819"/>
      <c r="O5" s="4818" t="s">
        <v>7080</v>
      </c>
      <c r="P5" s="4821"/>
      <c r="Q5" s="4625"/>
      <c r="R5" s="4627" t="s">
        <v>7013</v>
      </c>
      <c r="S5" s="4603"/>
    </row>
    <row r="6" spans="1:21" s="4195" customFormat="1" ht="12">
      <c r="A6" s="4082"/>
      <c r="B6" s="4083"/>
      <c r="C6" s="4083"/>
      <c r="D6" s="4084"/>
      <c r="E6" s="4085"/>
      <c r="F6" s="4086" t="s">
        <v>7074</v>
      </c>
      <c r="G6" s="4089" t="s">
        <v>7075</v>
      </c>
      <c r="H6" s="4089" t="s">
        <v>7076</v>
      </c>
      <c r="I6" s="4089" t="s">
        <v>7196</v>
      </c>
      <c r="J6" s="4087" t="s">
        <v>7077</v>
      </c>
      <c r="K6" s="4092" t="s">
        <v>7198</v>
      </c>
      <c r="L6" s="4091" t="s">
        <v>6885</v>
      </c>
      <c r="M6" s="4090" t="s">
        <v>7201</v>
      </c>
      <c r="N6" s="4091" t="s">
        <v>6885</v>
      </c>
      <c r="O6" s="4092" t="s">
        <v>7202</v>
      </c>
      <c r="P6" s="4093" t="s">
        <v>6885</v>
      </c>
      <c r="Q6" s="4620"/>
      <c r="R6" s="4628"/>
      <c r="S6" s="4603"/>
      <c r="U6" s="4094" t="s">
        <v>6939</v>
      </c>
    </row>
    <row r="7" spans="1:21" s="4195" customFormat="1" ht="20.25" customHeight="1">
      <c r="A7" s="5109" t="s">
        <v>6944</v>
      </c>
      <c r="B7" s="5110"/>
      <c r="C7" s="5110"/>
      <c r="D7" s="5111"/>
      <c r="E7" s="4213">
        <f t="shared" ref="E7:J7" si="0">SUM(E8,E19:E23,E28,E35,E36)</f>
        <v>0</v>
      </c>
      <c r="F7" s="4757">
        <f t="shared" si="0"/>
        <v>51048450</v>
      </c>
      <c r="G7" s="4758">
        <f t="shared" si="0"/>
        <v>50593733</v>
      </c>
      <c r="H7" s="4758">
        <f t="shared" si="0"/>
        <v>42025205</v>
      </c>
      <c r="I7" s="4758">
        <f t="shared" si="0"/>
        <v>8639285.7390000001</v>
      </c>
      <c r="J7" s="4759">
        <f t="shared" si="0"/>
        <v>40554721</v>
      </c>
      <c r="K7" s="4744">
        <f>IF(AND(F7=0,$H7+$I7=0),"－ ",$H7+$I7-F7)</f>
        <v>-383959.26099999994</v>
      </c>
      <c r="L7" s="4219">
        <f>IF(AND(F7=0,$H7+$I7&gt;0),"皆増 ",IF(AND(F7&gt;0,$H7+$I7=0),"皆減 ",IF(AND(F7=0,$H7+$I7=0),"－ ",K7/F7)))</f>
        <v>-7.5214675665960466E-3</v>
      </c>
      <c r="M7" s="4744">
        <f>IF(AND(G7=0,$H7+$I7=0),"－ ",$H7+$I7-G7)</f>
        <v>70757.73900000006</v>
      </c>
      <c r="N7" s="4219">
        <f>IF(AND(F7=0,$H7+$I7&gt;0),"皆増 ",IF(AND(F7&gt;0,$H7+$I7=0),"皆減 ",IF(AND(F7=0,$H7+$I7=0),"－ ",M7/F7)))</f>
        <v>1.386089861690219E-3</v>
      </c>
      <c r="O7" s="4744">
        <f t="shared" ref="O7" si="1">IF(AND(J7=0,$H7=0),"－ ",$H7-J7)</f>
        <v>1470484</v>
      </c>
      <c r="P7" s="4220">
        <f>IF(AND(J7=0,$H7&gt;0),"皆増 ",IF(AND(J7&gt;0,$H7=0),"皆減 ",IF(AND(J7=0,$H7=0),"－ ",O7/J7)))</f>
        <v>3.6259255734985826E-2</v>
      </c>
      <c r="Q7" s="4104" t="str">
        <f t="shared" ref="Q7:Q38" si="2">IF(OR(F7&gt;0,G7&gt;0,H7&gt;0,I7&gt;0,J7&gt;0),"表示（判定）","×表示しない")</f>
        <v>表示（判定）</v>
      </c>
      <c r="R7" s="4603"/>
      <c r="S7" s="4603">
        <f>IF('(繰)4条収入'!I5=SUM(S10:S36),'(繰)4条収入'!I5,"エラー")</f>
        <v>42025205141</v>
      </c>
      <c r="T7" s="4603">
        <f>ROUND(S7/1000,0)+U7</f>
        <v>42025205</v>
      </c>
    </row>
    <row r="8" spans="1:21" s="4195" customFormat="1" ht="20.25" customHeight="1">
      <c r="A8" s="4221"/>
      <c r="B8" s="5112" t="s">
        <v>6945</v>
      </c>
      <c r="C8" s="5112"/>
      <c r="D8" s="5113"/>
      <c r="E8" s="4222">
        <f>SUM(E9,E18)</f>
        <v>0</v>
      </c>
      <c r="F8" s="4760">
        <f>SUM(F9,F17,F18)</f>
        <v>37752600</v>
      </c>
      <c r="G8" s="4761">
        <f>SUM(G9,G17,G18)</f>
        <v>37600100</v>
      </c>
      <c r="H8" s="4761">
        <f>SUM(H9,H17,H18)</f>
        <v>32373300</v>
      </c>
      <c r="I8" s="4761">
        <f>SUM(I9,I17,I18)</f>
        <v>5226800</v>
      </c>
      <c r="J8" s="4762">
        <f>SUM(J9,J17,J18)</f>
        <v>30054100</v>
      </c>
      <c r="K8" s="4745">
        <f t="shared" ref="K8:K36" si="3">IF(AND(F8=0,$H8+$I8=0),"－ ",$H8+$I8-F8)</f>
        <v>-152500</v>
      </c>
      <c r="L8" s="4228">
        <f t="shared" ref="L8:L36" si="4">IF(AND(F8=0,$H8+$I8&gt;0),"皆増 ",IF(AND(F8&gt;0,$H8+$I8=0),"皆減 ",IF(AND(F8=0,$H8+$I8=0),"－ ",K8/F8)))</f>
        <v>-4.0394568850887092E-3</v>
      </c>
      <c r="M8" s="4745">
        <f t="shared" ref="M8:M36" si="5">IF(AND(G8=0,$H8+$I8=0),"－ ",$H8+$I8-G8)</f>
        <v>0</v>
      </c>
      <c r="N8" s="4228">
        <f t="shared" ref="N8:N36" si="6">IF(AND(F8=0,$H8+$I8&gt;0),"皆増 ",IF(AND(F8&gt;0,$H8+$I8=0),"皆減 ",IF(AND(F8=0,$H8+$I8=0),"－ ",M8/F8)))</f>
        <v>0</v>
      </c>
      <c r="O8" s="4745">
        <f t="shared" ref="O8:O36" si="7">IF(AND(J8=0,$H8=0),"－ ",$H8-J8)</f>
        <v>2319200</v>
      </c>
      <c r="P8" s="4230">
        <f t="shared" ref="P8:P36" si="8">IF(AND(J8=0,$H8&gt;0),"皆増 ",IF(AND(J8&gt;0,$H8=0),"皆減 ",IF(AND(J8=0,$H8=0),"－ ",O8/J8)))</f>
        <v>7.7167507927370968E-2</v>
      </c>
      <c r="Q8" s="4621" t="str">
        <f t="shared" si="2"/>
        <v>表示（判定）</v>
      </c>
      <c r="R8" s="4603"/>
      <c r="S8" s="4603"/>
    </row>
    <row r="9" spans="1:21" s="4195" customFormat="1" ht="20.25" customHeight="1">
      <c r="A9" s="4221"/>
      <c r="B9" s="4231"/>
      <c r="C9" s="5114" t="s">
        <v>6946</v>
      </c>
      <c r="D9" s="5115"/>
      <c r="E9" s="4232">
        <f t="shared" ref="E9:J9" si="9">SUM(E10:E16)</f>
        <v>0</v>
      </c>
      <c r="F9" s="4763">
        <f t="shared" si="9"/>
        <v>20741800</v>
      </c>
      <c r="G9" s="4764">
        <f t="shared" si="9"/>
        <v>20592400</v>
      </c>
      <c r="H9" s="4764">
        <f t="shared" si="9"/>
        <v>15365600</v>
      </c>
      <c r="I9" s="4764">
        <f t="shared" si="9"/>
        <v>5226800</v>
      </c>
      <c r="J9" s="4765">
        <f t="shared" si="9"/>
        <v>13720600</v>
      </c>
      <c r="K9" s="4746">
        <f t="shared" si="3"/>
        <v>-149400</v>
      </c>
      <c r="L9" s="4238">
        <f t="shared" si="4"/>
        <v>-7.2028464260575267E-3</v>
      </c>
      <c r="M9" s="4746">
        <f t="shared" si="5"/>
        <v>0</v>
      </c>
      <c r="N9" s="4238">
        <f t="shared" si="6"/>
        <v>0</v>
      </c>
      <c r="O9" s="4746">
        <f t="shared" si="7"/>
        <v>1645000</v>
      </c>
      <c r="P9" s="4239">
        <f t="shared" si="8"/>
        <v>0.11989271606197979</v>
      </c>
      <c r="Q9" s="4621" t="str">
        <f t="shared" si="2"/>
        <v>表示（判定）</v>
      </c>
      <c r="R9" s="4603"/>
      <c r="S9" s="4603"/>
    </row>
    <row r="10" spans="1:21" s="4195" customFormat="1" ht="20.25" customHeight="1">
      <c r="A10" s="4221"/>
      <c r="B10" s="4240"/>
      <c r="C10" s="4231"/>
      <c r="D10" s="4575" t="s">
        <v>6947</v>
      </c>
      <c r="E10" s="4242"/>
      <c r="F10" s="4766">
        <f>ROUND('(繰)4条収入'!D7/1000,0)+R10</f>
        <v>13957900</v>
      </c>
      <c r="G10" s="4767">
        <f>'４条（みなし）'!G10+R10</f>
        <v>13957900</v>
      </c>
      <c r="H10" s="4768">
        <f>T10</f>
        <v>8822500</v>
      </c>
      <c r="I10" s="4768">
        <f>'(繰)4条収入'!L7/1000</f>
        <v>5135400</v>
      </c>
      <c r="J10" s="4769">
        <v>7346100</v>
      </c>
      <c r="K10" s="4746">
        <f t="shared" si="3"/>
        <v>0</v>
      </c>
      <c r="L10" s="4238">
        <f t="shared" si="4"/>
        <v>0</v>
      </c>
      <c r="M10" s="4746">
        <f t="shared" si="5"/>
        <v>0</v>
      </c>
      <c r="N10" s="4238">
        <f t="shared" si="6"/>
        <v>0</v>
      </c>
      <c r="O10" s="4746">
        <f t="shared" si="7"/>
        <v>1476400</v>
      </c>
      <c r="P10" s="4239">
        <f t="shared" si="8"/>
        <v>0.20097738936306339</v>
      </c>
      <c r="Q10" s="4621" t="str">
        <f t="shared" si="2"/>
        <v>表示（判定）</v>
      </c>
      <c r="R10" s="4608">
        <f>'(繰)4条収入'!J7/1000</f>
        <v>4973100</v>
      </c>
      <c r="S10" s="4603">
        <f>'(繰)4条収入'!I7</f>
        <v>8822500000</v>
      </c>
      <c r="T10" s="4603">
        <f>ROUND(S10/1000,0)+U10</f>
        <v>8822500</v>
      </c>
    </row>
    <row r="11" spans="1:21" s="4195" customFormat="1" ht="20.25" customHeight="1">
      <c r="A11" s="4221"/>
      <c r="B11" s="4240"/>
      <c r="C11" s="4240"/>
      <c r="D11" s="4575" t="s">
        <v>6948</v>
      </c>
      <c r="E11" s="4247"/>
      <c r="F11" s="4766">
        <f>ROUND('(繰)4条収入'!D9/1000,0)</f>
        <v>160100</v>
      </c>
      <c r="G11" s="4767">
        <f>'４条（みなし）'!G11+R11</f>
        <v>120200</v>
      </c>
      <c r="H11" s="4768">
        <f t="shared" ref="H11:H15" si="10">T11</f>
        <v>120200</v>
      </c>
      <c r="I11" s="4768"/>
      <c r="J11" s="4769">
        <v>83200</v>
      </c>
      <c r="K11" s="4746">
        <f t="shared" si="3"/>
        <v>-39900</v>
      </c>
      <c r="L11" s="4238">
        <f t="shared" si="4"/>
        <v>-0.24921923797626483</v>
      </c>
      <c r="M11" s="4746">
        <f t="shared" si="5"/>
        <v>0</v>
      </c>
      <c r="N11" s="4238">
        <f t="shared" si="6"/>
        <v>0</v>
      </c>
      <c r="O11" s="4746">
        <f t="shared" si="7"/>
        <v>37000</v>
      </c>
      <c r="P11" s="4239">
        <f t="shared" si="8"/>
        <v>0.44471153846153844</v>
      </c>
      <c r="Q11" s="4621" t="str">
        <f t="shared" si="2"/>
        <v>表示（判定）</v>
      </c>
      <c r="R11" s="4603"/>
      <c r="S11" s="4603">
        <f>'(繰)4条収入'!I9</f>
        <v>120200000</v>
      </c>
      <c r="T11" s="4603">
        <f t="shared" ref="T11:T15" si="11">ROUND(S11/1000,0)+U11</f>
        <v>120200</v>
      </c>
    </row>
    <row r="12" spans="1:21" s="4195" customFormat="1" ht="20.25" customHeight="1">
      <c r="A12" s="4221"/>
      <c r="B12" s="4240"/>
      <c r="C12" s="4240"/>
      <c r="D12" s="4575" t="s">
        <v>6949</v>
      </c>
      <c r="E12" s="4247"/>
      <c r="F12" s="4770">
        <f>F60</f>
        <v>12600</v>
      </c>
      <c r="G12" s="4767">
        <f>'４条（みなし）'!G12+R12</f>
        <v>12600</v>
      </c>
      <c r="H12" s="4768">
        <f t="shared" si="10"/>
        <v>12600</v>
      </c>
      <c r="I12" s="4768"/>
      <c r="J12" s="4769">
        <v>3500</v>
      </c>
      <c r="K12" s="4746">
        <f t="shared" si="3"/>
        <v>0</v>
      </c>
      <c r="L12" s="4238">
        <f t="shared" si="4"/>
        <v>0</v>
      </c>
      <c r="M12" s="4746">
        <f t="shared" si="5"/>
        <v>0</v>
      </c>
      <c r="N12" s="4238">
        <f t="shared" si="6"/>
        <v>0</v>
      </c>
      <c r="O12" s="4746">
        <f t="shared" si="7"/>
        <v>9100</v>
      </c>
      <c r="P12" s="4239">
        <f t="shared" si="8"/>
        <v>2.6</v>
      </c>
      <c r="Q12" s="4621" t="str">
        <f t="shared" si="2"/>
        <v>表示（判定）</v>
      </c>
      <c r="R12" s="4603"/>
      <c r="S12" s="4603">
        <f>'(繰)4条支出 '!G13</f>
        <v>12600000</v>
      </c>
      <c r="T12" s="4603">
        <f t="shared" si="11"/>
        <v>12600</v>
      </c>
    </row>
    <row r="13" spans="1:21" s="4195" customFormat="1" ht="20.25" customHeight="1">
      <c r="A13" s="4221"/>
      <c r="B13" s="4240"/>
      <c r="C13" s="4249"/>
      <c r="D13" s="4575" t="s">
        <v>6950</v>
      </c>
      <c r="E13" s="4247"/>
      <c r="F13" s="4766">
        <f>ROUND('(繰)4条収入'!D10/1000,0)-F12</f>
        <v>6026400</v>
      </c>
      <c r="G13" s="4767">
        <f>'４条（みなし）'!G13+R13</f>
        <v>5916900</v>
      </c>
      <c r="H13" s="4768">
        <f t="shared" si="10"/>
        <v>5916900</v>
      </c>
      <c r="I13" s="4768"/>
      <c r="J13" s="4769">
        <v>5840800</v>
      </c>
      <c r="K13" s="4746">
        <f t="shared" si="3"/>
        <v>-109500</v>
      </c>
      <c r="L13" s="4238">
        <f t="shared" si="4"/>
        <v>-1.8170051772202309E-2</v>
      </c>
      <c r="M13" s="4746">
        <f t="shared" si="5"/>
        <v>0</v>
      </c>
      <c r="N13" s="4238">
        <f t="shared" si="6"/>
        <v>0</v>
      </c>
      <c r="O13" s="4746">
        <f t="shared" si="7"/>
        <v>76100</v>
      </c>
      <c r="P13" s="4239">
        <f t="shared" si="8"/>
        <v>1.3029037118202986E-2</v>
      </c>
      <c r="Q13" s="4621" t="str">
        <f t="shared" si="2"/>
        <v>表示（判定）</v>
      </c>
      <c r="R13" s="4603"/>
      <c r="S13" s="4603">
        <f>'(繰)4条収入'!I10-S12</f>
        <v>5916900000</v>
      </c>
      <c r="T13" s="4603">
        <f t="shared" si="11"/>
        <v>5916900</v>
      </c>
    </row>
    <row r="14" spans="1:21" s="4195" customFormat="1" ht="20.25" customHeight="1">
      <c r="A14" s="4221"/>
      <c r="B14" s="4240"/>
      <c r="C14" s="4249"/>
      <c r="D14" s="4575" t="s">
        <v>6951</v>
      </c>
      <c r="E14" s="4247"/>
      <c r="F14" s="4766">
        <f>ROUND('(繰)4条収入'!D8/1000,0)+R14</f>
        <v>584800</v>
      </c>
      <c r="G14" s="4767">
        <f>'４条（みなし）'!G14+R14</f>
        <v>584800</v>
      </c>
      <c r="H14" s="4768">
        <f t="shared" si="10"/>
        <v>493400</v>
      </c>
      <c r="I14" s="4768">
        <f>'(繰)4条収入'!L8/1000</f>
        <v>91400</v>
      </c>
      <c r="J14" s="4769">
        <v>437700</v>
      </c>
      <c r="K14" s="4746">
        <f t="shared" si="3"/>
        <v>0</v>
      </c>
      <c r="L14" s="4238">
        <f t="shared" si="4"/>
        <v>0</v>
      </c>
      <c r="M14" s="4746">
        <f t="shared" si="5"/>
        <v>0</v>
      </c>
      <c r="N14" s="4238">
        <f t="shared" si="6"/>
        <v>0</v>
      </c>
      <c r="O14" s="4746">
        <f t="shared" si="7"/>
        <v>55700</v>
      </c>
      <c r="P14" s="4239">
        <f t="shared" si="8"/>
        <v>0.12725611149188942</v>
      </c>
      <c r="Q14" s="4621" t="str">
        <f t="shared" si="2"/>
        <v>表示（判定）</v>
      </c>
      <c r="R14" s="4608">
        <f>'(繰)4条収入'!J8/1000</f>
        <v>274300</v>
      </c>
      <c r="S14" s="4603">
        <f>'(繰)4条収入'!I8</f>
        <v>493400000</v>
      </c>
      <c r="T14" s="4603">
        <f t="shared" si="11"/>
        <v>493400</v>
      </c>
    </row>
    <row r="15" spans="1:21" s="4195" customFormat="1" ht="20.25" customHeight="1">
      <c r="A15" s="4221"/>
      <c r="B15" s="4240"/>
      <c r="C15" s="4249"/>
      <c r="D15" s="4575" t="s">
        <v>7019</v>
      </c>
      <c r="E15" s="4247"/>
      <c r="F15" s="4766">
        <f>ROUND('(繰)4条収入'!D11/1000,0)+R15</f>
        <v>0</v>
      </c>
      <c r="G15" s="4767">
        <f>'４条（みなし）'!G15+R15</f>
        <v>0</v>
      </c>
      <c r="H15" s="4768">
        <f t="shared" si="10"/>
        <v>0</v>
      </c>
      <c r="I15" s="4768"/>
      <c r="J15" s="4769">
        <v>9300</v>
      </c>
      <c r="K15" s="4746" t="str">
        <f t="shared" si="3"/>
        <v xml:space="preserve">－ </v>
      </c>
      <c r="L15" s="4238" t="str">
        <f t="shared" si="4"/>
        <v xml:space="preserve">－ </v>
      </c>
      <c r="M15" s="4746" t="str">
        <f t="shared" si="5"/>
        <v xml:space="preserve">－ </v>
      </c>
      <c r="N15" s="4238" t="str">
        <f t="shared" si="6"/>
        <v xml:space="preserve">－ </v>
      </c>
      <c r="O15" s="4746">
        <f t="shared" si="7"/>
        <v>-9300</v>
      </c>
      <c r="P15" s="4239" t="str">
        <f t="shared" si="8"/>
        <v xml:space="preserve">皆減 </v>
      </c>
      <c r="Q15" s="4621" t="str">
        <f t="shared" si="2"/>
        <v>表示（判定）</v>
      </c>
      <c r="R15" s="4608"/>
      <c r="S15" s="4603">
        <f>'(繰)4条収入'!I11</f>
        <v>0</v>
      </c>
      <c r="T15" s="4603">
        <f t="shared" si="11"/>
        <v>0</v>
      </c>
    </row>
    <row r="16" spans="1:21" s="4195" customFormat="1" ht="20.25" hidden="1" customHeight="1">
      <c r="A16" s="4221"/>
      <c r="B16" s="4240"/>
      <c r="C16" s="4252"/>
      <c r="D16" s="4575"/>
      <c r="E16" s="4247"/>
      <c r="F16" s="4771"/>
      <c r="G16" s="4767">
        <f>'４条（みなし）'!G16+R16</f>
        <v>0</v>
      </c>
      <c r="H16" s="4772"/>
      <c r="I16" s="4772"/>
      <c r="J16" s="4769"/>
      <c r="K16" s="4746" t="str">
        <f t="shared" si="3"/>
        <v xml:space="preserve">－ </v>
      </c>
      <c r="L16" s="4238" t="str">
        <f t="shared" si="4"/>
        <v xml:space="preserve">－ </v>
      </c>
      <c r="M16" s="4746" t="str">
        <f t="shared" si="5"/>
        <v xml:space="preserve">－ </v>
      </c>
      <c r="N16" s="4238" t="str">
        <f t="shared" si="6"/>
        <v xml:space="preserve">－ </v>
      </c>
      <c r="O16" s="4746" t="str">
        <f t="shared" si="7"/>
        <v xml:space="preserve">－ </v>
      </c>
      <c r="P16" s="4239" t="str">
        <f t="shared" si="8"/>
        <v xml:space="preserve">－ </v>
      </c>
      <c r="Q16" s="4621" t="str">
        <f t="shared" si="2"/>
        <v>×表示しない</v>
      </c>
      <c r="R16" s="4603"/>
      <c r="S16" s="4603"/>
    </row>
    <row r="17" spans="1:21" s="4195" customFormat="1" ht="20.25" customHeight="1">
      <c r="A17" s="4221"/>
      <c r="B17" s="4240"/>
      <c r="C17" s="5107" t="s">
        <v>6952</v>
      </c>
      <c r="D17" s="5108"/>
      <c r="E17" s="4247"/>
      <c r="F17" s="4770">
        <f>ROUND('(繰)4条収入'!D12/1000,0)</f>
        <v>17010800</v>
      </c>
      <c r="G17" s="4767">
        <f>'４条（みなし）'!G17+R17</f>
        <v>17007700</v>
      </c>
      <c r="H17" s="4768">
        <f>T17</f>
        <v>17007700</v>
      </c>
      <c r="I17" s="4768"/>
      <c r="J17" s="4769">
        <v>16333500</v>
      </c>
      <c r="K17" s="4746">
        <f t="shared" si="3"/>
        <v>-3100</v>
      </c>
      <c r="L17" s="4238">
        <f t="shared" si="4"/>
        <v>-1.822371669762739E-4</v>
      </c>
      <c r="M17" s="4746">
        <f t="shared" si="5"/>
        <v>0</v>
      </c>
      <c r="N17" s="4238">
        <f t="shared" si="6"/>
        <v>0</v>
      </c>
      <c r="O17" s="4746">
        <f t="shared" si="7"/>
        <v>674200</v>
      </c>
      <c r="P17" s="4239">
        <f t="shared" si="8"/>
        <v>4.1277129825205865E-2</v>
      </c>
      <c r="Q17" s="4621" t="str">
        <f t="shared" si="2"/>
        <v>表示（判定）</v>
      </c>
      <c r="R17" s="4603"/>
      <c r="S17" s="4603">
        <f>'(繰)4条収入'!I12</f>
        <v>17007700000</v>
      </c>
      <c r="T17" s="4603">
        <f>ROUND(S17/1000,0)+U17</f>
        <v>17007700</v>
      </c>
    </row>
    <row r="18" spans="1:21" s="4195" customFormat="1" ht="20.25" hidden="1" customHeight="1">
      <c r="A18" s="4221"/>
      <c r="B18" s="4256"/>
      <c r="C18" s="5107" t="s">
        <v>6953</v>
      </c>
      <c r="D18" s="5108"/>
      <c r="E18" s="4247"/>
      <c r="F18" s="4771"/>
      <c r="G18" s="4767">
        <f>'４条（みなし）'!G18+R18</f>
        <v>0</v>
      </c>
      <c r="H18" s="4773"/>
      <c r="I18" s="4773"/>
      <c r="J18" s="4769"/>
      <c r="K18" s="4746" t="str">
        <f t="shared" si="3"/>
        <v xml:space="preserve">－ </v>
      </c>
      <c r="L18" s="4238" t="str">
        <f t="shared" si="4"/>
        <v xml:space="preserve">－ </v>
      </c>
      <c r="M18" s="4746" t="str">
        <f t="shared" si="5"/>
        <v xml:space="preserve">－ </v>
      </c>
      <c r="N18" s="4238" t="str">
        <f t="shared" si="6"/>
        <v xml:space="preserve">－ </v>
      </c>
      <c r="O18" s="4746" t="str">
        <f t="shared" si="7"/>
        <v xml:space="preserve">－ </v>
      </c>
      <c r="P18" s="4239" t="str">
        <f t="shared" si="8"/>
        <v xml:space="preserve">－ </v>
      </c>
      <c r="Q18" s="4621" t="str">
        <f t="shared" si="2"/>
        <v>×表示しない</v>
      </c>
      <c r="R18" s="4603"/>
      <c r="S18" s="4603"/>
    </row>
    <row r="19" spans="1:21" s="4195" customFormat="1" ht="20.25" customHeight="1">
      <c r="A19" s="4221"/>
      <c r="B19" s="5114" t="s">
        <v>6954</v>
      </c>
      <c r="C19" s="5114"/>
      <c r="D19" s="5115"/>
      <c r="E19" s="4242"/>
      <c r="F19" s="4770">
        <f>ROUND('(繰)4条収入'!D14/1000,0)</f>
        <v>3640474</v>
      </c>
      <c r="G19" s="4767">
        <f>'４条（みなし）'!G19+R19</f>
        <v>3379653</v>
      </c>
      <c r="H19" s="4768">
        <f t="shared" ref="H19:H20" si="12">T19</f>
        <v>3285505</v>
      </c>
      <c r="I19" s="4768"/>
      <c r="J19" s="4769">
        <v>4465119</v>
      </c>
      <c r="K19" s="4746">
        <f t="shared" si="3"/>
        <v>-354969</v>
      </c>
      <c r="L19" s="4238">
        <f t="shared" si="4"/>
        <v>-9.7506258800365009E-2</v>
      </c>
      <c r="M19" s="4746">
        <f t="shared" si="5"/>
        <v>-94148</v>
      </c>
      <c r="N19" s="4238">
        <f t="shared" si="6"/>
        <v>-2.5861467490222428E-2</v>
      </c>
      <c r="O19" s="4746">
        <f t="shared" si="7"/>
        <v>-1179614</v>
      </c>
      <c r="P19" s="4239">
        <f t="shared" si="8"/>
        <v>-0.26418422442940492</v>
      </c>
      <c r="Q19" s="4621" t="str">
        <f t="shared" si="2"/>
        <v>表示（判定）</v>
      </c>
      <c r="R19" s="4603"/>
      <c r="S19" s="4603">
        <f>'(繰)4条収入'!I13</f>
        <v>3285504551</v>
      </c>
      <c r="T19" s="4603">
        <f t="shared" ref="T19" si="13">ROUND(S19/1000,0)+U19</f>
        <v>3285505</v>
      </c>
    </row>
    <row r="20" spans="1:21" s="4195" customFormat="1" ht="20.25" customHeight="1">
      <c r="A20" s="4221"/>
      <c r="B20" s="5114" t="s">
        <v>6955</v>
      </c>
      <c r="C20" s="5114"/>
      <c r="D20" s="5115"/>
      <c r="E20" s="4247"/>
      <c r="F20" s="4770">
        <f>ROUND('(繰)4条収入'!D16/1000,0)+R20</f>
        <v>8943500</v>
      </c>
      <c r="G20" s="4767">
        <f>'４条（みなし）'!G20+R20</f>
        <v>8940211</v>
      </c>
      <c r="H20" s="4768">
        <f t="shared" si="12"/>
        <v>5717788</v>
      </c>
      <c r="I20" s="4768">
        <f>'(繰)4条収入'!L16/1000</f>
        <v>3222485.7390000001</v>
      </c>
      <c r="J20" s="4769">
        <v>5249299</v>
      </c>
      <c r="K20" s="4746">
        <f t="shared" si="3"/>
        <v>-3226.2609999999404</v>
      </c>
      <c r="L20" s="4238">
        <f t="shared" si="4"/>
        <v>-3.6073807793368819E-4</v>
      </c>
      <c r="M20" s="4746">
        <f t="shared" si="5"/>
        <v>62.739000000059605</v>
      </c>
      <c r="N20" s="4238">
        <f t="shared" si="6"/>
        <v>7.015038855041047E-6</v>
      </c>
      <c r="O20" s="4746">
        <f t="shared" si="7"/>
        <v>468489</v>
      </c>
      <c r="P20" s="4239">
        <f t="shared" si="8"/>
        <v>8.9247916721832757E-2</v>
      </c>
      <c r="Q20" s="4621" t="str">
        <f t="shared" si="2"/>
        <v>表示（判定）</v>
      </c>
      <c r="R20" s="4608">
        <f>'(繰)4条収入'!J16/1000</f>
        <v>3174000</v>
      </c>
      <c r="S20" s="4603">
        <f>'(繰)4条収入'!I16</f>
        <v>5717788000</v>
      </c>
      <c r="T20" s="4603">
        <f>ROUND(S20/1000,0)+U20</f>
        <v>5717788</v>
      </c>
    </row>
    <row r="21" spans="1:21" s="4195" customFormat="1" ht="20.25" hidden="1" customHeight="1">
      <c r="A21" s="4221"/>
      <c r="B21" s="5114" t="s">
        <v>6956</v>
      </c>
      <c r="C21" s="5114"/>
      <c r="D21" s="5115"/>
      <c r="E21" s="4247"/>
      <c r="F21" s="4774"/>
      <c r="G21" s="4767">
        <f>'４条（みなし）'!G21+R21</f>
        <v>0</v>
      </c>
      <c r="H21" s="4772"/>
      <c r="I21" s="4772"/>
      <c r="J21" s="4769"/>
      <c r="K21" s="4746" t="str">
        <f t="shared" si="3"/>
        <v xml:space="preserve">－ </v>
      </c>
      <c r="L21" s="4238" t="str">
        <f t="shared" si="4"/>
        <v xml:space="preserve">－ </v>
      </c>
      <c r="M21" s="4746" t="str">
        <f t="shared" si="5"/>
        <v xml:space="preserve">－ </v>
      </c>
      <c r="N21" s="4238" t="str">
        <f t="shared" si="6"/>
        <v xml:space="preserve">－ </v>
      </c>
      <c r="O21" s="4746" t="str">
        <f t="shared" si="7"/>
        <v xml:space="preserve">－ </v>
      </c>
      <c r="P21" s="4239" t="str">
        <f t="shared" si="8"/>
        <v xml:space="preserve">－ </v>
      </c>
      <c r="Q21" s="4621" t="str">
        <f t="shared" si="2"/>
        <v>×表示しない</v>
      </c>
      <c r="R21" s="4603"/>
      <c r="S21" s="4603"/>
    </row>
    <row r="22" spans="1:21" s="4195" customFormat="1" ht="20.25" customHeight="1">
      <c r="A22" s="4221"/>
      <c r="B22" s="5114" t="s">
        <v>6957</v>
      </c>
      <c r="C22" s="5114"/>
      <c r="D22" s="5115"/>
      <c r="E22" s="4247"/>
      <c r="F22" s="4770">
        <f>ROUND('(繰)4条収入'!D20/1000,0)</f>
        <v>54236</v>
      </c>
      <c r="G22" s="4767">
        <f>'４条（みなし）'!G22+R22</f>
        <v>54236</v>
      </c>
      <c r="H22" s="4768">
        <f>T22</f>
        <v>24373</v>
      </c>
      <c r="I22" s="4768"/>
      <c r="J22" s="4769">
        <v>31095</v>
      </c>
      <c r="K22" s="4746">
        <f t="shared" si="3"/>
        <v>-29863</v>
      </c>
      <c r="L22" s="4238">
        <f t="shared" si="4"/>
        <v>-0.550612139538314</v>
      </c>
      <c r="M22" s="4746">
        <f t="shared" si="5"/>
        <v>-29863</v>
      </c>
      <c r="N22" s="4238">
        <f t="shared" si="6"/>
        <v>-0.550612139538314</v>
      </c>
      <c r="O22" s="4746">
        <f t="shared" si="7"/>
        <v>-6722</v>
      </c>
      <c r="P22" s="4239">
        <f t="shared" si="8"/>
        <v>-0.21617623412124135</v>
      </c>
      <c r="Q22" s="4621" t="str">
        <f t="shared" si="2"/>
        <v>表示（判定）</v>
      </c>
      <c r="R22" s="4603"/>
      <c r="S22" s="4603">
        <f>'(繰)4条収入'!I20</f>
        <v>24373083</v>
      </c>
      <c r="T22" s="4603">
        <f t="shared" ref="T22:T26" si="14">ROUND(S22/1000,0)+U22</f>
        <v>24373</v>
      </c>
    </row>
    <row r="23" spans="1:21" s="4195" customFormat="1" ht="20.25" customHeight="1">
      <c r="A23" s="4221"/>
      <c r="B23" s="5114" t="s">
        <v>6898</v>
      </c>
      <c r="C23" s="5114"/>
      <c r="D23" s="5115"/>
      <c r="E23" s="4232">
        <f t="shared" ref="E23:J23" si="15">SUM(E24:E27)</f>
        <v>0</v>
      </c>
      <c r="F23" s="4763">
        <f t="shared" si="15"/>
        <v>632996</v>
      </c>
      <c r="G23" s="4775">
        <f t="shared" si="15"/>
        <v>571080</v>
      </c>
      <c r="H23" s="4775">
        <f t="shared" si="15"/>
        <v>574304</v>
      </c>
      <c r="I23" s="4775">
        <f t="shared" si="15"/>
        <v>190000</v>
      </c>
      <c r="J23" s="4776">
        <f t="shared" si="15"/>
        <v>748137</v>
      </c>
      <c r="K23" s="4746">
        <f t="shared" si="3"/>
        <v>131308</v>
      </c>
      <c r="L23" s="4238">
        <f t="shared" si="4"/>
        <v>0.20743890956656913</v>
      </c>
      <c r="M23" s="4746">
        <f t="shared" si="5"/>
        <v>193224</v>
      </c>
      <c r="N23" s="4238">
        <f t="shared" si="6"/>
        <v>0.30525311376375208</v>
      </c>
      <c r="O23" s="4746">
        <f t="shared" si="7"/>
        <v>-173833</v>
      </c>
      <c r="P23" s="4239">
        <f t="shared" si="8"/>
        <v>-0.23235450191609291</v>
      </c>
      <c r="Q23" s="4621" t="str">
        <f t="shared" si="2"/>
        <v>表示（判定）</v>
      </c>
      <c r="R23" s="4603"/>
      <c r="S23" s="4603"/>
      <c r="T23" s="4603">
        <f t="shared" si="14"/>
        <v>0</v>
      </c>
    </row>
    <row r="24" spans="1:21" s="4195" customFormat="1" ht="20.25" customHeight="1">
      <c r="A24" s="4221"/>
      <c r="B24" s="4231"/>
      <c r="C24" s="5114" t="s">
        <v>6958</v>
      </c>
      <c r="D24" s="5115"/>
      <c r="E24" s="4259"/>
      <c r="F24" s="4770">
        <f>ROUND('(繰)4条収入'!D23/1000,0)</f>
        <v>14208</v>
      </c>
      <c r="G24" s="4767">
        <f>'４条（みなし）'!G24+R24</f>
        <v>14208</v>
      </c>
      <c r="H24" s="4768">
        <f t="shared" ref="H24:H26" si="16">T24</f>
        <v>8800</v>
      </c>
      <c r="I24" s="4768"/>
      <c r="J24" s="4769">
        <v>23930</v>
      </c>
      <c r="K24" s="4746">
        <f t="shared" si="3"/>
        <v>-5408</v>
      </c>
      <c r="L24" s="4238">
        <f t="shared" si="4"/>
        <v>-0.38063063063063063</v>
      </c>
      <c r="M24" s="4746">
        <f t="shared" si="5"/>
        <v>-5408</v>
      </c>
      <c r="N24" s="4238">
        <f t="shared" si="6"/>
        <v>-0.38063063063063063</v>
      </c>
      <c r="O24" s="4746">
        <f t="shared" si="7"/>
        <v>-15130</v>
      </c>
      <c r="P24" s="4239">
        <f t="shared" si="8"/>
        <v>-0.63226076055160885</v>
      </c>
      <c r="Q24" s="4621" t="str">
        <f t="shared" si="2"/>
        <v>表示（判定）</v>
      </c>
      <c r="R24" s="4603"/>
      <c r="S24" s="4603">
        <f>'(繰)4条収入'!I23</f>
        <v>8799605</v>
      </c>
      <c r="T24" s="4603">
        <f t="shared" si="14"/>
        <v>8800</v>
      </c>
    </row>
    <row r="25" spans="1:21" s="4195" customFormat="1" ht="20.25" customHeight="1">
      <c r="A25" s="4221"/>
      <c r="B25" s="4240"/>
      <c r="C25" s="5114" t="s">
        <v>6959</v>
      </c>
      <c r="D25" s="5115"/>
      <c r="E25" s="4259"/>
      <c r="F25" s="4770">
        <f>ROUND('(繰)4条収入'!D24/1000,0)</f>
        <v>40980</v>
      </c>
      <c r="G25" s="4767">
        <f>'４条（みなし）'!G25+R25</f>
        <v>42420</v>
      </c>
      <c r="H25" s="4768">
        <f t="shared" si="16"/>
        <v>35218</v>
      </c>
      <c r="I25" s="4768"/>
      <c r="J25" s="4769">
        <v>38497</v>
      </c>
      <c r="K25" s="4746">
        <f t="shared" si="3"/>
        <v>-5762</v>
      </c>
      <c r="L25" s="4238">
        <f t="shared" si="4"/>
        <v>-0.14060517325524646</v>
      </c>
      <c r="M25" s="4746">
        <f t="shared" si="5"/>
        <v>-7202</v>
      </c>
      <c r="N25" s="4238">
        <f t="shared" si="6"/>
        <v>-0.17574426549536359</v>
      </c>
      <c r="O25" s="4746">
        <f t="shared" si="7"/>
        <v>-3279</v>
      </c>
      <c r="P25" s="4239">
        <f t="shared" si="8"/>
        <v>-8.5175468218302727E-2</v>
      </c>
      <c r="Q25" s="4621" t="str">
        <f t="shared" si="2"/>
        <v>表示（判定）</v>
      </c>
      <c r="R25" s="4603"/>
      <c r="S25" s="4603">
        <f>'(繰)4条収入'!I24</f>
        <v>35218280</v>
      </c>
      <c r="T25" s="4603">
        <f t="shared" si="14"/>
        <v>35218</v>
      </c>
    </row>
    <row r="26" spans="1:21" s="4195" customFormat="1" ht="20.25" customHeight="1">
      <c r="A26" s="4221"/>
      <c r="B26" s="4240"/>
      <c r="C26" s="5114" t="s">
        <v>6960</v>
      </c>
      <c r="D26" s="5115"/>
      <c r="E26" s="4247"/>
      <c r="F26" s="4770">
        <f>ROUND('(繰)4条収入'!D25/1000,0)+R26</f>
        <v>577808</v>
      </c>
      <c r="G26" s="4767">
        <f>'４条（みなし）'!G26+R26</f>
        <v>514452</v>
      </c>
      <c r="H26" s="4768">
        <f t="shared" si="16"/>
        <v>530286</v>
      </c>
      <c r="I26" s="4768">
        <v>190000</v>
      </c>
      <c r="J26" s="4769">
        <v>685710</v>
      </c>
      <c r="K26" s="4746">
        <f t="shared" si="3"/>
        <v>142478</v>
      </c>
      <c r="L26" s="4238">
        <f t="shared" si="4"/>
        <v>0.24658364024035667</v>
      </c>
      <c r="M26" s="4746">
        <f t="shared" si="5"/>
        <v>205834</v>
      </c>
      <c r="N26" s="4238">
        <f t="shared" si="6"/>
        <v>0.3562325201451001</v>
      </c>
      <c r="O26" s="4746">
        <f t="shared" si="7"/>
        <v>-155424</v>
      </c>
      <c r="P26" s="4239">
        <f t="shared" si="8"/>
        <v>-0.22666141663385397</v>
      </c>
      <c r="Q26" s="4621" t="str">
        <f t="shared" si="2"/>
        <v>表示（判定）</v>
      </c>
      <c r="R26" s="4608"/>
      <c r="S26" s="4603">
        <f>'(繰)4条収入'!I25</f>
        <v>530286509</v>
      </c>
      <c r="T26" s="4603">
        <f t="shared" si="14"/>
        <v>530286</v>
      </c>
      <c r="U26" s="4195">
        <v>-1</v>
      </c>
    </row>
    <row r="27" spans="1:21" s="4195" customFormat="1" ht="20.25" hidden="1" customHeight="1">
      <c r="A27" s="4221"/>
      <c r="B27" s="4256"/>
      <c r="C27" s="5114" t="s">
        <v>6961</v>
      </c>
      <c r="D27" s="5115"/>
      <c r="E27" s="4247"/>
      <c r="F27" s="4777"/>
      <c r="G27" s="4768"/>
      <c r="H27" s="4772"/>
      <c r="I27" s="4772"/>
      <c r="J27" s="4778"/>
      <c r="K27" s="4746" t="str">
        <f t="shared" si="3"/>
        <v xml:space="preserve">－ </v>
      </c>
      <c r="L27" s="4238" t="str">
        <f t="shared" si="4"/>
        <v xml:space="preserve">－ </v>
      </c>
      <c r="M27" s="4746" t="str">
        <f t="shared" si="5"/>
        <v xml:space="preserve">－ </v>
      </c>
      <c r="N27" s="4238" t="str">
        <f t="shared" si="6"/>
        <v xml:space="preserve">－ </v>
      </c>
      <c r="O27" s="4746" t="str">
        <f t="shared" si="7"/>
        <v xml:space="preserve">－ </v>
      </c>
      <c r="P27" s="4239" t="str">
        <f t="shared" si="8"/>
        <v xml:space="preserve">－ </v>
      </c>
      <c r="Q27" s="4621" t="str">
        <f t="shared" si="2"/>
        <v>×表示しない</v>
      </c>
      <c r="R27" s="4603"/>
      <c r="S27" s="4603"/>
    </row>
    <row r="28" spans="1:21" s="4195" customFormat="1" ht="20.25" customHeight="1">
      <c r="A28" s="4221"/>
      <c r="B28" s="5114" t="s">
        <v>6962</v>
      </c>
      <c r="C28" s="5114"/>
      <c r="D28" s="5115"/>
      <c r="E28" s="4232">
        <f t="shared" ref="E28:J28" si="17">SUM(E29:E31)</f>
        <v>0</v>
      </c>
      <c r="F28" s="4763">
        <f t="shared" si="17"/>
        <v>9913</v>
      </c>
      <c r="G28" s="4775">
        <f t="shared" si="17"/>
        <v>3987</v>
      </c>
      <c r="H28" s="4775">
        <f t="shared" si="17"/>
        <v>3987</v>
      </c>
      <c r="I28" s="4775">
        <f t="shared" si="17"/>
        <v>0</v>
      </c>
      <c r="J28" s="4776">
        <f t="shared" si="17"/>
        <v>5324</v>
      </c>
      <c r="K28" s="4746">
        <f t="shared" si="3"/>
        <v>-5926</v>
      </c>
      <c r="L28" s="4238">
        <f t="shared" si="4"/>
        <v>-0.5978008675476647</v>
      </c>
      <c r="M28" s="4746">
        <f t="shared" si="5"/>
        <v>0</v>
      </c>
      <c r="N28" s="4238">
        <f t="shared" si="6"/>
        <v>0</v>
      </c>
      <c r="O28" s="4746">
        <f t="shared" si="7"/>
        <v>-1337</v>
      </c>
      <c r="P28" s="4239">
        <f t="shared" si="8"/>
        <v>-0.25112697220135238</v>
      </c>
      <c r="Q28" s="4621" t="str">
        <f t="shared" si="2"/>
        <v>表示（判定）</v>
      </c>
      <c r="R28" s="4603"/>
      <c r="S28" s="4603"/>
    </row>
    <row r="29" spans="1:21" s="4195" customFormat="1" ht="20.25" hidden="1" customHeight="1">
      <c r="A29" s="4221"/>
      <c r="B29" s="4231"/>
      <c r="C29" s="5114" t="s">
        <v>6963</v>
      </c>
      <c r="D29" s="5115"/>
      <c r="E29" s="4247"/>
      <c r="F29" s="4777"/>
      <c r="G29" s="4768"/>
      <c r="H29" s="4772"/>
      <c r="I29" s="4772"/>
      <c r="J29" s="4778"/>
      <c r="K29" s="4746" t="str">
        <f t="shared" si="3"/>
        <v xml:space="preserve">－ </v>
      </c>
      <c r="L29" s="4238" t="str">
        <f t="shared" si="4"/>
        <v xml:space="preserve">－ </v>
      </c>
      <c r="M29" s="4746" t="str">
        <f t="shared" si="5"/>
        <v xml:space="preserve">－ </v>
      </c>
      <c r="N29" s="4238" t="str">
        <f t="shared" si="6"/>
        <v xml:space="preserve">－ </v>
      </c>
      <c r="O29" s="4746" t="str">
        <f t="shared" si="7"/>
        <v xml:space="preserve">－ </v>
      </c>
      <c r="P29" s="4239" t="str">
        <f t="shared" si="8"/>
        <v xml:space="preserve">－ </v>
      </c>
      <c r="Q29" s="4621" t="str">
        <f t="shared" si="2"/>
        <v>×表示しない</v>
      </c>
      <c r="R29" s="4603"/>
      <c r="S29" s="4603"/>
    </row>
    <row r="30" spans="1:21" s="4195" customFormat="1" ht="20.25" hidden="1" customHeight="1">
      <c r="A30" s="4221"/>
      <c r="B30" s="4240"/>
      <c r="C30" s="5114" t="s">
        <v>6964</v>
      </c>
      <c r="D30" s="5115"/>
      <c r="E30" s="4247"/>
      <c r="F30" s="4770">
        <f>ROUND('(繰)4条収入'!D28/1000,0)</f>
        <v>0</v>
      </c>
      <c r="G30" s="4767">
        <f>'４条（みなし）'!G30+R30</f>
        <v>0</v>
      </c>
      <c r="H30" s="4768">
        <f>T30</f>
        <v>0</v>
      </c>
      <c r="I30" s="4768"/>
      <c r="J30" s="4769">
        <v>0</v>
      </c>
      <c r="K30" s="4746" t="str">
        <f t="shared" si="3"/>
        <v xml:space="preserve">－ </v>
      </c>
      <c r="L30" s="4238" t="str">
        <f t="shared" si="4"/>
        <v xml:space="preserve">－ </v>
      </c>
      <c r="M30" s="4746" t="str">
        <f t="shared" si="5"/>
        <v xml:space="preserve">－ </v>
      </c>
      <c r="N30" s="4238" t="str">
        <f t="shared" si="6"/>
        <v xml:space="preserve">－ </v>
      </c>
      <c r="O30" s="4746" t="str">
        <f t="shared" si="7"/>
        <v xml:space="preserve">－ </v>
      </c>
      <c r="P30" s="4239" t="str">
        <f t="shared" si="8"/>
        <v xml:space="preserve">－ </v>
      </c>
      <c r="Q30" s="4621" t="str">
        <f t="shared" si="2"/>
        <v>×表示しない</v>
      </c>
      <c r="R30" s="4603"/>
      <c r="S30" s="4603">
        <f>'(繰)4条収入'!I28</f>
        <v>0</v>
      </c>
      <c r="T30" s="4603">
        <f>ROUND(S30/1000,0)+U30</f>
        <v>0</v>
      </c>
    </row>
    <row r="31" spans="1:21" s="4195" customFormat="1" ht="20.25" customHeight="1">
      <c r="A31" s="4221"/>
      <c r="B31" s="4240"/>
      <c r="C31" s="5114" t="s">
        <v>6965</v>
      </c>
      <c r="D31" s="5115"/>
      <c r="E31" s="4263">
        <f t="shared" ref="E31:J31" si="18">SUM(E32:E34)</f>
        <v>0</v>
      </c>
      <c r="F31" s="4779">
        <f t="shared" si="18"/>
        <v>9913</v>
      </c>
      <c r="G31" s="4775">
        <f t="shared" si="18"/>
        <v>3987</v>
      </c>
      <c r="H31" s="4775">
        <f t="shared" si="18"/>
        <v>3987</v>
      </c>
      <c r="I31" s="4775">
        <f t="shared" si="18"/>
        <v>0</v>
      </c>
      <c r="J31" s="4776">
        <f t="shared" si="18"/>
        <v>5324</v>
      </c>
      <c r="K31" s="4746">
        <f t="shared" si="3"/>
        <v>-5926</v>
      </c>
      <c r="L31" s="4238">
        <f t="shared" si="4"/>
        <v>-0.5978008675476647</v>
      </c>
      <c r="M31" s="4746">
        <f t="shared" si="5"/>
        <v>0</v>
      </c>
      <c r="N31" s="4238">
        <f t="shared" si="6"/>
        <v>0</v>
      </c>
      <c r="O31" s="4746">
        <f t="shared" si="7"/>
        <v>-1337</v>
      </c>
      <c r="P31" s="4239">
        <f t="shared" si="8"/>
        <v>-0.25112697220135238</v>
      </c>
      <c r="Q31" s="4621" t="str">
        <f t="shared" si="2"/>
        <v>表示（判定）</v>
      </c>
      <c r="R31" s="4603"/>
      <c r="S31" s="4603"/>
    </row>
    <row r="32" spans="1:21" s="4195" customFormat="1" ht="20.25" customHeight="1">
      <c r="A32" s="4221"/>
      <c r="B32" s="4240"/>
      <c r="C32" s="4231"/>
      <c r="D32" s="4575" t="s">
        <v>6966</v>
      </c>
      <c r="E32" s="4247"/>
      <c r="F32" s="4780">
        <v>5747</v>
      </c>
      <c r="G32" s="4767">
        <f>'４条（みなし）'!G32+R32</f>
        <v>2118</v>
      </c>
      <c r="H32" s="4768">
        <f t="shared" ref="H32:H35" si="19">T32</f>
        <v>2118</v>
      </c>
      <c r="I32" s="4768"/>
      <c r="J32" s="4769">
        <v>3107</v>
      </c>
      <c r="K32" s="4746">
        <f t="shared" si="3"/>
        <v>-3629</v>
      </c>
      <c r="L32" s="4238">
        <f t="shared" si="4"/>
        <v>-0.63145989211762654</v>
      </c>
      <c r="M32" s="4746">
        <f t="shared" si="5"/>
        <v>0</v>
      </c>
      <c r="N32" s="4238">
        <f t="shared" si="6"/>
        <v>0</v>
      </c>
      <c r="O32" s="4746">
        <f t="shared" si="7"/>
        <v>-989</v>
      </c>
      <c r="P32" s="4239">
        <f t="shared" si="8"/>
        <v>-0.31831348567750239</v>
      </c>
      <c r="Q32" s="4621" t="str">
        <f t="shared" si="2"/>
        <v>表示（判定）</v>
      </c>
      <c r="R32" s="4603"/>
      <c r="S32" s="4603">
        <f>'4条収入'!E72</f>
        <v>2118000</v>
      </c>
      <c r="T32" s="4603">
        <f t="shared" ref="T32:T35" si="20">ROUND(S32/1000,0)+U32</f>
        <v>2118</v>
      </c>
    </row>
    <row r="33" spans="1:24" s="4195" customFormat="1" ht="20.25" customHeight="1">
      <c r="A33" s="4221"/>
      <c r="B33" s="4240"/>
      <c r="C33" s="4240"/>
      <c r="D33" s="4575" t="s">
        <v>6967</v>
      </c>
      <c r="E33" s="4247"/>
      <c r="F33" s="4780">
        <v>4166</v>
      </c>
      <c r="G33" s="4767">
        <f>'４条（みなし）'!G33+R33</f>
        <v>1869</v>
      </c>
      <c r="H33" s="4768">
        <f t="shared" si="19"/>
        <v>1869</v>
      </c>
      <c r="I33" s="4768"/>
      <c r="J33" s="4769">
        <v>2217</v>
      </c>
      <c r="K33" s="4746">
        <f t="shared" si="3"/>
        <v>-2297</v>
      </c>
      <c r="L33" s="4238">
        <f t="shared" si="4"/>
        <v>-0.55136821891502641</v>
      </c>
      <c r="M33" s="4746">
        <f t="shared" si="5"/>
        <v>0</v>
      </c>
      <c r="N33" s="4238">
        <f t="shared" si="6"/>
        <v>0</v>
      </c>
      <c r="O33" s="4746">
        <f t="shared" si="7"/>
        <v>-348</v>
      </c>
      <c r="P33" s="4239">
        <f t="shared" si="8"/>
        <v>-0.15696887686062247</v>
      </c>
      <c r="Q33" s="4621" t="str">
        <f t="shared" si="2"/>
        <v>表示（判定）</v>
      </c>
      <c r="R33" s="4603"/>
      <c r="S33" s="4603">
        <f>'4条収入'!E77</f>
        <v>1869000</v>
      </c>
      <c r="T33" s="4603">
        <f t="shared" si="20"/>
        <v>1869</v>
      </c>
    </row>
    <row r="34" spans="1:24" s="4195" customFormat="1" ht="20.25" hidden="1" customHeight="1">
      <c r="A34" s="4221"/>
      <c r="B34" s="4256"/>
      <c r="C34" s="4256"/>
      <c r="D34" s="4575" t="s">
        <v>6968</v>
      </c>
      <c r="E34" s="4247"/>
      <c r="F34" s="4780">
        <v>0</v>
      </c>
      <c r="G34" s="4767">
        <f>'４条（みなし）'!G34+R34</f>
        <v>0</v>
      </c>
      <c r="H34" s="4768">
        <f t="shared" si="19"/>
        <v>0</v>
      </c>
      <c r="I34" s="4768"/>
      <c r="J34" s="4769">
        <v>0</v>
      </c>
      <c r="K34" s="4746" t="str">
        <f t="shared" si="3"/>
        <v xml:space="preserve">－ </v>
      </c>
      <c r="L34" s="4238" t="str">
        <f t="shared" si="4"/>
        <v xml:space="preserve">－ </v>
      </c>
      <c r="M34" s="4746" t="str">
        <f t="shared" si="5"/>
        <v xml:space="preserve">－ </v>
      </c>
      <c r="N34" s="4238" t="str">
        <f t="shared" si="6"/>
        <v xml:space="preserve">－ </v>
      </c>
      <c r="O34" s="4746" t="str">
        <f t="shared" si="7"/>
        <v xml:space="preserve">－ </v>
      </c>
      <c r="P34" s="4239" t="str">
        <f t="shared" si="8"/>
        <v xml:space="preserve">－ </v>
      </c>
      <c r="Q34" s="4621" t="str">
        <f t="shared" si="2"/>
        <v>×表示しない</v>
      </c>
      <c r="R34" s="4603"/>
      <c r="S34" s="4603">
        <f>'4条収入'!E82</f>
        <v>0</v>
      </c>
      <c r="T34" s="4603">
        <f t="shared" si="20"/>
        <v>0</v>
      </c>
      <c r="V34" s="4195">
        <f>4500+7931</f>
        <v>12431</v>
      </c>
    </row>
    <row r="35" spans="1:24" s="4195" customFormat="1" ht="20.25" customHeight="1" thickBot="1">
      <c r="A35" s="4221"/>
      <c r="B35" s="5116" t="s">
        <v>6969</v>
      </c>
      <c r="C35" s="5116"/>
      <c r="D35" s="5117"/>
      <c r="E35" s="4266"/>
      <c r="F35" s="4770">
        <f>ROUND('(繰)4条収入'!D31/1000,0)</f>
        <v>14731</v>
      </c>
      <c r="G35" s="4781">
        <f>'４条（みなし）'!G35+R35</f>
        <v>44466</v>
      </c>
      <c r="H35" s="4768">
        <f t="shared" si="19"/>
        <v>45948</v>
      </c>
      <c r="I35" s="4782"/>
      <c r="J35" s="4783">
        <v>1647</v>
      </c>
      <c r="K35" s="4746">
        <f t="shared" si="3"/>
        <v>31217</v>
      </c>
      <c r="L35" s="4238">
        <f t="shared" si="4"/>
        <v>2.119136514832666</v>
      </c>
      <c r="M35" s="4746">
        <f t="shared" si="5"/>
        <v>1482</v>
      </c>
      <c r="N35" s="4238">
        <f t="shared" si="6"/>
        <v>0.10060416808091779</v>
      </c>
      <c r="O35" s="4746">
        <f t="shared" si="7"/>
        <v>44301</v>
      </c>
      <c r="P35" s="4239">
        <f t="shared" si="8"/>
        <v>26.897996357012751</v>
      </c>
      <c r="Q35" s="4621" t="str">
        <f t="shared" si="2"/>
        <v>表示（判定）</v>
      </c>
      <c r="R35" s="4603"/>
      <c r="S35" s="4603">
        <f>'(繰)4条収入'!I30</f>
        <v>45948113</v>
      </c>
      <c r="T35" s="4603">
        <f t="shared" si="20"/>
        <v>45948</v>
      </c>
    </row>
    <row r="36" spans="1:24" s="4195" customFormat="1" ht="20.25" hidden="1" customHeight="1" thickBot="1">
      <c r="A36" s="4268"/>
      <c r="B36" s="5118" t="s">
        <v>6970</v>
      </c>
      <c r="C36" s="5118"/>
      <c r="D36" s="5119"/>
      <c r="E36" s="4269">
        <v>0</v>
      </c>
      <c r="F36" s="4784">
        <v>0</v>
      </c>
      <c r="G36" s="4785">
        <f>'４条（みなし）'!G36+R36</f>
        <v>0</v>
      </c>
      <c r="H36" s="4786">
        <v>0</v>
      </c>
      <c r="I36" s="4786"/>
      <c r="J36" s="4787">
        <v>0</v>
      </c>
      <c r="K36" s="4747" t="str">
        <f t="shared" si="3"/>
        <v xml:space="preserve">－ </v>
      </c>
      <c r="L36" s="4275" t="str">
        <f t="shared" si="4"/>
        <v xml:space="preserve">－ </v>
      </c>
      <c r="M36" s="4747" t="str">
        <f t="shared" si="5"/>
        <v xml:space="preserve">－ </v>
      </c>
      <c r="N36" s="4275" t="str">
        <f t="shared" si="6"/>
        <v xml:space="preserve">－ </v>
      </c>
      <c r="O36" s="4747" t="str">
        <f t="shared" si="7"/>
        <v xml:space="preserve">－ </v>
      </c>
      <c r="P36" s="4276" t="str">
        <f t="shared" si="8"/>
        <v xml:space="preserve">－ </v>
      </c>
      <c r="Q36" s="4621" t="str">
        <f t="shared" si="2"/>
        <v>×表示しない</v>
      </c>
      <c r="R36" s="4603"/>
      <c r="S36" s="4603"/>
    </row>
    <row r="37" spans="1:24" s="4195" customFormat="1" ht="12.75" thickBot="1">
      <c r="A37" s="4735"/>
      <c r="B37" s="4735"/>
      <c r="C37" s="4735"/>
      <c r="D37" s="4735"/>
      <c r="E37" s="4736"/>
      <c r="F37" s="4737"/>
      <c r="G37" s="4737"/>
      <c r="H37" s="4738"/>
      <c r="I37" s="4738"/>
      <c r="J37" s="4738"/>
      <c r="K37" s="4739"/>
      <c r="L37" s="4740"/>
      <c r="M37" s="4739"/>
      <c r="N37" s="4740"/>
      <c r="O37" s="4739"/>
      <c r="P37" s="4740"/>
      <c r="Q37" s="4610" t="s">
        <v>7197</v>
      </c>
      <c r="R37" s="4603"/>
      <c r="S37" s="4603"/>
    </row>
    <row r="38" spans="1:24" s="4195" customFormat="1" ht="20.25" customHeight="1" thickBot="1">
      <c r="A38" s="5120" t="s">
        <v>6971</v>
      </c>
      <c r="B38" s="5121"/>
      <c r="C38" s="5121"/>
      <c r="D38" s="5122"/>
      <c r="E38" s="4283">
        <f t="shared" ref="E38:J38" si="21">SUM(E19,E30)</f>
        <v>0</v>
      </c>
      <c r="F38" s="4788">
        <f t="shared" si="21"/>
        <v>3640474</v>
      </c>
      <c r="G38" s="4789">
        <f t="shared" si="21"/>
        <v>3379653</v>
      </c>
      <c r="H38" s="4624">
        <f t="shared" si="21"/>
        <v>3285505</v>
      </c>
      <c r="I38" s="4624">
        <f t="shared" si="21"/>
        <v>0</v>
      </c>
      <c r="J38" s="4790">
        <f t="shared" si="21"/>
        <v>4465119</v>
      </c>
      <c r="K38" s="4748">
        <f>IF(AND(F38=0,$H38+$I38=0),"－ ",$H38+$I38-F38)</f>
        <v>-354969</v>
      </c>
      <c r="L38" s="4289">
        <f>IF(AND(F38=0,$H38+$I38&gt;0),"皆増 ",IF(AND(F38&gt;0,$H38+$I38=0),"皆減 ",IF(AND(F38=0,$H38+$I38=0),"－ ",K38/F38)))</f>
        <v>-9.7506258800365009E-2</v>
      </c>
      <c r="M38" s="4748">
        <f>IF(AND(G38=0,$H38+$I38=0),"－ ",$H38+$I38-G38)</f>
        <v>-94148</v>
      </c>
      <c r="N38" s="4289">
        <f>IF(AND(F38=0,$H38+$I38&gt;0),"皆増 ",IF(AND(F38&gt;0,$H38+$I38=0),"皆減 ",IF(AND(F38=0,$H38+$I38=0),"－ ",M38/F38)))</f>
        <v>-2.5861467490222428E-2</v>
      </c>
      <c r="O38" s="4748">
        <f t="shared" ref="O38:O39" si="22">IF(AND(J38=0,$H38=0),"－ ",$H38-J38)</f>
        <v>-1179614</v>
      </c>
      <c r="P38" s="4290">
        <f t="shared" ref="P38:P39" si="23">IF(AND(J38=0,$H38&gt;0),"皆増 ",IF(AND(J38&gt;0,$H38=0),"皆減 ",IF(AND(J38=0,$H38=0),"－ ",O38/J38)))</f>
        <v>-0.26418422442940492</v>
      </c>
      <c r="Q38" s="4621" t="str">
        <f t="shared" si="2"/>
        <v>表示（判定）</v>
      </c>
      <c r="R38" s="4603"/>
      <c r="S38" s="4043" t="s">
        <v>6938</v>
      </c>
      <c r="T38" s="4603">
        <f>SUM(T10:T36)</f>
        <v>42025205</v>
      </c>
    </row>
    <row r="39" spans="1:24" s="4195" customFormat="1" ht="12">
      <c r="A39" s="4291" t="s">
        <v>7131</v>
      </c>
      <c r="B39" s="4291"/>
      <c r="C39" s="4291"/>
      <c r="D39" s="4291"/>
      <c r="F39" s="4791">
        <f t="shared" ref="F39:M39" si="24">F7-F8</f>
        <v>13295850</v>
      </c>
      <c r="G39" s="4791">
        <f t="shared" si="24"/>
        <v>12993633</v>
      </c>
      <c r="H39" s="4791">
        <f t="shared" si="24"/>
        <v>9651905</v>
      </c>
      <c r="I39" s="4791">
        <f t="shared" si="24"/>
        <v>3412485.7390000001</v>
      </c>
      <c r="J39" s="4791">
        <f t="shared" si="24"/>
        <v>10500621</v>
      </c>
      <c r="K39" s="4792">
        <f t="shared" si="24"/>
        <v>-231459.26099999994</v>
      </c>
      <c r="L39" s="4376">
        <f>IF(AND(F39=0,$H39+$I39&gt;0),"皆増 ",IF(AND(F39&gt;0,$H39+$I39=0),"皆減 ",IF(AND(F39=0,$H39+$I39=0),"－ ",K39/F39)))</f>
        <v>-1.7408383894222629E-2</v>
      </c>
      <c r="M39" s="4792">
        <f t="shared" si="24"/>
        <v>70757.73900000006</v>
      </c>
      <c r="N39" s="4376">
        <f>IF(AND(H39=0,$H39+$I39&gt;0),"皆増 ",IF(AND(H39&gt;0,$H39+$I39=0),"皆減 ",IF(AND(H39=0,$H39+$I39=0),"－ ",M39/H39)))</f>
        <v>7.3309609864581201E-3</v>
      </c>
      <c r="O39" s="4792">
        <f t="shared" si="22"/>
        <v>-848716</v>
      </c>
      <c r="P39" s="4376">
        <f t="shared" si="23"/>
        <v>-8.0825314998036787E-2</v>
      </c>
      <c r="Q39" s="4610" t="s">
        <v>7197</v>
      </c>
      <c r="R39" s="4603"/>
      <c r="S39" s="4603"/>
    </row>
    <row r="40" spans="1:24" s="4195" customFormat="1" ht="20.25" customHeight="1" thickBot="1">
      <c r="A40" s="4199" t="s">
        <v>6909</v>
      </c>
      <c r="B40" s="4295"/>
      <c r="C40" s="4295"/>
      <c r="D40" s="4295"/>
      <c r="E40" s="4055"/>
      <c r="F40" s="4604"/>
      <c r="G40" s="4604"/>
      <c r="H40" s="4609"/>
      <c r="I40" s="4609"/>
      <c r="J40" s="4609"/>
      <c r="K40" s="4293"/>
      <c r="L40" s="4294"/>
      <c r="M40" s="4293"/>
      <c r="N40" s="4294"/>
      <c r="O40" s="4293"/>
      <c r="P40" s="4294"/>
      <c r="Q40" s="4610" t="s">
        <v>7197</v>
      </c>
      <c r="R40" s="4603"/>
      <c r="S40" s="4603"/>
    </row>
    <row r="41" spans="1:24" s="4195" customFormat="1" ht="20.25" hidden="1" customHeight="1" outlineLevel="1">
      <c r="A41" s="5160" t="s">
        <v>6881</v>
      </c>
      <c r="B41" s="5161"/>
      <c r="C41" s="5161"/>
      <c r="D41" s="5162"/>
      <c r="E41" s="4296" t="s">
        <v>6940</v>
      </c>
      <c r="F41" s="5182">
        <f>+F4</f>
        <v>0</v>
      </c>
      <c r="G41" s="5183">
        <f>+G4</f>
        <v>0</v>
      </c>
      <c r="H41" s="5184"/>
      <c r="I41" s="4617"/>
      <c r="J41" s="4606">
        <f>+J4</f>
        <v>0</v>
      </c>
      <c r="K41" s="5169" t="s">
        <v>6882</v>
      </c>
      <c r="L41" s="5185"/>
      <c r="M41" s="5169"/>
      <c r="N41" s="5181"/>
      <c r="O41" s="5169" t="s">
        <v>6882</v>
      </c>
      <c r="P41" s="5170"/>
      <c r="Q41" s="4620" t="s">
        <v>7099</v>
      </c>
      <c r="R41" s="4607"/>
      <c r="S41" s="4603"/>
    </row>
    <row r="42" spans="1:24" s="4195" customFormat="1" ht="20.25" hidden="1" customHeight="1" outlineLevel="1">
      <c r="A42" s="5163"/>
      <c r="B42" s="5164"/>
      <c r="C42" s="5164"/>
      <c r="D42" s="5165"/>
      <c r="E42" s="5171" t="s">
        <v>6941</v>
      </c>
      <c r="F42" s="5173" t="s">
        <v>6942</v>
      </c>
      <c r="G42" s="4615" t="s">
        <v>7195</v>
      </c>
      <c r="H42" s="5175" t="s">
        <v>6884</v>
      </c>
      <c r="I42" s="4618"/>
      <c r="J42" s="5177" t="s">
        <v>6943</v>
      </c>
      <c r="K42" s="5179" t="str">
        <f>+K5</f>
        <v>対Ｒ５議決予算</v>
      </c>
      <c r="L42" s="4753"/>
      <c r="M42" s="5179"/>
      <c r="N42" s="4749"/>
      <c r="O42" s="5179" t="str">
        <f>+O5</f>
        <v>対Ｒ４決算</v>
      </c>
      <c r="P42" s="4717"/>
      <c r="Q42" s="4625" t="s">
        <v>7099</v>
      </c>
      <c r="R42" s="5186" t="s">
        <v>7014</v>
      </c>
      <c r="S42" s="4603"/>
    </row>
    <row r="43" spans="1:24" s="4195" customFormat="1" ht="20.25" hidden="1" customHeight="1" outlineLevel="1" thickBot="1">
      <c r="A43" s="5166"/>
      <c r="B43" s="5167"/>
      <c r="C43" s="5167"/>
      <c r="D43" s="5168"/>
      <c r="E43" s="5172"/>
      <c r="F43" s="5174"/>
      <c r="G43" s="4616"/>
      <c r="H43" s="5176"/>
      <c r="I43" s="4619"/>
      <c r="J43" s="5178"/>
      <c r="K43" s="5180"/>
      <c r="L43" s="4754" t="s">
        <v>6885</v>
      </c>
      <c r="M43" s="5180"/>
      <c r="N43" s="4321"/>
      <c r="O43" s="5180"/>
      <c r="P43" s="4323" t="s">
        <v>6885</v>
      </c>
      <c r="Q43" s="4620" t="s">
        <v>7099</v>
      </c>
      <c r="R43" s="5186"/>
      <c r="S43" s="4603"/>
    </row>
    <row r="44" spans="1:24" s="4195" customFormat="1" ht="20.25" customHeight="1" collapsed="1">
      <c r="A44" s="5123" t="s">
        <v>6972</v>
      </c>
      <c r="B44" s="5124"/>
      <c r="C44" s="5124"/>
      <c r="D44" s="5125"/>
      <c r="E44" s="4324">
        <f>SUM(E45,E62:E63,E70)</f>
        <v>0</v>
      </c>
      <c r="F44" s="4793">
        <f>SUM(F45,F62:F63,F69,F70)</f>
        <v>71361650</v>
      </c>
      <c r="G44" s="4794">
        <f>SUM(G45,G62:G63,G69,G70)</f>
        <v>71076971</v>
      </c>
      <c r="H44" s="4795">
        <f>SUM(H45,H62:H63,H70)</f>
        <v>61875977</v>
      </c>
      <c r="I44" s="4795">
        <f>SUM(I45,I62:I63,I70)</f>
        <v>9225844</v>
      </c>
      <c r="J44" s="4796">
        <f>SUM(J45,J62:J63,J69,J70)</f>
        <v>59709459</v>
      </c>
      <c r="K44" s="4750">
        <f t="shared" ref="K44:K70" si="25">IF(AND(F44=0,$H44+$I44=0),"－ ",$H44+$I44-F44)</f>
        <v>-259829</v>
      </c>
      <c r="L44" s="4755">
        <f t="shared" ref="L44:L70" si="26">IF(AND(F44=0,$H44+$I44&gt;0),"皆増 ",IF(AND(F44&gt;0,$H44+$I44=0),"皆減 ",IF(AND(F44=0,$H44+$I44=0),"－ ",K44/F44)))</f>
        <v>-3.6410172690794006E-3</v>
      </c>
      <c r="M44" s="4750">
        <f t="shared" ref="M44:M70" si="27">IF(AND(G44=0,$H44+$I44=0),"－ ",$H44+$I44-G44)</f>
        <v>24850</v>
      </c>
      <c r="N44" s="4330">
        <f t="shared" ref="N44:N70" si="28">IF(AND(F44=0,$H44+$I44&gt;0),"皆増 ",IF(AND(F44&gt;0,$H44+$I44=0),"皆減 ",IF(AND(F44=0,$H44+$I44=0),"－ ",M44/F44)))</f>
        <v>3.4822625317660114E-4</v>
      </c>
      <c r="O44" s="4750">
        <f t="shared" ref="O44:O70" si="29">IF(AND(J44=0,$H44=0),"－ ",$H44-J44)</f>
        <v>2166518</v>
      </c>
      <c r="P44" s="4331">
        <f t="shared" ref="P44:P70" si="30">IF(AND(J44=0,$H44&gt;0),"皆増 ",IF(AND(J44&gt;0,$H44=0),"皆減 ",IF(AND(J44=0,$H44=0),"－ ",O44/J44)))</f>
        <v>3.6284334781864297E-2</v>
      </c>
      <c r="Q44" s="4621" t="str">
        <f t="shared" ref="Q44:Q70" si="31">IF(OR(F44&gt;0,G44&gt;0,H44&gt;0,I44&gt;0,J44&gt;0),"表示（判定）","×表示しない")</f>
        <v>表示（判定）</v>
      </c>
      <c r="R44" s="4603"/>
      <c r="S44" s="4603">
        <f>IF('(繰)4条支出 '!G5=SUM(S46:S68),'(繰)4条支出 '!G5,"エラー")</f>
        <v>61875977537</v>
      </c>
      <c r="T44" s="4603">
        <f t="shared" ref="T44:T46" si="32">ROUND(S44/1000,0)+U44</f>
        <v>61875978</v>
      </c>
      <c r="X44" s="4612">
        <f t="shared" ref="X44" si="33">SUM(J44,W44)</f>
        <v>59709459</v>
      </c>
    </row>
    <row r="45" spans="1:24" s="4195" customFormat="1" ht="20.25" customHeight="1">
      <c r="A45" s="4332"/>
      <c r="B45" s="5126" t="s">
        <v>6973</v>
      </c>
      <c r="C45" s="5127"/>
      <c r="D45" s="5128"/>
      <c r="E45" s="4333">
        <f t="shared" ref="E45:J45" si="34">SUM(E46,E55:E61)</f>
        <v>0</v>
      </c>
      <c r="F45" s="4797">
        <f t="shared" si="34"/>
        <v>26729940</v>
      </c>
      <c r="G45" s="4798">
        <f t="shared" si="34"/>
        <v>26451549</v>
      </c>
      <c r="H45" s="4799">
        <f t="shared" si="34"/>
        <v>17250555</v>
      </c>
      <c r="I45" s="4799">
        <f t="shared" si="34"/>
        <v>9225844</v>
      </c>
      <c r="J45" s="4800">
        <f t="shared" si="34"/>
        <v>15160690</v>
      </c>
      <c r="K45" s="4745">
        <f t="shared" si="25"/>
        <v>-253541</v>
      </c>
      <c r="L45" s="4741">
        <f t="shared" si="26"/>
        <v>-9.485281298798276E-3</v>
      </c>
      <c r="M45" s="4745">
        <f t="shared" si="27"/>
        <v>24850</v>
      </c>
      <c r="N45" s="4228">
        <f t="shared" si="28"/>
        <v>9.2966912757754038E-4</v>
      </c>
      <c r="O45" s="4745">
        <f t="shared" si="29"/>
        <v>2089865</v>
      </c>
      <c r="P45" s="4230">
        <f t="shared" si="30"/>
        <v>0.13784761775354551</v>
      </c>
      <c r="Q45" s="4621" t="str">
        <f t="shared" si="31"/>
        <v>表示（判定）</v>
      </c>
      <c r="R45" s="4603"/>
      <c r="S45" s="4603"/>
      <c r="W45" s="4603">
        <f>SUM(W46:W61)</f>
        <v>9225844.0989999995</v>
      </c>
      <c r="X45" s="4612">
        <f>SUM(J45,W45)</f>
        <v>24386534.098999999</v>
      </c>
    </row>
    <row r="46" spans="1:24" s="4195" customFormat="1" ht="20.25" customHeight="1">
      <c r="A46" s="4221"/>
      <c r="B46" s="4231"/>
      <c r="C46" s="5107" t="s">
        <v>6974</v>
      </c>
      <c r="D46" s="5108"/>
      <c r="E46" s="4247"/>
      <c r="F46" s="4770">
        <f>ROUND('(繰)4条支出 '!D7/1000,0)+R46</f>
        <v>24271124</v>
      </c>
      <c r="G46" s="4768">
        <f>'４条（みなし）'!G46+R46</f>
        <v>24082562</v>
      </c>
      <c r="H46" s="4768">
        <f>T46</f>
        <v>15677650</v>
      </c>
      <c r="I46" s="4768">
        <f>ROUND('(繰)4条支出 '!J7/1000,0)</f>
        <v>8532522</v>
      </c>
      <c r="J46" s="4769">
        <v>13953604</v>
      </c>
      <c r="K46" s="4746">
        <f t="shared" si="25"/>
        <v>-60952</v>
      </c>
      <c r="L46" s="4742">
        <f t="shared" si="26"/>
        <v>-2.5112969634204004E-3</v>
      </c>
      <c r="M46" s="4746">
        <f t="shared" si="27"/>
        <v>127610</v>
      </c>
      <c r="N46" s="4238">
        <f t="shared" si="28"/>
        <v>5.2576881070691243E-3</v>
      </c>
      <c r="O46" s="4746">
        <f t="shared" si="29"/>
        <v>1724046</v>
      </c>
      <c r="P46" s="4239">
        <f t="shared" si="30"/>
        <v>0.12355560613587716</v>
      </c>
      <c r="Q46" s="4621" t="str">
        <f t="shared" si="31"/>
        <v>表示（判定）</v>
      </c>
      <c r="R46" s="4608">
        <v>8377953</v>
      </c>
      <c r="S46" s="4603">
        <f>'(繰)4条支出 '!G7</f>
        <v>15677649564</v>
      </c>
      <c r="T46" s="4603">
        <f t="shared" si="32"/>
        <v>15677650</v>
      </c>
      <c r="W46" s="4603">
        <f>'(繰)4条支出 '!J7/1000</f>
        <v>8532522.4189999998</v>
      </c>
      <c r="X46" s="4612">
        <f t="shared" ref="X46:X68" si="35">SUM(J46,W46)</f>
        <v>22486126.419</v>
      </c>
    </row>
    <row r="47" spans="1:24" s="4195" customFormat="1" ht="20.25" hidden="1" customHeight="1">
      <c r="A47" s="4221"/>
      <c r="B47" s="4240"/>
      <c r="C47" s="4231"/>
      <c r="D47" s="4338" t="s">
        <v>6975</v>
      </c>
      <c r="E47" s="4339"/>
      <c r="F47" s="4801"/>
      <c r="G47" s="4772"/>
      <c r="H47" s="4772"/>
      <c r="I47" s="4772"/>
      <c r="J47" s="4802"/>
      <c r="K47" s="4746" t="str">
        <f t="shared" si="25"/>
        <v xml:space="preserve">－ </v>
      </c>
      <c r="L47" s="4742" t="str">
        <f t="shared" si="26"/>
        <v xml:space="preserve">－ </v>
      </c>
      <c r="M47" s="4746" t="str">
        <f t="shared" si="27"/>
        <v xml:space="preserve">－ </v>
      </c>
      <c r="N47" s="4238" t="str">
        <f t="shared" si="28"/>
        <v xml:space="preserve">－ </v>
      </c>
      <c r="O47" s="4746" t="str">
        <f t="shared" si="29"/>
        <v xml:space="preserve">－ </v>
      </c>
      <c r="P47" s="4239" t="str">
        <f t="shared" si="30"/>
        <v xml:space="preserve">－ </v>
      </c>
      <c r="Q47" s="4621" t="str">
        <f t="shared" si="31"/>
        <v>×表示しない</v>
      </c>
      <c r="R47" s="4603"/>
      <c r="S47" s="4603"/>
      <c r="X47" s="4612">
        <f t="shared" si="35"/>
        <v>0</v>
      </c>
    </row>
    <row r="48" spans="1:24" s="4195" customFormat="1" ht="20.25" hidden="1" customHeight="1">
      <c r="A48" s="4221"/>
      <c r="B48" s="4240"/>
      <c r="C48" s="4240"/>
      <c r="D48" s="4338" t="s">
        <v>6976</v>
      </c>
      <c r="E48" s="4339"/>
      <c r="F48" s="4801"/>
      <c r="G48" s="4772"/>
      <c r="H48" s="4772"/>
      <c r="I48" s="4772"/>
      <c r="J48" s="4802"/>
      <c r="K48" s="4746" t="str">
        <f t="shared" si="25"/>
        <v xml:space="preserve">－ </v>
      </c>
      <c r="L48" s="4742" t="str">
        <f t="shared" si="26"/>
        <v xml:space="preserve">－ </v>
      </c>
      <c r="M48" s="4746" t="str">
        <f t="shared" si="27"/>
        <v xml:space="preserve">－ </v>
      </c>
      <c r="N48" s="4238" t="str">
        <f t="shared" si="28"/>
        <v xml:space="preserve">－ </v>
      </c>
      <c r="O48" s="4746" t="str">
        <f t="shared" si="29"/>
        <v xml:space="preserve">－ </v>
      </c>
      <c r="P48" s="4239" t="str">
        <f t="shared" si="30"/>
        <v xml:space="preserve">－ </v>
      </c>
      <c r="Q48" s="4621" t="str">
        <f t="shared" si="31"/>
        <v>×表示しない</v>
      </c>
      <c r="R48" s="4603"/>
      <c r="S48" s="4603"/>
      <c r="X48" s="4612">
        <f t="shared" si="35"/>
        <v>0</v>
      </c>
    </row>
    <row r="49" spans="1:24" s="4195" customFormat="1" ht="20.25" hidden="1" customHeight="1">
      <c r="A49" s="4221"/>
      <c r="B49" s="4240"/>
      <c r="C49" s="4240"/>
      <c r="D49" s="4338" t="s">
        <v>6977</v>
      </c>
      <c r="E49" s="4339"/>
      <c r="F49" s="4801"/>
      <c r="G49" s="4772"/>
      <c r="H49" s="4772"/>
      <c r="I49" s="4772"/>
      <c r="J49" s="4802"/>
      <c r="K49" s="4746" t="str">
        <f t="shared" si="25"/>
        <v xml:space="preserve">－ </v>
      </c>
      <c r="L49" s="4742" t="str">
        <f t="shared" si="26"/>
        <v xml:space="preserve">－ </v>
      </c>
      <c r="M49" s="4746" t="str">
        <f t="shared" si="27"/>
        <v xml:space="preserve">－ </v>
      </c>
      <c r="N49" s="4238" t="str">
        <f t="shared" si="28"/>
        <v xml:space="preserve">－ </v>
      </c>
      <c r="O49" s="4746" t="str">
        <f t="shared" si="29"/>
        <v xml:space="preserve">－ </v>
      </c>
      <c r="P49" s="4239" t="str">
        <f t="shared" si="30"/>
        <v xml:space="preserve">－ </v>
      </c>
      <c r="Q49" s="4621" t="str">
        <f t="shared" si="31"/>
        <v>×表示しない</v>
      </c>
      <c r="R49" s="4603"/>
      <c r="S49" s="4603"/>
      <c r="X49" s="4612">
        <f t="shared" si="35"/>
        <v>0</v>
      </c>
    </row>
    <row r="50" spans="1:24" s="4195" customFormat="1" ht="20.25" hidden="1" customHeight="1">
      <c r="A50" s="4221"/>
      <c r="B50" s="4240"/>
      <c r="C50" s="4240"/>
      <c r="D50" s="4575" t="s">
        <v>6978</v>
      </c>
      <c r="E50" s="4247"/>
      <c r="F50" s="4801"/>
      <c r="G50" s="4772"/>
      <c r="H50" s="4772"/>
      <c r="I50" s="4772"/>
      <c r="J50" s="4802"/>
      <c r="K50" s="4746" t="str">
        <f t="shared" si="25"/>
        <v xml:space="preserve">－ </v>
      </c>
      <c r="L50" s="4742" t="str">
        <f t="shared" si="26"/>
        <v xml:space="preserve">－ </v>
      </c>
      <c r="M50" s="4746" t="str">
        <f t="shared" si="27"/>
        <v xml:space="preserve">－ </v>
      </c>
      <c r="N50" s="4238" t="str">
        <f t="shared" si="28"/>
        <v xml:space="preserve">－ </v>
      </c>
      <c r="O50" s="4746" t="str">
        <f t="shared" si="29"/>
        <v xml:space="preserve">－ </v>
      </c>
      <c r="P50" s="4239" t="str">
        <f t="shared" si="30"/>
        <v xml:space="preserve">－ </v>
      </c>
      <c r="Q50" s="4621" t="str">
        <f t="shared" si="31"/>
        <v>×表示しない</v>
      </c>
      <c r="R50" s="4603"/>
      <c r="S50" s="4603"/>
      <c r="X50" s="4612">
        <f t="shared" si="35"/>
        <v>0</v>
      </c>
    </row>
    <row r="51" spans="1:24" s="4195" customFormat="1" ht="20.25" hidden="1" customHeight="1">
      <c r="A51" s="4221"/>
      <c r="B51" s="4240"/>
      <c r="C51" s="4240"/>
      <c r="D51" s="4575" t="s">
        <v>6979</v>
      </c>
      <c r="E51" s="4247"/>
      <c r="F51" s="4801"/>
      <c r="G51" s="4772"/>
      <c r="H51" s="4772"/>
      <c r="I51" s="4772"/>
      <c r="J51" s="4802"/>
      <c r="K51" s="4746" t="str">
        <f t="shared" si="25"/>
        <v xml:space="preserve">－ </v>
      </c>
      <c r="L51" s="4742" t="str">
        <f t="shared" si="26"/>
        <v xml:space="preserve">－ </v>
      </c>
      <c r="M51" s="4746" t="str">
        <f t="shared" si="27"/>
        <v xml:space="preserve">－ </v>
      </c>
      <c r="N51" s="4238" t="str">
        <f t="shared" si="28"/>
        <v xml:space="preserve">－ </v>
      </c>
      <c r="O51" s="4746" t="str">
        <f t="shared" si="29"/>
        <v xml:space="preserve">－ </v>
      </c>
      <c r="P51" s="4239" t="str">
        <f t="shared" si="30"/>
        <v xml:space="preserve">－ </v>
      </c>
      <c r="Q51" s="4621" t="str">
        <f t="shared" si="31"/>
        <v>×表示しない</v>
      </c>
      <c r="R51" s="4603"/>
      <c r="S51" s="4603"/>
      <c r="X51" s="4612">
        <f t="shared" si="35"/>
        <v>0</v>
      </c>
    </row>
    <row r="52" spans="1:24" s="4195" customFormat="1" ht="20.25" hidden="1" customHeight="1">
      <c r="A52" s="4221"/>
      <c r="B52" s="4240"/>
      <c r="C52" s="4240"/>
      <c r="D52" s="4575" t="s">
        <v>6980</v>
      </c>
      <c r="E52" s="4247"/>
      <c r="F52" s="4801"/>
      <c r="G52" s="4772"/>
      <c r="H52" s="4772"/>
      <c r="I52" s="4772"/>
      <c r="J52" s="4802"/>
      <c r="K52" s="4746" t="str">
        <f t="shared" si="25"/>
        <v xml:space="preserve">－ </v>
      </c>
      <c r="L52" s="4742" t="str">
        <f t="shared" si="26"/>
        <v xml:space="preserve">－ </v>
      </c>
      <c r="M52" s="4746" t="str">
        <f t="shared" si="27"/>
        <v xml:space="preserve">－ </v>
      </c>
      <c r="N52" s="4238" t="str">
        <f t="shared" si="28"/>
        <v xml:space="preserve">－ </v>
      </c>
      <c r="O52" s="4746" t="str">
        <f t="shared" si="29"/>
        <v xml:space="preserve">－ </v>
      </c>
      <c r="P52" s="4239" t="str">
        <f t="shared" si="30"/>
        <v xml:space="preserve">－ </v>
      </c>
      <c r="Q52" s="4621" t="str">
        <f t="shared" si="31"/>
        <v>×表示しない</v>
      </c>
      <c r="R52" s="4603"/>
      <c r="S52" s="4603"/>
      <c r="X52" s="4612">
        <f t="shared" si="35"/>
        <v>0</v>
      </c>
    </row>
    <row r="53" spans="1:24" s="4195" customFormat="1" ht="20.25" hidden="1" customHeight="1">
      <c r="A53" s="4221"/>
      <c r="B53" s="4240"/>
      <c r="C53" s="4240"/>
      <c r="D53" s="4575" t="s">
        <v>6981</v>
      </c>
      <c r="E53" s="4247"/>
      <c r="F53" s="4801"/>
      <c r="G53" s="4772"/>
      <c r="H53" s="4772"/>
      <c r="I53" s="4772"/>
      <c r="J53" s="4802"/>
      <c r="K53" s="4746" t="str">
        <f t="shared" si="25"/>
        <v xml:space="preserve">－ </v>
      </c>
      <c r="L53" s="4742" t="str">
        <f t="shared" si="26"/>
        <v xml:space="preserve">－ </v>
      </c>
      <c r="M53" s="4746" t="str">
        <f t="shared" si="27"/>
        <v xml:space="preserve">－ </v>
      </c>
      <c r="N53" s="4238" t="str">
        <f t="shared" si="28"/>
        <v xml:space="preserve">－ </v>
      </c>
      <c r="O53" s="4746" t="str">
        <f t="shared" si="29"/>
        <v xml:space="preserve">－ </v>
      </c>
      <c r="P53" s="4239" t="str">
        <f t="shared" si="30"/>
        <v xml:space="preserve">－ </v>
      </c>
      <c r="Q53" s="4621" t="str">
        <f t="shared" si="31"/>
        <v>×表示しない</v>
      </c>
      <c r="R53" s="4603"/>
      <c r="S53" s="4603"/>
      <c r="X53" s="4612">
        <f t="shared" si="35"/>
        <v>0</v>
      </c>
    </row>
    <row r="54" spans="1:24" s="4195" customFormat="1" ht="20.25" hidden="1" customHeight="1">
      <c r="A54" s="4221"/>
      <c r="B54" s="4240"/>
      <c r="C54" s="4256"/>
      <c r="D54" s="4575" t="s">
        <v>6982</v>
      </c>
      <c r="E54" s="4247"/>
      <c r="F54" s="4801"/>
      <c r="G54" s="4772"/>
      <c r="H54" s="4772"/>
      <c r="I54" s="4772"/>
      <c r="J54" s="4802"/>
      <c r="K54" s="4746" t="str">
        <f t="shared" si="25"/>
        <v xml:space="preserve">－ </v>
      </c>
      <c r="L54" s="4742" t="str">
        <f t="shared" si="26"/>
        <v xml:space="preserve">－ </v>
      </c>
      <c r="M54" s="4746" t="str">
        <f t="shared" si="27"/>
        <v xml:space="preserve">－ </v>
      </c>
      <c r="N54" s="4238" t="str">
        <f t="shared" si="28"/>
        <v xml:space="preserve">－ </v>
      </c>
      <c r="O54" s="4746" t="str">
        <f t="shared" si="29"/>
        <v xml:space="preserve">－ </v>
      </c>
      <c r="P54" s="4239" t="str">
        <f t="shared" si="30"/>
        <v xml:space="preserve">－ </v>
      </c>
      <c r="Q54" s="4621" t="str">
        <f t="shared" si="31"/>
        <v>×表示しない</v>
      </c>
      <c r="R54" s="4603"/>
      <c r="S54" s="4603"/>
      <c r="X54" s="4612">
        <f t="shared" si="35"/>
        <v>0</v>
      </c>
    </row>
    <row r="55" spans="1:24" s="4195" customFormat="1" ht="20.25" customHeight="1">
      <c r="A55" s="4221"/>
      <c r="B55" s="4240"/>
      <c r="C55" s="5107" t="s">
        <v>6983</v>
      </c>
      <c r="D55" s="5108"/>
      <c r="E55" s="4247"/>
      <c r="F55" s="4770">
        <f>ROUND('(繰)4条支出 '!D8/1000,0)</f>
        <v>18558</v>
      </c>
      <c r="G55" s="4768">
        <f>'４条（みなし）'!G55+R55</f>
        <v>17032</v>
      </c>
      <c r="H55" s="4768">
        <f>T55</f>
        <v>15860</v>
      </c>
      <c r="I55" s="4768"/>
      <c r="J55" s="4769">
        <v>12170</v>
      </c>
      <c r="K55" s="4746">
        <f t="shared" si="25"/>
        <v>-2698</v>
      </c>
      <c r="L55" s="4742">
        <f t="shared" si="26"/>
        <v>-0.14538204547903869</v>
      </c>
      <c r="M55" s="4746">
        <f t="shared" si="27"/>
        <v>-1172</v>
      </c>
      <c r="N55" s="4238">
        <f t="shared" si="28"/>
        <v>-6.3153357042784783E-2</v>
      </c>
      <c r="O55" s="4746">
        <f t="shared" si="29"/>
        <v>3690</v>
      </c>
      <c r="P55" s="4239">
        <f t="shared" si="30"/>
        <v>0.30320460147904682</v>
      </c>
      <c r="Q55" s="4621" t="str">
        <f t="shared" si="31"/>
        <v>表示（判定）</v>
      </c>
      <c r="R55" s="4603"/>
      <c r="S55" s="4603">
        <f>'(繰)4条支出 '!G8</f>
        <v>15860357</v>
      </c>
      <c r="T55" s="4603">
        <f t="shared" ref="T55:T62" si="36">ROUND(S55/1000,0)+U55</f>
        <v>15860</v>
      </c>
      <c r="U55" s="4613"/>
      <c r="X55" s="4612">
        <f t="shared" si="35"/>
        <v>12170</v>
      </c>
    </row>
    <row r="56" spans="1:24" s="4195" customFormat="1" ht="20.25" customHeight="1">
      <c r="A56" s="4221"/>
      <c r="B56" s="4240"/>
      <c r="C56" s="5107" t="s">
        <v>6984</v>
      </c>
      <c r="D56" s="5108"/>
      <c r="E56" s="4247"/>
      <c r="F56" s="4770">
        <f>ROUND('(繰)4条支出 '!D9/1000,0)+R56</f>
        <v>1284949</v>
      </c>
      <c r="G56" s="4768">
        <f>'４条（みなし）'!G56+R56</f>
        <v>1235802</v>
      </c>
      <c r="H56" s="4768">
        <f t="shared" ref="H56:H61" si="37">T56</f>
        <v>665100</v>
      </c>
      <c r="I56" s="4768">
        <f>ROUND('(繰)4条支出 '!J9/1000,0)</f>
        <v>520900</v>
      </c>
      <c r="J56" s="4769">
        <v>446991</v>
      </c>
      <c r="K56" s="4746">
        <f t="shared" si="25"/>
        <v>-98949</v>
      </c>
      <c r="L56" s="4742">
        <f t="shared" si="26"/>
        <v>-7.7006169116439635E-2</v>
      </c>
      <c r="M56" s="4746">
        <f t="shared" si="27"/>
        <v>-49802</v>
      </c>
      <c r="N56" s="4238">
        <f t="shared" si="28"/>
        <v>-3.875795848706836E-2</v>
      </c>
      <c r="O56" s="4746">
        <f t="shared" si="29"/>
        <v>218109</v>
      </c>
      <c r="P56" s="4239">
        <f t="shared" si="30"/>
        <v>0.48794942180043893</v>
      </c>
      <c r="Q56" s="4621" t="str">
        <f t="shared" si="31"/>
        <v>表示（判定）</v>
      </c>
      <c r="R56" s="4608">
        <v>505422</v>
      </c>
      <c r="S56" s="4603">
        <f>'(繰)4条支出 '!G9</f>
        <v>665100151</v>
      </c>
      <c r="T56" s="4603">
        <f t="shared" si="36"/>
        <v>665100</v>
      </c>
      <c r="W56" s="4603">
        <f>'(繰)4条支出 '!J9/1000</f>
        <v>520900.20199999999</v>
      </c>
      <c r="X56" s="4612">
        <f t="shared" si="35"/>
        <v>967891.20200000005</v>
      </c>
    </row>
    <row r="57" spans="1:24" s="4195" customFormat="1" ht="20.25" hidden="1" customHeight="1">
      <c r="A57" s="4221"/>
      <c r="B57" s="4240"/>
      <c r="C57" s="5107" t="s">
        <v>6985</v>
      </c>
      <c r="D57" s="5108"/>
      <c r="E57" s="4247"/>
      <c r="F57" s="4770">
        <f>ROUND('(繰)4条支出 '!D10/1000,0)</f>
        <v>0</v>
      </c>
      <c r="G57" s="4768">
        <f>'４条（みなし）'!G57+R57</f>
        <v>0</v>
      </c>
      <c r="H57" s="4768">
        <f t="shared" si="37"/>
        <v>0</v>
      </c>
      <c r="I57" s="4768"/>
      <c r="J57" s="4769">
        <v>0</v>
      </c>
      <c r="K57" s="4746" t="str">
        <f t="shared" si="25"/>
        <v xml:space="preserve">－ </v>
      </c>
      <c r="L57" s="4742" t="str">
        <f t="shared" si="26"/>
        <v xml:space="preserve">－ </v>
      </c>
      <c r="M57" s="4746" t="str">
        <f t="shared" si="27"/>
        <v xml:space="preserve">－ </v>
      </c>
      <c r="N57" s="4238" t="str">
        <f t="shared" si="28"/>
        <v xml:space="preserve">－ </v>
      </c>
      <c r="O57" s="4746" t="str">
        <f t="shared" si="29"/>
        <v xml:space="preserve">－ </v>
      </c>
      <c r="P57" s="4239" t="str">
        <f t="shared" si="30"/>
        <v xml:space="preserve">－ </v>
      </c>
      <c r="Q57" s="4621" t="str">
        <f t="shared" si="31"/>
        <v>×表示しない</v>
      </c>
      <c r="R57" s="4603"/>
      <c r="S57" s="4603">
        <f>'(繰)4条支出 '!G10</f>
        <v>0</v>
      </c>
      <c r="T57" s="4603">
        <f t="shared" si="36"/>
        <v>0</v>
      </c>
      <c r="X57" s="4612">
        <f t="shared" si="35"/>
        <v>0</v>
      </c>
    </row>
    <row r="58" spans="1:24" s="4195" customFormat="1" ht="20.25" customHeight="1">
      <c r="A58" s="4221"/>
      <c r="B58" s="4240"/>
      <c r="C58" s="5107" t="s">
        <v>6986</v>
      </c>
      <c r="D58" s="5108"/>
      <c r="E58" s="4247"/>
      <c r="F58" s="4770">
        <f>ROUND('(繰)4条支出 '!D11/1000,0)</f>
        <v>172142</v>
      </c>
      <c r="G58" s="4768">
        <f>'４条（みなし）'!G58+R58</f>
        <v>172142</v>
      </c>
      <c r="H58" s="4768">
        <f t="shared" si="37"/>
        <v>131922</v>
      </c>
      <c r="I58" s="4768"/>
      <c r="J58" s="4769">
        <v>93130</v>
      </c>
      <c r="K58" s="4746">
        <f t="shared" si="25"/>
        <v>-40220</v>
      </c>
      <c r="L58" s="4742">
        <f t="shared" si="26"/>
        <v>-0.233644316901163</v>
      </c>
      <c r="M58" s="4746">
        <f t="shared" si="27"/>
        <v>-40220</v>
      </c>
      <c r="N58" s="4238">
        <f t="shared" si="28"/>
        <v>-0.233644316901163</v>
      </c>
      <c r="O58" s="4746">
        <f t="shared" si="29"/>
        <v>38792</v>
      </c>
      <c r="P58" s="4239">
        <f t="shared" si="30"/>
        <v>0.41653602491141417</v>
      </c>
      <c r="Q58" s="4621" t="str">
        <f t="shared" si="31"/>
        <v>表示（判定）</v>
      </c>
      <c r="R58" s="4603"/>
      <c r="S58" s="4603">
        <f>'(繰)4条支出 '!G11</f>
        <v>131921564</v>
      </c>
      <c r="T58" s="4603">
        <f t="shared" si="36"/>
        <v>131922</v>
      </c>
      <c r="X58" s="4612">
        <f t="shared" si="35"/>
        <v>93130</v>
      </c>
    </row>
    <row r="59" spans="1:24" s="4195" customFormat="1" ht="20.25" customHeight="1">
      <c r="A59" s="4221"/>
      <c r="B59" s="4240"/>
      <c r="C59" s="5107" t="s">
        <v>6987</v>
      </c>
      <c r="D59" s="5108"/>
      <c r="E59" s="4247"/>
      <c r="F59" s="4770">
        <f>ROUND('(繰)4条支出 '!D12/1000,0)+R59</f>
        <v>112574</v>
      </c>
      <c r="G59" s="4768">
        <f>'４条（みなし）'!G59+R59</f>
        <v>107079</v>
      </c>
      <c r="H59" s="4768">
        <f t="shared" si="37"/>
        <v>59178</v>
      </c>
      <c r="I59" s="4768">
        <f>ROUND('(繰)4条支出 '!J12/1000,0)</f>
        <v>46750</v>
      </c>
      <c r="J59" s="4769">
        <v>33100</v>
      </c>
      <c r="K59" s="4746">
        <f t="shared" si="25"/>
        <v>-6646</v>
      </c>
      <c r="L59" s="4742">
        <f t="shared" si="26"/>
        <v>-5.9036722511414716E-2</v>
      </c>
      <c r="M59" s="4746">
        <f t="shared" si="27"/>
        <v>-1151</v>
      </c>
      <c r="N59" s="4238">
        <f t="shared" si="28"/>
        <v>-1.0224385737381634E-2</v>
      </c>
      <c r="O59" s="4746">
        <f t="shared" si="29"/>
        <v>26078</v>
      </c>
      <c r="P59" s="4239">
        <f t="shared" si="30"/>
        <v>0.78785498489425987</v>
      </c>
      <c r="Q59" s="4621" t="str">
        <f t="shared" si="31"/>
        <v>表示（判定）</v>
      </c>
      <c r="R59" s="4608">
        <v>21630</v>
      </c>
      <c r="S59" s="4603">
        <f>'(繰)4条支出 '!G12</f>
        <v>59178010</v>
      </c>
      <c r="T59" s="4603">
        <f t="shared" si="36"/>
        <v>59178</v>
      </c>
      <c r="W59" s="4603">
        <f>'(繰)4条支出 '!J12/1000</f>
        <v>46750</v>
      </c>
      <c r="X59" s="4612">
        <f t="shared" si="35"/>
        <v>79850</v>
      </c>
    </row>
    <row r="60" spans="1:24" s="4195" customFormat="1" ht="20.25" customHeight="1">
      <c r="A60" s="4221"/>
      <c r="B60" s="4240"/>
      <c r="C60" s="5107" t="s">
        <v>6988</v>
      </c>
      <c r="D60" s="5108"/>
      <c r="E60" s="4242"/>
      <c r="F60" s="4770">
        <f>ROUND('(繰)4条支出 '!D13/1000,0)</f>
        <v>12600</v>
      </c>
      <c r="G60" s="4768">
        <f>'４条（みなし）'!G60+R60</f>
        <v>12600</v>
      </c>
      <c r="H60" s="4768">
        <f t="shared" si="37"/>
        <v>12600</v>
      </c>
      <c r="I60" s="4768"/>
      <c r="J60" s="4769">
        <v>3500</v>
      </c>
      <c r="K60" s="4746">
        <f t="shared" si="25"/>
        <v>0</v>
      </c>
      <c r="L60" s="4742">
        <f t="shared" si="26"/>
        <v>0</v>
      </c>
      <c r="M60" s="4746">
        <f t="shared" si="27"/>
        <v>0</v>
      </c>
      <c r="N60" s="4238">
        <f t="shared" si="28"/>
        <v>0</v>
      </c>
      <c r="O60" s="4746">
        <f t="shared" si="29"/>
        <v>9100</v>
      </c>
      <c r="P60" s="4239">
        <f t="shared" si="30"/>
        <v>2.6</v>
      </c>
      <c r="Q60" s="4621" t="str">
        <f t="shared" si="31"/>
        <v>表示（判定）</v>
      </c>
      <c r="R60" s="4603"/>
      <c r="S60" s="4603">
        <f>'(繰)4条支出 '!G13</f>
        <v>12600000</v>
      </c>
      <c r="T60" s="4603">
        <f t="shared" si="36"/>
        <v>12600</v>
      </c>
      <c r="X60" s="4612">
        <f t="shared" si="35"/>
        <v>3500</v>
      </c>
    </row>
    <row r="61" spans="1:24" s="4195" customFormat="1" ht="20.25" customHeight="1">
      <c r="A61" s="4221"/>
      <c r="B61" s="4256"/>
      <c r="C61" s="5107" t="s">
        <v>6989</v>
      </c>
      <c r="D61" s="5108"/>
      <c r="E61" s="4242"/>
      <c r="F61" s="4770">
        <f>ROUND('(繰)4条支出 '!D14/1000,0)+R61</f>
        <v>857993</v>
      </c>
      <c r="G61" s="4768">
        <f>'４条（みなし）'!G61+R61</f>
        <v>824332</v>
      </c>
      <c r="H61" s="4768">
        <f t="shared" si="37"/>
        <v>688245</v>
      </c>
      <c r="I61" s="4768">
        <f>ROUND('(繰)4条支出 '!J14/1000,0)+1</f>
        <v>125672</v>
      </c>
      <c r="J61" s="4769">
        <v>618195</v>
      </c>
      <c r="K61" s="4746">
        <f t="shared" si="25"/>
        <v>-44076</v>
      </c>
      <c r="L61" s="4742">
        <f t="shared" si="26"/>
        <v>-5.1371048481747519E-2</v>
      </c>
      <c r="M61" s="4746">
        <f t="shared" si="27"/>
        <v>-10415</v>
      </c>
      <c r="N61" s="4238">
        <f t="shared" si="28"/>
        <v>-1.2138793673141855E-2</v>
      </c>
      <c r="O61" s="4746">
        <f t="shared" si="29"/>
        <v>70050</v>
      </c>
      <c r="P61" s="4239">
        <f t="shared" si="30"/>
        <v>0.1133137602212894</v>
      </c>
      <c r="Q61" s="4621" t="str">
        <f t="shared" si="31"/>
        <v>表示（判定）</v>
      </c>
      <c r="R61" s="4608">
        <v>400734</v>
      </c>
      <c r="S61" s="4603">
        <f>'(繰)4条支出 '!G14</f>
        <v>688245424</v>
      </c>
      <c r="T61" s="4603">
        <f t="shared" si="36"/>
        <v>688245</v>
      </c>
      <c r="U61" s="4613"/>
      <c r="W61" s="4603">
        <f>'(繰)4条支出 '!J14/1000</f>
        <v>125671.478</v>
      </c>
      <c r="X61" s="4612">
        <f t="shared" si="35"/>
        <v>743866.478</v>
      </c>
    </row>
    <row r="62" spans="1:24" s="4195" customFormat="1" ht="20.25" customHeight="1">
      <c r="A62" s="4341"/>
      <c r="B62" s="5132" t="s">
        <v>6990</v>
      </c>
      <c r="C62" s="5133"/>
      <c r="D62" s="5108"/>
      <c r="E62" s="4242"/>
      <c r="F62" s="4803">
        <f>ROUND('(繰)4条支出 '!D16/1000,0)</f>
        <v>44621423</v>
      </c>
      <c r="G62" s="4804">
        <f>'４条（みなし）'!G62+R62</f>
        <v>44621240</v>
      </c>
      <c r="H62" s="4768">
        <f>T62</f>
        <v>44621240</v>
      </c>
      <c r="I62" s="4768"/>
      <c r="J62" s="4769">
        <v>44544306</v>
      </c>
      <c r="K62" s="4746">
        <f t="shared" si="25"/>
        <v>-183</v>
      </c>
      <c r="L62" s="4742">
        <f t="shared" si="26"/>
        <v>-4.1011690729809313E-6</v>
      </c>
      <c r="M62" s="4746">
        <f t="shared" si="27"/>
        <v>0</v>
      </c>
      <c r="N62" s="4238">
        <f t="shared" si="28"/>
        <v>0</v>
      </c>
      <c r="O62" s="4746">
        <f t="shared" si="29"/>
        <v>76934</v>
      </c>
      <c r="P62" s="4239">
        <f t="shared" si="30"/>
        <v>1.7271343277859127E-3</v>
      </c>
      <c r="Q62" s="4621" t="str">
        <f t="shared" si="31"/>
        <v>表示（判定）</v>
      </c>
      <c r="R62" s="4603"/>
      <c r="S62" s="4603">
        <f>'(繰)4条支出 '!G15</f>
        <v>44621240467</v>
      </c>
      <c r="T62" s="4603">
        <f t="shared" si="36"/>
        <v>44621240</v>
      </c>
      <c r="X62" s="4612">
        <f t="shared" si="35"/>
        <v>44544306</v>
      </c>
    </row>
    <row r="63" spans="1:24" s="4195" customFormat="1" ht="20.25" customHeight="1">
      <c r="A63" s="4341"/>
      <c r="B63" s="5132" t="s">
        <v>6991</v>
      </c>
      <c r="C63" s="5133"/>
      <c r="D63" s="5108"/>
      <c r="E63" s="4232">
        <f>SUM(E64,E68)</f>
        <v>0</v>
      </c>
      <c r="F63" s="4805">
        <f>SUM(F64,F68)</f>
        <v>10287</v>
      </c>
      <c r="G63" s="4806">
        <f>SUM(G64,G68)</f>
        <v>4182</v>
      </c>
      <c r="H63" s="4775">
        <f>SUM(H64,H68)</f>
        <v>4182</v>
      </c>
      <c r="I63" s="4775"/>
      <c r="J63" s="4776">
        <f>SUM(J64,J68)</f>
        <v>4463</v>
      </c>
      <c r="K63" s="4746">
        <f t="shared" si="25"/>
        <v>-6105</v>
      </c>
      <c r="L63" s="4742">
        <f t="shared" si="26"/>
        <v>-0.59346748323126275</v>
      </c>
      <c r="M63" s="4746">
        <f t="shared" si="27"/>
        <v>0</v>
      </c>
      <c r="N63" s="4238">
        <f t="shared" si="28"/>
        <v>0</v>
      </c>
      <c r="O63" s="4746">
        <f t="shared" si="29"/>
        <v>-281</v>
      </c>
      <c r="P63" s="4239">
        <f t="shared" si="30"/>
        <v>-6.2962133094331171E-2</v>
      </c>
      <c r="Q63" s="4621" t="str">
        <f t="shared" si="31"/>
        <v>表示（判定）</v>
      </c>
      <c r="R63" s="4603"/>
      <c r="S63" s="4603"/>
      <c r="X63" s="4612">
        <f t="shared" si="35"/>
        <v>4463</v>
      </c>
    </row>
    <row r="64" spans="1:24" s="4195" customFormat="1" ht="20.25" customHeight="1">
      <c r="A64" s="4221"/>
      <c r="B64" s="4231"/>
      <c r="C64" s="5107" t="s">
        <v>6992</v>
      </c>
      <c r="D64" s="5108"/>
      <c r="E64" s="4232">
        <f>SUM(E65:E67)</f>
        <v>0</v>
      </c>
      <c r="F64" s="4779">
        <f>SUM(F65:F67)</f>
        <v>8096</v>
      </c>
      <c r="G64" s="4775">
        <f>SUM(G65:G67)</f>
        <v>3759</v>
      </c>
      <c r="H64" s="4775">
        <f>SUM(H65:H67)</f>
        <v>3759</v>
      </c>
      <c r="I64" s="4775"/>
      <c r="J64" s="4776">
        <f>SUM(J65:J67)</f>
        <v>3215</v>
      </c>
      <c r="K64" s="4746">
        <f t="shared" si="25"/>
        <v>-4337</v>
      </c>
      <c r="L64" s="4742">
        <f t="shared" si="26"/>
        <v>-0.53569664031620556</v>
      </c>
      <c r="M64" s="4746">
        <f t="shared" si="27"/>
        <v>0</v>
      </c>
      <c r="N64" s="4238">
        <f t="shared" si="28"/>
        <v>0</v>
      </c>
      <c r="O64" s="4746">
        <f t="shared" si="29"/>
        <v>544</v>
      </c>
      <c r="P64" s="4239">
        <f t="shared" si="30"/>
        <v>0.1692068429237947</v>
      </c>
      <c r="Q64" s="4621" t="str">
        <f t="shared" si="31"/>
        <v>表示（判定）</v>
      </c>
      <c r="R64" s="4603"/>
      <c r="S64" s="4603"/>
      <c r="X64" s="4612">
        <f t="shared" si="35"/>
        <v>3215</v>
      </c>
    </row>
    <row r="65" spans="1:24" s="4195" customFormat="1" ht="20.25" customHeight="1">
      <c r="A65" s="4221"/>
      <c r="B65" s="4240"/>
      <c r="C65" s="4231"/>
      <c r="D65" s="4575" t="s">
        <v>6993</v>
      </c>
      <c r="E65" s="4247"/>
      <c r="F65" s="4807">
        <v>2976</v>
      </c>
      <c r="G65" s="4808">
        <f>'４条（みなし）'!G65+R65</f>
        <v>2600</v>
      </c>
      <c r="H65" s="4768">
        <f t="shared" ref="H65:H67" si="38">T65</f>
        <v>2600</v>
      </c>
      <c r="I65" s="4768"/>
      <c r="J65" s="4769">
        <v>1040</v>
      </c>
      <c r="K65" s="4746">
        <f t="shared" si="25"/>
        <v>-376</v>
      </c>
      <c r="L65" s="4742">
        <f t="shared" si="26"/>
        <v>-0.12634408602150538</v>
      </c>
      <c r="M65" s="4746">
        <f t="shared" si="27"/>
        <v>0</v>
      </c>
      <c r="N65" s="4238">
        <f t="shared" si="28"/>
        <v>0</v>
      </c>
      <c r="O65" s="4746">
        <f t="shared" si="29"/>
        <v>1560</v>
      </c>
      <c r="P65" s="4239">
        <f t="shared" si="30"/>
        <v>1.5</v>
      </c>
      <c r="Q65" s="4621" t="str">
        <f t="shared" si="31"/>
        <v>表示（判定）</v>
      </c>
      <c r="R65" s="4603"/>
      <c r="S65" s="4603">
        <f>水洗!$E$6</f>
        <v>2600000</v>
      </c>
      <c r="T65" s="4603">
        <f t="shared" ref="T65:T68" si="39">ROUND(S65/1000,0)+U65</f>
        <v>2600</v>
      </c>
      <c r="X65" s="4612">
        <f t="shared" si="35"/>
        <v>1040</v>
      </c>
    </row>
    <row r="66" spans="1:24" s="4195" customFormat="1" ht="20.25" customHeight="1">
      <c r="A66" s="4221"/>
      <c r="B66" s="4240"/>
      <c r="C66" s="4240"/>
      <c r="D66" s="4575" t="s">
        <v>6994</v>
      </c>
      <c r="E66" s="4247"/>
      <c r="F66" s="4807">
        <v>5120</v>
      </c>
      <c r="G66" s="4808">
        <f>'４条（みなし）'!G66+R66</f>
        <v>1159</v>
      </c>
      <c r="H66" s="4768">
        <f t="shared" si="38"/>
        <v>1159</v>
      </c>
      <c r="I66" s="4768"/>
      <c r="J66" s="4769">
        <v>2175</v>
      </c>
      <c r="K66" s="4746">
        <f t="shared" si="25"/>
        <v>-3961</v>
      </c>
      <c r="L66" s="4742">
        <f t="shared" si="26"/>
        <v>-0.77363281250000004</v>
      </c>
      <c r="M66" s="4746">
        <f t="shared" si="27"/>
        <v>0</v>
      </c>
      <c r="N66" s="4238">
        <f t="shared" si="28"/>
        <v>0</v>
      </c>
      <c r="O66" s="4746">
        <f t="shared" si="29"/>
        <v>-1016</v>
      </c>
      <c r="P66" s="4239">
        <f t="shared" si="30"/>
        <v>-0.4671264367816092</v>
      </c>
      <c r="Q66" s="4621" t="str">
        <f t="shared" si="31"/>
        <v>表示（判定）</v>
      </c>
      <c r="R66" s="4603"/>
      <c r="S66" s="4603">
        <f>水洗!$E$12</f>
        <v>1159000</v>
      </c>
      <c r="T66" s="4603">
        <f t="shared" si="39"/>
        <v>1159</v>
      </c>
      <c r="X66" s="4612">
        <f t="shared" si="35"/>
        <v>2175</v>
      </c>
    </row>
    <row r="67" spans="1:24" s="4195" customFormat="1" ht="20.25" hidden="1" customHeight="1">
      <c r="A67" s="4221"/>
      <c r="B67" s="4240"/>
      <c r="C67" s="4256"/>
      <c r="D67" s="4575" t="s">
        <v>6995</v>
      </c>
      <c r="E67" s="4247"/>
      <c r="F67" s="4807">
        <v>0</v>
      </c>
      <c r="G67" s="4808">
        <f>'４条（みなし）'!G67+R67</f>
        <v>0</v>
      </c>
      <c r="H67" s="4768">
        <f t="shared" si="38"/>
        <v>0</v>
      </c>
      <c r="I67" s="4768"/>
      <c r="J67" s="4769">
        <v>0</v>
      </c>
      <c r="K67" s="4746" t="str">
        <f t="shared" si="25"/>
        <v xml:space="preserve">－ </v>
      </c>
      <c r="L67" s="4742" t="str">
        <f t="shared" si="26"/>
        <v xml:space="preserve">－ </v>
      </c>
      <c r="M67" s="4746" t="str">
        <f t="shared" si="27"/>
        <v xml:space="preserve">－ </v>
      </c>
      <c r="N67" s="4238" t="str">
        <f t="shared" si="28"/>
        <v xml:space="preserve">－ </v>
      </c>
      <c r="O67" s="4746" t="str">
        <f t="shared" si="29"/>
        <v xml:space="preserve">－ </v>
      </c>
      <c r="P67" s="4239" t="str">
        <f t="shared" si="30"/>
        <v xml:space="preserve">－ </v>
      </c>
      <c r="Q67" s="4621" t="str">
        <f t="shared" si="31"/>
        <v>×表示しない</v>
      </c>
      <c r="R67" s="4603"/>
      <c r="S67" s="4603">
        <f>水洗!$E$18</f>
        <v>0</v>
      </c>
      <c r="T67" s="4603">
        <f t="shared" si="39"/>
        <v>0</v>
      </c>
      <c r="X67" s="4612">
        <f t="shared" si="35"/>
        <v>0</v>
      </c>
    </row>
    <row r="68" spans="1:24" s="4195" customFormat="1" ht="20.25" customHeight="1" thickBot="1">
      <c r="A68" s="4268"/>
      <c r="B68" s="4344"/>
      <c r="C68" s="5134" t="s">
        <v>7012</v>
      </c>
      <c r="D68" s="5135"/>
      <c r="E68" s="4345"/>
      <c r="F68" s="4809">
        <f>ROUND('(繰)4条支出 '!D20/1000,0)</f>
        <v>2191</v>
      </c>
      <c r="G68" s="4810">
        <f>'４条（みなし）'!G68+R68</f>
        <v>423</v>
      </c>
      <c r="H68" s="4810">
        <f>T68</f>
        <v>423</v>
      </c>
      <c r="I68" s="4810"/>
      <c r="J68" s="4787">
        <v>1248</v>
      </c>
      <c r="K68" s="4747">
        <f t="shared" si="25"/>
        <v>-1768</v>
      </c>
      <c r="L68" s="4743">
        <f t="shared" si="26"/>
        <v>-0.80693747147421269</v>
      </c>
      <c r="M68" s="4747">
        <f t="shared" si="27"/>
        <v>0</v>
      </c>
      <c r="N68" s="4275">
        <f t="shared" si="28"/>
        <v>0</v>
      </c>
      <c r="O68" s="4747">
        <f t="shared" si="29"/>
        <v>-825</v>
      </c>
      <c r="P68" s="4276">
        <f t="shared" si="30"/>
        <v>-0.66105769230769229</v>
      </c>
      <c r="Q68" s="4621" t="str">
        <f t="shared" si="31"/>
        <v>表示（判定）</v>
      </c>
      <c r="R68" s="4603"/>
      <c r="S68" s="4603">
        <f>'(繰)4条支出 '!G20</f>
        <v>423000</v>
      </c>
      <c r="T68" s="4603">
        <f t="shared" si="39"/>
        <v>423</v>
      </c>
      <c r="X68" s="4612">
        <f t="shared" si="35"/>
        <v>1248</v>
      </c>
    </row>
    <row r="69" spans="1:24" s="4195" customFormat="1" ht="20.25" hidden="1" customHeight="1">
      <c r="A69" s="4221"/>
      <c r="B69" s="5136" t="s">
        <v>6996</v>
      </c>
      <c r="C69" s="5137"/>
      <c r="D69" s="5138"/>
      <c r="E69" s="4349"/>
      <c r="F69" s="4811"/>
      <c r="G69" s="4812"/>
      <c r="H69" s="4812"/>
      <c r="I69" s="4812"/>
      <c r="J69" s="4813"/>
      <c r="K69" s="4751" t="str">
        <f t="shared" si="25"/>
        <v xml:space="preserve">－ </v>
      </c>
      <c r="L69" s="4756" t="str">
        <f t="shared" si="26"/>
        <v xml:space="preserve">－ </v>
      </c>
      <c r="M69" s="4751" t="str">
        <f t="shared" si="27"/>
        <v xml:space="preserve">－ </v>
      </c>
      <c r="N69" s="4355" t="str">
        <f t="shared" si="28"/>
        <v xml:space="preserve">－ </v>
      </c>
      <c r="O69" s="4751" t="str">
        <f t="shared" si="29"/>
        <v xml:space="preserve">－ </v>
      </c>
      <c r="P69" s="4357" t="str">
        <f t="shared" si="30"/>
        <v xml:space="preserve">－ </v>
      </c>
      <c r="Q69" s="4621" t="str">
        <f t="shared" si="31"/>
        <v>×表示しない</v>
      </c>
      <c r="R69" s="4603"/>
      <c r="S69" s="4603"/>
    </row>
    <row r="70" spans="1:24" s="4195" customFormat="1" ht="20.25" hidden="1" customHeight="1" thickBot="1">
      <c r="A70" s="4268"/>
      <c r="B70" s="5139" t="s">
        <v>6997</v>
      </c>
      <c r="C70" s="5140"/>
      <c r="D70" s="5141"/>
      <c r="E70" s="4358"/>
      <c r="F70" s="4814"/>
      <c r="G70" s="4815"/>
      <c r="H70" s="4815"/>
      <c r="I70" s="4815"/>
      <c r="J70" s="4816"/>
      <c r="K70" s="4752" t="str">
        <f t="shared" si="25"/>
        <v xml:space="preserve">－ </v>
      </c>
      <c r="L70" s="4743" t="str">
        <f t="shared" si="26"/>
        <v xml:space="preserve">－ </v>
      </c>
      <c r="M70" s="4752" t="str">
        <f t="shared" si="27"/>
        <v xml:space="preserve">－ </v>
      </c>
      <c r="N70" s="4275" t="str">
        <f t="shared" si="28"/>
        <v xml:space="preserve">－ </v>
      </c>
      <c r="O70" s="4752" t="str">
        <f t="shared" si="29"/>
        <v xml:space="preserve">－ </v>
      </c>
      <c r="P70" s="4276" t="str">
        <f t="shared" si="30"/>
        <v xml:space="preserve">－ </v>
      </c>
      <c r="Q70" s="4621" t="str">
        <f t="shared" si="31"/>
        <v>×表示しない</v>
      </c>
      <c r="R70" s="4603"/>
      <c r="S70" s="4603"/>
    </row>
    <row r="71" spans="1:24" s="4195" customFormat="1" ht="12">
      <c r="A71" s="4291"/>
      <c r="B71" s="4291"/>
      <c r="C71" s="4602" t="s">
        <v>7203</v>
      </c>
      <c r="D71" s="4291"/>
      <c r="F71" s="4602"/>
      <c r="G71" s="4602"/>
      <c r="H71" s="4609"/>
      <c r="I71" s="4609"/>
      <c r="J71" s="4609"/>
      <c r="K71" s="4293"/>
      <c r="L71" s="4294"/>
      <c r="M71" s="4293"/>
      <c r="N71" s="4294"/>
      <c r="O71" s="4293"/>
      <c r="P71" s="4294"/>
      <c r="Q71" s="4611" t="s">
        <v>7197</v>
      </c>
      <c r="R71" s="4603"/>
      <c r="S71" s="4043" t="s">
        <v>6938</v>
      </c>
      <c r="T71" s="4603">
        <f>SUM(T46:T68)</f>
        <v>61875977</v>
      </c>
    </row>
    <row r="72" spans="1:24" s="4370" customFormat="1" ht="20.25" hidden="1" customHeight="1" thickBot="1">
      <c r="A72" s="4291"/>
      <c r="B72" s="4291"/>
      <c r="C72" s="4291"/>
      <c r="D72" s="4291"/>
      <c r="E72" s="4195"/>
      <c r="F72" s="4602"/>
      <c r="G72" s="4602"/>
      <c r="H72" s="4609"/>
      <c r="I72" s="4609"/>
      <c r="J72" s="4609"/>
      <c r="K72" s="4293"/>
      <c r="L72" s="4294"/>
      <c r="M72" s="4293"/>
      <c r="N72" s="4294"/>
      <c r="O72" s="4293"/>
      <c r="P72" s="4294"/>
      <c r="Q72" s="4611" t="str">
        <f t="shared" ref="Q72" si="40">IF(OR(F72&gt;0,G72&gt;0,H72&gt;0,I72&gt;0,J72&gt;0),"表示（判定）","×表示しない")</f>
        <v>×表示しない</v>
      </c>
      <c r="R72" s="4614"/>
      <c r="S72" s="4614">
        <f>S7-S44</f>
        <v>-19850772396</v>
      </c>
      <c r="T72" s="4614">
        <f>T38-T71</f>
        <v>-19850772</v>
      </c>
    </row>
    <row r="73" spans="1:24" s="4635" customFormat="1" ht="20.25" hidden="1" customHeight="1" thickBot="1">
      <c r="A73" s="5187" t="s">
        <v>6998</v>
      </c>
      <c r="B73" s="5188"/>
      <c r="C73" s="5188"/>
      <c r="D73" s="5189"/>
      <c r="E73" s="4629">
        <f>E7-E44</f>
        <v>0</v>
      </c>
      <c r="F73" s="4630">
        <f t="shared" ref="F73:I73" si="41">F7-F44</f>
        <v>-20313200</v>
      </c>
      <c r="G73" s="4631">
        <f t="shared" si="41"/>
        <v>-20483238</v>
      </c>
      <c r="H73" s="4631">
        <f t="shared" si="41"/>
        <v>-19850772</v>
      </c>
      <c r="I73" s="4631">
        <f t="shared" si="41"/>
        <v>-586558.26099999994</v>
      </c>
      <c r="J73" s="4632">
        <f>J7-J44</f>
        <v>-19154738</v>
      </c>
      <c r="K73" s="4718">
        <f>H73-F73</f>
        <v>462428</v>
      </c>
      <c r="L73" s="4719">
        <f>IF(AND(F73=0,H73&gt;0),"　皆増",IF(AND(F73&gt;0,H73=0),"　皆減",IF(AND(F73=0,H73=0),"　　－",ROUND(K73/F73,3))))</f>
        <v>-2.3E-2</v>
      </c>
      <c r="M73" s="4718"/>
      <c r="N73" s="4719"/>
      <c r="O73" s="4718">
        <f>H73-J73</f>
        <v>-696034</v>
      </c>
      <c r="P73" s="4719">
        <f>IF(AND(J73=0,H73&gt;0),"　皆増",IF(AND(J73&gt;0,H73=0),"　皆減",IF(AND(J73=0,H73=0),"　　－",ROUND(O73/J73,3))))</f>
        <v>3.5999999999999997E-2</v>
      </c>
      <c r="Q73" s="4633" t="s">
        <v>7099</v>
      </c>
      <c r="R73" s="4634"/>
      <c r="S73" s="4634"/>
    </row>
    <row r="74" spans="1:24" s="4635" customFormat="1" ht="20.25" hidden="1" customHeight="1" thickBot="1">
      <c r="A74" s="5187" t="s">
        <v>6999</v>
      </c>
      <c r="B74" s="5188"/>
      <c r="C74" s="5188"/>
      <c r="D74" s="5189"/>
      <c r="E74" s="4636">
        <v>0</v>
      </c>
      <c r="F74" s="4637">
        <v>0</v>
      </c>
      <c r="G74" s="4638">
        <v>0</v>
      </c>
      <c r="H74" s="4638">
        <v>0</v>
      </c>
      <c r="I74" s="4638"/>
      <c r="J74" s="4639">
        <v>0</v>
      </c>
      <c r="K74" s="4720">
        <f>H74-F74</f>
        <v>0</v>
      </c>
      <c r="L74" s="4721" t="str">
        <f>IF(AND(F74=0,H74&gt;0),"　皆増",IF(AND(F74&gt;0,H74=0),"　皆減",IF(AND(F74=0,H74=0),"　　－",ROUND(K74/F74,3))))</f>
        <v>　　－</v>
      </c>
      <c r="M74" s="4720"/>
      <c r="N74" s="4721"/>
      <c r="O74" s="4720">
        <f>H74-J74</f>
        <v>0</v>
      </c>
      <c r="P74" s="4721" t="str">
        <f>IF(AND(J74=0,H74&gt;0),"　皆増",IF(AND(J74&gt;0,H74=0),"　皆減",IF(AND(J74=0,H74=0),"　　－",ROUND(O74/J74,3))))</f>
        <v>　　－</v>
      </c>
      <c r="Q74" s="4633" t="s">
        <v>7099</v>
      </c>
      <c r="R74" s="4634"/>
      <c r="S74" s="4634"/>
    </row>
    <row r="75" spans="1:24" s="4641" customFormat="1" ht="20.25" hidden="1" customHeight="1" thickBot="1">
      <c r="A75" s="5187" t="s">
        <v>7000</v>
      </c>
      <c r="B75" s="5188"/>
      <c r="C75" s="5188"/>
      <c r="D75" s="5189"/>
      <c r="E75" s="4629">
        <f>E73-E74</f>
        <v>0</v>
      </c>
      <c r="F75" s="4630">
        <f t="shared" ref="F75:I75" si="42">F73-F74</f>
        <v>-20313200</v>
      </c>
      <c r="G75" s="4631">
        <f t="shared" si="42"/>
        <v>-20483238</v>
      </c>
      <c r="H75" s="4631">
        <f t="shared" si="42"/>
        <v>-19850772</v>
      </c>
      <c r="I75" s="4631">
        <f t="shared" si="42"/>
        <v>-586558.26099999994</v>
      </c>
      <c r="J75" s="4632">
        <f>J73-J74</f>
        <v>-19154738</v>
      </c>
      <c r="K75" s="4718">
        <f>H75-F75</f>
        <v>462428</v>
      </c>
      <c r="L75" s="4719">
        <f>IF(AND(F75=0,H75&gt;0),"　皆増",IF(AND(F75&gt;0,H75=0),"　皆減",IF(AND(F75=0,H75=0),"　　－",ROUND(K75/F75,3))))</f>
        <v>-2.3E-2</v>
      </c>
      <c r="M75" s="4718"/>
      <c r="N75" s="4719"/>
      <c r="O75" s="4718">
        <f>H75-J75</f>
        <v>-696034</v>
      </c>
      <c r="P75" s="4719">
        <f>IF(AND(J75=0,H75&gt;0),"　皆増",IF(AND(J75&gt;0,H75=0),"　皆減",IF(AND(J75=0,H75=0),"　　－",ROUND(O75/J75,3))))</f>
        <v>3.5999999999999997E-2</v>
      </c>
      <c r="Q75" s="4633" t="s">
        <v>7099</v>
      </c>
      <c r="R75" s="4640"/>
      <c r="S75" s="4640"/>
    </row>
    <row r="76" spans="1:24" s="4641" customFormat="1" ht="20.25" hidden="1" customHeight="1" thickBot="1">
      <c r="A76" s="4642"/>
      <c r="B76" s="4642"/>
      <c r="C76" s="4642"/>
      <c r="D76" s="4642"/>
      <c r="H76" s="4643"/>
      <c r="I76" s="4643"/>
      <c r="J76" s="4643"/>
      <c r="K76" s="4722"/>
      <c r="L76" s="4723"/>
      <c r="M76" s="4722"/>
      <c r="N76" s="4723"/>
      <c r="O76" s="4722"/>
      <c r="P76" s="4723"/>
      <c r="Q76" s="4644" t="s">
        <v>7099</v>
      </c>
      <c r="R76" s="4640"/>
      <c r="S76" s="4640"/>
      <c r="T76" s="4640"/>
    </row>
    <row r="77" spans="1:24" s="4635" customFormat="1" ht="20.25" hidden="1" customHeight="1">
      <c r="A77" s="5190" t="s">
        <v>7001</v>
      </c>
      <c r="B77" s="5191"/>
      <c r="C77" s="5191"/>
      <c r="D77" s="5192"/>
      <c r="E77" s="4645">
        <f>SUM(E78,E85:E88)</f>
        <v>0</v>
      </c>
      <c r="F77" s="4646">
        <f>SUM(F78,F85:F88)</f>
        <v>18083533</v>
      </c>
      <c r="G77" s="4647">
        <f>SUM(G78,G85:G88)</f>
        <v>20483238</v>
      </c>
      <c r="H77" s="4647">
        <f>SUM(H78,H85:H88)</f>
        <v>19609807</v>
      </c>
      <c r="I77" s="4647"/>
      <c r="J77" s="4648">
        <f>SUM(J78,J85:J88)</f>
        <v>17652217</v>
      </c>
      <c r="K77" s="4724">
        <f t="shared" ref="K77:K88" si="43">H77-F77</f>
        <v>1526274</v>
      </c>
      <c r="L77" s="4725">
        <f t="shared" ref="L77:L88" si="44">IF(AND(F77=0,H77&gt;0),"　皆増",IF(AND(F77&gt;0,H77=0),"　皆減",IF(AND(F77=0,H77=0),"　　－",ROUND(K77/F77,3))))</f>
        <v>8.4000000000000005E-2</v>
      </c>
      <c r="M77" s="4724"/>
      <c r="N77" s="4725"/>
      <c r="O77" s="4724">
        <f t="shared" ref="O77:O88" si="45">H77-J77</f>
        <v>1957590</v>
      </c>
      <c r="P77" s="4725">
        <f t="shared" ref="P77:P88" si="46">IF(AND(J77=0,H77&gt;0),"　皆増",IF(AND(J77&gt;0,H77=0),"　皆減",IF(AND(J77=0,H77=0),"　　－",ROUND(O77/J77,3))))</f>
        <v>0.111</v>
      </c>
      <c r="Q77" s="4633" t="s">
        <v>7099</v>
      </c>
      <c r="R77" s="4634"/>
      <c r="S77" s="4634"/>
    </row>
    <row r="78" spans="1:24" s="4635" customFormat="1" ht="20.25" hidden="1" customHeight="1">
      <c r="A78" s="4649"/>
      <c r="B78" s="5193" t="s">
        <v>7002</v>
      </c>
      <c r="C78" s="5193"/>
      <c r="D78" s="5194"/>
      <c r="E78" s="4650">
        <f>SUM(E79:E84)</f>
        <v>0</v>
      </c>
      <c r="F78" s="4651">
        <f>SUM(F79:F84)</f>
        <v>16710606</v>
      </c>
      <c r="G78" s="4652">
        <f>SUM(G79:G84)</f>
        <v>17581851</v>
      </c>
      <c r="H78" s="4653">
        <f>SUM(H79:H84)</f>
        <v>17579830</v>
      </c>
      <c r="I78" s="4653"/>
      <c r="J78" s="4654">
        <f>SUM(J79:J84)</f>
        <v>16524735</v>
      </c>
      <c r="K78" s="4726">
        <f t="shared" si="43"/>
        <v>869224</v>
      </c>
      <c r="L78" s="4721">
        <f t="shared" si="44"/>
        <v>5.1999999999999998E-2</v>
      </c>
      <c r="M78" s="4726"/>
      <c r="N78" s="4721"/>
      <c r="O78" s="4726">
        <f t="shared" si="45"/>
        <v>1055095</v>
      </c>
      <c r="P78" s="4721">
        <f t="shared" si="46"/>
        <v>6.4000000000000001E-2</v>
      </c>
      <c r="Q78" s="4633" t="s">
        <v>7099</v>
      </c>
      <c r="R78" s="4634"/>
      <c r="S78" s="4655"/>
      <c r="T78" s="4640"/>
    </row>
    <row r="79" spans="1:24" s="4635" customFormat="1" ht="20.25" hidden="1" customHeight="1">
      <c r="A79" s="4656"/>
      <c r="B79" s="4657"/>
      <c r="C79" s="4658"/>
      <c r="D79" s="4659" t="s">
        <v>6923</v>
      </c>
      <c r="E79" s="4660"/>
      <c r="F79" s="4661">
        <v>16504526</v>
      </c>
      <c r="G79" s="4662">
        <f>'４条（みなし）'!G78</f>
        <v>17184270</v>
      </c>
      <c r="H79" s="4663">
        <f>'４条（みなし）'!H78</f>
        <v>17186822</v>
      </c>
      <c r="I79" s="4663"/>
      <c r="J79" s="4664">
        <v>16253044</v>
      </c>
      <c r="K79" s="4726">
        <f t="shared" si="43"/>
        <v>682296</v>
      </c>
      <c r="L79" s="4721">
        <f t="shared" si="44"/>
        <v>4.1000000000000002E-2</v>
      </c>
      <c r="M79" s="4726"/>
      <c r="N79" s="4721"/>
      <c r="O79" s="4726">
        <f t="shared" si="45"/>
        <v>933778</v>
      </c>
      <c r="P79" s="4721">
        <f t="shared" si="46"/>
        <v>5.7000000000000002E-2</v>
      </c>
      <c r="Q79" s="4633" t="s">
        <v>7099</v>
      </c>
      <c r="R79" s="4634"/>
      <c r="S79" s="4655"/>
      <c r="T79" s="4640"/>
    </row>
    <row r="80" spans="1:24" s="4635" customFormat="1" ht="20.25" hidden="1" customHeight="1">
      <c r="A80" s="4656"/>
      <c r="B80" s="4665"/>
      <c r="C80" s="4666"/>
      <c r="D80" s="4659" t="s">
        <v>6924</v>
      </c>
      <c r="E80" s="4660"/>
      <c r="F80" s="4661">
        <v>206080</v>
      </c>
      <c r="G80" s="4662">
        <f>'４条（みなし）'!G79</f>
        <v>397581</v>
      </c>
      <c r="H80" s="4663">
        <f>'４条（みなし）'!H79</f>
        <v>383027</v>
      </c>
      <c r="I80" s="4663"/>
      <c r="J80" s="4664">
        <v>252573</v>
      </c>
      <c r="K80" s="4726">
        <f t="shared" si="43"/>
        <v>176947</v>
      </c>
      <c r="L80" s="4721">
        <f t="shared" si="44"/>
        <v>0.85899999999999999</v>
      </c>
      <c r="M80" s="4726"/>
      <c r="N80" s="4721"/>
      <c r="O80" s="4726">
        <f t="shared" si="45"/>
        <v>130454</v>
      </c>
      <c r="P80" s="4721">
        <f t="shared" si="46"/>
        <v>0.51700000000000002</v>
      </c>
      <c r="Q80" s="4633" t="s">
        <v>7099</v>
      </c>
      <c r="R80" s="4634"/>
      <c r="S80" s="4634"/>
      <c r="T80" s="4640"/>
    </row>
    <row r="81" spans="1:20" s="4635" customFormat="1" ht="20.25" hidden="1" customHeight="1">
      <c r="A81" s="4656"/>
      <c r="B81" s="4665"/>
      <c r="C81" s="4666"/>
      <c r="D81" s="4659" t="s">
        <v>7003</v>
      </c>
      <c r="E81" s="4660"/>
      <c r="F81" s="4661">
        <v>0</v>
      </c>
      <c r="G81" s="4662">
        <f>'４条（みなし）'!G80</f>
        <v>0</v>
      </c>
      <c r="H81" s="4663">
        <f>'４条（みなし）'!H80</f>
        <v>0</v>
      </c>
      <c r="I81" s="4663"/>
      <c r="J81" s="4664">
        <v>19118</v>
      </c>
      <c r="K81" s="4726">
        <f t="shared" si="43"/>
        <v>0</v>
      </c>
      <c r="L81" s="4721" t="str">
        <f t="shared" si="44"/>
        <v>　　－</v>
      </c>
      <c r="M81" s="4726"/>
      <c r="N81" s="4721"/>
      <c r="O81" s="4726">
        <f t="shared" si="45"/>
        <v>-19118</v>
      </c>
      <c r="P81" s="4721" t="str">
        <f t="shared" si="46"/>
        <v>　皆減</v>
      </c>
      <c r="Q81" s="4633" t="s">
        <v>7099</v>
      </c>
      <c r="R81" s="4634"/>
      <c r="S81" s="4655"/>
      <c r="T81" s="4640"/>
    </row>
    <row r="82" spans="1:20" s="4635" customFormat="1" ht="20.25" hidden="1" customHeight="1">
      <c r="A82" s="4656"/>
      <c r="B82" s="4665"/>
      <c r="C82" s="4666"/>
      <c r="D82" s="4659" t="s">
        <v>7004</v>
      </c>
      <c r="E82" s="4660"/>
      <c r="F82" s="4661">
        <v>0</v>
      </c>
      <c r="G82" s="4662">
        <f>'４条（みなし）'!G81</f>
        <v>0</v>
      </c>
      <c r="H82" s="4663">
        <f>'４条（みなし）'!H81</f>
        <v>-334</v>
      </c>
      <c r="I82" s="4663"/>
      <c r="J82" s="4664">
        <v>0</v>
      </c>
      <c r="K82" s="4726">
        <f t="shared" si="43"/>
        <v>-334</v>
      </c>
      <c r="L82" s="4721" t="e">
        <f t="shared" si="44"/>
        <v>#DIV/0!</v>
      </c>
      <c r="M82" s="4726"/>
      <c r="N82" s="4721"/>
      <c r="O82" s="4726">
        <f t="shared" si="45"/>
        <v>-334</v>
      </c>
      <c r="P82" s="4721" t="e">
        <f t="shared" si="46"/>
        <v>#DIV/0!</v>
      </c>
      <c r="Q82" s="4633" t="s">
        <v>7099</v>
      </c>
      <c r="R82" s="4634"/>
      <c r="S82" s="4655"/>
      <c r="T82" s="4640"/>
    </row>
    <row r="83" spans="1:20" s="4635" customFormat="1" ht="20.25" hidden="1" customHeight="1">
      <c r="A83" s="4656"/>
      <c r="B83" s="4665"/>
      <c r="C83" s="4666"/>
      <c r="D83" s="4659" t="s">
        <v>6930</v>
      </c>
      <c r="E83" s="4660"/>
      <c r="F83" s="4661">
        <v>0</v>
      </c>
      <c r="G83" s="4662">
        <f>'４条（みなし）'!G82</f>
        <v>0</v>
      </c>
      <c r="H83" s="4663">
        <f>'４条（みなし）'!H82</f>
        <v>10315</v>
      </c>
      <c r="I83" s="4663"/>
      <c r="J83" s="4667">
        <v>0</v>
      </c>
      <c r="K83" s="4726">
        <f t="shared" si="43"/>
        <v>10315</v>
      </c>
      <c r="L83" s="4721" t="str">
        <f t="shared" si="44"/>
        <v>　皆増</v>
      </c>
      <c r="M83" s="4726"/>
      <c r="N83" s="4721"/>
      <c r="O83" s="4726">
        <f t="shared" si="45"/>
        <v>10315</v>
      </c>
      <c r="P83" s="4721" t="str">
        <f t="shared" si="46"/>
        <v>　皆増</v>
      </c>
      <c r="Q83" s="4633" t="s">
        <v>7099</v>
      </c>
      <c r="R83" s="4634"/>
      <c r="S83" s="4634"/>
    </row>
    <row r="84" spans="1:20" s="4635" customFormat="1" ht="20.25" hidden="1" customHeight="1">
      <c r="A84" s="4656"/>
      <c r="B84" s="4668"/>
      <c r="C84" s="4669"/>
      <c r="D84" s="4659" t="s">
        <v>7005</v>
      </c>
      <c r="E84" s="4660"/>
      <c r="F84" s="4661">
        <v>0</v>
      </c>
      <c r="G84" s="4662">
        <f>'４条（みなし）'!G83</f>
        <v>0</v>
      </c>
      <c r="H84" s="4670">
        <f>'４条（みなし）'!H83</f>
        <v>0</v>
      </c>
      <c r="I84" s="4670"/>
      <c r="J84" s="4667">
        <v>0</v>
      </c>
      <c r="K84" s="4726">
        <f t="shared" si="43"/>
        <v>0</v>
      </c>
      <c r="L84" s="4721" t="str">
        <f t="shared" si="44"/>
        <v>　　－</v>
      </c>
      <c r="M84" s="4726"/>
      <c r="N84" s="4721"/>
      <c r="O84" s="4726">
        <f t="shared" si="45"/>
        <v>0</v>
      </c>
      <c r="P84" s="4721" t="str">
        <f t="shared" si="46"/>
        <v>　　－</v>
      </c>
      <c r="Q84" s="4633" t="s">
        <v>7099</v>
      </c>
      <c r="R84" s="4634"/>
      <c r="S84" s="4634"/>
    </row>
    <row r="85" spans="1:20" s="4635" customFormat="1" ht="20.25" hidden="1" customHeight="1">
      <c r="A85" s="4656"/>
      <c r="B85" s="5193" t="s">
        <v>7006</v>
      </c>
      <c r="C85" s="5193"/>
      <c r="D85" s="5194"/>
      <c r="E85" s="4660"/>
      <c r="F85" s="4671"/>
      <c r="G85" s="4672"/>
      <c r="H85" s="4670"/>
      <c r="I85" s="4670"/>
      <c r="J85" s="4667">
        <v>0</v>
      </c>
      <c r="K85" s="4726">
        <f t="shared" si="43"/>
        <v>0</v>
      </c>
      <c r="L85" s="4721" t="str">
        <f t="shared" si="44"/>
        <v>　　－</v>
      </c>
      <c r="M85" s="4726"/>
      <c r="N85" s="4721"/>
      <c r="O85" s="4726">
        <f t="shared" si="45"/>
        <v>0</v>
      </c>
      <c r="P85" s="4721" t="str">
        <f t="shared" si="46"/>
        <v>　　－</v>
      </c>
      <c r="Q85" s="4633" t="s">
        <v>7099</v>
      </c>
      <c r="R85" s="4634"/>
      <c r="S85" s="4634"/>
      <c r="T85" s="4640"/>
    </row>
    <row r="86" spans="1:20" s="4635" customFormat="1" ht="20.25" hidden="1" customHeight="1">
      <c r="A86" s="4656"/>
      <c r="B86" s="5197" t="s">
        <v>7007</v>
      </c>
      <c r="C86" s="5197"/>
      <c r="D86" s="5198"/>
      <c r="E86" s="4673"/>
      <c r="F86" s="4674">
        <v>480218</v>
      </c>
      <c r="G86" s="4675">
        <f>'４条（みなし）'!G85</f>
        <v>967482</v>
      </c>
      <c r="H86" s="4663">
        <f>'４条（みなし）'!H85</f>
        <v>923596</v>
      </c>
      <c r="I86" s="4676"/>
      <c r="J86" s="4677">
        <v>732317</v>
      </c>
      <c r="K86" s="4726">
        <f t="shared" si="43"/>
        <v>443378</v>
      </c>
      <c r="L86" s="4721">
        <f t="shared" si="44"/>
        <v>0.92300000000000004</v>
      </c>
      <c r="M86" s="4726"/>
      <c r="N86" s="4721"/>
      <c r="O86" s="4726">
        <f t="shared" si="45"/>
        <v>191279</v>
      </c>
      <c r="P86" s="4721">
        <f t="shared" si="46"/>
        <v>0.26100000000000001</v>
      </c>
      <c r="Q86" s="4633" t="s">
        <v>7099</v>
      </c>
      <c r="R86" s="4634"/>
      <c r="S86" s="4634"/>
      <c r="T86" s="4640"/>
    </row>
    <row r="87" spans="1:20" s="4635" customFormat="1" ht="20.25" hidden="1" customHeight="1">
      <c r="A87" s="4656"/>
      <c r="B87" s="5199" t="s">
        <v>7008</v>
      </c>
      <c r="C87" s="5200"/>
      <c r="D87" s="5201"/>
      <c r="E87" s="4673"/>
      <c r="F87" s="4674">
        <v>892709</v>
      </c>
      <c r="G87" s="4675">
        <f>'４条（みなし）'!G86</f>
        <v>1049566</v>
      </c>
      <c r="H87" s="4663">
        <f>'４条（みなし）'!H86</f>
        <v>1049566</v>
      </c>
      <c r="I87" s="4676"/>
      <c r="J87" s="4677">
        <v>395165</v>
      </c>
      <c r="K87" s="4727">
        <f t="shared" si="43"/>
        <v>156857</v>
      </c>
      <c r="L87" s="4728">
        <f t="shared" si="44"/>
        <v>0.17599999999999999</v>
      </c>
      <c r="M87" s="4727"/>
      <c r="N87" s="4728"/>
      <c r="O87" s="4727">
        <f t="shared" si="45"/>
        <v>654401</v>
      </c>
      <c r="P87" s="4728">
        <f t="shared" si="46"/>
        <v>1.6559999999999999</v>
      </c>
      <c r="Q87" s="4633" t="s">
        <v>7099</v>
      </c>
      <c r="R87" s="4634"/>
      <c r="S87" s="4634"/>
    </row>
    <row r="88" spans="1:20" s="4641" customFormat="1" ht="20.25" hidden="1" customHeight="1" thickBot="1">
      <c r="A88" s="4678"/>
      <c r="B88" s="5195" t="s">
        <v>7009</v>
      </c>
      <c r="C88" s="5195"/>
      <c r="D88" s="5196"/>
      <c r="E88" s="4679">
        <v>0</v>
      </c>
      <c r="F88" s="4680">
        <v>0</v>
      </c>
      <c r="G88" s="4681">
        <v>884339</v>
      </c>
      <c r="H88" s="4682">
        <f>'４条（みなし）'!H87</f>
        <v>56815</v>
      </c>
      <c r="I88" s="4682"/>
      <c r="J88" s="4683">
        <v>0</v>
      </c>
      <c r="K88" s="4729">
        <f t="shared" si="43"/>
        <v>56815</v>
      </c>
      <c r="L88" s="4730" t="str">
        <f t="shared" si="44"/>
        <v>　皆増</v>
      </c>
      <c r="M88" s="4729"/>
      <c r="N88" s="4730"/>
      <c r="O88" s="4729">
        <f t="shared" si="45"/>
        <v>56815</v>
      </c>
      <c r="P88" s="4730" t="str">
        <f t="shared" si="46"/>
        <v>　皆増</v>
      </c>
      <c r="Q88" s="4633" t="s">
        <v>7099</v>
      </c>
      <c r="R88" s="4640"/>
      <c r="S88" s="4684"/>
      <c r="T88" s="4640"/>
    </row>
    <row r="89" spans="1:20" s="4635" customFormat="1" ht="20.25" hidden="1" customHeight="1" thickBot="1">
      <c r="A89" s="4642"/>
      <c r="B89" s="4642"/>
      <c r="C89" s="4642"/>
      <c r="D89" s="4642"/>
      <c r="E89" s="4641"/>
      <c r="F89" s="4643"/>
      <c r="G89" s="4643"/>
      <c r="H89" s="4643"/>
      <c r="I89" s="4643"/>
      <c r="J89" s="4643"/>
      <c r="K89" s="4722"/>
      <c r="L89" s="4723"/>
      <c r="M89" s="4722"/>
      <c r="N89" s="4723"/>
      <c r="O89" s="4722"/>
      <c r="P89" s="4723"/>
      <c r="Q89" s="4644" t="s">
        <v>7099</v>
      </c>
      <c r="R89" s="4634"/>
      <c r="S89" s="4634"/>
    </row>
    <row r="90" spans="1:20" s="4635" customFormat="1" ht="20.25" hidden="1" customHeight="1">
      <c r="A90" s="4685"/>
      <c r="B90" s="4685"/>
      <c r="C90" s="4685"/>
      <c r="D90" s="4686" t="s">
        <v>7010</v>
      </c>
      <c r="E90" s="4687"/>
      <c r="F90" s="4688">
        <f>SUM('3条税込'!F36,'４条（みなし）'!F44)</f>
        <v>106009210</v>
      </c>
      <c r="G90" s="4689">
        <f>SUM('3条税込'!G36,'４条（みなし）'!G44)</f>
        <v>104881156</v>
      </c>
      <c r="H90" s="4689">
        <f>SUM('3条税込'!H36,'４条（みなし）'!H44)</f>
        <v>104840106</v>
      </c>
      <c r="I90" s="4689"/>
      <c r="J90" s="4690"/>
      <c r="K90" s="4731">
        <f t="shared" ref="K90:K91" si="47">H90-F90</f>
        <v>-1169104</v>
      </c>
      <c r="L90" s="4732">
        <f>IF(AND(F90=0,H90&gt;0),"　皆増",IF(AND(F90&gt;0,H90=0),"　皆減",IF(AND(F90=0,H90=0),"　　－",ROUND(K90/F90,3))))</f>
        <v>-1.0999999999999999E-2</v>
      </c>
      <c r="M90" s="4731"/>
      <c r="N90" s="4732"/>
      <c r="O90" s="4731">
        <f>H90-J90</f>
        <v>104840106</v>
      </c>
      <c r="P90" s="4732" t="str">
        <f>IF(AND(J90=0,H90&gt;0),"　皆増",IF(AND(J90&gt;0,H90=0),"　皆減",IF(AND(J90=0,H90=0),"　　－",ROUND(O90/J90,3))))</f>
        <v>　皆増</v>
      </c>
      <c r="Q90" s="4633" t="s">
        <v>7099</v>
      </c>
      <c r="R90" s="4634"/>
      <c r="S90" s="4634"/>
    </row>
    <row r="91" spans="1:20" s="4641" customFormat="1" ht="20.25" hidden="1" customHeight="1" thickBot="1">
      <c r="A91" s="4685"/>
      <c r="B91" s="4685"/>
      <c r="C91" s="4685"/>
      <c r="D91" s="4691" t="s">
        <v>7011</v>
      </c>
      <c r="E91" s="4692"/>
      <c r="F91" s="4693">
        <f>SUM('3条税込'!F33,'４条（決算）'!F38)</f>
        <v>17495336</v>
      </c>
      <c r="G91" s="4694">
        <f>SUM('3条税込'!G33,'４条（決算）'!G38)</f>
        <v>17338938</v>
      </c>
      <c r="H91" s="4694">
        <f>SUM('3条税込'!H33,'４条（決算）'!H38)</f>
        <v>17481811</v>
      </c>
      <c r="I91" s="4694"/>
      <c r="J91" s="4695"/>
      <c r="K91" s="4733">
        <f t="shared" si="47"/>
        <v>-13525</v>
      </c>
      <c r="L91" s="4734">
        <f>IF(AND(F91=0,H91&gt;0),"　皆増",IF(AND(F91&gt;0,H91=0),"　皆減",IF(AND(F91=0,H91=0),"　　－",ROUND(K91/F91,3))))</f>
        <v>-1E-3</v>
      </c>
      <c r="M91" s="4733"/>
      <c r="N91" s="4734"/>
      <c r="O91" s="4733">
        <f>H91-J91</f>
        <v>17481811</v>
      </c>
      <c r="P91" s="4734" t="str">
        <f>IF(AND(J91=0,H91&gt;0),"　皆増",IF(AND(J91&gt;0,H91=0),"　皆減",IF(AND(J91=0,H91=0),"　　－",ROUND(O91/J91,3))))</f>
        <v>　皆増</v>
      </c>
      <c r="Q91" s="4633" t="s">
        <v>7099</v>
      </c>
      <c r="R91" s="4640"/>
      <c r="S91" s="4640"/>
    </row>
  </sheetData>
  <autoFilter ref="A6:U91">
    <filterColumn colId="16">
      <filters>
        <filter val="表示（強制）"/>
        <filter val="表示（判定）"/>
      </filters>
    </filterColumn>
  </autoFilter>
  <mergeCells count="63">
    <mergeCell ref="B88:D88"/>
    <mergeCell ref="B86:D86"/>
    <mergeCell ref="B87:D87"/>
    <mergeCell ref="B63:D63"/>
    <mergeCell ref="C57:D57"/>
    <mergeCell ref="R42:R43"/>
    <mergeCell ref="A75:D75"/>
    <mergeCell ref="A77:D77"/>
    <mergeCell ref="B78:D78"/>
    <mergeCell ref="B85:D85"/>
    <mergeCell ref="C64:D64"/>
    <mergeCell ref="C68:D68"/>
    <mergeCell ref="B69:D69"/>
    <mergeCell ref="B70:D70"/>
    <mergeCell ref="A73:D73"/>
    <mergeCell ref="A74:D74"/>
    <mergeCell ref="C58:D58"/>
    <mergeCell ref="C59:D59"/>
    <mergeCell ref="C60:D60"/>
    <mergeCell ref="C61:D61"/>
    <mergeCell ref="B62:D62"/>
    <mergeCell ref="O41:P41"/>
    <mergeCell ref="E42:E43"/>
    <mergeCell ref="F42:F43"/>
    <mergeCell ref="H42:H43"/>
    <mergeCell ref="J42:J43"/>
    <mergeCell ref="K42:K43"/>
    <mergeCell ref="O42:O43"/>
    <mergeCell ref="M41:N41"/>
    <mergeCell ref="M42:M43"/>
    <mergeCell ref="F41:H41"/>
    <mergeCell ref="K41:L41"/>
    <mergeCell ref="C56:D56"/>
    <mergeCell ref="C30:D30"/>
    <mergeCell ref="C31:D31"/>
    <mergeCell ref="B35:D35"/>
    <mergeCell ref="B36:D36"/>
    <mergeCell ref="A38:D38"/>
    <mergeCell ref="A41:D43"/>
    <mergeCell ref="A44:D44"/>
    <mergeCell ref="B45:D45"/>
    <mergeCell ref="C46:D46"/>
    <mergeCell ref="C55:D55"/>
    <mergeCell ref="C29:D29"/>
    <mergeCell ref="C18:D18"/>
    <mergeCell ref="B19:D19"/>
    <mergeCell ref="B20:D20"/>
    <mergeCell ref="B21:D21"/>
    <mergeCell ref="B22:D22"/>
    <mergeCell ref="B23:D23"/>
    <mergeCell ref="C24:D24"/>
    <mergeCell ref="C25:D25"/>
    <mergeCell ref="C26:D26"/>
    <mergeCell ref="C27:D27"/>
    <mergeCell ref="B28:D28"/>
    <mergeCell ref="C17:D17"/>
    <mergeCell ref="K3:L3"/>
    <mergeCell ref="O3:P3"/>
    <mergeCell ref="A7:D7"/>
    <mergeCell ref="B8:D8"/>
    <mergeCell ref="C9:D9"/>
    <mergeCell ref="A5:D5"/>
    <mergeCell ref="M3:N3"/>
  </mergeCells>
  <phoneticPr fontId="28"/>
  <printOptions horizontalCentered="1"/>
  <pageMargins left="0.70866141732283472" right="0" top="0.59055118110236227" bottom="0.27559055118110237" header="0.27559055118110237" footer="0.15748031496062992"/>
  <pageSetup paperSize="9" scale="68" fitToWidth="0" fitToHeight="0" orientation="portrait" blackAndWhite="1" r:id="rId1"/>
  <headerFooter alignWithMargins="0">
    <oddHeader>&amp;R&amp;8&amp;D &amp;T</oddHeader>
    <oddFooter>&amp;L&amp;8&amp;F &amp;A</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広島市</dc:creator>
  <cp:lastModifiedBy>安達 謙介</cp:lastModifiedBy>
  <cp:lastPrinted>2024-05-20T08:13:16Z</cp:lastPrinted>
  <dcterms:created xsi:type="dcterms:W3CDTF">2018-01-17T23:58:02Z</dcterms:created>
  <dcterms:modified xsi:type="dcterms:W3CDTF">2024-06-13T02:44:04Z</dcterms:modified>
</cp:coreProperties>
</file>